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comments6.xml" ContentType="application/vnd.openxmlformats-officedocument.spreadsheetml.comments+xml"/>
  <Override PartName="/xl/drawings/drawing4.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comments4.xml" ContentType="application/vnd.openxmlformats-officedocument.spreadsheetml.comments+xml"/>
  <Override PartName="/xl/embeddings/oleObject2.bin" ContentType="application/vnd.openxmlformats-officedocument.oleObject"/>
  <Override PartName="/xl/comments18.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comments16.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comments13.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10.xml" ContentType="application/vnd.openxmlformats-officedocument.spreadsheetml.comments+xml"/>
  <Override PartName="/xl/comments11.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comments9.xml" ContentType="application/vnd.openxmlformats-officedocument.spreadsheetml.comments+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jpeg" ContentType="image/jpeg"/>
  <Override PartName="/xl/comments7.xml" ContentType="application/vnd.openxmlformats-officedocument.spreadsheetml.comments+xml"/>
  <Default Extension="emf" ContentType="image/x-emf"/>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omments5.xml" ContentType="application/vnd.openxmlformats-officedocument.spreadsheetml.comments+xml"/>
  <Override PartName="/xl/embeddings/oleObject1.bin" ContentType="application/vnd.openxmlformats-officedocument.oleObject"/>
  <Override PartName="/xl/comments19.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comments3.xml" ContentType="application/vnd.openxmlformats-officedocument.spreadsheetml.comments+xml"/>
  <Override PartName="/xl/comments17.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2" yWindow="6000" windowWidth="30936" windowHeight="6036" tabRatio="961" firstSheet="20" activeTab="24"/>
  </bookViews>
  <sheets>
    <sheet name="Resumen" sheetId="1" r:id="rId1"/>
    <sheet name="Global" sheetId="2" r:id="rId2"/>
    <sheet name="Res. Global" sheetId="60796" r:id="rId3"/>
    <sheet name="Resumen RAE Anchoveta" sheetId="1792" r:id="rId4"/>
    <sheet name="RAE Anchoveta" sheetId="2316" r:id="rId5"/>
    <sheet name="Anchoveta" sheetId="1024" r:id="rId6"/>
    <sheet name="Resumen RAE S.Común" sheetId="7380" r:id="rId7"/>
    <sheet name="RAE S.común" sheetId="32" r:id="rId8"/>
    <sheet name="S.común" sheetId="514" r:id="rId9"/>
    <sheet name="Resumen RAE Jurel" sheetId="11565" r:id="rId10"/>
    <sheet name="RAE Jurel" sheetId="2819" r:id="rId11"/>
    <sheet name="Jurel" sheetId="8194" r:id="rId12"/>
    <sheet name="S.española" sheetId="516" r:id="rId13"/>
    <sheet name="Resumen RAE S. Austral" sheetId="60814" r:id="rId14"/>
    <sheet name="Sardina austral X - XI" sheetId="60806" r:id="rId15"/>
    <sheet name="Resumen Cuotas Traspasos" sheetId="60801" r:id="rId16"/>
    <sheet name="Planillas diarias trapasos" sheetId="60805" r:id="rId17"/>
    <sheet name="trapasos VIII Y FAUN aco regs." sheetId="60804" r:id="rId18"/>
    <sheet name="Anchoveta como F Acomp VIII R" sheetId="60815" r:id="rId19"/>
    <sheet name="Res. Glob Fa aco - CHD - Impre" sheetId="60817" r:id="rId20"/>
    <sheet name="Resumen Fauna Acompañante" sheetId="60818" r:id="rId21"/>
    <sheet name="Fauna Acompañante" sheetId="60819" r:id="rId22"/>
    <sheet name="Emb Tipo Bote SHRD" sheetId="60821" r:id="rId23"/>
    <sheet name="CECIONES Y OTROS" sheetId="60816" r:id="rId24"/>
    <sheet name="RESUMEN ALGAS III" sheetId="60822" r:id="rId25"/>
    <sheet name="ALGAS IV " sheetId="60824" r:id="rId26"/>
    <sheet name="RESUMEN ALGAS IV" sheetId="60825" r:id="rId27"/>
    <sheet name="Hoja1" sheetId="60826" r:id="rId28"/>
    <sheet name="Hoja2" sheetId="60827" r:id="rId29"/>
    <sheet name="Hoja3" sheetId="60828" r:id="rId30"/>
  </sheets>
  <externalReferences>
    <externalReference r:id="rId31"/>
    <externalReference r:id="rId32"/>
  </externalReferences>
  <definedNames>
    <definedName name="_xlnm._FilterDatabase" localSheetId="1" hidden="1">Global!$A$5:$G$44</definedName>
    <definedName name="_xlnm._FilterDatabase" localSheetId="27" hidden="1">Hoja1!$H$2:$M$21</definedName>
    <definedName name="_xlnm._FilterDatabase" localSheetId="29" hidden="1">Hoja3!$B$5:$I$22</definedName>
    <definedName name="_xlnm._FilterDatabase" localSheetId="7" hidden="1">'RAE S.común'!$A$411:$AH$424</definedName>
    <definedName name="_xlnm._FilterDatabase" localSheetId="19" hidden="1">'Res. Glob Fa aco - CHD - Impre'!$AG$6:$AN$60</definedName>
    <definedName name="_xlnm._FilterDatabase" localSheetId="2" hidden="1">'Res. Global'!$A$5:$N$85</definedName>
    <definedName name="_xlnm.Print_Area" localSheetId="22">'Emb Tipo Bote SHRD'!$A$1:$K$6</definedName>
    <definedName name="_xlnm.Print_Area" localSheetId="1">Global!$A$2:$F$38</definedName>
    <definedName name="_xlnm.Print_Area" localSheetId="19">'Res. Glob Fa aco - CHD - Impre'!$AG$4:$AN$60</definedName>
    <definedName name="_xlnm.Print_Area" localSheetId="2">'Res. Global'!$A$5:$L$84</definedName>
    <definedName name="_xlnm.Print_Area" localSheetId="3">'Resumen RAE Anchoveta'!$A$2:$I$285</definedName>
  </definedNames>
  <calcPr calcId="125725"/>
</workbook>
</file>

<file path=xl/calcChain.xml><?xml version="1.0" encoding="utf-8"?>
<calcChain xmlns="http://schemas.openxmlformats.org/spreadsheetml/2006/main">
  <c r="H23" i="60828"/>
  <c r="AT312" i="60816" l="1"/>
  <c r="AS312"/>
  <c r="AR312"/>
  <c r="AQ312"/>
  <c r="AV311"/>
  <c r="AU311"/>
  <c r="AV310"/>
  <c r="AV312" s="1"/>
  <c r="AU310"/>
  <c r="AV166"/>
  <c r="L26" i="60814"/>
  <c r="P11"/>
  <c r="F125" i="7380"/>
  <c r="F129"/>
  <c r="F152"/>
  <c r="F174"/>
  <c r="F150" i="1792"/>
  <c r="F114"/>
  <c r="AU301" i="60816"/>
  <c r="AU300"/>
  <c r="AQ302"/>
  <c r="AS302"/>
  <c r="AV300"/>
  <c r="AV301"/>
  <c r="AT302"/>
  <c r="AR302"/>
  <c r="AT291"/>
  <c r="AS291"/>
  <c r="AR291"/>
  <c r="AQ291"/>
  <c r="AV290"/>
  <c r="AV291" s="1"/>
  <c r="AU290"/>
  <c r="AU291" s="1"/>
  <c r="D2" i="60814"/>
  <c r="AT281" i="60816"/>
  <c r="AS281"/>
  <c r="AR281"/>
  <c r="AQ281"/>
  <c r="AV280"/>
  <c r="AV281" s="1"/>
  <c r="AU280"/>
  <c r="AU281" s="1"/>
  <c r="AT272"/>
  <c r="AS272"/>
  <c r="AR272"/>
  <c r="AQ272"/>
  <c r="AV271"/>
  <c r="AV272" s="1"/>
  <c r="AU271"/>
  <c r="AU272" s="1"/>
  <c r="AT262"/>
  <c r="AS262"/>
  <c r="AR262"/>
  <c r="AQ262"/>
  <c r="AV261"/>
  <c r="AV262" s="1"/>
  <c r="AU261"/>
  <c r="AU262" s="1"/>
  <c r="F165" i="7380"/>
  <c r="F167"/>
  <c r="F172"/>
  <c r="F80" i="60815"/>
  <c r="AI17" i="60827"/>
  <c r="C17" s="1"/>
  <c r="AI16"/>
  <c r="C16" s="1"/>
  <c r="AI15"/>
  <c r="C15" s="1"/>
  <c r="AI14"/>
  <c r="C14" s="1"/>
  <c r="AI13"/>
  <c r="C13" s="1"/>
  <c r="AI12"/>
  <c r="C12" s="1"/>
  <c r="AI11"/>
  <c r="C11" s="1"/>
  <c r="AI10"/>
  <c r="C10" s="1"/>
  <c r="AI9"/>
  <c r="C9" s="1"/>
  <c r="AI8"/>
  <c r="C8" s="1"/>
  <c r="AI7"/>
  <c r="C7" s="1"/>
  <c r="AI6"/>
  <c r="C6" s="1"/>
  <c r="AV302" i="60816" l="1"/>
  <c r="AU312"/>
  <c r="AU302"/>
  <c r="AI18" i="60827"/>
  <c r="C18"/>
  <c r="C8" i="11565"/>
  <c r="E23"/>
  <c r="F42" i="60796"/>
  <c r="AT252" i="60816"/>
  <c r="AS252"/>
  <c r="AR252"/>
  <c r="AQ252"/>
  <c r="AV251"/>
  <c r="AV252" s="1"/>
  <c r="AU251"/>
  <c r="AU252" s="1"/>
  <c r="AH168"/>
  <c r="F114" i="7380"/>
  <c r="F158"/>
  <c r="F161"/>
  <c r="F166"/>
  <c r="F81" i="60815"/>
  <c r="F175" i="1792"/>
  <c r="AU234" i="60816"/>
  <c r="F116" i="7380"/>
  <c r="F121"/>
  <c r="F122"/>
  <c r="F127"/>
  <c r="F143"/>
  <c r="F169"/>
  <c r="F128" i="1792"/>
  <c r="F130"/>
  <c r="F135"/>
  <c r="F136"/>
  <c r="F141"/>
  <c r="F166"/>
  <c r="F182"/>
  <c r="F188"/>
  <c r="AT242" i="60816" l="1"/>
  <c r="AS242"/>
  <c r="AR242"/>
  <c r="AQ242"/>
  <c r="AV241"/>
  <c r="AV242" s="1"/>
  <c r="AU241"/>
  <c r="AU242" s="1"/>
  <c r="G212"/>
  <c r="H46"/>
  <c r="G46"/>
  <c r="F156" i="7380"/>
  <c r="F160"/>
  <c r="F162"/>
  <c r="F163"/>
  <c r="F146" i="1792"/>
  <c r="F151"/>
  <c r="F170"/>
  <c r="F172"/>
  <c r="F174"/>
  <c r="F176"/>
  <c r="F186"/>
  <c r="F149" i="7380" l="1"/>
  <c r="F155"/>
  <c r="F180" i="1792"/>
  <c r="AS201" i="60816" l="1"/>
  <c r="AT201"/>
  <c r="AQ201"/>
  <c r="AR201"/>
  <c r="F159" i="7380"/>
  <c r="F153"/>
  <c r="F142"/>
  <c r="F138"/>
  <c r="F137"/>
  <c r="F113"/>
  <c r="F111"/>
  <c r="F127" i="1792"/>
  <c r="F139"/>
  <c r="F152"/>
  <c r="F156"/>
  <c r="F169"/>
  <c r="AT235" i="60816" l="1"/>
  <c r="AS235"/>
  <c r="AR235"/>
  <c r="AQ235"/>
  <c r="AV234"/>
  <c r="AV235" s="1"/>
  <c r="AU235"/>
  <c r="AS217" l="1"/>
  <c r="AU209" s="1"/>
  <c r="F131" i="7380"/>
  <c r="F145" i="1792"/>
  <c r="H318" i="60816" l="1"/>
  <c r="J318" s="1"/>
  <c r="E318"/>
  <c r="J316"/>
  <c r="I316"/>
  <c r="AM67" i="60817"/>
  <c r="AT217" i="60816"/>
  <c r="AV193"/>
  <c r="AV194"/>
  <c r="AV195"/>
  <c r="AV196"/>
  <c r="AV197"/>
  <c r="AV198"/>
  <c r="AV199"/>
  <c r="AU193"/>
  <c r="AU194"/>
  <c r="AU195"/>
  <c r="AU196"/>
  <c r="AU197"/>
  <c r="AU198"/>
  <c r="AU199"/>
  <c r="AV200"/>
  <c r="AU200"/>
  <c r="AU201" l="1"/>
  <c r="AV201"/>
  <c r="AQ178"/>
  <c r="AR178"/>
  <c r="AT178"/>
  <c r="AU175"/>
  <c r="AU176"/>
  <c r="AV175"/>
  <c r="AV176"/>
  <c r="AU224" l="1"/>
  <c r="AU223"/>
  <c r="AT226"/>
  <c r="AS226"/>
  <c r="AR226"/>
  <c r="AQ226"/>
  <c r="AV225"/>
  <c r="AV226" s="1"/>
  <c r="AU225"/>
  <c r="AV209"/>
  <c r="AR217"/>
  <c r="AQ217"/>
  <c r="AV216"/>
  <c r="AV217" s="1"/>
  <c r="AU216"/>
  <c r="AU217" s="1"/>
  <c r="C107" i="7380"/>
  <c r="F126"/>
  <c r="F132"/>
  <c r="F139"/>
  <c r="F106"/>
  <c r="F120" i="1792"/>
  <c r="AU226" i="60816" l="1"/>
  <c r="E74" i="60796"/>
  <c r="F183" i="1792"/>
  <c r="G263" i="60816" l="1"/>
  <c r="AT186" l="1"/>
  <c r="AS186"/>
  <c r="AR186"/>
  <c r="AQ186"/>
  <c r="AV185"/>
  <c r="AV186" s="1"/>
  <c r="AU185"/>
  <c r="AU186" s="1"/>
  <c r="I25"/>
  <c r="AQ159"/>
  <c r="AR159"/>
  <c r="AT159"/>
  <c r="AS178" l="1"/>
  <c r="AV177"/>
  <c r="AU177"/>
  <c r="AV174"/>
  <c r="AU174"/>
  <c r="AV157"/>
  <c r="AU157"/>
  <c r="AS159"/>
  <c r="AV158"/>
  <c r="AU158"/>
  <c r="AV178" l="1"/>
  <c r="AU178"/>
  <c r="AV159"/>
  <c r="AU159"/>
  <c r="F112" i="7380" l="1"/>
  <c r="F133"/>
  <c r="F130"/>
  <c r="F173" i="1792"/>
  <c r="F144"/>
  <c r="F125"/>
  <c r="F168" i="7380" l="1"/>
  <c r="F164"/>
  <c r="F147"/>
  <c r="F145"/>
  <c r="F141"/>
  <c r="F117"/>
  <c r="I45" i="60816"/>
  <c r="J45"/>
  <c r="F178" i="1792"/>
  <c r="F177"/>
  <c r="F161"/>
  <c r="F159"/>
  <c r="F143"/>
  <c r="F140"/>
  <c r="F131"/>
  <c r="AT167" i="60816"/>
  <c r="AS167"/>
  <c r="AR167"/>
  <c r="AQ167"/>
  <c r="AV167"/>
  <c r="AU166"/>
  <c r="AU167" s="1"/>
  <c r="G286" l="1"/>
  <c r="AF287"/>
  <c r="AE287"/>
  <c r="AD287"/>
  <c r="AC287"/>
  <c r="AH286"/>
  <c r="AH287" s="1"/>
  <c r="AG286"/>
  <c r="AG287" s="1"/>
  <c r="AF279"/>
  <c r="AE279"/>
  <c r="AD279"/>
  <c r="AC279"/>
  <c r="AH278"/>
  <c r="AH279" s="1"/>
  <c r="AG278"/>
  <c r="AG279" s="1"/>
  <c r="AF237"/>
  <c r="AE237"/>
  <c r="AD237"/>
  <c r="AC237"/>
  <c r="AH236"/>
  <c r="AG236"/>
  <c r="F155" i="1792"/>
  <c r="F147"/>
  <c r="F126"/>
  <c r="F148" i="7380"/>
  <c r="F136"/>
  <c r="G179" i="60816"/>
  <c r="F162" i="1792"/>
  <c r="AH237" i="60816" l="1"/>
  <c r="AG237"/>
  <c r="O214" i="60821"/>
  <c r="N214"/>
  <c r="M214"/>
  <c r="L214"/>
  <c r="J214"/>
  <c r="J215"/>
  <c r="L129" i="1792" l="1"/>
  <c r="L132"/>
  <c r="L134"/>
  <c r="L138"/>
  <c r="L142"/>
  <c r="L154"/>
  <c r="L164"/>
  <c r="L165"/>
  <c r="L184"/>
  <c r="U115" i="60816" l="1"/>
  <c r="AT150" l="1"/>
  <c r="AS150"/>
  <c r="AR150"/>
  <c r="AQ150"/>
  <c r="AV145"/>
  <c r="AU145"/>
  <c r="AU150" s="1"/>
  <c r="AR139"/>
  <c r="AT139"/>
  <c r="AS139"/>
  <c r="AQ139"/>
  <c r="AV134"/>
  <c r="AU134"/>
  <c r="AU139" s="1"/>
  <c r="J4" i="60821"/>
  <c r="H5"/>
  <c r="H6" s="1"/>
  <c r="I5"/>
  <c r="H297" i="60816"/>
  <c r="J297" s="1"/>
  <c r="E297"/>
  <c r="J295"/>
  <c r="I295"/>
  <c r="H308"/>
  <c r="J308" s="1"/>
  <c r="E308"/>
  <c r="J306"/>
  <c r="I306"/>
  <c r="G119"/>
  <c r="AV150" l="1"/>
  <c r="AV139"/>
  <c r="F79" i="7380"/>
  <c r="F69"/>
  <c r="F58"/>
  <c r="F45"/>
  <c r="AU55" i="60816"/>
  <c r="AC136"/>
  <c r="AD136"/>
  <c r="AE136"/>
  <c r="AF136"/>
  <c r="AH136"/>
  <c r="AG136"/>
  <c r="AJ129"/>
  <c r="AJ136" s="1"/>
  <c r="AK129"/>
  <c r="AK136" s="1"/>
  <c r="F72" i="1792" l="1"/>
  <c r="L139" s="1"/>
  <c r="H286" i="60816" l="1"/>
  <c r="F286"/>
  <c r="J282"/>
  <c r="E286"/>
  <c r="J285"/>
  <c r="I285"/>
  <c r="I284"/>
  <c r="I283"/>
  <c r="I282"/>
  <c r="AT102"/>
  <c r="AS102"/>
  <c r="AR102"/>
  <c r="AQ102"/>
  <c r="AV99"/>
  <c r="AV102" s="1"/>
  <c r="AU99"/>
  <c r="AU102" s="1"/>
  <c r="AT127"/>
  <c r="AS127"/>
  <c r="AR127"/>
  <c r="AQ127"/>
  <c r="AV124"/>
  <c r="AV127" s="1"/>
  <c r="AU124"/>
  <c r="AU127" s="1"/>
  <c r="AY117"/>
  <c r="AX117"/>
  <c r="AT117"/>
  <c r="AS117"/>
  <c r="AR117"/>
  <c r="AQ117"/>
  <c r="AY110"/>
  <c r="AW117" s="1"/>
  <c r="AX110"/>
  <c r="AV117" s="1"/>
  <c r="AW110"/>
  <c r="AU117" s="1"/>
  <c r="J286" l="1"/>
  <c r="AC38"/>
  <c r="AD38"/>
  <c r="AE38"/>
  <c r="AF38"/>
  <c r="F54" i="7380" l="1"/>
  <c r="H273" i="60816"/>
  <c r="J273" s="1"/>
  <c r="E273"/>
  <c r="J271"/>
  <c r="I271"/>
  <c r="J260"/>
  <c r="J261"/>
  <c r="J262"/>
  <c r="J259"/>
  <c r="H263"/>
  <c r="J263" s="1"/>
  <c r="E263"/>
  <c r="I263" s="1"/>
  <c r="I262"/>
  <c r="I261"/>
  <c r="I260"/>
  <c r="I259"/>
  <c r="AL67" i="60817"/>
  <c r="F82" i="7380"/>
  <c r="F59"/>
  <c r="D108"/>
  <c r="C188" i="1792"/>
  <c r="C121"/>
  <c r="C73" l="1"/>
  <c r="M13" i="60814"/>
  <c r="L13"/>
  <c r="J249" i="60816"/>
  <c r="J248"/>
  <c r="H251"/>
  <c r="F251"/>
  <c r="Q189" i="1792"/>
  <c r="H86" i="60796" s="1"/>
  <c r="N13" i="60814" l="1"/>
  <c r="J251" i="60816"/>
  <c r="D41" i="2"/>
  <c r="AH556" i="32" l="1"/>
  <c r="D45" i="60826" l="1"/>
  <c r="J25"/>
  <c r="F16"/>
  <c r="D16"/>
  <c r="AT92" i="60816"/>
  <c r="AS92"/>
  <c r="AR92"/>
  <c r="AQ92"/>
  <c r="AV83"/>
  <c r="AU83"/>
  <c r="AU92" s="1"/>
  <c r="AT76"/>
  <c r="AS76"/>
  <c r="AR76"/>
  <c r="AQ76"/>
  <c r="AV73"/>
  <c r="AV76" s="1"/>
  <c r="AU73"/>
  <c r="AU76" s="1"/>
  <c r="G129"/>
  <c r="F96" i="1792"/>
  <c r="L163" s="1"/>
  <c r="J241" i="60816"/>
  <c r="J240"/>
  <c r="I240"/>
  <c r="AV92" l="1"/>
  <c r="AS56"/>
  <c r="AQ56"/>
  <c r="AU36"/>
  <c r="AU35"/>
  <c r="AU34"/>
  <c r="AU33"/>
  <c r="AU32"/>
  <c r="AU31"/>
  <c r="AU30"/>
  <c r="AU29"/>
  <c r="AU28"/>
  <c r="AU27"/>
  <c r="AU26"/>
  <c r="AU25"/>
  <c r="AU24"/>
  <c r="AU23"/>
  <c r="AU22"/>
  <c r="AU21"/>
  <c r="AU20"/>
  <c r="AU19"/>
  <c r="AU18"/>
  <c r="AU17"/>
  <c r="AU16"/>
  <c r="AU15"/>
  <c r="AU14"/>
  <c r="AU13"/>
  <c r="AU12"/>
  <c r="AU11"/>
  <c r="AU10"/>
  <c r="AU9"/>
  <c r="AV8"/>
  <c r="AU8"/>
  <c r="AT66"/>
  <c r="AS66"/>
  <c r="AR66"/>
  <c r="AQ66"/>
  <c r="AV63"/>
  <c r="AV66" s="1"/>
  <c r="AU63"/>
  <c r="AU66" s="1"/>
  <c r="AU56" l="1"/>
  <c r="F90" i="7380"/>
  <c r="J219" i="60816"/>
  <c r="I219"/>
  <c r="J220"/>
  <c r="E10" i="60817"/>
  <c r="J12" i="60821" l="1"/>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4"/>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J123"/>
  <c r="J124"/>
  <c r="J125"/>
  <c r="J126"/>
  <c r="J127"/>
  <c r="J128"/>
  <c r="J129"/>
  <c r="J130"/>
  <c r="J131"/>
  <c r="J132"/>
  <c r="J133"/>
  <c r="J134"/>
  <c r="J135"/>
  <c r="J136"/>
  <c r="J137"/>
  <c r="J138"/>
  <c r="J139"/>
  <c r="J140"/>
  <c r="J141"/>
  <c r="J142"/>
  <c r="J143"/>
  <c r="J144"/>
  <c r="J145"/>
  <c r="J146"/>
  <c r="J147"/>
  <c r="J148"/>
  <c r="J149"/>
  <c r="J150"/>
  <c r="J151"/>
  <c r="J152"/>
  <c r="J153"/>
  <c r="J154"/>
  <c r="J155"/>
  <c r="J156"/>
  <c r="J157"/>
  <c r="J158"/>
  <c r="J159"/>
  <c r="J160"/>
  <c r="J161"/>
  <c r="J162"/>
  <c r="J163"/>
  <c r="J164"/>
  <c r="J165"/>
  <c r="J166"/>
  <c r="J167"/>
  <c r="J168"/>
  <c r="J169"/>
  <c r="J170"/>
  <c r="J171"/>
  <c r="J172"/>
  <c r="J173"/>
  <c r="J174"/>
  <c r="J175"/>
  <c r="J176"/>
  <c r="J177"/>
  <c r="J178"/>
  <c r="J179"/>
  <c r="J180"/>
  <c r="J181"/>
  <c r="J182"/>
  <c r="J183"/>
  <c r="J184"/>
  <c r="J185"/>
  <c r="J186"/>
  <c r="J187"/>
  <c r="J188"/>
  <c r="J189"/>
  <c r="J190"/>
  <c r="J191"/>
  <c r="J192"/>
  <c r="J193"/>
  <c r="J194"/>
  <c r="J195"/>
  <c r="J196"/>
  <c r="J197"/>
  <c r="J198"/>
  <c r="J199"/>
  <c r="J200"/>
  <c r="J201"/>
  <c r="J202"/>
  <c r="J203"/>
  <c r="J204"/>
  <c r="J205"/>
  <c r="J206"/>
  <c r="J207"/>
  <c r="J208"/>
  <c r="J209"/>
  <c r="J210"/>
  <c r="J211"/>
  <c r="J212"/>
  <c r="J213"/>
  <c r="L108" i="7380"/>
  <c r="F86"/>
  <c r="F89"/>
  <c r="F94"/>
  <c r="F108" i="1792" l="1"/>
  <c r="L175" s="1"/>
  <c r="AN67" i="60817" l="1"/>
  <c r="O169" i="60806"/>
  <c r="Q169" s="1"/>
  <c r="O170"/>
  <c r="Q170" s="1"/>
  <c r="O171"/>
  <c r="R171" s="1"/>
  <c r="O172"/>
  <c r="R172" s="1"/>
  <c r="O173"/>
  <c r="Q173" s="1"/>
  <c r="O174"/>
  <c r="R174" s="1"/>
  <c r="O175"/>
  <c r="R175" s="1"/>
  <c r="O176"/>
  <c r="R176" s="1"/>
  <c r="O177"/>
  <c r="Q177" s="1"/>
  <c r="O178"/>
  <c r="Q178" s="1"/>
  <c r="O179"/>
  <c r="R179" s="1"/>
  <c r="O180"/>
  <c r="R180" s="1"/>
  <c r="O181"/>
  <c r="Q181" s="1"/>
  <c r="O182"/>
  <c r="R182" s="1"/>
  <c r="O183"/>
  <c r="R183" s="1"/>
  <c r="O184"/>
  <c r="R184" s="1"/>
  <c r="O185"/>
  <c r="Q185" s="1"/>
  <c r="O186"/>
  <c r="Q186" s="1"/>
  <c r="O187"/>
  <c r="R187" s="1"/>
  <c r="O188"/>
  <c r="R188" s="1"/>
  <c r="O189"/>
  <c r="Q189" s="1"/>
  <c r="O190"/>
  <c r="R190" s="1"/>
  <c r="O191"/>
  <c r="R191" s="1"/>
  <c r="O192"/>
  <c r="R192" s="1"/>
  <c r="O193"/>
  <c r="Q193" s="1"/>
  <c r="O194"/>
  <c r="Q194" s="1"/>
  <c r="Q179" l="1"/>
  <c r="Q187"/>
  <c r="Q176"/>
  <c r="Q171"/>
  <c r="Q192"/>
  <c r="Q172"/>
  <c r="Q184"/>
  <c r="Q188"/>
  <c r="Q180"/>
  <c r="Q191"/>
  <c r="Q183"/>
  <c r="Q175"/>
  <c r="R193"/>
  <c r="R185"/>
  <c r="R181"/>
  <c r="R173"/>
  <c r="R169"/>
  <c r="R194"/>
  <c r="R186"/>
  <c r="R178"/>
  <c r="R170"/>
  <c r="Q190"/>
  <c r="Q182"/>
  <c r="Q174"/>
  <c r="R189"/>
  <c r="R177"/>
  <c r="E38" i="60796"/>
  <c r="V19" i="60816" l="1"/>
  <c r="V17"/>
  <c r="Q226"/>
  <c r="AG316"/>
  <c r="AG295"/>
  <c r="E8" i="1792"/>
  <c r="E8" i="60796"/>
  <c r="AG255" i="60816" l="1"/>
  <c r="V9" l="1"/>
  <c r="F107" i="7380"/>
  <c r="F105"/>
  <c r="F99"/>
  <c r="F85"/>
  <c r="F64"/>
  <c r="F50"/>
  <c r="F49"/>
  <c r="F46"/>
  <c r="F65"/>
  <c r="K65" s="1"/>
  <c r="F121" i="1792"/>
  <c r="F99"/>
  <c r="L166" s="1"/>
  <c r="F64"/>
  <c r="L131" s="1"/>
  <c r="F63"/>
  <c r="L130" s="1"/>
  <c r="F59"/>
  <c r="L126" s="1"/>
  <c r="BV51" i="8194"/>
  <c r="BU51"/>
  <c r="BT51"/>
  <c r="BS51"/>
  <c r="BR51"/>
  <c r="BQ51"/>
  <c r="BP51"/>
  <c r="BO51"/>
  <c r="BN51"/>
  <c r="BM51"/>
  <c r="BL51"/>
  <c r="BK51"/>
  <c r="BJ51"/>
  <c r="BI51"/>
  <c r="BH51"/>
  <c r="BG51"/>
  <c r="BF51"/>
  <c r="BE51"/>
  <c r="BD51"/>
  <c r="BC51"/>
  <c r="BB51"/>
  <c r="BA51"/>
  <c r="AZ51"/>
  <c r="AY51"/>
  <c r="AX51"/>
  <c r="AW51"/>
  <c r="AV51"/>
  <c r="AU51"/>
  <c r="AT51"/>
  <c r="AS51"/>
  <c r="AR51"/>
  <c r="BW50"/>
  <c r="AQ50" s="1"/>
  <c r="BW49"/>
  <c r="AQ49" s="1"/>
  <c r="BW48"/>
  <c r="AQ48" s="1"/>
  <c r="BW47"/>
  <c r="AQ47" s="1"/>
  <c r="BW46"/>
  <c r="AQ46" s="1"/>
  <c r="BW45"/>
  <c r="AQ45" s="1"/>
  <c r="BW44"/>
  <c r="AQ44" s="1"/>
  <c r="BW43"/>
  <c r="AQ43" s="1"/>
  <c r="BW42"/>
  <c r="AQ42" s="1"/>
  <c r="BW41"/>
  <c r="AQ41" s="1"/>
  <c r="BW40"/>
  <c r="AQ40" s="1"/>
  <c r="BW39"/>
  <c r="AF271" i="60816"/>
  <c r="AE271"/>
  <c r="AD271"/>
  <c r="AC271"/>
  <c r="BW51" i="8194" l="1"/>
  <c r="AQ39"/>
  <c r="AQ51" s="1"/>
  <c r="AH271" i="60816"/>
  <c r="AG271"/>
  <c r="AH245"/>
  <c r="AF247"/>
  <c r="AD247"/>
  <c r="J209"/>
  <c r="F165"/>
  <c r="G189"/>
  <c r="E189"/>
  <c r="F189"/>
  <c r="H212"/>
  <c r="J212" s="1"/>
  <c r="G202"/>
  <c r="E202"/>
  <c r="F202"/>
  <c r="H202"/>
  <c r="J200"/>
  <c r="H189"/>
  <c r="J186"/>
  <c r="K90" i="7380"/>
  <c r="F96"/>
  <c r="F93"/>
  <c r="F81"/>
  <c r="F47"/>
  <c r="BY38" i="8194" l="1"/>
  <c r="AQ68"/>
  <c r="I189" i="60816"/>
  <c r="AH247"/>
  <c r="J189"/>
  <c r="I202"/>
  <c r="J202"/>
  <c r="J491"/>
  <c r="I491"/>
  <c r="F101" i="7380"/>
  <c r="F88"/>
  <c r="F60"/>
  <c r="AF229" i="60816"/>
  <c r="AE229"/>
  <c r="AD229"/>
  <c r="AC229"/>
  <c r="AH228"/>
  <c r="AG228"/>
  <c r="AH227"/>
  <c r="AG227"/>
  <c r="AH221"/>
  <c r="C64" i="7380"/>
  <c r="I116" i="60816"/>
  <c r="I117"/>
  <c r="I118"/>
  <c r="F102" i="7380"/>
  <c r="F95"/>
  <c r="F71"/>
  <c r="F63"/>
  <c r="F115" i="1792"/>
  <c r="L182" s="1"/>
  <c r="F85"/>
  <c r="L152" s="1"/>
  <c r="AF214" i="60816"/>
  <c r="AE214"/>
  <c r="AD214"/>
  <c r="AC214"/>
  <c r="AH213"/>
  <c r="AG213"/>
  <c r="AH212"/>
  <c r="J172"/>
  <c r="H179"/>
  <c r="J179" s="1"/>
  <c r="J177"/>
  <c r="G152"/>
  <c r="C171" i="1792"/>
  <c r="C104"/>
  <c r="N195" i="60806"/>
  <c r="I195"/>
  <c r="J195"/>
  <c r="K195"/>
  <c r="L195"/>
  <c r="M195"/>
  <c r="AH229" i="60816" l="1"/>
  <c r="AG229"/>
  <c r="AH214"/>
  <c r="AG214"/>
  <c r="F62" i="7380"/>
  <c r="F107" i="1792"/>
  <c r="L174" s="1"/>
  <c r="F106"/>
  <c r="L173" s="1"/>
  <c r="F104"/>
  <c r="L171" s="1"/>
  <c r="F103"/>
  <c r="L170" s="1"/>
  <c r="F100"/>
  <c r="L167" s="1"/>
  <c r="F78"/>
  <c r="L145" s="1"/>
  <c r="F74"/>
  <c r="L141" s="1"/>
  <c r="F73"/>
  <c r="L140" s="1"/>
  <c r="F68"/>
  <c r="L135" s="1"/>
  <c r="F61"/>
  <c r="L128" s="1"/>
  <c r="AJ49" i="2819" l="1"/>
  <c r="AO82"/>
  <c r="AO85"/>
  <c r="F92" i="7380"/>
  <c r="F91"/>
  <c r="F113" i="1792"/>
  <c r="L180" s="1"/>
  <c r="F110"/>
  <c r="L177" s="1"/>
  <c r="F105"/>
  <c r="L172" s="1"/>
  <c r="F60"/>
  <c r="L127" s="1"/>
  <c r="F58"/>
  <c r="L125" s="1"/>
  <c r="AJ48" i="2819"/>
  <c r="J158" i="60816" l="1"/>
  <c r="I145"/>
  <c r="J145"/>
  <c r="J115"/>
  <c r="J125"/>
  <c r="F100" i="7380"/>
  <c r="F66"/>
  <c r="K66" s="1"/>
  <c r="F44"/>
  <c r="F80" i="1792"/>
  <c r="L147" s="1"/>
  <c r="F76"/>
  <c r="L143" s="1"/>
  <c r="AF205" i="60816"/>
  <c r="AE205"/>
  <c r="AD205"/>
  <c r="AC205"/>
  <c r="AH204"/>
  <c r="AG204"/>
  <c r="AH203"/>
  <c r="AG203"/>
  <c r="AH202"/>
  <c r="AG202"/>
  <c r="AH201"/>
  <c r="AG201"/>
  <c r="AH200"/>
  <c r="AG200"/>
  <c r="AH199"/>
  <c r="AG199"/>
  <c r="M271" i="7380"/>
  <c r="L271"/>
  <c r="L273" l="1"/>
  <c r="AH205" i="60816"/>
  <c r="AG205"/>
  <c r="P64" i="60796"/>
  <c r="J149" i="60816" l="1"/>
  <c r="H152"/>
  <c r="F152"/>
  <c r="F102" i="1792"/>
  <c r="L169" s="1"/>
  <c r="F95"/>
  <c r="L162" s="1"/>
  <c r="AF192" i="60816"/>
  <c r="AD192"/>
  <c r="AH191"/>
  <c r="AH189"/>
  <c r="AH192" l="1"/>
  <c r="F233"/>
  <c r="E233"/>
  <c r="H232"/>
  <c r="H233" s="1"/>
  <c r="G232"/>
  <c r="G233" s="1"/>
  <c r="F232"/>
  <c r="E232"/>
  <c r="J227"/>
  <c r="H165"/>
  <c r="J165" s="1"/>
  <c r="J163"/>
  <c r="J517"/>
  <c r="J518"/>
  <c r="J519"/>
  <c r="F78" i="7380"/>
  <c r="F55"/>
  <c r="L181" i="1792"/>
  <c r="F92"/>
  <c r="L159" s="1"/>
  <c r="F83"/>
  <c r="L150" s="1"/>
  <c r="N122"/>
  <c r="F66"/>
  <c r="L133" s="1"/>
  <c r="F69"/>
  <c r="L136" s="1"/>
  <c r="F70"/>
  <c r="L137" s="1"/>
  <c r="F77"/>
  <c r="L144" s="1"/>
  <c r="F79"/>
  <c r="L146" s="1"/>
  <c r="F81"/>
  <c r="L148" s="1"/>
  <c r="F82"/>
  <c r="L149" s="1"/>
  <c r="F84"/>
  <c r="L151" s="1"/>
  <c r="F86"/>
  <c r="L153" s="1"/>
  <c r="F88"/>
  <c r="L155" s="1"/>
  <c r="F89"/>
  <c r="L156" s="1"/>
  <c r="F90"/>
  <c r="L157" s="1"/>
  <c r="F91"/>
  <c r="L158" s="1"/>
  <c r="F93"/>
  <c r="L160" s="1"/>
  <c r="F94"/>
  <c r="L161" s="1"/>
  <c r="F101"/>
  <c r="L168" s="1"/>
  <c r="F109"/>
  <c r="L176" s="1"/>
  <c r="F111"/>
  <c r="L178" s="1"/>
  <c r="F112"/>
  <c r="L179" s="1"/>
  <c r="F116"/>
  <c r="L183" s="1"/>
  <c r="F118"/>
  <c r="L185" s="1"/>
  <c r="F119"/>
  <c r="L186" s="1"/>
  <c r="L187"/>
  <c r="M187" s="1"/>
  <c r="K187" s="1"/>
  <c r="U105" i="60816"/>
  <c r="I389"/>
  <c r="I390"/>
  <c r="I391"/>
  <c r="I392"/>
  <c r="I393"/>
  <c r="I394"/>
  <c r="I395"/>
  <c r="I396"/>
  <c r="I397"/>
  <c r="I398"/>
  <c r="I399"/>
  <c r="I400"/>
  <c r="I401"/>
  <c r="I402"/>
  <c r="U27"/>
  <c r="U28"/>
  <c r="U29"/>
  <c r="U30"/>
  <c r="U31"/>
  <c r="U32"/>
  <c r="U33"/>
  <c r="U34"/>
  <c r="U35"/>
  <c r="U36"/>
  <c r="U37"/>
  <c r="U38"/>
  <c r="U39"/>
  <c r="U40"/>
  <c r="U41"/>
  <c r="F122" i="1792" l="1"/>
  <c r="J232" i="60816"/>
  <c r="J233" s="1"/>
  <c r="I232"/>
  <c r="I233" s="1"/>
  <c r="U73"/>
  <c r="K85" i="7380" l="1"/>
  <c r="H138" i="60816"/>
  <c r="F138"/>
  <c r="J136"/>
  <c r="E33" i="60815"/>
  <c r="E108" i="1792"/>
  <c r="J138" i="60816" l="1"/>
  <c r="J152"/>
  <c r="AF181"/>
  <c r="AD181"/>
  <c r="AH180"/>
  <c r="AH178"/>
  <c r="AF171"/>
  <c r="AD171"/>
  <c r="AH170"/>
  <c r="AH171" s="1"/>
  <c r="AH181" l="1"/>
  <c r="AF161" l="1"/>
  <c r="AD161"/>
  <c r="AH160"/>
  <c r="AH158"/>
  <c r="F80" i="7380"/>
  <c r="F52"/>
  <c r="AH161" i="60816" l="1"/>
  <c r="AF147"/>
  <c r="AD147"/>
  <c r="AH146"/>
  <c r="AH144"/>
  <c r="AH147" l="1"/>
  <c r="H195" i="60806"/>
  <c r="F72" i="7380" l="1"/>
  <c r="AH117" i="60816"/>
  <c r="AG117"/>
  <c r="AG113"/>
  <c r="AG109"/>
  <c r="AH109"/>
  <c r="AH113"/>
  <c r="AF66"/>
  <c r="AE66"/>
  <c r="AI129"/>
  <c r="AI136" s="1"/>
  <c r="F56" i="7380" l="1"/>
  <c r="H129" i="60816" l="1"/>
  <c r="F129"/>
  <c r="J129" l="1"/>
  <c r="AF121" l="1"/>
  <c r="AE121"/>
  <c r="AD121"/>
  <c r="AC121"/>
  <c r="AH116"/>
  <c r="AG116"/>
  <c r="AH115"/>
  <c r="AG115"/>
  <c r="AH112"/>
  <c r="AG112"/>
  <c r="AG86"/>
  <c r="AG87"/>
  <c r="AH86"/>
  <c r="AH87"/>
  <c r="AG90"/>
  <c r="AH90"/>
  <c r="AG94"/>
  <c r="AG95"/>
  <c r="AH94"/>
  <c r="AH95"/>
  <c r="AG85"/>
  <c r="F26" i="60796"/>
  <c r="H119" i="60816"/>
  <c r="J119" s="1"/>
  <c r="E119"/>
  <c r="I115"/>
  <c r="AF101"/>
  <c r="AE101"/>
  <c r="AF75"/>
  <c r="AE75"/>
  <c r="AF57"/>
  <c r="AE57"/>
  <c r="AE47"/>
  <c r="AF24"/>
  <c r="AE24"/>
  <c r="AF15"/>
  <c r="AE15"/>
  <c r="F35" i="60815"/>
  <c r="L35" s="1"/>
  <c r="AD101" i="60816"/>
  <c r="AC101"/>
  <c r="AH100"/>
  <c r="AG100"/>
  <c r="AH99"/>
  <c r="AG99"/>
  <c r="AH98"/>
  <c r="AG98"/>
  <c r="AH97"/>
  <c r="AG97"/>
  <c r="AH96"/>
  <c r="AG96"/>
  <c r="AH93"/>
  <c r="AG93"/>
  <c r="AH92"/>
  <c r="AG92"/>
  <c r="AH91"/>
  <c r="AG91"/>
  <c r="AH89"/>
  <c r="AG89"/>
  <c r="AH88"/>
  <c r="AG88"/>
  <c r="AH85"/>
  <c r="AD75"/>
  <c r="AC75"/>
  <c r="AH74"/>
  <c r="AG74"/>
  <c r="AH73"/>
  <c r="AH75" s="1"/>
  <c r="AG73"/>
  <c r="AG75" s="1"/>
  <c r="AD66"/>
  <c r="AC66"/>
  <c r="AH65"/>
  <c r="AG65"/>
  <c r="AH64"/>
  <c r="AH66" s="1"/>
  <c r="AG64"/>
  <c r="AG66" s="1"/>
  <c r="AD57"/>
  <c r="AC57"/>
  <c r="AH56"/>
  <c r="AG56"/>
  <c r="AH55"/>
  <c r="AG55"/>
  <c r="AH54"/>
  <c r="AG54"/>
  <c r="AD47"/>
  <c r="AC47"/>
  <c r="AH46"/>
  <c r="AG46"/>
  <c r="AH45"/>
  <c r="AH47" s="1"/>
  <c r="AG45"/>
  <c r="AG47" s="1"/>
  <c r="F33" i="60815"/>
  <c r="AH29" i="2819"/>
  <c r="B29" s="1"/>
  <c r="AH152" i="60824"/>
  <c r="B152" s="1"/>
  <c r="AK151"/>
  <c r="AI151" s="1"/>
  <c r="AH151"/>
  <c r="B151" s="1"/>
  <c r="AH150"/>
  <c r="B150" s="1"/>
  <c r="AH149"/>
  <c r="B149" s="1"/>
  <c r="AH148"/>
  <c r="B148" s="1"/>
  <c r="AH147"/>
  <c r="B147" s="1"/>
  <c r="AH146"/>
  <c r="B146" s="1"/>
  <c r="AH145"/>
  <c r="B145" s="1"/>
  <c r="AH144"/>
  <c r="B144" s="1"/>
  <c r="AH143"/>
  <c r="B143" s="1"/>
  <c r="AH142"/>
  <c r="B142" s="1"/>
  <c r="AH141"/>
  <c r="B141" s="1"/>
  <c r="AH135"/>
  <c r="B135" s="1"/>
  <c r="AK134"/>
  <c r="AH134"/>
  <c r="B134" s="1"/>
  <c r="AH133"/>
  <c r="B133" s="1"/>
  <c r="AH132"/>
  <c r="B132" s="1"/>
  <c r="AH131"/>
  <c r="B131" s="1"/>
  <c r="AH130"/>
  <c r="B130" s="1"/>
  <c r="AH129"/>
  <c r="B129" s="1"/>
  <c r="AH128"/>
  <c r="B128" s="1"/>
  <c r="AH127"/>
  <c r="B127" s="1"/>
  <c r="AH126"/>
  <c r="B126" s="1"/>
  <c r="AH125"/>
  <c r="B125" s="1"/>
  <c r="AH124"/>
  <c r="B124" s="1"/>
  <c r="AH118"/>
  <c r="B118" s="1"/>
  <c r="AK117"/>
  <c r="AH117"/>
  <c r="B117" s="1"/>
  <c r="AH116"/>
  <c r="B116" s="1"/>
  <c r="AH115"/>
  <c r="B115" s="1"/>
  <c r="AH114"/>
  <c r="B114" s="1"/>
  <c r="AH113"/>
  <c r="B113" s="1"/>
  <c r="AH112"/>
  <c r="B112" s="1"/>
  <c r="AH111"/>
  <c r="B111" s="1"/>
  <c r="AH110"/>
  <c r="B110" s="1"/>
  <c r="AH109"/>
  <c r="B109" s="1"/>
  <c r="AH108"/>
  <c r="B108" s="1"/>
  <c r="AH107"/>
  <c r="B107" s="1"/>
  <c r="AH101"/>
  <c r="B101" s="1"/>
  <c r="AK100"/>
  <c r="AH100"/>
  <c r="B100" s="1"/>
  <c r="AH99"/>
  <c r="B99" s="1"/>
  <c r="AH98"/>
  <c r="B98" s="1"/>
  <c r="AH97"/>
  <c r="B97" s="1"/>
  <c r="AH96"/>
  <c r="B96" s="1"/>
  <c r="AH95"/>
  <c r="B95" s="1"/>
  <c r="AH94"/>
  <c r="B94" s="1"/>
  <c r="AH93"/>
  <c r="B93" s="1"/>
  <c r="AH92"/>
  <c r="B92" s="1"/>
  <c r="AH91"/>
  <c r="B91" s="1"/>
  <c r="AH90"/>
  <c r="B90" s="1"/>
  <c r="AH84"/>
  <c r="B84" s="1"/>
  <c r="AK83"/>
  <c r="AH83"/>
  <c r="B83" s="1"/>
  <c r="AH82"/>
  <c r="B82" s="1"/>
  <c r="AH81"/>
  <c r="B81" s="1"/>
  <c r="AH80"/>
  <c r="B80" s="1"/>
  <c r="AH79"/>
  <c r="B79" s="1"/>
  <c r="AH78"/>
  <c r="B78" s="1"/>
  <c r="AH77"/>
  <c r="B77" s="1"/>
  <c r="AH76"/>
  <c r="B76" s="1"/>
  <c r="AH75"/>
  <c r="B75" s="1"/>
  <c r="AH74"/>
  <c r="B74" s="1"/>
  <c r="AH73"/>
  <c r="AH67"/>
  <c r="B67" s="1"/>
  <c r="AK66"/>
  <c r="AH66"/>
  <c r="B66" s="1"/>
  <c r="AH65"/>
  <c r="B65" s="1"/>
  <c r="AH64"/>
  <c r="B64" s="1"/>
  <c r="AH63"/>
  <c r="B63" s="1"/>
  <c r="AH62"/>
  <c r="B62" s="1"/>
  <c r="AH61"/>
  <c r="B61" s="1"/>
  <c r="AH60"/>
  <c r="B60" s="1"/>
  <c r="AH59"/>
  <c r="B59" s="1"/>
  <c r="AH58"/>
  <c r="B58" s="1"/>
  <c r="AH57"/>
  <c r="B57" s="1"/>
  <c r="AH56"/>
  <c r="B56" s="1"/>
  <c r="AH50"/>
  <c r="B50" s="1"/>
  <c r="AK49"/>
  <c r="AH49"/>
  <c r="B49" s="1"/>
  <c r="AH48"/>
  <c r="B48" s="1"/>
  <c r="AH47"/>
  <c r="B47" s="1"/>
  <c r="AH46"/>
  <c r="B46" s="1"/>
  <c r="AH45"/>
  <c r="B45" s="1"/>
  <c r="AH44"/>
  <c r="B44" s="1"/>
  <c r="AH43"/>
  <c r="B43" s="1"/>
  <c r="AH42"/>
  <c r="B42" s="1"/>
  <c r="AH41"/>
  <c r="B41" s="1"/>
  <c r="AH40"/>
  <c r="B40" s="1"/>
  <c r="AH39"/>
  <c r="B39" s="1"/>
  <c r="AH33"/>
  <c r="B33" s="1"/>
  <c r="AK32"/>
  <c r="AH32"/>
  <c r="B32" s="1"/>
  <c r="AH31"/>
  <c r="B31" s="1"/>
  <c r="AH30"/>
  <c r="B30" s="1"/>
  <c r="AH29"/>
  <c r="B29" s="1"/>
  <c r="AH28"/>
  <c r="B28" s="1"/>
  <c r="AH27"/>
  <c r="B27" s="1"/>
  <c r="AH26"/>
  <c r="B26" s="1"/>
  <c r="AH25"/>
  <c r="B25" s="1"/>
  <c r="AH24"/>
  <c r="B24" s="1"/>
  <c r="AH23"/>
  <c r="B23" s="1"/>
  <c r="AH22"/>
  <c r="AH16"/>
  <c r="B16" s="1"/>
  <c r="AK15"/>
  <c r="AH15"/>
  <c r="B15" s="1"/>
  <c r="AH14"/>
  <c r="B14" s="1"/>
  <c r="AH13"/>
  <c r="B13" s="1"/>
  <c r="AH12"/>
  <c r="B12" s="1"/>
  <c r="AH11"/>
  <c r="B11" s="1"/>
  <c r="AH10"/>
  <c r="B10" s="1"/>
  <c r="AH9"/>
  <c r="B9" s="1"/>
  <c r="AH8"/>
  <c r="B8" s="1"/>
  <c r="AH7"/>
  <c r="B7" s="1"/>
  <c r="AH6"/>
  <c r="B6" s="1"/>
  <c r="AH5"/>
  <c r="C46" i="60825"/>
  <c r="I45"/>
  <c r="I44"/>
  <c r="I43"/>
  <c r="D36"/>
  <c r="D35"/>
  <c r="D34"/>
  <c r="C31"/>
  <c r="I30"/>
  <c r="I29"/>
  <c r="I28"/>
  <c r="D21"/>
  <c r="D20"/>
  <c r="D19"/>
  <c r="F16"/>
  <c r="C16"/>
  <c r="I15"/>
  <c r="T14"/>
  <c r="S14"/>
  <c r="R14"/>
  <c r="I14"/>
  <c r="I13"/>
  <c r="M6"/>
  <c r="T15" s="1"/>
  <c r="D6"/>
  <c r="M5"/>
  <c r="S15" s="1"/>
  <c r="L5"/>
  <c r="D5"/>
  <c r="T4"/>
  <c r="S4"/>
  <c r="R4"/>
  <c r="M4"/>
  <c r="R15" s="1"/>
  <c r="L4"/>
  <c r="D4"/>
  <c r="D68" i="60822"/>
  <c r="C68"/>
  <c r="B68"/>
  <c r="N65"/>
  <c r="M65"/>
  <c r="L65"/>
  <c r="N64"/>
  <c r="M64"/>
  <c r="L64"/>
  <c r="D58"/>
  <c r="C58"/>
  <c r="B58"/>
  <c r="C53"/>
  <c r="D69" s="1"/>
  <c r="C52"/>
  <c r="C69" s="1"/>
  <c r="B52"/>
  <c r="C51"/>
  <c r="B69" s="1"/>
  <c r="B51"/>
  <c r="P49"/>
  <c r="S48"/>
  <c r="F46"/>
  <c r="I45"/>
  <c r="I44"/>
  <c r="I43"/>
  <c r="N39"/>
  <c r="D36"/>
  <c r="W32"/>
  <c r="D35"/>
  <c r="D34"/>
  <c r="X33"/>
  <c r="W33"/>
  <c r="V33"/>
  <c r="P33"/>
  <c r="X32"/>
  <c r="X34" s="1"/>
  <c r="X35" s="1"/>
  <c r="V32"/>
  <c r="S32"/>
  <c r="S31"/>
  <c r="F31"/>
  <c r="S30"/>
  <c r="I30"/>
  <c r="I29"/>
  <c r="I28"/>
  <c r="N23"/>
  <c r="X22"/>
  <c r="N54" s="1"/>
  <c r="W22"/>
  <c r="M54" s="1"/>
  <c r="V22"/>
  <c r="L54" s="1"/>
  <c r="N22"/>
  <c r="N21"/>
  <c r="D21"/>
  <c r="D20"/>
  <c r="D19"/>
  <c r="R16"/>
  <c r="F16"/>
  <c r="I15"/>
  <c r="I14"/>
  <c r="I13"/>
  <c r="T9"/>
  <c r="S9"/>
  <c r="R9"/>
  <c r="D6"/>
  <c r="D5"/>
  <c r="D4"/>
  <c r="AH36" i="60816"/>
  <c r="AG36"/>
  <c r="AH35"/>
  <c r="AG35"/>
  <c r="AH34"/>
  <c r="AG34"/>
  <c r="AH33"/>
  <c r="AG33"/>
  <c r="AH32"/>
  <c r="AG32"/>
  <c r="AH31"/>
  <c r="AG31"/>
  <c r="AD24"/>
  <c r="AC24"/>
  <c r="AH23"/>
  <c r="AH24" s="1"/>
  <c r="AG23"/>
  <c r="AG24" s="1"/>
  <c r="AH22"/>
  <c r="AG22"/>
  <c r="AD15"/>
  <c r="AC15"/>
  <c r="AH13"/>
  <c r="AG13"/>
  <c r="AH12"/>
  <c r="AG12"/>
  <c r="AH11"/>
  <c r="AG11"/>
  <c r="AH10"/>
  <c r="AG10"/>
  <c r="AH9"/>
  <c r="AG9"/>
  <c r="T378"/>
  <c r="V378" s="1"/>
  <c r="S378"/>
  <c r="U378" s="1"/>
  <c r="V377"/>
  <c r="U377"/>
  <c r="V372"/>
  <c r="U372"/>
  <c r="V371"/>
  <c r="U371"/>
  <c r="V370"/>
  <c r="U370"/>
  <c r="V369"/>
  <c r="U369"/>
  <c r="V368"/>
  <c r="U368"/>
  <c r="V367"/>
  <c r="U367"/>
  <c r="V366"/>
  <c r="U366"/>
  <c r="V365"/>
  <c r="U365"/>
  <c r="V364"/>
  <c r="U364"/>
  <c r="V363"/>
  <c r="U363"/>
  <c r="R356"/>
  <c r="Q356"/>
  <c r="T355"/>
  <c r="S355"/>
  <c r="S356" s="1"/>
  <c r="R355"/>
  <c r="Q355"/>
  <c r="V354"/>
  <c r="U354"/>
  <c r="V353"/>
  <c r="U353"/>
  <c r="V352"/>
  <c r="U352"/>
  <c r="V351"/>
  <c r="U351"/>
  <c r="V350"/>
  <c r="U350"/>
  <c r="V349"/>
  <c r="U349"/>
  <c r="V348"/>
  <c r="U348"/>
  <c r="V347"/>
  <c r="U347"/>
  <c r="V346"/>
  <c r="U346"/>
  <c r="V345"/>
  <c r="U345"/>
  <c r="T339"/>
  <c r="S339"/>
  <c r="R339"/>
  <c r="Q339"/>
  <c r="V338"/>
  <c r="U338"/>
  <c r="V337"/>
  <c r="U337"/>
  <c r="H540"/>
  <c r="G540"/>
  <c r="F540"/>
  <c r="E540"/>
  <c r="J538"/>
  <c r="J540" s="1"/>
  <c r="I538"/>
  <c r="I540" s="1"/>
  <c r="T330"/>
  <c r="S330"/>
  <c r="R330"/>
  <c r="Q330"/>
  <c r="V329"/>
  <c r="U329"/>
  <c r="V328"/>
  <c r="U328"/>
  <c r="H530"/>
  <c r="G530"/>
  <c r="F530"/>
  <c r="E530"/>
  <c r="J528"/>
  <c r="J530" s="1"/>
  <c r="I528"/>
  <c r="I530" s="1"/>
  <c r="T321"/>
  <c r="S321"/>
  <c r="R321"/>
  <c r="Q321"/>
  <c r="V319"/>
  <c r="V321" s="1"/>
  <c r="U319"/>
  <c r="U321" s="1"/>
  <c r="H520"/>
  <c r="G520"/>
  <c r="F520"/>
  <c r="E520"/>
  <c r="T312"/>
  <c r="S312"/>
  <c r="R312"/>
  <c r="Q312"/>
  <c r="J516"/>
  <c r="J520" s="1"/>
  <c r="I516"/>
  <c r="I520" s="1"/>
  <c r="V309"/>
  <c r="V312" s="1"/>
  <c r="U309"/>
  <c r="U312" s="1"/>
  <c r="H508"/>
  <c r="G508"/>
  <c r="F508"/>
  <c r="E508"/>
  <c r="T302"/>
  <c r="S302"/>
  <c r="R302"/>
  <c r="Q302"/>
  <c r="J506"/>
  <c r="J508" s="1"/>
  <c r="I506"/>
  <c r="I508" s="1"/>
  <c r="V299"/>
  <c r="V302" s="1"/>
  <c r="U299"/>
  <c r="U302" s="1"/>
  <c r="H498"/>
  <c r="J498" s="1"/>
  <c r="G498"/>
  <c r="I498" s="1"/>
  <c r="T289"/>
  <c r="S289"/>
  <c r="R289"/>
  <c r="Q289"/>
  <c r="V286"/>
  <c r="V289" s="1"/>
  <c r="U286"/>
  <c r="U289" s="1"/>
  <c r="H485"/>
  <c r="G485"/>
  <c r="F485"/>
  <c r="E485"/>
  <c r="J484"/>
  <c r="I484"/>
  <c r="J483"/>
  <c r="I483"/>
  <c r="T278"/>
  <c r="S278"/>
  <c r="R278"/>
  <c r="Q278"/>
  <c r="J482"/>
  <c r="I482"/>
  <c r="J481"/>
  <c r="I481"/>
  <c r="J480"/>
  <c r="I480"/>
  <c r="V275"/>
  <c r="V278" s="1"/>
  <c r="U275"/>
  <c r="U278" s="1"/>
  <c r="H473"/>
  <c r="G473"/>
  <c r="F473"/>
  <c r="E473"/>
  <c r="T268"/>
  <c r="S268"/>
  <c r="R268"/>
  <c r="Q268"/>
  <c r="J472"/>
  <c r="I472"/>
  <c r="J470"/>
  <c r="I470"/>
  <c r="V265"/>
  <c r="V268" s="1"/>
  <c r="U265"/>
  <c r="U268" s="1"/>
  <c r="H463"/>
  <c r="G463"/>
  <c r="F463"/>
  <c r="E463"/>
  <c r="J462"/>
  <c r="I462"/>
  <c r="J461"/>
  <c r="I461"/>
  <c r="T258"/>
  <c r="S258"/>
  <c r="R258"/>
  <c r="Q258"/>
  <c r="J460"/>
  <c r="I460"/>
  <c r="J459"/>
  <c r="I459"/>
  <c r="J458"/>
  <c r="I458"/>
  <c r="V255"/>
  <c r="V258" s="1"/>
  <c r="U255"/>
  <c r="U258" s="1"/>
  <c r="J457"/>
  <c r="I457"/>
  <c r="T248"/>
  <c r="S248"/>
  <c r="R248"/>
  <c r="Q248"/>
  <c r="H450"/>
  <c r="G450"/>
  <c r="F450"/>
  <c r="E450"/>
  <c r="J449"/>
  <c r="I449"/>
  <c r="J448"/>
  <c r="I448"/>
  <c r="V245"/>
  <c r="V248" s="1"/>
  <c r="U245"/>
  <c r="U248" s="1"/>
  <c r="J447"/>
  <c r="I447"/>
  <c r="J446"/>
  <c r="I446"/>
  <c r="H440"/>
  <c r="G440"/>
  <c r="F440"/>
  <c r="E440"/>
  <c r="T237"/>
  <c r="S237"/>
  <c r="R237"/>
  <c r="Q237"/>
  <c r="J439"/>
  <c r="I439"/>
  <c r="J438"/>
  <c r="I438"/>
  <c r="J437"/>
  <c r="I437"/>
  <c r="V234"/>
  <c r="V237" s="1"/>
  <c r="U234"/>
  <c r="U237" s="1"/>
  <c r="T226"/>
  <c r="S226"/>
  <c r="R226"/>
  <c r="V225"/>
  <c r="U224"/>
  <c r="U223"/>
  <c r="U222"/>
  <c r="U221"/>
  <c r="U220"/>
  <c r="U219"/>
  <c r="U218"/>
  <c r="H430"/>
  <c r="G430"/>
  <c r="F430"/>
  <c r="E430"/>
  <c r="U217"/>
  <c r="J429"/>
  <c r="I429"/>
  <c r="U216"/>
  <c r="J428"/>
  <c r="I428"/>
  <c r="U215"/>
  <c r="J427"/>
  <c r="I427"/>
  <c r="U214"/>
  <c r="U213"/>
  <c r="U212"/>
  <c r="U211"/>
  <c r="U210"/>
  <c r="U209"/>
  <c r="U208"/>
  <c r="H420"/>
  <c r="G420"/>
  <c r="F420"/>
  <c r="E420"/>
  <c r="U207"/>
  <c r="J419"/>
  <c r="I419"/>
  <c r="U206"/>
  <c r="J418"/>
  <c r="I418"/>
  <c r="U205"/>
  <c r="J417"/>
  <c r="I417"/>
  <c r="U204"/>
  <c r="U203"/>
  <c r="U202"/>
  <c r="U201"/>
  <c r="U200"/>
  <c r="U199"/>
  <c r="U198"/>
  <c r="U197"/>
  <c r="U196"/>
  <c r="V195"/>
  <c r="U195"/>
  <c r="H407"/>
  <c r="G407"/>
  <c r="F407"/>
  <c r="E407"/>
  <c r="J406"/>
  <c r="I406"/>
  <c r="J405"/>
  <c r="I405"/>
  <c r="J404"/>
  <c r="I404"/>
  <c r="J403"/>
  <c r="I403"/>
  <c r="J402"/>
  <c r="T189"/>
  <c r="S189"/>
  <c r="R189"/>
  <c r="Q189"/>
  <c r="J401"/>
  <c r="V188"/>
  <c r="J400"/>
  <c r="U187"/>
  <c r="J399"/>
  <c r="U186"/>
  <c r="J398"/>
  <c r="U185"/>
  <c r="J397"/>
  <c r="U184"/>
  <c r="J396"/>
  <c r="U183"/>
  <c r="J395"/>
  <c r="U182"/>
  <c r="J394"/>
  <c r="U181"/>
  <c r="J393"/>
  <c r="U180"/>
  <c r="J392"/>
  <c r="U179"/>
  <c r="J391"/>
  <c r="U178"/>
  <c r="J390"/>
  <c r="U177"/>
  <c r="J389"/>
  <c r="U176"/>
  <c r="J388"/>
  <c r="I388"/>
  <c r="U175"/>
  <c r="U174"/>
  <c r="U173"/>
  <c r="U172"/>
  <c r="U171"/>
  <c r="U170"/>
  <c r="U169"/>
  <c r="U168"/>
  <c r="H380"/>
  <c r="G380"/>
  <c r="F380"/>
  <c r="E380"/>
  <c r="U167"/>
  <c r="U166"/>
  <c r="J378"/>
  <c r="I378"/>
  <c r="U165"/>
  <c r="J377"/>
  <c r="I377"/>
  <c r="U164"/>
  <c r="J376"/>
  <c r="I376"/>
  <c r="U163"/>
  <c r="J375"/>
  <c r="I375"/>
  <c r="U162"/>
  <c r="J374"/>
  <c r="I374"/>
  <c r="U161"/>
  <c r="J373"/>
  <c r="I373"/>
  <c r="U160"/>
  <c r="J372"/>
  <c r="I372"/>
  <c r="U159"/>
  <c r="V158"/>
  <c r="U158"/>
  <c r="H364"/>
  <c r="G364"/>
  <c r="F364"/>
  <c r="E364"/>
  <c r="T151"/>
  <c r="S151"/>
  <c r="R151"/>
  <c r="Q151"/>
  <c r="V150"/>
  <c r="J361"/>
  <c r="I361"/>
  <c r="V148"/>
  <c r="U148"/>
  <c r="U151" s="1"/>
  <c r="J360"/>
  <c r="I360"/>
  <c r="J359"/>
  <c r="I359"/>
  <c r="J358"/>
  <c r="I358"/>
  <c r="J357"/>
  <c r="I357"/>
  <c r="J356"/>
  <c r="I356"/>
  <c r="J355"/>
  <c r="I355"/>
  <c r="J354"/>
  <c r="I354"/>
  <c r="T141"/>
  <c r="V141" s="1"/>
  <c r="S141"/>
  <c r="U141" s="1"/>
  <c r="V140"/>
  <c r="U140"/>
  <c r="V138"/>
  <c r="U138"/>
  <c r="V137"/>
  <c r="U137"/>
  <c r="V136"/>
  <c r="U136"/>
  <c r="V135"/>
  <c r="U135"/>
  <c r="H347"/>
  <c r="G347"/>
  <c r="F347"/>
  <c r="E347"/>
  <c r="V134"/>
  <c r="U134"/>
  <c r="J346"/>
  <c r="I346"/>
  <c r="V133"/>
  <c r="U133"/>
  <c r="J345"/>
  <c r="I345"/>
  <c r="V132"/>
  <c r="U132"/>
  <c r="J344"/>
  <c r="I344"/>
  <c r="V131"/>
  <c r="U131"/>
  <c r="J343"/>
  <c r="I343"/>
  <c r="V130"/>
  <c r="U130"/>
  <c r="J342"/>
  <c r="I342"/>
  <c r="V129"/>
  <c r="U129"/>
  <c r="J341"/>
  <c r="I341"/>
  <c r="V128"/>
  <c r="U128"/>
  <c r="J340"/>
  <c r="I340"/>
  <c r="V127"/>
  <c r="U127"/>
  <c r="J339"/>
  <c r="I339"/>
  <c r="V126"/>
  <c r="U126"/>
  <c r="J338"/>
  <c r="I338"/>
  <c r="J337"/>
  <c r="I337"/>
  <c r="J336"/>
  <c r="I336"/>
  <c r="J335"/>
  <c r="I335"/>
  <c r="J334"/>
  <c r="I334"/>
  <c r="J333"/>
  <c r="I333"/>
  <c r="J332"/>
  <c r="I332"/>
  <c r="U118"/>
  <c r="T118"/>
  <c r="S118"/>
  <c r="R118"/>
  <c r="Q118"/>
  <c r="J331"/>
  <c r="I331"/>
  <c r="V117"/>
  <c r="J330"/>
  <c r="I330"/>
  <c r="V115"/>
  <c r="U108"/>
  <c r="T108"/>
  <c r="S108"/>
  <c r="R108"/>
  <c r="Q108"/>
  <c r="H107"/>
  <c r="G107"/>
  <c r="F107"/>
  <c r="E107"/>
  <c r="V107"/>
  <c r="J105"/>
  <c r="J107" s="1"/>
  <c r="I105"/>
  <c r="I107" s="1"/>
  <c r="V105"/>
  <c r="T97"/>
  <c r="S97"/>
  <c r="R97"/>
  <c r="Q97"/>
  <c r="H96"/>
  <c r="G96"/>
  <c r="F96"/>
  <c r="E96"/>
  <c r="V96"/>
  <c r="J95"/>
  <c r="I95"/>
  <c r="I96" s="1"/>
  <c r="V94"/>
  <c r="U94"/>
  <c r="U97" s="1"/>
  <c r="U86"/>
  <c r="T86"/>
  <c r="S86"/>
  <c r="R86"/>
  <c r="Q86"/>
  <c r="H86"/>
  <c r="G86"/>
  <c r="F86"/>
  <c r="E86"/>
  <c r="V85"/>
  <c r="J85"/>
  <c r="I85"/>
  <c r="J84"/>
  <c r="I84"/>
  <c r="V83"/>
  <c r="U76"/>
  <c r="T76"/>
  <c r="S76"/>
  <c r="R76"/>
  <c r="Q76"/>
  <c r="H76"/>
  <c r="G76"/>
  <c r="F76"/>
  <c r="E76"/>
  <c r="V75"/>
  <c r="J75"/>
  <c r="I75"/>
  <c r="J74"/>
  <c r="I74"/>
  <c r="V73"/>
  <c r="U20"/>
  <c r="T20"/>
  <c r="S20"/>
  <c r="Q20"/>
  <c r="H65"/>
  <c r="G65"/>
  <c r="F65"/>
  <c r="E65"/>
  <c r="J63"/>
  <c r="J65" s="1"/>
  <c r="I63"/>
  <c r="I65" s="1"/>
  <c r="U11"/>
  <c r="T11"/>
  <c r="R11"/>
  <c r="Q11"/>
  <c r="V10"/>
  <c r="H55"/>
  <c r="G55"/>
  <c r="F55"/>
  <c r="E55"/>
  <c r="V8"/>
  <c r="S11"/>
  <c r="J53"/>
  <c r="J55" s="1"/>
  <c r="I53"/>
  <c r="I55" s="1"/>
  <c r="T63"/>
  <c r="S63"/>
  <c r="R63"/>
  <c r="Q63"/>
  <c r="V62"/>
  <c r="U62"/>
  <c r="V61"/>
  <c r="U61"/>
  <c r="V60"/>
  <c r="U60"/>
  <c r="J44"/>
  <c r="J46" s="1"/>
  <c r="I44"/>
  <c r="I46" s="1"/>
  <c r="V59"/>
  <c r="U59"/>
  <c r="V58"/>
  <c r="U58"/>
  <c r="V57"/>
  <c r="U57"/>
  <c r="V56"/>
  <c r="U56"/>
  <c r="V55"/>
  <c r="U55"/>
  <c r="V54"/>
  <c r="U54"/>
  <c r="V53"/>
  <c r="U53"/>
  <c r="V52"/>
  <c r="U52"/>
  <c r="H36"/>
  <c r="G36"/>
  <c r="F36"/>
  <c r="E36"/>
  <c r="V51"/>
  <c r="U51"/>
  <c r="V50"/>
  <c r="U50"/>
  <c r="J34"/>
  <c r="J36" s="1"/>
  <c r="I34"/>
  <c r="I36" s="1"/>
  <c r="V49"/>
  <c r="U49"/>
  <c r="T42"/>
  <c r="S42"/>
  <c r="R42"/>
  <c r="Q42"/>
  <c r="H26"/>
  <c r="G26"/>
  <c r="F26"/>
  <c r="E26"/>
  <c r="V41"/>
  <c r="J25"/>
  <c r="J24"/>
  <c r="I24"/>
  <c r="J23"/>
  <c r="I23"/>
  <c r="V38"/>
  <c r="J22"/>
  <c r="I22"/>
  <c r="V37"/>
  <c r="J21"/>
  <c r="I21"/>
  <c r="V36"/>
  <c r="V35"/>
  <c r="V34"/>
  <c r="V33"/>
  <c r="V32"/>
  <c r="V31"/>
  <c r="V30"/>
  <c r="V29"/>
  <c r="H13"/>
  <c r="G13"/>
  <c r="F13"/>
  <c r="E13"/>
  <c r="V28"/>
  <c r="J12"/>
  <c r="I12"/>
  <c r="V27"/>
  <c r="J11"/>
  <c r="I11"/>
  <c r="V26"/>
  <c r="U26"/>
  <c r="U42" s="1"/>
  <c r="J10"/>
  <c r="I10"/>
  <c r="J11" i="60821"/>
  <c r="I6"/>
  <c r="G5"/>
  <c r="G6" s="1"/>
  <c r="F5"/>
  <c r="BP256" i="60819"/>
  <c r="AG84" i="60818" s="1"/>
  <c r="BO256" i="60819"/>
  <c r="AF84" i="60818" s="1"/>
  <c r="BN256" i="60819"/>
  <c r="AE84" i="60818" s="1"/>
  <c r="BM256" i="60819"/>
  <c r="AD84" i="60818" s="1"/>
  <c r="BL256" i="60819"/>
  <c r="BK256"/>
  <c r="AB84" i="60818" s="1"/>
  <c r="BJ256" i="60819"/>
  <c r="AA84" i="60818" s="1"/>
  <c r="BI256" i="60819"/>
  <c r="Z84" i="60818" s="1"/>
  <c r="BH256" i="60819"/>
  <c r="Y84" i="60818" s="1"/>
  <c r="BG256" i="60819"/>
  <c r="BF256"/>
  <c r="W84" i="60818" s="1"/>
  <c r="BE256" i="60819"/>
  <c r="V84" i="60818" s="1"/>
  <c r="BD256" i="60819"/>
  <c r="U84" i="60818" s="1"/>
  <c r="BC256" i="60819"/>
  <c r="T84" i="60818" s="1"/>
  <c r="BB256" i="60819"/>
  <c r="S84" i="60818" s="1"/>
  <c r="BA256" i="60819"/>
  <c r="R84" i="60818" s="1"/>
  <c r="AZ256" i="60819"/>
  <c r="Q84" i="60818" s="1"/>
  <c r="AY256" i="60819"/>
  <c r="P84" i="60818" s="1"/>
  <c r="AX256" i="60819"/>
  <c r="O84" i="60818" s="1"/>
  <c r="AW256" i="60819"/>
  <c r="N84" i="60818" s="1"/>
  <c r="AV256" i="60819"/>
  <c r="M84" i="60818" s="1"/>
  <c r="AU256" i="60819"/>
  <c r="L84" i="60818" s="1"/>
  <c r="AT256" i="60819"/>
  <c r="K84" i="60818" s="1"/>
  <c r="AS256" i="60819"/>
  <c r="J84" i="60818" s="1"/>
  <c r="AR256" i="60819"/>
  <c r="I84" i="60818" s="1"/>
  <c r="AQ256" i="60819"/>
  <c r="AP256"/>
  <c r="G84" i="60818" s="1"/>
  <c r="AO256" i="60819"/>
  <c r="F84" i="60818" s="1"/>
  <c r="AN256" i="60819"/>
  <c r="AM256"/>
  <c r="D84" i="60818" s="1"/>
  <c r="AL256" i="60819"/>
  <c r="C84" i="60818" s="1"/>
  <c r="BP255" i="60819"/>
  <c r="AG83" i="60818" s="1"/>
  <c r="BO255" i="60819"/>
  <c r="AF83" i="60818" s="1"/>
  <c r="BN255" i="60819"/>
  <c r="AE83" i="60818" s="1"/>
  <c r="BM255" i="60819"/>
  <c r="AD83" i="60818" s="1"/>
  <c r="BL255" i="60819"/>
  <c r="AC83" i="60818" s="1"/>
  <c r="BK255" i="60819"/>
  <c r="AB83" i="60818" s="1"/>
  <c r="BJ255" i="60819"/>
  <c r="AA83" i="60818" s="1"/>
  <c r="BI255" i="60819"/>
  <c r="Z83" i="60818" s="1"/>
  <c r="BH255" i="60819"/>
  <c r="Y83" i="60818" s="1"/>
  <c r="BG255" i="60819"/>
  <c r="X83" i="60818" s="1"/>
  <c r="BF255" i="60819"/>
  <c r="BE255"/>
  <c r="V83" i="60818" s="1"/>
  <c r="BD255" i="60819"/>
  <c r="U83" i="60818" s="1"/>
  <c r="BC255" i="60819"/>
  <c r="T83" i="60818" s="1"/>
  <c r="BB255" i="60819"/>
  <c r="S83" i="60818" s="1"/>
  <c r="BA255" i="60819"/>
  <c r="AZ255"/>
  <c r="Q83" i="60818" s="1"/>
  <c r="AY255" i="60819"/>
  <c r="P83" i="60818" s="1"/>
  <c r="AX255" i="60819"/>
  <c r="O83" i="60818" s="1"/>
  <c r="AW255" i="60819"/>
  <c r="N83" i="60818" s="1"/>
  <c r="AV255" i="60819"/>
  <c r="M83" i="60818" s="1"/>
  <c r="AU255" i="60819"/>
  <c r="L83" i="60818" s="1"/>
  <c r="AT255" i="60819"/>
  <c r="K83" i="60818" s="1"/>
  <c r="AS255" i="60819"/>
  <c r="J83" i="60818" s="1"/>
  <c r="AR255" i="60819"/>
  <c r="I83" i="60818" s="1"/>
  <c r="AQ255" i="60819"/>
  <c r="H83" i="60818" s="1"/>
  <c r="AP255" i="60819"/>
  <c r="AO255"/>
  <c r="F83" i="60818" s="1"/>
  <c r="AN255" i="60819"/>
  <c r="E83" i="60818" s="1"/>
  <c r="AM255" i="60819"/>
  <c r="D83" i="60818" s="1"/>
  <c r="AL255" i="60819"/>
  <c r="C83" i="60818" s="1"/>
  <c r="BP254" i="60819"/>
  <c r="AG82" i="60818" s="1"/>
  <c r="BO254" i="60819"/>
  <c r="AF82" i="60818" s="1"/>
  <c r="BN254" i="60819"/>
  <c r="BM254"/>
  <c r="AD82" i="60818" s="1"/>
  <c r="BL254" i="60819"/>
  <c r="AC82" i="60818" s="1"/>
  <c r="BK254" i="60819"/>
  <c r="AB82" i="60818" s="1"/>
  <c r="BJ254" i="60819"/>
  <c r="AA82" i="60818" s="1"/>
  <c r="BI254" i="60819"/>
  <c r="Z82" i="60818" s="1"/>
  <c r="BH254" i="60819"/>
  <c r="Y82" i="60818" s="1"/>
  <c r="BG254" i="60819"/>
  <c r="X82" i="60818" s="1"/>
  <c r="BF254" i="60819"/>
  <c r="W82" i="60818" s="1"/>
  <c r="BE254" i="60819"/>
  <c r="BD254"/>
  <c r="U82" i="60818" s="1"/>
  <c r="BC254" i="60819"/>
  <c r="T82" i="60818" s="1"/>
  <c r="BB254" i="60819"/>
  <c r="S82" i="60818" s="1"/>
  <c r="BA254" i="60819"/>
  <c r="R82" i="60818" s="1"/>
  <c r="AZ254" i="60819"/>
  <c r="Q82" i="60818" s="1"/>
  <c r="AY254" i="60819"/>
  <c r="P82" i="60818" s="1"/>
  <c r="AX254" i="60819"/>
  <c r="O82" i="60818" s="1"/>
  <c r="AW254" i="60819"/>
  <c r="N82" i="60818" s="1"/>
  <c r="AV254" i="60819"/>
  <c r="M82" i="60818" s="1"/>
  <c r="AU254" i="60819"/>
  <c r="L82" i="60818" s="1"/>
  <c r="AT254" i="60819"/>
  <c r="K82" i="60818" s="1"/>
  <c r="AS254" i="60819"/>
  <c r="J82" i="60818" s="1"/>
  <c r="AR254" i="60819"/>
  <c r="I82" i="60818" s="1"/>
  <c r="AQ254" i="60819"/>
  <c r="H82" i="60818" s="1"/>
  <c r="AP254" i="60819"/>
  <c r="G82" i="60818" s="1"/>
  <c r="AO254" i="60819"/>
  <c r="AN254"/>
  <c r="E82" i="60818" s="1"/>
  <c r="AM254" i="60819"/>
  <c r="D82" i="60818" s="1"/>
  <c r="AL254" i="60819"/>
  <c r="C82" i="60818" s="1"/>
  <c r="BP253" i="60819"/>
  <c r="AG81" i="60818" s="1"/>
  <c r="BO253" i="60819"/>
  <c r="AF81" i="60818" s="1"/>
  <c r="BN253" i="60819"/>
  <c r="AE81" i="60818" s="1"/>
  <c r="BM253" i="60819"/>
  <c r="AD81" i="60818" s="1"/>
  <c r="BL253" i="60819"/>
  <c r="AC81" i="60818" s="1"/>
  <c r="BK253" i="60819"/>
  <c r="AB81" i="60818" s="1"/>
  <c r="BJ253" i="60819"/>
  <c r="AA81" i="60818" s="1"/>
  <c r="BI253" i="60819"/>
  <c r="Z81" i="60818" s="1"/>
  <c r="BH253" i="60819"/>
  <c r="Y81" i="60818" s="1"/>
  <c r="BG253" i="60819"/>
  <c r="X81" i="60818" s="1"/>
  <c r="BF253" i="60819"/>
  <c r="W81" i="60818" s="1"/>
  <c r="BE253" i="60819"/>
  <c r="BD253"/>
  <c r="BC253"/>
  <c r="T81" i="60818" s="1"/>
  <c r="BB253" i="60819"/>
  <c r="S81" i="60818" s="1"/>
  <c r="BA253" i="60819"/>
  <c r="R81" i="60818" s="1"/>
  <c r="AZ253" i="60819"/>
  <c r="Q81" i="60818" s="1"/>
  <c r="AY253" i="60819"/>
  <c r="AX253"/>
  <c r="O81" i="60818" s="1"/>
  <c r="AW253" i="60819"/>
  <c r="AV253"/>
  <c r="M81" i="60818" s="1"/>
  <c r="AU253" i="60819"/>
  <c r="L81" i="60818" s="1"/>
  <c r="AT253" i="60819"/>
  <c r="K81" i="60818" s="1"/>
  <c r="AS253" i="60819"/>
  <c r="J81" i="60818" s="1"/>
  <c r="AR253" i="60819"/>
  <c r="I81" i="60818" s="1"/>
  <c r="AQ253" i="60819"/>
  <c r="H81" i="60818" s="1"/>
  <c r="AP253" i="60819"/>
  <c r="G81" i="60818" s="1"/>
  <c r="AO253" i="60819"/>
  <c r="F81" i="60818" s="1"/>
  <c r="AN253" i="60819"/>
  <c r="AM253"/>
  <c r="D81" i="60818" s="1"/>
  <c r="AL253" i="60819"/>
  <c r="C81" i="60818" s="1"/>
  <c r="BP252" i="60819"/>
  <c r="AG80" i="60818" s="1"/>
  <c r="BO252" i="60819"/>
  <c r="AF80" i="60818" s="1"/>
  <c r="BN252" i="60819"/>
  <c r="AE80" i="60818" s="1"/>
  <c r="BM252" i="60819"/>
  <c r="AD80" i="60818" s="1"/>
  <c r="BL252" i="60819"/>
  <c r="AC80" i="60818" s="1"/>
  <c r="BK252" i="60819"/>
  <c r="AB80" i="60818" s="1"/>
  <c r="BJ252" i="60819"/>
  <c r="AA80" i="60818" s="1"/>
  <c r="BI252" i="60819"/>
  <c r="Z80" i="60818" s="1"/>
  <c r="BH252" i="60819"/>
  <c r="Y80" i="60818" s="1"/>
  <c r="BG252" i="60819"/>
  <c r="X80" i="60818" s="1"/>
  <c r="BF252" i="60819"/>
  <c r="W80" i="60818" s="1"/>
  <c r="BE252" i="60819"/>
  <c r="V80" i="60818" s="1"/>
  <c r="BD252" i="60819"/>
  <c r="U80" i="60818" s="1"/>
  <c r="BC252" i="60819"/>
  <c r="BB252"/>
  <c r="S80" i="60818" s="1"/>
  <c r="BA252" i="60819"/>
  <c r="R80" i="60818" s="1"/>
  <c r="AZ252" i="60819"/>
  <c r="Q80" i="60818" s="1"/>
  <c r="AY252" i="60819"/>
  <c r="P80" i="60818" s="1"/>
  <c r="AX252" i="60819"/>
  <c r="O80" i="60818" s="1"/>
  <c r="AW252" i="60819"/>
  <c r="N80" i="60818" s="1"/>
  <c r="AV252" i="60819"/>
  <c r="M80" i="60818" s="1"/>
  <c r="AU252" i="60819"/>
  <c r="L80" i="60818" s="1"/>
  <c r="AT252" i="60819"/>
  <c r="K80" i="60818" s="1"/>
  <c r="AS252" i="60819"/>
  <c r="J80" i="60818" s="1"/>
  <c r="AR252" i="60819"/>
  <c r="I80" i="60818" s="1"/>
  <c r="AQ252" i="60819"/>
  <c r="H80" i="60818" s="1"/>
  <c r="AP252" i="60819"/>
  <c r="G80" i="60818" s="1"/>
  <c r="AO252" i="60819"/>
  <c r="F80" i="60818" s="1"/>
  <c r="AN252" i="60819"/>
  <c r="AM252"/>
  <c r="AL252"/>
  <c r="C80" i="60818" s="1"/>
  <c r="BP251" i="60819"/>
  <c r="AG79" i="60818" s="1"/>
  <c r="BO251" i="60819"/>
  <c r="AF79" i="60818" s="1"/>
  <c r="BN251" i="60819"/>
  <c r="AE79" i="60818" s="1"/>
  <c r="BM251" i="60819"/>
  <c r="AD79" i="60818" s="1"/>
  <c r="BL251" i="60819"/>
  <c r="AC79" i="60818" s="1"/>
  <c r="BK251" i="60819"/>
  <c r="AB79" i="60818" s="1"/>
  <c r="BJ251" i="60819"/>
  <c r="AA79" i="60818" s="1"/>
  <c r="BI251" i="60819"/>
  <c r="Z79" i="60818" s="1"/>
  <c r="BH251" i="60819"/>
  <c r="Y79" i="60818" s="1"/>
  <c r="BG251" i="60819"/>
  <c r="X79" i="60818" s="1"/>
  <c r="BF251" i="60819"/>
  <c r="W79" i="60818" s="1"/>
  <c r="BE251" i="60819"/>
  <c r="V79" i="60818" s="1"/>
  <c r="BD251" i="60819"/>
  <c r="U79" i="60818" s="1"/>
  <c r="BC251" i="60819"/>
  <c r="T79" i="60818" s="1"/>
  <c r="BB251" i="60819"/>
  <c r="BA251"/>
  <c r="R79" i="60818" s="1"/>
  <c r="AZ251" i="60819"/>
  <c r="Q79" i="60818" s="1"/>
  <c r="AY251" i="60819"/>
  <c r="P79" i="60818" s="1"/>
  <c r="AX251" i="60819"/>
  <c r="O79" i="60818" s="1"/>
  <c r="AW251" i="60819"/>
  <c r="AV251"/>
  <c r="M79" i="60818" s="1"/>
  <c r="AU251" i="60819"/>
  <c r="L79" i="60818" s="1"/>
  <c r="AT251" i="60819"/>
  <c r="K79" i="60818" s="1"/>
  <c r="AS251" i="60819"/>
  <c r="J79" i="60818" s="1"/>
  <c r="AR251" i="60819"/>
  <c r="I79" i="60818" s="1"/>
  <c r="AQ251" i="60819"/>
  <c r="H79" i="60818" s="1"/>
  <c r="AP251" i="60819"/>
  <c r="G79" i="60818" s="1"/>
  <c r="AO251" i="60819"/>
  <c r="F79" i="60818" s="1"/>
  <c r="AN251" i="60819"/>
  <c r="E79" i="60818" s="1"/>
  <c r="AM251" i="60819"/>
  <c r="D79" i="60818" s="1"/>
  <c r="AL251" i="60819"/>
  <c r="BP250"/>
  <c r="AG78" i="60818" s="1"/>
  <c r="BO250" i="60819"/>
  <c r="AF78" i="60818" s="1"/>
  <c r="BN250" i="60819"/>
  <c r="AE78" i="60818" s="1"/>
  <c r="BM250" i="60819"/>
  <c r="AD78" i="60818" s="1"/>
  <c r="BL250" i="60819"/>
  <c r="AC78" i="60818" s="1"/>
  <c r="BK250" i="60819"/>
  <c r="AB78" i="60818" s="1"/>
  <c r="BJ250" i="60819"/>
  <c r="AA78" i="60818" s="1"/>
  <c r="BI250" i="60819"/>
  <c r="Z78" i="60818" s="1"/>
  <c r="BH250" i="60819"/>
  <c r="Y78" i="60818" s="1"/>
  <c r="BG250" i="60819"/>
  <c r="X78" i="60818" s="1"/>
  <c r="BF250" i="60819"/>
  <c r="W78" i="60818" s="1"/>
  <c r="BE250" i="60819"/>
  <c r="V78" i="60818" s="1"/>
  <c r="BD250" i="60819"/>
  <c r="U78" i="60818" s="1"/>
  <c r="BC250" i="60819"/>
  <c r="T78" i="60818" s="1"/>
  <c r="BB250" i="60819"/>
  <c r="S78" i="60818" s="1"/>
  <c r="BA250" i="60819"/>
  <c r="AZ250"/>
  <c r="Q78" i="60818" s="1"/>
  <c r="AY250" i="60819"/>
  <c r="P78" i="60818" s="1"/>
  <c r="AX250" i="60819"/>
  <c r="O78" i="60818" s="1"/>
  <c r="AW250" i="60819"/>
  <c r="N78" i="60818" s="1"/>
  <c r="AV250" i="60819"/>
  <c r="M78" i="60818" s="1"/>
  <c r="AU250" i="60819"/>
  <c r="L78" i="60818" s="1"/>
  <c r="AT250" i="60819"/>
  <c r="K78" i="60818" s="1"/>
  <c r="AS250" i="60819"/>
  <c r="J78" i="60818" s="1"/>
  <c r="AR250" i="60819"/>
  <c r="I78" i="60818" s="1"/>
  <c r="AQ250" i="60819"/>
  <c r="H78" i="60818" s="1"/>
  <c r="AP250" i="60819"/>
  <c r="AO250"/>
  <c r="F78" i="60818" s="1"/>
  <c r="AN250" i="60819"/>
  <c r="E78" i="60818" s="1"/>
  <c r="AM250" i="60819"/>
  <c r="D78" i="60818" s="1"/>
  <c r="AL250" i="60819"/>
  <c r="C78" i="60818" s="1"/>
  <c r="BP249" i="60819"/>
  <c r="BO249"/>
  <c r="AF77" i="60818" s="1"/>
  <c r="BN249" i="60819"/>
  <c r="AE77" i="60818" s="1"/>
  <c r="BM249" i="60819"/>
  <c r="AD77" i="60818" s="1"/>
  <c r="BL249" i="60819"/>
  <c r="AC77" i="60818" s="1"/>
  <c r="BK249" i="60819"/>
  <c r="AB77" i="60818" s="1"/>
  <c r="BJ249" i="60819"/>
  <c r="AA77" i="60818" s="1"/>
  <c r="BI249" i="60819"/>
  <c r="Z77" i="60818" s="1"/>
  <c r="BH249" i="60819"/>
  <c r="Y77" i="60818" s="1"/>
  <c r="BG249" i="60819"/>
  <c r="X77" i="60818" s="1"/>
  <c r="BF249" i="60819"/>
  <c r="W77" i="60818" s="1"/>
  <c r="BE249" i="60819"/>
  <c r="V77" i="60818" s="1"/>
  <c r="BD249" i="60819"/>
  <c r="U77" i="60818" s="1"/>
  <c r="BC249" i="60819"/>
  <c r="T77" i="60818" s="1"/>
  <c r="BB249" i="60819"/>
  <c r="S77" i="60818" s="1"/>
  <c r="BA249" i="60819"/>
  <c r="R77" i="60818" s="1"/>
  <c r="AZ249" i="60819"/>
  <c r="AY249"/>
  <c r="P77" i="60818" s="1"/>
  <c r="AX249" i="60819"/>
  <c r="O77" i="60818" s="1"/>
  <c r="AW249" i="60819"/>
  <c r="AV249"/>
  <c r="M77" i="60818" s="1"/>
  <c r="AU249" i="60819"/>
  <c r="AT249"/>
  <c r="K77" i="60818" s="1"/>
  <c r="AS249" i="60819"/>
  <c r="J77" i="60818" s="1"/>
  <c r="AR249" i="60819"/>
  <c r="I77" i="60818" s="1"/>
  <c r="AQ249" i="60819"/>
  <c r="H77" i="60818" s="1"/>
  <c r="AP249" i="60819"/>
  <c r="G77" i="60818" s="1"/>
  <c r="AO249" i="60819"/>
  <c r="F77" i="60818" s="1"/>
  <c r="AN249" i="60819"/>
  <c r="E77" i="60818" s="1"/>
  <c r="AM249" i="60819"/>
  <c r="D77" i="60818" s="1"/>
  <c r="AL249" i="60819"/>
  <c r="C77" i="60818" s="1"/>
  <c r="BP248" i="60819"/>
  <c r="AG76" i="60818" s="1"/>
  <c r="BO248" i="60819"/>
  <c r="BN248"/>
  <c r="AE76" i="60818" s="1"/>
  <c r="BM248" i="60819"/>
  <c r="AD76" i="60818" s="1"/>
  <c r="BL248" i="60819"/>
  <c r="AC76" i="60818" s="1"/>
  <c r="BK248" i="60819"/>
  <c r="AB76" i="60818" s="1"/>
  <c r="BJ248" i="60819"/>
  <c r="AA76" i="60818" s="1"/>
  <c r="BI248" i="60819"/>
  <c r="Z76" i="60818" s="1"/>
  <c r="BH248" i="60819"/>
  <c r="Y76" i="60818" s="1"/>
  <c r="BG248" i="60819"/>
  <c r="X76" i="60818" s="1"/>
  <c r="BF248" i="60819"/>
  <c r="W76" i="60818" s="1"/>
  <c r="BE248" i="60819"/>
  <c r="V76" i="60818" s="1"/>
  <c r="BD248" i="60819"/>
  <c r="BC248"/>
  <c r="T76" i="60818" s="1"/>
  <c r="BB248" i="60819"/>
  <c r="S76" i="60818" s="1"/>
  <c r="BA248" i="60819"/>
  <c r="R76" i="60818" s="1"/>
  <c r="AZ248" i="60819"/>
  <c r="Q76" i="60818" s="1"/>
  <c r="AY248" i="60819"/>
  <c r="AX248"/>
  <c r="O76" i="60818" s="1"/>
  <c r="AW248" i="60819"/>
  <c r="N76" i="60818" s="1"/>
  <c r="AV248" i="60819"/>
  <c r="M76" i="60818" s="1"/>
  <c r="AU248" i="60819"/>
  <c r="L76" i="60818" s="1"/>
  <c r="AT248" i="60819"/>
  <c r="K76" i="60818" s="1"/>
  <c r="AS248" i="60819"/>
  <c r="J76" i="60818" s="1"/>
  <c r="AR248" i="60819"/>
  <c r="I76" i="60818" s="1"/>
  <c r="AQ248" i="60819"/>
  <c r="H76" i="60818" s="1"/>
  <c r="AP248" i="60819"/>
  <c r="G76" i="60818" s="1"/>
  <c r="AO248" i="60819"/>
  <c r="F76" i="60818" s="1"/>
  <c r="AN248" i="60819"/>
  <c r="E76" i="60818" s="1"/>
  <c r="AM248" i="60819"/>
  <c r="D76" i="60818" s="1"/>
  <c r="AL248" i="60819"/>
  <c r="C76" i="60818" s="1"/>
  <c r="BP247" i="60819"/>
  <c r="AG75" i="60818" s="1"/>
  <c r="BO247" i="60819"/>
  <c r="AF75" i="60818" s="1"/>
  <c r="BN247" i="60819"/>
  <c r="BM247"/>
  <c r="AD75" i="60818" s="1"/>
  <c r="BL247" i="60819"/>
  <c r="AC75" i="60818" s="1"/>
  <c r="BK247" i="60819"/>
  <c r="BJ247"/>
  <c r="AA75" i="60818" s="1"/>
  <c r="BI247" i="60819"/>
  <c r="Z75" i="60818" s="1"/>
  <c r="BH247" i="60819"/>
  <c r="Y75" i="60818" s="1"/>
  <c r="BG247" i="60819"/>
  <c r="X75" i="60818" s="1"/>
  <c r="BF247" i="60819"/>
  <c r="W75" i="60818" s="1"/>
  <c r="BE247" i="60819"/>
  <c r="V75" i="60818" s="1"/>
  <c r="BD247" i="60819"/>
  <c r="U75" i="60818" s="1"/>
  <c r="BC247" i="60819"/>
  <c r="T75" i="60818" s="1"/>
  <c r="BB247" i="60819"/>
  <c r="S75" i="60818" s="1"/>
  <c r="BA247" i="60819"/>
  <c r="R75" i="60818" s="1"/>
  <c r="AZ247" i="60819"/>
  <c r="Q75" i="60818" s="1"/>
  <c r="AY247" i="60819"/>
  <c r="P75" i="60818" s="1"/>
  <c r="AX247" i="60819"/>
  <c r="AW247"/>
  <c r="N75" i="60818" s="1"/>
  <c r="AV247" i="60819"/>
  <c r="M75" i="60818" s="1"/>
  <c r="AU247" i="60819"/>
  <c r="L75" i="60818" s="1"/>
  <c r="AT247" i="60819"/>
  <c r="K75" i="60818" s="1"/>
  <c r="AS247" i="60819"/>
  <c r="AR247"/>
  <c r="I75" i="60818" s="1"/>
  <c r="AQ247" i="60819"/>
  <c r="H75" i="60818" s="1"/>
  <c r="AP247" i="60819"/>
  <c r="G75" i="60818" s="1"/>
  <c r="AO247" i="60819"/>
  <c r="F75" i="60818" s="1"/>
  <c r="AN247" i="60819"/>
  <c r="E75" i="60818" s="1"/>
  <c r="AM247" i="60819"/>
  <c r="D75" i="60818" s="1"/>
  <c r="AL247" i="60819"/>
  <c r="C75" i="60818" s="1"/>
  <c r="BP246" i="60819"/>
  <c r="AG74" i="60818" s="1"/>
  <c r="BO246" i="60819"/>
  <c r="AF74" i="60818" s="1"/>
  <c r="BN246" i="60819"/>
  <c r="AE74" i="60818" s="1"/>
  <c r="BM246" i="60819"/>
  <c r="BL246"/>
  <c r="AC74" i="60818" s="1"/>
  <c r="BK246" i="60819"/>
  <c r="AB74" i="60818" s="1"/>
  <c r="BJ246" i="60819"/>
  <c r="AA74" i="60818" s="1"/>
  <c r="BI246" i="60819"/>
  <c r="Z74" i="60818" s="1"/>
  <c r="BH246" i="60819"/>
  <c r="Y74" i="60818" s="1"/>
  <c r="BG246" i="60819"/>
  <c r="X74" i="60818" s="1"/>
  <c r="BF246" i="60819"/>
  <c r="BE246"/>
  <c r="V74" i="60818" s="1"/>
  <c r="BD246" i="60819"/>
  <c r="U74" i="60818" s="1"/>
  <c r="BC246" i="60819"/>
  <c r="T74" i="60818" s="1"/>
  <c r="BB246" i="60819"/>
  <c r="S74" i="60818" s="1"/>
  <c r="BA246" i="60819"/>
  <c r="R74" i="60818" s="1"/>
  <c r="AZ246" i="60819"/>
  <c r="Q74" i="60818" s="1"/>
  <c r="AY246" i="60819"/>
  <c r="P74" i="60818" s="1"/>
  <c r="AX246" i="60819"/>
  <c r="O74" i="60818" s="1"/>
  <c r="AW246" i="60819"/>
  <c r="AV246"/>
  <c r="M74" i="60818" s="1"/>
  <c r="AU246" i="60819"/>
  <c r="L74" i="60818" s="1"/>
  <c r="AT246" i="60819"/>
  <c r="K74" i="60818" s="1"/>
  <c r="AS246" i="60819"/>
  <c r="J74" i="60818" s="1"/>
  <c r="AR246" i="60819"/>
  <c r="I74" i="60818" s="1"/>
  <c r="AQ246" i="60819"/>
  <c r="H74" i="60818" s="1"/>
  <c r="AP246" i="60819"/>
  <c r="G74" i="60818" s="1"/>
  <c r="AO246" i="60819"/>
  <c r="F74" i="60818" s="1"/>
  <c r="AN246" i="60819"/>
  <c r="E74" i="60818" s="1"/>
  <c r="AM246" i="60819"/>
  <c r="D74" i="60818" s="1"/>
  <c r="AL246" i="60819"/>
  <c r="C74" i="60818" s="1"/>
  <c r="BP245" i="60819"/>
  <c r="AG73" i="60818" s="1"/>
  <c r="BO245" i="60819"/>
  <c r="AF73" i="60818" s="1"/>
  <c r="BN245" i="60819"/>
  <c r="BM245"/>
  <c r="AD73" i="60818" s="1"/>
  <c r="BL245" i="60819"/>
  <c r="BK245"/>
  <c r="AB73" i="60818" s="1"/>
  <c r="BJ245" i="60819"/>
  <c r="BI245"/>
  <c r="Z73" i="60818" s="1"/>
  <c r="BH245" i="60819"/>
  <c r="Y73" i="60818" s="1"/>
  <c r="BG245" i="60819"/>
  <c r="X73" i="60818" s="1"/>
  <c r="BF245" i="60819"/>
  <c r="BE245"/>
  <c r="V73" i="60818" s="1"/>
  <c r="BD245" i="60819"/>
  <c r="U73" i="60818" s="1"/>
  <c r="BC245" i="60819"/>
  <c r="T73" i="60818" s="1"/>
  <c r="BB245" i="60819"/>
  <c r="BA245"/>
  <c r="R73" i="60818" s="1"/>
  <c r="AZ245" i="60819"/>
  <c r="Q73" i="60818" s="1"/>
  <c r="AY245" i="60819"/>
  <c r="P73" i="60818" s="1"/>
  <c r="AX245" i="60819"/>
  <c r="AW245"/>
  <c r="AV245"/>
  <c r="AU245"/>
  <c r="L73" i="60818" s="1"/>
  <c r="AT245" i="60819"/>
  <c r="AS245"/>
  <c r="J73" i="60818" s="1"/>
  <c r="AR245" i="60819"/>
  <c r="I73" i="60818" s="1"/>
  <c r="AQ245" i="60819"/>
  <c r="AP245"/>
  <c r="AO245"/>
  <c r="AN245"/>
  <c r="E73" i="60818" s="1"/>
  <c r="AM245" i="60819"/>
  <c r="D73" i="60818" s="1"/>
  <c r="AL245" i="60819"/>
  <c r="C73" i="60818" s="1"/>
  <c r="EH240" i="60819"/>
  <c r="AG183" i="60818" s="1"/>
  <c r="EG240" i="60819"/>
  <c r="AF183" i="60818" s="1"/>
  <c r="EF240" i="60819"/>
  <c r="AE183" i="60818" s="1"/>
  <c r="EE240" i="60819"/>
  <c r="AD183" i="60818" s="1"/>
  <c r="ED240" i="60819"/>
  <c r="EC240"/>
  <c r="EB240"/>
  <c r="AA183" i="60818" s="1"/>
  <c r="EA240" i="60819"/>
  <c r="Z183" i="60818" s="1"/>
  <c r="DZ240" i="60819"/>
  <c r="Y183" i="60818" s="1"/>
  <c r="DY240" i="60819"/>
  <c r="X183" i="60818" s="1"/>
  <c r="DX240" i="60819"/>
  <c r="W183" i="60818" s="1"/>
  <c r="DW240" i="60819"/>
  <c r="V183" i="60818" s="1"/>
  <c r="DV240" i="60819"/>
  <c r="U183" i="60818" s="1"/>
  <c r="DU240" i="60819"/>
  <c r="T183" i="60818" s="1"/>
  <c r="DT240" i="60819"/>
  <c r="S183" i="60818" s="1"/>
  <c r="DS240" i="60819"/>
  <c r="R183" i="60818" s="1"/>
  <c r="DR240" i="60819"/>
  <c r="Q183" i="60818" s="1"/>
  <c r="DQ240" i="60819"/>
  <c r="P183" i="60818" s="1"/>
  <c r="DP240" i="60819"/>
  <c r="O183" i="60818" s="1"/>
  <c r="DO240" i="60819"/>
  <c r="N183" i="60818" s="1"/>
  <c r="DN240" i="60819"/>
  <c r="M183" i="60818" s="1"/>
  <c r="DM240" i="60819"/>
  <c r="DL240"/>
  <c r="K183" i="60818" s="1"/>
  <c r="DK240" i="60819"/>
  <c r="J183" i="60818" s="1"/>
  <c r="DJ240" i="60819"/>
  <c r="I183" i="60818" s="1"/>
  <c r="DI240" i="60819"/>
  <c r="H183" i="60818" s="1"/>
  <c r="DH240" i="60819"/>
  <c r="G183" i="60818" s="1"/>
  <c r="DG240" i="60819"/>
  <c r="F183" i="60818" s="1"/>
  <c r="DF240" i="60819"/>
  <c r="E183" i="60818" s="1"/>
  <c r="DE240" i="60819"/>
  <c r="D183" i="60818" s="1"/>
  <c r="DD240" i="60819"/>
  <c r="C183" i="60818" s="1"/>
  <c r="BP240" i="60819"/>
  <c r="AG68" i="60818" s="1"/>
  <c r="BO240" i="60819"/>
  <c r="AF68" i="60818" s="1"/>
  <c r="BN240" i="60819"/>
  <c r="AE68" i="60818" s="1"/>
  <c r="BM240" i="60819"/>
  <c r="AD68" i="60818" s="1"/>
  <c r="BL240" i="60819"/>
  <c r="AC68" i="60818" s="1"/>
  <c r="BK240" i="60819"/>
  <c r="AB68" i="60818" s="1"/>
  <c r="BJ240" i="60819"/>
  <c r="AA68" i="60818" s="1"/>
  <c r="BI240" i="60819"/>
  <c r="Z68" i="60818" s="1"/>
  <c r="BH240" i="60819"/>
  <c r="Y68" i="60818" s="1"/>
  <c r="BG240" i="60819"/>
  <c r="X68" i="60818" s="1"/>
  <c r="BF240" i="60819"/>
  <c r="BE240"/>
  <c r="V68" i="60818" s="1"/>
  <c r="BD240" i="60819"/>
  <c r="U68" i="60818" s="1"/>
  <c r="BC240" i="60819"/>
  <c r="T68" i="60818" s="1"/>
  <c r="BB240" i="60819"/>
  <c r="S68" i="60818" s="1"/>
  <c r="BA240" i="60819"/>
  <c r="R68" i="60818" s="1"/>
  <c r="AZ240" i="60819"/>
  <c r="Q68" i="60818" s="1"/>
  <c r="AY240" i="60819"/>
  <c r="AX240"/>
  <c r="O68" i="60818" s="1"/>
  <c r="AW240" i="60819"/>
  <c r="AV240"/>
  <c r="M68" i="60818" s="1"/>
  <c r="AU240" i="60819"/>
  <c r="L68" i="60818" s="1"/>
  <c r="AT240" i="60819"/>
  <c r="K68" i="60818" s="1"/>
  <c r="AS240" i="60819"/>
  <c r="J68" i="60818" s="1"/>
  <c r="AR240" i="60819"/>
  <c r="I68" i="60818" s="1"/>
  <c r="AQ240" i="60819"/>
  <c r="H68" i="60818" s="1"/>
  <c r="AP240" i="60819"/>
  <c r="AO240"/>
  <c r="F68" i="60818" s="1"/>
  <c r="AN240" i="60819"/>
  <c r="E68" i="60818" s="1"/>
  <c r="AM240" i="60819"/>
  <c r="D68" i="60818" s="1"/>
  <c r="AL240" i="60819"/>
  <c r="C68" i="60818" s="1"/>
  <c r="EH239" i="60819"/>
  <c r="AG182" i="60818" s="1"/>
  <c r="EG239" i="60819"/>
  <c r="AF182" i="60818" s="1"/>
  <c r="EF239" i="60819"/>
  <c r="AE182" i="60818" s="1"/>
  <c r="EE239" i="60819"/>
  <c r="AD182" i="60818" s="1"/>
  <c r="ED239" i="60819"/>
  <c r="AC182" i="60818" s="1"/>
  <c r="EC239" i="60819"/>
  <c r="AB182" i="60818" s="1"/>
  <c r="EB239" i="60819"/>
  <c r="EA239"/>
  <c r="Z182" i="60818" s="1"/>
  <c r="DZ239" i="60819"/>
  <c r="Y182" i="60818" s="1"/>
  <c r="DY239" i="60819"/>
  <c r="X182" i="60818" s="1"/>
  <c r="DX239" i="60819"/>
  <c r="W182" i="60818" s="1"/>
  <c r="DW239" i="60819"/>
  <c r="DV239"/>
  <c r="U182" i="60818" s="1"/>
  <c r="DU239" i="60819"/>
  <c r="T182" i="60818" s="1"/>
  <c r="DT239" i="60819"/>
  <c r="S182" i="60818" s="1"/>
  <c r="DS239" i="60819"/>
  <c r="R182" i="60818" s="1"/>
  <c r="DR239" i="60819"/>
  <c r="Q182" i="60818" s="1"/>
  <c r="DQ239" i="60819"/>
  <c r="P182" i="60818" s="1"/>
  <c r="DP239" i="60819"/>
  <c r="O182" i="60818" s="1"/>
  <c r="DO239" i="60819"/>
  <c r="N182" i="60818" s="1"/>
  <c r="DN239" i="60819"/>
  <c r="M182" i="60818" s="1"/>
  <c r="DM239" i="60819"/>
  <c r="L182" i="60818" s="1"/>
  <c r="DL239" i="60819"/>
  <c r="K182" i="60818" s="1"/>
  <c r="DK239" i="60819"/>
  <c r="J182" i="60818" s="1"/>
  <c r="DJ239" i="60819"/>
  <c r="DI239"/>
  <c r="H182" i="60818" s="1"/>
  <c r="DH239" i="60819"/>
  <c r="G182" i="60818" s="1"/>
  <c r="DG239" i="60819"/>
  <c r="DF239"/>
  <c r="E182" i="60818" s="1"/>
  <c r="DE239" i="60819"/>
  <c r="D182" i="60818" s="1"/>
  <c r="DD239" i="60819"/>
  <c r="C182" i="60818" s="1"/>
  <c r="BP239" i="60819"/>
  <c r="BO239"/>
  <c r="AF67" i="60818" s="1"/>
  <c r="BN239" i="60819"/>
  <c r="AE67" i="60818" s="1"/>
  <c r="BM239" i="60819"/>
  <c r="AD67" i="60818" s="1"/>
  <c r="BL239" i="60819"/>
  <c r="AC67" i="60818" s="1"/>
  <c r="BK239" i="60819"/>
  <c r="AB67" i="60818" s="1"/>
  <c r="BJ239" i="60819"/>
  <c r="AA67" i="60818" s="1"/>
  <c r="BI239" i="60819"/>
  <c r="BH239"/>
  <c r="Y67" i="60818" s="1"/>
  <c r="BG239" i="60819"/>
  <c r="X67" i="60818" s="1"/>
  <c r="BF239" i="60819"/>
  <c r="W67" i="60818" s="1"/>
  <c r="BE239" i="60819"/>
  <c r="V67" i="60818" s="1"/>
  <c r="BD239" i="60819"/>
  <c r="U67" i="60818" s="1"/>
  <c r="BC239" i="60819"/>
  <c r="T67" i="60818" s="1"/>
  <c r="BB239" i="60819"/>
  <c r="S67" i="60818" s="1"/>
  <c r="BA239" i="60819"/>
  <c r="R67" i="60818" s="1"/>
  <c r="AZ239" i="60819"/>
  <c r="AY239"/>
  <c r="P67" i="60818" s="1"/>
  <c r="AX239" i="60819"/>
  <c r="O67" i="60818" s="1"/>
  <c r="AW239" i="60819"/>
  <c r="N67" i="60818" s="1"/>
  <c r="AV239" i="60819"/>
  <c r="M67" i="60818" s="1"/>
  <c r="AU239" i="60819"/>
  <c r="L67" i="60818" s="1"/>
  <c r="AT239" i="60819"/>
  <c r="K67" i="60818" s="1"/>
  <c r="AS239" i="60819"/>
  <c r="J67" i="60818" s="1"/>
  <c r="AR239" i="60819"/>
  <c r="I67" i="60818" s="1"/>
  <c r="AQ239" i="60819"/>
  <c r="H67" i="60818" s="1"/>
  <c r="AP239" i="60819"/>
  <c r="G67" i="60818" s="1"/>
  <c r="AO239" i="60819"/>
  <c r="F67" i="60818" s="1"/>
  <c r="AN239" i="60819"/>
  <c r="E67" i="60818" s="1"/>
  <c r="AM239" i="60819"/>
  <c r="D67" i="60818" s="1"/>
  <c r="AL239" i="60819"/>
  <c r="C67" i="60818" s="1"/>
  <c r="EH238" i="60819"/>
  <c r="AG181" i="60818" s="1"/>
  <c r="EG238" i="60819"/>
  <c r="EF238"/>
  <c r="AE181" i="60818" s="1"/>
  <c r="EE238" i="60819"/>
  <c r="AD181" i="60818" s="1"/>
  <c r="ED238" i="60819"/>
  <c r="AC181" i="60818" s="1"/>
  <c r="EC238" i="60819"/>
  <c r="AB181" i="60818" s="1"/>
  <c r="EB238" i="60819"/>
  <c r="AA181" i="60818" s="1"/>
  <c r="EA238" i="60819"/>
  <c r="Z181" i="60818" s="1"/>
  <c r="DZ238" i="60819"/>
  <c r="Y181" i="60818" s="1"/>
  <c r="DY238" i="60819"/>
  <c r="X181" i="60818" s="1"/>
  <c r="DX238" i="60819"/>
  <c r="W181" i="60818" s="1"/>
  <c r="DW238" i="60819"/>
  <c r="V181" i="60818" s="1"/>
  <c r="DV238" i="60819"/>
  <c r="U181" i="60818" s="1"/>
  <c r="DU238" i="60819"/>
  <c r="T181" i="60818" s="1"/>
  <c r="DT238" i="60819"/>
  <c r="S181" i="60818" s="1"/>
  <c r="DS238" i="60819"/>
  <c r="R181" i="60818" s="1"/>
  <c r="DR238" i="60819"/>
  <c r="Q181" i="60818" s="1"/>
  <c r="DQ238" i="60819"/>
  <c r="DP238"/>
  <c r="O181" i="60818" s="1"/>
  <c r="DO238" i="60819"/>
  <c r="N181" i="60818" s="1"/>
  <c r="DN238" i="60819"/>
  <c r="M181" i="60818" s="1"/>
  <c r="DM238" i="60819"/>
  <c r="L181" i="60818" s="1"/>
  <c r="DL238" i="60819"/>
  <c r="K181" i="60818" s="1"/>
  <c r="DK238" i="60819"/>
  <c r="J181" i="60818" s="1"/>
  <c r="DJ238" i="60819"/>
  <c r="I181" i="60818" s="1"/>
  <c r="DI238" i="60819"/>
  <c r="H181" i="60818" s="1"/>
  <c r="DH238" i="60819"/>
  <c r="G181" i="60818" s="1"/>
  <c r="DG238" i="60819"/>
  <c r="F181" i="60818" s="1"/>
  <c r="DF238" i="60819"/>
  <c r="E181" i="60818" s="1"/>
  <c r="DE238" i="60819"/>
  <c r="D181" i="60818" s="1"/>
  <c r="DD238" i="60819"/>
  <c r="C181" i="60818" s="1"/>
  <c r="BP238" i="60819"/>
  <c r="AG66" i="60818" s="1"/>
  <c r="BO238" i="60819"/>
  <c r="AF66" i="60818" s="1"/>
  <c r="BN238" i="60819"/>
  <c r="BM238"/>
  <c r="AD66" i="60818" s="1"/>
  <c r="BL238" i="60819"/>
  <c r="AC66" i="60818" s="1"/>
  <c r="BK238" i="60819"/>
  <c r="AB66" i="60818" s="1"/>
  <c r="BJ238" i="60819"/>
  <c r="AA66" i="60818" s="1"/>
  <c r="BI238" i="60819"/>
  <c r="Z66" i="60818" s="1"/>
  <c r="BH238" i="60819"/>
  <c r="Y66" i="60818" s="1"/>
  <c r="BG238" i="60819"/>
  <c r="X66" i="60818" s="1"/>
  <c r="BF238" i="60819"/>
  <c r="W66" i="60818" s="1"/>
  <c r="BE238" i="60819"/>
  <c r="V66" i="60818" s="1"/>
  <c r="BD238" i="60819"/>
  <c r="U66" i="60818" s="1"/>
  <c r="BC238" i="60819"/>
  <c r="T66" i="60818" s="1"/>
  <c r="BB238" i="60819"/>
  <c r="S66" i="60818" s="1"/>
  <c r="BA238" i="60819"/>
  <c r="R66" i="60818" s="1"/>
  <c r="AZ238" i="60819"/>
  <c r="Q66" i="60818" s="1"/>
  <c r="AY238" i="60819"/>
  <c r="AX238"/>
  <c r="AW238"/>
  <c r="N66" i="60818" s="1"/>
  <c r="AV238" i="60819"/>
  <c r="M66" i="60818" s="1"/>
  <c r="AU238" i="60819"/>
  <c r="L66" i="60818" s="1"/>
  <c r="AT238" i="60819"/>
  <c r="K66" i="60818" s="1"/>
  <c r="AS238" i="60819"/>
  <c r="J66" i="60818" s="1"/>
  <c r="AR238" i="60819"/>
  <c r="I66" i="60818" s="1"/>
  <c r="AQ238" i="60819"/>
  <c r="H66" i="60818" s="1"/>
  <c r="AP238" i="60819"/>
  <c r="G66" i="60818" s="1"/>
  <c r="AO238" i="60819"/>
  <c r="F66" i="60818" s="1"/>
  <c r="AN238" i="60819"/>
  <c r="E66" i="60818" s="1"/>
  <c r="AM238" i="60819"/>
  <c r="D66" i="60818" s="1"/>
  <c r="AL238" i="60819"/>
  <c r="C66" i="60818" s="1"/>
  <c r="EH237" i="60819"/>
  <c r="AG180" i="60818" s="1"/>
  <c r="EG237" i="60819"/>
  <c r="AF180" i="60818" s="1"/>
  <c r="EF237" i="60819"/>
  <c r="AE180" i="60818" s="1"/>
  <c r="EE237" i="60819"/>
  <c r="AD180" i="60818" s="1"/>
  <c r="ED237" i="60819"/>
  <c r="AC180" i="60818" s="1"/>
  <c r="EC237" i="60819"/>
  <c r="AB180" i="60818" s="1"/>
  <c r="EB237" i="60819"/>
  <c r="AA180" i="60818" s="1"/>
  <c r="EA237" i="60819"/>
  <c r="DZ237"/>
  <c r="Y180" i="60818" s="1"/>
  <c r="DY237" i="60819"/>
  <c r="X180" i="60818" s="1"/>
  <c r="DX237" i="60819"/>
  <c r="W180" i="60818" s="1"/>
  <c r="DW237" i="60819"/>
  <c r="V180" i="60818" s="1"/>
  <c r="DV237" i="60819"/>
  <c r="U180" i="60818" s="1"/>
  <c r="DU237" i="60819"/>
  <c r="T180" i="60818" s="1"/>
  <c r="DT237" i="60819"/>
  <c r="S180" i="60818" s="1"/>
  <c r="DS237" i="60819"/>
  <c r="R180" i="60818" s="1"/>
  <c r="DR237" i="60819"/>
  <c r="DQ237"/>
  <c r="P180" i="60818" s="1"/>
  <c r="DP237" i="60819"/>
  <c r="DO237"/>
  <c r="N180" i="60818" s="1"/>
  <c r="DN237" i="60819"/>
  <c r="M180" i="60818" s="1"/>
  <c r="DM237" i="60819"/>
  <c r="L180" i="60818" s="1"/>
  <c r="DL237" i="60819"/>
  <c r="K180" i="60818" s="1"/>
  <c r="DK237" i="60819"/>
  <c r="DJ237"/>
  <c r="I180" i="60818" s="1"/>
  <c r="DI237" i="60819"/>
  <c r="H180" i="60818" s="1"/>
  <c r="DH237" i="60819"/>
  <c r="G180" i="60818" s="1"/>
  <c r="DG237" i="60819"/>
  <c r="F180" i="60818" s="1"/>
  <c r="DF237" i="60819"/>
  <c r="E180" i="60818" s="1"/>
  <c r="DE237" i="60819"/>
  <c r="D180" i="60818" s="1"/>
  <c r="DD237" i="60819"/>
  <c r="C180" i="60818" s="1"/>
  <c r="BP237" i="60819"/>
  <c r="AG65" i="60818" s="1"/>
  <c r="BO237" i="60819"/>
  <c r="AF65" i="60818" s="1"/>
  <c r="BN237" i="60819"/>
  <c r="AE65" i="60818" s="1"/>
  <c r="BM237" i="60819"/>
  <c r="AD65" i="60818" s="1"/>
  <c r="BL237" i="60819"/>
  <c r="AC65" i="60818" s="1"/>
  <c r="BK237" i="60819"/>
  <c r="AB65" i="60818" s="1"/>
  <c r="BJ237" i="60819"/>
  <c r="AA65" i="60818" s="1"/>
  <c r="BI237" i="60819"/>
  <c r="Z65" i="60818" s="1"/>
  <c r="BH237" i="60819"/>
  <c r="BG237"/>
  <c r="X65" i="60818" s="1"/>
  <c r="BF237" i="60819"/>
  <c r="W65" i="60818" s="1"/>
  <c r="BE237" i="60819"/>
  <c r="BD237"/>
  <c r="U65" i="60818" s="1"/>
  <c r="BC237" i="60819"/>
  <c r="BB237"/>
  <c r="S65" i="60818" s="1"/>
  <c r="BA237" i="60819"/>
  <c r="R65" i="60818" s="1"/>
  <c r="AZ237" i="60819"/>
  <c r="Q65" i="60818" s="1"/>
  <c r="AY237" i="60819"/>
  <c r="P65" i="60818" s="1"/>
  <c r="AX237" i="60819"/>
  <c r="O65" i="60818" s="1"/>
  <c r="AW237" i="60819"/>
  <c r="N65" i="60818" s="1"/>
  <c r="AV237" i="60819"/>
  <c r="M65" i="60818" s="1"/>
  <c r="AU237" i="60819"/>
  <c r="L65" i="60818" s="1"/>
  <c r="AT237" i="60819"/>
  <c r="K65" i="60818" s="1"/>
  <c r="AS237" i="60819"/>
  <c r="J65" i="60818" s="1"/>
  <c r="AR237" i="60819"/>
  <c r="AQ237"/>
  <c r="H65" i="60818" s="1"/>
  <c r="AP237" i="60819"/>
  <c r="G65" i="60818" s="1"/>
  <c r="AO237" i="60819"/>
  <c r="F65" i="60818" s="1"/>
  <c r="AN237" i="60819"/>
  <c r="E65" i="60818" s="1"/>
  <c r="AM237" i="60819"/>
  <c r="D65" i="60818" s="1"/>
  <c r="AL237" i="60819"/>
  <c r="C65" i="60818" s="1"/>
  <c r="EH236" i="60819"/>
  <c r="AG179" i="60818" s="1"/>
  <c r="EG236" i="60819"/>
  <c r="AF179" i="60818" s="1"/>
  <c r="EF236" i="60819"/>
  <c r="AE179" i="60818" s="1"/>
  <c r="EE236" i="60819"/>
  <c r="AD179" i="60818" s="1"/>
  <c r="ED236" i="60819"/>
  <c r="AC179" i="60818" s="1"/>
  <c r="EC236" i="60819"/>
  <c r="AB179" i="60818" s="1"/>
  <c r="EB236" i="60819"/>
  <c r="EA236"/>
  <c r="Z179" i="60818" s="1"/>
  <c r="DZ236" i="60819"/>
  <c r="Y179" i="60818" s="1"/>
  <c r="DY236" i="60819"/>
  <c r="X179" i="60818" s="1"/>
  <c r="DX236" i="60819"/>
  <c r="W179" i="60818" s="1"/>
  <c r="DW236" i="60819"/>
  <c r="V179" i="60818" s="1"/>
  <c r="DV236" i="60819"/>
  <c r="DU236"/>
  <c r="DT236"/>
  <c r="S179" i="60818" s="1"/>
  <c r="DS236" i="60819"/>
  <c r="R179" i="60818" s="1"/>
  <c r="DR236" i="60819"/>
  <c r="Q179" i="60818" s="1"/>
  <c r="DQ236" i="60819"/>
  <c r="P179" i="60818" s="1"/>
  <c r="DP236" i="60819"/>
  <c r="O179" i="60818" s="1"/>
  <c r="DO236" i="60819"/>
  <c r="N179" i="60818" s="1"/>
  <c r="DN236" i="60819"/>
  <c r="M179" i="60818" s="1"/>
  <c r="DM236" i="60819"/>
  <c r="L179" i="60818" s="1"/>
  <c r="DL236" i="60819"/>
  <c r="K179" i="60818" s="1"/>
  <c r="DK236" i="60819"/>
  <c r="J179" i="60818" s="1"/>
  <c r="DJ236" i="60819"/>
  <c r="I179" i="60818" s="1"/>
  <c r="DI236" i="60819"/>
  <c r="H179" i="60818" s="1"/>
  <c r="DH236" i="60819"/>
  <c r="G179" i="60818" s="1"/>
  <c r="DG236" i="60819"/>
  <c r="F179" i="60818" s="1"/>
  <c r="DF236" i="60819"/>
  <c r="E179" i="60818" s="1"/>
  <c r="DE236" i="60819"/>
  <c r="DD236"/>
  <c r="C179" i="60818" s="1"/>
  <c r="BP236" i="60819"/>
  <c r="AG64" i="60818" s="1"/>
  <c r="BO236" i="60819"/>
  <c r="AF64" i="60818" s="1"/>
  <c r="BN236" i="60819"/>
  <c r="AE64" i="60818" s="1"/>
  <c r="BM236" i="60819"/>
  <c r="AD64" i="60818" s="1"/>
  <c r="BL236" i="60819"/>
  <c r="AC64" i="60818" s="1"/>
  <c r="BK236" i="60819"/>
  <c r="BJ236"/>
  <c r="AA64" i="60818" s="1"/>
  <c r="BI236" i="60819"/>
  <c r="Z64" i="60818" s="1"/>
  <c r="BH236" i="60819"/>
  <c r="Y64" i="60818" s="1"/>
  <c r="BG236" i="60819"/>
  <c r="X64" i="60818" s="1"/>
  <c r="BF236" i="60819"/>
  <c r="BE236"/>
  <c r="V64" i="60818" s="1"/>
  <c r="BD236" i="60819"/>
  <c r="U64" i="60818" s="1"/>
  <c r="BC236" i="60819"/>
  <c r="T64" i="60818" s="1"/>
  <c r="BB236" i="60819"/>
  <c r="S64" i="60818" s="1"/>
  <c r="BA236" i="60819"/>
  <c r="R64" i="60818" s="1"/>
  <c r="AZ236" i="60819"/>
  <c r="Q64" i="60818" s="1"/>
  <c r="AY236" i="60819"/>
  <c r="P64" i="60818" s="1"/>
  <c r="AX236" i="60819"/>
  <c r="O64" i="60818" s="1"/>
  <c r="AW236" i="60819"/>
  <c r="N64" i="60818" s="1"/>
  <c r="AV236" i="60819"/>
  <c r="M64" i="60818" s="1"/>
  <c r="AU236" i="60819"/>
  <c r="L64" i="60818" s="1"/>
  <c r="AT236" i="60819"/>
  <c r="K64" i="60818" s="1"/>
  <c r="AS236" i="60819"/>
  <c r="J64" i="60818" s="1"/>
  <c r="AR236" i="60819"/>
  <c r="I64" i="60818" s="1"/>
  <c r="AQ236" i="60819"/>
  <c r="H64" i="60818" s="1"/>
  <c r="AP236" i="60819"/>
  <c r="AO236"/>
  <c r="F64" i="60818" s="1"/>
  <c r="AN236" i="60819"/>
  <c r="E64" i="60818" s="1"/>
  <c r="AM236" i="60819"/>
  <c r="AL236"/>
  <c r="C64" i="60818" s="1"/>
  <c r="EH235" i="60819"/>
  <c r="AG178" i="60818" s="1"/>
  <c r="EG235" i="60819"/>
  <c r="AF178" i="60818" s="1"/>
  <c r="EF235" i="60819"/>
  <c r="AE178" i="60818" s="1"/>
  <c r="EE235" i="60819"/>
  <c r="ED235"/>
  <c r="AC178" i="60818" s="1"/>
  <c r="EC235" i="60819"/>
  <c r="AB178" i="60818" s="1"/>
  <c r="EB235" i="60819"/>
  <c r="AA178" i="60818" s="1"/>
  <c r="EA235" i="60819"/>
  <c r="Z178" i="60818" s="1"/>
  <c r="DZ235" i="60819"/>
  <c r="DY235"/>
  <c r="X178" i="60818" s="1"/>
  <c r="DX235" i="60819"/>
  <c r="W178" i="60818" s="1"/>
  <c r="DW235" i="60819"/>
  <c r="V178" i="60818" s="1"/>
  <c r="DV235" i="60819"/>
  <c r="U178" i="60818" s="1"/>
  <c r="DU235" i="60819"/>
  <c r="T178" i="60818" s="1"/>
  <c r="DT235" i="60819"/>
  <c r="S178" i="60818" s="1"/>
  <c r="DS235" i="60819"/>
  <c r="R178" i="60818" s="1"/>
  <c r="DR235" i="60819"/>
  <c r="Q178" i="60818" s="1"/>
  <c r="DQ235" i="60819"/>
  <c r="P178" i="60818" s="1"/>
  <c r="DP235" i="60819"/>
  <c r="DO235"/>
  <c r="DN235"/>
  <c r="M178" i="60818" s="1"/>
  <c r="DM235" i="60819"/>
  <c r="L178" i="60818" s="1"/>
  <c r="DL235" i="60819"/>
  <c r="K178" i="60818" s="1"/>
  <c r="DK235" i="60819"/>
  <c r="J178" i="60818" s="1"/>
  <c r="DJ235" i="60819"/>
  <c r="I178" i="60818" s="1"/>
  <c r="DI235" i="60819"/>
  <c r="H178" i="60818" s="1"/>
  <c r="DH235" i="60819"/>
  <c r="G178" i="60818" s="1"/>
  <c r="DG235" i="60819"/>
  <c r="F178" i="60818" s="1"/>
  <c r="DF235" i="60819"/>
  <c r="E178" i="60818" s="1"/>
  <c r="DE235" i="60819"/>
  <c r="D178" i="60818" s="1"/>
  <c r="DD235" i="60819"/>
  <c r="C178" i="60818" s="1"/>
  <c r="BP235" i="60819"/>
  <c r="BO235"/>
  <c r="BN235"/>
  <c r="AE63" i="60818" s="1"/>
  <c r="BM235" i="60819"/>
  <c r="AD63" i="60818" s="1"/>
  <c r="BL235" i="60819"/>
  <c r="AC63" i="60818" s="1"/>
  <c r="BK235" i="60819"/>
  <c r="AB63" i="60818" s="1"/>
  <c r="BJ235" i="60819"/>
  <c r="AA63" i="60818" s="1"/>
  <c r="BI235" i="60819"/>
  <c r="BH235"/>
  <c r="Y63" i="60818" s="1"/>
  <c r="BG235" i="60819"/>
  <c r="X63" i="60818" s="1"/>
  <c r="BF235" i="60819"/>
  <c r="W63" i="60818" s="1"/>
  <c r="BE235" i="60819"/>
  <c r="V63" i="60818" s="1"/>
  <c r="BD235" i="60819"/>
  <c r="U63" i="60818" s="1"/>
  <c r="BC235" i="60819"/>
  <c r="T63" i="60818" s="1"/>
  <c r="BB235" i="60819"/>
  <c r="S63" i="60818" s="1"/>
  <c r="BA235" i="60819"/>
  <c r="R63" i="60818" s="1"/>
  <c r="AZ235" i="60819"/>
  <c r="AY235"/>
  <c r="P63" i="60818" s="1"/>
  <c r="AX235" i="60819"/>
  <c r="O63" i="60818" s="1"/>
  <c r="AW235" i="60819"/>
  <c r="N63" i="60818" s="1"/>
  <c r="AV235" i="60819"/>
  <c r="M63" i="60818" s="1"/>
  <c r="AU235" i="60819"/>
  <c r="L63" i="60818" s="1"/>
  <c r="AT235" i="60819"/>
  <c r="K63" i="60818" s="1"/>
  <c r="AS235" i="60819"/>
  <c r="J63" i="60818" s="1"/>
  <c r="AR235" i="60819"/>
  <c r="I63" i="60818" s="1"/>
  <c r="AQ235" i="60819"/>
  <c r="H63" i="60818" s="1"/>
  <c r="AP235" i="60819"/>
  <c r="G63" i="60818" s="1"/>
  <c r="AO235" i="60819"/>
  <c r="F63" i="60818" s="1"/>
  <c r="AN235" i="60819"/>
  <c r="E63" i="60818" s="1"/>
  <c r="AM235" i="60819"/>
  <c r="D63" i="60818" s="1"/>
  <c r="AL235" i="60819"/>
  <c r="C63" i="60818" s="1"/>
  <c r="EH234" i="60819"/>
  <c r="AG177" i="60818" s="1"/>
  <c r="EG234" i="60819"/>
  <c r="AF177" i="60818" s="1"/>
  <c r="EF234" i="60819"/>
  <c r="AE177" i="60818" s="1"/>
  <c r="EE234" i="60819"/>
  <c r="AD177" i="60818" s="1"/>
  <c r="ED234" i="60819"/>
  <c r="AC177" i="60818" s="1"/>
  <c r="EC234" i="60819"/>
  <c r="AB177" i="60818" s="1"/>
  <c r="EB234" i="60819"/>
  <c r="AA177" i="60818" s="1"/>
  <c r="EA234" i="60819"/>
  <c r="Z177" i="60818" s="1"/>
  <c r="DZ234" i="60819"/>
  <c r="Y177" i="60818" s="1"/>
  <c r="DY234" i="60819"/>
  <c r="DX234"/>
  <c r="W177" i="60818" s="1"/>
  <c r="DW234" i="60819"/>
  <c r="V177" i="60818" s="1"/>
  <c r="DV234" i="60819"/>
  <c r="U177" i="60818" s="1"/>
  <c r="DU234" i="60819"/>
  <c r="T177" i="60818" s="1"/>
  <c r="DT234" i="60819"/>
  <c r="S177" i="60818" s="1"/>
  <c r="DS234" i="60819"/>
  <c r="R177" i="60818" s="1"/>
  <c r="DR234" i="60819"/>
  <c r="DQ234"/>
  <c r="P177" i="60818" s="1"/>
  <c r="DP234" i="60819"/>
  <c r="O177" i="60818" s="1"/>
  <c r="DO234" i="60819"/>
  <c r="N177" i="60818" s="1"/>
  <c r="DN234" i="60819"/>
  <c r="M177" i="60818" s="1"/>
  <c r="DM234" i="60819"/>
  <c r="L177" i="60818" s="1"/>
  <c r="DL234" i="60819"/>
  <c r="K177" i="60818" s="1"/>
  <c r="DK234" i="60819"/>
  <c r="J177" i="60818" s="1"/>
  <c r="DJ234" i="60819"/>
  <c r="I177" i="60818" s="1"/>
  <c r="DI234" i="60819"/>
  <c r="DH234"/>
  <c r="G177" i="60818" s="1"/>
  <c r="DG234" i="60819"/>
  <c r="F177" i="60818" s="1"/>
  <c r="DF234" i="60819"/>
  <c r="E177" i="60818" s="1"/>
  <c r="DE234" i="60819"/>
  <c r="D177" i="60818" s="1"/>
  <c r="DD234" i="60819"/>
  <c r="C177" i="60818" s="1"/>
  <c r="BP234" i="60819"/>
  <c r="AG62" i="60818" s="1"/>
  <c r="BO234" i="60819"/>
  <c r="AF62" i="60818" s="1"/>
  <c r="BN234" i="60819"/>
  <c r="BM234"/>
  <c r="AD62" i="60818" s="1"/>
  <c r="BL234" i="60819"/>
  <c r="AC62" i="60818" s="1"/>
  <c r="BK234" i="60819"/>
  <c r="AB62" i="60818" s="1"/>
  <c r="BJ234" i="60819"/>
  <c r="AA62" i="60818" s="1"/>
  <c r="BI234" i="60819"/>
  <c r="Z62" i="60818" s="1"/>
  <c r="BH234" i="60819"/>
  <c r="Y62" i="60818" s="1"/>
  <c r="BG234" i="60819"/>
  <c r="X62" i="60818" s="1"/>
  <c r="BF234" i="60819"/>
  <c r="W62" i="60818" s="1"/>
  <c r="BE234" i="60819"/>
  <c r="V62" i="60818" s="1"/>
  <c r="BD234" i="60819"/>
  <c r="U62" i="60818" s="1"/>
  <c r="BC234" i="60819"/>
  <c r="T62" i="60818" s="1"/>
  <c r="BB234" i="60819"/>
  <c r="S62" i="60818" s="1"/>
  <c r="BA234" i="60819"/>
  <c r="AZ234"/>
  <c r="Q62" i="60818" s="1"/>
  <c r="AY234" i="60819"/>
  <c r="P62" i="60818" s="1"/>
  <c r="AX234" i="60819"/>
  <c r="AW234"/>
  <c r="N62" i="60818" s="1"/>
  <c r="AV234" i="60819"/>
  <c r="M62" i="60818" s="1"/>
  <c r="AU234" i="60819"/>
  <c r="L62" i="60818" s="1"/>
  <c r="AT234" i="60819"/>
  <c r="K62" i="60818" s="1"/>
  <c r="AS234" i="60819"/>
  <c r="J62" i="60818" s="1"/>
  <c r="AR234" i="60819"/>
  <c r="I62" i="60818" s="1"/>
  <c r="AQ234" i="60819"/>
  <c r="H62" i="60818" s="1"/>
  <c r="AP234" i="60819"/>
  <c r="G62" i="60818" s="1"/>
  <c r="AO234" i="60819"/>
  <c r="F62" i="60818" s="1"/>
  <c r="AN234" i="60819"/>
  <c r="E62" i="60818" s="1"/>
  <c r="AM234" i="60819"/>
  <c r="D62" i="60818" s="1"/>
  <c r="AL234" i="60819"/>
  <c r="C62" i="60818" s="1"/>
  <c r="EH233" i="60819"/>
  <c r="AG176" i="60818" s="1"/>
  <c r="EG233" i="60819"/>
  <c r="AF176" i="60818" s="1"/>
  <c r="EF233" i="60819"/>
  <c r="AE176" i="60818" s="1"/>
  <c r="EE233" i="60819"/>
  <c r="AD176" i="60818" s="1"/>
  <c r="ED233" i="60819"/>
  <c r="AC176" i="60818" s="1"/>
  <c r="EC233" i="60819"/>
  <c r="AB176" i="60818" s="1"/>
  <c r="EB233" i="60819"/>
  <c r="AA176" i="60818" s="1"/>
  <c r="EA233" i="60819"/>
  <c r="Z176" i="60818" s="1"/>
  <c r="DZ233" i="60819"/>
  <c r="Y176" i="60818" s="1"/>
  <c r="DY233" i="60819"/>
  <c r="X176" i="60818" s="1"/>
  <c r="DX233" i="60819"/>
  <c r="W176" i="60818" s="1"/>
  <c r="DW233" i="60819"/>
  <c r="V176" i="60818" s="1"/>
  <c r="DV233" i="60819"/>
  <c r="U176" i="60818" s="1"/>
  <c r="DU233" i="60819"/>
  <c r="T176" i="60818" s="1"/>
  <c r="DT233" i="60819"/>
  <c r="S176" i="60818" s="1"/>
  <c r="DS233" i="60819"/>
  <c r="DR233"/>
  <c r="Q176" i="60818" s="1"/>
  <c r="DQ233" i="60819"/>
  <c r="P176" i="60818" s="1"/>
  <c r="DP233" i="60819"/>
  <c r="O176" i="60818" s="1"/>
  <c r="DO233" i="60819"/>
  <c r="N176" i="60818" s="1"/>
  <c r="DN233" i="60819"/>
  <c r="M176" i="60818" s="1"/>
  <c r="DM233" i="60819"/>
  <c r="L176" i="60818" s="1"/>
  <c r="DL233" i="60819"/>
  <c r="K176" i="60818" s="1"/>
  <c r="DK233" i="60819"/>
  <c r="J176" i="60818" s="1"/>
  <c r="DJ233" i="60819"/>
  <c r="I176" i="60818" s="1"/>
  <c r="DI233" i="60819"/>
  <c r="H176" i="60818" s="1"/>
  <c r="DH233" i="60819"/>
  <c r="G176" i="60818" s="1"/>
  <c r="DG233" i="60819"/>
  <c r="F176" i="60818" s="1"/>
  <c r="DF233" i="60819"/>
  <c r="E176" i="60818" s="1"/>
  <c r="DE233" i="60819"/>
  <c r="D176" i="60818" s="1"/>
  <c r="DD233" i="60819"/>
  <c r="C176" i="60818" s="1"/>
  <c r="BP233" i="60819"/>
  <c r="AG61" i="60818" s="1"/>
  <c r="BO233" i="60819"/>
  <c r="AF61" i="60818" s="1"/>
  <c r="BN233" i="60819"/>
  <c r="AE61" i="60818" s="1"/>
  <c r="BM233" i="60819"/>
  <c r="AD61" i="60818" s="1"/>
  <c r="BL233" i="60819"/>
  <c r="AC61" i="60818" s="1"/>
  <c r="BK233" i="60819"/>
  <c r="AB61" i="60818" s="1"/>
  <c r="BJ233" i="60819"/>
  <c r="AA61" i="60818" s="1"/>
  <c r="BI233" i="60819"/>
  <c r="Z61" i="60818" s="1"/>
  <c r="BH233" i="60819"/>
  <c r="BG233"/>
  <c r="X61" i="60818" s="1"/>
  <c r="BF233" i="60819"/>
  <c r="W61" i="60818" s="1"/>
  <c r="BE233" i="60819"/>
  <c r="V61" i="60818" s="1"/>
  <c r="BD233" i="60819"/>
  <c r="U61" i="60818" s="1"/>
  <c r="BC233" i="60819"/>
  <c r="T61" i="60818" s="1"/>
  <c r="BB233" i="60819"/>
  <c r="S61" i="60818" s="1"/>
  <c r="BA233" i="60819"/>
  <c r="R61" i="60818" s="1"/>
  <c r="AZ233" i="60819"/>
  <c r="Q61" i="60818" s="1"/>
  <c r="AY233" i="60819"/>
  <c r="P61" i="60818" s="1"/>
  <c r="AX233" i="60819"/>
  <c r="O61" i="60818" s="1"/>
  <c r="AW233" i="60819"/>
  <c r="N61" i="60818" s="1"/>
  <c r="AV233" i="60819"/>
  <c r="M61" i="60818" s="1"/>
  <c r="AU233" i="60819"/>
  <c r="L61" i="60818" s="1"/>
  <c r="AT233" i="60819"/>
  <c r="K61" i="60818" s="1"/>
  <c r="AS233" i="60819"/>
  <c r="AR233"/>
  <c r="AQ233"/>
  <c r="H61" i="60818" s="1"/>
  <c r="AP233" i="60819"/>
  <c r="G61" i="60818" s="1"/>
  <c r="AO233" i="60819"/>
  <c r="F61" i="60818" s="1"/>
  <c r="AN233" i="60819"/>
  <c r="E61" i="60818" s="1"/>
  <c r="AM233" i="60819"/>
  <c r="D61" i="60818" s="1"/>
  <c r="AL233" i="60819"/>
  <c r="C61" i="60818" s="1"/>
  <c r="EH232" i="60819"/>
  <c r="EG232"/>
  <c r="AF175" i="60818" s="1"/>
  <c r="EF232" i="60819"/>
  <c r="AE175" i="60818" s="1"/>
  <c r="EE232" i="60819"/>
  <c r="AD175" i="60818" s="1"/>
  <c r="ED232" i="60819"/>
  <c r="AC175" i="60818" s="1"/>
  <c r="EC232" i="60819"/>
  <c r="EB232"/>
  <c r="AA175" i="60818" s="1"/>
  <c r="EA232" i="60819"/>
  <c r="Z175" i="60818" s="1"/>
  <c r="DZ232" i="60819"/>
  <c r="Y175" i="60818" s="1"/>
  <c r="DY232" i="60819"/>
  <c r="X175" i="60818" s="1"/>
  <c r="DX232" i="60819"/>
  <c r="W175" i="60818" s="1"/>
  <c r="DW232" i="60819"/>
  <c r="V175" i="60818" s="1"/>
  <c r="DV232" i="60819"/>
  <c r="U175" i="60818" s="1"/>
  <c r="DU232" i="60819"/>
  <c r="T175" i="60818" s="1"/>
  <c r="DT232" i="60819"/>
  <c r="S175" i="60818" s="1"/>
  <c r="DS232" i="60819"/>
  <c r="R175" i="60818" s="1"/>
  <c r="DR232" i="60819"/>
  <c r="Q175" i="60818" s="1"/>
  <c r="DQ232" i="60819"/>
  <c r="P175" i="60818" s="1"/>
  <c r="DP232" i="60819"/>
  <c r="O175" i="60818" s="1"/>
  <c r="DO232" i="60819"/>
  <c r="N175" i="60818" s="1"/>
  <c r="DN232" i="60819"/>
  <c r="M175" i="60818" s="1"/>
  <c r="DM232" i="60819"/>
  <c r="DL232"/>
  <c r="K175" i="60818" s="1"/>
  <c r="DK232" i="60819"/>
  <c r="J175" i="60818" s="1"/>
  <c r="DJ232" i="60819"/>
  <c r="I175" i="60818" s="1"/>
  <c r="DI232" i="60819"/>
  <c r="H175" i="60818" s="1"/>
  <c r="DH232" i="60819"/>
  <c r="G175" i="60818" s="1"/>
  <c r="DG232" i="60819"/>
  <c r="F175" i="60818" s="1"/>
  <c r="DF232" i="60819"/>
  <c r="E175" i="60818" s="1"/>
  <c r="DE232" i="60819"/>
  <c r="D175" i="60818" s="1"/>
  <c r="DD232" i="60819"/>
  <c r="C175" i="60818" s="1"/>
  <c r="BP232" i="60819"/>
  <c r="AG60" i="60818" s="1"/>
  <c r="BO232" i="60819"/>
  <c r="AF60" i="60818" s="1"/>
  <c r="BN232" i="60819"/>
  <c r="AE60" i="60818" s="1"/>
  <c r="BM232" i="60819"/>
  <c r="AD60" i="60818" s="1"/>
  <c r="BL232" i="60819"/>
  <c r="AC60" i="60818" s="1"/>
  <c r="BK232" i="60819"/>
  <c r="AB60" i="60818" s="1"/>
  <c r="BJ232" i="60819"/>
  <c r="AA60" i="60818" s="1"/>
  <c r="BI232" i="60819"/>
  <c r="Z60" i="60818" s="1"/>
  <c r="BH232" i="60819"/>
  <c r="Y60" i="60818" s="1"/>
  <c r="BG232" i="60819"/>
  <c r="X60" i="60818" s="1"/>
  <c r="BF232" i="60819"/>
  <c r="BE232"/>
  <c r="V60" i="60818" s="1"/>
  <c r="BD232" i="60819"/>
  <c r="U60" i="60818" s="1"/>
  <c r="BC232" i="60819"/>
  <c r="T60" i="60818" s="1"/>
  <c r="BB232" i="60819"/>
  <c r="S60" i="60818" s="1"/>
  <c r="BA232" i="60819"/>
  <c r="R60" i="60818" s="1"/>
  <c r="AZ232" i="60819"/>
  <c r="Q60" i="60818" s="1"/>
  <c r="AY232" i="60819"/>
  <c r="AX232"/>
  <c r="O60" i="60818" s="1"/>
  <c r="AW232" i="60819"/>
  <c r="AV232"/>
  <c r="M60" i="60818" s="1"/>
  <c r="AU232" i="60819"/>
  <c r="L60" i="60818" s="1"/>
  <c r="AT232" i="60819"/>
  <c r="K60" i="60818" s="1"/>
  <c r="AS232" i="60819"/>
  <c r="J60" i="60818" s="1"/>
  <c r="AR232" i="60819"/>
  <c r="I60" i="60818" s="1"/>
  <c r="AQ232" i="60819"/>
  <c r="H60" i="60818" s="1"/>
  <c r="AP232" i="60819"/>
  <c r="AO232"/>
  <c r="F60" i="60818" s="1"/>
  <c r="AN232" i="60819"/>
  <c r="E60" i="60818" s="1"/>
  <c r="AM232" i="60819"/>
  <c r="D60" i="60818" s="1"/>
  <c r="AL232" i="60819"/>
  <c r="C60" i="60818" s="1"/>
  <c r="EH231" i="60819"/>
  <c r="AG174" i="60818" s="1"/>
  <c r="EG231" i="60819"/>
  <c r="AF174" i="60818" s="1"/>
  <c r="EF231" i="60819"/>
  <c r="AE174" i="60818" s="1"/>
  <c r="EE231" i="60819"/>
  <c r="AD174" i="60818" s="1"/>
  <c r="ED231" i="60819"/>
  <c r="AC174" i="60818" s="1"/>
  <c r="EC231" i="60819"/>
  <c r="AB174" i="60818" s="1"/>
  <c r="EB231" i="60819"/>
  <c r="EA231"/>
  <c r="Z174" i="60818" s="1"/>
  <c r="DZ231" i="60819"/>
  <c r="Y174" i="60818" s="1"/>
  <c r="DY231" i="60819"/>
  <c r="X174" i="60818" s="1"/>
  <c r="DX231" i="60819"/>
  <c r="W174" i="60818" s="1"/>
  <c r="DW231" i="60819"/>
  <c r="DV231"/>
  <c r="U174" i="60818" s="1"/>
  <c r="DU231" i="60819"/>
  <c r="T174" i="60818" s="1"/>
  <c r="DT231" i="60819"/>
  <c r="S174" i="60818" s="1"/>
  <c r="DS231" i="60819"/>
  <c r="R174" i="60818" s="1"/>
  <c r="DR231" i="60819"/>
  <c r="Q174" i="60818" s="1"/>
  <c r="DQ231" i="60819"/>
  <c r="P174" i="60818" s="1"/>
  <c r="DP231" i="60819"/>
  <c r="O174" i="60818" s="1"/>
  <c r="DO231" i="60819"/>
  <c r="N174" i="60818" s="1"/>
  <c r="DN231" i="60819"/>
  <c r="M174" i="60818" s="1"/>
  <c r="DM231" i="60819"/>
  <c r="L174" i="60818" s="1"/>
  <c r="DL231" i="60819"/>
  <c r="K174" i="60818" s="1"/>
  <c r="DK231" i="60819"/>
  <c r="J174" i="60818" s="1"/>
  <c r="DJ231" i="60819"/>
  <c r="I174" i="60818" s="1"/>
  <c r="DI231" i="60819"/>
  <c r="H174" i="60818" s="1"/>
  <c r="DH231" i="60819"/>
  <c r="G174" i="60818" s="1"/>
  <c r="DG231" i="60819"/>
  <c r="DF231"/>
  <c r="E174" i="60818" s="1"/>
  <c r="DE231" i="60819"/>
  <c r="D174" i="60818" s="1"/>
  <c r="DD231" i="60819"/>
  <c r="C174" i="60818" s="1"/>
  <c r="BP231" i="60819"/>
  <c r="BO231"/>
  <c r="AF59" i="60818" s="1"/>
  <c r="BN231" i="60819"/>
  <c r="AE59" i="60818" s="1"/>
  <c r="BM231" i="60819"/>
  <c r="AD59" i="60818" s="1"/>
  <c r="BL231" i="60819"/>
  <c r="AC59" i="60818" s="1"/>
  <c r="BK231" i="60819"/>
  <c r="AB59" i="60818" s="1"/>
  <c r="BJ231" i="60819"/>
  <c r="AA59" i="60818" s="1"/>
  <c r="BI231" i="60819"/>
  <c r="BH231"/>
  <c r="Y59" i="60818" s="1"/>
  <c r="BG231" i="60819"/>
  <c r="X59" i="60818" s="1"/>
  <c r="BF231" i="60819"/>
  <c r="W59" i="60818" s="1"/>
  <c r="BE231" i="60819"/>
  <c r="V59" i="60818" s="1"/>
  <c r="BD231" i="60819"/>
  <c r="U59" i="60818" s="1"/>
  <c r="BC231" i="60819"/>
  <c r="T59" i="60818" s="1"/>
  <c r="BB231" i="60819"/>
  <c r="S59" i="60818" s="1"/>
  <c r="BA231" i="60819"/>
  <c r="R59" i="60818" s="1"/>
  <c r="AZ231" i="60819"/>
  <c r="AY231"/>
  <c r="P59" i="60818" s="1"/>
  <c r="AX231" i="60819"/>
  <c r="O59" i="60818" s="1"/>
  <c r="AW231" i="60819"/>
  <c r="N59" i="60818" s="1"/>
  <c r="AV231" i="60819"/>
  <c r="M59" i="60818" s="1"/>
  <c r="AU231" i="60819"/>
  <c r="L59" i="60818" s="1"/>
  <c r="AT231" i="60819"/>
  <c r="K59" i="60818" s="1"/>
  <c r="AS231" i="60819"/>
  <c r="J59" i="60818" s="1"/>
  <c r="AR231" i="60819"/>
  <c r="I59" i="60818" s="1"/>
  <c r="AQ231" i="60819"/>
  <c r="H59" i="60818" s="1"/>
  <c r="AP231" i="60819"/>
  <c r="G59" i="60818" s="1"/>
  <c r="AO231" i="60819"/>
  <c r="F59" i="60818" s="1"/>
  <c r="AN231" i="60819"/>
  <c r="E59" i="60818" s="1"/>
  <c r="AM231" i="60819"/>
  <c r="D59" i="60818" s="1"/>
  <c r="AL231" i="60819"/>
  <c r="C59" i="60818" s="1"/>
  <c r="EH230" i="60819"/>
  <c r="EG230"/>
  <c r="EF230"/>
  <c r="AE173" i="60818" s="1"/>
  <c r="EE230" i="60819"/>
  <c r="AD173" i="60818" s="1"/>
  <c r="ED230" i="60819"/>
  <c r="AC173" i="60818" s="1"/>
  <c r="EC230" i="60819"/>
  <c r="AB173" i="60818" s="1"/>
  <c r="EB230" i="60819"/>
  <c r="EA230"/>
  <c r="Z173" i="60818" s="1"/>
  <c r="DZ230" i="60819"/>
  <c r="Y173" i="60818" s="1"/>
  <c r="DY230" i="60819"/>
  <c r="X173" i="60818" s="1"/>
  <c r="DX230" i="60819"/>
  <c r="W173" i="60818" s="1"/>
  <c r="DW230" i="60819"/>
  <c r="V173" i="60818" s="1"/>
  <c r="DV230" i="60819"/>
  <c r="U173" i="60818" s="1"/>
  <c r="DU230" i="60819"/>
  <c r="T173" i="60818" s="1"/>
  <c r="DT230" i="60819"/>
  <c r="S173" i="60818" s="1"/>
  <c r="DS230" i="60819"/>
  <c r="R173" i="60818" s="1"/>
  <c r="DR230" i="60819"/>
  <c r="Q173" i="60818" s="1"/>
  <c r="DQ230" i="60819"/>
  <c r="DP230"/>
  <c r="O173" i="60818" s="1"/>
  <c r="DO230" i="60819"/>
  <c r="N173" i="60818" s="1"/>
  <c r="DN230" i="60819"/>
  <c r="M173" i="60818" s="1"/>
  <c r="DM230" i="60819"/>
  <c r="L173" i="60818" s="1"/>
  <c r="DL230" i="60819"/>
  <c r="K173" i="60818" s="1"/>
  <c r="DK230" i="60819"/>
  <c r="J173" i="60818" s="1"/>
  <c r="DJ230" i="60819"/>
  <c r="I173" i="60818" s="1"/>
  <c r="DI230" i="60819"/>
  <c r="H173" i="60818" s="1"/>
  <c r="DH230" i="60819"/>
  <c r="G173" i="60818" s="1"/>
  <c r="DG230" i="60819"/>
  <c r="F173" i="60818" s="1"/>
  <c r="DF230" i="60819"/>
  <c r="DE230"/>
  <c r="D173" i="60818" s="1"/>
  <c r="DD230" i="60819"/>
  <c r="C173" i="60818" s="1"/>
  <c r="BP230" i="60819"/>
  <c r="AG58" i="60818" s="1"/>
  <c r="BO230" i="60819"/>
  <c r="AF58" i="60818" s="1"/>
  <c r="BN230" i="60819"/>
  <c r="BM230"/>
  <c r="AD58" i="60818" s="1"/>
  <c r="BL230" i="60819"/>
  <c r="AC58" i="60818" s="1"/>
  <c r="BK230" i="60819"/>
  <c r="AB58" i="60818" s="1"/>
  <c r="BJ230" i="60819"/>
  <c r="AA58" i="60818" s="1"/>
  <c r="BI230" i="60819"/>
  <c r="Z58" i="60818" s="1"/>
  <c r="BH230" i="60819"/>
  <c r="Y58" i="60818" s="1"/>
  <c r="BG230" i="60819"/>
  <c r="X58" i="60818" s="1"/>
  <c r="BF230" i="60819"/>
  <c r="W58" i="60818" s="1"/>
  <c r="BE230" i="60819"/>
  <c r="V58" i="60818" s="1"/>
  <c r="BD230" i="60819"/>
  <c r="U58" i="60818" s="1"/>
  <c r="BC230" i="60819"/>
  <c r="T58" i="60818" s="1"/>
  <c r="BB230" i="60819"/>
  <c r="S58" i="60818" s="1"/>
  <c r="BA230" i="60819"/>
  <c r="R58" i="60818" s="1"/>
  <c r="AZ230" i="60819"/>
  <c r="Q58" i="60818" s="1"/>
  <c r="AY230" i="60819"/>
  <c r="AX230"/>
  <c r="AW230"/>
  <c r="N58" i="60818" s="1"/>
  <c r="AV230" i="60819"/>
  <c r="M58" i="60818" s="1"/>
  <c r="AU230" i="60819"/>
  <c r="L58" i="60818" s="1"/>
  <c r="AT230" i="60819"/>
  <c r="K58" i="60818" s="1"/>
  <c r="AS230" i="60819"/>
  <c r="J58" i="60818" s="1"/>
  <c r="AR230" i="60819"/>
  <c r="I58" i="60818" s="1"/>
  <c r="AQ230" i="60819"/>
  <c r="H58" i="60818" s="1"/>
  <c r="AP230" i="60819"/>
  <c r="G58" i="60818" s="1"/>
  <c r="AO230" i="60819"/>
  <c r="F58" i="60818" s="1"/>
  <c r="AN230" i="60819"/>
  <c r="E58" i="60818" s="1"/>
  <c r="AM230" i="60819"/>
  <c r="D58" i="60818" s="1"/>
  <c r="AL230" i="60819"/>
  <c r="C58" i="60818" s="1"/>
  <c r="EH229" i="60819"/>
  <c r="AG172" i="60818" s="1"/>
  <c r="EG229" i="60819"/>
  <c r="AF172" i="60818" s="1"/>
  <c r="EF229" i="60819"/>
  <c r="AE172" i="60818" s="1"/>
  <c r="EE229" i="60819"/>
  <c r="AD172" i="60818" s="1"/>
  <c r="ED229" i="60819"/>
  <c r="AC172" i="60818" s="1"/>
  <c r="EC229" i="60819"/>
  <c r="AB172" i="60818" s="1"/>
  <c r="EB229" i="60819"/>
  <c r="AA172" i="60818" s="1"/>
  <c r="EA229" i="60819"/>
  <c r="DZ229"/>
  <c r="Y172" i="60818" s="1"/>
  <c r="DY229" i="60819"/>
  <c r="X172" i="60818" s="1"/>
  <c r="DX229" i="60819"/>
  <c r="W172" i="60818" s="1"/>
  <c r="DW229" i="60819"/>
  <c r="V172" i="60818" s="1"/>
  <c r="DV229" i="60819"/>
  <c r="U172" i="60818" s="1"/>
  <c r="DU229" i="60819"/>
  <c r="T172" i="60818" s="1"/>
  <c r="DT229" i="60819"/>
  <c r="S172" i="60818" s="1"/>
  <c r="DS229" i="60819"/>
  <c r="R172" i="60818" s="1"/>
  <c r="DR229" i="60819"/>
  <c r="Q172" i="60818" s="1"/>
  <c r="DQ229" i="60819"/>
  <c r="P172" i="60818" s="1"/>
  <c r="DP229" i="60819"/>
  <c r="O172" i="60818" s="1"/>
  <c r="DO229" i="60819"/>
  <c r="N172" i="60818" s="1"/>
  <c r="DN229" i="60819"/>
  <c r="M172" i="60818" s="1"/>
  <c r="DM229" i="60819"/>
  <c r="L172" i="60818" s="1"/>
  <c r="DL229" i="60819"/>
  <c r="K172" i="60818" s="1"/>
  <c r="DK229" i="60819"/>
  <c r="DJ229"/>
  <c r="I172" i="60818" s="1"/>
  <c r="DI229" i="60819"/>
  <c r="H172" i="60818" s="1"/>
  <c r="DH229" i="60819"/>
  <c r="DG229"/>
  <c r="F172" i="60818" s="1"/>
  <c r="DF229" i="60819"/>
  <c r="E172" i="60818" s="1"/>
  <c r="DE229" i="60819"/>
  <c r="D172" i="60818" s="1"/>
  <c r="DD229" i="60819"/>
  <c r="C172" i="60818" s="1"/>
  <c r="BP229" i="60819"/>
  <c r="AG57" i="60818" s="1"/>
  <c r="BO229" i="60819"/>
  <c r="BN229"/>
  <c r="BM229"/>
  <c r="AD57" i="60818" s="1"/>
  <c r="BL229" i="60819"/>
  <c r="AC57" i="60818" s="1"/>
  <c r="BK229" i="60819"/>
  <c r="BJ229"/>
  <c r="BI229"/>
  <c r="Z57" i="60818" s="1"/>
  <c r="BH229" i="60819"/>
  <c r="BG229"/>
  <c r="BF229"/>
  <c r="BE229"/>
  <c r="BD229"/>
  <c r="U57" i="60818" s="1"/>
  <c r="BC229" i="60819"/>
  <c r="BB229"/>
  <c r="BA229"/>
  <c r="R57" i="60818" s="1"/>
  <c r="AZ229" i="60819"/>
  <c r="Q57" i="60818" s="1"/>
  <c r="AY229" i="60819"/>
  <c r="AX229"/>
  <c r="AW229"/>
  <c r="N57" i="60818" s="1"/>
  <c r="AV229" i="60819"/>
  <c r="M57" i="60818" s="1"/>
  <c r="AU229" i="60819"/>
  <c r="AT229"/>
  <c r="AS229"/>
  <c r="J57" i="60818" s="1"/>
  <c r="AR229" i="60819"/>
  <c r="AQ229"/>
  <c r="AP229"/>
  <c r="AO229"/>
  <c r="F57" i="60818" s="1"/>
  <c r="AN229" i="60819"/>
  <c r="E57" i="60818" s="1"/>
  <c r="AM229" i="60819"/>
  <c r="AL229"/>
  <c r="C57" i="60818" s="1"/>
  <c r="EH224" i="60819"/>
  <c r="AG164" i="60818" s="1"/>
  <c r="EG224" i="60819"/>
  <c r="AF164" i="60818" s="1"/>
  <c r="EF224" i="60819"/>
  <c r="AE164" i="60818" s="1"/>
  <c r="EE224" i="60819"/>
  <c r="AD164" i="60818" s="1"/>
  <c r="ED224" i="60819"/>
  <c r="EC224"/>
  <c r="AB164" i="60818" s="1"/>
  <c r="EB224" i="60819"/>
  <c r="AA164" i="60818" s="1"/>
  <c r="EA224" i="60819"/>
  <c r="Z164" i="60818" s="1"/>
  <c r="DZ224" i="60819"/>
  <c r="Y164" i="60818" s="1"/>
  <c r="DY224" i="60819"/>
  <c r="DX224"/>
  <c r="W164" i="60818" s="1"/>
  <c r="DW224" i="60819"/>
  <c r="V164" i="60818" s="1"/>
  <c r="DV224" i="60819"/>
  <c r="U164" i="60818" s="1"/>
  <c r="DU224" i="60819"/>
  <c r="T164" i="60818" s="1"/>
  <c r="DT224" i="60819"/>
  <c r="S164" i="60818" s="1"/>
  <c r="DS224" i="60819"/>
  <c r="R164" i="60818" s="1"/>
  <c r="DR224" i="60819"/>
  <c r="Q164" i="60818" s="1"/>
  <c r="DQ224" i="60819"/>
  <c r="P164" i="60818" s="1"/>
  <c r="DP224" i="60819"/>
  <c r="O164" i="60818" s="1"/>
  <c r="DO224" i="60819"/>
  <c r="N164" i="60818" s="1"/>
  <c r="DN224" i="60819"/>
  <c r="M164" i="60818" s="1"/>
  <c r="DM224" i="60819"/>
  <c r="L164" i="60818" s="1"/>
  <c r="DL224" i="60819"/>
  <c r="K164" i="60818" s="1"/>
  <c r="DK224" i="60819"/>
  <c r="J164" i="60818" s="1"/>
  <c r="DJ224" i="60819"/>
  <c r="I164" i="60818" s="1"/>
  <c r="DI224" i="60819"/>
  <c r="DH224"/>
  <c r="G164" i="60818" s="1"/>
  <c r="DG224" i="60819"/>
  <c r="F164" i="60818" s="1"/>
  <c r="DF224" i="60819"/>
  <c r="E164" i="60818" s="1"/>
  <c r="DE224" i="60819"/>
  <c r="D164" i="60818" s="1"/>
  <c r="DD224" i="60819"/>
  <c r="C164" i="60818" s="1"/>
  <c r="BP224" i="60819"/>
  <c r="AG52" i="60818" s="1"/>
  <c r="BO224" i="60819"/>
  <c r="AF52" i="60818" s="1"/>
  <c r="BN224" i="60819"/>
  <c r="AE52" i="60818" s="1"/>
  <c r="BM224" i="60819"/>
  <c r="AD52" i="60818" s="1"/>
  <c r="BL224" i="60819"/>
  <c r="AC52" i="60818" s="1"/>
  <c r="BK224" i="60819"/>
  <c r="AB52" i="60818" s="1"/>
  <c r="BJ224" i="60819"/>
  <c r="AA52" i="60818" s="1"/>
  <c r="BI224" i="60819"/>
  <c r="Z52" i="60818" s="1"/>
  <c r="BH224" i="60819"/>
  <c r="Y52" i="60818" s="1"/>
  <c r="BG224" i="60819"/>
  <c r="X52" i="60818" s="1"/>
  <c r="BF224" i="60819"/>
  <c r="BE224"/>
  <c r="V52" i="60818" s="1"/>
  <c r="BD224" i="60819"/>
  <c r="U52" i="60818" s="1"/>
  <c r="BC224" i="60819"/>
  <c r="T52" i="60818" s="1"/>
  <c r="BB224" i="60819"/>
  <c r="S52" i="60818" s="1"/>
  <c r="BA224" i="60819"/>
  <c r="R52" i="60818" s="1"/>
  <c r="AZ224" i="60819"/>
  <c r="Q52" i="60818" s="1"/>
  <c r="AY224" i="60819"/>
  <c r="AX224"/>
  <c r="O52" i="60818" s="1"/>
  <c r="AW224" i="60819"/>
  <c r="N52" i="60818" s="1"/>
  <c r="AV224" i="60819"/>
  <c r="M52" i="60818" s="1"/>
  <c r="AU224" i="60819"/>
  <c r="L52" i="60818" s="1"/>
  <c r="AT224" i="60819"/>
  <c r="K52" i="60818" s="1"/>
  <c r="AS224" i="60819"/>
  <c r="J52" i="60818" s="1"/>
  <c r="AR224" i="60819"/>
  <c r="I52" i="60818" s="1"/>
  <c r="AQ224" i="60819"/>
  <c r="H52" i="60818" s="1"/>
  <c r="AP224" i="60819"/>
  <c r="AO224"/>
  <c r="F52" i="60818" s="1"/>
  <c r="AN224" i="60819"/>
  <c r="E52" i="60818" s="1"/>
  <c r="AM224" i="60819"/>
  <c r="D52" i="60818" s="1"/>
  <c r="AL224" i="60819"/>
  <c r="C52" i="60818" s="1"/>
  <c r="EH223" i="60819"/>
  <c r="AG163" i="60818" s="1"/>
  <c r="EG223" i="60819"/>
  <c r="AF163" i="60818" s="1"/>
  <c r="EF223" i="60819"/>
  <c r="EE223"/>
  <c r="AD163" i="60818" s="1"/>
  <c r="ED223" i="60819"/>
  <c r="AC163" i="60818" s="1"/>
  <c r="EC223" i="60819"/>
  <c r="AB163" i="60818" s="1"/>
  <c r="EB223" i="60819"/>
  <c r="AA163" i="60818" s="1"/>
  <c r="EA223" i="60819"/>
  <c r="Z163" i="60818" s="1"/>
  <c r="DZ223" i="60819"/>
  <c r="Y163" i="60818" s="1"/>
  <c r="DY223" i="60819"/>
  <c r="X163" i="60818" s="1"/>
  <c r="DX223" i="60819"/>
  <c r="W163" i="60818" s="1"/>
  <c r="DW223" i="60819"/>
  <c r="V163" i="60818" s="1"/>
  <c r="DV223" i="60819"/>
  <c r="U163" i="60818" s="1"/>
  <c r="DU223" i="60819"/>
  <c r="T163" i="60818" s="1"/>
  <c r="DT223" i="60819"/>
  <c r="S163" i="60818" s="1"/>
  <c r="DS223" i="60819"/>
  <c r="DR223"/>
  <c r="Q163" i="60818" s="1"/>
  <c r="DQ223" i="60819"/>
  <c r="P163" i="60818" s="1"/>
  <c r="DP223" i="60819"/>
  <c r="O163" i="60818" s="1"/>
  <c r="DO223" i="60819"/>
  <c r="N163" i="60818" s="1"/>
  <c r="DN223" i="60819"/>
  <c r="M163" i="60818" s="1"/>
  <c r="DM223" i="60819"/>
  <c r="L163" i="60818" s="1"/>
  <c r="DL223" i="60819"/>
  <c r="K163" i="60818" s="1"/>
  <c r="DK223" i="60819"/>
  <c r="J163" i="60818" s="1"/>
  <c r="DJ223" i="60819"/>
  <c r="I163" i="60818" s="1"/>
  <c r="DI223" i="60819"/>
  <c r="H163" i="60818" s="1"/>
  <c r="DH223" i="60819"/>
  <c r="G163" i="60818" s="1"/>
  <c r="DG223" i="60819"/>
  <c r="F163" i="60818" s="1"/>
  <c r="DF223" i="60819"/>
  <c r="E163" i="60818" s="1"/>
  <c r="DE223" i="60819"/>
  <c r="D163" i="60818" s="1"/>
  <c r="DD223" i="60819"/>
  <c r="C163" i="60818" s="1"/>
  <c r="BP223" i="60819"/>
  <c r="BO223"/>
  <c r="BN223"/>
  <c r="AE51" i="60818" s="1"/>
  <c r="BM223" i="60819"/>
  <c r="AD51" i="60818" s="1"/>
  <c r="BL223" i="60819"/>
  <c r="AC51" i="60818" s="1"/>
  <c r="BK223" i="60819"/>
  <c r="AB51" i="60818" s="1"/>
  <c r="BJ223" i="60819"/>
  <c r="AA51" i="60818" s="1"/>
  <c r="BI223" i="60819"/>
  <c r="BH223"/>
  <c r="Y51" i="60818" s="1"/>
  <c r="BG223" i="60819"/>
  <c r="X51" i="60818" s="1"/>
  <c r="BF223" i="60819"/>
  <c r="W51" i="60818" s="1"/>
  <c r="BE223" i="60819"/>
  <c r="V51" i="60818" s="1"/>
  <c r="BD223" i="60819"/>
  <c r="U51" i="60818" s="1"/>
  <c r="BC223" i="60819"/>
  <c r="T51" i="60818" s="1"/>
  <c r="BB223" i="60819"/>
  <c r="S51" i="60818" s="1"/>
  <c r="BA223" i="60819"/>
  <c r="R51" i="60818" s="1"/>
  <c r="AZ223" i="60819"/>
  <c r="AY223"/>
  <c r="P51" i="60818" s="1"/>
  <c r="AX223" i="60819"/>
  <c r="O51" i="60818" s="1"/>
  <c r="AW223" i="60819"/>
  <c r="N51" i="60818" s="1"/>
  <c r="AV223" i="60819"/>
  <c r="M51" i="60818" s="1"/>
  <c r="AU223" i="60819"/>
  <c r="L51" i="60818" s="1"/>
  <c r="AT223" i="60819"/>
  <c r="K51" i="60818" s="1"/>
  <c r="AS223" i="60819"/>
  <c r="J51" i="60818" s="1"/>
  <c r="AR223" i="60819"/>
  <c r="I51" i="60818" s="1"/>
  <c r="AQ223" i="60819"/>
  <c r="H51" i="60818" s="1"/>
  <c r="AP223" i="60819"/>
  <c r="G51" i="60818" s="1"/>
  <c r="AO223" i="60819"/>
  <c r="F51" i="60818" s="1"/>
  <c r="AN223" i="60819"/>
  <c r="E51" i="60818" s="1"/>
  <c r="AM223" i="60819"/>
  <c r="D51" i="60818" s="1"/>
  <c r="AL223" i="60819"/>
  <c r="C51" i="60818" s="1"/>
  <c r="EH222" i="60819"/>
  <c r="AG162" i="60818" s="1"/>
  <c r="EG222" i="60819"/>
  <c r="AF162" i="60818" s="1"/>
  <c r="EF222" i="60819"/>
  <c r="AE162" i="60818" s="1"/>
  <c r="EE222" i="60819"/>
  <c r="AD162" i="60818" s="1"/>
  <c r="ED222" i="60819"/>
  <c r="AC162" i="60818" s="1"/>
  <c r="EC222" i="60819"/>
  <c r="EB222"/>
  <c r="AA162" i="60818" s="1"/>
  <c r="EA222" i="60819"/>
  <c r="Z162" i="60818" s="1"/>
  <c r="DZ222" i="60819"/>
  <c r="Y162" i="60818" s="1"/>
  <c r="DY222" i="60819"/>
  <c r="X162" i="60818" s="1"/>
  <c r="DX222" i="60819"/>
  <c r="W162" i="60818" s="1"/>
  <c r="DW222" i="60819"/>
  <c r="V162" i="60818" s="1"/>
  <c r="DV222" i="60819"/>
  <c r="U162" i="60818" s="1"/>
  <c r="DU222" i="60819"/>
  <c r="T162" i="60818" s="1"/>
  <c r="DT222" i="60819"/>
  <c r="DS222"/>
  <c r="R162" i="60818" s="1"/>
  <c r="DR222" i="60819"/>
  <c r="Q162" i="60818" s="1"/>
  <c r="DQ222" i="60819"/>
  <c r="P162" i="60818" s="1"/>
  <c r="DP222" i="60819"/>
  <c r="O162" i="60818" s="1"/>
  <c r="DO222" i="60819"/>
  <c r="N162" i="60818" s="1"/>
  <c r="DN222" i="60819"/>
  <c r="M162" i="60818" s="1"/>
  <c r="DM222" i="60819"/>
  <c r="DL222"/>
  <c r="K162" i="60818" s="1"/>
  <c r="DK222" i="60819"/>
  <c r="J162" i="60818" s="1"/>
  <c r="DJ222" i="60819"/>
  <c r="I162" i="60818" s="1"/>
  <c r="DI222" i="60819"/>
  <c r="H162" i="60818" s="1"/>
  <c r="DH222" i="60819"/>
  <c r="G162" i="60818" s="1"/>
  <c r="DG222" i="60819"/>
  <c r="F162" i="60818" s="1"/>
  <c r="DF222" i="60819"/>
  <c r="E162" i="60818" s="1"/>
  <c r="DE222" i="60819"/>
  <c r="D162" i="60818" s="1"/>
  <c r="DD222" i="60819"/>
  <c r="C162" i="60818" s="1"/>
  <c r="BP222" i="60819"/>
  <c r="AG50" i="60818" s="1"/>
  <c r="BO222" i="60819"/>
  <c r="AF50" i="60818" s="1"/>
  <c r="BN222" i="60819"/>
  <c r="BM222"/>
  <c r="AD50" i="60818" s="1"/>
  <c r="BL222" i="60819"/>
  <c r="AC50" i="60818" s="1"/>
  <c r="BK222" i="60819"/>
  <c r="AB50" i="60818" s="1"/>
  <c r="BJ222" i="60819"/>
  <c r="AA50" i="60818" s="1"/>
  <c r="BI222" i="60819"/>
  <c r="Z50" i="60818" s="1"/>
  <c r="BH222" i="60819"/>
  <c r="Y50" i="60818" s="1"/>
  <c r="BG222" i="60819"/>
  <c r="X50" i="60818" s="1"/>
  <c r="BF222" i="60819"/>
  <c r="W50" i="60818" s="1"/>
  <c r="BE222" i="60819"/>
  <c r="V50" i="60818" s="1"/>
  <c r="BD222" i="60819"/>
  <c r="U50" i="60818" s="1"/>
  <c r="BC222" i="60819"/>
  <c r="T50" i="60818" s="1"/>
  <c r="BB222" i="60819"/>
  <c r="S50" i="60818" s="1"/>
  <c r="BA222" i="60819"/>
  <c r="AZ222"/>
  <c r="Q50" i="60818" s="1"/>
  <c r="AY222" i="60819"/>
  <c r="P50" i="60818" s="1"/>
  <c r="AX222" i="60819"/>
  <c r="AW222"/>
  <c r="N50" i="60818" s="1"/>
  <c r="AV222" i="60819"/>
  <c r="M50" i="60818" s="1"/>
  <c r="AU222" i="60819"/>
  <c r="L50" i="60818" s="1"/>
  <c r="AT222" i="60819"/>
  <c r="K50" i="60818" s="1"/>
  <c r="AS222" i="60819"/>
  <c r="J50" i="60818" s="1"/>
  <c r="AR222" i="60819"/>
  <c r="I50" i="60818" s="1"/>
  <c r="AQ222" i="60819"/>
  <c r="H50" i="60818" s="1"/>
  <c r="AP222" i="60819"/>
  <c r="G50" i="60818" s="1"/>
  <c r="AO222" i="60819"/>
  <c r="F50" i="60818" s="1"/>
  <c r="AN222" i="60819"/>
  <c r="E50" i="60818" s="1"/>
  <c r="AM222" i="60819"/>
  <c r="D50" i="60818" s="1"/>
  <c r="AL222" i="60819"/>
  <c r="C50" i="60818" s="1"/>
  <c r="EH221" i="60819"/>
  <c r="AG161" i="60818" s="1"/>
  <c r="EG221" i="60819"/>
  <c r="AF161" i="60818" s="1"/>
  <c r="EF221" i="60819"/>
  <c r="EE221"/>
  <c r="AD161" i="60818" s="1"/>
  <c r="ED221" i="60819"/>
  <c r="AC161" i="60818" s="1"/>
  <c r="EC221" i="60819"/>
  <c r="AB161" i="60818" s="1"/>
  <c r="EB221" i="60819"/>
  <c r="AA161" i="60818" s="1"/>
  <c r="EA221" i="60819"/>
  <c r="Z161" i="60818" s="1"/>
  <c r="DZ221" i="60819"/>
  <c r="Y161" i="60818" s="1"/>
  <c r="DY221" i="60819"/>
  <c r="X161" i="60818" s="1"/>
  <c r="DX221" i="60819"/>
  <c r="W161" i="60818" s="1"/>
  <c r="DW221" i="60819"/>
  <c r="DV221"/>
  <c r="U161" i="60818" s="1"/>
  <c r="DU221" i="60819"/>
  <c r="T161" i="60818" s="1"/>
  <c r="DT221" i="60819"/>
  <c r="S161" i="60818" s="1"/>
  <c r="DS221" i="60819"/>
  <c r="R161" i="60818" s="1"/>
  <c r="DR221" i="60819"/>
  <c r="Q161" i="60818" s="1"/>
  <c r="DQ221" i="60819"/>
  <c r="P161" i="60818" s="1"/>
  <c r="DP221" i="60819"/>
  <c r="O161" i="60818" s="1"/>
  <c r="DO221" i="60819"/>
  <c r="N161" i="60818" s="1"/>
  <c r="DN221" i="60819"/>
  <c r="M161" i="60818" s="1"/>
  <c r="DM221" i="60819"/>
  <c r="L161" i="60818" s="1"/>
  <c r="DL221" i="60819"/>
  <c r="K161" i="60818" s="1"/>
  <c r="DK221" i="60819"/>
  <c r="J161" i="60818" s="1"/>
  <c r="DJ221" i="60819"/>
  <c r="I161" i="60818" s="1"/>
  <c r="DI221" i="60819"/>
  <c r="H161" i="60818" s="1"/>
  <c r="DH221" i="60819"/>
  <c r="G161" i="60818" s="1"/>
  <c r="DG221" i="60819"/>
  <c r="DF221"/>
  <c r="E161" i="60818" s="1"/>
  <c r="DE221" i="60819"/>
  <c r="D161" i="60818" s="1"/>
  <c r="DD221" i="60819"/>
  <c r="C161" i="60818" s="1"/>
  <c r="BP221" i="60819"/>
  <c r="AG49" i="60818" s="1"/>
  <c r="BO221" i="60819"/>
  <c r="AF49" i="60818" s="1"/>
  <c r="BN221" i="60819"/>
  <c r="AE49" i="60818" s="1"/>
  <c r="BM221" i="60819"/>
  <c r="AD49" i="60818" s="1"/>
  <c r="BL221" i="60819"/>
  <c r="AC49" i="60818" s="1"/>
  <c r="BK221" i="60819"/>
  <c r="AB49" i="60818" s="1"/>
  <c r="BJ221" i="60819"/>
  <c r="AA49" i="60818" s="1"/>
  <c r="BI221" i="60819"/>
  <c r="Z49" i="60818" s="1"/>
  <c r="BH221" i="60819"/>
  <c r="BG221"/>
  <c r="X49" i="60818" s="1"/>
  <c r="BF221" i="60819"/>
  <c r="W49" i="60818" s="1"/>
  <c r="BE221" i="60819"/>
  <c r="V49" i="60818" s="1"/>
  <c r="BD221" i="60819"/>
  <c r="U49" i="60818" s="1"/>
  <c r="BC221" i="60819"/>
  <c r="T49" i="60818" s="1"/>
  <c r="BB221" i="60819"/>
  <c r="S49" i="60818" s="1"/>
  <c r="BA221" i="60819"/>
  <c r="R49" i="60818" s="1"/>
  <c r="AZ221" i="60819"/>
  <c r="Q49" i="60818" s="1"/>
  <c r="AY221" i="60819"/>
  <c r="P49" i="60818" s="1"/>
  <c r="AX221" i="60819"/>
  <c r="O49" i="60818" s="1"/>
  <c r="AW221" i="60819"/>
  <c r="N49" i="60818" s="1"/>
  <c r="AV221" i="60819"/>
  <c r="M49" i="60818" s="1"/>
  <c r="AU221" i="60819"/>
  <c r="L49" i="60818" s="1"/>
  <c r="AT221" i="60819"/>
  <c r="K49" i="60818" s="1"/>
  <c r="AS221" i="60819"/>
  <c r="AR221"/>
  <c r="AQ221"/>
  <c r="H49" i="60818" s="1"/>
  <c r="AP221" i="60819"/>
  <c r="G49" i="60818" s="1"/>
  <c r="AO221" i="60819"/>
  <c r="F49" i="60818" s="1"/>
  <c r="AN221" i="60819"/>
  <c r="E49" i="60818" s="1"/>
  <c r="AM221" i="60819"/>
  <c r="D49" i="60818" s="1"/>
  <c r="AL221" i="60819"/>
  <c r="C49" i="60818" s="1"/>
  <c r="EH220" i="60819"/>
  <c r="AG160" i="60818" s="1"/>
  <c r="EG220" i="60819"/>
  <c r="EF220"/>
  <c r="AE160" i="60818" s="1"/>
  <c r="EE220" i="60819"/>
  <c r="AD160" i="60818" s="1"/>
  <c r="ED220" i="60819"/>
  <c r="AC160" i="60818" s="1"/>
  <c r="EC220" i="60819"/>
  <c r="AB160" i="60818" s="1"/>
  <c r="EB220" i="60819"/>
  <c r="AA160" i="60818" s="1"/>
  <c r="EA220" i="60819"/>
  <c r="Z160" i="60818" s="1"/>
  <c r="DZ220" i="60819"/>
  <c r="Y160" i="60818" s="1"/>
  <c r="DY220" i="60819"/>
  <c r="DX220"/>
  <c r="W160" i="60818" s="1"/>
  <c r="DW220" i="60819"/>
  <c r="V160" i="60818" s="1"/>
  <c r="DV220" i="60819"/>
  <c r="U160" i="60818" s="1"/>
  <c r="DU220" i="60819"/>
  <c r="T160" i="60818" s="1"/>
  <c r="DT220" i="60819"/>
  <c r="S160" i="60818" s="1"/>
  <c r="DS220" i="60819"/>
  <c r="R160" i="60818" s="1"/>
  <c r="DR220" i="60819"/>
  <c r="Q160" i="60818" s="1"/>
  <c r="DQ220" i="60819"/>
  <c r="DP220"/>
  <c r="O160" i="60818" s="1"/>
  <c r="DO220" i="60819"/>
  <c r="N160" i="60818" s="1"/>
  <c r="DN220" i="60819"/>
  <c r="M160" i="60818" s="1"/>
  <c r="DM220" i="60819"/>
  <c r="L160" i="60818" s="1"/>
  <c r="DL220" i="60819"/>
  <c r="K160" i="60818" s="1"/>
  <c r="DK220" i="60819"/>
  <c r="J160" i="60818" s="1"/>
  <c r="DJ220" i="60819"/>
  <c r="I160" i="60818" s="1"/>
  <c r="DI220" i="60819"/>
  <c r="DH220"/>
  <c r="G160" i="60818" s="1"/>
  <c r="DG220" i="60819"/>
  <c r="F160" i="60818" s="1"/>
  <c r="DF220" i="60819"/>
  <c r="E160" i="60818" s="1"/>
  <c r="DE220" i="60819"/>
  <c r="D160" i="60818" s="1"/>
  <c r="DD220" i="60819"/>
  <c r="BP220"/>
  <c r="AG48" i="60818" s="1"/>
  <c r="BO220" i="60819"/>
  <c r="AF48" i="60818" s="1"/>
  <c r="BN220" i="60819"/>
  <c r="AE48" i="60818" s="1"/>
  <c r="BM220" i="60819"/>
  <c r="AD48" i="60818" s="1"/>
  <c r="BL220" i="60819"/>
  <c r="AC48" i="60818" s="1"/>
  <c r="BK220" i="60819"/>
  <c r="AB48" i="60818" s="1"/>
  <c r="BJ220" i="60819"/>
  <c r="AA48" i="60818" s="1"/>
  <c r="BI220" i="60819"/>
  <c r="Z48" i="60818" s="1"/>
  <c r="BH220" i="60819"/>
  <c r="Y48" i="60818" s="1"/>
  <c r="BG220" i="60819"/>
  <c r="X48" i="60818" s="1"/>
  <c r="BF220" i="60819"/>
  <c r="BE220"/>
  <c r="V48" i="60818" s="1"/>
  <c r="BD220" i="60819"/>
  <c r="U48" i="60818" s="1"/>
  <c r="BC220" i="60819"/>
  <c r="T48" i="60818" s="1"/>
  <c r="BB220" i="60819"/>
  <c r="S48" i="60818" s="1"/>
  <c r="BA220" i="60819"/>
  <c r="R48" i="60818" s="1"/>
  <c r="AZ220" i="60819"/>
  <c r="Q48" i="60818" s="1"/>
  <c r="AY220" i="60819"/>
  <c r="AX220"/>
  <c r="O48" i="60818" s="1"/>
  <c r="AW220" i="60819"/>
  <c r="AV220"/>
  <c r="M48" i="60818" s="1"/>
  <c r="AU220" i="60819"/>
  <c r="L48" i="60818" s="1"/>
  <c r="AT220" i="60819"/>
  <c r="K48" i="60818" s="1"/>
  <c r="AS220" i="60819"/>
  <c r="J48" i="60818" s="1"/>
  <c r="AR220" i="60819"/>
  <c r="I48" i="60818" s="1"/>
  <c r="AQ220" i="60819"/>
  <c r="H48" i="60818" s="1"/>
  <c r="AP220" i="60819"/>
  <c r="AO220"/>
  <c r="F48" i="60818" s="1"/>
  <c r="AN220" i="60819"/>
  <c r="E48" i="60818" s="1"/>
  <c r="AM220" i="60819"/>
  <c r="D48" i="60818" s="1"/>
  <c r="AL220" i="60819"/>
  <c r="C48" i="60818" s="1"/>
  <c r="EH219" i="60819"/>
  <c r="EG219"/>
  <c r="AF159" i="60818" s="1"/>
  <c r="EF219" i="60819"/>
  <c r="AE159" i="60818" s="1"/>
  <c r="EE219" i="60819"/>
  <c r="AD159" i="60818" s="1"/>
  <c r="ED219" i="60819"/>
  <c r="AC159" i="60818" s="1"/>
  <c r="EC219" i="60819"/>
  <c r="AB159" i="60818" s="1"/>
  <c r="EB219" i="60819"/>
  <c r="AA159" i="60818" s="1"/>
  <c r="EA219" i="60819"/>
  <c r="DZ219"/>
  <c r="Y159" i="60818" s="1"/>
  <c r="DY219" i="60819"/>
  <c r="X159" i="60818" s="1"/>
  <c r="DX219" i="60819"/>
  <c r="W159" i="60818" s="1"/>
  <c r="DW219" i="60819"/>
  <c r="V159" i="60818" s="1"/>
  <c r="DV219" i="60819"/>
  <c r="U159" i="60818" s="1"/>
  <c r="DU219" i="60819"/>
  <c r="T159" i="60818" s="1"/>
  <c r="DT219" i="60819"/>
  <c r="S159" i="60818" s="1"/>
  <c r="DS219" i="60819"/>
  <c r="R159" i="60818" s="1"/>
  <c r="DR219" i="60819"/>
  <c r="Q159" i="60818" s="1"/>
  <c r="DQ219" i="60819"/>
  <c r="P159" i="60818" s="1"/>
  <c r="DP219" i="60819"/>
  <c r="O159" i="60818" s="1"/>
  <c r="DO219" i="60819"/>
  <c r="N159" i="60818" s="1"/>
  <c r="DN219" i="60819"/>
  <c r="M159" i="60818" s="1"/>
  <c r="DM219" i="60819"/>
  <c r="L159" i="60818" s="1"/>
  <c r="DL219" i="60819"/>
  <c r="K159" i="60818" s="1"/>
  <c r="DK219" i="60819"/>
  <c r="DJ219"/>
  <c r="I159" i="60818" s="1"/>
  <c r="DI219" i="60819"/>
  <c r="H159" i="60818" s="1"/>
  <c r="DH219" i="60819"/>
  <c r="G159" i="60818" s="1"/>
  <c r="DG219" i="60819"/>
  <c r="F159" i="60818" s="1"/>
  <c r="DF219" i="60819"/>
  <c r="E159" i="60818" s="1"/>
  <c r="DE219" i="60819"/>
  <c r="D159" i="60818" s="1"/>
  <c r="DD219" i="60819"/>
  <c r="C159" i="60818" s="1"/>
  <c r="BP219" i="60819"/>
  <c r="BO219"/>
  <c r="AF47" i="60818" s="1"/>
  <c r="BN219" i="60819"/>
  <c r="AE47" i="60818" s="1"/>
  <c r="BM219" i="60819"/>
  <c r="AD47" i="60818" s="1"/>
  <c r="BL219" i="60819"/>
  <c r="AC47" i="60818" s="1"/>
  <c r="BK219" i="60819"/>
  <c r="AB47" i="60818" s="1"/>
  <c r="BJ219" i="60819"/>
  <c r="AA47" i="60818" s="1"/>
  <c r="BI219" i="60819"/>
  <c r="BH219"/>
  <c r="Y47" i="60818" s="1"/>
  <c r="BG219" i="60819"/>
  <c r="X47" i="60818" s="1"/>
  <c r="BF219" i="60819"/>
  <c r="W47" i="60818" s="1"/>
  <c r="BE219" i="60819"/>
  <c r="V47" i="60818" s="1"/>
  <c r="BD219" i="60819"/>
  <c r="U47" i="60818" s="1"/>
  <c r="BC219" i="60819"/>
  <c r="T47" i="60818" s="1"/>
  <c r="BB219" i="60819"/>
  <c r="S47" i="60818" s="1"/>
  <c r="BA219" i="60819"/>
  <c r="R47" i="60818" s="1"/>
  <c r="AZ219" i="60819"/>
  <c r="AY219"/>
  <c r="P47" i="60818" s="1"/>
  <c r="AX219" i="60819"/>
  <c r="O47" i="60818" s="1"/>
  <c r="AW219" i="60819"/>
  <c r="N47" i="60818" s="1"/>
  <c r="AV219" i="60819"/>
  <c r="M47" i="60818" s="1"/>
  <c r="AU219" i="60819"/>
  <c r="L47" i="60818" s="1"/>
  <c r="AT219" i="60819"/>
  <c r="K47" i="60818" s="1"/>
  <c r="AS219" i="60819"/>
  <c r="J47" i="60818" s="1"/>
  <c r="AR219" i="60819"/>
  <c r="I47" i="60818" s="1"/>
  <c r="AQ219" i="60819"/>
  <c r="H47" i="60818" s="1"/>
  <c r="AP219" i="60819"/>
  <c r="G47" i="60818" s="1"/>
  <c r="AO219" i="60819"/>
  <c r="F47" i="60818" s="1"/>
  <c r="AN219" i="60819"/>
  <c r="E47" i="60818" s="1"/>
  <c r="AM219" i="60819"/>
  <c r="D47" i="60818" s="1"/>
  <c r="AL219" i="60819"/>
  <c r="C47" i="60818" s="1"/>
  <c r="EH218" i="60819"/>
  <c r="AG158" i="60818" s="1"/>
  <c r="EG218" i="60819"/>
  <c r="AF158" i="60818" s="1"/>
  <c r="EF218" i="60819"/>
  <c r="AE158" i="60818" s="1"/>
  <c r="EE218" i="60819"/>
  <c r="AD158" i="60818" s="1"/>
  <c r="ED218" i="60819"/>
  <c r="AC158" i="60818" s="1"/>
  <c r="EC218" i="60819"/>
  <c r="AB158" i="60818" s="1"/>
  <c r="EB218" i="60819"/>
  <c r="AA158" i="60818" s="1"/>
  <c r="EA218" i="60819"/>
  <c r="Z158" i="60818" s="1"/>
  <c r="DZ218" i="60819"/>
  <c r="DY218"/>
  <c r="X158" i="60818" s="1"/>
  <c r="DX218" i="60819"/>
  <c r="W158" i="60818" s="1"/>
  <c r="DW218" i="60819"/>
  <c r="V158" i="60818" s="1"/>
  <c r="DV218" i="60819"/>
  <c r="U158" i="60818" s="1"/>
  <c r="DU218" i="60819"/>
  <c r="DT218"/>
  <c r="S158" i="60818" s="1"/>
  <c r="DS218" i="60819"/>
  <c r="R158" i="60818" s="1"/>
  <c r="DR218" i="60819"/>
  <c r="Q158" i="60818" s="1"/>
  <c r="DQ218" i="60819"/>
  <c r="P158" i="60818" s="1"/>
  <c r="DP218" i="60819"/>
  <c r="O158" i="60818" s="1"/>
  <c r="DO218" i="60819"/>
  <c r="N158" i="60818" s="1"/>
  <c r="DN218" i="60819"/>
  <c r="M158" i="60818" s="1"/>
  <c r="DM218" i="60819"/>
  <c r="L158" i="60818" s="1"/>
  <c r="DL218" i="60819"/>
  <c r="K158" i="60818" s="1"/>
  <c r="DK218" i="60819"/>
  <c r="J158" i="60818" s="1"/>
  <c r="DJ218" i="60819"/>
  <c r="I158" i="60818" s="1"/>
  <c r="DI218" i="60819"/>
  <c r="H158" i="60818" s="1"/>
  <c r="DH218" i="60819"/>
  <c r="G158" i="60818" s="1"/>
  <c r="DG218" i="60819"/>
  <c r="F158" i="60818" s="1"/>
  <c r="DF218" i="60819"/>
  <c r="E158" i="60818" s="1"/>
  <c r="DE218" i="60819"/>
  <c r="DD218"/>
  <c r="C158" i="60818" s="1"/>
  <c r="BP218" i="60819"/>
  <c r="AG46" i="60818" s="1"/>
  <c r="BO218" i="60819"/>
  <c r="AF46" i="60818" s="1"/>
  <c r="BN218" i="60819"/>
  <c r="BM218"/>
  <c r="AD46" i="60818" s="1"/>
  <c r="BL218" i="60819"/>
  <c r="AC46" i="60818" s="1"/>
  <c r="BK218" i="60819"/>
  <c r="AB46" i="60818" s="1"/>
  <c r="BJ218" i="60819"/>
  <c r="AA46" i="60818" s="1"/>
  <c r="BI218" i="60819"/>
  <c r="Z46" i="60818" s="1"/>
  <c r="BH218" i="60819"/>
  <c r="Y46" i="60818" s="1"/>
  <c r="BG218" i="60819"/>
  <c r="X46" i="60818" s="1"/>
  <c r="BF218" i="60819"/>
  <c r="W46" i="60818" s="1"/>
  <c r="BE218" i="60819"/>
  <c r="V46" i="60818" s="1"/>
  <c r="BD218" i="60819"/>
  <c r="U46" i="60818" s="1"/>
  <c r="BC218" i="60819"/>
  <c r="T46" i="60818" s="1"/>
  <c r="BB218" i="60819"/>
  <c r="S46" i="60818" s="1"/>
  <c r="BA218" i="60819"/>
  <c r="R46" i="60818" s="1"/>
  <c r="AZ218" i="60819"/>
  <c r="Q46" i="60818" s="1"/>
  <c r="AY218" i="60819"/>
  <c r="AX218"/>
  <c r="AW218"/>
  <c r="N46" i="60818" s="1"/>
  <c r="AV218" i="60819"/>
  <c r="M46" i="60818" s="1"/>
  <c r="AU218" i="60819"/>
  <c r="L46" i="60818" s="1"/>
  <c r="AT218" i="60819"/>
  <c r="K46" i="60818" s="1"/>
  <c r="AS218" i="60819"/>
  <c r="J46" i="60818" s="1"/>
  <c r="AR218" i="60819"/>
  <c r="I46" i="60818" s="1"/>
  <c r="AQ218" i="60819"/>
  <c r="H46" i="60818" s="1"/>
  <c r="AP218" i="60819"/>
  <c r="G46" i="60818" s="1"/>
  <c r="AO218" i="60819"/>
  <c r="F46" i="60818" s="1"/>
  <c r="AN218" i="60819"/>
  <c r="E46" i="60818" s="1"/>
  <c r="AM218" i="60819"/>
  <c r="D46" i="60818" s="1"/>
  <c r="AL218" i="60819"/>
  <c r="C46" i="60818" s="1"/>
  <c r="EH217" i="60819"/>
  <c r="AG157" i="60818" s="1"/>
  <c r="EG217" i="60819"/>
  <c r="AF157" i="60818" s="1"/>
  <c r="EF217" i="60819"/>
  <c r="AE157" i="60818" s="1"/>
  <c r="EE217" i="60819"/>
  <c r="ED217"/>
  <c r="AC157" i="60818" s="1"/>
  <c r="EC217" i="60819"/>
  <c r="AB157" i="60818" s="1"/>
  <c r="EB217" i="60819"/>
  <c r="AA157" i="60818" s="1"/>
  <c r="EA217" i="60819"/>
  <c r="Z157" i="60818" s="1"/>
  <c r="DZ217" i="60819"/>
  <c r="Y157" i="60818" s="1"/>
  <c r="DY217" i="60819"/>
  <c r="X157" i="60818" s="1"/>
  <c r="DX217" i="60819"/>
  <c r="W157" i="60818" s="1"/>
  <c r="DW217" i="60819"/>
  <c r="V157" i="60818" s="1"/>
  <c r="DV217" i="60819"/>
  <c r="U157" i="60818" s="1"/>
  <c r="DU217" i="60819"/>
  <c r="T157" i="60818" s="1"/>
  <c r="DT217" i="60819"/>
  <c r="S157" i="60818" s="1"/>
  <c r="DS217" i="60819"/>
  <c r="R157" i="60818" s="1"/>
  <c r="DR217" i="60819"/>
  <c r="Q157" i="60818" s="1"/>
  <c r="DQ217" i="60819"/>
  <c r="P157" i="60818" s="1"/>
  <c r="DP217" i="60819"/>
  <c r="O157" i="60818" s="1"/>
  <c r="DO217" i="60819"/>
  <c r="DN217"/>
  <c r="M157" i="60818" s="1"/>
  <c r="DM217" i="60819"/>
  <c r="L157" i="60818" s="1"/>
  <c r="DL217" i="60819"/>
  <c r="K157" i="60818" s="1"/>
  <c r="DK217" i="60819"/>
  <c r="J157" i="60818" s="1"/>
  <c r="DJ217" i="60819"/>
  <c r="I157" i="60818" s="1"/>
  <c r="DI217" i="60819"/>
  <c r="H157" i="60818" s="1"/>
  <c r="DH217" i="60819"/>
  <c r="G157" i="60818" s="1"/>
  <c r="DG217" i="60819"/>
  <c r="F157" i="60818" s="1"/>
  <c r="DF217" i="60819"/>
  <c r="E157" i="60818" s="1"/>
  <c r="DE217" i="60819"/>
  <c r="D157" i="60818" s="1"/>
  <c r="DD217" i="60819"/>
  <c r="C157" i="60818" s="1"/>
  <c r="BP217" i="60819"/>
  <c r="AG45" i="60818" s="1"/>
  <c r="BO217" i="60819"/>
  <c r="AF45" i="60818" s="1"/>
  <c r="BN217" i="60819"/>
  <c r="AE45" i="60818" s="1"/>
  <c r="BM217" i="60819"/>
  <c r="AD45" i="60818" s="1"/>
  <c r="BL217" i="60819"/>
  <c r="AC45" i="60818" s="1"/>
  <c r="BK217" i="60819"/>
  <c r="AB45" i="60818" s="1"/>
  <c r="BJ217" i="60819"/>
  <c r="AA45" i="60818" s="1"/>
  <c r="BI217" i="60819"/>
  <c r="Z45" i="60818" s="1"/>
  <c r="BH217" i="60819"/>
  <c r="BG217"/>
  <c r="X45" i="60818" s="1"/>
  <c r="BF217" i="60819"/>
  <c r="W45" i="60818" s="1"/>
  <c r="BE217" i="60819"/>
  <c r="BD217"/>
  <c r="U45" i="60818" s="1"/>
  <c r="BC217" i="60819"/>
  <c r="BB217"/>
  <c r="S45" i="60818" s="1"/>
  <c r="BA217" i="60819"/>
  <c r="R45" i="60818" s="1"/>
  <c r="AZ217" i="60819"/>
  <c r="Q45" i="60818" s="1"/>
  <c r="AY217" i="60819"/>
  <c r="P45" i="60818" s="1"/>
  <c r="AX217" i="60819"/>
  <c r="O45" i="60818" s="1"/>
  <c r="AW217" i="60819"/>
  <c r="N45" i="60818" s="1"/>
  <c r="AV217" i="60819"/>
  <c r="M45" i="60818" s="1"/>
  <c r="AU217" i="60819"/>
  <c r="L45" i="60818" s="1"/>
  <c r="AT217" i="60819"/>
  <c r="K45" i="60818" s="1"/>
  <c r="AS217" i="60819"/>
  <c r="J45" i="60818" s="1"/>
  <c r="AR217" i="60819"/>
  <c r="AQ217"/>
  <c r="H45" i="60818" s="1"/>
  <c r="AP217" i="60819"/>
  <c r="G45" i="60818" s="1"/>
  <c r="AO217" i="60819"/>
  <c r="F45" i="60818" s="1"/>
  <c r="AN217" i="60819"/>
  <c r="E45" i="60818" s="1"/>
  <c r="AM217" i="60819"/>
  <c r="D45" i="60818" s="1"/>
  <c r="AL217" i="60819"/>
  <c r="C45" i="60818" s="1"/>
  <c r="EH216" i="60819"/>
  <c r="AG156" i="60818" s="1"/>
  <c r="EG216" i="60819"/>
  <c r="AF156" i="60818" s="1"/>
  <c r="EF216" i="60819"/>
  <c r="AE156" i="60818" s="1"/>
  <c r="EE216" i="60819"/>
  <c r="AD156" i="60818" s="1"/>
  <c r="ED216" i="60819"/>
  <c r="AC156" i="60818" s="1"/>
  <c r="EC216" i="60819"/>
  <c r="EB216"/>
  <c r="AA156" i="60818" s="1"/>
  <c r="EA216" i="60819"/>
  <c r="Z156" i="60818" s="1"/>
  <c r="DZ216" i="60819"/>
  <c r="Y156" i="60818" s="1"/>
  <c r="DY216" i="60819"/>
  <c r="X156" i="60818" s="1"/>
  <c r="DX216" i="60819"/>
  <c r="W156" i="60818" s="1"/>
  <c r="DW216" i="60819"/>
  <c r="V156" i="60818" s="1"/>
  <c r="DV216" i="60819"/>
  <c r="U156" i="60818" s="1"/>
  <c r="DU216" i="60819"/>
  <c r="DT216"/>
  <c r="S156" i="60818" s="1"/>
  <c r="DS216" i="60819"/>
  <c r="R156" i="60818" s="1"/>
  <c r="DR216" i="60819"/>
  <c r="DQ216"/>
  <c r="P156" i="60818" s="1"/>
  <c r="DP216" i="60819"/>
  <c r="O156" i="60818" s="1"/>
  <c r="DO216" i="60819"/>
  <c r="N156" i="60818" s="1"/>
  <c r="DN216" i="60819"/>
  <c r="M156" i="60818" s="1"/>
  <c r="DM216" i="60819"/>
  <c r="DL216"/>
  <c r="K156" i="60818" s="1"/>
  <c r="DK216" i="60819"/>
  <c r="J156" i="60818" s="1"/>
  <c r="DJ216" i="60819"/>
  <c r="I156" i="60818" s="1"/>
  <c r="DI216" i="60819"/>
  <c r="H156" i="60818" s="1"/>
  <c r="DH216" i="60819"/>
  <c r="G156" i="60818" s="1"/>
  <c r="DG216" i="60819"/>
  <c r="F156" i="60818" s="1"/>
  <c r="DF216" i="60819"/>
  <c r="E156" i="60818" s="1"/>
  <c r="DE216" i="60819"/>
  <c r="DD216"/>
  <c r="BP216"/>
  <c r="AG44" i="60818" s="1"/>
  <c r="BO216" i="60819"/>
  <c r="AF44" i="60818" s="1"/>
  <c r="BN216" i="60819"/>
  <c r="AE44" i="60818" s="1"/>
  <c r="BM216" i="60819"/>
  <c r="AD44" i="60818" s="1"/>
  <c r="BL216" i="60819"/>
  <c r="AC44" i="60818" s="1"/>
  <c r="BK216" i="60819"/>
  <c r="AB44" i="60818" s="1"/>
  <c r="BJ216" i="60819"/>
  <c r="AA44" i="60818" s="1"/>
  <c r="BI216" i="60819"/>
  <c r="Z44" i="60818" s="1"/>
  <c r="BH216" i="60819"/>
  <c r="Y44" i="60818" s="1"/>
  <c r="BG216" i="60819"/>
  <c r="X44" i="60818" s="1"/>
  <c r="BF216" i="60819"/>
  <c r="BE216"/>
  <c r="V44" i="60818" s="1"/>
  <c r="BD216" i="60819"/>
  <c r="U44" i="60818" s="1"/>
  <c r="BC216" i="60819"/>
  <c r="T44" i="60818" s="1"/>
  <c r="BB216" i="60819"/>
  <c r="S44" i="60818" s="1"/>
  <c r="BA216" i="60819"/>
  <c r="R44" i="60818" s="1"/>
  <c r="AZ216" i="60819"/>
  <c r="Q44" i="60818" s="1"/>
  <c r="AY216" i="60819"/>
  <c r="P44" i="60818" s="1"/>
  <c r="AX216" i="60819"/>
  <c r="O44" i="60818" s="1"/>
  <c r="AW216" i="60819"/>
  <c r="N44" i="60818" s="1"/>
  <c r="AV216" i="60819"/>
  <c r="M44" i="60818" s="1"/>
  <c r="AU216" i="60819"/>
  <c r="L44" i="60818" s="1"/>
  <c r="AT216" i="60819"/>
  <c r="K44" i="60818" s="1"/>
  <c r="AS216" i="60819"/>
  <c r="J44" i="60818" s="1"/>
  <c r="AR216" i="60819"/>
  <c r="I44" i="60818" s="1"/>
  <c r="AQ216" i="60819"/>
  <c r="H44" i="60818" s="1"/>
  <c r="AP216" i="60819"/>
  <c r="AO216"/>
  <c r="F44" i="60818" s="1"/>
  <c r="AN216" i="60819"/>
  <c r="E44" i="60818" s="1"/>
  <c r="AM216" i="60819"/>
  <c r="D44" i="60818" s="1"/>
  <c r="AL216" i="60819"/>
  <c r="C44" i="60818" s="1"/>
  <c r="EH215" i="60819"/>
  <c r="AG155" i="60818" s="1"/>
  <c r="EG215" i="60819"/>
  <c r="AF155" i="60818" s="1"/>
  <c r="EF215" i="60819"/>
  <c r="AE155" i="60818" s="1"/>
  <c r="EE215" i="60819"/>
  <c r="AD155" i="60818" s="1"/>
  <c r="ED215" i="60819"/>
  <c r="AC155" i="60818" s="1"/>
  <c r="EC215" i="60819"/>
  <c r="AB155" i="60818" s="1"/>
  <c r="EB215" i="60819"/>
  <c r="AA155" i="60818" s="1"/>
  <c r="EA215" i="60819"/>
  <c r="Z155" i="60818" s="1"/>
  <c r="DZ215" i="60819"/>
  <c r="Y155" i="60818" s="1"/>
  <c r="DY215" i="60819"/>
  <c r="X155" i="60818" s="1"/>
  <c r="DX215" i="60819"/>
  <c r="W155" i="60818" s="1"/>
  <c r="DW215" i="60819"/>
  <c r="V155" i="60818" s="1"/>
  <c r="DV215" i="60819"/>
  <c r="U155" i="60818" s="1"/>
  <c r="DU215" i="60819"/>
  <c r="T155" i="60818" s="1"/>
  <c r="DT215" i="60819"/>
  <c r="DS215"/>
  <c r="R155" i="60818" s="1"/>
  <c r="DR215" i="60819"/>
  <c r="Q155" i="60818" s="1"/>
  <c r="DQ215" i="60819"/>
  <c r="P155" i="60818" s="1"/>
  <c r="DP215" i="60819"/>
  <c r="O155" i="60818" s="1"/>
  <c r="DO215" i="60819"/>
  <c r="N155" i="60818" s="1"/>
  <c r="DN215" i="60819"/>
  <c r="M155" i="60818" s="1"/>
  <c r="DM215" i="60819"/>
  <c r="L155" i="60818" s="1"/>
  <c r="DL215" i="60819"/>
  <c r="K155" i="60818" s="1"/>
  <c r="DK215" i="60819"/>
  <c r="J155" i="60818" s="1"/>
  <c r="DJ215" i="60819"/>
  <c r="I155" i="60818" s="1"/>
  <c r="DI215" i="60819"/>
  <c r="H155" i="60818" s="1"/>
  <c r="DH215" i="60819"/>
  <c r="G155" i="60818" s="1"/>
  <c r="DG215" i="60819"/>
  <c r="F155" i="60818" s="1"/>
  <c r="DF215" i="60819"/>
  <c r="DE215"/>
  <c r="D155" i="60818" s="1"/>
  <c r="DD215" i="60819"/>
  <c r="C155" i="60818" s="1"/>
  <c r="BP215" i="60819"/>
  <c r="BO215"/>
  <c r="BN215"/>
  <c r="AE43" i="60818" s="1"/>
  <c r="BM215" i="60819"/>
  <c r="AD43" i="60818" s="1"/>
  <c r="BL215" i="60819"/>
  <c r="AC43" i="60818" s="1"/>
  <c r="BK215" i="60819"/>
  <c r="AB43" i="60818" s="1"/>
  <c r="BJ215" i="60819"/>
  <c r="AA43" i="60818" s="1"/>
  <c r="BI215" i="60819"/>
  <c r="Z43" i="60818" s="1"/>
  <c r="BH215" i="60819"/>
  <c r="Y43" i="60818" s="1"/>
  <c r="BG215" i="60819"/>
  <c r="X43" i="60818" s="1"/>
  <c r="BF215" i="60819"/>
  <c r="W43" i="60818" s="1"/>
  <c r="BE215" i="60819"/>
  <c r="BD215"/>
  <c r="U43" i="60818" s="1"/>
  <c r="BC215" i="60819"/>
  <c r="T43" i="60818" s="1"/>
  <c r="BB215" i="60819"/>
  <c r="S43" i="60818" s="1"/>
  <c r="BA215" i="60819"/>
  <c r="R43" i="60818" s="1"/>
  <c r="AZ215" i="60819"/>
  <c r="AY215"/>
  <c r="P43" i="60818" s="1"/>
  <c r="AX215" i="60819"/>
  <c r="O43" i="60818" s="1"/>
  <c r="AW215" i="60819"/>
  <c r="N43" i="60818" s="1"/>
  <c r="AV215" i="60819"/>
  <c r="M43" i="60818" s="1"/>
  <c r="AU215" i="60819"/>
  <c r="L43" i="60818" s="1"/>
  <c r="AT215" i="60819"/>
  <c r="K43" i="60818" s="1"/>
  <c r="AS215" i="60819"/>
  <c r="J43" i="60818" s="1"/>
  <c r="AR215" i="60819"/>
  <c r="I43" i="60818" s="1"/>
  <c r="AQ215" i="60819"/>
  <c r="H43" i="60818" s="1"/>
  <c r="AP215" i="60819"/>
  <c r="G43" i="60818" s="1"/>
  <c r="AO215" i="60819"/>
  <c r="F43" i="60818" s="1"/>
  <c r="AN215" i="60819"/>
  <c r="E43" i="60818" s="1"/>
  <c r="AM215" i="60819"/>
  <c r="D43" i="60818" s="1"/>
  <c r="AL215" i="60819"/>
  <c r="C43" i="60818" s="1"/>
  <c r="EH214" i="60819"/>
  <c r="AG154" i="60818" s="1"/>
  <c r="EG214" i="60819"/>
  <c r="AF154" i="60818" s="1"/>
  <c r="EF214" i="60819"/>
  <c r="AE154" i="60818" s="1"/>
  <c r="EE214" i="60819"/>
  <c r="AD154" i="60818" s="1"/>
  <c r="ED214" i="60819"/>
  <c r="AC154" i="60818" s="1"/>
  <c r="EC214" i="60819"/>
  <c r="AB154" i="60818" s="1"/>
  <c r="EB214" i="60819"/>
  <c r="AA154" i="60818" s="1"/>
  <c r="EA214" i="60819"/>
  <c r="Z154" i="60818" s="1"/>
  <c r="DZ214" i="60819"/>
  <c r="Y154" i="60818" s="1"/>
  <c r="DY214" i="60819"/>
  <c r="DX214"/>
  <c r="W154" i="60818" s="1"/>
  <c r="DW214" i="60819"/>
  <c r="V154" i="60818" s="1"/>
  <c r="DV214" i="60819"/>
  <c r="DU214"/>
  <c r="T154" i="60818" s="1"/>
  <c r="DT214" i="60819"/>
  <c r="S154" i="60818" s="1"/>
  <c r="DS214" i="60819"/>
  <c r="R154" i="60818" s="1"/>
  <c r="DR214" i="60819"/>
  <c r="Q154" i="60818" s="1"/>
  <c r="DQ214" i="60819"/>
  <c r="P154" i="60818" s="1"/>
  <c r="DP214" i="60819"/>
  <c r="O154" i="60818" s="1"/>
  <c r="DO214" i="60819"/>
  <c r="N154" i="60818" s="1"/>
  <c r="DN214" i="60819"/>
  <c r="M154" i="60818" s="1"/>
  <c r="DM214" i="60819"/>
  <c r="L154" i="60818" s="1"/>
  <c r="DL214" i="60819"/>
  <c r="K154" i="60818" s="1"/>
  <c r="DK214" i="60819"/>
  <c r="J154" i="60818" s="1"/>
  <c r="DJ214" i="60819"/>
  <c r="I154" i="60818" s="1"/>
  <c r="DI214" i="60819"/>
  <c r="DH214"/>
  <c r="G154" i="60818" s="1"/>
  <c r="DG214" i="60819"/>
  <c r="F154" i="60818" s="1"/>
  <c r="DF214" i="60819"/>
  <c r="E154" i="60818" s="1"/>
  <c r="DE214" i="60819"/>
  <c r="D154" i="60818" s="1"/>
  <c r="DD214" i="60819"/>
  <c r="C154" i="60818" s="1"/>
  <c r="BP214" i="60819"/>
  <c r="AG42" i="60818" s="1"/>
  <c r="BO214" i="60819"/>
  <c r="AF42" i="60818" s="1"/>
  <c r="BN214" i="60819"/>
  <c r="BM214"/>
  <c r="AD42" i="60818" s="1"/>
  <c r="BL214" i="60819"/>
  <c r="AC42" i="60818" s="1"/>
  <c r="BK214" i="60819"/>
  <c r="AB42" i="60818" s="1"/>
  <c r="BJ214" i="60819"/>
  <c r="AA42" i="60818" s="1"/>
  <c r="BI214" i="60819"/>
  <c r="Z42" i="60818" s="1"/>
  <c r="BH214" i="60819"/>
  <c r="Y42" i="60818" s="1"/>
  <c r="BG214" i="60819"/>
  <c r="BF214"/>
  <c r="W42" i="60818" s="1"/>
  <c r="BE214" i="60819"/>
  <c r="V42" i="60818" s="1"/>
  <c r="BD214" i="60819"/>
  <c r="U42" i="60818" s="1"/>
  <c r="BC214" i="60819"/>
  <c r="T42" i="60818" s="1"/>
  <c r="BB214" i="60819"/>
  <c r="S42" i="60818" s="1"/>
  <c r="BA214" i="60819"/>
  <c r="AZ214"/>
  <c r="Q42" i="60818" s="1"/>
  <c r="AY214" i="60819"/>
  <c r="P42" i="60818" s="1"/>
  <c r="AX214" i="60819"/>
  <c r="AW214"/>
  <c r="N42" i="60818" s="1"/>
  <c r="AV214" i="60819"/>
  <c r="M42" i="60818" s="1"/>
  <c r="AU214" i="60819"/>
  <c r="L42" i="60818" s="1"/>
  <c r="AT214" i="60819"/>
  <c r="K42" i="60818" s="1"/>
  <c r="AS214" i="60819"/>
  <c r="J42" i="60818" s="1"/>
  <c r="AR214" i="60819"/>
  <c r="I42" i="60818" s="1"/>
  <c r="AQ214" i="60819"/>
  <c r="H42" i="60818" s="1"/>
  <c r="AP214" i="60819"/>
  <c r="G42" i="60818" s="1"/>
  <c r="AO214" i="60819"/>
  <c r="F42" i="60818" s="1"/>
  <c r="AN214" i="60819"/>
  <c r="E42" i="60818" s="1"/>
  <c r="AM214" i="60819"/>
  <c r="D42" i="60818" s="1"/>
  <c r="AL214" i="60819"/>
  <c r="C42" i="60818" s="1"/>
  <c r="EH213" i="60819"/>
  <c r="AG153" i="60818" s="1"/>
  <c r="EG213" i="60819"/>
  <c r="AF153" i="60818" s="1"/>
  <c r="EF213" i="60819"/>
  <c r="AE153" i="60818" s="1"/>
  <c r="EE213" i="60819"/>
  <c r="AD153" i="60818" s="1"/>
  <c r="ED213" i="60819"/>
  <c r="AC153" i="60818" s="1"/>
  <c r="EC213" i="60819"/>
  <c r="AB153" i="60818" s="1"/>
  <c r="EB213" i="60819"/>
  <c r="AA153" i="60818" s="1"/>
  <c r="EA213" i="60819"/>
  <c r="Z153" i="60818" s="1"/>
  <c r="DZ213" i="60819"/>
  <c r="Y153" i="60818" s="1"/>
  <c r="DY213" i="60819"/>
  <c r="X153" i="60818" s="1"/>
  <c r="DX213" i="60819"/>
  <c r="W153" i="60818" s="1"/>
  <c r="DW213" i="60819"/>
  <c r="V153" i="60818" s="1"/>
  <c r="DV213" i="60819"/>
  <c r="U153" i="60818" s="1"/>
  <c r="DU213" i="60819"/>
  <c r="T153" i="60818" s="1"/>
  <c r="DT213" i="60819"/>
  <c r="S153" i="60818" s="1"/>
  <c r="DS213" i="60819"/>
  <c r="DR213"/>
  <c r="Q153" i="60818" s="1"/>
  <c r="DQ213" i="60819"/>
  <c r="P153" i="60818" s="1"/>
  <c r="DP213" i="60819"/>
  <c r="O153" i="60818" s="1"/>
  <c r="DO213" i="60819"/>
  <c r="N153" i="60818" s="1"/>
  <c r="DN213" i="60819"/>
  <c r="M153" i="60818" s="1"/>
  <c r="DM213" i="60819"/>
  <c r="L153" i="60818" s="1"/>
  <c r="DL213" i="60819"/>
  <c r="K153" i="60818" s="1"/>
  <c r="DK213" i="60819"/>
  <c r="J153" i="60818" s="1"/>
  <c r="DJ213" i="60819"/>
  <c r="I153" i="60818" s="1"/>
  <c r="DI213" i="60819"/>
  <c r="H153" i="60818" s="1"/>
  <c r="DH213" i="60819"/>
  <c r="G153" i="60818" s="1"/>
  <c r="DG213" i="60819"/>
  <c r="F153" i="60818" s="1"/>
  <c r="DF213" i="60819"/>
  <c r="E153" i="60818" s="1"/>
  <c r="DE213" i="60819"/>
  <c r="DD213"/>
  <c r="C153" i="60818" s="1"/>
  <c r="BP213" i="60819"/>
  <c r="AG41" i="60818" s="1"/>
  <c r="BO213" i="60819"/>
  <c r="BN213"/>
  <c r="BM213"/>
  <c r="AD41" i="60818" s="1"/>
  <c r="BL213" i="60819"/>
  <c r="AC41" i="60818" s="1"/>
  <c r="BK213" i="60819"/>
  <c r="BJ213"/>
  <c r="BI213"/>
  <c r="Z41" i="60818" s="1"/>
  <c r="BH213" i="60819"/>
  <c r="BG213"/>
  <c r="BF213"/>
  <c r="BE213"/>
  <c r="V41" i="60818" s="1"/>
  <c r="BD213" i="60819"/>
  <c r="U41" i="60818" s="1"/>
  <c r="BC213" i="60819"/>
  <c r="BB213"/>
  <c r="BA213"/>
  <c r="R41" i="60818" s="1"/>
  <c r="AZ213" i="60819"/>
  <c r="Q41" i="60818" s="1"/>
  <c r="AY213" i="60819"/>
  <c r="AX213"/>
  <c r="AW213"/>
  <c r="AV213"/>
  <c r="M41" i="60818" s="1"/>
  <c r="AU213" i="60819"/>
  <c r="AT213"/>
  <c r="AS213"/>
  <c r="J41" i="60818" s="1"/>
  <c r="AR213" i="60819"/>
  <c r="AQ213"/>
  <c r="AP213"/>
  <c r="AO213"/>
  <c r="F41" i="60818" s="1"/>
  <c r="AN213" i="60819"/>
  <c r="E41" i="60818" s="1"/>
  <c r="AM213" i="60819"/>
  <c r="AL213"/>
  <c r="C41" i="60818" s="1"/>
  <c r="EH208" i="60819"/>
  <c r="AG145" i="60818" s="1"/>
  <c r="EG208" i="60819"/>
  <c r="AF145" i="60818" s="1"/>
  <c r="EF208" i="60819"/>
  <c r="AE145" i="60818" s="1"/>
  <c r="EE208" i="60819"/>
  <c r="AD145" i="60818" s="1"/>
  <c r="ED208" i="60819"/>
  <c r="AC145" i="60818" s="1"/>
  <c r="EC208" i="60819"/>
  <c r="AB145" i="60818" s="1"/>
  <c r="EB208" i="60819"/>
  <c r="AA145" i="60818" s="1"/>
  <c r="EA208" i="60819"/>
  <c r="Z145" i="60818" s="1"/>
  <c r="DZ208" i="60819"/>
  <c r="Y145" i="60818" s="1"/>
  <c r="DY208" i="60819"/>
  <c r="X145" i="60818" s="1"/>
  <c r="DX208" i="60819"/>
  <c r="W145" i="60818" s="1"/>
  <c r="DW208" i="60819"/>
  <c r="V145" i="60818" s="1"/>
  <c r="DV208" i="60819"/>
  <c r="U145" i="60818" s="1"/>
  <c r="DU208" i="60819"/>
  <c r="T145" i="60818" s="1"/>
  <c r="DT208" i="60819"/>
  <c r="S145" i="60818" s="1"/>
  <c r="DS208" i="60819"/>
  <c r="R145" i="60818" s="1"/>
  <c r="DR208" i="60819"/>
  <c r="DQ208"/>
  <c r="P145" i="60818" s="1"/>
  <c r="DP208" i="60819"/>
  <c r="O145" i="60818" s="1"/>
  <c r="DO208" i="60819"/>
  <c r="N145" i="60818" s="1"/>
  <c r="DN208" i="60819"/>
  <c r="M145" i="60818" s="1"/>
  <c r="DM208" i="60819"/>
  <c r="L145" i="60818" s="1"/>
  <c r="DL208" i="60819"/>
  <c r="K145" i="60818" s="1"/>
  <c r="DK208" i="60819"/>
  <c r="J145" i="60818" s="1"/>
  <c r="DJ208" i="60819"/>
  <c r="I145" i="60818" s="1"/>
  <c r="DI208" i="60819"/>
  <c r="H145" i="60818" s="1"/>
  <c r="DH208" i="60819"/>
  <c r="G145" i="60818" s="1"/>
  <c r="DG208" i="60819"/>
  <c r="F145" i="60818" s="1"/>
  <c r="DF208" i="60819"/>
  <c r="E145" i="60818" s="1"/>
  <c r="DE208" i="60819"/>
  <c r="D145" i="60818" s="1"/>
  <c r="DD208" i="60819"/>
  <c r="CY208"/>
  <c r="CX208"/>
  <c r="CW208"/>
  <c r="CV208"/>
  <c r="CU208"/>
  <c r="CT208"/>
  <c r="CS208"/>
  <c r="CR208"/>
  <c r="CQ208"/>
  <c r="CP208"/>
  <c r="CO208"/>
  <c r="CN208"/>
  <c r="CM208"/>
  <c r="CL208"/>
  <c r="CK208"/>
  <c r="CJ208"/>
  <c r="CI208"/>
  <c r="CH208"/>
  <c r="CG208"/>
  <c r="CF208"/>
  <c r="CE208"/>
  <c r="CD208"/>
  <c r="CC208"/>
  <c r="CB208"/>
  <c r="CA208"/>
  <c r="BZ208"/>
  <c r="BY208"/>
  <c r="BX208"/>
  <c r="BW208"/>
  <c r="BV208"/>
  <c r="BU208"/>
  <c r="BP208"/>
  <c r="BO208"/>
  <c r="BN208"/>
  <c r="BM208"/>
  <c r="BL208"/>
  <c r="BK208"/>
  <c r="BJ208"/>
  <c r="BI208"/>
  <c r="BH208"/>
  <c r="BG208"/>
  <c r="BF208"/>
  <c r="BE208"/>
  <c r="BD208"/>
  <c r="BC208"/>
  <c r="BB208"/>
  <c r="BA208"/>
  <c r="AZ208"/>
  <c r="AY208"/>
  <c r="AX208"/>
  <c r="AW208"/>
  <c r="AV208"/>
  <c r="AU208"/>
  <c r="AT208"/>
  <c r="AS208"/>
  <c r="AR208"/>
  <c r="AQ208"/>
  <c r="AP208"/>
  <c r="AO208"/>
  <c r="AN208"/>
  <c r="AM208"/>
  <c r="AL208"/>
  <c r="AG208"/>
  <c r="AG17" i="60818" s="1"/>
  <c r="AF208" i="60819"/>
  <c r="AF17" i="60818" s="1"/>
  <c r="AE208" i="60819"/>
  <c r="AE17" i="60818" s="1"/>
  <c r="AD208" i="60819"/>
  <c r="AD17" i="60818" s="1"/>
  <c r="AC208" i="60819"/>
  <c r="AC17" i="60818" s="1"/>
  <c r="AB208" i="60819"/>
  <c r="AA208"/>
  <c r="AA17" i="60818" s="1"/>
  <c r="Z208" i="60819"/>
  <c r="Z17" i="60818" s="1"/>
  <c r="Y208" i="60819"/>
  <c r="X208"/>
  <c r="X17" i="60818" s="1"/>
  <c r="W208" i="60819"/>
  <c r="W17" i="60818" s="1"/>
  <c r="V208" i="60819"/>
  <c r="V17" i="60818" s="1"/>
  <c r="U208" i="60819"/>
  <c r="U17" i="60818" s="1"/>
  <c r="T208" i="60819"/>
  <c r="T17" i="60818" s="1"/>
  <c r="S208" i="60819"/>
  <c r="S17" i="60818" s="1"/>
  <c r="R208" i="60819"/>
  <c r="R17" i="60818" s="1"/>
  <c r="Q208" i="60819"/>
  <c r="Q17" i="60818" s="1"/>
  <c r="P208" i="60819"/>
  <c r="P17" i="60818" s="1"/>
  <c r="O208" i="60819"/>
  <c r="O17" i="60818" s="1"/>
  <c r="N208" i="60819"/>
  <c r="N17" i="60818" s="1"/>
  <c r="M208" i="60819"/>
  <c r="M17" i="60818" s="1"/>
  <c r="L208" i="60819"/>
  <c r="L17" i="60818" s="1"/>
  <c r="K208" i="60819"/>
  <c r="K17" i="60818" s="1"/>
  <c r="J208" i="60819"/>
  <c r="J17" i="60818" s="1"/>
  <c r="I208" i="60819"/>
  <c r="H208"/>
  <c r="G208"/>
  <c r="G17" i="60818" s="1"/>
  <c r="F208" i="60819"/>
  <c r="F17" i="60818" s="1"/>
  <c r="E208" i="60819"/>
  <c r="E17" i="60818" s="1"/>
  <c r="D208" i="60819"/>
  <c r="D17" i="60818" s="1"/>
  <c r="C208" i="60819"/>
  <c r="C17" i="60818" s="1"/>
  <c r="EH207" i="60819"/>
  <c r="AG144" i="60818" s="1"/>
  <c r="EG207" i="60819"/>
  <c r="AF144" i="60818" s="1"/>
  <c r="EF207" i="60819"/>
  <c r="AE144" i="60818" s="1"/>
  <c r="EE207" i="60819"/>
  <c r="AD144" i="60818" s="1"/>
  <c r="ED207" i="60819"/>
  <c r="AC144" i="60818" s="1"/>
  <c r="EC207" i="60819"/>
  <c r="EB207"/>
  <c r="AA144" i="60818" s="1"/>
  <c r="EA207" i="60819"/>
  <c r="Z144" i="60818" s="1"/>
  <c r="DZ207" i="60819"/>
  <c r="Y144" i="60818" s="1"/>
  <c r="DY207" i="60819"/>
  <c r="X144" i="60818" s="1"/>
  <c r="DX207" i="60819"/>
  <c r="W144" i="60818" s="1"/>
  <c r="DW207" i="60819"/>
  <c r="V144" i="60818" s="1"/>
  <c r="DV207" i="60819"/>
  <c r="U144" i="60818" s="1"/>
  <c r="DU207" i="60819"/>
  <c r="T144" i="60818" s="1"/>
  <c r="DT207" i="60819"/>
  <c r="S144" i="60818" s="1"/>
  <c r="DS207" i="60819"/>
  <c r="R144" i="60818" s="1"/>
  <c r="DR207" i="60819"/>
  <c r="Q144" i="60818" s="1"/>
  <c r="DQ207" i="60819"/>
  <c r="DP207"/>
  <c r="O144" i="60818" s="1"/>
  <c r="DO207" i="60819"/>
  <c r="N144" i="60818" s="1"/>
  <c r="DN207" i="60819"/>
  <c r="M144" i="60818" s="1"/>
  <c r="DM207" i="60819"/>
  <c r="L144" i="60818" s="1"/>
  <c r="DL207" i="60819"/>
  <c r="K144" i="60818" s="1"/>
  <c r="DK207" i="60819"/>
  <c r="J144" i="60818" s="1"/>
  <c r="DJ207" i="60819"/>
  <c r="I144" i="60818" s="1"/>
  <c r="DI207" i="60819"/>
  <c r="H144" i="60818" s="1"/>
  <c r="DH207" i="60819"/>
  <c r="G144" i="60818" s="1"/>
  <c r="DG207" i="60819"/>
  <c r="F144" i="60818" s="1"/>
  <c r="DF207" i="60819"/>
  <c r="E144" i="60818" s="1"/>
  <c r="DE207" i="60819"/>
  <c r="D144" i="60818" s="1"/>
  <c r="DD207" i="60819"/>
  <c r="C144" i="60818" s="1"/>
  <c r="CY207" i="60819"/>
  <c r="CX207"/>
  <c r="CW207"/>
  <c r="CV207"/>
  <c r="CU207"/>
  <c r="CT207"/>
  <c r="CS207"/>
  <c r="CR207"/>
  <c r="CQ207"/>
  <c r="CP207"/>
  <c r="CO207"/>
  <c r="CN207"/>
  <c r="CM207"/>
  <c r="CL207"/>
  <c r="CK207"/>
  <c r="CJ207"/>
  <c r="CI207"/>
  <c r="CH207"/>
  <c r="CG207"/>
  <c r="CF207"/>
  <c r="CE207"/>
  <c r="CD207"/>
  <c r="CC207"/>
  <c r="CB207"/>
  <c r="CA207"/>
  <c r="BZ207"/>
  <c r="BY207"/>
  <c r="BX207"/>
  <c r="BW207"/>
  <c r="BV207"/>
  <c r="BU207"/>
  <c r="BP207"/>
  <c r="BO207"/>
  <c r="BN207"/>
  <c r="BM207"/>
  <c r="BL207"/>
  <c r="BK207"/>
  <c r="BJ207"/>
  <c r="BI207"/>
  <c r="BH207"/>
  <c r="BG207"/>
  <c r="BF207"/>
  <c r="BE207"/>
  <c r="BD207"/>
  <c r="BC207"/>
  <c r="BB207"/>
  <c r="BA207"/>
  <c r="AZ207"/>
  <c r="AY207"/>
  <c r="AX207"/>
  <c r="AW207"/>
  <c r="AV207"/>
  <c r="AU207"/>
  <c r="AT207"/>
  <c r="AS207"/>
  <c r="AR207"/>
  <c r="AQ207"/>
  <c r="AP207"/>
  <c r="AO207"/>
  <c r="AN207"/>
  <c r="AM207"/>
  <c r="AL207"/>
  <c r="AG207"/>
  <c r="AG16" i="60818" s="1"/>
  <c r="AF207" i="60819"/>
  <c r="AF16" i="60818" s="1"/>
  <c r="AE207" i="60819"/>
  <c r="AE16" i="60818" s="1"/>
  <c r="AD207" i="60819"/>
  <c r="AD16" i="60818" s="1"/>
  <c r="AC207" i="60819"/>
  <c r="AB207"/>
  <c r="AB16" i="60818" s="1"/>
  <c r="AA207" i="60819"/>
  <c r="AA16" i="60818" s="1"/>
  <c r="Z207" i="60819"/>
  <c r="Z16" i="60818" s="1"/>
  <c r="Y207" i="60819"/>
  <c r="Y16" i="60818" s="1"/>
  <c r="X207" i="60819"/>
  <c r="X16" i="60818" s="1"/>
  <c r="W207" i="60819"/>
  <c r="W16" i="60818" s="1"/>
  <c r="V207" i="60819"/>
  <c r="V16" i="60818" s="1"/>
  <c r="U207" i="60819"/>
  <c r="U16" i="60818" s="1"/>
  <c r="T207" i="60819"/>
  <c r="T16" i="60818" s="1"/>
  <c r="S207" i="60819"/>
  <c r="S16" i="60818" s="1"/>
  <c r="R207" i="60819"/>
  <c r="R16" i="60818" s="1"/>
  <c r="Q207" i="60819"/>
  <c r="Q16" i="60818" s="1"/>
  <c r="P207" i="60819"/>
  <c r="O207"/>
  <c r="O16" i="60818" s="1"/>
  <c r="N207" i="60819"/>
  <c r="N16" i="60818" s="1"/>
  <c r="M207" i="60819"/>
  <c r="L207"/>
  <c r="L16" i="60818" s="1"/>
  <c r="K207" i="60819"/>
  <c r="K16" i="60818" s="1"/>
  <c r="J207" i="60819"/>
  <c r="J16" i="60818" s="1"/>
  <c r="I207" i="60819"/>
  <c r="I16" i="60818" s="1"/>
  <c r="H207" i="60819"/>
  <c r="H16" i="60818" s="1"/>
  <c r="G207" i="60819"/>
  <c r="G16" i="60818" s="1"/>
  <c r="F207" i="60819"/>
  <c r="F16" i="60818" s="1"/>
  <c r="E207" i="60819"/>
  <c r="E16" i="60818" s="1"/>
  <c r="D207" i="60819"/>
  <c r="D16" i="60818" s="1"/>
  <c r="C207" i="60819"/>
  <c r="C16" i="60818" s="1"/>
  <c r="EH206" i="60819"/>
  <c r="AG143" i="60818" s="1"/>
  <c r="EG206" i="60819"/>
  <c r="AF143" i="60818" s="1"/>
  <c r="EF206" i="60819"/>
  <c r="AE143" i="60818" s="1"/>
  <c r="EE206" i="60819"/>
  <c r="AD143" i="60818" s="1"/>
  <c r="ED206" i="60819"/>
  <c r="AC143" i="60818" s="1"/>
  <c r="EC206" i="60819"/>
  <c r="AB143" i="60818" s="1"/>
  <c r="EB206" i="60819"/>
  <c r="AA143" i="60818" s="1"/>
  <c r="EA206" i="60819"/>
  <c r="Z143" i="60818" s="1"/>
  <c r="DZ206" i="60819"/>
  <c r="DY206"/>
  <c r="X143" i="60818" s="1"/>
  <c r="DX206" i="60819"/>
  <c r="DW206"/>
  <c r="V143" i="60818" s="1"/>
  <c r="DV206" i="60819"/>
  <c r="U143" i="60818" s="1"/>
  <c r="DU206" i="60819"/>
  <c r="DT206"/>
  <c r="S143" i="60818" s="1"/>
  <c r="DS206" i="60819"/>
  <c r="R143" i="60818" s="1"/>
  <c r="DR206" i="60819"/>
  <c r="Q143" i="60818" s="1"/>
  <c r="DQ206" i="60819"/>
  <c r="P143" i="60818" s="1"/>
  <c r="DP206" i="60819"/>
  <c r="O143" i="60818" s="1"/>
  <c r="DO206" i="60819"/>
  <c r="N143" i="60818" s="1"/>
  <c r="DN206" i="60819"/>
  <c r="DM206"/>
  <c r="L143" i="60818" s="1"/>
  <c r="DL206" i="60819"/>
  <c r="K143" i="60818" s="1"/>
  <c r="DK206" i="60819"/>
  <c r="J143" i="60818" s="1"/>
  <c r="DJ206" i="60819"/>
  <c r="I143" i="60818" s="1"/>
  <c r="DI206" i="60819"/>
  <c r="H143" i="60818" s="1"/>
  <c r="DH206" i="60819"/>
  <c r="G143" i="60818" s="1"/>
  <c r="DG206" i="60819"/>
  <c r="F143" i="60818" s="1"/>
  <c r="DF206" i="60819"/>
  <c r="E143" i="60818" s="1"/>
  <c r="DE206" i="60819"/>
  <c r="DD206"/>
  <c r="CY206"/>
  <c r="CX206"/>
  <c r="CW206"/>
  <c r="CV206"/>
  <c r="CU206"/>
  <c r="CT206"/>
  <c r="CS206"/>
  <c r="CR206"/>
  <c r="CQ206"/>
  <c r="CP206"/>
  <c r="CO206"/>
  <c r="CN206"/>
  <c r="CM206"/>
  <c r="CL206"/>
  <c r="CK206"/>
  <c r="CJ206"/>
  <c r="CI206"/>
  <c r="CH206"/>
  <c r="CG206"/>
  <c r="CF206"/>
  <c r="CE206"/>
  <c r="CD206"/>
  <c r="CC206"/>
  <c r="CB206"/>
  <c r="CA206"/>
  <c r="BZ206"/>
  <c r="BY206"/>
  <c r="BX206"/>
  <c r="BW206"/>
  <c r="BV206"/>
  <c r="BU206"/>
  <c r="BP206"/>
  <c r="BO206"/>
  <c r="BN206"/>
  <c r="BM206"/>
  <c r="BL206"/>
  <c r="BK206"/>
  <c r="BJ206"/>
  <c r="BI206"/>
  <c r="BH206"/>
  <c r="BG206"/>
  <c r="BF206"/>
  <c r="BE206"/>
  <c r="BD206"/>
  <c r="BC206"/>
  <c r="BB206"/>
  <c r="BA206"/>
  <c r="AZ206"/>
  <c r="AY206"/>
  <c r="AX206"/>
  <c r="AW206"/>
  <c r="AV206"/>
  <c r="AU206"/>
  <c r="AT206"/>
  <c r="AS206"/>
  <c r="AR206"/>
  <c r="AQ206"/>
  <c r="AP206"/>
  <c r="AO206"/>
  <c r="AN206"/>
  <c r="AM206"/>
  <c r="AL206"/>
  <c r="AG206"/>
  <c r="AF206"/>
  <c r="AF15" i="60818" s="1"/>
  <c r="AE206" i="60819"/>
  <c r="AE15" i="60818" s="1"/>
  <c r="AD206" i="60819"/>
  <c r="AD15" i="60818" s="1"/>
  <c r="AC206" i="60819"/>
  <c r="AC15" i="60818" s="1"/>
  <c r="AB206" i="60819"/>
  <c r="AB15" i="60818" s="1"/>
  <c r="AA206" i="60819"/>
  <c r="AA15" i="60818" s="1"/>
  <c r="Z206" i="60819"/>
  <c r="Z15" i="60818" s="1"/>
  <c r="Y206" i="60819"/>
  <c r="Y15" i="60818" s="1"/>
  <c r="X206" i="60819"/>
  <c r="X15" i="60818" s="1"/>
  <c r="W206" i="60819"/>
  <c r="W15" i="60818" s="1"/>
  <c r="V206" i="60819"/>
  <c r="V15" i="60818" s="1"/>
  <c r="U206" i="60819"/>
  <c r="U15" i="60818" s="1"/>
  <c r="T206" i="60819"/>
  <c r="T15" i="60818" s="1"/>
  <c r="S206" i="60819"/>
  <c r="S15" i="60818" s="1"/>
  <c r="R206" i="60819"/>
  <c r="R15" i="60818" s="1"/>
  <c r="Q206" i="60819"/>
  <c r="P206"/>
  <c r="P15" i="60818" s="1"/>
  <c r="O206" i="60819"/>
  <c r="O15" i="60818" s="1"/>
  <c r="N206" i="60819"/>
  <c r="N15" i="60818" s="1"/>
  <c r="M206" i="60819"/>
  <c r="M15" i="60818" s="1"/>
  <c r="L206" i="60819"/>
  <c r="L15" i="60818" s="1"/>
  <c r="K206" i="60819"/>
  <c r="K15" i="60818" s="1"/>
  <c r="J206" i="60819"/>
  <c r="J15" i="60818" s="1"/>
  <c r="I206" i="60819"/>
  <c r="I15" i="60818" s="1"/>
  <c r="H206" i="60819"/>
  <c r="H15" i="60818" s="1"/>
  <c r="G206" i="60819"/>
  <c r="G15" i="60818" s="1"/>
  <c r="F206" i="60819"/>
  <c r="F15" i="60818" s="1"/>
  <c r="E206" i="60819"/>
  <c r="E15" i="60818" s="1"/>
  <c r="D206" i="60819"/>
  <c r="D15" i="60818" s="1"/>
  <c r="C206" i="60819"/>
  <c r="C15" i="60818" s="1"/>
  <c r="EH205" i="60819"/>
  <c r="AG142" i="60818" s="1"/>
  <c r="EG205" i="60819"/>
  <c r="AF142" i="60818" s="1"/>
  <c r="EF205" i="60819"/>
  <c r="AE142" i="60818" s="1"/>
  <c r="EE205" i="60819"/>
  <c r="AD142" i="60818" s="1"/>
  <c r="ED205" i="60819"/>
  <c r="AC142" i="60818" s="1"/>
  <c r="EC205" i="60819"/>
  <c r="AB142" i="60818" s="1"/>
  <c r="EB205" i="60819"/>
  <c r="AA142" i="60818" s="1"/>
  <c r="EA205" i="60819"/>
  <c r="Z142" i="60818" s="1"/>
  <c r="DZ205" i="60819"/>
  <c r="Y142" i="60818" s="1"/>
  <c r="DY205" i="60819"/>
  <c r="X142" i="60818" s="1"/>
  <c r="DX205" i="60819"/>
  <c r="W142" i="60818" s="1"/>
  <c r="DW205" i="60819"/>
  <c r="V142" i="60818" s="1"/>
  <c r="DV205" i="60819"/>
  <c r="U142" i="60818" s="1"/>
  <c r="DU205" i="60819"/>
  <c r="T142" i="60818" s="1"/>
  <c r="DT205" i="60819"/>
  <c r="S142" i="60818" s="1"/>
  <c r="DS205" i="60819"/>
  <c r="R142" i="60818" s="1"/>
  <c r="DR205" i="60819"/>
  <c r="Q142" i="60818" s="1"/>
  <c r="DQ205" i="60819"/>
  <c r="P142" i="60818" s="1"/>
  <c r="DP205" i="60819"/>
  <c r="O142" i="60818" s="1"/>
  <c r="DO205" i="60819"/>
  <c r="N142" i="60818" s="1"/>
  <c r="DN205" i="60819"/>
  <c r="M142" i="60818" s="1"/>
  <c r="DM205" i="60819"/>
  <c r="L142" i="60818" s="1"/>
  <c r="DL205" i="60819"/>
  <c r="K142" i="60818" s="1"/>
  <c r="DK205" i="60819"/>
  <c r="J142" i="60818" s="1"/>
  <c r="DJ205" i="60819"/>
  <c r="I142" i="60818" s="1"/>
  <c r="DI205" i="60819"/>
  <c r="H142" i="60818" s="1"/>
  <c r="DH205" i="60819"/>
  <c r="DG205"/>
  <c r="F142" i="60818" s="1"/>
  <c r="DF205" i="60819"/>
  <c r="E142" i="60818" s="1"/>
  <c r="DE205" i="60819"/>
  <c r="D142" i="60818" s="1"/>
  <c r="DD205" i="60819"/>
  <c r="C142" i="60818" s="1"/>
  <c r="CY205" i="60819"/>
  <c r="CX205"/>
  <c r="CW205"/>
  <c r="CV205"/>
  <c r="CU205"/>
  <c r="CT205"/>
  <c r="CS205"/>
  <c r="CR205"/>
  <c r="CQ205"/>
  <c r="CP205"/>
  <c r="CO205"/>
  <c r="CN205"/>
  <c r="CM205"/>
  <c r="CL205"/>
  <c r="CK205"/>
  <c r="CJ205"/>
  <c r="CI205"/>
  <c r="CH205"/>
  <c r="CG205"/>
  <c r="CF205"/>
  <c r="CE205"/>
  <c r="CD205"/>
  <c r="CC205"/>
  <c r="CB205"/>
  <c r="CA205"/>
  <c r="BZ205"/>
  <c r="BY205"/>
  <c r="BX205"/>
  <c r="BW205"/>
  <c r="BV205"/>
  <c r="BU205"/>
  <c r="BP205"/>
  <c r="BO205"/>
  <c r="BN205"/>
  <c r="BM205"/>
  <c r="BL205"/>
  <c r="BK205"/>
  <c r="BJ205"/>
  <c r="BI205"/>
  <c r="BH205"/>
  <c r="BG205"/>
  <c r="BF205"/>
  <c r="BE205"/>
  <c r="BD205"/>
  <c r="BC205"/>
  <c r="BB205"/>
  <c r="BA205"/>
  <c r="AZ205"/>
  <c r="AY205"/>
  <c r="AX205"/>
  <c r="AW205"/>
  <c r="AV205"/>
  <c r="AU205"/>
  <c r="AT205"/>
  <c r="AS205"/>
  <c r="AR205"/>
  <c r="AQ205"/>
  <c r="AP205"/>
  <c r="AO205"/>
  <c r="AN205"/>
  <c r="AM205"/>
  <c r="AL205"/>
  <c r="AG205"/>
  <c r="AG14" i="60818" s="1"/>
  <c r="AF205" i="60819"/>
  <c r="AF14" i="60818" s="1"/>
  <c r="AE205" i="60819"/>
  <c r="AE14" i="60818" s="1"/>
  <c r="AD205" i="60819"/>
  <c r="AD14" i="60818" s="1"/>
  <c r="AC205" i="60819"/>
  <c r="AC14" i="60818" s="1"/>
  <c r="AB205" i="60819"/>
  <c r="AB14" i="60818" s="1"/>
  <c r="AA205" i="60819"/>
  <c r="AA14" i="60818" s="1"/>
  <c r="Z205" i="60819"/>
  <c r="Z14" i="60818" s="1"/>
  <c r="Y205" i="60819"/>
  <c r="Y14" i="60818" s="1"/>
  <c r="X205" i="60819"/>
  <c r="X14" i="60818" s="1"/>
  <c r="W205" i="60819"/>
  <c r="W14" i="60818" s="1"/>
  <c r="V205" i="60819"/>
  <c r="V14" i="60818" s="1"/>
  <c r="U205" i="60819"/>
  <c r="T205"/>
  <c r="T14" i="60818" s="1"/>
  <c r="S205" i="60819"/>
  <c r="S14" i="60818" s="1"/>
  <c r="R205" i="60819"/>
  <c r="R14" i="60818" s="1"/>
  <c r="Q205" i="60819"/>
  <c r="Q14" i="60818" s="1"/>
  <c r="P205" i="60819"/>
  <c r="P14" i="60818" s="1"/>
  <c r="O205" i="60819"/>
  <c r="O14" i="60818" s="1"/>
  <c r="N205" i="60819"/>
  <c r="N14" i="60818" s="1"/>
  <c r="M205" i="60819"/>
  <c r="M14" i="60818" s="1"/>
  <c r="L205" i="60819"/>
  <c r="L14" i="60818" s="1"/>
  <c r="K205" i="60819"/>
  <c r="K14" i="60818" s="1"/>
  <c r="J205" i="60819"/>
  <c r="J14" i="60818" s="1"/>
  <c r="I205" i="60819"/>
  <c r="I14" i="60818" s="1"/>
  <c r="H205" i="60819"/>
  <c r="H14" i="60818" s="1"/>
  <c r="G205" i="60819"/>
  <c r="G14" i="60818" s="1"/>
  <c r="F205" i="60819"/>
  <c r="E205"/>
  <c r="D205"/>
  <c r="D14" i="60818" s="1"/>
  <c r="C205" i="60819"/>
  <c r="C14" i="60818" s="1"/>
  <c r="EH204" i="60819"/>
  <c r="AG141" i="60818" s="1"/>
  <c r="EG204" i="60819"/>
  <c r="AF141" i="60818" s="1"/>
  <c r="EF204" i="60819"/>
  <c r="AE141" i="60818" s="1"/>
  <c r="EE204" i="60819"/>
  <c r="AD141" i="60818" s="1"/>
  <c r="ED204" i="60819"/>
  <c r="AC141" i="60818" s="1"/>
  <c r="EC204" i="60819"/>
  <c r="AB141" i="60818" s="1"/>
  <c r="EB204" i="60819"/>
  <c r="AA141" i="60818" s="1"/>
  <c r="EA204" i="60819"/>
  <c r="Z141" i="60818" s="1"/>
  <c r="DZ204" i="60819"/>
  <c r="Y141" i="60818" s="1"/>
  <c r="DY204" i="60819"/>
  <c r="X141" i="60818" s="1"/>
  <c r="DX204" i="60819"/>
  <c r="W141" i="60818" s="1"/>
  <c r="DW204" i="60819"/>
  <c r="V141" i="60818" s="1"/>
  <c r="DV204" i="60819"/>
  <c r="U141" i="60818" s="1"/>
  <c r="DU204" i="60819"/>
  <c r="T141" i="60818" s="1"/>
  <c r="DT204" i="60819"/>
  <c r="S141" i="60818" s="1"/>
  <c r="DS204" i="60819"/>
  <c r="R141" i="60818" s="1"/>
  <c r="DR204" i="60819"/>
  <c r="Q141" i="60818" s="1"/>
  <c r="DQ204" i="60819"/>
  <c r="P141" i="60818" s="1"/>
  <c r="DP204" i="60819"/>
  <c r="O141" i="60818" s="1"/>
  <c r="DO204" i="60819"/>
  <c r="N141" i="60818" s="1"/>
  <c r="DN204" i="60819"/>
  <c r="M141" i="60818" s="1"/>
  <c r="DM204" i="60819"/>
  <c r="L141" i="60818" s="1"/>
  <c r="DL204" i="60819"/>
  <c r="K141" i="60818" s="1"/>
  <c r="DK204" i="60819"/>
  <c r="J141" i="60818" s="1"/>
  <c r="DJ204" i="60819"/>
  <c r="I141" i="60818" s="1"/>
  <c r="DI204" i="60819"/>
  <c r="H141" i="60818" s="1"/>
  <c r="DH204" i="60819"/>
  <c r="G141" i="60818" s="1"/>
  <c r="DG204" i="60819"/>
  <c r="F141" i="60818" s="1"/>
  <c r="DF204" i="60819"/>
  <c r="E141" i="60818" s="1"/>
  <c r="DE204" i="60819"/>
  <c r="D141" i="60818" s="1"/>
  <c r="DD204" i="60819"/>
  <c r="CY204"/>
  <c r="CX204"/>
  <c r="CW204"/>
  <c r="CV204"/>
  <c r="CU204"/>
  <c r="CT204"/>
  <c r="CS204"/>
  <c r="CR204"/>
  <c r="CQ204"/>
  <c r="CP204"/>
  <c r="CO204"/>
  <c r="CN204"/>
  <c r="CM204"/>
  <c r="CL204"/>
  <c r="CK204"/>
  <c r="CJ204"/>
  <c r="CI204"/>
  <c r="CH204"/>
  <c r="CG204"/>
  <c r="CF204"/>
  <c r="CE204"/>
  <c r="CD204"/>
  <c r="CC204"/>
  <c r="CB204"/>
  <c r="CA204"/>
  <c r="BZ204"/>
  <c r="BY204"/>
  <c r="BX204"/>
  <c r="BW204"/>
  <c r="BV204"/>
  <c r="BU204"/>
  <c r="BP204"/>
  <c r="BO204"/>
  <c r="BN204"/>
  <c r="BM204"/>
  <c r="BL204"/>
  <c r="BK204"/>
  <c r="BJ204"/>
  <c r="BI204"/>
  <c r="BH204"/>
  <c r="BG204"/>
  <c r="BF204"/>
  <c r="BE204"/>
  <c r="BD204"/>
  <c r="BC204"/>
  <c r="BB204"/>
  <c r="BA204"/>
  <c r="AZ204"/>
  <c r="AY204"/>
  <c r="AX204"/>
  <c r="AW204"/>
  <c r="AV204"/>
  <c r="AU204"/>
  <c r="AT204"/>
  <c r="AS204"/>
  <c r="AR204"/>
  <c r="AQ204"/>
  <c r="AP204"/>
  <c r="AO204"/>
  <c r="AN204"/>
  <c r="AM204"/>
  <c r="AL204"/>
  <c r="AG204"/>
  <c r="AG13" i="60818" s="1"/>
  <c r="AF204" i="60819"/>
  <c r="AF13" i="60818" s="1"/>
  <c r="AE204" i="60819"/>
  <c r="AE13" i="60818" s="1"/>
  <c r="AD204" i="60819"/>
  <c r="AD13" i="60818" s="1"/>
  <c r="AC204" i="60819"/>
  <c r="AC13" i="60818" s="1"/>
  <c r="AB204" i="60819"/>
  <c r="AB13" i="60818" s="1"/>
  <c r="AA204" i="60819"/>
  <c r="AA13" i="60818" s="1"/>
  <c r="Z204" i="60819"/>
  <c r="Z13" i="60818" s="1"/>
  <c r="Y204" i="60819"/>
  <c r="X204"/>
  <c r="X13" i="60818" s="1"/>
  <c r="W204" i="60819"/>
  <c r="W13" i="60818" s="1"/>
  <c r="V204" i="60819"/>
  <c r="U204"/>
  <c r="U13" i="60818" s="1"/>
  <c r="T204" i="60819"/>
  <c r="T13" i="60818" s="1"/>
  <c r="S204" i="60819"/>
  <c r="S13" i="60818" s="1"/>
  <c r="R204" i="60819"/>
  <c r="R13" i="60818" s="1"/>
  <c r="Q204" i="60819"/>
  <c r="Q13" i="60818" s="1"/>
  <c r="P204" i="60819"/>
  <c r="P13" i="60818" s="1"/>
  <c r="O204" i="60819"/>
  <c r="O13" i="60818" s="1"/>
  <c r="N204" i="60819"/>
  <c r="N13" i="60818" s="1"/>
  <c r="M204" i="60819"/>
  <c r="M13" i="60818" s="1"/>
  <c r="L204" i="60819"/>
  <c r="L13" i="60818" s="1"/>
  <c r="K204" i="60819"/>
  <c r="K13" i="60818" s="1"/>
  <c r="J204" i="60819"/>
  <c r="J13" i="60818" s="1"/>
  <c r="I204" i="60819"/>
  <c r="H204"/>
  <c r="H13" i="60818" s="1"/>
  <c r="G204" i="60819"/>
  <c r="G13" i="60818" s="1"/>
  <c r="F204" i="60819"/>
  <c r="F13" i="60818" s="1"/>
  <c r="E204" i="60819"/>
  <c r="E13" i="60818" s="1"/>
  <c r="D204" i="60819"/>
  <c r="D13" i="60818" s="1"/>
  <c r="C204" i="60819"/>
  <c r="C13" i="60818" s="1"/>
  <c r="EH203" i="60819"/>
  <c r="AG140" i="60818" s="1"/>
  <c r="EG203" i="60819"/>
  <c r="AF140" i="60818" s="1"/>
  <c r="EF203" i="60819"/>
  <c r="AE140" i="60818" s="1"/>
  <c r="EE203" i="60819"/>
  <c r="AD140" i="60818" s="1"/>
  <c r="ED203" i="60819"/>
  <c r="AC140" i="60818" s="1"/>
  <c r="EC203" i="60819"/>
  <c r="AB140" i="60818" s="1"/>
  <c r="EB203" i="60819"/>
  <c r="AA140" i="60818" s="1"/>
  <c r="EA203" i="60819"/>
  <c r="Z140" i="60818" s="1"/>
  <c r="DZ203" i="60819"/>
  <c r="DY203"/>
  <c r="X140" i="60818" s="1"/>
  <c r="DX203" i="60819"/>
  <c r="W140" i="60818" s="1"/>
  <c r="DW203" i="60819"/>
  <c r="V140" i="60818" s="1"/>
  <c r="DV203" i="60819"/>
  <c r="U140" i="60818" s="1"/>
  <c r="DU203" i="60819"/>
  <c r="T140" i="60818" s="1"/>
  <c r="DT203" i="60819"/>
  <c r="S140" i="60818" s="1"/>
  <c r="DS203" i="60819"/>
  <c r="R140" i="60818" s="1"/>
  <c r="DR203" i="60819"/>
  <c r="Q140" i="60818" s="1"/>
  <c r="DQ203" i="60819"/>
  <c r="DP203"/>
  <c r="O140" i="60818" s="1"/>
  <c r="DO203" i="60819"/>
  <c r="N140" i="60818" s="1"/>
  <c r="DN203" i="60819"/>
  <c r="M140" i="60818" s="1"/>
  <c r="DM203" i="60819"/>
  <c r="L140" i="60818" s="1"/>
  <c r="DL203" i="60819"/>
  <c r="K140" i="60818" s="1"/>
  <c r="DK203" i="60819"/>
  <c r="J140" i="60818" s="1"/>
  <c r="DJ203" i="60819"/>
  <c r="I140" i="60818" s="1"/>
  <c r="DI203" i="60819"/>
  <c r="H140" i="60818" s="1"/>
  <c r="DH203" i="60819"/>
  <c r="G140" i="60818" s="1"/>
  <c r="DG203" i="60819"/>
  <c r="F140" i="60818" s="1"/>
  <c r="DF203" i="60819"/>
  <c r="E140" i="60818" s="1"/>
  <c r="DE203" i="60819"/>
  <c r="DD203"/>
  <c r="C140" i="60818" s="1"/>
  <c r="CY203" i="60819"/>
  <c r="CX203"/>
  <c r="CW203"/>
  <c r="CV203"/>
  <c r="CU203"/>
  <c r="CT203"/>
  <c r="CS203"/>
  <c r="CR203"/>
  <c r="CQ203"/>
  <c r="CP203"/>
  <c r="CO203"/>
  <c r="CN203"/>
  <c r="CM203"/>
  <c r="CL203"/>
  <c r="CK203"/>
  <c r="CJ203"/>
  <c r="CI203"/>
  <c r="CH203"/>
  <c r="CG203"/>
  <c r="CF203"/>
  <c r="CE203"/>
  <c r="CD203"/>
  <c r="CC203"/>
  <c r="CB203"/>
  <c r="CA203"/>
  <c r="BZ203"/>
  <c r="BY203"/>
  <c r="BX203"/>
  <c r="BW203"/>
  <c r="BV203"/>
  <c r="BU203"/>
  <c r="BP203"/>
  <c r="BO203"/>
  <c r="BN203"/>
  <c r="BM203"/>
  <c r="BL203"/>
  <c r="BK203"/>
  <c r="BJ203"/>
  <c r="BI203"/>
  <c r="BH203"/>
  <c r="BG203"/>
  <c r="BF203"/>
  <c r="BE203"/>
  <c r="BD203"/>
  <c r="BC203"/>
  <c r="BB203"/>
  <c r="BA203"/>
  <c r="AZ203"/>
  <c r="AY203"/>
  <c r="AX203"/>
  <c r="AW203"/>
  <c r="AV203"/>
  <c r="AU203"/>
  <c r="AT203"/>
  <c r="AS203"/>
  <c r="AR203"/>
  <c r="AQ203"/>
  <c r="AP203"/>
  <c r="AO203"/>
  <c r="AN203"/>
  <c r="AM203"/>
  <c r="AL203"/>
  <c r="AG203"/>
  <c r="AG12" i="60818" s="1"/>
  <c r="AF203" i="60819"/>
  <c r="AF12" i="60818" s="1"/>
  <c r="AE203" i="60819"/>
  <c r="AE12" i="60818" s="1"/>
  <c r="AD203" i="60819"/>
  <c r="AD12" i="60818" s="1"/>
  <c r="AC203" i="60819"/>
  <c r="AB203"/>
  <c r="AB12" i="60818" s="1"/>
  <c r="AA203" i="60819"/>
  <c r="AA12" i="60818" s="1"/>
  <c r="Z203" i="60819"/>
  <c r="Z12" i="60818" s="1"/>
  <c r="Y203" i="60819"/>
  <c r="Y12" i="60818" s="1"/>
  <c r="X203" i="60819"/>
  <c r="X12" i="60818" s="1"/>
  <c r="W203" i="60819"/>
  <c r="W12" i="60818" s="1"/>
  <c r="V203" i="60819"/>
  <c r="V12" i="60818" s="1"/>
  <c r="U203" i="60819"/>
  <c r="U12" i="60818" s="1"/>
  <c r="T203" i="60819"/>
  <c r="T12" i="60818" s="1"/>
  <c r="S203" i="60819"/>
  <c r="S12" i="60818" s="1"/>
  <c r="R203" i="60819"/>
  <c r="R12" i="60818" s="1"/>
  <c r="Q203" i="60819"/>
  <c r="Q12" i="60818" s="1"/>
  <c r="P203" i="60819"/>
  <c r="P12" i="60818" s="1"/>
  <c r="O203" i="60819"/>
  <c r="O12" i="60818" s="1"/>
  <c r="N203" i="60819"/>
  <c r="M203"/>
  <c r="L203"/>
  <c r="L12" i="60818" s="1"/>
  <c r="K203" i="60819"/>
  <c r="K12" i="60818" s="1"/>
  <c r="J203" i="60819"/>
  <c r="J12" i="60818" s="1"/>
  <c r="I203" i="60819"/>
  <c r="I12" i="60818" s="1"/>
  <c r="H203" i="60819"/>
  <c r="H12" i="60818" s="1"/>
  <c r="G203" i="60819"/>
  <c r="G12" i="60818" s="1"/>
  <c r="F203" i="60819"/>
  <c r="F12" i="60818" s="1"/>
  <c r="E203" i="60819"/>
  <c r="E12" i="60818" s="1"/>
  <c r="D203" i="60819"/>
  <c r="D12" i="60818" s="1"/>
  <c r="C203" i="60819"/>
  <c r="C12" i="60818" s="1"/>
  <c r="EH202" i="60819"/>
  <c r="EG202"/>
  <c r="AF139" i="60818" s="1"/>
  <c r="EF202" i="60819"/>
  <c r="AE139" i="60818" s="1"/>
  <c r="EE202" i="60819"/>
  <c r="AD139" i="60818" s="1"/>
  <c r="ED202" i="60819"/>
  <c r="AC139" i="60818" s="1"/>
  <c r="EC202" i="60819"/>
  <c r="AB139" i="60818" s="1"/>
  <c r="EB202" i="60819"/>
  <c r="AA139" i="60818" s="1"/>
  <c r="EA202" i="60819"/>
  <c r="Z139" i="60818" s="1"/>
  <c r="DZ202" i="60819"/>
  <c r="Y139" i="60818" s="1"/>
  <c r="DY202" i="60819"/>
  <c r="X139" i="60818" s="1"/>
  <c r="DX202" i="60819"/>
  <c r="W139" i="60818" s="1"/>
  <c r="DW202" i="60819"/>
  <c r="V139" i="60818" s="1"/>
  <c r="DV202" i="60819"/>
  <c r="U139" i="60818" s="1"/>
  <c r="DU202" i="60819"/>
  <c r="T139" i="60818" s="1"/>
  <c r="DT202" i="60819"/>
  <c r="S139" i="60818" s="1"/>
  <c r="DS202" i="60819"/>
  <c r="R139" i="60818" s="1"/>
  <c r="DR202" i="60819"/>
  <c r="Q139" i="60818" s="1"/>
  <c r="DQ202" i="60819"/>
  <c r="P139" i="60818" s="1"/>
  <c r="DP202" i="60819"/>
  <c r="O139" i="60818" s="1"/>
  <c r="DO202" i="60819"/>
  <c r="N139" i="60818" s="1"/>
  <c r="DN202" i="60819"/>
  <c r="M139" i="60818" s="1"/>
  <c r="DM202" i="60819"/>
  <c r="L139" i="60818" s="1"/>
  <c r="DL202" i="60819"/>
  <c r="K139" i="60818" s="1"/>
  <c r="DK202" i="60819"/>
  <c r="J139" i="60818" s="1"/>
  <c r="DJ202" i="60819"/>
  <c r="I139" i="60818" s="1"/>
  <c r="DI202" i="60819"/>
  <c r="H139" i="60818" s="1"/>
  <c r="DH202" i="60819"/>
  <c r="G139" i="60818" s="1"/>
  <c r="DG202" i="60819"/>
  <c r="F139" i="60818" s="1"/>
  <c r="DF202" i="60819"/>
  <c r="E139" i="60818" s="1"/>
  <c r="DE202" i="60819"/>
  <c r="D139" i="60818" s="1"/>
  <c r="DD202" i="60819"/>
  <c r="C139" i="60818" s="1"/>
  <c r="CY202" i="60819"/>
  <c r="CX202"/>
  <c r="CW202"/>
  <c r="CV202"/>
  <c r="CU202"/>
  <c r="CT202"/>
  <c r="CS202"/>
  <c r="CR202"/>
  <c r="CQ202"/>
  <c r="CP202"/>
  <c r="CO202"/>
  <c r="CN202"/>
  <c r="CM202"/>
  <c r="CL202"/>
  <c r="CK202"/>
  <c r="CJ202"/>
  <c r="CI202"/>
  <c r="CH202"/>
  <c r="CG202"/>
  <c r="CF202"/>
  <c r="CE202"/>
  <c r="CD202"/>
  <c r="CC202"/>
  <c r="CB202"/>
  <c r="CA202"/>
  <c r="BZ202"/>
  <c r="BY202"/>
  <c r="BX202"/>
  <c r="BW202"/>
  <c r="BV202"/>
  <c r="BU202"/>
  <c r="BP202"/>
  <c r="BO202"/>
  <c r="BN202"/>
  <c r="BM202"/>
  <c r="BL202"/>
  <c r="BK202"/>
  <c r="BJ202"/>
  <c r="BI202"/>
  <c r="BH202"/>
  <c r="BG202"/>
  <c r="BF202"/>
  <c r="BE202"/>
  <c r="BD202"/>
  <c r="BC202"/>
  <c r="BB202"/>
  <c r="BA202"/>
  <c r="AZ202"/>
  <c r="AY202"/>
  <c r="AX202"/>
  <c r="AW202"/>
  <c r="AV202"/>
  <c r="AU202"/>
  <c r="AT202"/>
  <c r="AS202"/>
  <c r="AR202"/>
  <c r="AQ202"/>
  <c r="AP202"/>
  <c r="AO202"/>
  <c r="AN202"/>
  <c r="AM202"/>
  <c r="AL202"/>
  <c r="AG202"/>
  <c r="AF202"/>
  <c r="AF11" i="60818" s="1"/>
  <c r="AE202" i="60819"/>
  <c r="AE11" i="60818" s="1"/>
  <c r="AD202" i="60819"/>
  <c r="AD11" i="60818" s="1"/>
  <c r="AC202" i="60819"/>
  <c r="AC11" i="60818" s="1"/>
  <c r="AB202" i="60819"/>
  <c r="AB11" i="60818" s="1"/>
  <c r="AA202" i="60819"/>
  <c r="AA11" i="60818" s="1"/>
  <c r="Z202" i="60819"/>
  <c r="Z11" i="60818" s="1"/>
  <c r="Y202" i="60819"/>
  <c r="Y11" i="60818" s="1"/>
  <c r="X202" i="60819"/>
  <c r="X11" i="60818" s="1"/>
  <c r="W202" i="60819"/>
  <c r="W11" i="60818" s="1"/>
  <c r="V202" i="60819"/>
  <c r="V11" i="60818" s="1"/>
  <c r="U202" i="60819"/>
  <c r="U11" i="60818" s="1"/>
  <c r="T202" i="60819"/>
  <c r="T11" i="60818" s="1"/>
  <c r="S202" i="60819"/>
  <c r="S11" i="60818" s="1"/>
  <c r="R202" i="60819"/>
  <c r="R11" i="60818" s="1"/>
  <c r="Q202" i="60819"/>
  <c r="P202"/>
  <c r="P11" i="60818" s="1"/>
  <c r="O202" i="60819"/>
  <c r="O11" i="60818" s="1"/>
  <c r="N202" i="60819"/>
  <c r="M202"/>
  <c r="M11" i="60818" s="1"/>
  <c r="L202" i="60819"/>
  <c r="L11" i="60818" s="1"/>
  <c r="K202" i="60819"/>
  <c r="K11" i="60818" s="1"/>
  <c r="J202" i="60819"/>
  <c r="J11" i="60818" s="1"/>
  <c r="I202" i="60819"/>
  <c r="I11" i="60818" s="1"/>
  <c r="H202" i="60819"/>
  <c r="H11" i="60818" s="1"/>
  <c r="G202" i="60819"/>
  <c r="G11" i="60818" s="1"/>
  <c r="F202" i="60819"/>
  <c r="F11" i="60818" s="1"/>
  <c r="E202" i="60819"/>
  <c r="E11" i="60818" s="1"/>
  <c r="D202" i="60819"/>
  <c r="D11" i="60818" s="1"/>
  <c r="C202" i="60819"/>
  <c r="C11" i="60818" s="1"/>
  <c r="EH201" i="60819"/>
  <c r="AG138" i="60818" s="1"/>
  <c r="EG201" i="60819"/>
  <c r="AF138" i="60818" s="1"/>
  <c r="EF201" i="60819"/>
  <c r="AE138" i="60818" s="1"/>
  <c r="EE201" i="60819"/>
  <c r="AD138" i="60818" s="1"/>
  <c r="ED201" i="60819"/>
  <c r="AC138" i="60818" s="1"/>
  <c r="EC201" i="60819"/>
  <c r="AB138" i="60818" s="1"/>
  <c r="EB201" i="60819"/>
  <c r="AA138" i="60818" s="1"/>
  <c r="EA201" i="60819"/>
  <c r="Z138" i="60818" s="1"/>
  <c r="DZ201" i="60819"/>
  <c r="Y138" i="60818" s="1"/>
  <c r="DY201" i="60819"/>
  <c r="X138" i="60818" s="1"/>
  <c r="DX201" i="60819"/>
  <c r="W138" i="60818" s="1"/>
  <c r="DW201" i="60819"/>
  <c r="V138" i="60818" s="1"/>
  <c r="DV201" i="60819"/>
  <c r="U138" i="60818" s="1"/>
  <c r="DU201" i="60819"/>
  <c r="T138" i="60818" s="1"/>
  <c r="DT201" i="60819"/>
  <c r="S138" i="60818" s="1"/>
  <c r="DS201" i="60819"/>
  <c r="R138" i="60818" s="1"/>
  <c r="DR201" i="60819"/>
  <c r="Q138" i="60818" s="1"/>
  <c r="DQ201" i="60819"/>
  <c r="P138" i="60818" s="1"/>
  <c r="DP201" i="60819"/>
  <c r="O138" i="60818" s="1"/>
  <c r="DO201" i="60819"/>
  <c r="N138" i="60818" s="1"/>
  <c r="DN201" i="60819"/>
  <c r="M138" i="60818" s="1"/>
  <c r="DM201" i="60819"/>
  <c r="L138" i="60818" s="1"/>
  <c r="DL201" i="60819"/>
  <c r="K138" i="60818" s="1"/>
  <c r="DK201" i="60819"/>
  <c r="J138" i="60818" s="1"/>
  <c r="DJ201" i="60819"/>
  <c r="I138" i="60818" s="1"/>
  <c r="DI201" i="60819"/>
  <c r="H138" i="60818" s="1"/>
  <c r="DH201" i="60819"/>
  <c r="G138" i="60818" s="1"/>
  <c r="DG201" i="60819"/>
  <c r="F138" i="60818" s="1"/>
  <c r="DF201" i="60819"/>
  <c r="E138" i="60818" s="1"/>
  <c r="DE201" i="60819"/>
  <c r="D138" i="60818" s="1"/>
  <c r="DD201" i="60819"/>
  <c r="C138" i="60818" s="1"/>
  <c r="CY201" i="60819"/>
  <c r="CX201"/>
  <c r="CW201"/>
  <c r="CV201"/>
  <c r="CU201"/>
  <c r="CT201"/>
  <c r="CS201"/>
  <c r="CR201"/>
  <c r="CQ201"/>
  <c r="CP201"/>
  <c r="CO201"/>
  <c r="CN201"/>
  <c r="CM201"/>
  <c r="CL201"/>
  <c r="CK201"/>
  <c r="CJ201"/>
  <c r="CI201"/>
  <c r="CH201"/>
  <c r="CG201"/>
  <c r="CF201"/>
  <c r="CE201"/>
  <c r="CD201"/>
  <c r="CC201"/>
  <c r="CB201"/>
  <c r="CA201"/>
  <c r="BZ201"/>
  <c r="BY201"/>
  <c r="BX201"/>
  <c r="BW201"/>
  <c r="BV201"/>
  <c r="BU201"/>
  <c r="BP201"/>
  <c r="BO201"/>
  <c r="BN201"/>
  <c r="BM201"/>
  <c r="BL201"/>
  <c r="BK201"/>
  <c r="BJ201"/>
  <c r="BI201"/>
  <c r="BH201"/>
  <c r="BG201"/>
  <c r="BF201"/>
  <c r="BE201"/>
  <c r="BD201"/>
  <c r="BC201"/>
  <c r="BB201"/>
  <c r="BA201"/>
  <c r="AZ201"/>
  <c r="AY201"/>
  <c r="AX201"/>
  <c r="AW201"/>
  <c r="AV201"/>
  <c r="AU201"/>
  <c r="AT201"/>
  <c r="AS201"/>
  <c r="AR201"/>
  <c r="AQ201"/>
  <c r="AP201"/>
  <c r="AO201"/>
  <c r="AN201"/>
  <c r="AM201"/>
  <c r="AL201"/>
  <c r="AG201"/>
  <c r="AG10" i="60818" s="1"/>
  <c r="AF201" i="60819"/>
  <c r="AF10" i="60818" s="1"/>
  <c r="AE201" i="60819"/>
  <c r="AE10" i="60818" s="1"/>
  <c r="AD201" i="60819"/>
  <c r="AD10" i="60818" s="1"/>
  <c r="AC201" i="60819"/>
  <c r="AC10" i="60818" s="1"/>
  <c r="AB201" i="60819"/>
  <c r="AB10" i="60818" s="1"/>
  <c r="AA201" i="60819"/>
  <c r="AA10" i="60818" s="1"/>
  <c r="Z201" i="60819"/>
  <c r="Z10" i="60818" s="1"/>
  <c r="Y201" i="60819"/>
  <c r="Y10" i="60818" s="1"/>
  <c r="X201" i="60819"/>
  <c r="X10" i="60818" s="1"/>
  <c r="W201" i="60819"/>
  <c r="W10" i="60818" s="1"/>
  <c r="V201" i="60819"/>
  <c r="V10" i="60818" s="1"/>
  <c r="U201" i="60819"/>
  <c r="T201"/>
  <c r="T10" i="60818" s="1"/>
  <c r="S201" i="60819"/>
  <c r="S10" i="60818" s="1"/>
  <c r="R201" i="60819"/>
  <c r="R10" i="60818" s="1"/>
  <c r="Q201" i="60819"/>
  <c r="Q10" i="60818" s="1"/>
  <c r="P201" i="60819"/>
  <c r="P10" i="60818" s="1"/>
  <c r="O201" i="60819"/>
  <c r="O10" i="60818" s="1"/>
  <c r="N201" i="60819"/>
  <c r="N10" i="60818" s="1"/>
  <c r="M201" i="60819"/>
  <c r="M10" i="60818" s="1"/>
  <c r="L201" i="60819"/>
  <c r="K201"/>
  <c r="K10" i="60818" s="1"/>
  <c r="J201" i="60819"/>
  <c r="I201"/>
  <c r="I10" i="60818" s="1"/>
  <c r="H201" i="60819"/>
  <c r="H10" i="60818" s="1"/>
  <c r="G201" i="60819"/>
  <c r="G10" i="60818" s="1"/>
  <c r="F201" i="60819"/>
  <c r="F10" i="60818" s="1"/>
  <c r="E201" i="60819"/>
  <c r="D201"/>
  <c r="D10" i="60818" s="1"/>
  <c r="C201" i="60819"/>
  <c r="C10" i="60818" s="1"/>
  <c r="EH200" i="60819"/>
  <c r="EG200"/>
  <c r="AF137" i="60818" s="1"/>
  <c r="EF200" i="60819"/>
  <c r="AE137" i="60818" s="1"/>
  <c r="EE200" i="60819"/>
  <c r="AD137" i="60818" s="1"/>
  <c r="ED200" i="60819"/>
  <c r="AC137" i="60818" s="1"/>
  <c r="EC200" i="60819"/>
  <c r="AB137" i="60818" s="1"/>
  <c r="EB200" i="60819"/>
  <c r="AA137" i="60818" s="1"/>
  <c r="EA200" i="60819"/>
  <c r="Z137" i="60818" s="1"/>
  <c r="DZ200" i="60819"/>
  <c r="Y137" i="60818" s="1"/>
  <c r="DY200" i="60819"/>
  <c r="DX200"/>
  <c r="W137" i="60818" s="1"/>
  <c r="DW200" i="60819"/>
  <c r="V137" i="60818" s="1"/>
  <c r="DV200" i="60819"/>
  <c r="U137" i="60818" s="1"/>
  <c r="DU200" i="60819"/>
  <c r="T137" i="60818" s="1"/>
  <c r="DT200" i="60819"/>
  <c r="S137" i="60818" s="1"/>
  <c r="DS200" i="60819"/>
  <c r="R137" i="60818" s="1"/>
  <c r="DR200" i="60819"/>
  <c r="Q137" i="60818" s="1"/>
  <c r="DQ200" i="60819"/>
  <c r="P137" i="60818" s="1"/>
  <c r="DP200" i="60819"/>
  <c r="O137" i="60818" s="1"/>
  <c r="DO200" i="60819"/>
  <c r="N137" i="60818" s="1"/>
  <c r="DN200" i="60819"/>
  <c r="M137" i="60818" s="1"/>
  <c r="DM200" i="60819"/>
  <c r="L137" i="60818" s="1"/>
  <c r="DL200" i="60819"/>
  <c r="K137" i="60818" s="1"/>
  <c r="DK200" i="60819"/>
  <c r="J137" i="60818" s="1"/>
  <c r="DJ200" i="60819"/>
  <c r="I137" i="60818" s="1"/>
  <c r="DI200" i="60819"/>
  <c r="H137" i="60818" s="1"/>
  <c r="DH200" i="60819"/>
  <c r="G137" i="60818" s="1"/>
  <c r="DG200" i="60819"/>
  <c r="F137" i="60818" s="1"/>
  <c r="DF200" i="60819"/>
  <c r="E137" i="60818" s="1"/>
  <c r="DE200" i="60819"/>
  <c r="D137" i="60818" s="1"/>
  <c r="DD200" i="60819"/>
  <c r="CY200"/>
  <c r="CX200"/>
  <c r="CW200"/>
  <c r="CV200"/>
  <c r="CU200"/>
  <c r="CT200"/>
  <c r="CS200"/>
  <c r="CR200"/>
  <c r="CQ200"/>
  <c r="CP200"/>
  <c r="CO200"/>
  <c r="CN200"/>
  <c r="CM200"/>
  <c r="CL200"/>
  <c r="CK200"/>
  <c r="CJ200"/>
  <c r="CI200"/>
  <c r="CH200"/>
  <c r="CG200"/>
  <c r="CF200"/>
  <c r="CE200"/>
  <c r="CD200"/>
  <c r="CC200"/>
  <c r="CB200"/>
  <c r="CA200"/>
  <c r="BZ200"/>
  <c r="BY200"/>
  <c r="BX200"/>
  <c r="BW200"/>
  <c r="BV200"/>
  <c r="BU200"/>
  <c r="BP200"/>
  <c r="BO200"/>
  <c r="BN200"/>
  <c r="BM200"/>
  <c r="BL200"/>
  <c r="BK200"/>
  <c r="BJ200"/>
  <c r="BI200"/>
  <c r="BH200"/>
  <c r="BG200"/>
  <c r="BF200"/>
  <c r="BE200"/>
  <c r="BD200"/>
  <c r="BC200"/>
  <c r="BB200"/>
  <c r="BA200"/>
  <c r="AZ200"/>
  <c r="AY200"/>
  <c r="AX200"/>
  <c r="AW200"/>
  <c r="AV200"/>
  <c r="AU200"/>
  <c r="AT200"/>
  <c r="AS200"/>
  <c r="AR200"/>
  <c r="AQ200"/>
  <c r="AP200"/>
  <c r="AO200"/>
  <c r="AN200"/>
  <c r="AM200"/>
  <c r="AL200"/>
  <c r="AG200"/>
  <c r="AG9" i="60818" s="1"/>
  <c r="AF200" i="60819"/>
  <c r="AF9" i="60818" s="1"/>
  <c r="AE200" i="60819"/>
  <c r="AE9" i="60818" s="1"/>
  <c r="AD200" i="60819"/>
  <c r="AD9" i="60818" s="1"/>
  <c r="AC200" i="60819"/>
  <c r="AB200"/>
  <c r="AB9" i="60818" s="1"/>
  <c r="AA200" i="60819"/>
  <c r="AA9" i="60818" s="1"/>
  <c r="Z200" i="60819"/>
  <c r="Z9" i="60818" s="1"/>
  <c r="Y200" i="60819"/>
  <c r="Y9" i="60818" s="1"/>
  <c r="X200" i="60819"/>
  <c r="X9" i="60818" s="1"/>
  <c r="W200" i="60819"/>
  <c r="W9" i="60818" s="1"/>
  <c r="V200" i="60819"/>
  <c r="V9" i="60818" s="1"/>
  <c r="U200" i="60819"/>
  <c r="T200"/>
  <c r="T9" i="60818" s="1"/>
  <c r="S200" i="60819"/>
  <c r="S9" i="60818" s="1"/>
  <c r="R200" i="60819"/>
  <c r="R9" i="60818" s="1"/>
  <c r="Q200" i="60819"/>
  <c r="Q9" i="60818" s="1"/>
  <c r="P200" i="60819"/>
  <c r="P9" i="60818" s="1"/>
  <c r="O200" i="60819"/>
  <c r="O9" i="60818" s="1"/>
  <c r="N200" i="60819"/>
  <c r="N9" i="60818" s="1"/>
  <c r="M200" i="60819"/>
  <c r="L200"/>
  <c r="L9" i="60818" s="1"/>
  <c r="K200" i="60819"/>
  <c r="K9" i="60818" s="1"/>
  <c r="J200" i="60819"/>
  <c r="J9" i="60818" s="1"/>
  <c r="I200" i="60819"/>
  <c r="I9" i="60818" s="1"/>
  <c r="H200" i="60819"/>
  <c r="H9" i="60818" s="1"/>
  <c r="G200" i="60819"/>
  <c r="G9" i="60818" s="1"/>
  <c r="F200" i="60819"/>
  <c r="F9" i="60818" s="1"/>
  <c r="E200" i="60819"/>
  <c r="D200"/>
  <c r="D9" i="60818" s="1"/>
  <c r="C200" i="60819"/>
  <c r="C9" i="60818" s="1"/>
  <c r="EH199" i="60819"/>
  <c r="AG136" i="60818" s="1"/>
  <c r="EG199" i="60819"/>
  <c r="AF136" i="60818" s="1"/>
  <c r="EF199" i="60819"/>
  <c r="AE136" i="60818" s="1"/>
  <c r="EE199" i="60819"/>
  <c r="AD136" i="60818" s="1"/>
  <c r="ED199" i="60819"/>
  <c r="AC136" i="60818" s="1"/>
  <c r="EC199" i="60819"/>
  <c r="AB136" i="60818" s="1"/>
  <c r="EB199" i="60819"/>
  <c r="AA136" i="60818" s="1"/>
  <c r="EA199" i="60819"/>
  <c r="Z136" i="60818" s="1"/>
  <c r="DZ199" i="60819"/>
  <c r="Y136" i="60818" s="1"/>
  <c r="DY199" i="60819"/>
  <c r="X136" i="60818" s="1"/>
  <c r="DX199" i="60819"/>
  <c r="W136" i="60818" s="1"/>
  <c r="DW199" i="60819"/>
  <c r="V136" i="60818" s="1"/>
  <c r="DV199" i="60819"/>
  <c r="U136" i="60818" s="1"/>
  <c r="DU199" i="60819"/>
  <c r="T136" i="60818" s="1"/>
  <c r="DT199" i="60819"/>
  <c r="S136" i="60818" s="1"/>
  <c r="DS199" i="60819"/>
  <c r="R136" i="60818" s="1"/>
  <c r="DR199" i="60819"/>
  <c r="Q136" i="60818" s="1"/>
  <c r="DQ199" i="60819"/>
  <c r="P136" i="60818" s="1"/>
  <c r="DP199" i="60819"/>
  <c r="O136" i="60818" s="1"/>
  <c r="DO199" i="60819"/>
  <c r="N136" i="60818" s="1"/>
  <c r="DN199" i="60819"/>
  <c r="M136" i="60818" s="1"/>
  <c r="DM199" i="60819"/>
  <c r="L136" i="60818" s="1"/>
  <c r="DL199" i="60819"/>
  <c r="K136" i="60818" s="1"/>
  <c r="DK199" i="60819"/>
  <c r="J136" i="60818" s="1"/>
  <c r="DJ199" i="60819"/>
  <c r="I136" i="60818" s="1"/>
  <c r="DI199" i="60819"/>
  <c r="H136" i="60818" s="1"/>
  <c r="DH199" i="60819"/>
  <c r="G136" i="60818" s="1"/>
  <c r="DG199" i="60819"/>
  <c r="F136" i="60818" s="1"/>
  <c r="DF199" i="60819"/>
  <c r="E136" i="60818" s="1"/>
  <c r="DE199" i="60819"/>
  <c r="DD199"/>
  <c r="C136" i="60818" s="1"/>
  <c r="CY199" i="60819"/>
  <c r="CX199"/>
  <c r="CW199"/>
  <c r="CV199"/>
  <c r="CU199"/>
  <c r="CT199"/>
  <c r="CS199"/>
  <c r="CR199"/>
  <c r="CQ199"/>
  <c r="CP199"/>
  <c r="CO199"/>
  <c r="CN199"/>
  <c r="CM199"/>
  <c r="CL199"/>
  <c r="CK199"/>
  <c r="CJ199"/>
  <c r="CI199"/>
  <c r="CH199"/>
  <c r="CG199"/>
  <c r="CF199"/>
  <c r="CE199"/>
  <c r="CD199"/>
  <c r="CC199"/>
  <c r="CB199"/>
  <c r="CA199"/>
  <c r="BZ199"/>
  <c r="BY199"/>
  <c r="BX199"/>
  <c r="BW199"/>
  <c r="BV199"/>
  <c r="BU199"/>
  <c r="BP199"/>
  <c r="BO199"/>
  <c r="BN199"/>
  <c r="BM199"/>
  <c r="BL199"/>
  <c r="BK199"/>
  <c r="BJ199"/>
  <c r="BI199"/>
  <c r="BH199"/>
  <c r="BG199"/>
  <c r="BF199"/>
  <c r="BE199"/>
  <c r="BD199"/>
  <c r="BC199"/>
  <c r="BB199"/>
  <c r="BA199"/>
  <c r="AZ199"/>
  <c r="AY199"/>
  <c r="AX199"/>
  <c r="AW199"/>
  <c r="AV199"/>
  <c r="AU199"/>
  <c r="AT199"/>
  <c r="AS199"/>
  <c r="AR199"/>
  <c r="AQ199"/>
  <c r="AP199"/>
  <c r="AO199"/>
  <c r="AN199"/>
  <c r="AM199"/>
  <c r="AL199"/>
  <c r="AG199"/>
  <c r="AG8" i="60818" s="1"/>
  <c r="AF199" i="60819"/>
  <c r="AF8" i="60818" s="1"/>
  <c r="AE199" i="60819"/>
  <c r="AE8" i="60818" s="1"/>
  <c r="AD199" i="60819"/>
  <c r="AD8" i="60818" s="1"/>
  <c r="AC199" i="60819"/>
  <c r="AB199"/>
  <c r="AB8" i="60818" s="1"/>
  <c r="AA199" i="60819"/>
  <c r="AA8" i="60818" s="1"/>
  <c r="Z199" i="60819"/>
  <c r="Z8" i="60818" s="1"/>
  <c r="Y199" i="60819"/>
  <c r="Y8" i="60818" s="1"/>
  <c r="X199" i="60819"/>
  <c r="X8" i="60818" s="1"/>
  <c r="W199" i="60819"/>
  <c r="W8" i="60818" s="1"/>
  <c r="V199" i="60819"/>
  <c r="V8" i="60818" s="1"/>
  <c r="U199" i="60819"/>
  <c r="U8" i="60818" s="1"/>
  <c r="T199" i="60819"/>
  <c r="T8" i="60818" s="1"/>
  <c r="S199" i="60819"/>
  <c r="S8" i="60818" s="1"/>
  <c r="R199" i="60819"/>
  <c r="R8" i="60818" s="1"/>
  <c r="Q199" i="60819"/>
  <c r="P199"/>
  <c r="P8" i="60818" s="1"/>
  <c r="O199" i="60819"/>
  <c r="O8" i="60818" s="1"/>
  <c r="N199" i="60819"/>
  <c r="N8" i="60818" s="1"/>
  <c r="M199" i="60819"/>
  <c r="M8" i="60818" s="1"/>
  <c r="L199" i="60819"/>
  <c r="L8" i="60818" s="1"/>
  <c r="K199" i="60819"/>
  <c r="K8" i="60818" s="1"/>
  <c r="J199" i="60819"/>
  <c r="J8" i="60818" s="1"/>
  <c r="I199" i="60819"/>
  <c r="I8" i="60818" s="1"/>
  <c r="H199" i="60819"/>
  <c r="H8" i="60818" s="1"/>
  <c r="G199" i="60819"/>
  <c r="G8" i="60818" s="1"/>
  <c r="F199" i="60819"/>
  <c r="F8" i="60818" s="1"/>
  <c r="E199" i="60819"/>
  <c r="D199"/>
  <c r="D8" i="60818" s="1"/>
  <c r="C199" i="60819"/>
  <c r="EH198"/>
  <c r="AG135" i="60818" s="1"/>
  <c r="EG198" i="60819"/>
  <c r="AF135" i="60818" s="1"/>
  <c r="EF198" i="60819"/>
  <c r="AE135" i="60818" s="1"/>
  <c r="EE198" i="60819"/>
  <c r="AD135" i="60818" s="1"/>
  <c r="ED198" i="60819"/>
  <c r="AC135" i="60818" s="1"/>
  <c r="EC198" i="60819"/>
  <c r="AB135" i="60818" s="1"/>
  <c r="EB198" i="60819"/>
  <c r="AA135" i="60818" s="1"/>
  <c r="EA198" i="60819"/>
  <c r="Z135" i="60818" s="1"/>
  <c r="DZ198" i="60819"/>
  <c r="Y135" i="60818" s="1"/>
  <c r="DY198" i="60819"/>
  <c r="X135" i="60818" s="1"/>
  <c r="DX198" i="60819"/>
  <c r="W135" i="60818" s="1"/>
  <c r="DW198" i="60819"/>
  <c r="V135" i="60818" s="1"/>
  <c r="DV198" i="60819"/>
  <c r="U135" i="60818" s="1"/>
  <c r="DU198" i="60819"/>
  <c r="T135" i="60818" s="1"/>
  <c r="DT198" i="60819"/>
  <c r="S135" i="60818" s="1"/>
  <c r="DS198" i="60819"/>
  <c r="R135" i="60818" s="1"/>
  <c r="DR198" i="60819"/>
  <c r="Q135" i="60818" s="1"/>
  <c r="DQ198" i="60819"/>
  <c r="P135" i="60818" s="1"/>
  <c r="DP198" i="60819"/>
  <c r="O135" i="60818" s="1"/>
  <c r="DO198" i="60819"/>
  <c r="N135" i="60818" s="1"/>
  <c r="DN198" i="60819"/>
  <c r="M135" i="60818" s="1"/>
  <c r="DM198" i="60819"/>
  <c r="L135" i="60818" s="1"/>
  <c r="DL198" i="60819"/>
  <c r="K135" i="60818" s="1"/>
  <c r="DK198" i="60819"/>
  <c r="J135" i="60818" s="1"/>
  <c r="DJ198" i="60819"/>
  <c r="I135" i="60818" s="1"/>
  <c r="DI198" i="60819"/>
  <c r="H135" i="60818" s="1"/>
  <c r="DH198" i="60819"/>
  <c r="G135" i="60818" s="1"/>
  <c r="DG198" i="60819"/>
  <c r="F135" i="60818" s="1"/>
  <c r="DF198" i="60819"/>
  <c r="E135" i="60818" s="1"/>
  <c r="DE198" i="60819"/>
  <c r="D135" i="60818" s="1"/>
  <c r="DD198" i="60819"/>
  <c r="C135" i="60818" s="1"/>
  <c r="CY198" i="60819"/>
  <c r="CX198"/>
  <c r="CW198"/>
  <c r="CV198"/>
  <c r="CU198"/>
  <c r="CT198"/>
  <c r="CS198"/>
  <c r="CR198"/>
  <c r="CQ198"/>
  <c r="CP198"/>
  <c r="CO198"/>
  <c r="CN198"/>
  <c r="CM198"/>
  <c r="CL198"/>
  <c r="CK198"/>
  <c r="CJ198"/>
  <c r="CI198"/>
  <c r="CH198"/>
  <c r="CG198"/>
  <c r="CF198"/>
  <c r="CE198"/>
  <c r="CD198"/>
  <c r="CC198"/>
  <c r="CB198"/>
  <c r="CA198"/>
  <c r="BZ198"/>
  <c r="BY198"/>
  <c r="BX198"/>
  <c r="BW198"/>
  <c r="BV198"/>
  <c r="BU198"/>
  <c r="BP198"/>
  <c r="BO198"/>
  <c r="BN198"/>
  <c r="BM198"/>
  <c r="BL198"/>
  <c r="BK198"/>
  <c r="BJ198"/>
  <c r="BI198"/>
  <c r="BH198"/>
  <c r="BG198"/>
  <c r="BF198"/>
  <c r="BE198"/>
  <c r="BD198"/>
  <c r="BC198"/>
  <c r="BB198"/>
  <c r="BA198"/>
  <c r="AZ198"/>
  <c r="AY198"/>
  <c r="AX198"/>
  <c r="AW198"/>
  <c r="AV198"/>
  <c r="AU198"/>
  <c r="AT198"/>
  <c r="AS198"/>
  <c r="AR198"/>
  <c r="AQ198"/>
  <c r="AP198"/>
  <c r="AO198"/>
  <c r="AN198"/>
  <c r="AM198"/>
  <c r="AL198"/>
  <c r="AG198"/>
  <c r="AG7" i="60818" s="1"/>
  <c r="AF198" i="60819"/>
  <c r="AF7" i="60818" s="1"/>
  <c r="AE198" i="60819"/>
  <c r="AE7" i="60818" s="1"/>
  <c r="AD198" i="60819"/>
  <c r="AD7" i="60818" s="1"/>
  <c r="AC198" i="60819"/>
  <c r="AC7" i="60818" s="1"/>
  <c r="AB198" i="60819"/>
  <c r="AB7" i="60818" s="1"/>
  <c r="AA198" i="60819"/>
  <c r="AA7" i="60818" s="1"/>
  <c r="Z198" i="60819"/>
  <c r="Z7" i="60818" s="1"/>
  <c r="Y198" i="60819"/>
  <c r="X198"/>
  <c r="X7" i="60818" s="1"/>
  <c r="W198" i="60819"/>
  <c r="W7" i="60818" s="1"/>
  <c r="V198" i="60819"/>
  <c r="V7" i="60818" s="1"/>
  <c r="U198" i="60819"/>
  <c r="U7" i="60818" s="1"/>
  <c r="T198" i="60819"/>
  <c r="T7" i="60818" s="1"/>
  <c r="S198" i="60819"/>
  <c r="S7" i="60818" s="1"/>
  <c r="R198" i="60819"/>
  <c r="R7" i="60818" s="1"/>
  <c r="Q198" i="60819"/>
  <c r="Q7" i="60818" s="1"/>
  <c r="P198" i="60819"/>
  <c r="P7" i="60818" s="1"/>
  <c r="O198" i="60819"/>
  <c r="O7" i="60818" s="1"/>
  <c r="N198" i="60819"/>
  <c r="N7" i="60818" s="1"/>
  <c r="M198" i="60819"/>
  <c r="M7" i="60818" s="1"/>
  <c r="L198" i="60819"/>
  <c r="L7" i="60818" s="1"/>
  <c r="K198" i="60819"/>
  <c r="K7" i="60818" s="1"/>
  <c r="J198" i="60819"/>
  <c r="J7" i="60818" s="1"/>
  <c r="I198" i="60819"/>
  <c r="I7" i="60818" s="1"/>
  <c r="H198" i="60819"/>
  <c r="H7" i="60818" s="1"/>
  <c r="G198" i="60819"/>
  <c r="G7" i="60818" s="1"/>
  <c r="F198" i="60819"/>
  <c r="F7" i="60818" s="1"/>
  <c r="E198" i="60819"/>
  <c r="E7" i="60818" s="1"/>
  <c r="D198" i="60819"/>
  <c r="D7" i="60818" s="1"/>
  <c r="C198" i="60819"/>
  <c r="C7" i="60818" s="1"/>
  <c r="EH197" i="60819"/>
  <c r="AG134" i="60818" s="1"/>
  <c r="EG197" i="60819"/>
  <c r="AF134" i="60818" s="1"/>
  <c r="EF197" i="60819"/>
  <c r="AE134" i="60818" s="1"/>
  <c r="EE197" i="60819"/>
  <c r="AD134" i="60818" s="1"/>
  <c r="ED197" i="60819"/>
  <c r="AC134" i="60818" s="1"/>
  <c r="EC197" i="60819"/>
  <c r="AB134" i="60818" s="1"/>
  <c r="EB197" i="60819"/>
  <c r="AA134" i="60818" s="1"/>
  <c r="EA197" i="60819"/>
  <c r="Z134" i="60818" s="1"/>
  <c r="DZ197" i="60819"/>
  <c r="Y134" i="60818" s="1"/>
  <c r="DY197" i="60819"/>
  <c r="X134" i="60818" s="1"/>
  <c r="DX197" i="60819"/>
  <c r="W134" i="60818" s="1"/>
  <c r="DW197" i="60819"/>
  <c r="V134" i="60818" s="1"/>
  <c r="DV197" i="60819"/>
  <c r="U134" i="60818" s="1"/>
  <c r="DU197" i="60819"/>
  <c r="T134" i="60818" s="1"/>
  <c r="DT197" i="60819"/>
  <c r="S134" i="60818" s="1"/>
  <c r="DS197" i="60819"/>
  <c r="R134" i="60818" s="1"/>
  <c r="DR197" i="60819"/>
  <c r="Q134" i="60818" s="1"/>
  <c r="DQ197" i="60819"/>
  <c r="P134" i="60818" s="1"/>
  <c r="DP197" i="60819"/>
  <c r="O134" i="60818" s="1"/>
  <c r="DO197" i="60819"/>
  <c r="N134" i="60818" s="1"/>
  <c r="DN197" i="60819"/>
  <c r="M134" i="60818" s="1"/>
  <c r="DM197" i="60819"/>
  <c r="L134" i="60818" s="1"/>
  <c r="DL197" i="60819"/>
  <c r="K134" i="60818" s="1"/>
  <c r="DK197" i="60819"/>
  <c r="J134" i="60818" s="1"/>
  <c r="DJ197" i="60819"/>
  <c r="I134" i="60818" s="1"/>
  <c r="DI197" i="60819"/>
  <c r="H134" i="60818" s="1"/>
  <c r="DH197" i="60819"/>
  <c r="G134" i="60818" s="1"/>
  <c r="DG197" i="60819"/>
  <c r="F134" i="60818" s="1"/>
  <c r="DF197" i="60819"/>
  <c r="E134" i="60818" s="1"/>
  <c r="DE197" i="60819"/>
  <c r="D134" i="60818" s="1"/>
  <c r="DD197" i="60819"/>
  <c r="C134" i="60818" s="1"/>
  <c r="CY197" i="60819"/>
  <c r="CX197"/>
  <c r="CW197"/>
  <c r="CV197"/>
  <c r="CU197"/>
  <c r="CT197"/>
  <c r="CS197"/>
  <c r="CR197"/>
  <c r="CQ197"/>
  <c r="CP197"/>
  <c r="CO197"/>
  <c r="CN197"/>
  <c r="CM197"/>
  <c r="CL197"/>
  <c r="CK197"/>
  <c r="CJ197"/>
  <c r="CI197"/>
  <c r="CH197"/>
  <c r="CG197"/>
  <c r="CF197"/>
  <c r="CE197"/>
  <c r="CD197"/>
  <c r="CC197"/>
  <c r="CB197"/>
  <c r="CA197"/>
  <c r="BZ197"/>
  <c r="BY197"/>
  <c r="BX197"/>
  <c r="BW197"/>
  <c r="BV197"/>
  <c r="BU197"/>
  <c r="BP197"/>
  <c r="BP209" s="1"/>
  <c r="BO197"/>
  <c r="BO209" s="1"/>
  <c r="BN197"/>
  <c r="BN209" s="1"/>
  <c r="BM197"/>
  <c r="BM209" s="1"/>
  <c r="BL197"/>
  <c r="BL209" s="1"/>
  <c r="BK197"/>
  <c r="BK209" s="1"/>
  <c r="BJ197"/>
  <c r="BJ209" s="1"/>
  <c r="BI197"/>
  <c r="BI209" s="1"/>
  <c r="BH197"/>
  <c r="BH209" s="1"/>
  <c r="BG197"/>
  <c r="BG209" s="1"/>
  <c r="BF197"/>
  <c r="BF209" s="1"/>
  <c r="BE197"/>
  <c r="BE209" s="1"/>
  <c r="BD197"/>
  <c r="BD209" s="1"/>
  <c r="BC197"/>
  <c r="BC209" s="1"/>
  <c r="BB197"/>
  <c r="BB209" s="1"/>
  <c r="BA197"/>
  <c r="BA209" s="1"/>
  <c r="AZ197"/>
  <c r="AZ209" s="1"/>
  <c r="AY197"/>
  <c r="AY209" s="1"/>
  <c r="AX197"/>
  <c r="AX209" s="1"/>
  <c r="AW197"/>
  <c r="AW209" s="1"/>
  <c r="AV197"/>
  <c r="AV209" s="1"/>
  <c r="AU197"/>
  <c r="AU209" s="1"/>
  <c r="AT197"/>
  <c r="AT209" s="1"/>
  <c r="AS197"/>
  <c r="AS209" s="1"/>
  <c r="AR197"/>
  <c r="AR209" s="1"/>
  <c r="AQ197"/>
  <c r="AQ209" s="1"/>
  <c r="AP197"/>
  <c r="AP209" s="1"/>
  <c r="AO197"/>
  <c r="AO209" s="1"/>
  <c r="AN197"/>
  <c r="AN209" s="1"/>
  <c r="AM197"/>
  <c r="AM209" s="1"/>
  <c r="AL197"/>
  <c r="AG197"/>
  <c r="AG209" s="1"/>
  <c r="AF197"/>
  <c r="AF209" s="1"/>
  <c r="AE197"/>
  <c r="AD197"/>
  <c r="AD209" s="1"/>
  <c r="AC197"/>
  <c r="AC209" s="1"/>
  <c r="AB197"/>
  <c r="AB209" s="1"/>
  <c r="AA197"/>
  <c r="Z197"/>
  <c r="Z209" s="1"/>
  <c r="Y197"/>
  <c r="Y209" s="1"/>
  <c r="X197"/>
  <c r="X209" s="1"/>
  <c r="W197"/>
  <c r="W209" s="1"/>
  <c r="V197"/>
  <c r="V209" s="1"/>
  <c r="U197"/>
  <c r="U209" s="1"/>
  <c r="T197"/>
  <c r="T209" s="1"/>
  <c r="S197"/>
  <c r="S209" s="1"/>
  <c r="R197"/>
  <c r="R209" s="1"/>
  <c r="Q197"/>
  <c r="Q209" s="1"/>
  <c r="P197"/>
  <c r="P209" s="1"/>
  <c r="O197"/>
  <c r="N197"/>
  <c r="N209" s="1"/>
  <c r="M197"/>
  <c r="M209" s="1"/>
  <c r="L197"/>
  <c r="L209" s="1"/>
  <c r="K197"/>
  <c r="J197"/>
  <c r="J209" s="1"/>
  <c r="I197"/>
  <c r="I209" s="1"/>
  <c r="H197"/>
  <c r="H209" s="1"/>
  <c r="G197"/>
  <c r="G209" s="1"/>
  <c r="F197"/>
  <c r="F209" s="1"/>
  <c r="E197"/>
  <c r="E209" s="1"/>
  <c r="D197"/>
  <c r="D209" s="1"/>
  <c r="C197"/>
  <c r="C6" i="60818" s="1"/>
  <c r="EH193" i="60819"/>
  <c r="EG193"/>
  <c r="EF193"/>
  <c r="EE193"/>
  <c r="ED193"/>
  <c r="EC193"/>
  <c r="EB193"/>
  <c r="EA193"/>
  <c r="DZ193"/>
  <c r="DY193"/>
  <c r="DX193"/>
  <c r="DW193"/>
  <c r="DV193"/>
  <c r="DU193"/>
  <c r="DT193"/>
  <c r="DS193"/>
  <c r="DR193"/>
  <c r="DQ193"/>
  <c r="DP193"/>
  <c r="DO193"/>
  <c r="DN193"/>
  <c r="DM193"/>
  <c r="DL193"/>
  <c r="DK193"/>
  <c r="DJ193"/>
  <c r="DI193"/>
  <c r="DH193"/>
  <c r="DG193"/>
  <c r="DF193"/>
  <c r="DE193"/>
  <c r="DD193"/>
  <c r="CY193"/>
  <c r="CX193"/>
  <c r="CW193"/>
  <c r="CV193"/>
  <c r="CU193"/>
  <c r="CT193"/>
  <c r="CS193"/>
  <c r="CR193"/>
  <c r="CQ193"/>
  <c r="CP193"/>
  <c r="CO193"/>
  <c r="CN193"/>
  <c r="CM193"/>
  <c r="CL193"/>
  <c r="CK193"/>
  <c r="CJ193"/>
  <c r="CI193"/>
  <c r="CH193"/>
  <c r="CG193"/>
  <c r="CF193"/>
  <c r="CE193"/>
  <c r="CD193"/>
  <c r="CC193"/>
  <c r="CB193"/>
  <c r="CA193"/>
  <c r="BZ193"/>
  <c r="BY193"/>
  <c r="BX193"/>
  <c r="BW193"/>
  <c r="BV193"/>
  <c r="BU193"/>
  <c r="BP193"/>
  <c r="BO193"/>
  <c r="BN193"/>
  <c r="BM193"/>
  <c r="BL193"/>
  <c r="BK193"/>
  <c r="BJ193"/>
  <c r="BI193"/>
  <c r="BH193"/>
  <c r="BG193"/>
  <c r="BF193"/>
  <c r="BE193"/>
  <c r="BD193"/>
  <c r="BC193"/>
  <c r="BB193"/>
  <c r="BA193"/>
  <c r="AZ193"/>
  <c r="AY193"/>
  <c r="AX193"/>
  <c r="AW193"/>
  <c r="AV193"/>
  <c r="AU193"/>
  <c r="AT193"/>
  <c r="AS193"/>
  <c r="AR193"/>
  <c r="AQ193"/>
  <c r="AP193"/>
  <c r="AO193"/>
  <c r="AN193"/>
  <c r="AM193"/>
  <c r="AL193"/>
  <c r="AG193"/>
  <c r="AF193"/>
  <c r="AE193"/>
  <c r="AD193"/>
  <c r="AC193"/>
  <c r="AB193"/>
  <c r="AA193"/>
  <c r="Z193"/>
  <c r="Y193"/>
  <c r="X193"/>
  <c r="W193"/>
  <c r="V193"/>
  <c r="U193"/>
  <c r="T193"/>
  <c r="S193"/>
  <c r="R193"/>
  <c r="Q193"/>
  <c r="P193"/>
  <c r="O193"/>
  <c r="N193"/>
  <c r="M193"/>
  <c r="L193"/>
  <c r="K193"/>
  <c r="J193"/>
  <c r="I193"/>
  <c r="H193"/>
  <c r="G193"/>
  <c r="F193"/>
  <c r="E193"/>
  <c r="D193"/>
  <c r="C193"/>
  <c r="EI192"/>
  <c r="DC192" s="1"/>
  <c r="CZ192"/>
  <c r="BT192" s="1"/>
  <c r="BQ192"/>
  <c r="AK192" s="1"/>
  <c r="AH192"/>
  <c r="B192" s="1"/>
  <c r="EI191"/>
  <c r="DC191" s="1"/>
  <c r="CZ191"/>
  <c r="BT191" s="1"/>
  <c r="BQ191"/>
  <c r="AK191" s="1"/>
  <c r="AH191"/>
  <c r="B191" s="1"/>
  <c r="EI190"/>
  <c r="DC190" s="1"/>
  <c r="CZ190"/>
  <c r="BT190" s="1"/>
  <c r="BQ190"/>
  <c r="AK190" s="1"/>
  <c r="AH190"/>
  <c r="B190" s="1"/>
  <c r="EI189"/>
  <c r="DC189" s="1"/>
  <c r="CZ189"/>
  <c r="BT189" s="1"/>
  <c r="BQ189"/>
  <c r="AK189" s="1"/>
  <c r="AH189"/>
  <c r="B189" s="1"/>
  <c r="EI188"/>
  <c r="DC188" s="1"/>
  <c r="CZ188"/>
  <c r="BT188" s="1"/>
  <c r="BQ188"/>
  <c r="AK188" s="1"/>
  <c r="AH188"/>
  <c r="B188" s="1"/>
  <c r="EI187"/>
  <c r="DC187" s="1"/>
  <c r="CZ187"/>
  <c r="BT187" s="1"/>
  <c r="BQ187"/>
  <c r="AK187" s="1"/>
  <c r="AH187"/>
  <c r="B187" s="1"/>
  <c r="EI186"/>
  <c r="DC186" s="1"/>
  <c r="CZ186"/>
  <c r="BT186" s="1"/>
  <c r="BQ186"/>
  <c r="AK186" s="1"/>
  <c r="AH186"/>
  <c r="B186" s="1"/>
  <c r="EI185"/>
  <c r="DC185" s="1"/>
  <c r="CZ185"/>
  <c r="BT185" s="1"/>
  <c r="BQ185"/>
  <c r="AK185" s="1"/>
  <c r="AH185"/>
  <c r="B185" s="1"/>
  <c r="EI184"/>
  <c r="DC184" s="1"/>
  <c r="CZ184"/>
  <c r="BT184" s="1"/>
  <c r="BQ184"/>
  <c r="AK184" s="1"/>
  <c r="AH184"/>
  <c r="B184" s="1"/>
  <c r="EI183"/>
  <c r="DC183" s="1"/>
  <c r="CZ183"/>
  <c r="BT183" s="1"/>
  <c r="BQ183"/>
  <c r="AK183" s="1"/>
  <c r="AH183"/>
  <c r="B183" s="1"/>
  <c r="EI182"/>
  <c r="DC182" s="1"/>
  <c r="CZ182"/>
  <c r="BT182" s="1"/>
  <c r="BQ182"/>
  <c r="AK182" s="1"/>
  <c r="AH182"/>
  <c r="B182" s="1"/>
  <c r="EI181"/>
  <c r="DC181" s="1"/>
  <c r="CZ181"/>
  <c r="BQ181"/>
  <c r="AK181" s="1"/>
  <c r="AH181"/>
  <c r="EH177"/>
  <c r="EG177"/>
  <c r="EF177"/>
  <c r="EE177"/>
  <c r="ED177"/>
  <c r="EC177"/>
  <c r="EB177"/>
  <c r="EA177"/>
  <c r="DZ177"/>
  <c r="DY177"/>
  <c r="DX177"/>
  <c r="DW177"/>
  <c r="DV177"/>
  <c r="DU177"/>
  <c r="DT177"/>
  <c r="DS177"/>
  <c r="DR177"/>
  <c r="DQ177"/>
  <c r="DP177"/>
  <c r="DO177"/>
  <c r="DN177"/>
  <c r="DM177"/>
  <c r="DL177"/>
  <c r="DK177"/>
  <c r="DJ177"/>
  <c r="DI177"/>
  <c r="DH177"/>
  <c r="DG177"/>
  <c r="DF177"/>
  <c r="DE177"/>
  <c r="DD177"/>
  <c r="CY177"/>
  <c r="CX177"/>
  <c r="CW177"/>
  <c r="CV177"/>
  <c r="CU177"/>
  <c r="CT177"/>
  <c r="CS177"/>
  <c r="CR177"/>
  <c r="CQ177"/>
  <c r="CP177"/>
  <c r="CO177"/>
  <c r="CN177"/>
  <c r="CM177"/>
  <c r="CL177"/>
  <c r="CK177"/>
  <c r="CJ177"/>
  <c r="CI177"/>
  <c r="CH177"/>
  <c r="CG177"/>
  <c r="CF177"/>
  <c r="CE177"/>
  <c r="CD177"/>
  <c r="CC177"/>
  <c r="CB177"/>
  <c r="CA177"/>
  <c r="BZ177"/>
  <c r="BY177"/>
  <c r="BX177"/>
  <c r="BW177"/>
  <c r="BV177"/>
  <c r="BU177"/>
  <c r="BP177"/>
  <c r="BO177"/>
  <c r="BN177"/>
  <c r="BM177"/>
  <c r="BL177"/>
  <c r="BK177"/>
  <c r="BJ177"/>
  <c r="BI177"/>
  <c r="BH177"/>
  <c r="BG177"/>
  <c r="BF177"/>
  <c r="BE177"/>
  <c r="BD177"/>
  <c r="BC177"/>
  <c r="BB177"/>
  <c r="BA177"/>
  <c r="AZ177"/>
  <c r="AY177"/>
  <c r="AX177"/>
  <c r="AW177"/>
  <c r="AV177"/>
  <c r="AU177"/>
  <c r="AT177"/>
  <c r="AS177"/>
  <c r="AR177"/>
  <c r="AQ177"/>
  <c r="AP177"/>
  <c r="AO177"/>
  <c r="AN177"/>
  <c r="AM177"/>
  <c r="AL177"/>
  <c r="AG177"/>
  <c r="AF177"/>
  <c r="AE177"/>
  <c r="AD177"/>
  <c r="AC177"/>
  <c r="AB177"/>
  <c r="AA177"/>
  <c r="Z177"/>
  <c r="Y177"/>
  <c r="X177"/>
  <c r="W177"/>
  <c r="V177"/>
  <c r="U177"/>
  <c r="T177"/>
  <c r="S177"/>
  <c r="R177"/>
  <c r="Q177"/>
  <c r="P177"/>
  <c r="O177"/>
  <c r="N177"/>
  <c r="M177"/>
  <c r="L177"/>
  <c r="K177"/>
  <c r="J177"/>
  <c r="I177"/>
  <c r="H177"/>
  <c r="G177"/>
  <c r="F177"/>
  <c r="E177"/>
  <c r="D177"/>
  <c r="C177"/>
  <c r="EI176"/>
  <c r="DC176" s="1"/>
  <c r="CZ176"/>
  <c r="BT176" s="1"/>
  <c r="BQ176"/>
  <c r="AK176" s="1"/>
  <c r="AH176"/>
  <c r="B176" s="1"/>
  <c r="EI175"/>
  <c r="DC175" s="1"/>
  <c r="CZ175"/>
  <c r="BT175" s="1"/>
  <c r="BQ175"/>
  <c r="AK175" s="1"/>
  <c r="AH175"/>
  <c r="B175" s="1"/>
  <c r="EI174"/>
  <c r="DC174" s="1"/>
  <c r="CZ174"/>
  <c r="BT174" s="1"/>
  <c r="BQ174"/>
  <c r="AK174" s="1"/>
  <c r="AH174"/>
  <c r="B174" s="1"/>
  <c r="EI173"/>
  <c r="DC173" s="1"/>
  <c r="CZ173"/>
  <c r="BT173" s="1"/>
  <c r="BQ173"/>
  <c r="AK173" s="1"/>
  <c r="AH173"/>
  <c r="B173" s="1"/>
  <c r="EI172"/>
  <c r="DC172" s="1"/>
  <c r="CZ172"/>
  <c r="BT172" s="1"/>
  <c r="BQ172"/>
  <c r="AK172" s="1"/>
  <c r="AH172"/>
  <c r="B172" s="1"/>
  <c r="EI171"/>
  <c r="DC171" s="1"/>
  <c r="CZ171"/>
  <c r="BT171" s="1"/>
  <c r="BQ171"/>
  <c r="AK171" s="1"/>
  <c r="AH171"/>
  <c r="B171" s="1"/>
  <c r="EI170"/>
  <c r="DC170" s="1"/>
  <c r="CZ170"/>
  <c r="BT170" s="1"/>
  <c r="BQ170"/>
  <c r="AK170" s="1"/>
  <c r="AH170"/>
  <c r="B170" s="1"/>
  <c r="EI169"/>
  <c r="DC169" s="1"/>
  <c r="CZ169"/>
  <c r="BT169" s="1"/>
  <c r="BQ169"/>
  <c r="AK169" s="1"/>
  <c r="AH169"/>
  <c r="B169" s="1"/>
  <c r="EI168"/>
  <c r="DC168" s="1"/>
  <c r="CZ168"/>
  <c r="BT168" s="1"/>
  <c r="BQ168"/>
  <c r="AK168" s="1"/>
  <c r="AH168"/>
  <c r="B168" s="1"/>
  <c r="EI167"/>
  <c r="DC167" s="1"/>
  <c r="CZ167"/>
  <c r="BT167" s="1"/>
  <c r="BQ167"/>
  <c r="AK167" s="1"/>
  <c r="AH167"/>
  <c r="B167" s="1"/>
  <c r="EI166"/>
  <c r="DC166" s="1"/>
  <c r="CZ166"/>
  <c r="BT166" s="1"/>
  <c r="BQ166"/>
  <c r="AK166" s="1"/>
  <c r="AH166"/>
  <c r="B166" s="1"/>
  <c r="EI165"/>
  <c r="CZ165"/>
  <c r="BQ165"/>
  <c r="AH165"/>
  <c r="EH161"/>
  <c r="EG161"/>
  <c r="EF161"/>
  <c r="EE161"/>
  <c r="ED161"/>
  <c r="EC161"/>
  <c r="EB161"/>
  <c r="EA161"/>
  <c r="DZ161"/>
  <c r="DY161"/>
  <c r="DX161"/>
  <c r="DW161"/>
  <c r="DV161"/>
  <c r="DU161"/>
  <c r="DT161"/>
  <c r="DS161"/>
  <c r="DR161"/>
  <c r="DQ161"/>
  <c r="DP161"/>
  <c r="DO161"/>
  <c r="DN161"/>
  <c r="DM161"/>
  <c r="DL161"/>
  <c r="DK161"/>
  <c r="DJ161"/>
  <c r="DI161"/>
  <c r="DH161"/>
  <c r="DG161"/>
  <c r="DF161"/>
  <c r="DE161"/>
  <c r="DD161"/>
  <c r="CY161"/>
  <c r="CX161"/>
  <c r="CW161"/>
  <c r="CV161"/>
  <c r="CU161"/>
  <c r="CT161"/>
  <c r="CS161"/>
  <c r="CR161"/>
  <c r="CQ161"/>
  <c r="CP161"/>
  <c r="CO161"/>
  <c r="CN161"/>
  <c r="CM161"/>
  <c r="CL161"/>
  <c r="CK161"/>
  <c r="CJ161"/>
  <c r="CI161"/>
  <c r="CH161"/>
  <c r="CG161"/>
  <c r="CF161"/>
  <c r="CE161"/>
  <c r="CD161"/>
  <c r="CC161"/>
  <c r="CB161"/>
  <c r="CA161"/>
  <c r="BZ161"/>
  <c r="BY161"/>
  <c r="BX161"/>
  <c r="BW161"/>
  <c r="BV161"/>
  <c r="BU161"/>
  <c r="BP161"/>
  <c r="BO161"/>
  <c r="BN161"/>
  <c r="BM161"/>
  <c r="BL161"/>
  <c r="BK161"/>
  <c r="BJ161"/>
  <c r="BI161"/>
  <c r="BH161"/>
  <c r="BG161"/>
  <c r="BF161"/>
  <c r="BE161"/>
  <c r="BD161"/>
  <c r="BC161"/>
  <c r="BB161"/>
  <c r="BA161"/>
  <c r="AZ161"/>
  <c r="AY161"/>
  <c r="AX161"/>
  <c r="AW161"/>
  <c r="AV161"/>
  <c r="AU161"/>
  <c r="AT161"/>
  <c r="AS161"/>
  <c r="AR161"/>
  <c r="AQ161"/>
  <c r="AP161"/>
  <c r="AO161"/>
  <c r="AN161"/>
  <c r="AM161"/>
  <c r="AL161"/>
  <c r="AG161"/>
  <c r="AF161"/>
  <c r="AE161"/>
  <c r="AD161"/>
  <c r="AC161"/>
  <c r="AB161"/>
  <c r="AA161"/>
  <c r="Z161"/>
  <c r="Y161"/>
  <c r="X161"/>
  <c r="W161"/>
  <c r="V161"/>
  <c r="U161"/>
  <c r="T161"/>
  <c r="S161"/>
  <c r="R161"/>
  <c r="Q161"/>
  <c r="P161"/>
  <c r="O161"/>
  <c r="N161"/>
  <c r="M161"/>
  <c r="L161"/>
  <c r="K161"/>
  <c r="J161"/>
  <c r="I161"/>
  <c r="H161"/>
  <c r="G161"/>
  <c r="F161"/>
  <c r="E161"/>
  <c r="D161"/>
  <c r="C161"/>
  <c r="EI160"/>
  <c r="DC160" s="1"/>
  <c r="CZ160"/>
  <c r="BT160" s="1"/>
  <c r="BQ160"/>
  <c r="AK160" s="1"/>
  <c r="AH160"/>
  <c r="B160" s="1"/>
  <c r="EI159"/>
  <c r="DC159" s="1"/>
  <c r="CZ159"/>
  <c r="BT159" s="1"/>
  <c r="BQ159"/>
  <c r="AK159" s="1"/>
  <c r="AH159"/>
  <c r="B159" s="1"/>
  <c r="EI158"/>
  <c r="DC158" s="1"/>
  <c r="CZ158"/>
  <c r="BT158" s="1"/>
  <c r="BQ158"/>
  <c r="AK158" s="1"/>
  <c r="AH158"/>
  <c r="B158" s="1"/>
  <c r="EI157"/>
  <c r="DC157" s="1"/>
  <c r="CZ157"/>
  <c r="BT157" s="1"/>
  <c r="BQ157"/>
  <c r="AK157" s="1"/>
  <c r="AH157"/>
  <c r="B157" s="1"/>
  <c r="EI156"/>
  <c r="DC156" s="1"/>
  <c r="CZ156"/>
  <c r="BT156" s="1"/>
  <c r="BQ156"/>
  <c r="AK156" s="1"/>
  <c r="AH156"/>
  <c r="B156" s="1"/>
  <c r="EI155"/>
  <c r="DC155" s="1"/>
  <c r="CZ155"/>
  <c r="BT155" s="1"/>
  <c r="BQ155"/>
  <c r="AK155" s="1"/>
  <c r="AH155"/>
  <c r="B155" s="1"/>
  <c r="EI154"/>
  <c r="DC154" s="1"/>
  <c r="CZ154"/>
  <c r="BT154" s="1"/>
  <c r="BQ154"/>
  <c r="AK154" s="1"/>
  <c r="AH154"/>
  <c r="B154" s="1"/>
  <c r="EI153"/>
  <c r="DC153" s="1"/>
  <c r="CZ153"/>
  <c r="BT153" s="1"/>
  <c r="BQ153"/>
  <c r="AK153" s="1"/>
  <c r="AH153"/>
  <c r="B153" s="1"/>
  <c r="EI152"/>
  <c r="DC152" s="1"/>
  <c r="CZ152"/>
  <c r="BT152" s="1"/>
  <c r="BQ152"/>
  <c r="AK152" s="1"/>
  <c r="AH152"/>
  <c r="B152" s="1"/>
  <c r="EI151"/>
  <c r="DC151" s="1"/>
  <c r="CZ151"/>
  <c r="BT151" s="1"/>
  <c r="BQ151"/>
  <c r="AK151" s="1"/>
  <c r="AH151"/>
  <c r="B151" s="1"/>
  <c r="EI150"/>
  <c r="DC150" s="1"/>
  <c r="CZ150"/>
  <c r="BT150" s="1"/>
  <c r="BQ150"/>
  <c r="AK150" s="1"/>
  <c r="AH150"/>
  <c r="B150" s="1"/>
  <c r="EI149"/>
  <c r="DC149" s="1"/>
  <c r="CZ149"/>
  <c r="BT149" s="1"/>
  <c r="BQ149"/>
  <c r="AH149"/>
  <c r="EH145"/>
  <c r="EG145"/>
  <c r="EF145"/>
  <c r="EE145"/>
  <c r="ED145"/>
  <c r="EC145"/>
  <c r="EB145"/>
  <c r="EA145"/>
  <c r="DZ145"/>
  <c r="DY145"/>
  <c r="DX145"/>
  <c r="DW145"/>
  <c r="DV145"/>
  <c r="DU145"/>
  <c r="DT145"/>
  <c r="DS145"/>
  <c r="DR145"/>
  <c r="DQ145"/>
  <c r="DP145"/>
  <c r="DO145"/>
  <c r="DN145"/>
  <c r="DM145"/>
  <c r="DL145"/>
  <c r="DK145"/>
  <c r="DJ145"/>
  <c r="DI145"/>
  <c r="DH145"/>
  <c r="DG145"/>
  <c r="DF145"/>
  <c r="DE145"/>
  <c r="DD145"/>
  <c r="CY145"/>
  <c r="CX145"/>
  <c r="CW145"/>
  <c r="CV145"/>
  <c r="CU145"/>
  <c r="CT145"/>
  <c r="CS145"/>
  <c r="CR145"/>
  <c r="CQ145"/>
  <c r="CP145"/>
  <c r="CO145"/>
  <c r="CN145"/>
  <c r="CM145"/>
  <c r="CL145"/>
  <c r="CK145"/>
  <c r="CJ145"/>
  <c r="CI145"/>
  <c r="CH145"/>
  <c r="CG145"/>
  <c r="CF145"/>
  <c r="CE145"/>
  <c r="CD145"/>
  <c r="CC145"/>
  <c r="CB145"/>
  <c r="CA145"/>
  <c r="BZ145"/>
  <c r="BY145"/>
  <c r="BX145"/>
  <c r="BW145"/>
  <c r="BV145"/>
  <c r="BU145"/>
  <c r="BP145"/>
  <c r="BO145"/>
  <c r="BN145"/>
  <c r="BM145"/>
  <c r="BL145"/>
  <c r="BK145"/>
  <c r="BJ145"/>
  <c r="BI145"/>
  <c r="BH145"/>
  <c r="BG145"/>
  <c r="BF145"/>
  <c r="BE145"/>
  <c r="BD145"/>
  <c r="BC145"/>
  <c r="BB145"/>
  <c r="BA145"/>
  <c r="AZ145"/>
  <c r="AY145"/>
  <c r="AX145"/>
  <c r="AW145"/>
  <c r="AV145"/>
  <c r="AU145"/>
  <c r="AT145"/>
  <c r="AS145"/>
  <c r="AR145"/>
  <c r="AQ145"/>
  <c r="AP145"/>
  <c r="AO145"/>
  <c r="AN145"/>
  <c r="AM145"/>
  <c r="AL145"/>
  <c r="AG145"/>
  <c r="AF145"/>
  <c r="AE145"/>
  <c r="AD145"/>
  <c r="AC145"/>
  <c r="AB145"/>
  <c r="AA145"/>
  <c r="Z145"/>
  <c r="Y145"/>
  <c r="X145"/>
  <c r="W145"/>
  <c r="V145"/>
  <c r="U145"/>
  <c r="T145"/>
  <c r="S145"/>
  <c r="R145"/>
  <c r="Q145"/>
  <c r="P145"/>
  <c r="O145"/>
  <c r="N145"/>
  <c r="M145"/>
  <c r="L145"/>
  <c r="K145"/>
  <c r="J145"/>
  <c r="I145"/>
  <c r="H145"/>
  <c r="G145"/>
  <c r="F145"/>
  <c r="E145"/>
  <c r="D145"/>
  <c r="C145"/>
  <c r="EI144"/>
  <c r="DC144" s="1"/>
  <c r="CZ144"/>
  <c r="BT144" s="1"/>
  <c r="BQ144"/>
  <c r="AK144" s="1"/>
  <c r="AH144"/>
  <c r="B144" s="1"/>
  <c r="EI143"/>
  <c r="DC143" s="1"/>
  <c r="CZ143"/>
  <c r="BT143" s="1"/>
  <c r="BQ143"/>
  <c r="AK143" s="1"/>
  <c r="AH143"/>
  <c r="B143" s="1"/>
  <c r="EI142"/>
  <c r="DC142" s="1"/>
  <c r="CZ142"/>
  <c r="BT142" s="1"/>
  <c r="BQ142"/>
  <c r="AK142" s="1"/>
  <c r="AH142"/>
  <c r="B142" s="1"/>
  <c r="EI141"/>
  <c r="DC141" s="1"/>
  <c r="CZ141"/>
  <c r="BT141" s="1"/>
  <c r="BQ141"/>
  <c r="AK141" s="1"/>
  <c r="AH141"/>
  <c r="B141" s="1"/>
  <c r="EI140"/>
  <c r="DC140" s="1"/>
  <c r="CZ140"/>
  <c r="BT140" s="1"/>
  <c r="BQ140"/>
  <c r="AK140" s="1"/>
  <c r="AH140"/>
  <c r="B140" s="1"/>
  <c r="EI139"/>
  <c r="DC139" s="1"/>
  <c r="CZ139"/>
  <c r="BT139" s="1"/>
  <c r="BQ139"/>
  <c r="AK139" s="1"/>
  <c r="AH139"/>
  <c r="B139" s="1"/>
  <c r="EI138"/>
  <c r="DC138" s="1"/>
  <c r="CZ138"/>
  <c r="BT138" s="1"/>
  <c r="BQ138"/>
  <c r="AK138" s="1"/>
  <c r="AH138"/>
  <c r="B138" s="1"/>
  <c r="EI137"/>
  <c r="DC137" s="1"/>
  <c r="CZ137"/>
  <c r="BT137" s="1"/>
  <c r="BQ137"/>
  <c r="AK137" s="1"/>
  <c r="AH137"/>
  <c r="B137" s="1"/>
  <c r="EI136"/>
  <c r="DC136" s="1"/>
  <c r="CZ136"/>
  <c r="BT136" s="1"/>
  <c r="BQ136"/>
  <c r="AK136" s="1"/>
  <c r="AH136"/>
  <c r="B136" s="1"/>
  <c r="EI135"/>
  <c r="DC135" s="1"/>
  <c r="CZ135"/>
  <c r="BT135" s="1"/>
  <c r="BQ135"/>
  <c r="AK135" s="1"/>
  <c r="AH135"/>
  <c r="B135" s="1"/>
  <c r="EI134"/>
  <c r="DC134" s="1"/>
  <c r="CZ134"/>
  <c r="BT134" s="1"/>
  <c r="BQ134"/>
  <c r="AK134" s="1"/>
  <c r="AH134"/>
  <c r="B134" s="1"/>
  <c r="EI133"/>
  <c r="CZ133"/>
  <c r="BQ133"/>
  <c r="AH133"/>
  <c r="B133" s="1"/>
  <c r="EH129"/>
  <c r="EG129"/>
  <c r="EF129"/>
  <c r="EE129"/>
  <c r="ED129"/>
  <c r="EC129"/>
  <c r="EB129"/>
  <c r="EA129"/>
  <c r="DZ129"/>
  <c r="DY129"/>
  <c r="DX129"/>
  <c r="DW129"/>
  <c r="DV129"/>
  <c r="DU129"/>
  <c r="DT129"/>
  <c r="DS129"/>
  <c r="DR129"/>
  <c r="DQ129"/>
  <c r="DP129"/>
  <c r="DO129"/>
  <c r="DN129"/>
  <c r="DM129"/>
  <c r="DL129"/>
  <c r="DK129"/>
  <c r="DJ129"/>
  <c r="DI129"/>
  <c r="DH129"/>
  <c r="DG129"/>
  <c r="DF129"/>
  <c r="DE129"/>
  <c r="DD129"/>
  <c r="CY129"/>
  <c r="CX129"/>
  <c r="CW129"/>
  <c r="CV129"/>
  <c r="CU129"/>
  <c r="CT129"/>
  <c r="CS129"/>
  <c r="CR129"/>
  <c r="CQ129"/>
  <c r="CP129"/>
  <c r="CO129"/>
  <c r="CN129"/>
  <c r="CM129"/>
  <c r="CL129"/>
  <c r="CK129"/>
  <c r="CJ129"/>
  <c r="CI129"/>
  <c r="CH129"/>
  <c r="CG129"/>
  <c r="CF129"/>
  <c r="CE129"/>
  <c r="CD129"/>
  <c r="CC129"/>
  <c r="CB129"/>
  <c r="CA129"/>
  <c r="BZ129"/>
  <c r="BY129"/>
  <c r="BX129"/>
  <c r="BW129"/>
  <c r="BV129"/>
  <c r="BU129"/>
  <c r="BP129"/>
  <c r="BO129"/>
  <c r="BN129"/>
  <c r="BM129"/>
  <c r="BL129"/>
  <c r="BK129"/>
  <c r="BJ129"/>
  <c r="BI129"/>
  <c r="BH129"/>
  <c r="BG129"/>
  <c r="BF129"/>
  <c r="BE129"/>
  <c r="BD129"/>
  <c r="BC129"/>
  <c r="BB129"/>
  <c r="BA129"/>
  <c r="AZ129"/>
  <c r="AY129"/>
  <c r="AX129"/>
  <c r="AW129"/>
  <c r="AV129"/>
  <c r="AU129"/>
  <c r="AT129"/>
  <c r="AS129"/>
  <c r="AR129"/>
  <c r="AQ129"/>
  <c r="AP129"/>
  <c r="AO129"/>
  <c r="AN129"/>
  <c r="AM129"/>
  <c r="AL129"/>
  <c r="AG129"/>
  <c r="AF129"/>
  <c r="AE129"/>
  <c r="AD129"/>
  <c r="AC129"/>
  <c r="AB129"/>
  <c r="AA129"/>
  <c r="Z129"/>
  <c r="Y129"/>
  <c r="X129"/>
  <c r="W129"/>
  <c r="V129"/>
  <c r="U129"/>
  <c r="T129"/>
  <c r="S129"/>
  <c r="R129"/>
  <c r="Q129"/>
  <c r="P129"/>
  <c r="O129"/>
  <c r="N129"/>
  <c r="M129"/>
  <c r="L129"/>
  <c r="K129"/>
  <c r="J129"/>
  <c r="I129"/>
  <c r="H129"/>
  <c r="G129"/>
  <c r="F129"/>
  <c r="E129"/>
  <c r="D129"/>
  <c r="C129"/>
  <c r="EI128"/>
  <c r="DC128" s="1"/>
  <c r="CZ128"/>
  <c r="BT128" s="1"/>
  <c r="BQ128"/>
  <c r="AK128" s="1"/>
  <c r="AH128"/>
  <c r="B128" s="1"/>
  <c r="EI127"/>
  <c r="DC127" s="1"/>
  <c r="CZ127"/>
  <c r="BT127" s="1"/>
  <c r="BQ127"/>
  <c r="AK127" s="1"/>
  <c r="AH127"/>
  <c r="B127" s="1"/>
  <c r="EI126"/>
  <c r="DC126" s="1"/>
  <c r="CZ126"/>
  <c r="BT126" s="1"/>
  <c r="BQ126"/>
  <c r="AK126" s="1"/>
  <c r="AH126"/>
  <c r="B126" s="1"/>
  <c r="EI125"/>
  <c r="DC125" s="1"/>
  <c r="CZ125"/>
  <c r="BT125" s="1"/>
  <c r="BQ125"/>
  <c r="AK125" s="1"/>
  <c r="AH125"/>
  <c r="B125" s="1"/>
  <c r="EI124"/>
  <c r="DC124" s="1"/>
  <c r="CZ124"/>
  <c r="BT124" s="1"/>
  <c r="BQ124"/>
  <c r="AK124" s="1"/>
  <c r="AH124"/>
  <c r="B124" s="1"/>
  <c r="EI123"/>
  <c r="DC123" s="1"/>
  <c r="CZ123"/>
  <c r="BT123" s="1"/>
  <c r="BQ123"/>
  <c r="AK123" s="1"/>
  <c r="AH123"/>
  <c r="B123" s="1"/>
  <c r="EI122"/>
  <c r="DC122" s="1"/>
  <c r="CZ122"/>
  <c r="BT122" s="1"/>
  <c r="BQ122"/>
  <c r="AK122" s="1"/>
  <c r="AH122"/>
  <c r="B122" s="1"/>
  <c r="EI121"/>
  <c r="DC121" s="1"/>
  <c r="CZ121"/>
  <c r="BT121" s="1"/>
  <c r="BQ121"/>
  <c r="AK121" s="1"/>
  <c r="AH121"/>
  <c r="B121" s="1"/>
  <c r="EI120"/>
  <c r="DC120" s="1"/>
  <c r="CZ120"/>
  <c r="BT120" s="1"/>
  <c r="BQ120"/>
  <c r="AK120" s="1"/>
  <c r="AH120"/>
  <c r="B120" s="1"/>
  <c r="EI119"/>
  <c r="DC119" s="1"/>
  <c r="CZ119"/>
  <c r="BT119" s="1"/>
  <c r="BQ119"/>
  <c r="AK119" s="1"/>
  <c r="AH119"/>
  <c r="B119" s="1"/>
  <c r="EI118"/>
  <c r="DC118" s="1"/>
  <c r="CZ118"/>
  <c r="BT118" s="1"/>
  <c r="BQ118"/>
  <c r="AK118" s="1"/>
  <c r="AH118"/>
  <c r="B118" s="1"/>
  <c r="EI117"/>
  <c r="DC117" s="1"/>
  <c r="CZ117"/>
  <c r="BQ117"/>
  <c r="AK117" s="1"/>
  <c r="AH117"/>
  <c r="EH113"/>
  <c r="EG113"/>
  <c r="EF113"/>
  <c r="EE113"/>
  <c r="ED113"/>
  <c r="EC113"/>
  <c r="EB113"/>
  <c r="EA113"/>
  <c r="DZ113"/>
  <c r="DY113"/>
  <c r="DX113"/>
  <c r="DW113"/>
  <c r="DV113"/>
  <c r="DU113"/>
  <c r="DT113"/>
  <c r="DS113"/>
  <c r="DR113"/>
  <c r="DQ113"/>
  <c r="DP113"/>
  <c r="DO113"/>
  <c r="DN113"/>
  <c r="DM113"/>
  <c r="DL113"/>
  <c r="DK113"/>
  <c r="DJ113"/>
  <c r="DI113"/>
  <c r="DH113"/>
  <c r="DG113"/>
  <c r="DF113"/>
  <c r="DE113"/>
  <c r="DD113"/>
  <c r="CY113"/>
  <c r="CX113"/>
  <c r="CW113"/>
  <c r="CV113"/>
  <c r="CU113"/>
  <c r="CT113"/>
  <c r="CS113"/>
  <c r="CR113"/>
  <c r="CQ113"/>
  <c r="CP113"/>
  <c r="CO113"/>
  <c r="CN113"/>
  <c r="CM113"/>
  <c r="CL113"/>
  <c r="CK113"/>
  <c r="CJ113"/>
  <c r="CI113"/>
  <c r="CH113"/>
  <c r="CG113"/>
  <c r="CF113"/>
  <c r="CE113"/>
  <c r="CD113"/>
  <c r="CC113"/>
  <c r="CB113"/>
  <c r="CA113"/>
  <c r="BZ113"/>
  <c r="BY113"/>
  <c r="BX113"/>
  <c r="BW113"/>
  <c r="BV113"/>
  <c r="BU113"/>
  <c r="BP113"/>
  <c r="BO113"/>
  <c r="BN113"/>
  <c r="BM113"/>
  <c r="BL113"/>
  <c r="BK113"/>
  <c r="BJ113"/>
  <c r="BI113"/>
  <c r="BH113"/>
  <c r="BG113"/>
  <c r="BF113"/>
  <c r="BE113"/>
  <c r="BD113"/>
  <c r="BC113"/>
  <c r="BB113"/>
  <c r="BA113"/>
  <c r="AZ113"/>
  <c r="AY113"/>
  <c r="AX113"/>
  <c r="AW113"/>
  <c r="AV113"/>
  <c r="AU113"/>
  <c r="AT113"/>
  <c r="AS113"/>
  <c r="AR113"/>
  <c r="AQ113"/>
  <c r="AP113"/>
  <c r="AO113"/>
  <c r="AN113"/>
  <c r="AM113"/>
  <c r="AL113"/>
  <c r="AG113"/>
  <c r="AF113"/>
  <c r="AE113"/>
  <c r="AD113"/>
  <c r="AC113"/>
  <c r="AB113"/>
  <c r="AA113"/>
  <c r="Z113"/>
  <c r="Y113"/>
  <c r="X113"/>
  <c r="W113"/>
  <c r="V113"/>
  <c r="U113"/>
  <c r="T113"/>
  <c r="S113"/>
  <c r="R113"/>
  <c r="Q113"/>
  <c r="P113"/>
  <c r="O113"/>
  <c r="N113"/>
  <c r="M113"/>
  <c r="L113"/>
  <c r="K113"/>
  <c r="J113"/>
  <c r="I113"/>
  <c r="H113"/>
  <c r="G113"/>
  <c r="F113"/>
  <c r="E113"/>
  <c r="D113"/>
  <c r="C113"/>
  <c r="EI112"/>
  <c r="DC112" s="1"/>
  <c r="CZ112"/>
  <c r="BT112" s="1"/>
  <c r="BQ112"/>
  <c r="AK112" s="1"/>
  <c r="AH112"/>
  <c r="B112" s="1"/>
  <c r="EI111"/>
  <c r="DC111" s="1"/>
  <c r="CZ111"/>
  <c r="BT111" s="1"/>
  <c r="BQ111"/>
  <c r="AK111" s="1"/>
  <c r="AH111"/>
  <c r="B111" s="1"/>
  <c r="EI110"/>
  <c r="DC110" s="1"/>
  <c r="CZ110"/>
  <c r="BT110" s="1"/>
  <c r="BQ110"/>
  <c r="AK110" s="1"/>
  <c r="AH110"/>
  <c r="B110" s="1"/>
  <c r="EI109"/>
  <c r="DC109" s="1"/>
  <c r="CZ109"/>
  <c r="BT109" s="1"/>
  <c r="BQ109"/>
  <c r="AK109" s="1"/>
  <c r="AH109"/>
  <c r="B109" s="1"/>
  <c r="EI108"/>
  <c r="DC108" s="1"/>
  <c r="CZ108"/>
  <c r="BT108" s="1"/>
  <c r="BQ108"/>
  <c r="AK108" s="1"/>
  <c r="AH108"/>
  <c r="B108" s="1"/>
  <c r="EI107"/>
  <c r="DC107" s="1"/>
  <c r="CZ107"/>
  <c r="BT107" s="1"/>
  <c r="BQ107"/>
  <c r="AK107" s="1"/>
  <c r="AH107"/>
  <c r="B107" s="1"/>
  <c r="EI106"/>
  <c r="DC106" s="1"/>
  <c r="CZ106"/>
  <c r="BT106" s="1"/>
  <c r="BQ106"/>
  <c r="AK106" s="1"/>
  <c r="AH106"/>
  <c r="B106" s="1"/>
  <c r="EI105"/>
  <c r="DC105" s="1"/>
  <c r="CZ105"/>
  <c r="BT105" s="1"/>
  <c r="BQ105"/>
  <c r="AK105" s="1"/>
  <c r="AH105"/>
  <c r="B105" s="1"/>
  <c r="EI104"/>
  <c r="DC104" s="1"/>
  <c r="CZ104"/>
  <c r="BT104" s="1"/>
  <c r="BQ104"/>
  <c r="AK104" s="1"/>
  <c r="AH104"/>
  <c r="B104" s="1"/>
  <c r="EI103"/>
  <c r="DC103" s="1"/>
  <c r="CZ103"/>
  <c r="BT103" s="1"/>
  <c r="BQ103"/>
  <c r="AK103" s="1"/>
  <c r="AH103"/>
  <c r="B103" s="1"/>
  <c r="EI102"/>
  <c r="DC102" s="1"/>
  <c r="CZ102"/>
  <c r="BT102" s="1"/>
  <c r="BQ102"/>
  <c r="AK102" s="1"/>
  <c r="AH102"/>
  <c r="B102" s="1"/>
  <c r="EI101"/>
  <c r="DC101" s="1"/>
  <c r="CZ101"/>
  <c r="BQ101"/>
  <c r="AK101" s="1"/>
  <c r="AH101"/>
  <c r="EH97"/>
  <c r="EG97"/>
  <c r="EF97"/>
  <c r="EE97"/>
  <c r="ED97"/>
  <c r="EC97"/>
  <c r="EB97"/>
  <c r="EA97"/>
  <c r="DZ97"/>
  <c r="DY97"/>
  <c r="DX97"/>
  <c r="DW97"/>
  <c r="DV97"/>
  <c r="DU97"/>
  <c r="DT97"/>
  <c r="DS97"/>
  <c r="DR97"/>
  <c r="DQ97"/>
  <c r="DP97"/>
  <c r="DO97"/>
  <c r="DN97"/>
  <c r="DM97"/>
  <c r="DL97"/>
  <c r="DK97"/>
  <c r="DJ97"/>
  <c r="DI97"/>
  <c r="DH97"/>
  <c r="DG97"/>
  <c r="DF97"/>
  <c r="DE97"/>
  <c r="DD97"/>
  <c r="CY97"/>
  <c r="CX97"/>
  <c r="CW97"/>
  <c r="CV97"/>
  <c r="CU97"/>
  <c r="CT97"/>
  <c r="CS97"/>
  <c r="CR97"/>
  <c r="CQ97"/>
  <c r="CP97"/>
  <c r="CO97"/>
  <c r="CN97"/>
  <c r="CM97"/>
  <c r="CL97"/>
  <c r="CK97"/>
  <c r="CJ97"/>
  <c r="CI97"/>
  <c r="CH97"/>
  <c r="CG97"/>
  <c r="CF97"/>
  <c r="CE97"/>
  <c r="CD97"/>
  <c r="CC97"/>
  <c r="CB97"/>
  <c r="CA97"/>
  <c r="BZ97"/>
  <c r="BY97"/>
  <c r="BX97"/>
  <c r="BW97"/>
  <c r="BV97"/>
  <c r="BU97"/>
  <c r="BP97"/>
  <c r="BO97"/>
  <c r="BN97"/>
  <c r="BM97"/>
  <c r="BL97"/>
  <c r="BK97"/>
  <c r="BJ97"/>
  <c r="BI97"/>
  <c r="BH97"/>
  <c r="BG97"/>
  <c r="BF97"/>
  <c r="BE97"/>
  <c r="BD97"/>
  <c r="BC97"/>
  <c r="BB97"/>
  <c r="BA97"/>
  <c r="AZ97"/>
  <c r="AY97"/>
  <c r="AX97"/>
  <c r="AW97"/>
  <c r="AV97"/>
  <c r="AU97"/>
  <c r="AT97"/>
  <c r="AS97"/>
  <c r="AR97"/>
  <c r="AQ97"/>
  <c r="AP97"/>
  <c r="AO97"/>
  <c r="AN97"/>
  <c r="AM97"/>
  <c r="AL97"/>
  <c r="AG97"/>
  <c r="AF97"/>
  <c r="AE97"/>
  <c r="AD97"/>
  <c r="AC97"/>
  <c r="AB97"/>
  <c r="AA97"/>
  <c r="Z97"/>
  <c r="Y97"/>
  <c r="X97"/>
  <c r="W97"/>
  <c r="V97"/>
  <c r="U97"/>
  <c r="T97"/>
  <c r="S97"/>
  <c r="R97"/>
  <c r="Q97"/>
  <c r="P97"/>
  <c r="O97"/>
  <c r="N97"/>
  <c r="M97"/>
  <c r="L97"/>
  <c r="K97"/>
  <c r="J97"/>
  <c r="I97"/>
  <c r="H97"/>
  <c r="G97"/>
  <c r="F97"/>
  <c r="E97"/>
  <c r="D97"/>
  <c r="C97"/>
  <c r="EI96"/>
  <c r="DC96" s="1"/>
  <c r="CZ96"/>
  <c r="BT96" s="1"/>
  <c r="BQ96"/>
  <c r="AK96" s="1"/>
  <c r="AH96"/>
  <c r="B96" s="1"/>
  <c r="EI95"/>
  <c r="DC95" s="1"/>
  <c r="CZ95"/>
  <c r="BT95" s="1"/>
  <c r="BQ95"/>
  <c r="AK95" s="1"/>
  <c r="AH95"/>
  <c r="B95" s="1"/>
  <c r="EI94"/>
  <c r="DC94" s="1"/>
  <c r="CZ94"/>
  <c r="BT94" s="1"/>
  <c r="BQ94"/>
  <c r="AK94" s="1"/>
  <c r="AH94"/>
  <c r="B94" s="1"/>
  <c r="EI93"/>
  <c r="DC93" s="1"/>
  <c r="CZ93"/>
  <c r="BT93" s="1"/>
  <c r="BQ93"/>
  <c r="AK93" s="1"/>
  <c r="AH93"/>
  <c r="B93" s="1"/>
  <c r="EI92"/>
  <c r="DC92" s="1"/>
  <c r="CZ92"/>
  <c r="BT92" s="1"/>
  <c r="BQ92"/>
  <c r="AK92" s="1"/>
  <c r="AH92"/>
  <c r="B92" s="1"/>
  <c r="EI91"/>
  <c r="DC91" s="1"/>
  <c r="CZ91"/>
  <c r="BT91" s="1"/>
  <c r="BQ91"/>
  <c r="AK91" s="1"/>
  <c r="AH91"/>
  <c r="B91" s="1"/>
  <c r="EI90"/>
  <c r="DC90" s="1"/>
  <c r="CZ90"/>
  <c r="BT90" s="1"/>
  <c r="BQ90"/>
  <c r="AK90" s="1"/>
  <c r="AH90"/>
  <c r="B90" s="1"/>
  <c r="EI89"/>
  <c r="DC89" s="1"/>
  <c r="CZ89"/>
  <c r="BT89" s="1"/>
  <c r="BQ89"/>
  <c r="AK89" s="1"/>
  <c r="AH89"/>
  <c r="B89" s="1"/>
  <c r="EI88"/>
  <c r="DC88" s="1"/>
  <c r="CZ88"/>
  <c r="BT88" s="1"/>
  <c r="BQ88"/>
  <c r="AK88" s="1"/>
  <c r="AH88"/>
  <c r="B88" s="1"/>
  <c r="EI87"/>
  <c r="DC87" s="1"/>
  <c r="CZ87"/>
  <c r="BT87" s="1"/>
  <c r="BQ87"/>
  <c r="AK87" s="1"/>
  <c r="AH87"/>
  <c r="B87" s="1"/>
  <c r="EI86"/>
  <c r="DC86" s="1"/>
  <c r="CZ86"/>
  <c r="BT86" s="1"/>
  <c r="BQ86"/>
  <c r="AK86" s="1"/>
  <c r="AH86"/>
  <c r="B86" s="1"/>
  <c r="EI85"/>
  <c r="DC85" s="1"/>
  <c r="CZ85"/>
  <c r="BQ85"/>
  <c r="AK85" s="1"/>
  <c r="AH85"/>
  <c r="EH81"/>
  <c r="EG81"/>
  <c r="EF81"/>
  <c r="EE81"/>
  <c r="ED81"/>
  <c r="EC81"/>
  <c r="EB81"/>
  <c r="EA81"/>
  <c r="DZ81"/>
  <c r="DY81"/>
  <c r="DX81"/>
  <c r="DW81"/>
  <c r="DV81"/>
  <c r="DU81"/>
  <c r="DT81"/>
  <c r="DS81"/>
  <c r="DR81"/>
  <c r="DQ81"/>
  <c r="DP81"/>
  <c r="DO81"/>
  <c r="DN81"/>
  <c r="DM81"/>
  <c r="DL81"/>
  <c r="DK81"/>
  <c r="DJ81"/>
  <c r="DI81"/>
  <c r="DH81"/>
  <c r="DG81"/>
  <c r="DF81"/>
  <c r="DE81"/>
  <c r="DD81"/>
  <c r="CY81"/>
  <c r="CX81"/>
  <c r="CW81"/>
  <c r="CV81"/>
  <c r="CU81"/>
  <c r="CT81"/>
  <c r="CS81"/>
  <c r="CR81"/>
  <c r="CQ81"/>
  <c r="CP81"/>
  <c r="CO81"/>
  <c r="CN81"/>
  <c r="CM81"/>
  <c r="CL81"/>
  <c r="CK81"/>
  <c r="CJ81"/>
  <c r="CI81"/>
  <c r="CH81"/>
  <c r="CG81"/>
  <c r="CF81"/>
  <c r="CE81"/>
  <c r="CD81"/>
  <c r="CC81"/>
  <c r="CB81"/>
  <c r="CA81"/>
  <c r="BZ81"/>
  <c r="BY81"/>
  <c r="BX81"/>
  <c r="BW81"/>
  <c r="BV81"/>
  <c r="BU81"/>
  <c r="BP81"/>
  <c r="BO81"/>
  <c r="BN81"/>
  <c r="BM81"/>
  <c r="BL81"/>
  <c r="BK81"/>
  <c r="BJ81"/>
  <c r="BI81"/>
  <c r="BH81"/>
  <c r="BG81"/>
  <c r="BF81"/>
  <c r="BE81"/>
  <c r="BD81"/>
  <c r="BC81"/>
  <c r="BB81"/>
  <c r="BA81"/>
  <c r="AZ81"/>
  <c r="AY81"/>
  <c r="AX81"/>
  <c r="AW81"/>
  <c r="AV81"/>
  <c r="AU81"/>
  <c r="AT81"/>
  <c r="AS81"/>
  <c r="AR81"/>
  <c r="AQ81"/>
  <c r="AP81"/>
  <c r="AO81"/>
  <c r="AN81"/>
  <c r="AM81"/>
  <c r="AL81"/>
  <c r="AG81"/>
  <c r="AF81"/>
  <c r="AE81"/>
  <c r="AD81"/>
  <c r="AC81"/>
  <c r="AB81"/>
  <c r="AA81"/>
  <c r="Z81"/>
  <c r="Y81"/>
  <c r="X81"/>
  <c r="W81"/>
  <c r="V81"/>
  <c r="U81"/>
  <c r="T81"/>
  <c r="S81"/>
  <c r="R81"/>
  <c r="Q81"/>
  <c r="P81"/>
  <c r="O81"/>
  <c r="N81"/>
  <c r="M81"/>
  <c r="L81"/>
  <c r="K81"/>
  <c r="J81"/>
  <c r="I81"/>
  <c r="H81"/>
  <c r="G81"/>
  <c r="F81"/>
  <c r="E81"/>
  <c r="D81"/>
  <c r="C81"/>
  <c r="EI80"/>
  <c r="DC80" s="1"/>
  <c r="CZ80"/>
  <c r="BT80" s="1"/>
  <c r="BQ80"/>
  <c r="AK80" s="1"/>
  <c r="AH80"/>
  <c r="B80" s="1"/>
  <c r="EI79"/>
  <c r="DC79" s="1"/>
  <c r="CZ79"/>
  <c r="BT79" s="1"/>
  <c r="BQ79"/>
  <c r="AK79" s="1"/>
  <c r="AH79"/>
  <c r="B79" s="1"/>
  <c r="EI78"/>
  <c r="DC78" s="1"/>
  <c r="CZ78"/>
  <c r="BT78" s="1"/>
  <c r="BQ78"/>
  <c r="AK78" s="1"/>
  <c r="AH78"/>
  <c r="B78" s="1"/>
  <c r="EI77"/>
  <c r="DC77" s="1"/>
  <c r="CZ77"/>
  <c r="BT77" s="1"/>
  <c r="BQ77"/>
  <c r="AK77" s="1"/>
  <c r="AH77"/>
  <c r="B77" s="1"/>
  <c r="EI76"/>
  <c r="DC76" s="1"/>
  <c r="CZ76"/>
  <c r="BT76" s="1"/>
  <c r="BQ76"/>
  <c r="AK76" s="1"/>
  <c r="AH76"/>
  <c r="B76" s="1"/>
  <c r="EI75"/>
  <c r="DC75" s="1"/>
  <c r="CZ75"/>
  <c r="BT75" s="1"/>
  <c r="BQ75"/>
  <c r="AK75" s="1"/>
  <c r="AH75"/>
  <c r="B75" s="1"/>
  <c r="EI74"/>
  <c r="DC74" s="1"/>
  <c r="CZ74"/>
  <c r="BT74" s="1"/>
  <c r="BQ74"/>
  <c r="AK74" s="1"/>
  <c r="AH74"/>
  <c r="B74" s="1"/>
  <c r="EI73"/>
  <c r="DC73" s="1"/>
  <c r="CZ73"/>
  <c r="BT73" s="1"/>
  <c r="BQ73"/>
  <c r="AK73" s="1"/>
  <c r="AH73"/>
  <c r="B73" s="1"/>
  <c r="EI72"/>
  <c r="DC72" s="1"/>
  <c r="CZ72"/>
  <c r="BT72" s="1"/>
  <c r="BQ72"/>
  <c r="AK72" s="1"/>
  <c r="AH72"/>
  <c r="B72" s="1"/>
  <c r="EI71"/>
  <c r="DC71" s="1"/>
  <c r="CZ71"/>
  <c r="BT71" s="1"/>
  <c r="BQ71"/>
  <c r="AK71" s="1"/>
  <c r="AH71"/>
  <c r="B71" s="1"/>
  <c r="EI70"/>
  <c r="DC70" s="1"/>
  <c r="CZ70"/>
  <c r="BT70" s="1"/>
  <c r="BQ70"/>
  <c r="AK70" s="1"/>
  <c r="AH70"/>
  <c r="B70" s="1"/>
  <c r="EI69"/>
  <c r="DC69" s="1"/>
  <c r="DC81" s="1"/>
  <c r="CZ69"/>
  <c r="CZ81" s="1"/>
  <c r="BQ69"/>
  <c r="AK69" s="1"/>
  <c r="AK81" s="1"/>
  <c r="AH69"/>
  <c r="AH81" s="1"/>
  <c r="EH65"/>
  <c r="EG65"/>
  <c r="EF65"/>
  <c r="EE65"/>
  <c r="ED65"/>
  <c r="EC65"/>
  <c r="EB65"/>
  <c r="EA65"/>
  <c r="DZ65"/>
  <c r="DY65"/>
  <c r="DX65"/>
  <c r="DW65"/>
  <c r="DV65"/>
  <c r="DU65"/>
  <c r="DT65"/>
  <c r="DS65"/>
  <c r="DR65"/>
  <c r="DQ65"/>
  <c r="DP65"/>
  <c r="DO65"/>
  <c r="DN65"/>
  <c r="DM65"/>
  <c r="DL65"/>
  <c r="DK65"/>
  <c r="DJ65"/>
  <c r="DI65"/>
  <c r="DH65"/>
  <c r="DG65"/>
  <c r="DF65"/>
  <c r="DE65"/>
  <c r="DD65"/>
  <c r="CY65"/>
  <c r="CX65"/>
  <c r="CW65"/>
  <c r="CV65"/>
  <c r="CU65"/>
  <c r="CT65"/>
  <c r="CS65"/>
  <c r="CR65"/>
  <c r="CQ65"/>
  <c r="CP65"/>
  <c r="CO65"/>
  <c r="CN65"/>
  <c r="CM65"/>
  <c r="CL65"/>
  <c r="CK65"/>
  <c r="CJ65"/>
  <c r="CI65"/>
  <c r="CH65"/>
  <c r="CG65"/>
  <c r="CF65"/>
  <c r="CE65"/>
  <c r="CD65"/>
  <c r="CC65"/>
  <c r="CB65"/>
  <c r="CA65"/>
  <c r="BZ65"/>
  <c r="BY65"/>
  <c r="BX65"/>
  <c r="BW65"/>
  <c r="BV65"/>
  <c r="BU65"/>
  <c r="BP65"/>
  <c r="BO65"/>
  <c r="BN65"/>
  <c r="BM65"/>
  <c r="BL65"/>
  <c r="BK65"/>
  <c r="BJ65"/>
  <c r="BI65"/>
  <c r="BH65"/>
  <c r="BG65"/>
  <c r="BF65"/>
  <c r="BE65"/>
  <c r="BD65"/>
  <c r="BC65"/>
  <c r="BB65"/>
  <c r="BA65"/>
  <c r="AZ65"/>
  <c r="AY65"/>
  <c r="AX65"/>
  <c r="AW65"/>
  <c r="AV65"/>
  <c r="AU65"/>
  <c r="AT65"/>
  <c r="AS65"/>
  <c r="AR65"/>
  <c r="AQ65"/>
  <c r="AP65"/>
  <c r="AO65"/>
  <c r="AN65"/>
  <c r="AM65"/>
  <c r="AL65"/>
  <c r="AG65"/>
  <c r="AF65"/>
  <c r="AE65"/>
  <c r="AD65"/>
  <c r="AC65"/>
  <c r="AB65"/>
  <c r="AA65"/>
  <c r="Z65"/>
  <c r="Y65"/>
  <c r="X65"/>
  <c r="W65"/>
  <c r="V65"/>
  <c r="U65"/>
  <c r="T65"/>
  <c r="S65"/>
  <c r="R65"/>
  <c r="Q65"/>
  <c r="P65"/>
  <c r="O65"/>
  <c r="N65"/>
  <c r="M65"/>
  <c r="L65"/>
  <c r="K65"/>
  <c r="J65"/>
  <c r="I65"/>
  <c r="H65"/>
  <c r="G65"/>
  <c r="F65"/>
  <c r="E65"/>
  <c r="D65"/>
  <c r="C65"/>
  <c r="EI64"/>
  <c r="DC64" s="1"/>
  <c r="CZ64"/>
  <c r="BT64" s="1"/>
  <c r="BQ64"/>
  <c r="AK64" s="1"/>
  <c r="AH64"/>
  <c r="B64" s="1"/>
  <c r="EI63"/>
  <c r="DC63" s="1"/>
  <c r="CZ63"/>
  <c r="BT63" s="1"/>
  <c r="BQ63"/>
  <c r="AK63" s="1"/>
  <c r="AH63"/>
  <c r="B63" s="1"/>
  <c r="EI62"/>
  <c r="DC62" s="1"/>
  <c r="CZ62"/>
  <c r="BT62" s="1"/>
  <c r="BQ62"/>
  <c r="AK62" s="1"/>
  <c r="AH62"/>
  <c r="B62" s="1"/>
  <c r="EI61"/>
  <c r="DC61" s="1"/>
  <c r="CZ61"/>
  <c r="BT61" s="1"/>
  <c r="BQ61"/>
  <c r="AK61" s="1"/>
  <c r="AH61"/>
  <c r="B61" s="1"/>
  <c r="EI60"/>
  <c r="DC60" s="1"/>
  <c r="CZ60"/>
  <c r="BT60" s="1"/>
  <c r="BQ60"/>
  <c r="AK60" s="1"/>
  <c r="AH60"/>
  <c r="B60" s="1"/>
  <c r="EI59"/>
  <c r="DC59" s="1"/>
  <c r="CZ59"/>
  <c r="BT59" s="1"/>
  <c r="BQ59"/>
  <c r="AK59" s="1"/>
  <c r="AH59"/>
  <c r="B59" s="1"/>
  <c r="EI58"/>
  <c r="DC58" s="1"/>
  <c r="CZ58"/>
  <c r="BT58" s="1"/>
  <c r="BQ58"/>
  <c r="AK58" s="1"/>
  <c r="AH58"/>
  <c r="B58" s="1"/>
  <c r="EI57"/>
  <c r="DC57" s="1"/>
  <c r="CZ57"/>
  <c r="BT57" s="1"/>
  <c r="BQ57"/>
  <c r="AK57" s="1"/>
  <c r="AH57"/>
  <c r="B57" s="1"/>
  <c r="EI56"/>
  <c r="DC56" s="1"/>
  <c r="CZ56"/>
  <c r="BT56" s="1"/>
  <c r="BQ56"/>
  <c r="AK56" s="1"/>
  <c r="AH56"/>
  <c r="B56" s="1"/>
  <c r="EI55"/>
  <c r="DC55" s="1"/>
  <c r="CZ55"/>
  <c r="BT55" s="1"/>
  <c r="BQ55"/>
  <c r="AK55" s="1"/>
  <c r="AH55"/>
  <c r="B55" s="1"/>
  <c r="EI54"/>
  <c r="DC54" s="1"/>
  <c r="CZ54"/>
  <c r="BT54" s="1"/>
  <c r="BQ54"/>
  <c r="AK54" s="1"/>
  <c r="AH54"/>
  <c r="B54" s="1"/>
  <c r="EI53"/>
  <c r="DC53" s="1"/>
  <c r="DC65" s="1"/>
  <c r="CZ53"/>
  <c r="CZ65" s="1"/>
  <c r="BQ53"/>
  <c r="AK53" s="1"/>
  <c r="AH53"/>
  <c r="AH65" s="1"/>
  <c r="EH49"/>
  <c r="EG49"/>
  <c r="EF49"/>
  <c r="EE49"/>
  <c r="ED49"/>
  <c r="EC49"/>
  <c r="EB49"/>
  <c r="EA49"/>
  <c r="DZ49"/>
  <c r="DY49"/>
  <c r="DX49"/>
  <c r="DW49"/>
  <c r="DV49"/>
  <c r="DU49"/>
  <c r="DT49"/>
  <c r="DS49"/>
  <c r="DR49"/>
  <c r="DQ49"/>
  <c r="DP49"/>
  <c r="DO49"/>
  <c r="DN49"/>
  <c r="DM49"/>
  <c r="DL49"/>
  <c r="DK49"/>
  <c r="DJ49"/>
  <c r="DI49"/>
  <c r="DH49"/>
  <c r="DG49"/>
  <c r="DF49"/>
  <c r="DE49"/>
  <c r="DD49"/>
  <c r="CY49"/>
  <c r="CX49"/>
  <c r="CW49"/>
  <c r="CV49"/>
  <c r="CU49"/>
  <c r="CT49"/>
  <c r="CS49"/>
  <c r="CR49"/>
  <c r="CQ49"/>
  <c r="CP49"/>
  <c r="CO49"/>
  <c r="CN49"/>
  <c r="CM49"/>
  <c r="CL49"/>
  <c r="CK49"/>
  <c r="CJ49"/>
  <c r="CI49"/>
  <c r="CH49"/>
  <c r="CG49"/>
  <c r="CF49"/>
  <c r="CE49"/>
  <c r="CD49"/>
  <c r="CC49"/>
  <c r="CB49"/>
  <c r="CA49"/>
  <c r="BZ49"/>
  <c r="BY49"/>
  <c r="BX49"/>
  <c r="BW49"/>
  <c r="BV49"/>
  <c r="BU49"/>
  <c r="BP49"/>
  <c r="BO49"/>
  <c r="BN49"/>
  <c r="BM49"/>
  <c r="BL49"/>
  <c r="BK49"/>
  <c r="BJ49"/>
  <c r="BI49"/>
  <c r="BH49"/>
  <c r="BG49"/>
  <c r="BF49"/>
  <c r="BE49"/>
  <c r="BD49"/>
  <c r="BC49"/>
  <c r="BB49"/>
  <c r="BA49"/>
  <c r="AZ49"/>
  <c r="AY49"/>
  <c r="AX49"/>
  <c r="AW49"/>
  <c r="AV49"/>
  <c r="AU49"/>
  <c r="AT49"/>
  <c r="AS49"/>
  <c r="AR49"/>
  <c r="AQ49"/>
  <c r="AP49"/>
  <c r="AO49"/>
  <c r="AN49"/>
  <c r="AM49"/>
  <c r="AL49"/>
  <c r="AG49"/>
  <c r="AF49"/>
  <c r="AE49"/>
  <c r="AD49"/>
  <c r="AC49"/>
  <c r="AB49"/>
  <c r="AA49"/>
  <c r="Z49"/>
  <c r="Y49"/>
  <c r="X49"/>
  <c r="W49"/>
  <c r="V49"/>
  <c r="U49"/>
  <c r="T49"/>
  <c r="S49"/>
  <c r="R49"/>
  <c r="Q49"/>
  <c r="P49"/>
  <c r="O49"/>
  <c r="N49"/>
  <c r="M49"/>
  <c r="L49"/>
  <c r="K49"/>
  <c r="J49"/>
  <c r="I49"/>
  <c r="H49"/>
  <c r="G49"/>
  <c r="F49"/>
  <c r="E49"/>
  <c r="D49"/>
  <c r="C49"/>
  <c r="EI48"/>
  <c r="DC48" s="1"/>
  <c r="CZ48"/>
  <c r="BT48" s="1"/>
  <c r="BQ48"/>
  <c r="AK48" s="1"/>
  <c r="AH48"/>
  <c r="B48" s="1"/>
  <c r="EI47"/>
  <c r="DC47" s="1"/>
  <c r="CZ47"/>
  <c r="BT47" s="1"/>
  <c r="BQ47"/>
  <c r="AK47" s="1"/>
  <c r="AH47"/>
  <c r="B47" s="1"/>
  <c r="EI46"/>
  <c r="DC46" s="1"/>
  <c r="CZ46"/>
  <c r="BT46" s="1"/>
  <c r="BQ46"/>
  <c r="AK46" s="1"/>
  <c r="AH46"/>
  <c r="B46" s="1"/>
  <c r="EI45"/>
  <c r="DC45" s="1"/>
  <c r="CZ45"/>
  <c r="BT45" s="1"/>
  <c r="BQ45"/>
  <c r="AK45" s="1"/>
  <c r="AH45"/>
  <c r="B45" s="1"/>
  <c r="EI44"/>
  <c r="DC44" s="1"/>
  <c r="CZ44"/>
  <c r="BT44" s="1"/>
  <c r="BQ44"/>
  <c r="AK44" s="1"/>
  <c r="AH44"/>
  <c r="B44" s="1"/>
  <c r="EI43"/>
  <c r="DC43" s="1"/>
  <c r="CZ43"/>
  <c r="BT43" s="1"/>
  <c r="BQ43"/>
  <c r="AK43" s="1"/>
  <c r="AH43"/>
  <c r="B43" s="1"/>
  <c r="EI42"/>
  <c r="DC42" s="1"/>
  <c r="CZ42"/>
  <c r="BT42" s="1"/>
  <c r="BQ42"/>
  <c r="AK42" s="1"/>
  <c r="AH42"/>
  <c r="B42" s="1"/>
  <c r="EI41"/>
  <c r="DC41" s="1"/>
  <c r="CZ41"/>
  <c r="BT41" s="1"/>
  <c r="BQ41"/>
  <c r="AK41" s="1"/>
  <c r="AH41"/>
  <c r="B41" s="1"/>
  <c r="EI40"/>
  <c r="DC40" s="1"/>
  <c r="CZ40"/>
  <c r="BT40" s="1"/>
  <c r="BQ40"/>
  <c r="AK40" s="1"/>
  <c r="AH40"/>
  <c r="B40" s="1"/>
  <c r="EI39"/>
  <c r="DC39" s="1"/>
  <c r="CZ39"/>
  <c r="BT39" s="1"/>
  <c r="BQ39"/>
  <c r="AK39" s="1"/>
  <c r="AH39"/>
  <c r="B39" s="1"/>
  <c r="EI38"/>
  <c r="DC38" s="1"/>
  <c r="CZ38"/>
  <c r="BT38" s="1"/>
  <c r="BQ38"/>
  <c r="AK38" s="1"/>
  <c r="AH38"/>
  <c r="B38" s="1"/>
  <c r="EI37"/>
  <c r="DC37" s="1"/>
  <c r="DC49" s="1"/>
  <c r="CZ37"/>
  <c r="CZ49" s="1"/>
  <c r="BQ37"/>
  <c r="AK37" s="1"/>
  <c r="AK49" s="1"/>
  <c r="AH37"/>
  <c r="AH49" s="1"/>
  <c r="EH33"/>
  <c r="EG33"/>
  <c r="EF33"/>
  <c r="EE33"/>
  <c r="ED33"/>
  <c r="EC33"/>
  <c r="EB33"/>
  <c r="EA33"/>
  <c r="DZ33"/>
  <c r="DY33"/>
  <c r="DX33"/>
  <c r="DW33"/>
  <c r="DV33"/>
  <c r="DU33"/>
  <c r="DT33"/>
  <c r="DS33"/>
  <c r="DR33"/>
  <c r="DQ33"/>
  <c r="DP33"/>
  <c r="DO33"/>
  <c r="DN33"/>
  <c r="DM33"/>
  <c r="DL33"/>
  <c r="DK33"/>
  <c r="DJ33"/>
  <c r="DI33"/>
  <c r="DH33"/>
  <c r="DG33"/>
  <c r="DF33"/>
  <c r="DE33"/>
  <c r="DD33"/>
  <c r="CY33"/>
  <c r="CX33"/>
  <c r="CW33"/>
  <c r="CV33"/>
  <c r="CU33"/>
  <c r="CT33"/>
  <c r="CS33"/>
  <c r="CR33"/>
  <c r="CQ33"/>
  <c r="CP33"/>
  <c r="CO33"/>
  <c r="CN33"/>
  <c r="CM33"/>
  <c r="CL33"/>
  <c r="CK33"/>
  <c r="CJ33"/>
  <c r="CI33"/>
  <c r="CH33"/>
  <c r="CG33"/>
  <c r="CF33"/>
  <c r="CE33"/>
  <c r="CD33"/>
  <c r="CC33"/>
  <c r="CB33"/>
  <c r="CA33"/>
  <c r="BZ33"/>
  <c r="BY33"/>
  <c r="BX33"/>
  <c r="BW33"/>
  <c r="BV33"/>
  <c r="BU33"/>
  <c r="BP33"/>
  <c r="BO33"/>
  <c r="BN33"/>
  <c r="BM33"/>
  <c r="BL33"/>
  <c r="BK33"/>
  <c r="BJ33"/>
  <c r="BI33"/>
  <c r="BH33"/>
  <c r="BG33"/>
  <c r="BF33"/>
  <c r="BE33"/>
  <c r="BD33"/>
  <c r="BC33"/>
  <c r="BB33"/>
  <c r="BA33"/>
  <c r="AZ33"/>
  <c r="AY33"/>
  <c r="AX33"/>
  <c r="AW33"/>
  <c r="AV33"/>
  <c r="AU33"/>
  <c r="AT33"/>
  <c r="AS33"/>
  <c r="AR33"/>
  <c r="AQ33"/>
  <c r="AP33"/>
  <c r="AO33"/>
  <c r="AN33"/>
  <c r="AM33"/>
  <c r="AL33"/>
  <c r="AG33"/>
  <c r="AF33"/>
  <c r="AE33"/>
  <c r="AD33"/>
  <c r="AC33"/>
  <c r="AB33"/>
  <c r="AA33"/>
  <c r="Z33"/>
  <c r="Y33"/>
  <c r="X33"/>
  <c r="W33"/>
  <c r="V33"/>
  <c r="U33"/>
  <c r="T33"/>
  <c r="S33"/>
  <c r="R33"/>
  <c r="Q33"/>
  <c r="P33"/>
  <c r="O33"/>
  <c r="N33"/>
  <c r="M33"/>
  <c r="L33"/>
  <c r="K33"/>
  <c r="J33"/>
  <c r="I33"/>
  <c r="H33"/>
  <c r="G33"/>
  <c r="F33"/>
  <c r="E33"/>
  <c r="D33"/>
  <c r="C33"/>
  <c r="FQ32"/>
  <c r="AG203" i="60818" s="1"/>
  <c r="FP32" i="60819"/>
  <c r="AF203" i="60818" s="1"/>
  <c r="FO32" i="60819"/>
  <c r="AE203" i="60818" s="1"/>
  <c r="FN32" i="60819"/>
  <c r="AD203" i="60818" s="1"/>
  <c r="FM32" i="60819"/>
  <c r="AC203" i="60818" s="1"/>
  <c r="FL32" i="60819"/>
  <c r="AB203" i="60818" s="1"/>
  <c r="FK32" i="60819"/>
  <c r="AA203" i="60818" s="1"/>
  <c r="FJ32" i="60819"/>
  <c r="Z203" i="60818" s="1"/>
  <c r="FI32" i="60819"/>
  <c r="Y203" i="60818" s="1"/>
  <c r="FH32" i="60819"/>
  <c r="X203" i="60818" s="1"/>
  <c r="FG32" i="60819"/>
  <c r="W203" i="60818" s="1"/>
  <c r="FF32" i="60819"/>
  <c r="V203" i="60818" s="1"/>
  <c r="FE32" i="60819"/>
  <c r="U203" i="60818" s="1"/>
  <c r="FD32" i="60819"/>
  <c r="T203" i="60818" s="1"/>
  <c r="FC32" i="60819"/>
  <c r="S203" i="60818" s="1"/>
  <c r="FB32" i="60819"/>
  <c r="R203" i="60818" s="1"/>
  <c r="FA32" i="60819"/>
  <c r="Q203" i="60818" s="1"/>
  <c r="EZ32" i="60819"/>
  <c r="P203" i="60818" s="1"/>
  <c r="EY32" i="60819"/>
  <c r="O203" i="60818" s="1"/>
  <c r="EX32" i="60819"/>
  <c r="N203" i="60818" s="1"/>
  <c r="EW32" i="60819"/>
  <c r="M203" i="60818" s="1"/>
  <c r="EV32" i="60819"/>
  <c r="L203" i="60818" s="1"/>
  <c r="EU32" i="60819"/>
  <c r="K203" i="60818" s="1"/>
  <c r="ET32" i="60819"/>
  <c r="J203" i="60818" s="1"/>
  <c r="ES32" i="60819"/>
  <c r="I203" i="60818" s="1"/>
  <c r="ER32" i="60819"/>
  <c r="H203" i="60818" s="1"/>
  <c r="EQ32" i="60819"/>
  <c r="G203" i="60818" s="1"/>
  <c r="EP32" i="60819"/>
  <c r="F203" i="60818" s="1"/>
  <c r="EO32" i="60819"/>
  <c r="E203" i="60818" s="1"/>
  <c r="EN32" i="60819"/>
  <c r="D203" i="60818" s="1"/>
  <c r="EM32" i="60819"/>
  <c r="C203" i="60818" s="1"/>
  <c r="EI32" i="60819"/>
  <c r="DC32" s="1"/>
  <c r="CZ32"/>
  <c r="BT32" s="1"/>
  <c r="BQ32"/>
  <c r="AK32" s="1"/>
  <c r="AH32"/>
  <c r="B32" s="1"/>
  <c r="FQ31"/>
  <c r="AG202" i="60818" s="1"/>
  <c r="FP31" i="60819"/>
  <c r="AF202" i="60818" s="1"/>
  <c r="FO31" i="60819"/>
  <c r="AE202" i="60818" s="1"/>
  <c r="FN31" i="60819"/>
  <c r="AD202" i="60818" s="1"/>
  <c r="FM31" i="60819"/>
  <c r="AC202" i="60818" s="1"/>
  <c r="FL31" i="60819"/>
  <c r="AB202" i="60818" s="1"/>
  <c r="FK31" i="60819"/>
  <c r="AA202" i="60818" s="1"/>
  <c r="FJ31" i="60819"/>
  <c r="Z202" i="60818" s="1"/>
  <c r="FI31" i="60819"/>
  <c r="Y202" i="60818" s="1"/>
  <c r="FH31" i="60819"/>
  <c r="X202" i="60818" s="1"/>
  <c r="FG31" i="60819"/>
  <c r="W202" i="60818" s="1"/>
  <c r="FF31" i="60819"/>
  <c r="V202" i="60818" s="1"/>
  <c r="FE31" i="60819"/>
  <c r="U202" i="60818" s="1"/>
  <c r="FD31" i="60819"/>
  <c r="T202" i="60818" s="1"/>
  <c r="FC31" i="60819"/>
  <c r="S202" i="60818" s="1"/>
  <c r="FB31" i="60819"/>
  <c r="R202" i="60818" s="1"/>
  <c r="FA31" i="60819"/>
  <c r="Q202" i="60818" s="1"/>
  <c r="EZ31" i="60819"/>
  <c r="P202" i="60818" s="1"/>
  <c r="EY31" i="60819"/>
  <c r="O202" i="60818" s="1"/>
  <c r="EX31" i="60819"/>
  <c r="N202" i="60818" s="1"/>
  <c r="EW31" i="60819"/>
  <c r="M202" i="60818" s="1"/>
  <c r="EV31" i="60819"/>
  <c r="L202" i="60818" s="1"/>
  <c r="EU31" i="60819"/>
  <c r="K202" i="60818" s="1"/>
  <c r="ET31" i="60819"/>
  <c r="J202" i="60818" s="1"/>
  <c r="ES31" i="60819"/>
  <c r="I202" i="60818" s="1"/>
  <c r="ER31" i="60819"/>
  <c r="H202" i="60818" s="1"/>
  <c r="EQ31" i="60819"/>
  <c r="G202" i="60818" s="1"/>
  <c r="EP31" i="60819"/>
  <c r="F202" i="60818" s="1"/>
  <c r="EO31" i="60819"/>
  <c r="E202" i="60818" s="1"/>
  <c r="EN31" i="60819"/>
  <c r="D202" i="60818" s="1"/>
  <c r="EM31" i="60819"/>
  <c r="C202" i="60818" s="1"/>
  <c r="EI31" i="60819"/>
  <c r="DC31" s="1"/>
  <c r="CZ31"/>
  <c r="BT31" s="1"/>
  <c r="BQ31"/>
  <c r="AK31" s="1"/>
  <c r="AH31"/>
  <c r="B31" s="1"/>
  <c r="FQ30"/>
  <c r="AG201" i="60818" s="1"/>
  <c r="FP30" i="60819"/>
  <c r="AF201" i="60818" s="1"/>
  <c r="FO30" i="60819"/>
  <c r="AE201" i="60818" s="1"/>
  <c r="FN30" i="60819"/>
  <c r="AD201" i="60818" s="1"/>
  <c r="FM30" i="60819"/>
  <c r="AC201" i="60818" s="1"/>
  <c r="FL30" i="60819"/>
  <c r="AB201" i="60818" s="1"/>
  <c r="FK30" i="60819"/>
  <c r="AA201" i="60818" s="1"/>
  <c r="FJ30" i="60819"/>
  <c r="Z201" i="60818" s="1"/>
  <c r="FI30" i="60819"/>
  <c r="Y201" i="60818" s="1"/>
  <c r="FH30" i="60819"/>
  <c r="X201" i="60818" s="1"/>
  <c r="FG30" i="60819"/>
  <c r="W201" i="60818" s="1"/>
  <c r="FF30" i="60819"/>
  <c r="V201" i="60818" s="1"/>
  <c r="FE30" i="60819"/>
  <c r="U201" i="60818" s="1"/>
  <c r="FD30" i="60819"/>
  <c r="T201" i="60818" s="1"/>
  <c r="FC30" i="60819"/>
  <c r="S201" i="60818" s="1"/>
  <c r="FB30" i="60819"/>
  <c r="R201" i="60818" s="1"/>
  <c r="FA30" i="60819"/>
  <c r="Q201" i="60818" s="1"/>
  <c r="EZ30" i="60819"/>
  <c r="P201" i="60818" s="1"/>
  <c r="EY30" i="60819"/>
  <c r="O201" i="60818" s="1"/>
  <c r="EX30" i="60819"/>
  <c r="N201" i="60818" s="1"/>
  <c r="EW30" i="60819"/>
  <c r="M201" i="60818" s="1"/>
  <c r="EV30" i="60819"/>
  <c r="L201" i="60818" s="1"/>
  <c r="EU30" i="60819"/>
  <c r="K201" i="60818" s="1"/>
  <c r="ET30" i="60819"/>
  <c r="J201" i="60818" s="1"/>
  <c r="ES30" i="60819"/>
  <c r="I201" i="60818" s="1"/>
  <c r="ER30" i="60819"/>
  <c r="H201" i="60818" s="1"/>
  <c r="EQ30" i="60819"/>
  <c r="G201" i="60818" s="1"/>
  <c r="EP30" i="60819"/>
  <c r="F201" i="60818" s="1"/>
  <c r="EO30" i="60819"/>
  <c r="E201" i="60818" s="1"/>
  <c r="EN30" i="60819"/>
  <c r="D201" i="60818" s="1"/>
  <c r="EM30" i="60819"/>
  <c r="C201" i="60818" s="1"/>
  <c r="EI30" i="60819"/>
  <c r="DC30" s="1"/>
  <c r="CZ30"/>
  <c r="BT30" s="1"/>
  <c r="BQ30"/>
  <c r="AK30" s="1"/>
  <c r="AH30"/>
  <c r="B30" s="1"/>
  <c r="FQ29"/>
  <c r="AG200" i="60818" s="1"/>
  <c r="FP29" i="60819"/>
  <c r="AF200" i="60818" s="1"/>
  <c r="FO29" i="60819"/>
  <c r="AE200" i="60818" s="1"/>
  <c r="FN29" i="60819"/>
  <c r="AD200" i="60818" s="1"/>
  <c r="FM29" i="60819"/>
  <c r="AC200" i="60818" s="1"/>
  <c r="FL29" i="60819"/>
  <c r="AB200" i="60818" s="1"/>
  <c r="FK29" i="60819"/>
  <c r="AA200" i="60818" s="1"/>
  <c r="FJ29" i="60819"/>
  <c r="Z200" i="60818" s="1"/>
  <c r="FI29" i="60819"/>
  <c r="Y200" i="60818" s="1"/>
  <c r="FH29" i="60819"/>
  <c r="X200" i="60818" s="1"/>
  <c r="FG29" i="60819"/>
  <c r="W200" i="60818" s="1"/>
  <c r="FF29" i="60819"/>
  <c r="V200" i="60818" s="1"/>
  <c r="FE29" i="60819"/>
  <c r="U200" i="60818" s="1"/>
  <c r="FD29" i="60819"/>
  <c r="T200" i="60818" s="1"/>
  <c r="FC29" i="60819"/>
  <c r="S200" i="60818" s="1"/>
  <c r="FB29" i="60819"/>
  <c r="R200" i="60818" s="1"/>
  <c r="FA29" i="60819"/>
  <c r="Q200" i="60818" s="1"/>
  <c r="EZ29" i="60819"/>
  <c r="P200" i="60818" s="1"/>
  <c r="EY29" i="60819"/>
  <c r="O200" i="60818" s="1"/>
  <c r="EX29" i="60819"/>
  <c r="N200" i="60818" s="1"/>
  <c r="EW29" i="60819"/>
  <c r="M200" i="60818" s="1"/>
  <c r="EV29" i="60819"/>
  <c r="L200" i="60818" s="1"/>
  <c r="EU29" i="60819"/>
  <c r="K200" i="60818" s="1"/>
  <c r="ET29" i="60819"/>
  <c r="J200" i="60818" s="1"/>
  <c r="ES29" i="60819"/>
  <c r="I200" i="60818" s="1"/>
  <c r="ER29" i="60819"/>
  <c r="H200" i="60818" s="1"/>
  <c r="EQ29" i="60819"/>
  <c r="G200" i="60818" s="1"/>
  <c r="EP29" i="60819"/>
  <c r="F200" i="60818" s="1"/>
  <c r="EO29" i="60819"/>
  <c r="E200" i="60818" s="1"/>
  <c r="EN29" i="60819"/>
  <c r="D200" i="60818" s="1"/>
  <c r="EM29" i="60819"/>
  <c r="C200" i="60818" s="1"/>
  <c r="EI29" i="60819"/>
  <c r="DC29" s="1"/>
  <c r="CZ29"/>
  <c r="BT29" s="1"/>
  <c r="BQ29"/>
  <c r="AK29" s="1"/>
  <c r="AH29"/>
  <c r="B29" s="1"/>
  <c r="FQ28"/>
  <c r="AG199" i="60818" s="1"/>
  <c r="FP28" i="60819"/>
  <c r="AF199" i="60818" s="1"/>
  <c r="FO28" i="60819"/>
  <c r="AE199" i="60818" s="1"/>
  <c r="FN28" i="60819"/>
  <c r="AD199" i="60818" s="1"/>
  <c r="FM28" i="60819"/>
  <c r="AC199" i="60818" s="1"/>
  <c r="FL28" i="60819"/>
  <c r="AB199" i="60818" s="1"/>
  <c r="FK28" i="60819"/>
  <c r="AA199" i="60818" s="1"/>
  <c r="FJ28" i="60819"/>
  <c r="Z199" i="60818" s="1"/>
  <c r="FI28" i="60819"/>
  <c r="Y199" i="60818" s="1"/>
  <c r="FH28" i="60819"/>
  <c r="X199" i="60818" s="1"/>
  <c r="FG28" i="60819"/>
  <c r="W199" i="60818" s="1"/>
  <c r="FF28" i="60819"/>
  <c r="V199" i="60818" s="1"/>
  <c r="FE28" i="60819"/>
  <c r="U199" i="60818" s="1"/>
  <c r="FD28" i="60819"/>
  <c r="T199" i="60818" s="1"/>
  <c r="FC28" i="60819"/>
  <c r="S199" i="60818" s="1"/>
  <c r="FB28" i="60819"/>
  <c r="R199" i="60818" s="1"/>
  <c r="FA28" i="60819"/>
  <c r="Q199" i="60818" s="1"/>
  <c r="EZ28" i="60819"/>
  <c r="P199" i="60818" s="1"/>
  <c r="EY28" i="60819"/>
  <c r="O199" i="60818" s="1"/>
  <c r="EX28" i="60819"/>
  <c r="N199" i="60818" s="1"/>
  <c r="EW28" i="60819"/>
  <c r="M199" i="60818" s="1"/>
  <c r="EV28" i="60819"/>
  <c r="L199" i="60818" s="1"/>
  <c r="EU28" i="60819"/>
  <c r="K199" i="60818" s="1"/>
  <c r="ET28" i="60819"/>
  <c r="J199" i="60818" s="1"/>
  <c r="ES28" i="60819"/>
  <c r="I199" i="60818" s="1"/>
  <c r="ER28" i="60819"/>
  <c r="H199" i="60818" s="1"/>
  <c r="EQ28" i="60819"/>
  <c r="G199" i="60818" s="1"/>
  <c r="EP28" i="60819"/>
  <c r="F199" i="60818" s="1"/>
  <c r="EO28" i="60819"/>
  <c r="E199" i="60818" s="1"/>
  <c r="EN28" i="60819"/>
  <c r="D199" i="60818" s="1"/>
  <c r="EM28" i="60819"/>
  <c r="C199" i="60818" s="1"/>
  <c r="EI28" i="60819"/>
  <c r="DC28" s="1"/>
  <c r="CZ28"/>
  <c r="BT28" s="1"/>
  <c r="BQ28"/>
  <c r="AK28" s="1"/>
  <c r="AH28"/>
  <c r="B28" s="1"/>
  <c r="FQ27"/>
  <c r="AG198" i="60818" s="1"/>
  <c r="FP27" i="60819"/>
  <c r="AF198" i="60818" s="1"/>
  <c r="FO27" i="60819"/>
  <c r="AE198" i="60818" s="1"/>
  <c r="FN27" i="60819"/>
  <c r="AD198" i="60818" s="1"/>
  <c r="FM27" i="60819"/>
  <c r="AC198" i="60818" s="1"/>
  <c r="FL27" i="60819"/>
  <c r="AB198" i="60818" s="1"/>
  <c r="FK27" i="60819"/>
  <c r="AA198" i="60818" s="1"/>
  <c r="FJ27" i="60819"/>
  <c r="Z198" i="60818" s="1"/>
  <c r="FI27" i="60819"/>
  <c r="Y198" i="60818" s="1"/>
  <c r="FH27" i="60819"/>
  <c r="X198" i="60818" s="1"/>
  <c r="FG27" i="60819"/>
  <c r="W198" i="60818" s="1"/>
  <c r="FF27" i="60819"/>
  <c r="V198" i="60818" s="1"/>
  <c r="FE27" i="60819"/>
  <c r="U198" i="60818" s="1"/>
  <c r="FD27" i="60819"/>
  <c r="T198" i="60818" s="1"/>
  <c r="FC27" i="60819"/>
  <c r="S198" i="60818" s="1"/>
  <c r="FB27" i="60819"/>
  <c r="R198" i="60818" s="1"/>
  <c r="FA27" i="60819"/>
  <c r="Q198" i="60818" s="1"/>
  <c r="EZ27" i="60819"/>
  <c r="P198" i="60818" s="1"/>
  <c r="EY27" i="60819"/>
  <c r="O198" i="60818" s="1"/>
  <c r="EX27" i="60819"/>
  <c r="N198" i="60818" s="1"/>
  <c r="EW27" i="60819"/>
  <c r="M198" i="60818" s="1"/>
  <c r="EV27" i="60819"/>
  <c r="L198" i="60818" s="1"/>
  <c r="EU27" i="60819"/>
  <c r="K198" i="60818" s="1"/>
  <c r="ET27" i="60819"/>
  <c r="J198" i="60818" s="1"/>
  <c r="ES27" i="60819"/>
  <c r="I198" i="60818" s="1"/>
  <c r="ER27" i="60819"/>
  <c r="H198" i="60818" s="1"/>
  <c r="EQ27" i="60819"/>
  <c r="G198" i="60818" s="1"/>
  <c r="EP27" i="60819"/>
  <c r="F198" i="60818" s="1"/>
  <c r="EO27" i="60819"/>
  <c r="E198" i="60818" s="1"/>
  <c r="EN27" i="60819"/>
  <c r="D198" i="60818" s="1"/>
  <c r="EM27" i="60819"/>
  <c r="C198" i="60818" s="1"/>
  <c r="EI27" i="60819"/>
  <c r="DC27" s="1"/>
  <c r="CZ27"/>
  <c r="BT27" s="1"/>
  <c r="BQ27"/>
  <c r="AK27" s="1"/>
  <c r="AH27"/>
  <c r="B27" s="1"/>
  <c r="FQ26"/>
  <c r="AG197" i="60818" s="1"/>
  <c r="FP26" i="60819"/>
  <c r="AF197" i="60818" s="1"/>
  <c r="FO26" i="60819"/>
  <c r="AE197" i="60818" s="1"/>
  <c r="FN26" i="60819"/>
  <c r="AD197" i="60818" s="1"/>
  <c r="FM26" i="60819"/>
  <c r="AC197" i="60818" s="1"/>
  <c r="FL26" i="60819"/>
  <c r="AB197" i="60818" s="1"/>
  <c r="FK26" i="60819"/>
  <c r="AA197" i="60818" s="1"/>
  <c r="FJ26" i="60819"/>
  <c r="Z197" i="60818" s="1"/>
  <c r="FI26" i="60819"/>
  <c r="Y197" i="60818" s="1"/>
  <c r="FH26" i="60819"/>
  <c r="X197" i="60818" s="1"/>
  <c r="FG26" i="60819"/>
  <c r="W197" i="60818" s="1"/>
  <c r="FF26" i="60819"/>
  <c r="V197" i="60818" s="1"/>
  <c r="FE26" i="60819"/>
  <c r="U197" i="60818" s="1"/>
  <c r="FD26" i="60819"/>
  <c r="T197" i="60818" s="1"/>
  <c r="FC26" i="60819"/>
  <c r="S197" i="60818" s="1"/>
  <c r="FB26" i="60819"/>
  <c r="R197" i="60818" s="1"/>
  <c r="FA26" i="60819"/>
  <c r="Q197" i="60818" s="1"/>
  <c r="EZ26" i="60819"/>
  <c r="P197" i="60818" s="1"/>
  <c r="EY26" i="60819"/>
  <c r="O197" i="60818" s="1"/>
  <c r="EX26" i="60819"/>
  <c r="N197" i="60818" s="1"/>
  <c r="EW26" i="60819"/>
  <c r="M197" i="60818" s="1"/>
  <c r="EV26" i="60819"/>
  <c r="L197" i="60818" s="1"/>
  <c r="EU26" i="60819"/>
  <c r="K197" i="60818" s="1"/>
  <c r="ET26" i="60819"/>
  <c r="J197" i="60818" s="1"/>
  <c r="ES26" i="60819"/>
  <c r="I197" i="60818" s="1"/>
  <c r="ER26" i="60819"/>
  <c r="H197" i="60818" s="1"/>
  <c r="EQ26" i="60819"/>
  <c r="G197" i="60818" s="1"/>
  <c r="EP26" i="60819"/>
  <c r="F197" i="60818" s="1"/>
  <c r="EO26" i="60819"/>
  <c r="E197" i="60818" s="1"/>
  <c r="EN26" i="60819"/>
  <c r="D197" i="60818" s="1"/>
  <c r="EM26" i="60819"/>
  <c r="C197" i="60818" s="1"/>
  <c r="EI26" i="60819"/>
  <c r="DC26" s="1"/>
  <c r="CZ26"/>
  <c r="BT26" s="1"/>
  <c r="BQ26"/>
  <c r="AK26" s="1"/>
  <c r="AH26"/>
  <c r="B26" s="1"/>
  <c r="FQ25"/>
  <c r="AG196" i="60818" s="1"/>
  <c r="FP25" i="60819"/>
  <c r="AF196" i="60818" s="1"/>
  <c r="FO25" i="60819"/>
  <c r="AE196" i="60818" s="1"/>
  <c r="FN25" i="60819"/>
  <c r="AD196" i="60818" s="1"/>
  <c r="FM25" i="60819"/>
  <c r="AC196" i="60818" s="1"/>
  <c r="FL25" i="60819"/>
  <c r="AB196" i="60818" s="1"/>
  <c r="FK25" i="60819"/>
  <c r="AA196" i="60818" s="1"/>
  <c r="FJ25" i="60819"/>
  <c r="Z196" i="60818" s="1"/>
  <c r="FI25" i="60819"/>
  <c r="Y196" i="60818" s="1"/>
  <c r="FH25" i="60819"/>
  <c r="X196" i="60818" s="1"/>
  <c r="FG25" i="60819"/>
  <c r="W196" i="60818" s="1"/>
  <c r="FF25" i="60819"/>
  <c r="V196" i="60818" s="1"/>
  <c r="FE25" i="60819"/>
  <c r="U196" i="60818" s="1"/>
  <c r="FD25" i="60819"/>
  <c r="T196" i="60818" s="1"/>
  <c r="FC25" i="60819"/>
  <c r="S196" i="60818" s="1"/>
  <c r="FB25" i="60819"/>
  <c r="R196" i="60818" s="1"/>
  <c r="FA25" i="60819"/>
  <c r="Q196" i="60818" s="1"/>
  <c r="EZ25" i="60819"/>
  <c r="P196" i="60818" s="1"/>
  <c r="EY25" i="60819"/>
  <c r="O196" i="60818" s="1"/>
  <c r="EX25" i="60819"/>
  <c r="N196" i="60818" s="1"/>
  <c r="EW25" i="60819"/>
  <c r="M196" i="60818" s="1"/>
  <c r="EV25" i="60819"/>
  <c r="L196" i="60818" s="1"/>
  <c r="EU25" i="60819"/>
  <c r="K196" i="60818" s="1"/>
  <c r="ET25" i="60819"/>
  <c r="J196" i="60818" s="1"/>
  <c r="ES25" i="60819"/>
  <c r="I196" i="60818" s="1"/>
  <c r="ER25" i="60819"/>
  <c r="H196" i="60818" s="1"/>
  <c r="EQ25" i="60819"/>
  <c r="G196" i="60818" s="1"/>
  <c r="EP25" i="60819"/>
  <c r="F196" i="60818" s="1"/>
  <c r="EO25" i="60819"/>
  <c r="E196" i="60818" s="1"/>
  <c r="EN25" i="60819"/>
  <c r="D196" i="60818" s="1"/>
  <c r="EM25" i="60819"/>
  <c r="C196" i="60818" s="1"/>
  <c r="EI25" i="60819"/>
  <c r="DC25" s="1"/>
  <c r="CZ25"/>
  <c r="BT25" s="1"/>
  <c r="BQ25"/>
  <c r="AK25" s="1"/>
  <c r="AH25"/>
  <c r="B25" s="1"/>
  <c r="FQ24"/>
  <c r="AG195" i="60818" s="1"/>
  <c r="FP24" i="60819"/>
  <c r="AF195" i="60818" s="1"/>
  <c r="FO24" i="60819"/>
  <c r="AE195" i="60818" s="1"/>
  <c r="FN24" i="60819"/>
  <c r="AD195" i="60818" s="1"/>
  <c r="FM24" i="60819"/>
  <c r="AC195" i="60818" s="1"/>
  <c r="FL24" i="60819"/>
  <c r="AB195" i="60818" s="1"/>
  <c r="FK24" i="60819"/>
  <c r="AA195" i="60818" s="1"/>
  <c r="FJ24" i="60819"/>
  <c r="Z195" i="60818" s="1"/>
  <c r="FI24" i="60819"/>
  <c r="Y195" i="60818" s="1"/>
  <c r="FH24" i="60819"/>
  <c r="X195" i="60818" s="1"/>
  <c r="FG24" i="60819"/>
  <c r="W195" i="60818" s="1"/>
  <c r="FF24" i="60819"/>
  <c r="V195" i="60818" s="1"/>
  <c r="FE24" i="60819"/>
  <c r="U195" i="60818" s="1"/>
  <c r="FD24" i="60819"/>
  <c r="T195" i="60818" s="1"/>
  <c r="FC24" i="60819"/>
  <c r="S195" i="60818" s="1"/>
  <c r="FB24" i="60819"/>
  <c r="R195" i="60818" s="1"/>
  <c r="FA24" i="60819"/>
  <c r="Q195" i="60818" s="1"/>
  <c r="EZ24" i="60819"/>
  <c r="P195" i="60818" s="1"/>
  <c r="EY24" i="60819"/>
  <c r="O195" i="60818" s="1"/>
  <c r="EX24" i="60819"/>
  <c r="N195" i="60818" s="1"/>
  <c r="EW24" i="60819"/>
  <c r="M195" i="60818" s="1"/>
  <c r="EV24" i="60819"/>
  <c r="L195" i="60818" s="1"/>
  <c r="EU24" i="60819"/>
  <c r="K195" i="60818" s="1"/>
  <c r="ET24" i="60819"/>
  <c r="J195" i="60818" s="1"/>
  <c r="ES24" i="60819"/>
  <c r="I195" i="60818" s="1"/>
  <c r="ER24" i="60819"/>
  <c r="H195" i="60818" s="1"/>
  <c r="EQ24" i="60819"/>
  <c r="G195" i="60818" s="1"/>
  <c r="EP24" i="60819"/>
  <c r="F195" i="60818" s="1"/>
  <c r="EO24" i="60819"/>
  <c r="E195" i="60818" s="1"/>
  <c r="EN24" i="60819"/>
  <c r="D195" i="60818" s="1"/>
  <c r="EM24" i="60819"/>
  <c r="EI24"/>
  <c r="DC24" s="1"/>
  <c r="CZ24"/>
  <c r="BT24" s="1"/>
  <c r="BQ24"/>
  <c r="AK24" s="1"/>
  <c r="AH24"/>
  <c r="B24" s="1"/>
  <c r="FQ23"/>
  <c r="AG194" i="60818" s="1"/>
  <c r="FP23" i="60819"/>
  <c r="AF194" i="60818" s="1"/>
  <c r="FO23" i="60819"/>
  <c r="AE194" i="60818" s="1"/>
  <c r="FN23" i="60819"/>
  <c r="AD194" i="60818" s="1"/>
  <c r="FM23" i="60819"/>
  <c r="AC194" i="60818" s="1"/>
  <c r="FL23" i="60819"/>
  <c r="AB194" i="60818" s="1"/>
  <c r="FK23" i="60819"/>
  <c r="AA194" i="60818" s="1"/>
  <c r="FJ23" i="60819"/>
  <c r="Z194" i="60818" s="1"/>
  <c r="FI23" i="60819"/>
  <c r="Y194" i="60818" s="1"/>
  <c r="FH23" i="60819"/>
  <c r="X194" i="60818" s="1"/>
  <c r="FG23" i="60819"/>
  <c r="W194" i="60818" s="1"/>
  <c r="FF23" i="60819"/>
  <c r="V194" i="60818" s="1"/>
  <c r="FE23" i="60819"/>
  <c r="U194" i="60818" s="1"/>
  <c r="FD23" i="60819"/>
  <c r="T194" i="60818" s="1"/>
  <c r="FC23" i="60819"/>
  <c r="S194" i="60818" s="1"/>
  <c r="FB23" i="60819"/>
  <c r="R194" i="60818" s="1"/>
  <c r="FA23" i="60819"/>
  <c r="Q194" i="60818" s="1"/>
  <c r="EZ23" i="60819"/>
  <c r="P194" i="60818" s="1"/>
  <c r="EY23" i="60819"/>
  <c r="O194" i="60818" s="1"/>
  <c r="EX23" i="60819"/>
  <c r="N194" i="60818" s="1"/>
  <c r="EW23" i="60819"/>
  <c r="M194" i="60818" s="1"/>
  <c r="EV23" i="60819"/>
  <c r="L194" i="60818" s="1"/>
  <c r="EU23" i="60819"/>
  <c r="K194" i="60818" s="1"/>
  <c r="ET23" i="60819"/>
  <c r="J194" i="60818" s="1"/>
  <c r="ES23" i="60819"/>
  <c r="I194" i="60818" s="1"/>
  <c r="ER23" i="60819"/>
  <c r="H194" i="60818" s="1"/>
  <c r="EQ23" i="60819"/>
  <c r="G194" i="60818" s="1"/>
  <c r="EP23" i="60819"/>
  <c r="F194" i="60818" s="1"/>
  <c r="EO23" i="60819"/>
  <c r="E194" i="60818" s="1"/>
  <c r="EN23" i="60819"/>
  <c r="D194" i="60818" s="1"/>
  <c r="EM23" i="60819"/>
  <c r="C194" i="60818" s="1"/>
  <c r="EI23" i="60819"/>
  <c r="DC23" s="1"/>
  <c r="CZ23"/>
  <c r="BT23" s="1"/>
  <c r="BQ23"/>
  <c r="AK23" s="1"/>
  <c r="AH23"/>
  <c r="B23" s="1"/>
  <c r="FQ22"/>
  <c r="AG193" i="60818" s="1"/>
  <c r="FP22" i="60819"/>
  <c r="AF193" i="60818" s="1"/>
  <c r="FO22" i="60819"/>
  <c r="AE193" i="60818" s="1"/>
  <c r="FN22" i="60819"/>
  <c r="AD193" i="60818" s="1"/>
  <c r="FM22" i="60819"/>
  <c r="AC193" i="60818" s="1"/>
  <c r="FL22" i="60819"/>
  <c r="AB193" i="60818" s="1"/>
  <c r="FK22" i="60819"/>
  <c r="AA193" i="60818" s="1"/>
  <c r="FJ22" i="60819"/>
  <c r="Z193" i="60818" s="1"/>
  <c r="FI22" i="60819"/>
  <c r="Y193" i="60818" s="1"/>
  <c r="FH22" i="60819"/>
  <c r="X193" i="60818" s="1"/>
  <c r="FG22" i="60819"/>
  <c r="W193" i="60818" s="1"/>
  <c r="FF22" i="60819"/>
  <c r="V193" i="60818" s="1"/>
  <c r="FE22" i="60819"/>
  <c r="U193" i="60818" s="1"/>
  <c r="FD22" i="60819"/>
  <c r="T193" i="60818" s="1"/>
  <c r="FC22" i="60819"/>
  <c r="S193" i="60818" s="1"/>
  <c r="FB22" i="60819"/>
  <c r="R193" i="60818" s="1"/>
  <c r="FA22" i="60819"/>
  <c r="Q193" i="60818" s="1"/>
  <c r="EZ22" i="60819"/>
  <c r="P193" i="60818" s="1"/>
  <c r="EY22" i="60819"/>
  <c r="O193" i="60818" s="1"/>
  <c r="EX22" i="60819"/>
  <c r="N193" i="60818" s="1"/>
  <c r="EW22" i="60819"/>
  <c r="M193" i="60818" s="1"/>
  <c r="EV22" i="60819"/>
  <c r="L193" i="60818" s="1"/>
  <c r="EU22" i="60819"/>
  <c r="K193" i="60818" s="1"/>
  <c r="ET22" i="60819"/>
  <c r="J193" i="60818" s="1"/>
  <c r="ES22" i="60819"/>
  <c r="I193" i="60818" s="1"/>
  <c r="ER22" i="60819"/>
  <c r="H193" i="60818" s="1"/>
  <c r="EQ22" i="60819"/>
  <c r="G193" i="60818" s="1"/>
  <c r="EP22" i="60819"/>
  <c r="F193" i="60818" s="1"/>
  <c r="EO22" i="60819"/>
  <c r="E193" i="60818" s="1"/>
  <c r="EN22" i="60819"/>
  <c r="D193" i="60818" s="1"/>
  <c r="EM22" i="60819"/>
  <c r="C193" i="60818" s="1"/>
  <c r="EI22" i="60819"/>
  <c r="DC22" s="1"/>
  <c r="CZ22"/>
  <c r="BT22" s="1"/>
  <c r="BQ22"/>
  <c r="AK22" s="1"/>
  <c r="AH22"/>
  <c r="B22" s="1"/>
  <c r="FQ21"/>
  <c r="AG192" i="60818" s="1"/>
  <c r="FP21" i="60819"/>
  <c r="FO21"/>
  <c r="FN21"/>
  <c r="AD192" i="60818" s="1"/>
  <c r="FM21" i="60819"/>
  <c r="AC192" i="60818" s="1"/>
  <c r="FL21" i="60819"/>
  <c r="FK21"/>
  <c r="FJ21"/>
  <c r="Z192" i="60818" s="1"/>
  <c r="FI21" i="60819"/>
  <c r="Y192" i="60818" s="1"/>
  <c r="FH21" i="60819"/>
  <c r="FG21"/>
  <c r="FF21"/>
  <c r="V192" i="60818" s="1"/>
  <c r="FE21" i="60819"/>
  <c r="U192" i="60818" s="1"/>
  <c r="FD21" i="60819"/>
  <c r="FC21"/>
  <c r="FB21"/>
  <c r="R192" i="60818" s="1"/>
  <c r="FA21" i="60819"/>
  <c r="Q192" i="60818" s="1"/>
  <c r="EZ21" i="60819"/>
  <c r="EY21"/>
  <c r="EX21"/>
  <c r="N192" i="60818" s="1"/>
  <c r="EW21" i="60819"/>
  <c r="M192" i="60818" s="1"/>
  <c r="EV21" i="60819"/>
  <c r="EU21"/>
  <c r="ET21"/>
  <c r="J192" i="60818" s="1"/>
  <c r="ES21" i="60819"/>
  <c r="I192" i="60818" s="1"/>
  <c r="ER21" i="60819"/>
  <c r="EQ21"/>
  <c r="G192" i="60818" s="1"/>
  <c r="EP21" i="60819"/>
  <c r="F192" i="60818" s="1"/>
  <c r="EO21" i="60819"/>
  <c r="E192" i="60818" s="1"/>
  <c r="EN21" i="60819"/>
  <c r="EM21"/>
  <c r="C192" i="60818" s="1"/>
  <c r="EI21" i="60819"/>
  <c r="DC21" s="1"/>
  <c r="CZ21"/>
  <c r="BQ21"/>
  <c r="AK21" s="1"/>
  <c r="AH21"/>
  <c r="FQ17"/>
  <c r="FP17"/>
  <c r="FO17"/>
  <c r="FN17"/>
  <c r="FM17"/>
  <c r="FL17"/>
  <c r="FK17"/>
  <c r="FJ17"/>
  <c r="FI17"/>
  <c r="FH17"/>
  <c r="FG17"/>
  <c r="FF17"/>
  <c r="FE17"/>
  <c r="FD17"/>
  <c r="FC17"/>
  <c r="FB17"/>
  <c r="FA17"/>
  <c r="EZ17"/>
  <c r="EY17"/>
  <c r="EX17"/>
  <c r="EW17"/>
  <c r="EV17"/>
  <c r="EU17"/>
  <c r="ET17"/>
  <c r="ES17"/>
  <c r="ER17"/>
  <c r="EQ17"/>
  <c r="EP17"/>
  <c r="EO17"/>
  <c r="EN17"/>
  <c r="EM17"/>
  <c r="EH17"/>
  <c r="EG17"/>
  <c r="EF17"/>
  <c r="EE17"/>
  <c r="ED17"/>
  <c r="EC17"/>
  <c r="EB17"/>
  <c r="EA17"/>
  <c r="DZ17"/>
  <c r="DY17"/>
  <c r="DX17"/>
  <c r="DW17"/>
  <c r="DV17"/>
  <c r="DU17"/>
  <c r="DT17"/>
  <c r="DS17"/>
  <c r="DR17"/>
  <c r="DQ17"/>
  <c r="DP17"/>
  <c r="DO17"/>
  <c r="DN17"/>
  <c r="DM17"/>
  <c r="DL17"/>
  <c r="DK17"/>
  <c r="DJ17"/>
  <c r="DI17"/>
  <c r="DH17"/>
  <c r="DG17"/>
  <c r="DF17"/>
  <c r="DE17"/>
  <c r="DD17"/>
  <c r="CY17"/>
  <c r="CX17"/>
  <c r="CW17"/>
  <c r="CV17"/>
  <c r="CU17"/>
  <c r="CT17"/>
  <c r="CS17"/>
  <c r="CR17"/>
  <c r="CQ17"/>
  <c r="CP17"/>
  <c r="CO17"/>
  <c r="CN17"/>
  <c r="CM17"/>
  <c r="CL17"/>
  <c r="CK17"/>
  <c r="CJ17"/>
  <c r="CI17"/>
  <c r="CH17"/>
  <c r="CG17"/>
  <c r="CF17"/>
  <c r="CE17"/>
  <c r="CD17"/>
  <c r="CC17"/>
  <c r="CB17"/>
  <c r="CA17"/>
  <c r="BZ17"/>
  <c r="BY17"/>
  <c r="BX17"/>
  <c r="BW17"/>
  <c r="BV17"/>
  <c r="BU17"/>
  <c r="BP17"/>
  <c r="BO17"/>
  <c r="BN17"/>
  <c r="BM17"/>
  <c r="BL17"/>
  <c r="BK17"/>
  <c r="BJ17"/>
  <c r="BI17"/>
  <c r="BH17"/>
  <c r="BG17"/>
  <c r="BF17"/>
  <c r="BE17"/>
  <c r="BD17"/>
  <c r="BC17"/>
  <c r="BB17"/>
  <c r="BA17"/>
  <c r="AZ17"/>
  <c r="AY17"/>
  <c r="AX17"/>
  <c r="AW17"/>
  <c r="AV17"/>
  <c r="AU17"/>
  <c r="AT17"/>
  <c r="AS17"/>
  <c r="AR17"/>
  <c r="AQ17"/>
  <c r="AP17"/>
  <c r="AO17"/>
  <c r="AN17"/>
  <c r="AM17"/>
  <c r="AL17"/>
  <c r="AG17"/>
  <c r="AF17"/>
  <c r="AE17"/>
  <c r="AD17"/>
  <c r="AC17"/>
  <c r="AB17"/>
  <c r="AA17"/>
  <c r="Z17"/>
  <c r="Y17"/>
  <c r="X17"/>
  <c r="W17"/>
  <c r="V17"/>
  <c r="U17"/>
  <c r="T17"/>
  <c r="S17"/>
  <c r="R17"/>
  <c r="Q17"/>
  <c r="P17"/>
  <c r="O17"/>
  <c r="N17"/>
  <c r="M17"/>
  <c r="L17"/>
  <c r="K17"/>
  <c r="J17"/>
  <c r="I17"/>
  <c r="H17"/>
  <c r="G17"/>
  <c r="F17"/>
  <c r="E17"/>
  <c r="D17"/>
  <c r="C17"/>
  <c r="FR16"/>
  <c r="EL16" s="1"/>
  <c r="EI16"/>
  <c r="DC16" s="1"/>
  <c r="CZ16"/>
  <c r="BT16" s="1"/>
  <c r="BQ16"/>
  <c r="AK16" s="1"/>
  <c r="AH16"/>
  <c r="B16" s="1"/>
  <c r="FR15"/>
  <c r="EL15" s="1"/>
  <c r="EI15"/>
  <c r="DC15" s="1"/>
  <c r="CZ15"/>
  <c r="BT15" s="1"/>
  <c r="BQ15"/>
  <c r="AK15" s="1"/>
  <c r="AH15"/>
  <c r="B15" s="1"/>
  <c r="FR14"/>
  <c r="EL14" s="1"/>
  <c r="EI14"/>
  <c r="DC14" s="1"/>
  <c r="CZ14"/>
  <c r="BT14" s="1"/>
  <c r="BQ14"/>
  <c r="AK14" s="1"/>
  <c r="AH14"/>
  <c r="B14" s="1"/>
  <c r="FR13"/>
  <c r="EL13" s="1"/>
  <c r="EI13"/>
  <c r="DC13" s="1"/>
  <c r="CZ13"/>
  <c r="BT13" s="1"/>
  <c r="BQ13"/>
  <c r="AK13" s="1"/>
  <c r="AH13"/>
  <c r="B13" s="1"/>
  <c r="FR12"/>
  <c r="EL12" s="1"/>
  <c r="EI12"/>
  <c r="DC12" s="1"/>
  <c r="CZ12"/>
  <c r="BT12" s="1"/>
  <c r="BQ12"/>
  <c r="AK12" s="1"/>
  <c r="AH12"/>
  <c r="B12" s="1"/>
  <c r="FR11"/>
  <c r="EL11" s="1"/>
  <c r="EI11"/>
  <c r="DC11" s="1"/>
  <c r="CZ11"/>
  <c r="BT11" s="1"/>
  <c r="BQ11"/>
  <c r="AK11" s="1"/>
  <c r="AH11"/>
  <c r="B11" s="1"/>
  <c r="FR10"/>
  <c r="EL10" s="1"/>
  <c r="EI10"/>
  <c r="DC10" s="1"/>
  <c r="CZ10"/>
  <c r="BT10" s="1"/>
  <c r="BQ10"/>
  <c r="AK10" s="1"/>
  <c r="AH10"/>
  <c r="B10" s="1"/>
  <c r="FR9"/>
  <c r="EL9" s="1"/>
  <c r="EI9"/>
  <c r="DC9" s="1"/>
  <c r="CZ9"/>
  <c r="BT9" s="1"/>
  <c r="BQ9"/>
  <c r="AK9" s="1"/>
  <c r="AH9"/>
  <c r="B9" s="1"/>
  <c r="FR8"/>
  <c r="EL8" s="1"/>
  <c r="EI8"/>
  <c r="DC8" s="1"/>
  <c r="CZ8"/>
  <c r="BT8" s="1"/>
  <c r="BQ8"/>
  <c r="AK8" s="1"/>
  <c r="AH8"/>
  <c r="B8" s="1"/>
  <c r="FR7"/>
  <c r="EL7" s="1"/>
  <c r="EI7"/>
  <c r="DC7" s="1"/>
  <c r="CZ7"/>
  <c r="BT7" s="1"/>
  <c r="BQ7"/>
  <c r="AK7" s="1"/>
  <c r="AH7"/>
  <c r="B7" s="1"/>
  <c r="FR6"/>
  <c r="EL6" s="1"/>
  <c r="EI6"/>
  <c r="DC6" s="1"/>
  <c r="CZ6"/>
  <c r="BT6" s="1"/>
  <c r="BQ6"/>
  <c r="AK6" s="1"/>
  <c r="AH6"/>
  <c r="B6" s="1"/>
  <c r="FR5"/>
  <c r="EI5"/>
  <c r="DC5" s="1"/>
  <c r="CZ5"/>
  <c r="BT5" s="1"/>
  <c r="BQ5"/>
  <c r="AH5"/>
  <c r="G172" i="60818"/>
  <c r="J172"/>
  <c r="Z172"/>
  <c r="E173"/>
  <c r="P173"/>
  <c r="AA173"/>
  <c r="AF173"/>
  <c r="AG173"/>
  <c r="F174"/>
  <c r="V174"/>
  <c r="AA174"/>
  <c r="L175"/>
  <c r="AB175"/>
  <c r="AG175"/>
  <c r="R176"/>
  <c r="H177"/>
  <c r="Q177"/>
  <c r="X177"/>
  <c r="N178"/>
  <c r="O178"/>
  <c r="Y178"/>
  <c r="AD178"/>
  <c r="D179"/>
  <c r="T179"/>
  <c r="U179"/>
  <c r="AA179"/>
  <c r="J180"/>
  <c r="O180"/>
  <c r="Q180"/>
  <c r="Z180"/>
  <c r="P181"/>
  <c r="AF181"/>
  <c r="F182"/>
  <c r="I182"/>
  <c r="V182"/>
  <c r="AA182"/>
  <c r="L183"/>
  <c r="AB183"/>
  <c r="AC183"/>
  <c r="R153"/>
  <c r="H154"/>
  <c r="U154"/>
  <c r="X154"/>
  <c r="E155"/>
  <c r="S155"/>
  <c r="D156"/>
  <c r="L156"/>
  <c r="Q156"/>
  <c r="T156"/>
  <c r="AB156"/>
  <c r="N157"/>
  <c r="AD157"/>
  <c r="D158"/>
  <c r="T158"/>
  <c r="Y158"/>
  <c r="J159"/>
  <c r="Z159"/>
  <c r="AG159"/>
  <c r="H160"/>
  <c r="P160"/>
  <c r="X160"/>
  <c r="AF160"/>
  <c r="F161"/>
  <c r="V161"/>
  <c r="AE161"/>
  <c r="L162"/>
  <c r="S162"/>
  <c r="AB162"/>
  <c r="R163"/>
  <c r="AE163"/>
  <c r="H164"/>
  <c r="X164"/>
  <c r="AC164"/>
  <c r="D136"/>
  <c r="X137"/>
  <c r="AG137"/>
  <c r="AG139"/>
  <c r="D140"/>
  <c r="P140"/>
  <c r="Y140"/>
  <c r="G142"/>
  <c r="C143"/>
  <c r="D143"/>
  <c r="M143"/>
  <c r="T143"/>
  <c r="W143"/>
  <c r="Y143"/>
  <c r="P144"/>
  <c r="AB144"/>
  <c r="Q145"/>
  <c r="C112"/>
  <c r="D112"/>
  <c r="E112"/>
  <c r="F112"/>
  <c r="G112"/>
  <c r="H112"/>
  <c r="I112"/>
  <c r="J112"/>
  <c r="K112"/>
  <c r="L112"/>
  <c r="M112"/>
  <c r="N112"/>
  <c r="O112"/>
  <c r="P112"/>
  <c r="Q112"/>
  <c r="R112"/>
  <c r="S112"/>
  <c r="T112"/>
  <c r="U112"/>
  <c r="V112"/>
  <c r="W112"/>
  <c r="X112"/>
  <c r="Y112"/>
  <c r="Z112"/>
  <c r="AA112"/>
  <c r="AB112"/>
  <c r="AC112"/>
  <c r="AD112"/>
  <c r="AE112"/>
  <c r="AF112"/>
  <c r="AG112"/>
  <c r="C113"/>
  <c r="D113"/>
  <c r="E113"/>
  <c r="F113"/>
  <c r="G113"/>
  <c r="H113"/>
  <c r="I113"/>
  <c r="J113"/>
  <c r="K113"/>
  <c r="L113"/>
  <c r="M113"/>
  <c r="N113"/>
  <c r="O113"/>
  <c r="P113"/>
  <c r="Q113"/>
  <c r="R113"/>
  <c r="S113"/>
  <c r="T113"/>
  <c r="U113"/>
  <c r="V113"/>
  <c r="W113"/>
  <c r="X113"/>
  <c r="Y113"/>
  <c r="Z113"/>
  <c r="AA113"/>
  <c r="AB113"/>
  <c r="AC113"/>
  <c r="AD113"/>
  <c r="AE113"/>
  <c r="AF113"/>
  <c r="AG113"/>
  <c r="C114"/>
  <c r="D114"/>
  <c r="E114"/>
  <c r="F114"/>
  <c r="G114"/>
  <c r="H114"/>
  <c r="I114"/>
  <c r="J114"/>
  <c r="K114"/>
  <c r="L114"/>
  <c r="M114"/>
  <c r="N114"/>
  <c r="O114"/>
  <c r="P114"/>
  <c r="Q114"/>
  <c r="R114"/>
  <c r="S114"/>
  <c r="T114"/>
  <c r="U114"/>
  <c r="V114"/>
  <c r="W114"/>
  <c r="X114"/>
  <c r="Y114"/>
  <c r="Z114"/>
  <c r="AA114"/>
  <c r="AB114"/>
  <c r="AC114"/>
  <c r="AD114"/>
  <c r="AE114"/>
  <c r="AF114"/>
  <c r="AG114"/>
  <c r="C115"/>
  <c r="D115"/>
  <c r="E115"/>
  <c r="F115"/>
  <c r="G115"/>
  <c r="H115"/>
  <c r="I115"/>
  <c r="J115"/>
  <c r="K115"/>
  <c r="L115"/>
  <c r="M115"/>
  <c r="N115"/>
  <c r="O115"/>
  <c r="P115"/>
  <c r="Q115"/>
  <c r="R115"/>
  <c r="S115"/>
  <c r="T115"/>
  <c r="U115"/>
  <c r="V115"/>
  <c r="W115"/>
  <c r="X115"/>
  <c r="Y115"/>
  <c r="Z115"/>
  <c r="AA115"/>
  <c r="AB115"/>
  <c r="AC115"/>
  <c r="AD115"/>
  <c r="AE115"/>
  <c r="AF115"/>
  <c r="AG115"/>
  <c r="C116"/>
  <c r="D116"/>
  <c r="E116"/>
  <c r="F116"/>
  <c r="G116"/>
  <c r="H116"/>
  <c r="I116"/>
  <c r="J116"/>
  <c r="K116"/>
  <c r="L116"/>
  <c r="M116"/>
  <c r="N116"/>
  <c r="O116"/>
  <c r="P116"/>
  <c r="Q116"/>
  <c r="R116"/>
  <c r="S116"/>
  <c r="T116"/>
  <c r="U116"/>
  <c r="V116"/>
  <c r="W116"/>
  <c r="X116"/>
  <c r="Y116"/>
  <c r="Z116"/>
  <c r="AA116"/>
  <c r="AB116"/>
  <c r="AC116"/>
  <c r="AD116"/>
  <c r="AE116"/>
  <c r="AF116"/>
  <c r="AG116"/>
  <c r="C117"/>
  <c r="D117"/>
  <c r="E117"/>
  <c r="F117"/>
  <c r="G117"/>
  <c r="H117"/>
  <c r="I117"/>
  <c r="J117"/>
  <c r="K117"/>
  <c r="L117"/>
  <c r="M117"/>
  <c r="N117"/>
  <c r="O117"/>
  <c r="P117"/>
  <c r="Q117"/>
  <c r="R117"/>
  <c r="S117"/>
  <c r="T117"/>
  <c r="U117"/>
  <c r="V117"/>
  <c r="W117"/>
  <c r="X117"/>
  <c r="Y117"/>
  <c r="Z117"/>
  <c r="AA117"/>
  <c r="AB117"/>
  <c r="AC117"/>
  <c r="AD117"/>
  <c r="AE117"/>
  <c r="AF117"/>
  <c r="AG117"/>
  <c r="C118"/>
  <c r="D118"/>
  <c r="E118"/>
  <c r="F118"/>
  <c r="G118"/>
  <c r="H118"/>
  <c r="I118"/>
  <c r="J118"/>
  <c r="K118"/>
  <c r="L118"/>
  <c r="M118"/>
  <c r="N118"/>
  <c r="O118"/>
  <c r="P118"/>
  <c r="Q118"/>
  <c r="R118"/>
  <c r="S118"/>
  <c r="T118"/>
  <c r="U118"/>
  <c r="V118"/>
  <c r="W118"/>
  <c r="X118"/>
  <c r="Y118"/>
  <c r="Z118"/>
  <c r="AA118"/>
  <c r="AB118"/>
  <c r="AC118"/>
  <c r="AD118"/>
  <c r="AE118"/>
  <c r="AF118"/>
  <c r="AG118"/>
  <c r="C119"/>
  <c r="D119"/>
  <c r="E119"/>
  <c r="F119"/>
  <c r="G119"/>
  <c r="H119"/>
  <c r="I119"/>
  <c r="J119"/>
  <c r="K119"/>
  <c r="L119"/>
  <c r="M119"/>
  <c r="N119"/>
  <c r="O119"/>
  <c r="P119"/>
  <c r="Q119"/>
  <c r="R119"/>
  <c r="S119"/>
  <c r="T119"/>
  <c r="U119"/>
  <c r="V119"/>
  <c r="W119"/>
  <c r="X119"/>
  <c r="Y119"/>
  <c r="Z119"/>
  <c r="AA119"/>
  <c r="AB119"/>
  <c r="AC119"/>
  <c r="AD119"/>
  <c r="AE119"/>
  <c r="AF119"/>
  <c r="AG119"/>
  <c r="C120"/>
  <c r="D120"/>
  <c r="E120"/>
  <c r="F120"/>
  <c r="G120"/>
  <c r="H120"/>
  <c r="I120"/>
  <c r="J120"/>
  <c r="K120"/>
  <c r="L120"/>
  <c r="M120"/>
  <c r="N120"/>
  <c r="O120"/>
  <c r="P120"/>
  <c r="Q120"/>
  <c r="R120"/>
  <c r="S120"/>
  <c r="T120"/>
  <c r="U120"/>
  <c r="V120"/>
  <c r="W120"/>
  <c r="X120"/>
  <c r="Y120"/>
  <c r="Z120"/>
  <c r="AA120"/>
  <c r="AB120"/>
  <c r="AC120"/>
  <c r="AD120"/>
  <c r="AE120"/>
  <c r="AF120"/>
  <c r="AG120"/>
  <c r="C121"/>
  <c r="D121"/>
  <c r="E121"/>
  <c r="F121"/>
  <c r="G121"/>
  <c r="H121"/>
  <c r="I121"/>
  <c r="J121"/>
  <c r="K121"/>
  <c r="L121"/>
  <c r="M121"/>
  <c r="N121"/>
  <c r="O121"/>
  <c r="P121"/>
  <c r="Q121"/>
  <c r="R121"/>
  <c r="S121"/>
  <c r="T121"/>
  <c r="U121"/>
  <c r="V121"/>
  <c r="W121"/>
  <c r="X121"/>
  <c r="Y121"/>
  <c r="Z121"/>
  <c r="AA121"/>
  <c r="AB121"/>
  <c r="AC121"/>
  <c r="AD121"/>
  <c r="AE121"/>
  <c r="AF121"/>
  <c r="AG121"/>
  <c r="C122"/>
  <c r="D122"/>
  <c r="E122"/>
  <c r="F122"/>
  <c r="G122"/>
  <c r="H122"/>
  <c r="I122"/>
  <c r="J122"/>
  <c r="K122"/>
  <c r="L122"/>
  <c r="M122"/>
  <c r="N122"/>
  <c r="O122"/>
  <c r="P122"/>
  <c r="Q122"/>
  <c r="R122"/>
  <c r="S122"/>
  <c r="T122"/>
  <c r="U122"/>
  <c r="V122"/>
  <c r="W122"/>
  <c r="X122"/>
  <c r="Y122"/>
  <c r="Z122"/>
  <c r="AA122"/>
  <c r="AB122"/>
  <c r="AC122"/>
  <c r="AD122"/>
  <c r="AE122"/>
  <c r="AF122"/>
  <c r="AG122"/>
  <c r="C123"/>
  <c r="D123"/>
  <c r="E123"/>
  <c r="F123"/>
  <c r="G123"/>
  <c r="H123"/>
  <c r="I123"/>
  <c r="J123"/>
  <c r="K123"/>
  <c r="L123"/>
  <c r="M123"/>
  <c r="N123"/>
  <c r="O123"/>
  <c r="P123"/>
  <c r="Q123"/>
  <c r="R123"/>
  <c r="S123"/>
  <c r="T123"/>
  <c r="U123"/>
  <c r="V123"/>
  <c r="W123"/>
  <c r="X123"/>
  <c r="Y123"/>
  <c r="Z123"/>
  <c r="AA123"/>
  <c r="AB123"/>
  <c r="AC123"/>
  <c r="AD123"/>
  <c r="AE123"/>
  <c r="AF123"/>
  <c r="AG123"/>
  <c r="C93"/>
  <c r="D93"/>
  <c r="E93"/>
  <c r="F93"/>
  <c r="G93"/>
  <c r="H93"/>
  <c r="I93"/>
  <c r="J93"/>
  <c r="K93"/>
  <c r="L93"/>
  <c r="M93"/>
  <c r="N93"/>
  <c r="O93"/>
  <c r="P93"/>
  <c r="Q93"/>
  <c r="R93"/>
  <c r="S93"/>
  <c r="T93"/>
  <c r="U93"/>
  <c r="V93"/>
  <c r="W93"/>
  <c r="X93"/>
  <c r="Y93"/>
  <c r="Z93"/>
  <c r="AA93"/>
  <c r="AB93"/>
  <c r="AC93"/>
  <c r="AD93"/>
  <c r="AE93"/>
  <c r="AF93"/>
  <c r="AG93"/>
  <c r="C94"/>
  <c r="D94"/>
  <c r="E94"/>
  <c r="F94"/>
  <c r="G94"/>
  <c r="H94"/>
  <c r="I94"/>
  <c r="J94"/>
  <c r="K94"/>
  <c r="L94"/>
  <c r="M94"/>
  <c r="N94"/>
  <c r="O94"/>
  <c r="P94"/>
  <c r="Q94"/>
  <c r="R94"/>
  <c r="S94"/>
  <c r="T94"/>
  <c r="U94"/>
  <c r="V94"/>
  <c r="W94"/>
  <c r="X94"/>
  <c r="Y94"/>
  <c r="Z94"/>
  <c r="AA94"/>
  <c r="AB94"/>
  <c r="AC94"/>
  <c r="AD94"/>
  <c r="AE94"/>
  <c r="AF94"/>
  <c r="AG94"/>
  <c r="C95"/>
  <c r="D95"/>
  <c r="E95"/>
  <c r="F95"/>
  <c r="G95"/>
  <c r="H95"/>
  <c r="I95"/>
  <c r="J95"/>
  <c r="K95"/>
  <c r="L95"/>
  <c r="M95"/>
  <c r="N95"/>
  <c r="O95"/>
  <c r="P95"/>
  <c r="Q95"/>
  <c r="R95"/>
  <c r="S95"/>
  <c r="T95"/>
  <c r="U95"/>
  <c r="V95"/>
  <c r="W95"/>
  <c r="X95"/>
  <c r="Y95"/>
  <c r="Z95"/>
  <c r="AA95"/>
  <c r="AB95"/>
  <c r="AC95"/>
  <c r="AD95"/>
  <c r="AE95"/>
  <c r="AF95"/>
  <c r="AG95"/>
  <c r="C96"/>
  <c r="D96"/>
  <c r="E96"/>
  <c r="F96"/>
  <c r="G96"/>
  <c r="H96"/>
  <c r="I96"/>
  <c r="J96"/>
  <c r="K96"/>
  <c r="L96"/>
  <c r="M96"/>
  <c r="N96"/>
  <c r="O96"/>
  <c r="P96"/>
  <c r="Q96"/>
  <c r="R96"/>
  <c r="S96"/>
  <c r="T96"/>
  <c r="U96"/>
  <c r="V96"/>
  <c r="W96"/>
  <c r="X96"/>
  <c r="Y96"/>
  <c r="Z96"/>
  <c r="AA96"/>
  <c r="AB96"/>
  <c r="AC96"/>
  <c r="AD96"/>
  <c r="AE96"/>
  <c r="AF96"/>
  <c r="AG96"/>
  <c r="C97"/>
  <c r="D97"/>
  <c r="E97"/>
  <c r="F97"/>
  <c r="G97"/>
  <c r="H97"/>
  <c r="I97"/>
  <c r="J97"/>
  <c r="K97"/>
  <c r="L97"/>
  <c r="M97"/>
  <c r="N97"/>
  <c r="O97"/>
  <c r="P97"/>
  <c r="Q97"/>
  <c r="R97"/>
  <c r="S97"/>
  <c r="T97"/>
  <c r="U97"/>
  <c r="V97"/>
  <c r="W97"/>
  <c r="X97"/>
  <c r="Y97"/>
  <c r="Z97"/>
  <c r="AA97"/>
  <c r="AB97"/>
  <c r="AC97"/>
  <c r="AD97"/>
  <c r="AE97"/>
  <c r="AF97"/>
  <c r="AG97"/>
  <c r="C98"/>
  <c r="D98"/>
  <c r="E98"/>
  <c r="F98"/>
  <c r="G98"/>
  <c r="H98"/>
  <c r="I98"/>
  <c r="J98"/>
  <c r="K98"/>
  <c r="L98"/>
  <c r="M98"/>
  <c r="N98"/>
  <c r="O98"/>
  <c r="P98"/>
  <c r="Q98"/>
  <c r="R98"/>
  <c r="S98"/>
  <c r="T98"/>
  <c r="U98"/>
  <c r="V98"/>
  <c r="W98"/>
  <c r="X98"/>
  <c r="Y98"/>
  <c r="Z98"/>
  <c r="AA98"/>
  <c r="AB98"/>
  <c r="AC98"/>
  <c r="AD98"/>
  <c r="AE98"/>
  <c r="AF98"/>
  <c r="AG98"/>
  <c r="C99"/>
  <c r="D99"/>
  <c r="E99"/>
  <c r="F99"/>
  <c r="G99"/>
  <c r="H99"/>
  <c r="I99"/>
  <c r="J99"/>
  <c r="K99"/>
  <c r="L99"/>
  <c r="M99"/>
  <c r="N99"/>
  <c r="O99"/>
  <c r="P99"/>
  <c r="Q99"/>
  <c r="R99"/>
  <c r="S99"/>
  <c r="T99"/>
  <c r="U99"/>
  <c r="V99"/>
  <c r="W99"/>
  <c r="X99"/>
  <c r="Y99"/>
  <c r="Z99"/>
  <c r="AA99"/>
  <c r="AB99"/>
  <c r="AC99"/>
  <c r="AD99"/>
  <c r="AE99"/>
  <c r="AF99"/>
  <c r="AG99"/>
  <c r="C100"/>
  <c r="D100"/>
  <c r="E100"/>
  <c r="F100"/>
  <c r="G100"/>
  <c r="H100"/>
  <c r="I100"/>
  <c r="J100"/>
  <c r="K100"/>
  <c r="L100"/>
  <c r="M100"/>
  <c r="N100"/>
  <c r="O100"/>
  <c r="P100"/>
  <c r="Q100"/>
  <c r="R100"/>
  <c r="S100"/>
  <c r="T100"/>
  <c r="U100"/>
  <c r="V100"/>
  <c r="W100"/>
  <c r="X100"/>
  <c r="Y100"/>
  <c r="Z100"/>
  <c r="AA100"/>
  <c r="AB100"/>
  <c r="AC100"/>
  <c r="AD100"/>
  <c r="AE100"/>
  <c r="AF100"/>
  <c r="AG100"/>
  <c r="C101"/>
  <c r="D101"/>
  <c r="E101"/>
  <c r="F101"/>
  <c r="G101"/>
  <c r="H101"/>
  <c r="I101"/>
  <c r="J101"/>
  <c r="K101"/>
  <c r="L101"/>
  <c r="M101"/>
  <c r="N101"/>
  <c r="O101"/>
  <c r="P101"/>
  <c r="Q101"/>
  <c r="R101"/>
  <c r="S101"/>
  <c r="T101"/>
  <c r="U101"/>
  <c r="V101"/>
  <c r="W101"/>
  <c r="X101"/>
  <c r="Y101"/>
  <c r="Z101"/>
  <c r="AA101"/>
  <c r="AB101"/>
  <c r="AC101"/>
  <c r="AD101"/>
  <c r="AE101"/>
  <c r="AF101"/>
  <c r="AG101"/>
  <c r="C102"/>
  <c r="D102"/>
  <c r="E102"/>
  <c r="F102"/>
  <c r="G102"/>
  <c r="H102"/>
  <c r="I102"/>
  <c r="J102"/>
  <c r="K102"/>
  <c r="L102"/>
  <c r="M102"/>
  <c r="N102"/>
  <c r="O102"/>
  <c r="P102"/>
  <c r="Q102"/>
  <c r="R102"/>
  <c r="S102"/>
  <c r="T102"/>
  <c r="U102"/>
  <c r="V102"/>
  <c r="W102"/>
  <c r="X102"/>
  <c r="Y102"/>
  <c r="Z102"/>
  <c r="AA102"/>
  <c r="AB102"/>
  <c r="AC102"/>
  <c r="AD102"/>
  <c r="AE102"/>
  <c r="AF102"/>
  <c r="AG102"/>
  <c r="C103"/>
  <c r="D103"/>
  <c r="E103"/>
  <c r="F103"/>
  <c r="G103"/>
  <c r="H103"/>
  <c r="I103"/>
  <c r="J103"/>
  <c r="K103"/>
  <c r="L103"/>
  <c r="M103"/>
  <c r="N103"/>
  <c r="O103"/>
  <c r="P103"/>
  <c r="Q103"/>
  <c r="R103"/>
  <c r="S103"/>
  <c r="T103"/>
  <c r="U103"/>
  <c r="V103"/>
  <c r="W103"/>
  <c r="X103"/>
  <c r="Y103"/>
  <c r="Z103"/>
  <c r="AA103"/>
  <c r="AB103"/>
  <c r="AC103"/>
  <c r="AD103"/>
  <c r="AE103"/>
  <c r="AF103"/>
  <c r="AG103"/>
  <c r="C104"/>
  <c r="D104"/>
  <c r="E104"/>
  <c r="F104"/>
  <c r="G104"/>
  <c r="H104"/>
  <c r="I104"/>
  <c r="J104"/>
  <c r="K104"/>
  <c r="L104"/>
  <c r="M104"/>
  <c r="N104"/>
  <c r="O104"/>
  <c r="P104"/>
  <c r="Q104"/>
  <c r="R104"/>
  <c r="S104"/>
  <c r="T104"/>
  <c r="U104"/>
  <c r="V104"/>
  <c r="W104"/>
  <c r="X104"/>
  <c r="Y104"/>
  <c r="Z104"/>
  <c r="AA104"/>
  <c r="AB104"/>
  <c r="AC104"/>
  <c r="AD104"/>
  <c r="AE104"/>
  <c r="AF104"/>
  <c r="AG104"/>
  <c r="F73"/>
  <c r="H73"/>
  <c r="M73"/>
  <c r="N73"/>
  <c r="AC73"/>
  <c r="N74"/>
  <c r="W74"/>
  <c r="AD74"/>
  <c r="J75"/>
  <c r="O75"/>
  <c r="AB75"/>
  <c r="AE75"/>
  <c r="P76"/>
  <c r="U76"/>
  <c r="AF76"/>
  <c r="L77"/>
  <c r="N77"/>
  <c r="Q77"/>
  <c r="AG77"/>
  <c r="G78"/>
  <c r="R78"/>
  <c r="C79"/>
  <c r="N79"/>
  <c r="S79"/>
  <c r="D80"/>
  <c r="E80"/>
  <c r="T80"/>
  <c r="E81"/>
  <c r="N81"/>
  <c r="P81"/>
  <c r="U81"/>
  <c r="V81"/>
  <c r="F82"/>
  <c r="V82"/>
  <c r="AE82"/>
  <c r="G83"/>
  <c r="R83"/>
  <c r="W83"/>
  <c r="E84"/>
  <c r="H84"/>
  <c r="X84"/>
  <c r="AC84"/>
  <c r="I57"/>
  <c r="T57"/>
  <c r="V57"/>
  <c r="Y57"/>
  <c r="O58"/>
  <c r="P58"/>
  <c r="AE58"/>
  <c r="Q59"/>
  <c r="Z59"/>
  <c r="AG59"/>
  <c r="G60"/>
  <c r="N60"/>
  <c r="P60"/>
  <c r="W60"/>
  <c r="I61"/>
  <c r="J61"/>
  <c r="Y61"/>
  <c r="O62"/>
  <c r="R62"/>
  <c r="AE62"/>
  <c r="Q63"/>
  <c r="Z63"/>
  <c r="AF63"/>
  <c r="AG63"/>
  <c r="D64"/>
  <c r="G64"/>
  <c r="W64"/>
  <c r="AB64"/>
  <c r="I65"/>
  <c r="T65"/>
  <c r="V65"/>
  <c r="Y65"/>
  <c r="O66"/>
  <c r="P66"/>
  <c r="AE66"/>
  <c r="Q67"/>
  <c r="Z67"/>
  <c r="AG67"/>
  <c r="G68"/>
  <c r="N68"/>
  <c r="P68"/>
  <c r="W68"/>
  <c r="I41"/>
  <c r="N41"/>
  <c r="Y41"/>
  <c r="O42"/>
  <c r="R42"/>
  <c r="X42"/>
  <c r="AE42"/>
  <c r="Q43"/>
  <c r="V43"/>
  <c r="AF43"/>
  <c r="AG43"/>
  <c r="G44"/>
  <c r="W44"/>
  <c r="I45"/>
  <c r="T45"/>
  <c r="V45"/>
  <c r="Y45"/>
  <c r="O46"/>
  <c r="P46"/>
  <c r="AE46"/>
  <c r="Q47"/>
  <c r="Z47"/>
  <c r="AG47"/>
  <c r="G48"/>
  <c r="N48"/>
  <c r="P48"/>
  <c r="W48"/>
  <c r="I49"/>
  <c r="J49"/>
  <c r="Y49"/>
  <c r="O50"/>
  <c r="R50"/>
  <c r="AE50"/>
  <c r="Q51"/>
  <c r="Z51"/>
  <c r="AF51"/>
  <c r="AG51"/>
  <c r="G52"/>
  <c r="P52"/>
  <c r="W52"/>
  <c r="AG37"/>
  <c r="AF37"/>
  <c r="AE37"/>
  <c r="AD37"/>
  <c r="AC37"/>
  <c r="AB37"/>
  <c r="AA37"/>
  <c r="Z37"/>
  <c r="Y37"/>
  <c r="X37"/>
  <c r="W37"/>
  <c r="V37"/>
  <c r="U37"/>
  <c r="T37"/>
  <c r="S37"/>
  <c r="R37"/>
  <c r="Q37"/>
  <c r="P37"/>
  <c r="O37"/>
  <c r="N37"/>
  <c r="M37"/>
  <c r="L37"/>
  <c r="K37"/>
  <c r="J37"/>
  <c r="I37"/>
  <c r="H37"/>
  <c r="G37"/>
  <c r="F37"/>
  <c r="E37"/>
  <c r="D37"/>
  <c r="C37"/>
  <c r="AH36"/>
  <c r="B36" s="1"/>
  <c r="AH35"/>
  <c r="B35" s="1"/>
  <c r="AH34"/>
  <c r="B34" s="1"/>
  <c r="AH33"/>
  <c r="B33" s="1"/>
  <c r="AH32"/>
  <c r="B32" s="1"/>
  <c r="AH31"/>
  <c r="B31" s="1"/>
  <c r="AH30"/>
  <c r="B30" s="1"/>
  <c r="AH29"/>
  <c r="B29" s="1"/>
  <c r="AH28"/>
  <c r="B28" s="1"/>
  <c r="AH27"/>
  <c r="B27" s="1"/>
  <c r="AH26"/>
  <c r="B26" s="1"/>
  <c r="AH25"/>
  <c r="B25" s="1"/>
  <c r="Y7"/>
  <c r="E8"/>
  <c r="Q8"/>
  <c r="AC8"/>
  <c r="E9"/>
  <c r="M9"/>
  <c r="U9"/>
  <c r="AC9"/>
  <c r="E10"/>
  <c r="J10"/>
  <c r="L10"/>
  <c r="U10"/>
  <c r="N11"/>
  <c r="Q11"/>
  <c r="AG11"/>
  <c r="M12"/>
  <c r="N12"/>
  <c r="AC12"/>
  <c r="I13"/>
  <c r="V13"/>
  <c r="Y13"/>
  <c r="E14"/>
  <c r="F14"/>
  <c r="U14"/>
  <c r="Q15"/>
  <c r="AG15"/>
  <c r="M16"/>
  <c r="P16"/>
  <c r="AC16"/>
  <c r="H17"/>
  <c r="I17"/>
  <c r="Y17"/>
  <c r="AB17"/>
  <c r="G53" i="60817"/>
  <c r="H53" s="1"/>
  <c r="F53"/>
  <c r="C53"/>
  <c r="G52"/>
  <c r="H52" s="1"/>
  <c r="F52"/>
  <c r="C52"/>
  <c r="G51"/>
  <c r="H51" s="1"/>
  <c r="F51"/>
  <c r="C51"/>
  <c r="G50"/>
  <c r="H50" s="1"/>
  <c r="F50"/>
  <c r="C50"/>
  <c r="G49"/>
  <c r="H49" s="1"/>
  <c r="F49"/>
  <c r="C49"/>
  <c r="G48"/>
  <c r="H48" s="1"/>
  <c r="F48"/>
  <c r="C48"/>
  <c r="G47"/>
  <c r="F47"/>
  <c r="C47"/>
  <c r="G46"/>
  <c r="F46"/>
  <c r="C46"/>
  <c r="G45"/>
  <c r="H45" s="1"/>
  <c r="F45"/>
  <c r="C45"/>
  <c r="G44"/>
  <c r="H44" s="1"/>
  <c r="F44"/>
  <c r="C44"/>
  <c r="G43"/>
  <c r="H43" s="1"/>
  <c r="F43"/>
  <c r="C43"/>
  <c r="G34"/>
  <c r="F34"/>
  <c r="C34"/>
  <c r="G33"/>
  <c r="F33"/>
  <c r="C33"/>
  <c r="G32"/>
  <c r="F32"/>
  <c r="G31"/>
  <c r="F31"/>
  <c r="C31"/>
  <c r="G30"/>
  <c r="F30"/>
  <c r="C30"/>
  <c r="G29"/>
  <c r="K29" s="1"/>
  <c r="F29"/>
  <c r="C29"/>
  <c r="G28"/>
  <c r="K28" s="1"/>
  <c r="F28"/>
  <c r="G27"/>
  <c r="F27"/>
  <c r="G26"/>
  <c r="F26"/>
  <c r="G25"/>
  <c r="F25"/>
  <c r="C25"/>
  <c r="F16"/>
  <c r="C16"/>
  <c r="G15"/>
  <c r="F15"/>
  <c r="C15"/>
  <c r="F14"/>
  <c r="C14"/>
  <c r="F13"/>
  <c r="C13"/>
  <c r="F12"/>
  <c r="C12"/>
  <c r="F11"/>
  <c r="C11"/>
  <c r="F10"/>
  <c r="F9"/>
  <c r="C9"/>
  <c r="F8"/>
  <c r="C8"/>
  <c r="F7"/>
  <c r="C7"/>
  <c r="M83" i="60815"/>
  <c r="D83"/>
  <c r="C83"/>
  <c r="E82"/>
  <c r="L81"/>
  <c r="E81"/>
  <c r="L80"/>
  <c r="E80"/>
  <c r="F79"/>
  <c r="L79" s="1"/>
  <c r="E79"/>
  <c r="L78"/>
  <c r="E78"/>
  <c r="G78" s="1"/>
  <c r="H78" s="1"/>
  <c r="F77"/>
  <c r="L77" s="1"/>
  <c r="E77"/>
  <c r="F76"/>
  <c r="L76" s="1"/>
  <c r="E76"/>
  <c r="F75"/>
  <c r="L75" s="1"/>
  <c r="E75"/>
  <c r="L74"/>
  <c r="E74"/>
  <c r="G74" s="1"/>
  <c r="H74" s="1"/>
  <c r="F73"/>
  <c r="L73" s="1"/>
  <c r="E73"/>
  <c r="F72"/>
  <c r="L72" s="1"/>
  <c r="E72"/>
  <c r="F71"/>
  <c r="L71" s="1"/>
  <c r="E71"/>
  <c r="F70"/>
  <c r="L70" s="1"/>
  <c r="E70"/>
  <c r="L69"/>
  <c r="E69"/>
  <c r="G69" s="1"/>
  <c r="H69" s="1"/>
  <c r="F68"/>
  <c r="L68" s="1"/>
  <c r="E68"/>
  <c r="L67"/>
  <c r="E67"/>
  <c r="G67" s="1"/>
  <c r="H67" s="1"/>
  <c r="L66"/>
  <c r="E66"/>
  <c r="G66" s="1"/>
  <c r="H66" s="1"/>
  <c r="L65"/>
  <c r="E65"/>
  <c r="G65" s="1"/>
  <c r="H65" s="1"/>
  <c r="F64"/>
  <c r="L64" s="1"/>
  <c r="E64"/>
  <c r="F63"/>
  <c r="L63" s="1"/>
  <c r="E63"/>
  <c r="F62"/>
  <c r="L62" s="1"/>
  <c r="E62"/>
  <c r="F61"/>
  <c r="L61" s="1"/>
  <c r="E61"/>
  <c r="F60"/>
  <c r="L60" s="1"/>
  <c r="E60"/>
  <c r="L59"/>
  <c r="E59"/>
  <c r="G59" s="1"/>
  <c r="H59" s="1"/>
  <c r="L58"/>
  <c r="E58"/>
  <c r="G58" s="1"/>
  <c r="H58" s="1"/>
  <c r="F57"/>
  <c r="L57" s="1"/>
  <c r="E57"/>
  <c r="F56"/>
  <c r="L56" s="1"/>
  <c r="E56"/>
  <c r="F55"/>
  <c r="L55" s="1"/>
  <c r="E55"/>
  <c r="L54"/>
  <c r="E54"/>
  <c r="G54" s="1"/>
  <c r="H54" s="1"/>
  <c r="F53"/>
  <c r="L53" s="1"/>
  <c r="E53"/>
  <c r="L52"/>
  <c r="E52"/>
  <c r="G52" s="1"/>
  <c r="H52" s="1"/>
  <c r="L51"/>
  <c r="E51"/>
  <c r="G51" s="1"/>
  <c r="H51" s="1"/>
  <c r="F50"/>
  <c r="L50" s="1"/>
  <c r="E50"/>
  <c r="F49"/>
  <c r="L49" s="1"/>
  <c r="E49"/>
  <c r="L48"/>
  <c r="E48"/>
  <c r="G48" s="1"/>
  <c r="H48" s="1"/>
  <c r="F47"/>
  <c r="L47" s="1"/>
  <c r="E47"/>
  <c r="F46"/>
  <c r="L46" s="1"/>
  <c r="E46"/>
  <c r="F45"/>
  <c r="L45" s="1"/>
  <c r="E45"/>
  <c r="L44"/>
  <c r="E44"/>
  <c r="G44" s="1"/>
  <c r="H44" s="1"/>
  <c r="L43"/>
  <c r="E43"/>
  <c r="G43" s="1"/>
  <c r="H43" s="1"/>
  <c r="L42"/>
  <c r="E42"/>
  <c r="G42" s="1"/>
  <c r="H42" s="1"/>
  <c r="F41"/>
  <c r="L41" s="1"/>
  <c r="E41"/>
  <c r="F40"/>
  <c r="L40" s="1"/>
  <c r="E40"/>
  <c r="F39"/>
  <c r="L39" s="1"/>
  <c r="E39"/>
  <c r="F38"/>
  <c r="L38" s="1"/>
  <c r="E38"/>
  <c r="L37"/>
  <c r="E37"/>
  <c r="G37" s="1"/>
  <c r="H37" s="1"/>
  <c r="L36"/>
  <c r="E36"/>
  <c r="G36" s="1"/>
  <c r="H36" s="1"/>
  <c r="E35"/>
  <c r="G35" s="1"/>
  <c r="H35" s="1"/>
  <c r="F34"/>
  <c r="L34" s="1"/>
  <c r="E34"/>
  <c r="L33"/>
  <c r="G33"/>
  <c r="H33" s="1"/>
  <c r="L32"/>
  <c r="E32"/>
  <c r="G32" s="1"/>
  <c r="H32" s="1"/>
  <c r="F31"/>
  <c r="L31" s="1"/>
  <c r="E31"/>
  <c r="F30"/>
  <c r="L30" s="1"/>
  <c r="E30"/>
  <c r="F29"/>
  <c r="L29" s="1"/>
  <c r="E29"/>
  <c r="L28"/>
  <c r="E28"/>
  <c r="G28" s="1"/>
  <c r="H28" s="1"/>
  <c r="F27"/>
  <c r="L27" s="1"/>
  <c r="E27"/>
  <c r="L26"/>
  <c r="E26"/>
  <c r="G26" s="1"/>
  <c r="H26" s="1"/>
  <c r="F25"/>
  <c r="L25" s="1"/>
  <c r="E25"/>
  <c r="L24"/>
  <c r="E24"/>
  <c r="G24" s="1"/>
  <c r="H24" s="1"/>
  <c r="L23"/>
  <c r="E23"/>
  <c r="G23" s="1"/>
  <c r="H23" s="1"/>
  <c r="L22"/>
  <c r="E22"/>
  <c r="G22" s="1"/>
  <c r="H22" s="1"/>
  <c r="F21"/>
  <c r="E21"/>
  <c r="L20"/>
  <c r="J20"/>
  <c r="J21" s="1"/>
  <c r="J22" s="1"/>
  <c r="J23" s="1"/>
  <c r="J24" s="1"/>
  <c r="J25" s="1"/>
  <c r="J26" s="1"/>
  <c r="J27" s="1"/>
  <c r="J28" s="1"/>
  <c r="J29" s="1"/>
  <c r="J30" s="1"/>
  <c r="J31" s="1"/>
  <c r="J32" s="1"/>
  <c r="J33" s="1"/>
  <c r="J34" s="1"/>
  <c r="J35" s="1"/>
  <c r="J36" s="1"/>
  <c r="J37" s="1"/>
  <c r="J38" s="1"/>
  <c r="J39" s="1"/>
  <c r="J40" s="1"/>
  <c r="J41" s="1"/>
  <c r="J42" s="1"/>
  <c r="J43" s="1"/>
  <c r="J44" s="1"/>
  <c r="J45" s="1"/>
  <c r="J46" s="1"/>
  <c r="J47" s="1"/>
  <c r="J48" s="1"/>
  <c r="J49" s="1"/>
  <c r="J50" s="1"/>
  <c r="J51" s="1"/>
  <c r="J52" s="1"/>
  <c r="J53" s="1"/>
  <c r="J54" s="1"/>
  <c r="J55" s="1"/>
  <c r="J56" s="1"/>
  <c r="J57" s="1"/>
  <c r="J58" s="1"/>
  <c r="J59" s="1"/>
  <c r="J60" s="1"/>
  <c r="J61" s="1"/>
  <c r="J62" s="1"/>
  <c r="J63" s="1"/>
  <c r="J64" s="1"/>
  <c r="J65" s="1"/>
  <c r="J66" s="1"/>
  <c r="J67" s="1"/>
  <c r="J68" s="1"/>
  <c r="J69" s="1"/>
  <c r="J70" s="1"/>
  <c r="J71" s="1"/>
  <c r="J72" s="1"/>
  <c r="J73" s="1"/>
  <c r="J74" s="1"/>
  <c r="J75" s="1"/>
  <c r="J76" s="1"/>
  <c r="J77" s="1"/>
  <c r="J78" s="1"/>
  <c r="J79" s="1"/>
  <c r="J80" s="1"/>
  <c r="J81" s="1"/>
  <c r="E20"/>
  <c r="G20" s="1"/>
  <c r="H20" s="1"/>
  <c r="L19"/>
  <c r="E19"/>
  <c r="E6"/>
  <c r="J284" i="60804"/>
  <c r="J287" s="1"/>
  <c r="G281"/>
  <c r="D278"/>
  <c r="D277"/>
  <c r="J276"/>
  <c r="K277" s="1"/>
  <c r="J275"/>
  <c r="E274"/>
  <c r="F274" s="1"/>
  <c r="G274" s="1"/>
  <c r="H271"/>
  <c r="H268"/>
  <c r="H265"/>
  <c r="I256"/>
  <c r="L256" s="1"/>
  <c r="I255"/>
  <c r="L255" s="1"/>
  <c r="I254"/>
  <c r="L254" s="1"/>
  <c r="I250"/>
  <c r="L250" s="1"/>
  <c r="I249"/>
  <c r="L249" s="1"/>
  <c r="I248"/>
  <c r="L248" s="1"/>
  <c r="I244"/>
  <c r="L244" s="1"/>
  <c r="I243"/>
  <c r="L243" s="1"/>
  <c r="K238"/>
  <c r="J238"/>
  <c r="H238"/>
  <c r="G238"/>
  <c r="I235"/>
  <c r="L235" s="1"/>
  <c r="I234"/>
  <c r="L234" s="1"/>
  <c r="L233"/>
  <c r="I233"/>
  <c r="I232"/>
  <c r="L232" s="1"/>
  <c r="I231"/>
  <c r="L231" s="1"/>
  <c r="I230"/>
  <c r="L230" s="1"/>
  <c r="I229"/>
  <c r="L229" s="1"/>
  <c r="I228"/>
  <c r="L228" s="1"/>
  <c r="I227"/>
  <c r="L227" s="1"/>
  <c r="I218"/>
  <c r="H218"/>
  <c r="G218"/>
  <c r="F218"/>
  <c r="K215"/>
  <c r="J215"/>
  <c r="K214"/>
  <c r="J214"/>
  <c r="K213"/>
  <c r="J213"/>
  <c r="K212"/>
  <c r="J212"/>
  <c r="K211"/>
  <c r="J211"/>
  <c r="K210"/>
  <c r="J210"/>
  <c r="K209"/>
  <c r="J209"/>
  <c r="K208"/>
  <c r="J208"/>
  <c r="K207"/>
  <c r="J207"/>
  <c r="K206"/>
  <c r="J206"/>
  <c r="K205"/>
  <c r="J205"/>
  <c r="K204"/>
  <c r="J204"/>
  <c r="K203"/>
  <c r="J203"/>
  <c r="K202"/>
  <c r="J202"/>
  <c r="K201"/>
  <c r="J201"/>
  <c r="K200"/>
  <c r="J200"/>
  <c r="K199"/>
  <c r="J199"/>
  <c r="K198"/>
  <c r="J198"/>
  <c r="K197"/>
  <c r="J197"/>
  <c r="K196"/>
  <c r="J196"/>
  <c r="K195"/>
  <c r="J195"/>
  <c r="K194"/>
  <c r="J194"/>
  <c r="K193"/>
  <c r="J193"/>
  <c r="K192"/>
  <c r="J192"/>
  <c r="K191"/>
  <c r="J191"/>
  <c r="K190"/>
  <c r="J190"/>
  <c r="K189"/>
  <c r="J189"/>
  <c r="K188"/>
  <c r="J188"/>
  <c r="K187"/>
  <c r="J187"/>
  <c r="K186"/>
  <c r="J186"/>
  <c r="K185"/>
  <c r="J185"/>
  <c r="K184"/>
  <c r="J184"/>
  <c r="K183"/>
  <c r="J183"/>
  <c r="K182"/>
  <c r="J182"/>
  <c r="K181"/>
  <c r="J181"/>
  <c r="K180"/>
  <c r="J180"/>
  <c r="K179"/>
  <c r="J179"/>
  <c r="K178"/>
  <c r="J178"/>
  <c r="K177"/>
  <c r="J177"/>
  <c r="K176"/>
  <c r="J176"/>
  <c r="K175"/>
  <c r="J175"/>
  <c r="K174"/>
  <c r="J174"/>
  <c r="K173"/>
  <c r="J173"/>
  <c r="K172"/>
  <c r="J172"/>
  <c r="K171"/>
  <c r="J171"/>
  <c r="K170"/>
  <c r="J170"/>
  <c r="K169"/>
  <c r="J169"/>
  <c r="K168"/>
  <c r="J168"/>
  <c r="K167"/>
  <c r="J167"/>
  <c r="K166"/>
  <c r="J166"/>
  <c r="K165"/>
  <c r="J165"/>
  <c r="K164"/>
  <c r="J164"/>
  <c r="K163"/>
  <c r="J163"/>
  <c r="K162"/>
  <c r="J162"/>
  <c r="K161"/>
  <c r="J161"/>
  <c r="K160"/>
  <c r="J160"/>
  <c r="K159"/>
  <c r="J159"/>
  <c r="K158"/>
  <c r="J158"/>
  <c r="K157"/>
  <c r="J157"/>
  <c r="K156"/>
  <c r="J156"/>
  <c r="K155"/>
  <c r="J155"/>
  <c r="K154"/>
  <c r="J154"/>
  <c r="K153"/>
  <c r="J153"/>
  <c r="K152"/>
  <c r="J152"/>
  <c r="K151"/>
  <c r="J151"/>
  <c r="K150"/>
  <c r="J150"/>
  <c r="K149"/>
  <c r="J149"/>
  <c r="K148"/>
  <c r="J148"/>
  <c r="K147"/>
  <c r="J147"/>
  <c r="K146"/>
  <c r="J146"/>
  <c r="K145"/>
  <c r="J145"/>
  <c r="K144"/>
  <c r="J144"/>
  <c r="K143"/>
  <c r="J143"/>
  <c r="K142"/>
  <c r="J142"/>
  <c r="K141"/>
  <c r="J141"/>
  <c r="K140"/>
  <c r="J140"/>
  <c r="K139"/>
  <c r="J139"/>
  <c r="K138"/>
  <c r="J138"/>
  <c r="K137"/>
  <c r="J137"/>
  <c r="K136"/>
  <c r="J136"/>
  <c r="K135"/>
  <c r="J135"/>
  <c r="K134"/>
  <c r="J134"/>
  <c r="K133"/>
  <c r="J133"/>
  <c r="K132"/>
  <c r="J132"/>
  <c r="K131"/>
  <c r="J131"/>
  <c r="J130"/>
  <c r="J129"/>
  <c r="K128"/>
  <c r="J128"/>
  <c r="K127"/>
  <c r="J127"/>
  <c r="K126"/>
  <c r="J126"/>
  <c r="K125"/>
  <c r="J125"/>
  <c r="K124"/>
  <c r="J124"/>
  <c r="K123"/>
  <c r="J123"/>
  <c r="K122"/>
  <c r="J122"/>
  <c r="K121"/>
  <c r="J121"/>
  <c r="K120"/>
  <c r="J120"/>
  <c r="K119"/>
  <c r="J119"/>
  <c r="K118"/>
  <c r="J118"/>
  <c r="K117"/>
  <c r="J117"/>
  <c r="K116"/>
  <c r="J116"/>
  <c r="K115"/>
  <c r="J115"/>
  <c r="K114"/>
  <c r="J114"/>
  <c r="K113"/>
  <c r="J113"/>
  <c r="K112"/>
  <c r="J112"/>
  <c r="K111"/>
  <c r="J111"/>
  <c r="K110"/>
  <c r="J110"/>
  <c r="K109"/>
  <c r="J109"/>
  <c r="K108"/>
  <c r="J108"/>
  <c r="K107"/>
  <c r="J107"/>
  <c r="K106"/>
  <c r="J106"/>
  <c r="K105"/>
  <c r="J105"/>
  <c r="K104"/>
  <c r="J104"/>
  <c r="K103"/>
  <c r="J103"/>
  <c r="K102"/>
  <c r="J102"/>
  <c r="K101"/>
  <c r="J101"/>
  <c r="K100"/>
  <c r="J100"/>
  <c r="K99"/>
  <c r="J99"/>
  <c r="K98"/>
  <c r="J98"/>
  <c r="K97"/>
  <c r="J97"/>
  <c r="K96"/>
  <c r="J96"/>
  <c r="K95"/>
  <c r="J95"/>
  <c r="K94"/>
  <c r="J94"/>
  <c r="K93"/>
  <c r="J93"/>
  <c r="K92"/>
  <c r="J92"/>
  <c r="K91"/>
  <c r="J91"/>
  <c r="K90"/>
  <c r="J90"/>
  <c r="K89"/>
  <c r="J89"/>
  <c r="K88"/>
  <c r="J88"/>
  <c r="K87"/>
  <c r="J87"/>
  <c r="K86"/>
  <c r="J86"/>
  <c r="K85"/>
  <c r="J85"/>
  <c r="K84"/>
  <c r="J84"/>
  <c r="K83"/>
  <c r="J83"/>
  <c r="K82"/>
  <c r="J82"/>
  <c r="K81"/>
  <c r="J81"/>
  <c r="K80"/>
  <c r="J80"/>
  <c r="K79"/>
  <c r="J79"/>
  <c r="K78"/>
  <c r="J78"/>
  <c r="K77"/>
  <c r="J77"/>
  <c r="K76"/>
  <c r="J76"/>
  <c r="K75"/>
  <c r="J75"/>
  <c r="K74"/>
  <c r="J74"/>
  <c r="K73"/>
  <c r="J73"/>
  <c r="K72"/>
  <c r="J72"/>
  <c r="K71"/>
  <c r="J71"/>
  <c r="K70"/>
  <c r="J70"/>
  <c r="K69"/>
  <c r="J69"/>
  <c r="K68"/>
  <c r="J68"/>
  <c r="K67"/>
  <c r="J67"/>
  <c r="K66"/>
  <c r="J66"/>
  <c r="K65"/>
  <c r="J65"/>
  <c r="K64"/>
  <c r="J64"/>
  <c r="K63"/>
  <c r="J63"/>
  <c r="K62"/>
  <c r="J62"/>
  <c r="K61"/>
  <c r="J61"/>
  <c r="K60"/>
  <c r="J60"/>
  <c r="K59"/>
  <c r="J59"/>
  <c r="K58"/>
  <c r="J58"/>
  <c r="K57"/>
  <c r="J57"/>
  <c r="K56"/>
  <c r="J56"/>
  <c r="K55"/>
  <c r="J55"/>
  <c r="K54"/>
  <c r="J54"/>
  <c r="K53"/>
  <c r="J53"/>
  <c r="K52"/>
  <c r="J52"/>
  <c r="K51"/>
  <c r="J51"/>
  <c r="K50"/>
  <c r="J50"/>
  <c r="K49"/>
  <c r="J49"/>
  <c r="K48"/>
  <c r="J48"/>
  <c r="K47"/>
  <c r="J47"/>
  <c r="K46"/>
  <c r="J46"/>
  <c r="K45"/>
  <c r="J45"/>
  <c r="K44"/>
  <c r="J44"/>
  <c r="K43"/>
  <c r="J43"/>
  <c r="K42"/>
  <c r="J42"/>
  <c r="K41"/>
  <c r="J41"/>
  <c r="K40"/>
  <c r="J40"/>
  <c r="K39"/>
  <c r="J39"/>
  <c r="K38"/>
  <c r="J38"/>
  <c r="K37"/>
  <c r="J37"/>
  <c r="K36"/>
  <c r="J36"/>
  <c r="K35"/>
  <c r="J35"/>
  <c r="K34"/>
  <c r="J34"/>
  <c r="K33"/>
  <c r="J33"/>
  <c r="K32"/>
  <c r="J32"/>
  <c r="K31"/>
  <c r="J31"/>
  <c r="K30"/>
  <c r="J30"/>
  <c r="K29"/>
  <c r="J29"/>
  <c r="K28"/>
  <c r="J28"/>
  <c r="K27"/>
  <c r="J27"/>
  <c r="K22"/>
  <c r="J22"/>
  <c r="H22"/>
  <c r="G22"/>
  <c r="I20"/>
  <c r="L20" s="1"/>
  <c r="I19"/>
  <c r="L19" s="1"/>
  <c r="I18"/>
  <c r="L18" s="1"/>
  <c r="I17"/>
  <c r="L17" s="1"/>
  <c r="I16"/>
  <c r="L16" s="1"/>
  <c r="I15"/>
  <c r="L15" s="1"/>
  <c r="I14"/>
  <c r="L14" s="1"/>
  <c r="I13"/>
  <c r="L13" s="1"/>
  <c r="I12"/>
  <c r="L12" s="1"/>
  <c r="I11"/>
  <c r="L11" s="1"/>
  <c r="I10"/>
  <c r="L10" s="1"/>
  <c r="I9"/>
  <c r="L9" s="1"/>
  <c r="I8"/>
  <c r="L8" s="1"/>
  <c r="I7"/>
  <c r="L7" s="1"/>
  <c r="I6"/>
  <c r="L6" s="1"/>
  <c r="I5"/>
  <c r="L5" s="1"/>
  <c r="I4"/>
  <c r="L4" s="1"/>
  <c r="J544" i="60805"/>
  <c r="I544"/>
  <c r="J543"/>
  <c r="I543"/>
  <c r="J542"/>
  <c r="I542"/>
  <c r="J541"/>
  <c r="I541"/>
  <c r="J540"/>
  <c r="I540"/>
  <c r="J539"/>
  <c r="I539"/>
  <c r="J538"/>
  <c r="I538"/>
  <c r="J537"/>
  <c r="I537"/>
  <c r="J536"/>
  <c r="I536"/>
  <c r="J535"/>
  <c r="I535"/>
  <c r="J534"/>
  <c r="I534"/>
  <c r="AH524"/>
  <c r="B524"/>
  <c r="AH523"/>
  <c r="B523"/>
  <c r="AH522"/>
  <c r="B522"/>
  <c r="AH521"/>
  <c r="B521"/>
  <c r="AH520"/>
  <c r="B520"/>
  <c r="AH519"/>
  <c r="B519"/>
  <c r="AH518"/>
  <c r="B518"/>
  <c r="AH517"/>
  <c r="B517"/>
  <c r="AH516"/>
  <c r="B516"/>
  <c r="AH515"/>
  <c r="B515"/>
  <c r="AH514"/>
  <c r="B514"/>
  <c r="AH513"/>
  <c r="B513"/>
  <c r="AH508"/>
  <c r="B508"/>
  <c r="AH507"/>
  <c r="B507"/>
  <c r="AH506"/>
  <c r="B506"/>
  <c r="AH505"/>
  <c r="B505"/>
  <c r="AH504"/>
  <c r="B504"/>
  <c r="AH503"/>
  <c r="B503"/>
  <c r="AH502"/>
  <c r="B502"/>
  <c r="AH501"/>
  <c r="B501"/>
  <c r="AH500"/>
  <c r="B500"/>
  <c r="AH499"/>
  <c r="B499"/>
  <c r="AH498"/>
  <c r="B498"/>
  <c r="AH497"/>
  <c r="B497"/>
  <c r="AH491"/>
  <c r="B491"/>
  <c r="AH490"/>
  <c r="B490"/>
  <c r="AH489"/>
  <c r="B489"/>
  <c r="AH488"/>
  <c r="B488"/>
  <c r="AH487"/>
  <c r="B487"/>
  <c r="AH486"/>
  <c r="B486"/>
  <c r="AH485"/>
  <c r="B485"/>
  <c r="AH484"/>
  <c r="B484"/>
  <c r="AH483"/>
  <c r="B483"/>
  <c r="AH482"/>
  <c r="B482"/>
  <c r="AH481"/>
  <c r="B481"/>
  <c r="AH480"/>
  <c r="B480"/>
  <c r="AH475"/>
  <c r="B475"/>
  <c r="AH474"/>
  <c r="B474"/>
  <c r="AH473"/>
  <c r="B473"/>
  <c r="AH472"/>
  <c r="B472"/>
  <c r="AH471"/>
  <c r="B471"/>
  <c r="AH470"/>
  <c r="B470"/>
  <c r="AH469"/>
  <c r="B469"/>
  <c r="AH468"/>
  <c r="B468"/>
  <c r="AH467"/>
  <c r="B467"/>
  <c r="AH466"/>
  <c r="B466"/>
  <c r="AH465"/>
  <c r="B465"/>
  <c r="AH464"/>
  <c r="B464"/>
  <c r="AH459"/>
  <c r="B459"/>
  <c r="AH458"/>
  <c r="B458"/>
  <c r="AH457"/>
  <c r="B457"/>
  <c r="AH456"/>
  <c r="B456"/>
  <c r="AH455"/>
  <c r="B455"/>
  <c r="AH454"/>
  <c r="B454"/>
  <c r="AH453"/>
  <c r="B453"/>
  <c r="AH452"/>
  <c r="B452"/>
  <c r="AH451"/>
  <c r="B451"/>
  <c r="AH450"/>
  <c r="B450"/>
  <c r="AH449"/>
  <c r="B449"/>
  <c r="AH448"/>
  <c r="B448"/>
  <c r="AH443"/>
  <c r="B443"/>
  <c r="E160" i="60801" s="1"/>
  <c r="G160" s="1"/>
  <c r="G161" s="1"/>
  <c r="AH442" i="60805"/>
  <c r="B442"/>
  <c r="AH441"/>
  <c r="B441"/>
  <c r="AH440"/>
  <c r="B440"/>
  <c r="AH439"/>
  <c r="B439"/>
  <c r="AH438"/>
  <c r="B438"/>
  <c r="AH437"/>
  <c r="B437"/>
  <c r="AH436"/>
  <c r="B436"/>
  <c r="AH435"/>
  <c r="B435"/>
  <c r="AH434"/>
  <c r="B434"/>
  <c r="AH433"/>
  <c r="B433"/>
  <c r="AH432"/>
  <c r="B432"/>
  <c r="AH427"/>
  <c r="B427"/>
  <c r="AH426"/>
  <c r="B426"/>
  <c r="AH425"/>
  <c r="B425"/>
  <c r="AH424"/>
  <c r="B424"/>
  <c r="AH423"/>
  <c r="B423"/>
  <c r="AH422"/>
  <c r="B422"/>
  <c r="AH421"/>
  <c r="B421"/>
  <c r="AH420"/>
  <c r="B420"/>
  <c r="AH419"/>
  <c r="B419"/>
  <c r="AH418"/>
  <c r="B418"/>
  <c r="AH417"/>
  <c r="B417"/>
  <c r="AH416"/>
  <c r="B416"/>
  <c r="AH408"/>
  <c r="B408" s="1"/>
  <c r="AH407"/>
  <c r="B407" s="1"/>
  <c r="AH406"/>
  <c r="B406" s="1"/>
  <c r="AH405"/>
  <c r="B405" s="1"/>
  <c r="AH404"/>
  <c r="B404" s="1"/>
  <c r="AH403"/>
  <c r="B403" s="1"/>
  <c r="AH402"/>
  <c r="B402" s="1"/>
  <c r="AH401"/>
  <c r="B401" s="1"/>
  <c r="AH400"/>
  <c r="B400" s="1"/>
  <c r="AH399"/>
  <c r="B399" s="1"/>
  <c r="AH398"/>
  <c r="B398" s="1"/>
  <c r="AH397"/>
  <c r="B397" s="1"/>
  <c r="AH391"/>
  <c r="B391" s="1"/>
  <c r="AH390"/>
  <c r="B390" s="1"/>
  <c r="AH389"/>
  <c r="B389" s="1"/>
  <c r="AH388"/>
  <c r="B388" s="1"/>
  <c r="AH387"/>
  <c r="B387" s="1"/>
  <c r="AH386"/>
  <c r="B386" s="1"/>
  <c r="AH385"/>
  <c r="B385" s="1"/>
  <c r="AH384"/>
  <c r="B384" s="1"/>
  <c r="AH383"/>
  <c r="B383" s="1"/>
  <c r="AH382"/>
  <c r="B382" s="1"/>
  <c r="AH381"/>
  <c r="B381" s="1"/>
  <c r="AH380"/>
  <c r="B380" s="1"/>
  <c r="AH374"/>
  <c r="B374" s="1"/>
  <c r="AH373"/>
  <c r="B373" s="1"/>
  <c r="AH372"/>
  <c r="B372" s="1"/>
  <c r="AH371"/>
  <c r="B371" s="1"/>
  <c r="AH370"/>
  <c r="B370" s="1"/>
  <c r="AH369"/>
  <c r="B369" s="1"/>
  <c r="AH368"/>
  <c r="B368" s="1"/>
  <c r="AH367"/>
  <c r="B367" s="1"/>
  <c r="AH366"/>
  <c r="B366" s="1"/>
  <c r="AH365"/>
  <c r="B365" s="1"/>
  <c r="AH364"/>
  <c r="B364" s="1"/>
  <c r="AH363"/>
  <c r="B363" s="1"/>
  <c r="AH355"/>
  <c r="B355" s="1"/>
  <c r="AH354"/>
  <c r="B354" s="1"/>
  <c r="AH353"/>
  <c r="B353" s="1"/>
  <c r="AH352"/>
  <c r="B352" s="1"/>
  <c r="AH351"/>
  <c r="B351" s="1"/>
  <c r="AH350"/>
  <c r="B350" s="1"/>
  <c r="AH349"/>
  <c r="B349" s="1"/>
  <c r="AH343"/>
  <c r="B343" s="1"/>
  <c r="AH342"/>
  <c r="B342" s="1"/>
  <c r="AH341"/>
  <c r="B341" s="1"/>
  <c r="AH340"/>
  <c r="B340" s="1"/>
  <c r="AH339"/>
  <c r="B339" s="1"/>
  <c r="AH338"/>
  <c r="B338" s="1"/>
  <c r="AH337"/>
  <c r="B337" s="1"/>
  <c r="AH336"/>
  <c r="B336" s="1"/>
  <c r="AH335"/>
  <c r="B335" s="1"/>
  <c r="AH334"/>
  <c r="B334" s="1"/>
  <c r="AH333"/>
  <c r="B333" s="1"/>
  <c r="AH332"/>
  <c r="B332" s="1"/>
  <c r="AH327"/>
  <c r="B327" s="1"/>
  <c r="AH326"/>
  <c r="B326" s="1"/>
  <c r="AH325"/>
  <c r="B325" s="1"/>
  <c r="AH324"/>
  <c r="B324" s="1"/>
  <c r="AH323"/>
  <c r="B323" s="1"/>
  <c r="AH322"/>
  <c r="B322" s="1"/>
  <c r="AH321"/>
  <c r="B321" s="1"/>
  <c r="AH320"/>
  <c r="B320" s="1"/>
  <c r="AH319"/>
  <c r="B319" s="1"/>
  <c r="AH318"/>
  <c r="B318" s="1"/>
  <c r="AH317"/>
  <c r="B317" s="1"/>
  <c r="AH316"/>
  <c r="B316" s="1"/>
  <c r="AH310"/>
  <c r="B310" s="1"/>
  <c r="AH309"/>
  <c r="B309" s="1"/>
  <c r="AH308"/>
  <c r="B308" s="1"/>
  <c r="AH307"/>
  <c r="B307" s="1"/>
  <c r="AH306"/>
  <c r="B306" s="1"/>
  <c r="AH305"/>
  <c r="B305" s="1"/>
  <c r="AH304"/>
  <c r="B304" s="1"/>
  <c r="AH303"/>
  <c r="B303" s="1"/>
  <c r="AH302"/>
  <c r="B302" s="1"/>
  <c r="AH301"/>
  <c r="B301" s="1"/>
  <c r="AH300"/>
  <c r="B300" s="1"/>
  <c r="AH299"/>
  <c r="B299" s="1"/>
  <c r="AH293"/>
  <c r="B293" s="1"/>
  <c r="AH292"/>
  <c r="B292" s="1"/>
  <c r="AH291"/>
  <c r="B291" s="1"/>
  <c r="AH290"/>
  <c r="B290" s="1"/>
  <c r="AH289"/>
  <c r="B289" s="1"/>
  <c r="AH288"/>
  <c r="B288" s="1"/>
  <c r="AH287"/>
  <c r="B287" s="1"/>
  <c r="AH286"/>
  <c r="B286" s="1"/>
  <c r="AH285"/>
  <c r="B285" s="1"/>
  <c r="AH284"/>
  <c r="B284" s="1"/>
  <c r="AH283"/>
  <c r="B283" s="1"/>
  <c r="AH282"/>
  <c r="B282" s="1"/>
  <c r="AH277"/>
  <c r="B277" s="1"/>
  <c r="AH276"/>
  <c r="B276" s="1"/>
  <c r="AH275"/>
  <c r="B275" s="1"/>
  <c r="AH274"/>
  <c r="B274" s="1"/>
  <c r="AH273"/>
  <c r="B273" s="1"/>
  <c r="AH272"/>
  <c r="B272" s="1"/>
  <c r="E109" i="60801" s="1"/>
  <c r="E110" s="1"/>
  <c r="AH271" i="60805"/>
  <c r="B271" s="1"/>
  <c r="AH270"/>
  <c r="B270" s="1"/>
  <c r="AH269"/>
  <c r="B269" s="1"/>
  <c r="AH268"/>
  <c r="B268" s="1"/>
  <c r="AH267"/>
  <c r="B267" s="1"/>
  <c r="E104" i="60801" s="1"/>
  <c r="F104" s="1"/>
  <c r="F105" s="1"/>
  <c r="AH266" i="60805"/>
  <c r="B266" s="1"/>
  <c r="AH261"/>
  <c r="B261" s="1"/>
  <c r="AH260"/>
  <c r="B260" s="1"/>
  <c r="AH259"/>
  <c r="B259" s="1"/>
  <c r="AH258"/>
  <c r="B258" s="1"/>
  <c r="AH257"/>
  <c r="B257" s="1"/>
  <c r="AH256"/>
  <c r="B256" s="1"/>
  <c r="AH255"/>
  <c r="B255" s="1"/>
  <c r="AH254"/>
  <c r="B254" s="1"/>
  <c r="AH253"/>
  <c r="B253" s="1"/>
  <c r="AH252"/>
  <c r="B252" s="1"/>
  <c r="AH251"/>
  <c r="B251" s="1"/>
  <c r="AH250"/>
  <c r="B250" s="1"/>
  <c r="AH245"/>
  <c r="B245" s="1"/>
  <c r="AH244"/>
  <c r="B244" s="1"/>
  <c r="AH243"/>
  <c r="B243" s="1"/>
  <c r="AH242"/>
  <c r="B242" s="1"/>
  <c r="AH241"/>
  <c r="B241" s="1"/>
  <c r="AH240"/>
  <c r="B240" s="1"/>
  <c r="AH239"/>
  <c r="B239" s="1"/>
  <c r="AH238"/>
  <c r="B238" s="1"/>
  <c r="AH237"/>
  <c r="B237" s="1"/>
  <c r="AH236"/>
  <c r="B236" s="1"/>
  <c r="AH235"/>
  <c r="B235" s="1"/>
  <c r="AH234"/>
  <c r="B234" s="1"/>
  <c r="B229"/>
  <c r="B228"/>
  <c r="B227"/>
  <c r="B226"/>
  <c r="B225"/>
  <c r="B224"/>
  <c r="B223"/>
  <c r="B222"/>
  <c r="AH221"/>
  <c r="B221" s="1"/>
  <c r="AH220"/>
  <c r="B220" s="1"/>
  <c r="AH219"/>
  <c r="B219" s="1"/>
  <c r="AH218"/>
  <c r="B218" s="1"/>
  <c r="AH213"/>
  <c r="B213" s="1"/>
  <c r="AH212"/>
  <c r="B212" s="1"/>
  <c r="AH211"/>
  <c r="B211" s="1"/>
  <c r="AH210"/>
  <c r="B210" s="1"/>
  <c r="AH209"/>
  <c r="B209" s="1"/>
  <c r="AH208"/>
  <c r="B208" s="1"/>
  <c r="AH207"/>
  <c r="B207" s="1"/>
  <c r="AH206"/>
  <c r="B206" s="1"/>
  <c r="AH205"/>
  <c r="B205" s="1"/>
  <c r="AH204"/>
  <c r="B204" s="1"/>
  <c r="AH203"/>
  <c r="B203" s="1"/>
  <c r="AH202"/>
  <c r="B202" s="1"/>
  <c r="AH198"/>
  <c r="AH197"/>
  <c r="B197" s="1"/>
  <c r="AH196"/>
  <c r="B196" s="1"/>
  <c r="AH195"/>
  <c r="B195" s="1"/>
  <c r="AH194"/>
  <c r="B194" s="1"/>
  <c r="AH193"/>
  <c r="B193" s="1"/>
  <c r="AH192"/>
  <c r="B192" s="1"/>
  <c r="AH191"/>
  <c r="B191" s="1"/>
  <c r="AH190"/>
  <c r="B190" s="1"/>
  <c r="AH189"/>
  <c r="B189" s="1"/>
  <c r="AH188"/>
  <c r="B188" s="1"/>
  <c r="AH187"/>
  <c r="B187" s="1"/>
  <c r="AH186"/>
  <c r="B186" s="1"/>
  <c r="AG182"/>
  <c r="AF182"/>
  <c r="AE182"/>
  <c r="AD182"/>
  <c r="AC182"/>
  <c r="AB182"/>
  <c r="AA182"/>
  <c r="Z182"/>
  <c r="Y182"/>
  <c r="X182"/>
  <c r="W182"/>
  <c r="V182"/>
  <c r="U182"/>
  <c r="T182"/>
  <c r="S182"/>
  <c r="R182"/>
  <c r="Q182"/>
  <c r="P182"/>
  <c r="O182"/>
  <c r="N182"/>
  <c r="M182"/>
  <c r="L182"/>
  <c r="K182"/>
  <c r="J182"/>
  <c r="I182"/>
  <c r="H182"/>
  <c r="G182"/>
  <c r="F182"/>
  <c r="E182"/>
  <c r="D182"/>
  <c r="C182"/>
  <c r="AH181"/>
  <c r="B181" s="1"/>
  <c r="AH180"/>
  <c r="B180" s="1"/>
  <c r="AH179"/>
  <c r="B179" s="1"/>
  <c r="AH178"/>
  <c r="B178" s="1"/>
  <c r="AH177"/>
  <c r="B177" s="1"/>
  <c r="AH176"/>
  <c r="B176" s="1"/>
  <c r="AH175"/>
  <c r="B175" s="1"/>
  <c r="AH174"/>
  <c r="B174" s="1"/>
  <c r="AH173"/>
  <c r="B173" s="1"/>
  <c r="AH172"/>
  <c r="B172" s="1"/>
  <c r="AH171"/>
  <c r="B171" s="1"/>
  <c r="AH170"/>
  <c r="B170" s="1"/>
  <c r="AH166"/>
  <c r="AH165"/>
  <c r="B165" s="1"/>
  <c r="AH164"/>
  <c r="B164" s="1"/>
  <c r="AH163"/>
  <c r="B163" s="1"/>
  <c r="AH162"/>
  <c r="B162" s="1"/>
  <c r="AH161"/>
  <c r="B161" s="1"/>
  <c r="AH160"/>
  <c r="B160" s="1"/>
  <c r="AH159"/>
  <c r="B159" s="1"/>
  <c r="AH158"/>
  <c r="B158" s="1"/>
  <c r="AH157"/>
  <c r="B157" s="1"/>
  <c r="AH156"/>
  <c r="B156" s="1"/>
  <c r="AH155"/>
  <c r="B155" s="1"/>
  <c r="AH154"/>
  <c r="B154" s="1"/>
  <c r="AH150"/>
  <c r="AH149"/>
  <c r="B149" s="1"/>
  <c r="AH148"/>
  <c r="B148" s="1"/>
  <c r="AH147"/>
  <c r="B147" s="1"/>
  <c r="AH146"/>
  <c r="B146" s="1"/>
  <c r="AH145"/>
  <c r="B145" s="1"/>
  <c r="AH144"/>
  <c r="B144" s="1"/>
  <c r="AH143"/>
  <c r="B143" s="1"/>
  <c r="AH142"/>
  <c r="B142" s="1"/>
  <c r="AH141"/>
  <c r="B141" s="1"/>
  <c r="AH140"/>
  <c r="B140" s="1"/>
  <c r="AH139"/>
  <c r="B139" s="1"/>
  <c r="AH138"/>
  <c r="B138" s="1"/>
  <c r="AH127"/>
  <c r="AH126"/>
  <c r="B126" s="1"/>
  <c r="AH125"/>
  <c r="B125" s="1"/>
  <c r="AH124"/>
  <c r="B124" s="1"/>
  <c r="AH123"/>
  <c r="B123" s="1"/>
  <c r="AH122"/>
  <c r="B122" s="1"/>
  <c r="AH121"/>
  <c r="B121" s="1"/>
  <c r="AH120"/>
  <c r="B120" s="1"/>
  <c r="AH119"/>
  <c r="AH118"/>
  <c r="AH117"/>
  <c r="AH116"/>
  <c r="AH115"/>
  <c r="AH109"/>
  <c r="AH108"/>
  <c r="B108" s="1"/>
  <c r="AH107"/>
  <c r="B107" s="1"/>
  <c r="AH106"/>
  <c r="B106" s="1"/>
  <c r="AH105"/>
  <c r="B105" s="1"/>
  <c r="AH104"/>
  <c r="B104" s="1"/>
  <c r="AH103"/>
  <c r="B103" s="1"/>
  <c r="AH102"/>
  <c r="B102" s="1"/>
  <c r="AH101"/>
  <c r="AH100"/>
  <c r="AH99"/>
  <c r="AH98"/>
  <c r="AH97"/>
  <c r="AH90"/>
  <c r="AH89"/>
  <c r="B89" s="1"/>
  <c r="AH88"/>
  <c r="B88" s="1"/>
  <c r="AH87"/>
  <c r="B87" s="1"/>
  <c r="AH86"/>
  <c r="B86" s="1"/>
  <c r="AH85"/>
  <c r="B85" s="1"/>
  <c r="AH84"/>
  <c r="B84" s="1"/>
  <c r="AH83"/>
  <c r="B83" s="1"/>
  <c r="B82"/>
  <c r="AH81"/>
  <c r="B81" s="1"/>
  <c r="AH80"/>
  <c r="B80" s="1"/>
  <c r="AH79"/>
  <c r="B79" s="1"/>
  <c r="AH78"/>
  <c r="B78" s="1"/>
  <c r="AH71"/>
  <c r="AH70"/>
  <c r="B70" s="1"/>
  <c r="AH69"/>
  <c r="B69" s="1"/>
  <c r="AH68"/>
  <c r="B68" s="1"/>
  <c r="AH67"/>
  <c r="B67" s="1"/>
  <c r="AH66"/>
  <c r="B66" s="1"/>
  <c r="AH65"/>
  <c r="B65" s="1"/>
  <c r="AH64"/>
  <c r="B64" s="1"/>
  <c r="B63"/>
  <c r="AH62"/>
  <c r="B62" s="1"/>
  <c r="AH61"/>
  <c r="B61" s="1"/>
  <c r="AH60"/>
  <c r="B60" s="1"/>
  <c r="AH59"/>
  <c r="B59" s="1"/>
  <c r="AH53"/>
  <c r="AH52"/>
  <c r="B52" s="1"/>
  <c r="AH51"/>
  <c r="B51" s="1"/>
  <c r="AH50"/>
  <c r="B50" s="1"/>
  <c r="AH49"/>
  <c r="B49" s="1"/>
  <c r="AH48"/>
  <c r="B48" s="1"/>
  <c r="AH47"/>
  <c r="B47" s="1"/>
  <c r="AH46"/>
  <c r="B46" s="1"/>
  <c r="B45"/>
  <c r="AH44"/>
  <c r="B44" s="1"/>
  <c r="AH43"/>
  <c r="B43" s="1"/>
  <c r="AH42"/>
  <c r="B42" s="1"/>
  <c r="AH41"/>
  <c r="B41" s="1"/>
  <c r="AH35"/>
  <c r="AH34"/>
  <c r="B34" s="1"/>
  <c r="AH33"/>
  <c r="B33" s="1"/>
  <c r="AH32"/>
  <c r="B32" s="1"/>
  <c r="AH31"/>
  <c r="B31" s="1"/>
  <c r="AH30"/>
  <c r="B30" s="1"/>
  <c r="AH29"/>
  <c r="B29" s="1"/>
  <c r="AH28"/>
  <c r="B28" s="1"/>
  <c r="B27"/>
  <c r="AH26"/>
  <c r="B26" s="1"/>
  <c r="AH25"/>
  <c r="B25" s="1"/>
  <c r="AH24"/>
  <c r="B24" s="1"/>
  <c r="AH23"/>
  <c r="B23" s="1"/>
  <c r="AH16"/>
  <c r="AH15"/>
  <c r="B15" s="1"/>
  <c r="AH14"/>
  <c r="B14" s="1"/>
  <c r="AH13"/>
  <c r="B13" s="1"/>
  <c r="AH12"/>
  <c r="B12" s="1"/>
  <c r="AH11"/>
  <c r="B11" s="1"/>
  <c r="AH10"/>
  <c r="B10" s="1"/>
  <c r="AH9"/>
  <c r="B9" s="1"/>
  <c r="AH8"/>
  <c r="B8" s="1"/>
  <c r="AH7"/>
  <c r="B7" s="1"/>
  <c r="AH6"/>
  <c r="B6" s="1"/>
  <c r="AH5"/>
  <c r="B5" s="1"/>
  <c r="AH4"/>
  <c r="B4" s="1"/>
  <c r="F291" i="60801"/>
  <c r="D291"/>
  <c r="C291"/>
  <c r="H290"/>
  <c r="H291" s="1"/>
  <c r="F280"/>
  <c r="E280"/>
  <c r="D280"/>
  <c r="C280"/>
  <c r="H279"/>
  <c r="G279"/>
  <c r="H278"/>
  <c r="G278"/>
  <c r="H277"/>
  <c r="G277"/>
  <c r="H276"/>
  <c r="G276"/>
  <c r="H275"/>
  <c r="G275"/>
  <c r="H274"/>
  <c r="G274"/>
  <c r="H273"/>
  <c r="G273"/>
  <c r="H272"/>
  <c r="G272"/>
  <c r="H271"/>
  <c r="G271"/>
  <c r="H270"/>
  <c r="G270"/>
  <c r="H269"/>
  <c r="G269"/>
  <c r="H268"/>
  <c r="G268"/>
  <c r="F262"/>
  <c r="E262"/>
  <c r="D262"/>
  <c r="C262"/>
  <c r="H261"/>
  <c r="H262" s="1"/>
  <c r="G261"/>
  <c r="G262" s="1"/>
  <c r="F255"/>
  <c r="E255"/>
  <c r="D255"/>
  <c r="C255"/>
  <c r="H254"/>
  <c r="G254"/>
  <c r="H253"/>
  <c r="G253"/>
  <c r="H252"/>
  <c r="G252"/>
  <c r="H251"/>
  <c r="G251"/>
  <c r="H250"/>
  <c r="G250"/>
  <c r="H249"/>
  <c r="G249"/>
  <c r="H248"/>
  <c r="G248"/>
  <c r="H247"/>
  <c r="G247"/>
  <c r="H246"/>
  <c r="G246"/>
  <c r="H245"/>
  <c r="G245"/>
  <c r="H244"/>
  <c r="G244"/>
  <c r="H243"/>
  <c r="G243"/>
  <c r="H242"/>
  <c r="G242"/>
  <c r="F236"/>
  <c r="E236"/>
  <c r="D236"/>
  <c r="C236"/>
  <c r="H235"/>
  <c r="G235"/>
  <c r="H234"/>
  <c r="G234"/>
  <c r="F228"/>
  <c r="E228"/>
  <c r="D228"/>
  <c r="C228"/>
  <c r="H227"/>
  <c r="G227"/>
  <c r="H226"/>
  <c r="G226"/>
  <c r="H225"/>
  <c r="G225"/>
  <c r="H224"/>
  <c r="G224"/>
  <c r="H223"/>
  <c r="G223"/>
  <c r="H222"/>
  <c r="G222"/>
  <c r="H221"/>
  <c r="G221"/>
  <c r="H220"/>
  <c r="G220"/>
  <c r="H219"/>
  <c r="G219"/>
  <c r="H218"/>
  <c r="G218"/>
  <c r="H217"/>
  <c r="G217"/>
  <c r="G210"/>
  <c r="G211" s="1"/>
  <c r="H203"/>
  <c r="G203"/>
  <c r="H202"/>
  <c r="G202"/>
  <c r="H201"/>
  <c r="G201"/>
  <c r="H200"/>
  <c r="G200"/>
  <c r="H199"/>
  <c r="G199"/>
  <c r="H198"/>
  <c r="G198"/>
  <c r="F192"/>
  <c r="H191"/>
  <c r="H190"/>
  <c r="F185"/>
  <c r="E185"/>
  <c r="D185"/>
  <c r="C185"/>
  <c r="H184"/>
  <c r="H185" s="1"/>
  <c r="G184"/>
  <c r="G185" s="1"/>
  <c r="F178"/>
  <c r="E178"/>
  <c r="D178"/>
  <c r="C178"/>
  <c r="H177"/>
  <c r="G177"/>
  <c r="H176"/>
  <c r="G176"/>
  <c r="D161"/>
  <c r="C154"/>
  <c r="E153"/>
  <c r="E154" s="1"/>
  <c r="C148"/>
  <c r="F147"/>
  <c r="F148" s="1"/>
  <c r="C143"/>
  <c r="E142"/>
  <c r="E143" s="1"/>
  <c r="D137"/>
  <c r="C137"/>
  <c r="E136"/>
  <c r="E135"/>
  <c r="E134"/>
  <c r="E133"/>
  <c r="C127"/>
  <c r="F126"/>
  <c r="F127" s="1"/>
  <c r="C121"/>
  <c r="C116"/>
  <c r="C110"/>
  <c r="C105"/>
  <c r="C100"/>
  <c r="F94"/>
  <c r="F92"/>
  <c r="C83"/>
  <c r="AY75"/>
  <c r="AX75"/>
  <c r="AW75"/>
  <c r="AV75"/>
  <c r="AU75"/>
  <c r="AT75"/>
  <c r="AQ75"/>
  <c r="AP75"/>
  <c r="AO75"/>
  <c r="AN75"/>
  <c r="AM75"/>
  <c r="AL75"/>
  <c r="E72"/>
  <c r="D71"/>
  <c r="E69"/>
  <c r="F62"/>
  <c r="D63"/>
  <c r="E61"/>
  <c r="D56"/>
  <c r="D50"/>
  <c r="D44"/>
  <c r="D37"/>
  <c r="D36"/>
  <c r="D29"/>
  <c r="D22"/>
  <c r="D14"/>
  <c r="D7"/>
  <c r="G195" i="60806"/>
  <c r="F195"/>
  <c r="E195"/>
  <c r="D195"/>
  <c r="C195"/>
  <c r="O168"/>
  <c r="AG164"/>
  <c r="AF164"/>
  <c r="AE164"/>
  <c r="AC164"/>
  <c r="AB164"/>
  <c r="AA164"/>
  <c r="Z164"/>
  <c r="Y164"/>
  <c r="X164"/>
  <c r="W164"/>
  <c r="V164"/>
  <c r="U164"/>
  <c r="T164"/>
  <c r="S164"/>
  <c r="R164"/>
  <c r="Q164"/>
  <c r="P164"/>
  <c r="O164"/>
  <c r="N164"/>
  <c r="M164"/>
  <c r="L164"/>
  <c r="K164"/>
  <c r="J164"/>
  <c r="I164"/>
  <c r="H164"/>
  <c r="G164"/>
  <c r="F164"/>
  <c r="D164"/>
  <c r="C164"/>
  <c r="AH163"/>
  <c r="B163" s="1"/>
  <c r="AH162"/>
  <c r="B162" s="1"/>
  <c r="AH161"/>
  <c r="B161" s="1"/>
  <c r="AH160"/>
  <c r="B160" s="1"/>
  <c r="AH159"/>
  <c r="B159" s="1"/>
  <c r="AH158"/>
  <c r="B158" s="1"/>
  <c r="AH157"/>
  <c r="B157" s="1"/>
  <c r="AH156"/>
  <c r="AH155"/>
  <c r="B155" s="1"/>
  <c r="AH154"/>
  <c r="B154" s="1"/>
  <c r="AH153"/>
  <c r="B153" s="1"/>
  <c r="AH152"/>
  <c r="B152" s="1"/>
  <c r="AG148"/>
  <c r="AF148"/>
  <c r="AE148"/>
  <c r="AC148"/>
  <c r="AB148"/>
  <c r="AA148"/>
  <c r="Z148"/>
  <c r="Y148"/>
  <c r="X148"/>
  <c r="W148"/>
  <c r="V148"/>
  <c r="U148"/>
  <c r="T148"/>
  <c r="S148"/>
  <c r="R148"/>
  <c r="Q148"/>
  <c r="P148"/>
  <c r="O148"/>
  <c r="N148"/>
  <c r="M148"/>
  <c r="L148"/>
  <c r="K148"/>
  <c r="J148"/>
  <c r="I148"/>
  <c r="H148"/>
  <c r="G148"/>
  <c r="F148"/>
  <c r="D148"/>
  <c r="C148"/>
  <c r="AH147"/>
  <c r="B147" s="1"/>
  <c r="AH146"/>
  <c r="B146" s="1"/>
  <c r="AH145"/>
  <c r="B145" s="1"/>
  <c r="AH144"/>
  <c r="B144" s="1"/>
  <c r="AH143"/>
  <c r="B143" s="1"/>
  <c r="AH142"/>
  <c r="B142" s="1"/>
  <c r="AH141"/>
  <c r="B141" s="1"/>
  <c r="AH140"/>
  <c r="B140" s="1"/>
  <c r="AH139"/>
  <c r="B139" s="1"/>
  <c r="AH138"/>
  <c r="B138" s="1"/>
  <c r="AH137"/>
  <c r="B137" s="1"/>
  <c r="AH136"/>
  <c r="B136" s="1"/>
  <c r="AG132"/>
  <c r="AF132"/>
  <c r="AE132"/>
  <c r="AC132"/>
  <c r="AB132"/>
  <c r="AA132"/>
  <c r="Z132"/>
  <c r="Y132"/>
  <c r="X132"/>
  <c r="W132"/>
  <c r="V132"/>
  <c r="U132"/>
  <c r="T132"/>
  <c r="S132"/>
  <c r="R132"/>
  <c r="Q132"/>
  <c r="P132"/>
  <c r="O132"/>
  <c r="N132"/>
  <c r="M132"/>
  <c r="L132"/>
  <c r="K132"/>
  <c r="J132"/>
  <c r="I132"/>
  <c r="H132"/>
  <c r="G132"/>
  <c r="F132"/>
  <c r="D132"/>
  <c r="C132"/>
  <c r="AH131"/>
  <c r="B131" s="1"/>
  <c r="AH130"/>
  <c r="B130" s="1"/>
  <c r="AH129"/>
  <c r="B129" s="1"/>
  <c r="AH128"/>
  <c r="B128" s="1"/>
  <c r="AH127"/>
  <c r="B127" s="1"/>
  <c r="AH126"/>
  <c r="B126" s="1"/>
  <c r="AH125"/>
  <c r="B125" s="1"/>
  <c r="AH124"/>
  <c r="B124" s="1"/>
  <c r="AH123"/>
  <c r="B123" s="1"/>
  <c r="AH122"/>
  <c r="B122" s="1"/>
  <c r="AH121"/>
  <c r="B121" s="1"/>
  <c r="AH120"/>
  <c r="AG116"/>
  <c r="AF116"/>
  <c r="AE116"/>
  <c r="AC116"/>
  <c r="AB116"/>
  <c r="AA116"/>
  <c r="Z116"/>
  <c r="Y116"/>
  <c r="X116"/>
  <c r="W116"/>
  <c r="V116"/>
  <c r="U116"/>
  <c r="T116"/>
  <c r="S116"/>
  <c r="R116"/>
  <c r="Q116"/>
  <c r="P116"/>
  <c r="O116"/>
  <c r="N116"/>
  <c r="M116"/>
  <c r="L116"/>
  <c r="K116"/>
  <c r="J116"/>
  <c r="I116"/>
  <c r="H116"/>
  <c r="G116"/>
  <c r="F116"/>
  <c r="D116"/>
  <c r="C116"/>
  <c r="AH115"/>
  <c r="B115" s="1"/>
  <c r="AH114"/>
  <c r="B114" s="1"/>
  <c r="AH113"/>
  <c r="B113" s="1"/>
  <c r="AH112"/>
  <c r="B112" s="1"/>
  <c r="AH111"/>
  <c r="B111" s="1"/>
  <c r="AH110"/>
  <c r="B110" s="1"/>
  <c r="AH109"/>
  <c r="B109" s="1"/>
  <c r="AH108"/>
  <c r="AH107"/>
  <c r="B107" s="1"/>
  <c r="AH106"/>
  <c r="B106" s="1"/>
  <c r="AH105"/>
  <c r="B105" s="1"/>
  <c r="AH104"/>
  <c r="B104" s="1"/>
  <c r="AG100"/>
  <c r="AF100"/>
  <c r="AE100"/>
  <c r="AC100"/>
  <c r="AB100"/>
  <c r="AA100"/>
  <c r="Z100"/>
  <c r="Y100"/>
  <c r="X100"/>
  <c r="W100"/>
  <c r="V100"/>
  <c r="U100"/>
  <c r="T100"/>
  <c r="S100"/>
  <c r="R100"/>
  <c r="Q100"/>
  <c r="P100"/>
  <c r="O100"/>
  <c r="N100"/>
  <c r="M100"/>
  <c r="L100"/>
  <c r="K100"/>
  <c r="J100"/>
  <c r="I100"/>
  <c r="H100"/>
  <c r="G100"/>
  <c r="F100"/>
  <c r="D100"/>
  <c r="C100"/>
  <c r="AH99"/>
  <c r="B99" s="1"/>
  <c r="AH98"/>
  <c r="B98" s="1"/>
  <c r="AH97"/>
  <c r="B97" s="1"/>
  <c r="AH96"/>
  <c r="B96" s="1"/>
  <c r="AH95"/>
  <c r="B95" s="1"/>
  <c r="AH94"/>
  <c r="B94" s="1"/>
  <c r="AH93"/>
  <c r="B93" s="1"/>
  <c r="AH92"/>
  <c r="B92" s="1"/>
  <c r="AH91"/>
  <c r="B91" s="1"/>
  <c r="AH90"/>
  <c r="B90" s="1"/>
  <c r="AH89"/>
  <c r="B89" s="1"/>
  <c r="AH88"/>
  <c r="B88" s="1"/>
  <c r="AG84"/>
  <c r="AF84"/>
  <c r="AE84"/>
  <c r="AC84"/>
  <c r="AB84"/>
  <c r="AA84"/>
  <c r="Z84"/>
  <c r="Y84"/>
  <c r="X84"/>
  <c r="W84"/>
  <c r="V84"/>
  <c r="U84"/>
  <c r="T84"/>
  <c r="S84"/>
  <c r="R84"/>
  <c r="Q84"/>
  <c r="P84"/>
  <c r="O84"/>
  <c r="N84"/>
  <c r="M84"/>
  <c r="L84"/>
  <c r="K84"/>
  <c r="J84"/>
  <c r="I84"/>
  <c r="H84"/>
  <c r="G84"/>
  <c r="F84"/>
  <c r="D84"/>
  <c r="C84"/>
  <c r="AH83"/>
  <c r="B83" s="1"/>
  <c r="AH82"/>
  <c r="B82" s="1"/>
  <c r="AH81"/>
  <c r="B81" s="1"/>
  <c r="AH80"/>
  <c r="B80" s="1"/>
  <c r="AH79"/>
  <c r="B79" s="1"/>
  <c r="AH78"/>
  <c r="B78" s="1"/>
  <c r="AH77"/>
  <c r="B77" s="1"/>
  <c r="AH76"/>
  <c r="AH75"/>
  <c r="B75" s="1"/>
  <c r="AH74"/>
  <c r="B74" s="1"/>
  <c r="AH73"/>
  <c r="B73" s="1"/>
  <c r="AH72"/>
  <c r="B72" s="1"/>
  <c r="AG68"/>
  <c r="AF68"/>
  <c r="AE68"/>
  <c r="AC68"/>
  <c r="AB68"/>
  <c r="AA68"/>
  <c r="Z68"/>
  <c r="Y68"/>
  <c r="X68"/>
  <c r="W68"/>
  <c r="V68"/>
  <c r="U68"/>
  <c r="T68"/>
  <c r="S68"/>
  <c r="R68"/>
  <c r="Q68"/>
  <c r="P68"/>
  <c r="O68"/>
  <c r="N68"/>
  <c r="M68"/>
  <c r="L68"/>
  <c r="K68"/>
  <c r="J68"/>
  <c r="I68"/>
  <c r="H68"/>
  <c r="G68"/>
  <c r="F68"/>
  <c r="D68"/>
  <c r="C68"/>
  <c r="AH67"/>
  <c r="B67" s="1"/>
  <c r="AH66"/>
  <c r="B66" s="1"/>
  <c r="AH65"/>
  <c r="B65" s="1"/>
  <c r="AH64"/>
  <c r="B64" s="1"/>
  <c r="AH63"/>
  <c r="B63" s="1"/>
  <c r="AH62"/>
  <c r="B62" s="1"/>
  <c r="AH61"/>
  <c r="B61" s="1"/>
  <c r="AH60"/>
  <c r="B60" s="1"/>
  <c r="AH59"/>
  <c r="B59" s="1"/>
  <c r="AH58"/>
  <c r="B58" s="1"/>
  <c r="AH57"/>
  <c r="B57" s="1"/>
  <c r="AH56"/>
  <c r="B56" s="1"/>
  <c r="AG52"/>
  <c r="AF52"/>
  <c r="AE52"/>
  <c r="AC52"/>
  <c r="AB52"/>
  <c r="AA52"/>
  <c r="Z52"/>
  <c r="Y52"/>
  <c r="X52"/>
  <c r="W52"/>
  <c r="V52"/>
  <c r="U52"/>
  <c r="T52"/>
  <c r="S52"/>
  <c r="R52"/>
  <c r="Q52"/>
  <c r="P52"/>
  <c r="O52"/>
  <c r="N52"/>
  <c r="M52"/>
  <c r="L52"/>
  <c r="K52"/>
  <c r="J52"/>
  <c r="I52"/>
  <c r="H52"/>
  <c r="G52"/>
  <c r="F52"/>
  <c r="D52"/>
  <c r="C52"/>
  <c r="AH51"/>
  <c r="B51" s="1"/>
  <c r="AH50"/>
  <c r="B50" s="1"/>
  <c r="AH49"/>
  <c r="B49" s="1"/>
  <c r="AH48"/>
  <c r="B48" s="1"/>
  <c r="AH47"/>
  <c r="B47" s="1"/>
  <c r="AH46"/>
  <c r="B46" s="1"/>
  <c r="AH45"/>
  <c r="B45" s="1"/>
  <c r="AH44"/>
  <c r="AH43"/>
  <c r="B43" s="1"/>
  <c r="AH42"/>
  <c r="B42" s="1"/>
  <c r="AH41"/>
  <c r="B41" s="1"/>
  <c r="AH40"/>
  <c r="B40" s="1"/>
  <c r="AG36"/>
  <c r="AF36"/>
  <c r="AE36"/>
  <c r="AC36"/>
  <c r="AB36"/>
  <c r="AA36"/>
  <c r="Z36"/>
  <c r="Y36"/>
  <c r="X36"/>
  <c r="W36"/>
  <c r="V36"/>
  <c r="U36"/>
  <c r="T36"/>
  <c r="S36"/>
  <c r="R36"/>
  <c r="Q36"/>
  <c r="P36"/>
  <c r="O36"/>
  <c r="N36"/>
  <c r="M36"/>
  <c r="L36"/>
  <c r="K36"/>
  <c r="J36"/>
  <c r="I36"/>
  <c r="H36"/>
  <c r="G36"/>
  <c r="F36"/>
  <c r="D36"/>
  <c r="C36"/>
  <c r="AH35"/>
  <c r="B35" s="1"/>
  <c r="AH34"/>
  <c r="B34" s="1"/>
  <c r="AH33"/>
  <c r="B33" s="1"/>
  <c r="AH32"/>
  <c r="B32" s="1"/>
  <c r="AH31"/>
  <c r="B31" s="1"/>
  <c r="AH30"/>
  <c r="B30" s="1"/>
  <c r="AH29"/>
  <c r="B29" s="1"/>
  <c r="AH28"/>
  <c r="AH27"/>
  <c r="B27" s="1"/>
  <c r="AH26"/>
  <c r="B26" s="1"/>
  <c r="AH25"/>
  <c r="B25" s="1"/>
  <c r="AH24"/>
  <c r="B24" s="1"/>
  <c r="AH17"/>
  <c r="B17" s="1"/>
  <c r="AH16"/>
  <c r="B16" s="1"/>
  <c r="AH15"/>
  <c r="B15" s="1"/>
  <c r="AH14"/>
  <c r="B14" s="1"/>
  <c r="AH13"/>
  <c r="B13" s="1"/>
  <c r="AH12"/>
  <c r="B12" s="1"/>
  <c r="AH11"/>
  <c r="B11" s="1"/>
  <c r="AH10"/>
  <c r="B10" s="1"/>
  <c r="AH9"/>
  <c r="B9" s="1"/>
  <c r="AH8"/>
  <c r="B8" s="1"/>
  <c r="AH7"/>
  <c r="B7" s="1"/>
  <c r="AH6"/>
  <c r="B6" s="1"/>
  <c r="C51" i="60814"/>
  <c r="E51" s="1"/>
  <c r="J50"/>
  <c r="J49"/>
  <c r="J48"/>
  <c r="J47"/>
  <c r="J46"/>
  <c r="J45"/>
  <c r="J44"/>
  <c r="C40"/>
  <c r="C52" s="1"/>
  <c r="E39"/>
  <c r="G39" s="1"/>
  <c r="E50" s="1"/>
  <c r="G50" s="1"/>
  <c r="H50" s="1"/>
  <c r="E38"/>
  <c r="G38" s="1"/>
  <c r="E37"/>
  <c r="G37" s="1"/>
  <c r="H37" s="1"/>
  <c r="E36"/>
  <c r="G36" s="1"/>
  <c r="E35"/>
  <c r="G35" s="1"/>
  <c r="E46" s="1"/>
  <c r="G46" s="1"/>
  <c r="H46" s="1"/>
  <c r="E34"/>
  <c r="G34" s="1"/>
  <c r="E33"/>
  <c r="G33" s="1"/>
  <c r="H33" s="1"/>
  <c r="E32"/>
  <c r="C25"/>
  <c r="C13"/>
  <c r="E12"/>
  <c r="E11"/>
  <c r="E10"/>
  <c r="E9"/>
  <c r="E8"/>
  <c r="E7"/>
  <c r="E6"/>
  <c r="E5"/>
  <c r="E4"/>
  <c r="AG84" i="516"/>
  <c r="AF84"/>
  <c r="AE84"/>
  <c r="AD84"/>
  <c r="AC84"/>
  <c r="AB84"/>
  <c r="AA84"/>
  <c r="Z84"/>
  <c r="Y84"/>
  <c r="X84"/>
  <c r="W84"/>
  <c r="V84"/>
  <c r="U84"/>
  <c r="T84"/>
  <c r="S84"/>
  <c r="R84"/>
  <c r="Q84"/>
  <c r="P84"/>
  <c r="O84"/>
  <c r="N84"/>
  <c r="M84"/>
  <c r="L84"/>
  <c r="K84"/>
  <c r="J84"/>
  <c r="I84"/>
  <c r="H84"/>
  <c r="G84"/>
  <c r="F84"/>
  <c r="E84"/>
  <c r="D84"/>
  <c r="C84"/>
  <c r="AH83"/>
  <c r="B83" s="1"/>
  <c r="AH82"/>
  <c r="B82" s="1"/>
  <c r="AH81"/>
  <c r="B81" s="1"/>
  <c r="AH80"/>
  <c r="B80" s="1"/>
  <c r="AH79"/>
  <c r="B79" s="1"/>
  <c r="AH78"/>
  <c r="B78" s="1"/>
  <c r="AH77"/>
  <c r="B77" s="1"/>
  <c r="AH76"/>
  <c r="B76" s="1"/>
  <c r="AH75"/>
  <c r="B75" s="1"/>
  <c r="AH74"/>
  <c r="B74" s="1"/>
  <c r="AH73"/>
  <c r="B73" s="1"/>
  <c r="AH72"/>
  <c r="AG68"/>
  <c r="AF68"/>
  <c r="AE68"/>
  <c r="AD68"/>
  <c r="AC68"/>
  <c r="AB68"/>
  <c r="AA68"/>
  <c r="Z68"/>
  <c r="Y68"/>
  <c r="X68"/>
  <c r="W68"/>
  <c r="V68"/>
  <c r="U68"/>
  <c r="T68"/>
  <c r="S68"/>
  <c r="R68"/>
  <c r="Q68"/>
  <c r="P68"/>
  <c r="O68"/>
  <c r="N68"/>
  <c r="M68"/>
  <c r="L68"/>
  <c r="K68"/>
  <c r="J68"/>
  <c r="I68"/>
  <c r="H68"/>
  <c r="G68"/>
  <c r="F68"/>
  <c r="E68"/>
  <c r="D68"/>
  <c r="C68"/>
  <c r="AH67"/>
  <c r="B67" s="1"/>
  <c r="AH66"/>
  <c r="B66" s="1"/>
  <c r="AH65"/>
  <c r="B65" s="1"/>
  <c r="AH64"/>
  <c r="B64" s="1"/>
  <c r="AH63"/>
  <c r="B63" s="1"/>
  <c r="AH62"/>
  <c r="B62" s="1"/>
  <c r="AH61"/>
  <c r="B61" s="1"/>
  <c r="AH60"/>
  <c r="B60" s="1"/>
  <c r="AH59"/>
  <c r="B59" s="1"/>
  <c r="AH58"/>
  <c r="B58" s="1"/>
  <c r="AH57"/>
  <c r="B57" s="1"/>
  <c r="AH56"/>
  <c r="AG46"/>
  <c r="AF46"/>
  <c r="AE46"/>
  <c r="AD46"/>
  <c r="AC46"/>
  <c r="AB46"/>
  <c r="AA46"/>
  <c r="Z46"/>
  <c r="Y46"/>
  <c r="X46"/>
  <c r="W46"/>
  <c r="V46"/>
  <c r="U46"/>
  <c r="T46"/>
  <c r="S46"/>
  <c r="R46"/>
  <c r="Q46"/>
  <c r="P46"/>
  <c r="O46"/>
  <c r="N46"/>
  <c r="M46"/>
  <c r="L46"/>
  <c r="K46"/>
  <c r="J46"/>
  <c r="I46"/>
  <c r="H46"/>
  <c r="G46"/>
  <c r="F46"/>
  <c r="E46"/>
  <c r="D46"/>
  <c r="C46"/>
  <c r="AG45"/>
  <c r="AF45"/>
  <c r="AE45"/>
  <c r="AD45"/>
  <c r="AC45"/>
  <c r="AB45"/>
  <c r="AA45"/>
  <c r="Z45"/>
  <c r="Y45"/>
  <c r="X45"/>
  <c r="W45"/>
  <c r="V45"/>
  <c r="U45"/>
  <c r="T45"/>
  <c r="S45"/>
  <c r="R45"/>
  <c r="Q45"/>
  <c r="P45"/>
  <c r="O45"/>
  <c r="N45"/>
  <c r="M45"/>
  <c r="L45"/>
  <c r="K45"/>
  <c r="J45"/>
  <c r="I45"/>
  <c r="H45"/>
  <c r="G45"/>
  <c r="F45"/>
  <c r="E45"/>
  <c r="D45"/>
  <c r="C45"/>
  <c r="AG44"/>
  <c r="AF44"/>
  <c r="AE44"/>
  <c r="AD44"/>
  <c r="AC44"/>
  <c r="AB44"/>
  <c r="AA44"/>
  <c r="Z44"/>
  <c r="Y44"/>
  <c r="X44"/>
  <c r="W44"/>
  <c r="V44"/>
  <c r="U44"/>
  <c r="T44"/>
  <c r="S44"/>
  <c r="R44"/>
  <c r="P44"/>
  <c r="O44"/>
  <c r="N44"/>
  <c r="M44"/>
  <c r="L44"/>
  <c r="K44"/>
  <c r="J44"/>
  <c r="I44"/>
  <c r="H44"/>
  <c r="G44"/>
  <c r="F44"/>
  <c r="E44"/>
  <c r="D44"/>
  <c r="C44"/>
  <c r="AG43"/>
  <c r="AF43"/>
  <c r="AE43"/>
  <c r="AD43"/>
  <c r="AC43"/>
  <c r="AB43"/>
  <c r="AA43"/>
  <c r="Z43"/>
  <c r="Y43"/>
  <c r="X43"/>
  <c r="W43"/>
  <c r="V43"/>
  <c r="U43"/>
  <c r="T43"/>
  <c r="S43"/>
  <c r="R43"/>
  <c r="Q43"/>
  <c r="P43"/>
  <c r="O43"/>
  <c r="N43"/>
  <c r="M43"/>
  <c r="L43"/>
  <c r="K43"/>
  <c r="J43"/>
  <c r="I43"/>
  <c r="H43"/>
  <c r="G43"/>
  <c r="F43"/>
  <c r="E43"/>
  <c r="D43"/>
  <c r="C43"/>
  <c r="AG42"/>
  <c r="AF42"/>
  <c r="AE42"/>
  <c r="AD42"/>
  <c r="AC42"/>
  <c r="AB42"/>
  <c r="AA42"/>
  <c r="Z42"/>
  <c r="Y42"/>
  <c r="X42"/>
  <c r="W42"/>
  <c r="V42"/>
  <c r="U42"/>
  <c r="T42"/>
  <c r="S42"/>
  <c r="R42"/>
  <c r="Q42"/>
  <c r="P42"/>
  <c r="O42"/>
  <c r="N42"/>
  <c r="M42"/>
  <c r="L42"/>
  <c r="K42"/>
  <c r="J42"/>
  <c r="I42"/>
  <c r="H42"/>
  <c r="G42"/>
  <c r="F42"/>
  <c r="E42"/>
  <c r="D42"/>
  <c r="C42"/>
  <c r="AG41"/>
  <c r="AF41"/>
  <c r="AE41"/>
  <c r="AD41"/>
  <c r="AC41"/>
  <c r="AB41"/>
  <c r="AA41"/>
  <c r="Z41"/>
  <c r="Y41"/>
  <c r="X41"/>
  <c r="W41"/>
  <c r="V41"/>
  <c r="U41"/>
  <c r="T41"/>
  <c r="S41"/>
  <c r="R41"/>
  <c r="Q41"/>
  <c r="P41"/>
  <c r="O41"/>
  <c r="N41"/>
  <c r="M41"/>
  <c r="L41"/>
  <c r="K41"/>
  <c r="J41"/>
  <c r="I41"/>
  <c r="H41"/>
  <c r="G41"/>
  <c r="F41"/>
  <c r="E41"/>
  <c r="D41"/>
  <c r="C41"/>
  <c r="AG40"/>
  <c r="AF40"/>
  <c r="AE40"/>
  <c r="AD40"/>
  <c r="AC40"/>
  <c r="AB40"/>
  <c r="AA40"/>
  <c r="Z40"/>
  <c r="Y40"/>
  <c r="X40"/>
  <c r="W40"/>
  <c r="V40"/>
  <c r="U40"/>
  <c r="T40"/>
  <c r="S40"/>
  <c r="R40"/>
  <c r="Q40"/>
  <c r="P40"/>
  <c r="O40"/>
  <c r="N40"/>
  <c r="M40"/>
  <c r="L40"/>
  <c r="K40"/>
  <c r="J40"/>
  <c r="I40"/>
  <c r="H40"/>
  <c r="G40"/>
  <c r="F40"/>
  <c r="E40"/>
  <c r="D40"/>
  <c r="C40"/>
  <c r="AG39"/>
  <c r="AF39"/>
  <c r="AE39"/>
  <c r="AD39"/>
  <c r="AC39"/>
  <c r="AB39"/>
  <c r="AA39"/>
  <c r="Z39"/>
  <c r="Y39"/>
  <c r="X39"/>
  <c r="W39"/>
  <c r="V39"/>
  <c r="U39"/>
  <c r="T39"/>
  <c r="S39"/>
  <c r="R39"/>
  <c r="Q39"/>
  <c r="O39"/>
  <c r="N39"/>
  <c r="M39"/>
  <c r="L39"/>
  <c r="K39"/>
  <c r="J39"/>
  <c r="H39"/>
  <c r="G39"/>
  <c r="F39"/>
  <c r="E39"/>
  <c r="D39"/>
  <c r="C39"/>
  <c r="AH34"/>
  <c r="B34" s="1"/>
  <c r="AH33"/>
  <c r="B33" s="1"/>
  <c r="AH32"/>
  <c r="B32" s="1"/>
  <c r="AH31"/>
  <c r="B31" s="1"/>
  <c r="AH30"/>
  <c r="B30" s="1"/>
  <c r="AH29"/>
  <c r="B29" s="1"/>
  <c r="AH28"/>
  <c r="B28" s="1"/>
  <c r="AH27"/>
  <c r="B27" s="1"/>
  <c r="AH26"/>
  <c r="B26" s="1"/>
  <c r="AH25"/>
  <c r="B25" s="1"/>
  <c r="AH24"/>
  <c r="B24" s="1"/>
  <c r="AH23"/>
  <c r="B23" s="1"/>
  <c r="AG19"/>
  <c r="AF19"/>
  <c r="AE19"/>
  <c r="AD19"/>
  <c r="AC19"/>
  <c r="AB19"/>
  <c r="AA19"/>
  <c r="Z19"/>
  <c r="Y19"/>
  <c r="X19"/>
  <c r="W19"/>
  <c r="V19"/>
  <c r="U19"/>
  <c r="T19"/>
  <c r="S19"/>
  <c r="R19"/>
  <c r="Q19"/>
  <c r="P19"/>
  <c r="O19"/>
  <c r="N19"/>
  <c r="M19"/>
  <c r="L19"/>
  <c r="K19"/>
  <c r="J19"/>
  <c r="I19"/>
  <c r="H19"/>
  <c r="G19"/>
  <c r="F19"/>
  <c r="E19"/>
  <c r="D19"/>
  <c r="C19"/>
  <c r="AH18"/>
  <c r="B18" s="1"/>
  <c r="AH17"/>
  <c r="B17" s="1"/>
  <c r="AH16"/>
  <c r="B16" s="1"/>
  <c r="AH15"/>
  <c r="B15" s="1"/>
  <c r="AH14"/>
  <c r="B14" s="1"/>
  <c r="AH13"/>
  <c r="B13" s="1"/>
  <c r="AH12"/>
  <c r="B12" s="1"/>
  <c r="AH11"/>
  <c r="B11" s="1"/>
  <c r="AH10"/>
  <c r="B10" s="1"/>
  <c r="AH9"/>
  <c r="B9" s="1"/>
  <c r="AH8"/>
  <c r="B8" s="1"/>
  <c r="AH7"/>
  <c r="B7" s="1"/>
  <c r="AG179" i="8194"/>
  <c r="AF179"/>
  <c r="AE179"/>
  <c r="AD179"/>
  <c r="AC179"/>
  <c r="AB179"/>
  <c r="AA179"/>
  <c r="Z179"/>
  <c r="Y179"/>
  <c r="X179"/>
  <c r="W179"/>
  <c r="V179"/>
  <c r="U179"/>
  <c r="T179"/>
  <c r="S179"/>
  <c r="R179"/>
  <c r="Q179"/>
  <c r="P179"/>
  <c r="O179"/>
  <c r="N179"/>
  <c r="M179"/>
  <c r="L179"/>
  <c r="K179"/>
  <c r="J179"/>
  <c r="I179"/>
  <c r="H179"/>
  <c r="G179"/>
  <c r="F179"/>
  <c r="E179"/>
  <c r="D179"/>
  <c r="C179"/>
  <c r="AH178"/>
  <c r="B178" s="1"/>
  <c r="AH177"/>
  <c r="B177" s="1"/>
  <c r="AH176"/>
  <c r="B176" s="1"/>
  <c r="AH175"/>
  <c r="B175" s="1"/>
  <c r="AH174"/>
  <c r="B174" s="1"/>
  <c r="AH173"/>
  <c r="B173" s="1"/>
  <c r="AH172"/>
  <c r="B172" s="1"/>
  <c r="AH171"/>
  <c r="B171" s="1"/>
  <c r="AH170"/>
  <c r="B170" s="1"/>
  <c r="AH169"/>
  <c r="B169" s="1"/>
  <c r="AH168"/>
  <c r="B168" s="1"/>
  <c r="AH167"/>
  <c r="AG163"/>
  <c r="AF163"/>
  <c r="AE163"/>
  <c r="AD163"/>
  <c r="AC163"/>
  <c r="AB163"/>
  <c r="AA163"/>
  <c r="Z163"/>
  <c r="Y163"/>
  <c r="X163"/>
  <c r="W163"/>
  <c r="V163"/>
  <c r="U163"/>
  <c r="T163"/>
  <c r="S163"/>
  <c r="R163"/>
  <c r="Q163"/>
  <c r="P163"/>
  <c r="O163"/>
  <c r="N163"/>
  <c r="M163"/>
  <c r="L163"/>
  <c r="K163"/>
  <c r="J163"/>
  <c r="I163"/>
  <c r="H163"/>
  <c r="G163"/>
  <c r="F163"/>
  <c r="E163"/>
  <c r="D163"/>
  <c r="C163"/>
  <c r="AH162"/>
  <c r="B162" s="1"/>
  <c r="AH161"/>
  <c r="B161" s="1"/>
  <c r="AH160"/>
  <c r="B160" s="1"/>
  <c r="AH159"/>
  <c r="B159" s="1"/>
  <c r="AH158"/>
  <c r="B158" s="1"/>
  <c r="AH157"/>
  <c r="B157" s="1"/>
  <c r="AH156"/>
  <c r="B156" s="1"/>
  <c r="AH155"/>
  <c r="B155" s="1"/>
  <c r="AH154"/>
  <c r="B154" s="1"/>
  <c r="AH153"/>
  <c r="B153" s="1"/>
  <c r="AH152"/>
  <c r="B152" s="1"/>
  <c r="AH151"/>
  <c r="AG147"/>
  <c r="AF147"/>
  <c r="AE147"/>
  <c r="AD147"/>
  <c r="AC147"/>
  <c r="AB147"/>
  <c r="AA147"/>
  <c r="Z147"/>
  <c r="Y147"/>
  <c r="X147"/>
  <c r="W147"/>
  <c r="V147"/>
  <c r="U147"/>
  <c r="T147"/>
  <c r="S147"/>
  <c r="R147"/>
  <c r="Q147"/>
  <c r="P147"/>
  <c r="O147"/>
  <c r="N147"/>
  <c r="M147"/>
  <c r="L147"/>
  <c r="K147"/>
  <c r="J147"/>
  <c r="I147"/>
  <c r="H147"/>
  <c r="G147"/>
  <c r="F147"/>
  <c r="E147"/>
  <c r="D147"/>
  <c r="C147"/>
  <c r="AH146"/>
  <c r="B146" s="1"/>
  <c r="AH145"/>
  <c r="B145" s="1"/>
  <c r="AH144"/>
  <c r="B144" s="1"/>
  <c r="AH143"/>
  <c r="B143" s="1"/>
  <c r="AH142"/>
  <c r="B142" s="1"/>
  <c r="AH141"/>
  <c r="B141" s="1"/>
  <c r="AH140"/>
  <c r="B140" s="1"/>
  <c r="AH139"/>
  <c r="B139" s="1"/>
  <c r="AH138"/>
  <c r="B138" s="1"/>
  <c r="AH137"/>
  <c r="B137" s="1"/>
  <c r="AH136"/>
  <c r="B136" s="1"/>
  <c r="AH135"/>
  <c r="AG131"/>
  <c r="AF131"/>
  <c r="AE131"/>
  <c r="AD131"/>
  <c r="AC131"/>
  <c r="AB131"/>
  <c r="AA131"/>
  <c r="Z131"/>
  <c r="Y131"/>
  <c r="X131"/>
  <c r="W131"/>
  <c r="V131"/>
  <c r="U131"/>
  <c r="T131"/>
  <c r="S131"/>
  <c r="R131"/>
  <c r="Q131"/>
  <c r="P131"/>
  <c r="N131"/>
  <c r="M131"/>
  <c r="L131"/>
  <c r="K131"/>
  <c r="J131"/>
  <c r="I131"/>
  <c r="H131"/>
  <c r="G131"/>
  <c r="F131"/>
  <c r="E131"/>
  <c r="D131"/>
  <c r="C131"/>
  <c r="AH130"/>
  <c r="B130" s="1"/>
  <c r="AH129"/>
  <c r="B129" s="1"/>
  <c r="AH128"/>
  <c r="B128" s="1"/>
  <c r="AH127"/>
  <c r="B127" s="1"/>
  <c r="AH126"/>
  <c r="B126" s="1"/>
  <c r="AH125"/>
  <c r="B125" s="1"/>
  <c r="AH124"/>
  <c r="B124" s="1"/>
  <c r="AH123"/>
  <c r="B123" s="1"/>
  <c r="AH122"/>
  <c r="B122" s="1"/>
  <c r="AH121"/>
  <c r="B121" s="1"/>
  <c r="AH120"/>
  <c r="B120" s="1"/>
  <c r="O119"/>
  <c r="O131" s="1"/>
  <c r="AG115"/>
  <c r="AF115"/>
  <c r="AE115"/>
  <c r="AD115"/>
  <c r="AC115"/>
  <c r="AB115"/>
  <c r="AA115"/>
  <c r="Z115"/>
  <c r="Y115"/>
  <c r="X115"/>
  <c r="W115"/>
  <c r="V115"/>
  <c r="U115"/>
  <c r="T115"/>
  <c r="S115"/>
  <c r="R115"/>
  <c r="Q115"/>
  <c r="P115"/>
  <c r="O115"/>
  <c r="N115"/>
  <c r="M115"/>
  <c r="L115"/>
  <c r="K115"/>
  <c r="J115"/>
  <c r="I115"/>
  <c r="H115"/>
  <c r="G115"/>
  <c r="F115"/>
  <c r="E115"/>
  <c r="D115"/>
  <c r="C115"/>
  <c r="AH114"/>
  <c r="B114" s="1"/>
  <c r="AH113"/>
  <c r="B113" s="1"/>
  <c r="AH112"/>
  <c r="B112" s="1"/>
  <c r="AH111"/>
  <c r="B111" s="1"/>
  <c r="AH110"/>
  <c r="B110" s="1"/>
  <c r="AH109"/>
  <c r="B109" s="1"/>
  <c r="AH108"/>
  <c r="B108" s="1"/>
  <c r="AH107"/>
  <c r="B107" s="1"/>
  <c r="AH106"/>
  <c r="B106" s="1"/>
  <c r="AH105"/>
  <c r="B105" s="1"/>
  <c r="AH104"/>
  <c r="B104" s="1"/>
  <c r="AH103"/>
  <c r="AG99"/>
  <c r="AF99"/>
  <c r="AE99"/>
  <c r="AD99"/>
  <c r="AC99"/>
  <c r="AB99"/>
  <c r="AA99"/>
  <c r="Z99"/>
  <c r="Y99"/>
  <c r="X99"/>
  <c r="W99"/>
  <c r="V99"/>
  <c r="U99"/>
  <c r="T99"/>
  <c r="S99"/>
  <c r="R99"/>
  <c r="Q99"/>
  <c r="P99"/>
  <c r="O99"/>
  <c r="N99"/>
  <c r="M99"/>
  <c r="L99"/>
  <c r="K99"/>
  <c r="J99"/>
  <c r="I99"/>
  <c r="H99"/>
  <c r="G99"/>
  <c r="F99"/>
  <c r="E99"/>
  <c r="D99"/>
  <c r="C99"/>
  <c r="AH98"/>
  <c r="B98" s="1"/>
  <c r="AH97"/>
  <c r="B97" s="1"/>
  <c r="AH96"/>
  <c r="B96" s="1"/>
  <c r="AH95"/>
  <c r="B95" s="1"/>
  <c r="AH94"/>
  <c r="B94" s="1"/>
  <c r="AH93"/>
  <c r="B93" s="1"/>
  <c r="AH92"/>
  <c r="B92" s="1"/>
  <c r="AH91"/>
  <c r="B91" s="1"/>
  <c r="AH90"/>
  <c r="B90" s="1"/>
  <c r="AH89"/>
  <c r="B89" s="1"/>
  <c r="AH88"/>
  <c r="B88" s="1"/>
  <c r="AH87"/>
  <c r="AG83"/>
  <c r="AF83"/>
  <c r="AE83"/>
  <c r="AD83"/>
  <c r="AC83"/>
  <c r="AB83"/>
  <c r="AA83"/>
  <c r="Z83"/>
  <c r="Y83"/>
  <c r="X83"/>
  <c r="W83"/>
  <c r="V83"/>
  <c r="U83"/>
  <c r="T83"/>
  <c r="S83"/>
  <c r="R83"/>
  <c r="Q83"/>
  <c r="P83"/>
  <c r="O83"/>
  <c r="N83"/>
  <c r="M83"/>
  <c r="L83"/>
  <c r="K83"/>
  <c r="J83"/>
  <c r="I83"/>
  <c r="H83"/>
  <c r="G83"/>
  <c r="F83"/>
  <c r="E83"/>
  <c r="D83"/>
  <c r="C83"/>
  <c r="AH82"/>
  <c r="B82" s="1"/>
  <c r="AH81"/>
  <c r="B81" s="1"/>
  <c r="AH80"/>
  <c r="B80" s="1"/>
  <c r="AH79"/>
  <c r="B79" s="1"/>
  <c r="AH78"/>
  <c r="B78" s="1"/>
  <c r="AH77"/>
  <c r="B77" s="1"/>
  <c r="AH76"/>
  <c r="B76" s="1"/>
  <c r="AH75"/>
  <c r="B75" s="1"/>
  <c r="AH74"/>
  <c r="B74" s="1"/>
  <c r="AH73"/>
  <c r="B73" s="1"/>
  <c r="AH72"/>
  <c r="B72" s="1"/>
  <c r="AH71"/>
  <c r="AG67"/>
  <c r="AF67"/>
  <c r="AE67"/>
  <c r="AD67"/>
  <c r="AC67"/>
  <c r="AB67"/>
  <c r="AA67"/>
  <c r="Z67"/>
  <c r="Y67"/>
  <c r="X67"/>
  <c r="W67"/>
  <c r="V67"/>
  <c r="U67"/>
  <c r="T67"/>
  <c r="S67"/>
  <c r="R67"/>
  <c r="Q67"/>
  <c r="P67"/>
  <c r="O67"/>
  <c r="N67"/>
  <c r="M67"/>
  <c r="L67"/>
  <c r="K67"/>
  <c r="J67"/>
  <c r="I67"/>
  <c r="H67"/>
  <c r="G67"/>
  <c r="F67"/>
  <c r="E67"/>
  <c r="D67"/>
  <c r="C67"/>
  <c r="AH66"/>
  <c r="B66" s="1"/>
  <c r="AH65"/>
  <c r="B65" s="1"/>
  <c r="AH64"/>
  <c r="B64" s="1"/>
  <c r="AH63"/>
  <c r="B63" s="1"/>
  <c r="AH62"/>
  <c r="B62" s="1"/>
  <c r="AH61"/>
  <c r="B61" s="1"/>
  <c r="AH60"/>
  <c r="B60" s="1"/>
  <c r="AH59"/>
  <c r="B59" s="1"/>
  <c r="AH58"/>
  <c r="B58" s="1"/>
  <c r="AH57"/>
  <c r="B57" s="1"/>
  <c r="AH56"/>
  <c r="B56" s="1"/>
  <c r="AH55"/>
  <c r="AG51"/>
  <c r="AF51"/>
  <c r="AE51"/>
  <c r="AD51"/>
  <c r="AC51"/>
  <c r="AB51"/>
  <c r="AA51"/>
  <c r="Z51"/>
  <c r="Y51"/>
  <c r="X51"/>
  <c r="W51"/>
  <c r="V51"/>
  <c r="U51"/>
  <c r="T51"/>
  <c r="S51"/>
  <c r="R51"/>
  <c r="Q51"/>
  <c r="P51"/>
  <c r="O51"/>
  <c r="N51"/>
  <c r="M51"/>
  <c r="L51"/>
  <c r="K51"/>
  <c r="J51"/>
  <c r="I51"/>
  <c r="H51"/>
  <c r="G51"/>
  <c r="F51"/>
  <c r="E51"/>
  <c r="D51"/>
  <c r="C51"/>
  <c r="AH50"/>
  <c r="AH49"/>
  <c r="AH48"/>
  <c r="AH47"/>
  <c r="AH46"/>
  <c r="AH45"/>
  <c r="AH44"/>
  <c r="AH43"/>
  <c r="AH42"/>
  <c r="AL42" s="1"/>
  <c r="AH41"/>
  <c r="AH40"/>
  <c r="AH39"/>
  <c r="AH34"/>
  <c r="B34" s="1"/>
  <c r="AH33"/>
  <c r="B33" s="1"/>
  <c r="AH32"/>
  <c r="B32" s="1"/>
  <c r="AH31"/>
  <c r="B31" s="1"/>
  <c r="AH30"/>
  <c r="B30" s="1"/>
  <c r="AH29"/>
  <c r="B29" s="1"/>
  <c r="AH28"/>
  <c r="B28" s="1"/>
  <c r="AH27"/>
  <c r="B27" s="1"/>
  <c r="AH26"/>
  <c r="B26" s="1"/>
  <c r="AH25"/>
  <c r="B25" s="1"/>
  <c r="AH24"/>
  <c r="B24" s="1"/>
  <c r="AH23"/>
  <c r="B23" s="1"/>
  <c r="AH18"/>
  <c r="B18" s="1"/>
  <c r="AH17"/>
  <c r="B17" s="1"/>
  <c r="AH16"/>
  <c r="B16" s="1"/>
  <c r="AH15"/>
  <c r="B15" s="1"/>
  <c r="AH14"/>
  <c r="B14" s="1"/>
  <c r="AH13"/>
  <c r="B13" s="1"/>
  <c r="AH12"/>
  <c r="B12" s="1"/>
  <c r="AH11"/>
  <c r="B11" s="1"/>
  <c r="AH10"/>
  <c r="B10" s="1"/>
  <c r="AH9"/>
  <c r="B9" s="1"/>
  <c r="AH8"/>
  <c r="B8" s="1"/>
  <c r="AH7"/>
  <c r="B7" s="1"/>
  <c r="AG554" i="2819"/>
  <c r="AF554"/>
  <c r="AE554"/>
  <c r="AC554"/>
  <c r="AB554"/>
  <c r="AA554"/>
  <c r="Z554"/>
  <c r="Y554"/>
  <c r="X554"/>
  <c r="W554"/>
  <c r="V554"/>
  <c r="U554"/>
  <c r="T554"/>
  <c r="S554"/>
  <c r="R554"/>
  <c r="Q554"/>
  <c r="P554"/>
  <c r="O554"/>
  <c r="N554"/>
  <c r="M554"/>
  <c r="L554"/>
  <c r="K554"/>
  <c r="J554"/>
  <c r="I554"/>
  <c r="H554"/>
  <c r="G554"/>
  <c r="F554"/>
  <c r="D554"/>
  <c r="C554"/>
  <c r="AH553"/>
  <c r="B553" s="1"/>
  <c r="AH552"/>
  <c r="B552" s="1"/>
  <c r="AH551"/>
  <c r="B551" s="1"/>
  <c r="AH550"/>
  <c r="B550" s="1"/>
  <c r="AH549"/>
  <c r="B549" s="1"/>
  <c r="AH548"/>
  <c r="B548" s="1"/>
  <c r="AH547"/>
  <c r="B547" s="1"/>
  <c r="AH546"/>
  <c r="B546" s="1"/>
  <c r="AH545"/>
  <c r="B545" s="1"/>
  <c r="AH544"/>
  <c r="B544" s="1"/>
  <c r="AH543"/>
  <c r="B543" s="1"/>
  <c r="AH542"/>
  <c r="B542" s="1"/>
  <c r="AG538"/>
  <c r="AF538"/>
  <c r="AE538"/>
  <c r="AC538"/>
  <c r="AB538"/>
  <c r="AA538"/>
  <c r="Z538"/>
  <c r="Y538"/>
  <c r="X538"/>
  <c r="W538"/>
  <c r="V538"/>
  <c r="U538"/>
  <c r="T538"/>
  <c r="S538"/>
  <c r="R538"/>
  <c r="Q538"/>
  <c r="P538"/>
  <c r="O538"/>
  <c r="N538"/>
  <c r="M538"/>
  <c r="L538"/>
  <c r="K538"/>
  <c r="J538"/>
  <c r="I538"/>
  <c r="H538"/>
  <c r="G538"/>
  <c r="F538"/>
  <c r="D538"/>
  <c r="C538"/>
  <c r="AH537"/>
  <c r="B537" s="1"/>
  <c r="AH536"/>
  <c r="B536" s="1"/>
  <c r="AH535"/>
  <c r="B535" s="1"/>
  <c r="AH534"/>
  <c r="B534" s="1"/>
  <c r="AH533"/>
  <c r="B533" s="1"/>
  <c r="AH532"/>
  <c r="B532" s="1"/>
  <c r="AH531"/>
  <c r="B531" s="1"/>
  <c r="AH530"/>
  <c r="B530" s="1"/>
  <c r="AH529"/>
  <c r="B529" s="1"/>
  <c r="AH528"/>
  <c r="B528" s="1"/>
  <c r="AH527"/>
  <c r="B527" s="1"/>
  <c r="AH526"/>
  <c r="AG522"/>
  <c r="AF522"/>
  <c r="AE522"/>
  <c r="AC522"/>
  <c r="AB522"/>
  <c r="AA522"/>
  <c r="Z522"/>
  <c r="Y522"/>
  <c r="X522"/>
  <c r="W522"/>
  <c r="V522"/>
  <c r="U522"/>
  <c r="T522"/>
  <c r="S522"/>
  <c r="R522"/>
  <c r="Q522"/>
  <c r="P522"/>
  <c r="O522"/>
  <c r="N522"/>
  <c r="M522"/>
  <c r="L522"/>
  <c r="K522"/>
  <c r="J522"/>
  <c r="I522"/>
  <c r="H522"/>
  <c r="G522"/>
  <c r="F522"/>
  <c r="D522"/>
  <c r="C522"/>
  <c r="AH521"/>
  <c r="B521" s="1"/>
  <c r="AH520"/>
  <c r="B520" s="1"/>
  <c r="AH519"/>
  <c r="B519" s="1"/>
  <c r="AH518"/>
  <c r="B518" s="1"/>
  <c r="AH517"/>
  <c r="B517" s="1"/>
  <c r="AH516"/>
  <c r="B516" s="1"/>
  <c r="AH515"/>
  <c r="B515" s="1"/>
  <c r="AH514"/>
  <c r="B514" s="1"/>
  <c r="AH513"/>
  <c r="B513" s="1"/>
  <c r="AH512"/>
  <c r="B512" s="1"/>
  <c r="AH511"/>
  <c r="B511" s="1"/>
  <c r="AH510"/>
  <c r="AG506"/>
  <c r="AF506"/>
  <c r="AE506"/>
  <c r="AC506"/>
  <c r="AB506"/>
  <c r="AA506"/>
  <c r="Z506"/>
  <c r="Y506"/>
  <c r="X506"/>
  <c r="W506"/>
  <c r="V506"/>
  <c r="U506"/>
  <c r="T506"/>
  <c r="S506"/>
  <c r="R506"/>
  <c r="Q506"/>
  <c r="P506"/>
  <c r="O506"/>
  <c r="N506"/>
  <c r="M506"/>
  <c r="L506"/>
  <c r="K506"/>
  <c r="J506"/>
  <c r="I506"/>
  <c r="H506"/>
  <c r="G506"/>
  <c r="F506"/>
  <c r="D506"/>
  <c r="C506"/>
  <c r="AH505"/>
  <c r="B505" s="1"/>
  <c r="AH504"/>
  <c r="B504" s="1"/>
  <c r="AH503"/>
  <c r="B503" s="1"/>
  <c r="AH502"/>
  <c r="B502" s="1"/>
  <c r="AH501"/>
  <c r="B501" s="1"/>
  <c r="AH500"/>
  <c r="B500" s="1"/>
  <c r="AH499"/>
  <c r="B499" s="1"/>
  <c r="AH498"/>
  <c r="B498" s="1"/>
  <c r="AH497"/>
  <c r="B497" s="1"/>
  <c r="AH496"/>
  <c r="B496" s="1"/>
  <c r="AH495"/>
  <c r="B495" s="1"/>
  <c r="AH494"/>
  <c r="AG490"/>
  <c r="AF490"/>
  <c r="AE490"/>
  <c r="AC490"/>
  <c r="AB490"/>
  <c r="AA490"/>
  <c r="Z490"/>
  <c r="Y490"/>
  <c r="X490"/>
  <c r="W490"/>
  <c r="V490"/>
  <c r="U490"/>
  <c r="T490"/>
  <c r="S490"/>
  <c r="R490"/>
  <c r="Q490"/>
  <c r="P490"/>
  <c r="O490"/>
  <c r="N490"/>
  <c r="M490"/>
  <c r="L490"/>
  <c r="K490"/>
  <c r="J490"/>
  <c r="I490"/>
  <c r="H490"/>
  <c r="G490"/>
  <c r="F490"/>
  <c r="D490"/>
  <c r="C490"/>
  <c r="AH489"/>
  <c r="B489" s="1"/>
  <c r="AH488"/>
  <c r="B488" s="1"/>
  <c r="AH487"/>
  <c r="B487" s="1"/>
  <c r="AH486"/>
  <c r="B486" s="1"/>
  <c r="AH485"/>
  <c r="B485" s="1"/>
  <c r="AH484"/>
  <c r="B484" s="1"/>
  <c r="AH483"/>
  <c r="B483" s="1"/>
  <c r="AH482"/>
  <c r="B482" s="1"/>
  <c r="AH481"/>
  <c r="B481" s="1"/>
  <c r="AH480"/>
  <c r="B480" s="1"/>
  <c r="AH479"/>
  <c r="B479" s="1"/>
  <c r="AH478"/>
  <c r="B478" s="1"/>
  <c r="AG474"/>
  <c r="AF474"/>
  <c r="AE474"/>
  <c r="AC474"/>
  <c r="AB474"/>
  <c r="AA474"/>
  <c r="Z474"/>
  <c r="Y474"/>
  <c r="X474"/>
  <c r="W474"/>
  <c r="V474"/>
  <c r="U474"/>
  <c r="T474"/>
  <c r="S474"/>
  <c r="R474"/>
  <c r="Q474"/>
  <c r="P474"/>
  <c r="O474"/>
  <c r="N474"/>
  <c r="M474"/>
  <c r="L474"/>
  <c r="K474"/>
  <c r="J474"/>
  <c r="I474"/>
  <c r="H474"/>
  <c r="G474"/>
  <c r="F474"/>
  <c r="D474"/>
  <c r="C474"/>
  <c r="AH473"/>
  <c r="B473" s="1"/>
  <c r="AH472"/>
  <c r="B472" s="1"/>
  <c r="AH471"/>
  <c r="B471" s="1"/>
  <c r="AH470"/>
  <c r="B470" s="1"/>
  <c r="AH469"/>
  <c r="B469" s="1"/>
  <c r="AH468"/>
  <c r="B468" s="1"/>
  <c r="AH467"/>
  <c r="B467" s="1"/>
  <c r="AH466"/>
  <c r="B466" s="1"/>
  <c r="AH465"/>
  <c r="B465" s="1"/>
  <c r="AH464"/>
  <c r="B464" s="1"/>
  <c r="AH463"/>
  <c r="B463" s="1"/>
  <c r="AH462"/>
  <c r="B462" s="1"/>
  <c r="AG458"/>
  <c r="AF458"/>
  <c r="AE458"/>
  <c r="AC458"/>
  <c r="AB458"/>
  <c r="AA458"/>
  <c r="Z458"/>
  <c r="Y458"/>
  <c r="X458"/>
  <c r="W458"/>
  <c r="V458"/>
  <c r="U458"/>
  <c r="T458"/>
  <c r="S458"/>
  <c r="R458"/>
  <c r="Q458"/>
  <c r="P458"/>
  <c r="O458"/>
  <c r="N458"/>
  <c r="M458"/>
  <c r="L458"/>
  <c r="K458"/>
  <c r="J458"/>
  <c r="I458"/>
  <c r="H458"/>
  <c r="G458"/>
  <c r="F458"/>
  <c r="D458"/>
  <c r="C458"/>
  <c r="AH457"/>
  <c r="B457" s="1"/>
  <c r="AH456"/>
  <c r="B456" s="1"/>
  <c r="AH455"/>
  <c r="B455" s="1"/>
  <c r="AH454"/>
  <c r="B454" s="1"/>
  <c r="AH453"/>
  <c r="B453" s="1"/>
  <c r="AH452"/>
  <c r="B452" s="1"/>
  <c r="AH451"/>
  <c r="B451" s="1"/>
  <c r="AH450"/>
  <c r="B450" s="1"/>
  <c r="AH449"/>
  <c r="B449" s="1"/>
  <c r="AH448"/>
  <c r="B448" s="1"/>
  <c r="AH447"/>
  <c r="B447" s="1"/>
  <c r="AH446"/>
  <c r="AG442"/>
  <c r="AF442"/>
  <c r="AE442"/>
  <c r="AC442"/>
  <c r="AB442"/>
  <c r="AA442"/>
  <c r="Z442"/>
  <c r="Y442"/>
  <c r="X442"/>
  <c r="W442"/>
  <c r="V442"/>
  <c r="U442"/>
  <c r="T442"/>
  <c r="S442"/>
  <c r="R442"/>
  <c r="Q442"/>
  <c r="P442"/>
  <c r="O442"/>
  <c r="N442"/>
  <c r="M442"/>
  <c r="L442"/>
  <c r="K442"/>
  <c r="J442"/>
  <c r="I442"/>
  <c r="H442"/>
  <c r="G442"/>
  <c r="F442"/>
  <c r="D442"/>
  <c r="C442"/>
  <c r="AH441"/>
  <c r="B441" s="1"/>
  <c r="AH440"/>
  <c r="B440" s="1"/>
  <c r="AH439"/>
  <c r="B439" s="1"/>
  <c r="AH438"/>
  <c r="B438" s="1"/>
  <c r="AH437"/>
  <c r="B437" s="1"/>
  <c r="AH436"/>
  <c r="B436" s="1"/>
  <c r="AH435"/>
  <c r="B435" s="1"/>
  <c r="AH434"/>
  <c r="B434" s="1"/>
  <c r="AH433"/>
  <c r="B433" s="1"/>
  <c r="AH432"/>
  <c r="B432" s="1"/>
  <c r="AH431"/>
  <c r="B431" s="1"/>
  <c r="AH430"/>
  <c r="B430" s="1"/>
  <c r="AG426"/>
  <c r="AF426"/>
  <c r="AE426"/>
  <c r="AC426"/>
  <c r="AB426"/>
  <c r="AA426"/>
  <c r="Z426"/>
  <c r="Y426"/>
  <c r="X426"/>
  <c r="W426"/>
  <c r="V426"/>
  <c r="U426"/>
  <c r="T426"/>
  <c r="S426"/>
  <c r="R426"/>
  <c r="Q426"/>
  <c r="P426"/>
  <c r="O426"/>
  <c r="N426"/>
  <c r="M426"/>
  <c r="L426"/>
  <c r="K426"/>
  <c r="J426"/>
  <c r="I426"/>
  <c r="H426"/>
  <c r="G426"/>
  <c r="F426"/>
  <c r="D426"/>
  <c r="C426"/>
  <c r="AH425"/>
  <c r="B425" s="1"/>
  <c r="AH424"/>
  <c r="B424" s="1"/>
  <c r="AH423"/>
  <c r="B423" s="1"/>
  <c r="AH422"/>
  <c r="B422" s="1"/>
  <c r="AH421"/>
  <c r="B421" s="1"/>
  <c r="AH420"/>
  <c r="B420" s="1"/>
  <c r="AH419"/>
  <c r="B419" s="1"/>
  <c r="AH418"/>
  <c r="B418" s="1"/>
  <c r="AH417"/>
  <c r="B417" s="1"/>
  <c r="AH416"/>
  <c r="B416" s="1"/>
  <c r="AH415"/>
  <c r="B415" s="1"/>
  <c r="AH414"/>
  <c r="AG410"/>
  <c r="AF410"/>
  <c r="AE410"/>
  <c r="AC410"/>
  <c r="AB410"/>
  <c r="AA410"/>
  <c r="Z410"/>
  <c r="Y410"/>
  <c r="X410"/>
  <c r="W410"/>
  <c r="V410"/>
  <c r="U410"/>
  <c r="T410"/>
  <c r="S410"/>
  <c r="R410"/>
  <c r="Q410"/>
  <c r="P410"/>
  <c r="O410"/>
  <c r="N410"/>
  <c r="M410"/>
  <c r="L410"/>
  <c r="K410"/>
  <c r="J410"/>
  <c r="I410"/>
  <c r="H410"/>
  <c r="G410"/>
  <c r="F410"/>
  <c r="D410"/>
  <c r="C410"/>
  <c r="AH409"/>
  <c r="B409" s="1"/>
  <c r="AH408"/>
  <c r="B408" s="1"/>
  <c r="AH407"/>
  <c r="B407" s="1"/>
  <c r="AH406"/>
  <c r="B406" s="1"/>
  <c r="AH405"/>
  <c r="B405" s="1"/>
  <c r="AH404"/>
  <c r="B404" s="1"/>
  <c r="AH403"/>
  <c r="B403" s="1"/>
  <c r="AH402"/>
  <c r="B402" s="1"/>
  <c r="AH401"/>
  <c r="B401" s="1"/>
  <c r="AH400"/>
  <c r="B400" s="1"/>
  <c r="AH399"/>
  <c r="B399" s="1"/>
  <c r="AH398"/>
  <c r="B398" s="1"/>
  <c r="AG394"/>
  <c r="AF394"/>
  <c r="AE394"/>
  <c r="AC394"/>
  <c r="AB394"/>
  <c r="AA394"/>
  <c r="Z394"/>
  <c r="Y394"/>
  <c r="X394"/>
  <c r="W394"/>
  <c r="V394"/>
  <c r="U394"/>
  <c r="T394"/>
  <c r="S394"/>
  <c r="R394"/>
  <c r="Q394"/>
  <c r="P394"/>
  <c r="O394"/>
  <c r="N394"/>
  <c r="M394"/>
  <c r="L394"/>
  <c r="K394"/>
  <c r="J394"/>
  <c r="I394"/>
  <c r="H394"/>
  <c r="G394"/>
  <c r="F394"/>
  <c r="D394"/>
  <c r="C394"/>
  <c r="AH393"/>
  <c r="B393" s="1"/>
  <c r="AH392"/>
  <c r="B392" s="1"/>
  <c r="AH391"/>
  <c r="B391" s="1"/>
  <c r="AH390"/>
  <c r="B390" s="1"/>
  <c r="AH389"/>
  <c r="B389" s="1"/>
  <c r="AH388"/>
  <c r="B388" s="1"/>
  <c r="AH387"/>
  <c r="B387" s="1"/>
  <c r="AH386"/>
  <c r="B386" s="1"/>
  <c r="AH385"/>
  <c r="B385" s="1"/>
  <c r="AH384"/>
  <c r="B384" s="1"/>
  <c r="AH383"/>
  <c r="B383" s="1"/>
  <c r="AH382"/>
  <c r="B382" s="1"/>
  <c r="AG378"/>
  <c r="AF378"/>
  <c r="AE378"/>
  <c r="AC378"/>
  <c r="AB378"/>
  <c r="AA378"/>
  <c r="Z378"/>
  <c r="Y378"/>
  <c r="X378"/>
  <c r="W378"/>
  <c r="V378"/>
  <c r="U378"/>
  <c r="T378"/>
  <c r="S378"/>
  <c r="R378"/>
  <c r="Q378"/>
  <c r="P378"/>
  <c r="O378"/>
  <c r="N378"/>
  <c r="M378"/>
  <c r="L378"/>
  <c r="K378"/>
  <c r="J378"/>
  <c r="I378"/>
  <c r="H378"/>
  <c r="G378"/>
  <c r="F378"/>
  <c r="D378"/>
  <c r="C378"/>
  <c r="AH377"/>
  <c r="B377" s="1"/>
  <c r="AH376"/>
  <c r="B376" s="1"/>
  <c r="AH375"/>
  <c r="B375" s="1"/>
  <c r="AH374"/>
  <c r="B374" s="1"/>
  <c r="AH373"/>
  <c r="B373" s="1"/>
  <c r="AH372"/>
  <c r="B372" s="1"/>
  <c r="AH371"/>
  <c r="B371" s="1"/>
  <c r="AH370"/>
  <c r="B370" s="1"/>
  <c r="AH369"/>
  <c r="B369" s="1"/>
  <c r="AH368"/>
  <c r="B368" s="1"/>
  <c r="AH367"/>
  <c r="B367" s="1"/>
  <c r="AH366"/>
  <c r="AG361"/>
  <c r="AF361"/>
  <c r="AE361"/>
  <c r="AC361"/>
  <c r="AB361"/>
  <c r="AA361"/>
  <c r="Z361"/>
  <c r="Y361"/>
  <c r="X361"/>
  <c r="W361"/>
  <c r="V361"/>
  <c r="U361"/>
  <c r="T361"/>
  <c r="S361"/>
  <c r="R361"/>
  <c r="Q361"/>
  <c r="P361"/>
  <c r="O361"/>
  <c r="N361"/>
  <c r="M361"/>
  <c r="L361"/>
  <c r="K361"/>
  <c r="J361"/>
  <c r="I361"/>
  <c r="H361"/>
  <c r="G361"/>
  <c r="F361"/>
  <c r="D361"/>
  <c r="C361"/>
  <c r="AH360"/>
  <c r="B360" s="1"/>
  <c r="AH359"/>
  <c r="B359" s="1"/>
  <c r="AH358"/>
  <c r="B358" s="1"/>
  <c r="AH357"/>
  <c r="B357" s="1"/>
  <c r="AH356"/>
  <c r="B356" s="1"/>
  <c r="AH355"/>
  <c r="B355" s="1"/>
  <c r="AH354"/>
  <c r="B354" s="1"/>
  <c r="AH353"/>
  <c r="B353" s="1"/>
  <c r="AH352"/>
  <c r="B352" s="1"/>
  <c r="AH351"/>
  <c r="B351" s="1"/>
  <c r="AH350"/>
  <c r="B350" s="1"/>
  <c r="AH349"/>
  <c r="AG345"/>
  <c r="AF345"/>
  <c r="AE345"/>
  <c r="AC345"/>
  <c r="AB345"/>
  <c r="AA345"/>
  <c r="Z345"/>
  <c r="Y345"/>
  <c r="X345"/>
  <c r="W345"/>
  <c r="V345"/>
  <c r="U345"/>
  <c r="T345"/>
  <c r="S345"/>
  <c r="R345"/>
  <c r="Q345"/>
  <c r="P345"/>
  <c r="O345"/>
  <c r="N345"/>
  <c r="M345"/>
  <c r="L345"/>
  <c r="K345"/>
  <c r="J345"/>
  <c r="I345"/>
  <c r="H345"/>
  <c r="G345"/>
  <c r="F345"/>
  <c r="D345"/>
  <c r="C345"/>
  <c r="AH344"/>
  <c r="B344" s="1"/>
  <c r="AH343"/>
  <c r="B343" s="1"/>
  <c r="AH342"/>
  <c r="B342" s="1"/>
  <c r="AH341"/>
  <c r="B341" s="1"/>
  <c r="AH340"/>
  <c r="B340" s="1"/>
  <c r="AH339"/>
  <c r="B339" s="1"/>
  <c r="AH338"/>
  <c r="B338" s="1"/>
  <c r="AH337"/>
  <c r="B337" s="1"/>
  <c r="AH336"/>
  <c r="B336" s="1"/>
  <c r="AH335"/>
  <c r="B335" s="1"/>
  <c r="AH334"/>
  <c r="B334" s="1"/>
  <c r="AH333"/>
  <c r="AG329"/>
  <c r="AF329"/>
  <c r="AE329"/>
  <c r="AC329"/>
  <c r="AB329"/>
  <c r="AA329"/>
  <c r="Z329"/>
  <c r="Y329"/>
  <c r="X329"/>
  <c r="W329"/>
  <c r="V329"/>
  <c r="U329"/>
  <c r="T329"/>
  <c r="S329"/>
  <c r="R329"/>
  <c r="Q329"/>
  <c r="P329"/>
  <c r="O329"/>
  <c r="N329"/>
  <c r="M329"/>
  <c r="L329"/>
  <c r="K329"/>
  <c r="J329"/>
  <c r="I329"/>
  <c r="H329"/>
  <c r="G329"/>
  <c r="F329"/>
  <c r="D329"/>
  <c r="C329"/>
  <c r="AH328"/>
  <c r="B328" s="1"/>
  <c r="AH327"/>
  <c r="B327" s="1"/>
  <c r="AH326"/>
  <c r="B326" s="1"/>
  <c r="AH325"/>
  <c r="B325" s="1"/>
  <c r="AH324"/>
  <c r="B324" s="1"/>
  <c r="AH323"/>
  <c r="B323" s="1"/>
  <c r="AH322"/>
  <c r="B322" s="1"/>
  <c r="AH321"/>
  <c r="B321" s="1"/>
  <c r="AH320"/>
  <c r="B320" s="1"/>
  <c r="AH319"/>
  <c r="B319" s="1"/>
  <c r="AH318"/>
  <c r="B318" s="1"/>
  <c r="AH317"/>
  <c r="B317" s="1"/>
  <c r="AG313"/>
  <c r="AF313"/>
  <c r="AE313"/>
  <c r="AC313"/>
  <c r="AB313"/>
  <c r="AA313"/>
  <c r="Z313"/>
  <c r="Y313"/>
  <c r="X313"/>
  <c r="W313"/>
  <c r="V313"/>
  <c r="U313"/>
  <c r="T313"/>
  <c r="S313"/>
  <c r="R313"/>
  <c r="Q313"/>
  <c r="P313"/>
  <c r="O313"/>
  <c r="N313"/>
  <c r="M313"/>
  <c r="L313"/>
  <c r="K313"/>
  <c r="J313"/>
  <c r="I313"/>
  <c r="H313"/>
  <c r="G313"/>
  <c r="F313"/>
  <c r="D313"/>
  <c r="C313"/>
  <c r="AH312"/>
  <c r="B312" s="1"/>
  <c r="AH311"/>
  <c r="B311" s="1"/>
  <c r="AH310"/>
  <c r="B310" s="1"/>
  <c r="AH309"/>
  <c r="B309" s="1"/>
  <c r="AH308"/>
  <c r="B308" s="1"/>
  <c r="AH307"/>
  <c r="B307" s="1"/>
  <c r="AH306"/>
  <c r="B306" s="1"/>
  <c r="AH305"/>
  <c r="B305" s="1"/>
  <c r="AH304"/>
  <c r="B304" s="1"/>
  <c r="AH303"/>
  <c r="B303" s="1"/>
  <c r="AH302"/>
  <c r="B302" s="1"/>
  <c r="AH301"/>
  <c r="B301" s="1"/>
  <c r="AG297"/>
  <c r="AF297"/>
  <c r="AE297"/>
  <c r="AC297"/>
  <c r="AB297"/>
  <c r="AA297"/>
  <c r="Z297"/>
  <c r="Y297"/>
  <c r="X297"/>
  <c r="W297"/>
  <c r="V297"/>
  <c r="U297"/>
  <c r="T297"/>
  <c r="S297"/>
  <c r="R297"/>
  <c r="Q297"/>
  <c r="P297"/>
  <c r="O297"/>
  <c r="N297"/>
  <c r="M297"/>
  <c r="L297"/>
  <c r="K297"/>
  <c r="J297"/>
  <c r="I297"/>
  <c r="H297"/>
  <c r="G297"/>
  <c r="F297"/>
  <c r="D297"/>
  <c r="C297"/>
  <c r="AH296"/>
  <c r="B296" s="1"/>
  <c r="AH295"/>
  <c r="B295" s="1"/>
  <c r="AH294"/>
  <c r="B294" s="1"/>
  <c r="AH293"/>
  <c r="B293" s="1"/>
  <c r="AH292"/>
  <c r="B292" s="1"/>
  <c r="AH291"/>
  <c r="B291" s="1"/>
  <c r="AH290"/>
  <c r="B290" s="1"/>
  <c r="AH289"/>
  <c r="B289" s="1"/>
  <c r="AH288"/>
  <c r="B288" s="1"/>
  <c r="AH287"/>
  <c r="B287" s="1"/>
  <c r="AH286"/>
  <c r="B286" s="1"/>
  <c r="AH285"/>
  <c r="AG281"/>
  <c r="AF281"/>
  <c r="AE281"/>
  <c r="AC281"/>
  <c r="AB281"/>
  <c r="AA281"/>
  <c r="Z281"/>
  <c r="Y281"/>
  <c r="X281"/>
  <c r="W281"/>
  <c r="V281"/>
  <c r="U281"/>
  <c r="T281"/>
  <c r="S281"/>
  <c r="R281"/>
  <c r="Q281"/>
  <c r="P281"/>
  <c r="O281"/>
  <c r="N281"/>
  <c r="M281"/>
  <c r="L281"/>
  <c r="K281"/>
  <c r="J281"/>
  <c r="I281"/>
  <c r="H281"/>
  <c r="G281"/>
  <c r="F281"/>
  <c r="D281"/>
  <c r="C281"/>
  <c r="AH280"/>
  <c r="B280" s="1"/>
  <c r="AH279"/>
  <c r="B279" s="1"/>
  <c r="AH278"/>
  <c r="B278" s="1"/>
  <c r="AH277"/>
  <c r="B277" s="1"/>
  <c r="AH276"/>
  <c r="B276" s="1"/>
  <c r="AH275"/>
  <c r="B275" s="1"/>
  <c r="AH274"/>
  <c r="B274" s="1"/>
  <c r="AH273"/>
  <c r="B273" s="1"/>
  <c r="AH272"/>
  <c r="B272" s="1"/>
  <c r="AH271"/>
  <c r="B271" s="1"/>
  <c r="AH270"/>
  <c r="B270" s="1"/>
  <c r="AH269"/>
  <c r="B269" s="1"/>
  <c r="AG265"/>
  <c r="AF265"/>
  <c r="AE265"/>
  <c r="AC265"/>
  <c r="AB265"/>
  <c r="AA265"/>
  <c r="Z265"/>
  <c r="Y265"/>
  <c r="X265"/>
  <c r="W265"/>
  <c r="V265"/>
  <c r="U265"/>
  <c r="T265"/>
  <c r="S265"/>
  <c r="R265"/>
  <c r="Q265"/>
  <c r="P265"/>
  <c r="O265"/>
  <c r="N265"/>
  <c r="M265"/>
  <c r="L265"/>
  <c r="K265"/>
  <c r="J265"/>
  <c r="I265"/>
  <c r="H265"/>
  <c r="G265"/>
  <c r="F265"/>
  <c r="D265"/>
  <c r="C265"/>
  <c r="AH264"/>
  <c r="B264" s="1"/>
  <c r="AH263"/>
  <c r="B263" s="1"/>
  <c r="AH262"/>
  <c r="B262" s="1"/>
  <c r="AH261"/>
  <c r="B261" s="1"/>
  <c r="AH260"/>
  <c r="B260" s="1"/>
  <c r="AH259"/>
  <c r="B259" s="1"/>
  <c r="AH258"/>
  <c r="B258" s="1"/>
  <c r="AH257"/>
  <c r="B257" s="1"/>
  <c r="AH256"/>
  <c r="B256" s="1"/>
  <c r="AH255"/>
  <c r="B255" s="1"/>
  <c r="AH254"/>
  <c r="B254" s="1"/>
  <c r="AH253"/>
  <c r="B253" s="1"/>
  <c r="AG249"/>
  <c r="AF249"/>
  <c r="AE249"/>
  <c r="AC249"/>
  <c r="AB249"/>
  <c r="AA249"/>
  <c r="Z249"/>
  <c r="Y249"/>
  <c r="X249"/>
  <c r="W249"/>
  <c r="V249"/>
  <c r="U249"/>
  <c r="T249"/>
  <c r="S249"/>
  <c r="R249"/>
  <c r="Q249"/>
  <c r="P249"/>
  <c r="O249"/>
  <c r="N249"/>
  <c r="M249"/>
  <c r="L249"/>
  <c r="K249"/>
  <c r="J249"/>
  <c r="I249"/>
  <c r="H249"/>
  <c r="G249"/>
  <c r="F249"/>
  <c r="D249"/>
  <c r="C249"/>
  <c r="AH248"/>
  <c r="B248" s="1"/>
  <c r="AH247"/>
  <c r="B247" s="1"/>
  <c r="AH246"/>
  <c r="B246" s="1"/>
  <c r="AH245"/>
  <c r="B245" s="1"/>
  <c r="AH244"/>
  <c r="B244" s="1"/>
  <c r="AH243"/>
  <c r="B243" s="1"/>
  <c r="AH242"/>
  <c r="B242" s="1"/>
  <c r="AH241"/>
  <c r="B241" s="1"/>
  <c r="AH240"/>
  <c r="B240" s="1"/>
  <c r="AH239"/>
  <c r="B239" s="1"/>
  <c r="AH238"/>
  <c r="B238" s="1"/>
  <c r="AH237"/>
  <c r="B237" s="1"/>
  <c r="AG233"/>
  <c r="AF233"/>
  <c r="AE233"/>
  <c r="AC233"/>
  <c r="AB233"/>
  <c r="AA233"/>
  <c r="Z233"/>
  <c r="Y233"/>
  <c r="X233"/>
  <c r="W233"/>
  <c r="V233"/>
  <c r="U233"/>
  <c r="T233"/>
  <c r="S233"/>
  <c r="R233"/>
  <c r="Q233"/>
  <c r="P233"/>
  <c r="O233"/>
  <c r="N233"/>
  <c r="M233"/>
  <c r="L233"/>
  <c r="K233"/>
  <c r="J233"/>
  <c r="I233"/>
  <c r="H233"/>
  <c r="G233"/>
  <c r="F233"/>
  <c r="D233"/>
  <c r="C233"/>
  <c r="AH232"/>
  <c r="B232" s="1"/>
  <c r="AH231"/>
  <c r="B231" s="1"/>
  <c r="AH230"/>
  <c r="B230" s="1"/>
  <c r="AH229"/>
  <c r="B229" s="1"/>
  <c r="AH228"/>
  <c r="B228" s="1"/>
  <c r="AH227"/>
  <c r="B227" s="1"/>
  <c r="AH226"/>
  <c r="B226" s="1"/>
  <c r="AH225"/>
  <c r="B225" s="1"/>
  <c r="AH224"/>
  <c r="B224" s="1"/>
  <c r="AH223"/>
  <c r="B223" s="1"/>
  <c r="AH222"/>
  <c r="B222" s="1"/>
  <c r="AH221"/>
  <c r="AG217"/>
  <c r="AF217"/>
  <c r="AE217"/>
  <c r="AC217"/>
  <c r="AB217"/>
  <c r="AA217"/>
  <c r="Z217"/>
  <c r="Y217"/>
  <c r="X217"/>
  <c r="W217"/>
  <c r="V217"/>
  <c r="U217"/>
  <c r="T217"/>
  <c r="S217"/>
  <c r="R217"/>
  <c r="Q217"/>
  <c r="P217"/>
  <c r="O217"/>
  <c r="N217"/>
  <c r="M217"/>
  <c r="L217"/>
  <c r="K217"/>
  <c r="J217"/>
  <c r="I217"/>
  <c r="H217"/>
  <c r="G217"/>
  <c r="F217"/>
  <c r="D217"/>
  <c r="C217"/>
  <c r="AH216"/>
  <c r="B216" s="1"/>
  <c r="AH215"/>
  <c r="B215" s="1"/>
  <c r="AH214"/>
  <c r="B214" s="1"/>
  <c r="AH213"/>
  <c r="B213" s="1"/>
  <c r="AH212"/>
  <c r="B212" s="1"/>
  <c r="AH211"/>
  <c r="B211" s="1"/>
  <c r="AH210"/>
  <c r="B210" s="1"/>
  <c r="AH209"/>
  <c r="B209" s="1"/>
  <c r="AH208"/>
  <c r="B208" s="1"/>
  <c r="AH207"/>
  <c r="B207" s="1"/>
  <c r="AH206"/>
  <c r="B206" s="1"/>
  <c r="AH205"/>
  <c r="B205" s="1"/>
  <c r="AG201"/>
  <c r="AF201"/>
  <c r="AE201"/>
  <c r="AC201"/>
  <c r="AB201"/>
  <c r="AA201"/>
  <c r="Z201"/>
  <c r="Y201"/>
  <c r="X201"/>
  <c r="W201"/>
  <c r="V201"/>
  <c r="U201"/>
  <c r="T201"/>
  <c r="S201"/>
  <c r="R201"/>
  <c r="Q201"/>
  <c r="P201"/>
  <c r="O201"/>
  <c r="N201"/>
  <c r="M201"/>
  <c r="L201"/>
  <c r="K201"/>
  <c r="J201"/>
  <c r="I201"/>
  <c r="H201"/>
  <c r="G201"/>
  <c r="F201"/>
  <c r="D201"/>
  <c r="C201"/>
  <c r="AH200"/>
  <c r="B200" s="1"/>
  <c r="AH199"/>
  <c r="B199" s="1"/>
  <c r="AH198"/>
  <c r="B198" s="1"/>
  <c r="AH197"/>
  <c r="B197" s="1"/>
  <c r="AH196"/>
  <c r="B196" s="1"/>
  <c r="AH195"/>
  <c r="B195" s="1"/>
  <c r="AH194"/>
  <c r="B194" s="1"/>
  <c r="AH193"/>
  <c r="B193" s="1"/>
  <c r="AH192"/>
  <c r="B192" s="1"/>
  <c r="AH191"/>
  <c r="B191" s="1"/>
  <c r="AH190"/>
  <c r="B190" s="1"/>
  <c r="AH189"/>
  <c r="B189" s="1"/>
  <c r="AG185"/>
  <c r="AF185"/>
  <c r="AE185"/>
  <c r="AC185"/>
  <c r="AB185"/>
  <c r="AA185"/>
  <c r="Z185"/>
  <c r="Y185"/>
  <c r="X185"/>
  <c r="W185"/>
  <c r="V185"/>
  <c r="U185"/>
  <c r="T185"/>
  <c r="S185"/>
  <c r="R185"/>
  <c r="Q185"/>
  <c r="P185"/>
  <c r="O185"/>
  <c r="N185"/>
  <c r="M185"/>
  <c r="L185"/>
  <c r="K185"/>
  <c r="J185"/>
  <c r="I185"/>
  <c r="H185"/>
  <c r="G185"/>
  <c r="F185"/>
  <c r="D185"/>
  <c r="C185"/>
  <c r="AH184"/>
  <c r="B184" s="1"/>
  <c r="AH183"/>
  <c r="B183" s="1"/>
  <c r="AH182"/>
  <c r="B182" s="1"/>
  <c r="AH181"/>
  <c r="B181" s="1"/>
  <c r="AH180"/>
  <c r="B180" s="1"/>
  <c r="AH179"/>
  <c r="B179" s="1"/>
  <c r="AH178"/>
  <c r="B178" s="1"/>
  <c r="AH177"/>
  <c r="B177" s="1"/>
  <c r="AH176"/>
  <c r="B176" s="1"/>
  <c r="AH175"/>
  <c r="B175" s="1"/>
  <c r="AH174"/>
  <c r="B174" s="1"/>
  <c r="AH173"/>
  <c r="B173" s="1"/>
  <c r="AG169"/>
  <c r="AF169"/>
  <c r="AE169"/>
  <c r="AC169"/>
  <c r="AB169"/>
  <c r="AA169"/>
  <c r="Z169"/>
  <c r="Y169"/>
  <c r="X169"/>
  <c r="W169"/>
  <c r="V169"/>
  <c r="U169"/>
  <c r="T169"/>
  <c r="S169"/>
  <c r="R169"/>
  <c r="Q169"/>
  <c r="P169"/>
  <c r="O169"/>
  <c r="N169"/>
  <c r="M169"/>
  <c r="L169"/>
  <c r="K169"/>
  <c r="J169"/>
  <c r="I169"/>
  <c r="H169"/>
  <c r="G169"/>
  <c r="F169"/>
  <c r="D169"/>
  <c r="C169"/>
  <c r="AH168"/>
  <c r="B168" s="1"/>
  <c r="AH167"/>
  <c r="B167" s="1"/>
  <c r="AH166"/>
  <c r="B166" s="1"/>
  <c r="AH165"/>
  <c r="B165" s="1"/>
  <c r="AH164"/>
  <c r="B164" s="1"/>
  <c r="AH163"/>
  <c r="B163" s="1"/>
  <c r="AH162"/>
  <c r="B162" s="1"/>
  <c r="AH161"/>
  <c r="B161" s="1"/>
  <c r="AH160"/>
  <c r="B160" s="1"/>
  <c r="AH159"/>
  <c r="B159" s="1"/>
  <c r="AH158"/>
  <c r="B158" s="1"/>
  <c r="AH157"/>
  <c r="AG153"/>
  <c r="AF153"/>
  <c r="AE153"/>
  <c r="AC153"/>
  <c r="AB153"/>
  <c r="AA153"/>
  <c r="Z153"/>
  <c r="Y153"/>
  <c r="X153"/>
  <c r="W153"/>
  <c r="V153"/>
  <c r="U153"/>
  <c r="T153"/>
  <c r="S153"/>
  <c r="R153"/>
  <c r="Q153"/>
  <c r="P153"/>
  <c r="O153"/>
  <c r="N153"/>
  <c r="M153"/>
  <c r="L153"/>
  <c r="K153"/>
  <c r="J153"/>
  <c r="I153"/>
  <c r="H153"/>
  <c r="G153"/>
  <c r="F153"/>
  <c r="D153"/>
  <c r="C153"/>
  <c r="AH152"/>
  <c r="B152" s="1"/>
  <c r="AH151"/>
  <c r="B151" s="1"/>
  <c r="AH150"/>
  <c r="B150" s="1"/>
  <c r="AH149"/>
  <c r="B149" s="1"/>
  <c r="AH148"/>
  <c r="B148" s="1"/>
  <c r="AH147"/>
  <c r="B147" s="1"/>
  <c r="AH146"/>
  <c r="B146" s="1"/>
  <c r="AH145"/>
  <c r="B145" s="1"/>
  <c r="AH144"/>
  <c r="B144" s="1"/>
  <c r="AH143"/>
  <c r="B143" s="1"/>
  <c r="AH142"/>
  <c r="B142" s="1"/>
  <c r="AH141"/>
  <c r="B141" s="1"/>
  <c r="AG137"/>
  <c r="AF137"/>
  <c r="AE137"/>
  <c r="AC137"/>
  <c r="AB137"/>
  <c r="AA137"/>
  <c r="Z137"/>
  <c r="Y137"/>
  <c r="X137"/>
  <c r="W137"/>
  <c r="V137"/>
  <c r="U137"/>
  <c r="T137"/>
  <c r="S137"/>
  <c r="R137"/>
  <c r="Q137"/>
  <c r="P137"/>
  <c r="O137"/>
  <c r="N137"/>
  <c r="M137"/>
  <c r="L137"/>
  <c r="K137"/>
  <c r="J137"/>
  <c r="I137"/>
  <c r="H137"/>
  <c r="G137"/>
  <c r="F137"/>
  <c r="D137"/>
  <c r="C137"/>
  <c r="AH136"/>
  <c r="B136" s="1"/>
  <c r="AH135"/>
  <c r="B135" s="1"/>
  <c r="AH134"/>
  <c r="B134" s="1"/>
  <c r="AH133"/>
  <c r="B133" s="1"/>
  <c r="AH132"/>
  <c r="B132" s="1"/>
  <c r="AH131"/>
  <c r="B131" s="1"/>
  <c r="AH130"/>
  <c r="B130" s="1"/>
  <c r="AH129"/>
  <c r="B129" s="1"/>
  <c r="AH128"/>
  <c r="B128" s="1"/>
  <c r="AH127"/>
  <c r="B127" s="1"/>
  <c r="AH126"/>
  <c r="B126" s="1"/>
  <c r="AH125"/>
  <c r="B125" s="1"/>
  <c r="AG121"/>
  <c r="AF121"/>
  <c r="AE121"/>
  <c r="AC121"/>
  <c r="AB121"/>
  <c r="AA121"/>
  <c r="Z121"/>
  <c r="Y121"/>
  <c r="X121"/>
  <c r="W121"/>
  <c r="V121"/>
  <c r="U121"/>
  <c r="T121"/>
  <c r="S121"/>
  <c r="R121"/>
  <c r="Q121"/>
  <c r="P121"/>
  <c r="O121"/>
  <c r="N121"/>
  <c r="M121"/>
  <c r="L121"/>
  <c r="K121"/>
  <c r="J121"/>
  <c r="I121"/>
  <c r="H121"/>
  <c r="G121"/>
  <c r="F121"/>
  <c r="D121"/>
  <c r="C121"/>
  <c r="AH120"/>
  <c r="B120" s="1"/>
  <c r="AH119"/>
  <c r="B119" s="1"/>
  <c r="AH118"/>
  <c r="B118" s="1"/>
  <c r="AH117"/>
  <c r="B117" s="1"/>
  <c r="AH116"/>
  <c r="B116" s="1"/>
  <c r="AH115"/>
  <c r="B115" s="1"/>
  <c r="AH114"/>
  <c r="B114" s="1"/>
  <c r="AH113"/>
  <c r="B113" s="1"/>
  <c r="AH112"/>
  <c r="B112" s="1"/>
  <c r="AH111"/>
  <c r="B111" s="1"/>
  <c r="AH110"/>
  <c r="B110" s="1"/>
  <c r="AH109"/>
  <c r="AG105"/>
  <c r="AF105"/>
  <c r="AE105"/>
  <c r="AC105"/>
  <c r="AB105"/>
  <c r="AA105"/>
  <c r="Z105"/>
  <c r="Y105"/>
  <c r="X105"/>
  <c r="W105"/>
  <c r="V105"/>
  <c r="U105"/>
  <c r="T105"/>
  <c r="S105"/>
  <c r="R105"/>
  <c r="Q105"/>
  <c r="P105"/>
  <c r="O105"/>
  <c r="N105"/>
  <c r="M105"/>
  <c r="L105"/>
  <c r="K105"/>
  <c r="J105"/>
  <c r="I105"/>
  <c r="H105"/>
  <c r="G105"/>
  <c r="F105"/>
  <c r="D105"/>
  <c r="C105"/>
  <c r="AH104"/>
  <c r="B104" s="1"/>
  <c r="AH103"/>
  <c r="B103" s="1"/>
  <c r="AH102"/>
  <c r="B102" s="1"/>
  <c r="AH101"/>
  <c r="B101" s="1"/>
  <c r="AH100"/>
  <c r="B100" s="1"/>
  <c r="AH99"/>
  <c r="B99" s="1"/>
  <c r="AH98"/>
  <c r="B98" s="1"/>
  <c r="AH97"/>
  <c r="B97" s="1"/>
  <c r="AH96"/>
  <c r="B96" s="1"/>
  <c r="AH95"/>
  <c r="B95" s="1"/>
  <c r="AH94"/>
  <c r="B94" s="1"/>
  <c r="AH93"/>
  <c r="AG87"/>
  <c r="AF87"/>
  <c r="AE87"/>
  <c r="AC87"/>
  <c r="AB87"/>
  <c r="AA87"/>
  <c r="Z87"/>
  <c r="Y87"/>
  <c r="X87"/>
  <c r="W87"/>
  <c r="V87"/>
  <c r="U87"/>
  <c r="T87"/>
  <c r="S87"/>
  <c r="R87"/>
  <c r="Q87"/>
  <c r="P87"/>
  <c r="O87"/>
  <c r="N87"/>
  <c r="M87"/>
  <c r="L87"/>
  <c r="K87"/>
  <c r="J87"/>
  <c r="I87"/>
  <c r="H87"/>
  <c r="G87"/>
  <c r="F87"/>
  <c r="D87"/>
  <c r="C87"/>
  <c r="AH86"/>
  <c r="B86" s="1"/>
  <c r="AH85"/>
  <c r="B85" s="1"/>
  <c r="AH84"/>
  <c r="B84" s="1"/>
  <c r="AH83"/>
  <c r="B83" s="1"/>
  <c r="AH82"/>
  <c r="B82" s="1"/>
  <c r="AH81"/>
  <c r="B81" s="1"/>
  <c r="AH80"/>
  <c r="B80" s="1"/>
  <c r="AH79"/>
  <c r="B79" s="1"/>
  <c r="AH78"/>
  <c r="B78" s="1"/>
  <c r="AH77"/>
  <c r="B77" s="1"/>
  <c r="AH76"/>
  <c r="B76" s="1"/>
  <c r="AH75"/>
  <c r="B75" s="1"/>
  <c r="AG71"/>
  <c r="AF71"/>
  <c r="AE71"/>
  <c r="AC71"/>
  <c r="AB71"/>
  <c r="AA71"/>
  <c r="Z71"/>
  <c r="Y71"/>
  <c r="X71"/>
  <c r="W71"/>
  <c r="V71"/>
  <c r="U71"/>
  <c r="T71"/>
  <c r="S71"/>
  <c r="R71"/>
  <c r="Q71"/>
  <c r="P71"/>
  <c r="O71"/>
  <c r="N71"/>
  <c r="M71"/>
  <c r="L71"/>
  <c r="K71"/>
  <c r="J71"/>
  <c r="I71"/>
  <c r="H71"/>
  <c r="G71"/>
  <c r="F71"/>
  <c r="D71"/>
  <c r="C71"/>
  <c r="AH70"/>
  <c r="B70" s="1"/>
  <c r="AH69"/>
  <c r="B69" s="1"/>
  <c r="AH68"/>
  <c r="B68" s="1"/>
  <c r="AH67"/>
  <c r="B67" s="1"/>
  <c r="AH66"/>
  <c r="B66" s="1"/>
  <c r="AH65"/>
  <c r="B65" s="1"/>
  <c r="AH64"/>
  <c r="B64" s="1"/>
  <c r="AH63"/>
  <c r="B63" s="1"/>
  <c r="AH62"/>
  <c r="B62" s="1"/>
  <c r="AH61"/>
  <c r="B61" s="1"/>
  <c r="AH60"/>
  <c r="B60" s="1"/>
  <c r="AH59"/>
  <c r="B59" s="1"/>
  <c r="C53"/>
  <c r="D53"/>
  <c r="E53"/>
  <c r="F53"/>
  <c r="G53"/>
  <c r="H53"/>
  <c r="I53"/>
  <c r="J53"/>
  <c r="K53"/>
  <c r="L53"/>
  <c r="M53"/>
  <c r="N53"/>
  <c r="O53"/>
  <c r="P53"/>
  <c r="Q53"/>
  <c r="R53"/>
  <c r="S53"/>
  <c r="T53"/>
  <c r="U53"/>
  <c r="V53"/>
  <c r="W53"/>
  <c r="X53"/>
  <c r="Y53"/>
  <c r="Z53"/>
  <c r="AA53"/>
  <c r="AB53"/>
  <c r="AC53"/>
  <c r="AD53"/>
  <c r="AE53"/>
  <c r="AF53"/>
  <c r="AG53"/>
  <c r="AH45"/>
  <c r="B45" s="1"/>
  <c r="AH52"/>
  <c r="B52" s="1"/>
  <c r="AH51"/>
  <c r="B51" s="1"/>
  <c r="AH50"/>
  <c r="B50" s="1"/>
  <c r="AH49"/>
  <c r="B49" s="1"/>
  <c r="AH48"/>
  <c r="B48" s="1"/>
  <c r="AH47"/>
  <c r="B47" s="1"/>
  <c r="AH46"/>
  <c r="B46" s="1"/>
  <c r="AH44"/>
  <c r="B44" s="1"/>
  <c r="AH43"/>
  <c r="B43" s="1"/>
  <c r="AH42"/>
  <c r="B42" s="1"/>
  <c r="AH41"/>
  <c r="B41" s="1"/>
  <c r="C37"/>
  <c r="D37"/>
  <c r="E37"/>
  <c r="F37"/>
  <c r="G37"/>
  <c r="H37"/>
  <c r="I37"/>
  <c r="J37"/>
  <c r="K37"/>
  <c r="L37"/>
  <c r="M37"/>
  <c r="N37"/>
  <c r="O37"/>
  <c r="P37"/>
  <c r="Q37"/>
  <c r="R37"/>
  <c r="S37"/>
  <c r="T37"/>
  <c r="U37"/>
  <c r="V37"/>
  <c r="W37"/>
  <c r="X37"/>
  <c r="Y37"/>
  <c r="Z37"/>
  <c r="AA37"/>
  <c r="AB37"/>
  <c r="AC37"/>
  <c r="AD37"/>
  <c r="AE37"/>
  <c r="AF37"/>
  <c r="AG37"/>
  <c r="AH36"/>
  <c r="B36" s="1"/>
  <c r="AH35"/>
  <c r="B35" s="1"/>
  <c r="AH34"/>
  <c r="B34" s="1"/>
  <c r="AH33"/>
  <c r="B33" s="1"/>
  <c r="AH32"/>
  <c r="B32" s="1"/>
  <c r="AH31"/>
  <c r="B31" s="1"/>
  <c r="AH30"/>
  <c r="B30" s="1"/>
  <c r="AH28"/>
  <c r="B28" s="1"/>
  <c r="AH27"/>
  <c r="B27" s="1"/>
  <c r="AH26"/>
  <c r="B26" s="1"/>
  <c r="AH25"/>
  <c r="B25" s="1"/>
  <c r="AG21"/>
  <c r="AF21"/>
  <c r="AE21"/>
  <c r="AD21"/>
  <c r="AC21"/>
  <c r="AB21"/>
  <c r="AA21"/>
  <c r="Z21"/>
  <c r="Y21"/>
  <c r="X21"/>
  <c r="W21"/>
  <c r="V21"/>
  <c r="U21"/>
  <c r="T21"/>
  <c r="S21"/>
  <c r="R21"/>
  <c r="Q21"/>
  <c r="P21"/>
  <c r="O21"/>
  <c r="N21"/>
  <c r="M21"/>
  <c r="L21"/>
  <c r="K21"/>
  <c r="J21"/>
  <c r="I21"/>
  <c r="H21"/>
  <c r="G21"/>
  <c r="F21"/>
  <c r="E21"/>
  <c r="D21"/>
  <c r="C21"/>
  <c r="AH20"/>
  <c r="B20" s="1"/>
  <c r="AH19"/>
  <c r="B19" s="1"/>
  <c r="AH18"/>
  <c r="B18" s="1"/>
  <c r="AH17"/>
  <c r="B17" s="1"/>
  <c r="AH16"/>
  <c r="B16" s="1"/>
  <c r="AH15"/>
  <c r="B15" s="1"/>
  <c r="AH14"/>
  <c r="B14" s="1"/>
  <c r="AH13"/>
  <c r="B13" s="1"/>
  <c r="AH12"/>
  <c r="B12" s="1"/>
  <c r="AH11"/>
  <c r="B11" s="1"/>
  <c r="AH10"/>
  <c r="B10" s="1"/>
  <c r="AH9"/>
  <c r="B9" s="1"/>
  <c r="C103" i="11565"/>
  <c r="O88"/>
  <c r="N88"/>
  <c r="D88"/>
  <c r="C88"/>
  <c r="P87"/>
  <c r="E87"/>
  <c r="P86"/>
  <c r="E86"/>
  <c r="P85"/>
  <c r="E85"/>
  <c r="P84"/>
  <c r="E84"/>
  <c r="P83"/>
  <c r="E83"/>
  <c r="P82"/>
  <c r="E82"/>
  <c r="P81"/>
  <c r="E81"/>
  <c r="P80"/>
  <c r="E80"/>
  <c r="P79"/>
  <c r="E79"/>
  <c r="P78"/>
  <c r="E78"/>
  <c r="P77"/>
  <c r="E77"/>
  <c r="P76"/>
  <c r="E76"/>
  <c r="D71"/>
  <c r="C71"/>
  <c r="O51"/>
  <c r="M51"/>
  <c r="D51"/>
  <c r="C51"/>
  <c r="E50"/>
  <c r="E49"/>
  <c r="E48"/>
  <c r="E47"/>
  <c r="E46"/>
  <c r="E45"/>
  <c r="E44"/>
  <c r="E43"/>
  <c r="E42"/>
  <c r="E41"/>
  <c r="E40"/>
  <c r="E39"/>
  <c r="E38"/>
  <c r="E37"/>
  <c r="E36"/>
  <c r="E35"/>
  <c r="E34"/>
  <c r="D29"/>
  <c r="C29"/>
  <c r="C24"/>
  <c r="E22"/>
  <c r="D16"/>
  <c r="C16"/>
  <c r="C10"/>
  <c r="E9"/>
  <c r="E8"/>
  <c r="E7"/>
  <c r="AG114" i="514"/>
  <c r="AF114"/>
  <c r="AE114"/>
  <c r="AD114"/>
  <c r="AC114"/>
  <c r="AB114"/>
  <c r="AA114"/>
  <c r="Z114"/>
  <c r="Y114"/>
  <c r="X114"/>
  <c r="W114"/>
  <c r="V114"/>
  <c r="U114"/>
  <c r="T114"/>
  <c r="S114"/>
  <c r="R114"/>
  <c r="Q114"/>
  <c r="P114"/>
  <c r="O114"/>
  <c r="N114"/>
  <c r="M114"/>
  <c r="L114"/>
  <c r="K114"/>
  <c r="J114"/>
  <c r="I114"/>
  <c r="H114"/>
  <c r="G114"/>
  <c r="F114"/>
  <c r="E114"/>
  <c r="D114"/>
  <c r="C114"/>
  <c r="AH113"/>
  <c r="B113" s="1"/>
  <c r="AH112"/>
  <c r="B112" s="1"/>
  <c r="AH111"/>
  <c r="B111" s="1"/>
  <c r="AH110"/>
  <c r="B110" s="1"/>
  <c r="AH109"/>
  <c r="B109" s="1"/>
  <c r="AH108"/>
  <c r="B108" s="1"/>
  <c r="AH107"/>
  <c r="B107" s="1"/>
  <c r="AH106"/>
  <c r="B106" s="1"/>
  <c r="AH105"/>
  <c r="B105" s="1"/>
  <c r="AH104"/>
  <c r="B104" s="1"/>
  <c r="AH103"/>
  <c r="B103" s="1"/>
  <c r="AH102"/>
  <c r="AG98"/>
  <c r="AF98"/>
  <c r="AE98"/>
  <c r="AD98"/>
  <c r="AC98"/>
  <c r="AB98"/>
  <c r="AA98"/>
  <c r="Z98"/>
  <c r="Y98"/>
  <c r="X98"/>
  <c r="W98"/>
  <c r="V98"/>
  <c r="U98"/>
  <c r="T98"/>
  <c r="S98"/>
  <c r="R98"/>
  <c r="Q98"/>
  <c r="P98"/>
  <c r="O98"/>
  <c r="N98"/>
  <c r="M98"/>
  <c r="L98"/>
  <c r="K98"/>
  <c r="J98"/>
  <c r="I98"/>
  <c r="H98"/>
  <c r="G98"/>
  <c r="F98"/>
  <c r="E98"/>
  <c r="D98"/>
  <c r="C98"/>
  <c r="AH97"/>
  <c r="B97" s="1"/>
  <c r="AH96"/>
  <c r="B96" s="1"/>
  <c r="AH95"/>
  <c r="B95" s="1"/>
  <c r="AH94"/>
  <c r="B94" s="1"/>
  <c r="AH93"/>
  <c r="B93" s="1"/>
  <c r="AH92"/>
  <c r="B92" s="1"/>
  <c r="AH91"/>
  <c r="B91" s="1"/>
  <c r="AH90"/>
  <c r="B90" s="1"/>
  <c r="AH89"/>
  <c r="B89" s="1"/>
  <c r="AH88"/>
  <c r="B88" s="1"/>
  <c r="AH87"/>
  <c r="B87" s="1"/>
  <c r="AH86"/>
  <c r="BT83"/>
  <c r="BS83"/>
  <c r="BR83"/>
  <c r="BQ83"/>
  <c r="BP83"/>
  <c r="BO83"/>
  <c r="BN83"/>
  <c r="BM83"/>
  <c r="BL83"/>
  <c r="BK83"/>
  <c r="BJ83"/>
  <c r="BI83"/>
  <c r="BH83"/>
  <c r="BG83"/>
  <c r="BF83"/>
  <c r="BE83"/>
  <c r="BD83"/>
  <c r="BC83"/>
  <c r="BB83"/>
  <c r="BA83"/>
  <c r="AZ83"/>
  <c r="AY83"/>
  <c r="AX83"/>
  <c r="AW83"/>
  <c r="AV83"/>
  <c r="AU83"/>
  <c r="AT83"/>
  <c r="AS83"/>
  <c r="AR83"/>
  <c r="AQ83"/>
  <c r="AP83"/>
  <c r="AG82"/>
  <c r="AF82"/>
  <c r="AE82"/>
  <c r="AD82"/>
  <c r="AC82"/>
  <c r="AB82"/>
  <c r="AA82"/>
  <c r="Z82"/>
  <c r="Y82"/>
  <c r="X82"/>
  <c r="W82"/>
  <c r="V82"/>
  <c r="U82"/>
  <c r="T82"/>
  <c r="S82"/>
  <c r="R82"/>
  <c r="Q82"/>
  <c r="P82"/>
  <c r="O82"/>
  <c r="N82"/>
  <c r="M82"/>
  <c r="L82"/>
  <c r="K82"/>
  <c r="J82"/>
  <c r="I82"/>
  <c r="H82"/>
  <c r="G82"/>
  <c r="F82"/>
  <c r="E82"/>
  <c r="D82"/>
  <c r="C82"/>
  <c r="BU82"/>
  <c r="AO82" s="1"/>
  <c r="AH81"/>
  <c r="BU81"/>
  <c r="AO81" s="1"/>
  <c r="AH80"/>
  <c r="BU80"/>
  <c r="AO80" s="1"/>
  <c r="AH79"/>
  <c r="BU79"/>
  <c r="AO79" s="1"/>
  <c r="AH78"/>
  <c r="BU78"/>
  <c r="AO78" s="1"/>
  <c r="AH77"/>
  <c r="BU77"/>
  <c r="AO77" s="1"/>
  <c r="AH76"/>
  <c r="BU76"/>
  <c r="AH75"/>
  <c r="BU75"/>
  <c r="AO75" s="1"/>
  <c r="AH74"/>
  <c r="BU74"/>
  <c r="AO74" s="1"/>
  <c r="AH73"/>
  <c r="BU73"/>
  <c r="AO73" s="1"/>
  <c r="AH72"/>
  <c r="BU72"/>
  <c r="AH71"/>
  <c r="BU71"/>
  <c r="AH70"/>
  <c r="AG66"/>
  <c r="AF66"/>
  <c r="AE66"/>
  <c r="AD66"/>
  <c r="AC66"/>
  <c r="AB66"/>
  <c r="AA66"/>
  <c r="Z66"/>
  <c r="Y66"/>
  <c r="X66"/>
  <c r="W66"/>
  <c r="V66"/>
  <c r="U66"/>
  <c r="T66"/>
  <c r="S66"/>
  <c r="R66"/>
  <c r="Q66"/>
  <c r="P66"/>
  <c r="O66"/>
  <c r="N66"/>
  <c r="M66"/>
  <c r="L66"/>
  <c r="K66"/>
  <c r="J66"/>
  <c r="I66"/>
  <c r="H66"/>
  <c r="G66"/>
  <c r="F66"/>
  <c r="E66"/>
  <c r="D66"/>
  <c r="C66"/>
  <c r="AH65"/>
  <c r="B65" s="1"/>
  <c r="AH64"/>
  <c r="B64" s="1"/>
  <c r="AH63"/>
  <c r="B63" s="1"/>
  <c r="AH62"/>
  <c r="B62" s="1"/>
  <c r="AH61"/>
  <c r="B61" s="1"/>
  <c r="AH60"/>
  <c r="B60" s="1"/>
  <c r="AH59"/>
  <c r="B59" s="1"/>
  <c r="AH58"/>
  <c r="B58" s="1"/>
  <c r="AH57"/>
  <c r="B57" s="1"/>
  <c r="AH56"/>
  <c r="B56" s="1"/>
  <c r="AH55"/>
  <c r="B55" s="1"/>
  <c r="AH54"/>
  <c r="AG50"/>
  <c r="AF50"/>
  <c r="AE50"/>
  <c r="AD50"/>
  <c r="AC50"/>
  <c r="AB50"/>
  <c r="AA50"/>
  <c r="Z50"/>
  <c r="Y50"/>
  <c r="X50"/>
  <c r="W50"/>
  <c r="V50"/>
  <c r="U50"/>
  <c r="T50"/>
  <c r="S50"/>
  <c r="R50"/>
  <c r="Q50"/>
  <c r="P50"/>
  <c r="O50"/>
  <c r="N50"/>
  <c r="M50"/>
  <c r="L50"/>
  <c r="K50"/>
  <c r="J50"/>
  <c r="I50"/>
  <c r="H50"/>
  <c r="G50"/>
  <c r="F50"/>
  <c r="E50"/>
  <c r="D50"/>
  <c r="C50"/>
  <c r="AH49"/>
  <c r="B49" s="1"/>
  <c r="AH48"/>
  <c r="B48" s="1"/>
  <c r="AH47"/>
  <c r="B47" s="1"/>
  <c r="AH46"/>
  <c r="B46" s="1"/>
  <c r="AH45"/>
  <c r="B45" s="1"/>
  <c r="AH44"/>
  <c r="B44" s="1"/>
  <c r="AH43"/>
  <c r="B43" s="1"/>
  <c r="AH42"/>
  <c r="B42" s="1"/>
  <c r="AH41"/>
  <c r="B41" s="1"/>
  <c r="AH40"/>
  <c r="B40" s="1"/>
  <c r="AH39"/>
  <c r="B39" s="1"/>
  <c r="AH38"/>
  <c r="AG34"/>
  <c r="AF34"/>
  <c r="AE34"/>
  <c r="AD34"/>
  <c r="AC34"/>
  <c r="AB34"/>
  <c r="AA34"/>
  <c r="Z34"/>
  <c r="Y34"/>
  <c r="X34"/>
  <c r="W34"/>
  <c r="V34"/>
  <c r="U34"/>
  <c r="T34"/>
  <c r="S34"/>
  <c r="R34"/>
  <c r="Q34"/>
  <c r="P34"/>
  <c r="O34"/>
  <c r="N34"/>
  <c r="M34"/>
  <c r="L34"/>
  <c r="K34"/>
  <c r="J34"/>
  <c r="I34"/>
  <c r="H34"/>
  <c r="G34"/>
  <c r="F34"/>
  <c r="E34"/>
  <c r="D34"/>
  <c r="C34"/>
  <c r="AH33"/>
  <c r="B33" s="1"/>
  <c r="AH32"/>
  <c r="B32" s="1"/>
  <c r="AH31"/>
  <c r="B31" s="1"/>
  <c r="AH30"/>
  <c r="B30" s="1"/>
  <c r="AH29"/>
  <c r="B29" s="1"/>
  <c r="AH28"/>
  <c r="B28" s="1"/>
  <c r="AH27"/>
  <c r="B27" s="1"/>
  <c r="AH26"/>
  <c r="B26" s="1"/>
  <c r="AH25"/>
  <c r="B25" s="1"/>
  <c r="AH24"/>
  <c r="B24" s="1"/>
  <c r="AH23"/>
  <c r="B23" s="1"/>
  <c r="AH22"/>
  <c r="B22" s="1"/>
  <c r="AG18"/>
  <c r="AF18"/>
  <c r="AE18"/>
  <c r="AD18"/>
  <c r="AC18"/>
  <c r="AB18"/>
  <c r="AA18"/>
  <c r="Z18"/>
  <c r="Y18"/>
  <c r="X18"/>
  <c r="W18"/>
  <c r="V18"/>
  <c r="U18"/>
  <c r="T18"/>
  <c r="S18"/>
  <c r="R18"/>
  <c r="Q18"/>
  <c r="P18"/>
  <c r="O18"/>
  <c r="N18"/>
  <c r="M18"/>
  <c r="L18"/>
  <c r="K18"/>
  <c r="J18"/>
  <c r="I18"/>
  <c r="H18"/>
  <c r="G18"/>
  <c r="F18"/>
  <c r="E18"/>
  <c r="D18"/>
  <c r="C18"/>
  <c r="AH17"/>
  <c r="B17" s="1"/>
  <c r="AH16"/>
  <c r="B16" s="1"/>
  <c r="AH15"/>
  <c r="B15" s="1"/>
  <c r="AH14"/>
  <c r="B14" s="1"/>
  <c r="AH13"/>
  <c r="B13" s="1"/>
  <c r="AH12"/>
  <c r="B12" s="1"/>
  <c r="AH11"/>
  <c r="B11" s="1"/>
  <c r="AH10"/>
  <c r="B10" s="1"/>
  <c r="AH9"/>
  <c r="B9" s="1"/>
  <c r="AH8"/>
  <c r="B8" s="1"/>
  <c r="AH7"/>
  <c r="B7" s="1"/>
  <c r="AH6"/>
  <c r="C271" i="7380"/>
  <c r="C255"/>
  <c r="E254"/>
  <c r="E253"/>
  <c r="E252"/>
  <c r="E251"/>
  <c r="E250"/>
  <c r="E249"/>
  <c r="E248"/>
  <c r="E247"/>
  <c r="E246"/>
  <c r="E245"/>
  <c r="E244"/>
  <c r="E243"/>
  <c r="E242"/>
  <c r="C237"/>
  <c r="C217"/>
  <c r="AA199"/>
  <c r="L199"/>
  <c r="C197"/>
  <c r="E196"/>
  <c r="AQ195"/>
  <c r="AP195"/>
  <c r="AO195"/>
  <c r="AM195"/>
  <c r="AL195"/>
  <c r="AK195"/>
  <c r="AJ195"/>
  <c r="AI195"/>
  <c r="AH195"/>
  <c r="AG195"/>
  <c r="AF195"/>
  <c r="AE195"/>
  <c r="AD195"/>
  <c r="AC195"/>
  <c r="AB195"/>
  <c r="AA195"/>
  <c r="Z195"/>
  <c r="Y195"/>
  <c r="X195"/>
  <c r="W195"/>
  <c r="V195"/>
  <c r="U195"/>
  <c r="T195"/>
  <c r="S195"/>
  <c r="R195"/>
  <c r="Q195"/>
  <c r="P195"/>
  <c r="N195"/>
  <c r="M195"/>
  <c r="AR194"/>
  <c r="L194" s="1"/>
  <c r="AR193"/>
  <c r="L193" s="1"/>
  <c r="E193"/>
  <c r="AR192"/>
  <c r="L192" s="1"/>
  <c r="E192"/>
  <c r="AR191"/>
  <c r="L191" s="1"/>
  <c r="E191"/>
  <c r="AR190"/>
  <c r="L190" s="1"/>
  <c r="E190"/>
  <c r="AR189"/>
  <c r="L189" s="1"/>
  <c r="E189"/>
  <c r="AR188"/>
  <c r="L188" s="1"/>
  <c r="E188"/>
  <c r="AR187"/>
  <c r="L187" s="1"/>
  <c r="E187"/>
  <c r="AR186"/>
  <c r="L186" s="1"/>
  <c r="E186"/>
  <c r="AR185"/>
  <c r="L185" s="1"/>
  <c r="E185"/>
  <c r="AR184"/>
  <c r="L184" s="1"/>
  <c r="E184"/>
  <c r="AR183"/>
  <c r="E183"/>
  <c r="E182"/>
  <c r="E181"/>
  <c r="E180"/>
  <c r="M175"/>
  <c r="F175"/>
  <c r="G72" i="60796" s="1"/>
  <c r="C175" i="7380"/>
  <c r="K174"/>
  <c r="L174" s="1"/>
  <c r="O174" s="1"/>
  <c r="K170"/>
  <c r="L170" s="1"/>
  <c r="O170" s="1"/>
  <c r="K167"/>
  <c r="L167" s="1"/>
  <c r="O167" s="1"/>
  <c r="K166"/>
  <c r="L166" s="1"/>
  <c r="O166" s="1"/>
  <c r="K162"/>
  <c r="L162" s="1"/>
  <c r="O162" s="1"/>
  <c r="K160"/>
  <c r="L160" s="1"/>
  <c r="O160" s="1"/>
  <c r="K158"/>
  <c r="L158" s="1"/>
  <c r="O158" s="1"/>
  <c r="K156"/>
  <c r="L156" s="1"/>
  <c r="O156" s="1"/>
  <c r="K155"/>
  <c r="L155" s="1"/>
  <c r="O155" s="1"/>
  <c r="K153"/>
  <c r="L153" s="1"/>
  <c r="O153" s="1"/>
  <c r="K150"/>
  <c r="L150" s="1"/>
  <c r="O150" s="1"/>
  <c r="K149"/>
  <c r="L149" s="1"/>
  <c r="O149" s="1"/>
  <c r="K140"/>
  <c r="L140" s="1"/>
  <c r="O140" s="1"/>
  <c r="K139"/>
  <c r="L139" s="1"/>
  <c r="O139" s="1"/>
  <c r="K136"/>
  <c r="L136" s="1"/>
  <c r="O136" s="1"/>
  <c r="K133"/>
  <c r="L133" s="1"/>
  <c r="O133" s="1"/>
  <c r="K131"/>
  <c r="L131" s="1"/>
  <c r="O131" s="1"/>
  <c r="K126"/>
  <c r="L126" s="1"/>
  <c r="O126" s="1"/>
  <c r="K125"/>
  <c r="L125" s="1"/>
  <c r="O125" s="1"/>
  <c r="K124"/>
  <c r="L124" s="1"/>
  <c r="O124" s="1"/>
  <c r="K122"/>
  <c r="L122" s="1"/>
  <c r="O122" s="1"/>
  <c r="K121"/>
  <c r="L121" s="1"/>
  <c r="O121" s="1"/>
  <c r="K120"/>
  <c r="L120" s="1"/>
  <c r="O120" s="1"/>
  <c r="K118"/>
  <c r="L118" s="1"/>
  <c r="O118" s="1"/>
  <c r="K117"/>
  <c r="L117" s="1"/>
  <c r="O117" s="1"/>
  <c r="K116"/>
  <c r="L116" s="1"/>
  <c r="O116" s="1"/>
  <c r="K115"/>
  <c r="L115" s="1"/>
  <c r="O115" s="1"/>
  <c r="K114"/>
  <c r="L114" s="1"/>
  <c r="O114" s="1"/>
  <c r="K112"/>
  <c r="L112" s="1"/>
  <c r="O112" s="1"/>
  <c r="K107"/>
  <c r="C108"/>
  <c r="K173"/>
  <c r="L173" s="1"/>
  <c r="O173" s="1"/>
  <c r="E106"/>
  <c r="G106" s="1"/>
  <c r="K105"/>
  <c r="E105"/>
  <c r="G105" s="1"/>
  <c r="E172" s="1"/>
  <c r="G172" s="1"/>
  <c r="H172" s="1"/>
  <c r="F104"/>
  <c r="K171" s="1"/>
  <c r="L171" s="1"/>
  <c r="O171" s="1"/>
  <c r="E104"/>
  <c r="K103"/>
  <c r="E103"/>
  <c r="G103" s="1"/>
  <c r="K169"/>
  <c r="L169" s="1"/>
  <c r="O169" s="1"/>
  <c r="E102"/>
  <c r="K101"/>
  <c r="E101"/>
  <c r="K100"/>
  <c r="E100"/>
  <c r="G100" s="1"/>
  <c r="E167" s="1"/>
  <c r="G167" s="1"/>
  <c r="H167" s="1"/>
  <c r="K99"/>
  <c r="E99"/>
  <c r="G99" s="1"/>
  <c r="H99" s="1"/>
  <c r="F98"/>
  <c r="K165" s="1"/>
  <c r="L165" s="1"/>
  <c r="O165" s="1"/>
  <c r="E98"/>
  <c r="F97"/>
  <c r="K97" s="1"/>
  <c r="E97"/>
  <c r="E96"/>
  <c r="K95"/>
  <c r="E95"/>
  <c r="G95" s="1"/>
  <c r="H95" s="1"/>
  <c r="K161"/>
  <c r="L161" s="1"/>
  <c r="O161" s="1"/>
  <c r="E94"/>
  <c r="K93"/>
  <c r="E93"/>
  <c r="G93" s="1"/>
  <c r="H93" s="1"/>
  <c r="E92"/>
  <c r="K91"/>
  <c r="E91"/>
  <c r="G91" s="1"/>
  <c r="E158" s="1"/>
  <c r="G158" s="1"/>
  <c r="H158" s="1"/>
  <c r="K157"/>
  <c r="L157" s="1"/>
  <c r="O157" s="1"/>
  <c r="E90"/>
  <c r="K89"/>
  <c r="E89"/>
  <c r="G89" s="1"/>
  <c r="K88"/>
  <c r="E88"/>
  <c r="G88" s="1"/>
  <c r="E155" s="1"/>
  <c r="G155" s="1"/>
  <c r="H155" s="1"/>
  <c r="F87"/>
  <c r="K154" s="1"/>
  <c r="L154" s="1"/>
  <c r="O154" s="1"/>
  <c r="E87"/>
  <c r="K86"/>
  <c r="E86"/>
  <c r="G86" s="1"/>
  <c r="H86" s="1"/>
  <c r="E85"/>
  <c r="F84"/>
  <c r="E84"/>
  <c r="K83"/>
  <c r="E83"/>
  <c r="G83" s="1"/>
  <c r="K82"/>
  <c r="E82"/>
  <c r="G82" s="1"/>
  <c r="E149" s="1"/>
  <c r="G149" s="1"/>
  <c r="H149" s="1"/>
  <c r="K81"/>
  <c r="K148"/>
  <c r="L148" s="1"/>
  <c r="O148" s="1"/>
  <c r="E81"/>
  <c r="K147"/>
  <c r="L147" s="1"/>
  <c r="O147" s="1"/>
  <c r="K146"/>
  <c r="L146" s="1"/>
  <c r="O146" s="1"/>
  <c r="E79"/>
  <c r="K145"/>
  <c r="L145" s="1"/>
  <c r="O145" s="1"/>
  <c r="E78"/>
  <c r="F77"/>
  <c r="E77"/>
  <c r="F76"/>
  <c r="K143" s="1"/>
  <c r="L143" s="1"/>
  <c r="O143" s="1"/>
  <c r="E76"/>
  <c r="F75"/>
  <c r="K142" s="1"/>
  <c r="L142" s="1"/>
  <c r="O142" s="1"/>
  <c r="E75"/>
  <c r="F74"/>
  <c r="E74"/>
  <c r="K73"/>
  <c r="E73"/>
  <c r="G73" s="1"/>
  <c r="K72"/>
  <c r="E72"/>
  <c r="G72" s="1"/>
  <c r="H72" s="1"/>
  <c r="K138"/>
  <c r="L138" s="1"/>
  <c r="O138" s="1"/>
  <c r="E71"/>
  <c r="F70"/>
  <c r="K137" s="1"/>
  <c r="L137" s="1"/>
  <c r="O137" s="1"/>
  <c r="E70"/>
  <c r="K69"/>
  <c r="E69"/>
  <c r="G69" s="1"/>
  <c r="E136" s="1"/>
  <c r="G136" s="1"/>
  <c r="H136" s="1"/>
  <c r="F68"/>
  <c r="K135" s="1"/>
  <c r="L135" s="1"/>
  <c r="O135" s="1"/>
  <c r="E68"/>
  <c r="F67"/>
  <c r="K134" s="1"/>
  <c r="L134" s="1"/>
  <c r="O134" s="1"/>
  <c r="E67"/>
  <c r="E66"/>
  <c r="G66" s="1"/>
  <c r="H66" s="1"/>
  <c r="E65"/>
  <c r="G65" s="1"/>
  <c r="K64"/>
  <c r="E64"/>
  <c r="G64" s="1"/>
  <c r="E131" s="1"/>
  <c r="G131" s="1"/>
  <c r="H131" s="1"/>
  <c r="K130"/>
  <c r="L130" s="1"/>
  <c r="O130" s="1"/>
  <c r="E63"/>
  <c r="K129"/>
  <c r="L129" s="1"/>
  <c r="O129" s="1"/>
  <c r="E62"/>
  <c r="F61"/>
  <c r="E61"/>
  <c r="K60"/>
  <c r="E60"/>
  <c r="K59"/>
  <c r="E59"/>
  <c r="G59" s="1"/>
  <c r="E126" s="1"/>
  <c r="G126" s="1"/>
  <c r="H126" s="1"/>
  <c r="K58"/>
  <c r="E58"/>
  <c r="G58" s="1"/>
  <c r="E125" s="1"/>
  <c r="G125" s="1"/>
  <c r="H125" s="1"/>
  <c r="K57"/>
  <c r="E57"/>
  <c r="G57" s="1"/>
  <c r="E124" s="1"/>
  <c r="G124" s="1"/>
  <c r="H124" s="1"/>
  <c r="K123"/>
  <c r="L123" s="1"/>
  <c r="O123" s="1"/>
  <c r="E56"/>
  <c r="K55"/>
  <c r="E55"/>
  <c r="G55" s="1"/>
  <c r="E122" s="1"/>
  <c r="G122" s="1"/>
  <c r="H122" s="1"/>
  <c r="K54"/>
  <c r="E54"/>
  <c r="G54" s="1"/>
  <c r="E121" s="1"/>
  <c r="G121" s="1"/>
  <c r="H121" s="1"/>
  <c r="K53"/>
  <c r="E53"/>
  <c r="G53" s="1"/>
  <c r="E52"/>
  <c r="K51"/>
  <c r="E51"/>
  <c r="G51" s="1"/>
  <c r="H51" s="1"/>
  <c r="K50"/>
  <c r="E50"/>
  <c r="G50" s="1"/>
  <c r="E117" s="1"/>
  <c r="G117" s="1"/>
  <c r="H117" s="1"/>
  <c r="K49"/>
  <c r="E49"/>
  <c r="G49" s="1"/>
  <c r="E116" s="1"/>
  <c r="G116" s="1"/>
  <c r="H116" s="1"/>
  <c r="K48"/>
  <c r="E48"/>
  <c r="G48" s="1"/>
  <c r="K47"/>
  <c r="E47"/>
  <c r="G47" s="1"/>
  <c r="E114" s="1"/>
  <c r="G114" s="1"/>
  <c r="H114" s="1"/>
  <c r="K46"/>
  <c r="K113"/>
  <c r="L113" s="1"/>
  <c r="O113" s="1"/>
  <c r="E46"/>
  <c r="G46" s="1"/>
  <c r="K45"/>
  <c r="E45"/>
  <c r="G45" s="1"/>
  <c r="E44"/>
  <c r="C40"/>
  <c r="C34"/>
  <c r="C28"/>
  <c r="E27"/>
  <c r="E26"/>
  <c r="E25"/>
  <c r="C20"/>
  <c r="K18"/>
  <c r="C14"/>
  <c r="C13"/>
  <c r="E9"/>
  <c r="C8"/>
  <c r="AG568" i="32"/>
  <c r="AF568"/>
  <c r="AE568"/>
  <c r="AC568"/>
  <c r="AB568"/>
  <c r="AA568"/>
  <c r="Z568"/>
  <c r="Y568"/>
  <c r="X568"/>
  <c r="W568"/>
  <c r="V568"/>
  <c r="U568"/>
  <c r="T568"/>
  <c r="S568"/>
  <c r="R568"/>
  <c r="Q568"/>
  <c r="P568"/>
  <c r="O568"/>
  <c r="N568"/>
  <c r="M568"/>
  <c r="L568"/>
  <c r="K568"/>
  <c r="J568"/>
  <c r="I568"/>
  <c r="H568"/>
  <c r="G568"/>
  <c r="F568"/>
  <c r="D568"/>
  <c r="C568"/>
  <c r="AH567"/>
  <c r="B567" s="1"/>
  <c r="AH566"/>
  <c r="B566" s="1"/>
  <c r="AH565"/>
  <c r="B565" s="1"/>
  <c r="AH564"/>
  <c r="B564" s="1"/>
  <c r="AH563"/>
  <c r="B563" s="1"/>
  <c r="AH562"/>
  <c r="B562" s="1"/>
  <c r="AH561"/>
  <c r="B561" s="1"/>
  <c r="AH560"/>
  <c r="B560" s="1"/>
  <c r="AH559"/>
  <c r="B559" s="1"/>
  <c r="AH558"/>
  <c r="B558" s="1"/>
  <c r="AH557"/>
  <c r="B557" s="1"/>
  <c r="AG552"/>
  <c r="AF552"/>
  <c r="AE552"/>
  <c r="AC552"/>
  <c r="AB552"/>
  <c r="AA552"/>
  <c r="Z552"/>
  <c r="Y552"/>
  <c r="X552"/>
  <c r="W552"/>
  <c r="V552"/>
  <c r="U552"/>
  <c r="T552"/>
  <c r="S552"/>
  <c r="R552"/>
  <c r="Q552"/>
  <c r="P552"/>
  <c r="O552"/>
  <c r="N552"/>
  <c r="M552"/>
  <c r="L552"/>
  <c r="K552"/>
  <c r="J552"/>
  <c r="I552"/>
  <c r="H552"/>
  <c r="G552"/>
  <c r="F552"/>
  <c r="D552"/>
  <c r="C552"/>
  <c r="AH551"/>
  <c r="B551" s="1"/>
  <c r="AH550"/>
  <c r="B550" s="1"/>
  <c r="AH549"/>
  <c r="B549" s="1"/>
  <c r="AH548"/>
  <c r="B548" s="1"/>
  <c r="AH547"/>
  <c r="B547" s="1"/>
  <c r="AH546"/>
  <c r="B546" s="1"/>
  <c r="AH545"/>
  <c r="B545" s="1"/>
  <c r="AH544"/>
  <c r="B544" s="1"/>
  <c r="AH543"/>
  <c r="B543" s="1"/>
  <c r="AH542"/>
  <c r="B542" s="1"/>
  <c r="AH541"/>
  <c r="B541" s="1"/>
  <c r="AH540"/>
  <c r="AG536"/>
  <c r="AF536"/>
  <c r="AE536"/>
  <c r="AC536"/>
  <c r="AB536"/>
  <c r="AA536"/>
  <c r="Z536"/>
  <c r="Y536"/>
  <c r="X536"/>
  <c r="W536"/>
  <c r="V536"/>
  <c r="U536"/>
  <c r="T536"/>
  <c r="S536"/>
  <c r="R536"/>
  <c r="Q536"/>
  <c r="P536"/>
  <c r="O536"/>
  <c r="N536"/>
  <c r="M536"/>
  <c r="L536"/>
  <c r="K536"/>
  <c r="J536"/>
  <c r="I536"/>
  <c r="H536"/>
  <c r="G536"/>
  <c r="F536"/>
  <c r="D536"/>
  <c r="C536"/>
  <c r="AH535"/>
  <c r="B535" s="1"/>
  <c r="AH534"/>
  <c r="B534" s="1"/>
  <c r="AH533"/>
  <c r="B533" s="1"/>
  <c r="AH532"/>
  <c r="B532" s="1"/>
  <c r="AH531"/>
  <c r="B531" s="1"/>
  <c r="AH530"/>
  <c r="B530" s="1"/>
  <c r="AH529"/>
  <c r="B529" s="1"/>
  <c r="AH528"/>
  <c r="B528" s="1"/>
  <c r="AH527"/>
  <c r="B527" s="1"/>
  <c r="AH526"/>
  <c r="B526" s="1"/>
  <c r="AH525"/>
  <c r="B525" s="1"/>
  <c r="AH524"/>
  <c r="B524" s="1"/>
  <c r="AG520"/>
  <c r="AF520"/>
  <c r="AE520"/>
  <c r="AC520"/>
  <c r="AB520"/>
  <c r="AA520"/>
  <c r="Z520"/>
  <c r="Y520"/>
  <c r="X520"/>
  <c r="W520"/>
  <c r="V520"/>
  <c r="U520"/>
  <c r="T520"/>
  <c r="S520"/>
  <c r="R520"/>
  <c r="Q520"/>
  <c r="P520"/>
  <c r="O520"/>
  <c r="N520"/>
  <c r="M520"/>
  <c r="L520"/>
  <c r="K520"/>
  <c r="J520"/>
  <c r="I520"/>
  <c r="H520"/>
  <c r="G520"/>
  <c r="F520"/>
  <c r="D520"/>
  <c r="C520"/>
  <c r="AH519"/>
  <c r="B519" s="1"/>
  <c r="AH518"/>
  <c r="B518" s="1"/>
  <c r="AH517"/>
  <c r="B517" s="1"/>
  <c r="AH516"/>
  <c r="B516" s="1"/>
  <c r="AH515"/>
  <c r="B515" s="1"/>
  <c r="AH514"/>
  <c r="B514" s="1"/>
  <c r="AH513"/>
  <c r="B513" s="1"/>
  <c r="AH512"/>
  <c r="B512" s="1"/>
  <c r="AH511"/>
  <c r="B511" s="1"/>
  <c r="AH510"/>
  <c r="B510" s="1"/>
  <c r="AH509"/>
  <c r="B509" s="1"/>
  <c r="AH508"/>
  <c r="AG504"/>
  <c r="AF504"/>
  <c r="AE504"/>
  <c r="AC504"/>
  <c r="AB504"/>
  <c r="AA504"/>
  <c r="Z504"/>
  <c r="Y504"/>
  <c r="X504"/>
  <c r="W504"/>
  <c r="V504"/>
  <c r="U504"/>
  <c r="T504"/>
  <c r="S504"/>
  <c r="R504"/>
  <c r="Q504"/>
  <c r="P504"/>
  <c r="O504"/>
  <c r="N504"/>
  <c r="M504"/>
  <c r="L504"/>
  <c r="K504"/>
  <c r="J504"/>
  <c r="I504"/>
  <c r="H504"/>
  <c r="G504"/>
  <c r="F504"/>
  <c r="D504"/>
  <c r="C504"/>
  <c r="AH503"/>
  <c r="B503" s="1"/>
  <c r="AH502"/>
  <c r="B502" s="1"/>
  <c r="AH501"/>
  <c r="B501" s="1"/>
  <c r="AH500"/>
  <c r="B500" s="1"/>
  <c r="AH499"/>
  <c r="B499" s="1"/>
  <c r="AH498"/>
  <c r="B498" s="1"/>
  <c r="AH497"/>
  <c r="B497" s="1"/>
  <c r="AH496"/>
  <c r="B496" s="1"/>
  <c r="AH495"/>
  <c r="B495" s="1"/>
  <c r="AH494"/>
  <c r="B494" s="1"/>
  <c r="AH493"/>
  <c r="B493" s="1"/>
  <c r="AH492"/>
  <c r="AG488"/>
  <c r="AF488"/>
  <c r="AE488"/>
  <c r="AC488"/>
  <c r="AB488"/>
  <c r="AA488"/>
  <c r="Z488"/>
  <c r="Y488"/>
  <c r="X488"/>
  <c r="W488"/>
  <c r="V488"/>
  <c r="U488"/>
  <c r="T488"/>
  <c r="S488"/>
  <c r="R488"/>
  <c r="Q488"/>
  <c r="P488"/>
  <c r="O488"/>
  <c r="N488"/>
  <c r="M488"/>
  <c r="L488"/>
  <c r="K488"/>
  <c r="J488"/>
  <c r="I488"/>
  <c r="H488"/>
  <c r="G488"/>
  <c r="F488"/>
  <c r="D488"/>
  <c r="C488"/>
  <c r="AH487"/>
  <c r="B487" s="1"/>
  <c r="AH486"/>
  <c r="B486" s="1"/>
  <c r="AH485"/>
  <c r="B485" s="1"/>
  <c r="AH484"/>
  <c r="B484" s="1"/>
  <c r="AH483"/>
  <c r="B483" s="1"/>
  <c r="AH482"/>
  <c r="B482" s="1"/>
  <c r="AH481"/>
  <c r="B481" s="1"/>
  <c r="AH480"/>
  <c r="B480" s="1"/>
  <c r="AH479"/>
  <c r="B479" s="1"/>
  <c r="AH478"/>
  <c r="B478" s="1"/>
  <c r="AH477"/>
  <c r="B477" s="1"/>
  <c r="AH476"/>
  <c r="B476" s="1"/>
  <c r="AG472"/>
  <c r="AF472"/>
  <c r="AE472"/>
  <c r="AC472"/>
  <c r="AB472"/>
  <c r="AA472"/>
  <c r="Z472"/>
  <c r="Y472"/>
  <c r="X472"/>
  <c r="W472"/>
  <c r="V472"/>
  <c r="U472"/>
  <c r="T472"/>
  <c r="S472"/>
  <c r="R472"/>
  <c r="Q472"/>
  <c r="P472"/>
  <c r="O472"/>
  <c r="N472"/>
  <c r="M472"/>
  <c r="L472"/>
  <c r="K472"/>
  <c r="J472"/>
  <c r="I472"/>
  <c r="H472"/>
  <c r="G472"/>
  <c r="F472"/>
  <c r="D472"/>
  <c r="C472"/>
  <c r="AH471"/>
  <c r="B471" s="1"/>
  <c r="AH470"/>
  <c r="B470" s="1"/>
  <c r="AH469"/>
  <c r="B469" s="1"/>
  <c r="AH468"/>
  <c r="B468" s="1"/>
  <c r="AH467"/>
  <c r="B467" s="1"/>
  <c r="AH466"/>
  <c r="B466" s="1"/>
  <c r="AH465"/>
  <c r="B465" s="1"/>
  <c r="AH464"/>
  <c r="B464" s="1"/>
  <c r="AH463"/>
  <c r="B463" s="1"/>
  <c r="AH462"/>
  <c r="B462" s="1"/>
  <c r="AH461"/>
  <c r="B461" s="1"/>
  <c r="AH460"/>
  <c r="B460" s="1"/>
  <c r="AG456"/>
  <c r="AF456"/>
  <c r="AE456"/>
  <c r="AC456"/>
  <c r="AB456"/>
  <c r="AA456"/>
  <c r="Z456"/>
  <c r="Y456"/>
  <c r="X456"/>
  <c r="W456"/>
  <c r="V456"/>
  <c r="U456"/>
  <c r="T456"/>
  <c r="S456"/>
  <c r="R456"/>
  <c r="Q456"/>
  <c r="P456"/>
  <c r="O456"/>
  <c r="N456"/>
  <c r="M456"/>
  <c r="L456"/>
  <c r="K456"/>
  <c r="J456"/>
  <c r="I456"/>
  <c r="H456"/>
  <c r="G456"/>
  <c r="F456"/>
  <c r="D456"/>
  <c r="C456"/>
  <c r="AH455"/>
  <c r="B455" s="1"/>
  <c r="AH454"/>
  <c r="B454" s="1"/>
  <c r="AH453"/>
  <c r="B453" s="1"/>
  <c r="AH452"/>
  <c r="B452" s="1"/>
  <c r="AH451"/>
  <c r="B451" s="1"/>
  <c r="AH450"/>
  <c r="B450" s="1"/>
  <c r="AH449"/>
  <c r="B449" s="1"/>
  <c r="AH448"/>
  <c r="B448" s="1"/>
  <c r="AH447"/>
  <c r="B447" s="1"/>
  <c r="AH446"/>
  <c r="B446" s="1"/>
  <c r="AH445"/>
  <c r="B445" s="1"/>
  <c r="AH444"/>
  <c r="B444" s="1"/>
  <c r="AG440"/>
  <c r="AF440"/>
  <c r="AE440"/>
  <c r="AC440"/>
  <c r="AB440"/>
  <c r="AA440"/>
  <c r="Z440"/>
  <c r="Y440"/>
  <c r="X440"/>
  <c r="W440"/>
  <c r="V440"/>
  <c r="U440"/>
  <c r="T440"/>
  <c r="S440"/>
  <c r="R440"/>
  <c r="Q440"/>
  <c r="P440"/>
  <c r="O440"/>
  <c r="N440"/>
  <c r="M440"/>
  <c r="L440"/>
  <c r="K440"/>
  <c r="J440"/>
  <c r="I440"/>
  <c r="H440"/>
  <c r="G440"/>
  <c r="F440"/>
  <c r="D440"/>
  <c r="C440"/>
  <c r="AH439"/>
  <c r="B439" s="1"/>
  <c r="AH438"/>
  <c r="B438" s="1"/>
  <c r="AH437"/>
  <c r="B437" s="1"/>
  <c r="AH436"/>
  <c r="B436" s="1"/>
  <c r="AH435"/>
  <c r="B435" s="1"/>
  <c r="AH434"/>
  <c r="B434" s="1"/>
  <c r="AH433"/>
  <c r="B433" s="1"/>
  <c r="AH432"/>
  <c r="AH431"/>
  <c r="B431" s="1"/>
  <c r="AH430"/>
  <c r="B430" s="1"/>
  <c r="AH429"/>
  <c r="B429" s="1"/>
  <c r="AH428"/>
  <c r="B428" s="1"/>
  <c r="AG424"/>
  <c r="AF424"/>
  <c r="AE424"/>
  <c r="AC424"/>
  <c r="AB424"/>
  <c r="AA424"/>
  <c r="Z424"/>
  <c r="Y424"/>
  <c r="X424"/>
  <c r="W424"/>
  <c r="V424"/>
  <c r="U424"/>
  <c r="T424"/>
  <c r="S424"/>
  <c r="R424"/>
  <c r="Q424"/>
  <c r="P424"/>
  <c r="O424"/>
  <c r="N424"/>
  <c r="M424"/>
  <c r="L424"/>
  <c r="K424"/>
  <c r="J424"/>
  <c r="I424"/>
  <c r="H424"/>
  <c r="G424"/>
  <c r="F424"/>
  <c r="D424"/>
  <c r="C424"/>
  <c r="AH423"/>
  <c r="B423" s="1"/>
  <c r="AH422"/>
  <c r="B422" s="1"/>
  <c r="AH421"/>
  <c r="B421" s="1"/>
  <c r="AH420"/>
  <c r="B420" s="1"/>
  <c r="AH419"/>
  <c r="B419" s="1"/>
  <c r="AH418"/>
  <c r="B418" s="1"/>
  <c r="AH417"/>
  <c r="B417" s="1"/>
  <c r="AH416"/>
  <c r="B416" s="1"/>
  <c r="AH415"/>
  <c r="B415" s="1"/>
  <c r="AH414"/>
  <c r="B414" s="1"/>
  <c r="AH413"/>
  <c r="B413" s="1"/>
  <c r="AH412"/>
  <c r="AG408"/>
  <c r="AF408"/>
  <c r="AE408"/>
  <c r="AC408"/>
  <c r="AB408"/>
  <c r="AA408"/>
  <c r="Z408"/>
  <c r="Y408"/>
  <c r="X408"/>
  <c r="W408"/>
  <c r="V408"/>
  <c r="U408"/>
  <c r="T408"/>
  <c r="S408"/>
  <c r="R408"/>
  <c r="Q408"/>
  <c r="P408"/>
  <c r="O408"/>
  <c r="N408"/>
  <c r="M408"/>
  <c r="L408"/>
  <c r="K408"/>
  <c r="J408"/>
  <c r="I408"/>
  <c r="H408"/>
  <c r="G408"/>
  <c r="F408"/>
  <c r="D408"/>
  <c r="C408"/>
  <c r="AH407"/>
  <c r="B407" s="1"/>
  <c r="AH406"/>
  <c r="B406" s="1"/>
  <c r="AH405"/>
  <c r="B405" s="1"/>
  <c r="AH404"/>
  <c r="B404" s="1"/>
  <c r="AH403"/>
  <c r="B403" s="1"/>
  <c r="AH402"/>
  <c r="B402" s="1"/>
  <c r="AH401"/>
  <c r="B401" s="1"/>
  <c r="AH400"/>
  <c r="AH399"/>
  <c r="B399" s="1"/>
  <c r="AH398"/>
  <c r="B398" s="1"/>
  <c r="AH397"/>
  <c r="B397" s="1"/>
  <c r="AH396"/>
  <c r="B396" s="1"/>
  <c r="AG392"/>
  <c r="AF392"/>
  <c r="AE392"/>
  <c r="AC392"/>
  <c r="AB392"/>
  <c r="AA392"/>
  <c r="Z392"/>
  <c r="Y392"/>
  <c r="X392"/>
  <c r="W392"/>
  <c r="V392"/>
  <c r="U392"/>
  <c r="T392"/>
  <c r="S392"/>
  <c r="R392"/>
  <c r="Q392"/>
  <c r="P392"/>
  <c r="O392"/>
  <c r="N392"/>
  <c r="M392"/>
  <c r="L392"/>
  <c r="K392"/>
  <c r="J392"/>
  <c r="I392"/>
  <c r="H392"/>
  <c r="G392"/>
  <c r="F392"/>
  <c r="D392"/>
  <c r="C392"/>
  <c r="AH391"/>
  <c r="B391" s="1"/>
  <c r="AH390"/>
  <c r="B390" s="1"/>
  <c r="AH389"/>
  <c r="B389" s="1"/>
  <c r="AH388"/>
  <c r="B388" s="1"/>
  <c r="AH387"/>
  <c r="B387" s="1"/>
  <c r="AH386"/>
  <c r="B386" s="1"/>
  <c r="AH385"/>
  <c r="B385" s="1"/>
  <c r="AH384"/>
  <c r="B384" s="1"/>
  <c r="AH383"/>
  <c r="B383" s="1"/>
  <c r="AH382"/>
  <c r="B382" s="1"/>
  <c r="AH381"/>
  <c r="B381" s="1"/>
  <c r="AH380"/>
  <c r="B380" s="1"/>
  <c r="AG376"/>
  <c r="AF376"/>
  <c r="AE376"/>
  <c r="AC376"/>
  <c r="AB376"/>
  <c r="AA376"/>
  <c r="Z376"/>
  <c r="Y376"/>
  <c r="X376"/>
  <c r="W376"/>
  <c r="V376"/>
  <c r="U376"/>
  <c r="T376"/>
  <c r="S376"/>
  <c r="R376"/>
  <c r="Q376"/>
  <c r="P376"/>
  <c r="O376"/>
  <c r="N376"/>
  <c r="M376"/>
  <c r="L376"/>
  <c r="K376"/>
  <c r="J376"/>
  <c r="I376"/>
  <c r="H376"/>
  <c r="G376"/>
  <c r="F376"/>
  <c r="D376"/>
  <c r="C376"/>
  <c r="AH375"/>
  <c r="B375" s="1"/>
  <c r="AH374"/>
  <c r="B374" s="1"/>
  <c r="AH373"/>
  <c r="B373" s="1"/>
  <c r="AH372"/>
  <c r="B372" s="1"/>
  <c r="AH371"/>
  <c r="B371" s="1"/>
  <c r="AH370"/>
  <c r="B370" s="1"/>
  <c r="AH369"/>
  <c r="B369" s="1"/>
  <c r="AH368"/>
  <c r="B368" s="1"/>
  <c r="AH367"/>
  <c r="B367" s="1"/>
  <c r="AH366"/>
  <c r="B366" s="1"/>
  <c r="AH365"/>
  <c r="B365" s="1"/>
  <c r="AH364"/>
  <c r="B364" s="1"/>
  <c r="AG359"/>
  <c r="AF359"/>
  <c r="AE359"/>
  <c r="AC359"/>
  <c r="AB359"/>
  <c r="AA359"/>
  <c r="Z359"/>
  <c r="Y359"/>
  <c r="X359"/>
  <c r="W359"/>
  <c r="V359"/>
  <c r="U359"/>
  <c r="T359"/>
  <c r="S359"/>
  <c r="R359"/>
  <c r="Q359"/>
  <c r="P359"/>
  <c r="O359"/>
  <c r="N359"/>
  <c r="M359"/>
  <c r="L359"/>
  <c r="K359"/>
  <c r="J359"/>
  <c r="I359"/>
  <c r="H359"/>
  <c r="G359"/>
  <c r="F359"/>
  <c r="D359"/>
  <c r="C359"/>
  <c r="AH358"/>
  <c r="B358" s="1"/>
  <c r="AH357"/>
  <c r="B357" s="1"/>
  <c r="AH356"/>
  <c r="B356" s="1"/>
  <c r="AH355"/>
  <c r="B355" s="1"/>
  <c r="AH354"/>
  <c r="B354" s="1"/>
  <c r="AH353"/>
  <c r="B353" s="1"/>
  <c r="AH352"/>
  <c r="B352" s="1"/>
  <c r="AH351"/>
  <c r="B351" s="1"/>
  <c r="AH350"/>
  <c r="B350" s="1"/>
  <c r="AH349"/>
  <c r="B349" s="1"/>
  <c r="AH348"/>
  <c r="B348" s="1"/>
  <c r="AH347"/>
  <c r="AG343"/>
  <c r="AF343"/>
  <c r="AE343"/>
  <c r="AC343"/>
  <c r="AB343"/>
  <c r="AA343"/>
  <c r="Z343"/>
  <c r="Y343"/>
  <c r="X343"/>
  <c r="W343"/>
  <c r="V343"/>
  <c r="U343"/>
  <c r="T343"/>
  <c r="S343"/>
  <c r="R343"/>
  <c r="Q343"/>
  <c r="P343"/>
  <c r="O343"/>
  <c r="N343"/>
  <c r="M343"/>
  <c r="L343"/>
  <c r="K343"/>
  <c r="J343"/>
  <c r="I343"/>
  <c r="H343"/>
  <c r="G343"/>
  <c r="F343"/>
  <c r="D343"/>
  <c r="C343"/>
  <c r="AH342"/>
  <c r="B342" s="1"/>
  <c r="AH341"/>
  <c r="B341" s="1"/>
  <c r="AH340"/>
  <c r="B340" s="1"/>
  <c r="AH339"/>
  <c r="B339" s="1"/>
  <c r="AH338"/>
  <c r="B338" s="1"/>
  <c r="AH337"/>
  <c r="B337" s="1"/>
  <c r="AH336"/>
  <c r="B336" s="1"/>
  <c r="AH335"/>
  <c r="B335" s="1"/>
  <c r="AH334"/>
  <c r="B334" s="1"/>
  <c r="AH333"/>
  <c r="B333" s="1"/>
  <c r="AH332"/>
  <c r="B332" s="1"/>
  <c r="AH331"/>
  <c r="B331" s="1"/>
  <c r="AG327"/>
  <c r="AF327"/>
  <c r="AE327"/>
  <c r="AC327"/>
  <c r="AB327"/>
  <c r="AA327"/>
  <c r="Z327"/>
  <c r="Y327"/>
  <c r="X327"/>
  <c r="W327"/>
  <c r="V327"/>
  <c r="U327"/>
  <c r="T327"/>
  <c r="S327"/>
  <c r="R327"/>
  <c r="Q327"/>
  <c r="P327"/>
  <c r="O327"/>
  <c r="N327"/>
  <c r="M327"/>
  <c r="L327"/>
  <c r="K327"/>
  <c r="J327"/>
  <c r="I327"/>
  <c r="H327"/>
  <c r="G327"/>
  <c r="F327"/>
  <c r="D327"/>
  <c r="C327"/>
  <c r="AH326"/>
  <c r="B326" s="1"/>
  <c r="AH325"/>
  <c r="B325" s="1"/>
  <c r="AH324"/>
  <c r="B324" s="1"/>
  <c r="AH323"/>
  <c r="B323" s="1"/>
  <c r="AH322"/>
  <c r="B322" s="1"/>
  <c r="AH321"/>
  <c r="B321" s="1"/>
  <c r="AH320"/>
  <c r="B320" s="1"/>
  <c r="AH319"/>
  <c r="B319" s="1"/>
  <c r="AH318"/>
  <c r="B318" s="1"/>
  <c r="AH317"/>
  <c r="B317" s="1"/>
  <c r="AH316"/>
  <c r="B316" s="1"/>
  <c r="AH315"/>
  <c r="AG311"/>
  <c r="AF311"/>
  <c r="AE311"/>
  <c r="AC311"/>
  <c r="AB311"/>
  <c r="AA311"/>
  <c r="Z311"/>
  <c r="Y311"/>
  <c r="X311"/>
  <c r="W311"/>
  <c r="V311"/>
  <c r="U311"/>
  <c r="T311"/>
  <c r="S311"/>
  <c r="R311"/>
  <c r="Q311"/>
  <c r="P311"/>
  <c r="O311"/>
  <c r="N311"/>
  <c r="M311"/>
  <c r="L311"/>
  <c r="K311"/>
  <c r="J311"/>
  <c r="I311"/>
  <c r="H311"/>
  <c r="G311"/>
  <c r="F311"/>
  <c r="D311"/>
  <c r="C311"/>
  <c r="AH310"/>
  <c r="B310" s="1"/>
  <c r="AH309"/>
  <c r="B309" s="1"/>
  <c r="AH308"/>
  <c r="B308" s="1"/>
  <c r="AH307"/>
  <c r="B307" s="1"/>
  <c r="AH306"/>
  <c r="B306" s="1"/>
  <c r="AH305"/>
  <c r="B305" s="1"/>
  <c r="AH304"/>
  <c r="B304" s="1"/>
  <c r="AH303"/>
  <c r="B303" s="1"/>
  <c r="AH302"/>
  <c r="B302" s="1"/>
  <c r="AH301"/>
  <c r="B301" s="1"/>
  <c r="AH300"/>
  <c r="B300" s="1"/>
  <c r="AH299"/>
  <c r="B299" s="1"/>
  <c r="AG295"/>
  <c r="AF295"/>
  <c r="AE295"/>
  <c r="AC295"/>
  <c r="AB295"/>
  <c r="AA295"/>
  <c r="Z295"/>
  <c r="Y295"/>
  <c r="X295"/>
  <c r="W295"/>
  <c r="V295"/>
  <c r="U295"/>
  <c r="T295"/>
  <c r="S295"/>
  <c r="R295"/>
  <c r="Q295"/>
  <c r="P295"/>
  <c r="O295"/>
  <c r="N295"/>
  <c r="M295"/>
  <c r="L295"/>
  <c r="K295"/>
  <c r="J295"/>
  <c r="I295"/>
  <c r="H295"/>
  <c r="G295"/>
  <c r="F295"/>
  <c r="D295"/>
  <c r="C295"/>
  <c r="AH294"/>
  <c r="B294" s="1"/>
  <c r="AH293"/>
  <c r="B293" s="1"/>
  <c r="AH292"/>
  <c r="B292" s="1"/>
  <c r="AH291"/>
  <c r="B291" s="1"/>
  <c r="AH290"/>
  <c r="B290" s="1"/>
  <c r="AH289"/>
  <c r="B289" s="1"/>
  <c r="AH288"/>
  <c r="B288" s="1"/>
  <c r="AH287"/>
  <c r="B287" s="1"/>
  <c r="AH286"/>
  <c r="B286" s="1"/>
  <c r="AH285"/>
  <c r="B285" s="1"/>
  <c r="AH284"/>
  <c r="B284" s="1"/>
  <c r="AH283"/>
  <c r="B283" s="1"/>
  <c r="AG279"/>
  <c r="AF279"/>
  <c r="AE279"/>
  <c r="AC279"/>
  <c r="AB279"/>
  <c r="AA279"/>
  <c r="Z279"/>
  <c r="Y279"/>
  <c r="X279"/>
  <c r="W279"/>
  <c r="V279"/>
  <c r="U279"/>
  <c r="T279"/>
  <c r="S279"/>
  <c r="R279"/>
  <c r="Q279"/>
  <c r="P279"/>
  <c r="O279"/>
  <c r="N279"/>
  <c r="M279"/>
  <c r="L279"/>
  <c r="K279"/>
  <c r="J279"/>
  <c r="I279"/>
  <c r="H279"/>
  <c r="G279"/>
  <c r="F279"/>
  <c r="D279"/>
  <c r="C279"/>
  <c r="AH278"/>
  <c r="B278" s="1"/>
  <c r="AH277"/>
  <c r="B277" s="1"/>
  <c r="AH276"/>
  <c r="B276" s="1"/>
  <c r="AH275"/>
  <c r="B275" s="1"/>
  <c r="AH274"/>
  <c r="B274" s="1"/>
  <c r="AH273"/>
  <c r="B273" s="1"/>
  <c r="AH272"/>
  <c r="B272" s="1"/>
  <c r="AH271"/>
  <c r="B271" s="1"/>
  <c r="AH270"/>
  <c r="B270" s="1"/>
  <c r="AH269"/>
  <c r="B269" s="1"/>
  <c r="AH268"/>
  <c r="B268" s="1"/>
  <c r="AH267"/>
  <c r="AG263"/>
  <c r="AF263"/>
  <c r="AE263"/>
  <c r="AC263"/>
  <c r="AB263"/>
  <c r="AA263"/>
  <c r="Z263"/>
  <c r="Y263"/>
  <c r="X263"/>
  <c r="W263"/>
  <c r="V263"/>
  <c r="U263"/>
  <c r="T263"/>
  <c r="S263"/>
  <c r="R263"/>
  <c r="Q263"/>
  <c r="P263"/>
  <c r="O263"/>
  <c r="N263"/>
  <c r="M263"/>
  <c r="L263"/>
  <c r="K263"/>
  <c r="J263"/>
  <c r="I263"/>
  <c r="H263"/>
  <c r="G263"/>
  <c r="F263"/>
  <c r="D263"/>
  <c r="C263"/>
  <c r="AH262"/>
  <c r="B262" s="1"/>
  <c r="AH261"/>
  <c r="B261" s="1"/>
  <c r="AH260"/>
  <c r="B260" s="1"/>
  <c r="AH259"/>
  <c r="B259" s="1"/>
  <c r="AH258"/>
  <c r="B258" s="1"/>
  <c r="AH257"/>
  <c r="B257" s="1"/>
  <c r="AH256"/>
  <c r="B256" s="1"/>
  <c r="AH255"/>
  <c r="B255" s="1"/>
  <c r="AH254"/>
  <c r="B254" s="1"/>
  <c r="AH253"/>
  <c r="B253" s="1"/>
  <c r="AH252"/>
  <c r="B252" s="1"/>
  <c r="AH251"/>
  <c r="AG247"/>
  <c r="AF247"/>
  <c r="AE247"/>
  <c r="AC247"/>
  <c r="AB247"/>
  <c r="AA247"/>
  <c r="Z247"/>
  <c r="Y247"/>
  <c r="X247"/>
  <c r="W247"/>
  <c r="V247"/>
  <c r="U247"/>
  <c r="T247"/>
  <c r="S247"/>
  <c r="R247"/>
  <c r="Q247"/>
  <c r="P247"/>
  <c r="O247"/>
  <c r="N247"/>
  <c r="M247"/>
  <c r="L247"/>
  <c r="K247"/>
  <c r="J247"/>
  <c r="I247"/>
  <c r="H247"/>
  <c r="G247"/>
  <c r="F247"/>
  <c r="D247"/>
  <c r="C247"/>
  <c r="AH246"/>
  <c r="B246" s="1"/>
  <c r="AH245"/>
  <c r="B245" s="1"/>
  <c r="AH244"/>
  <c r="B244" s="1"/>
  <c r="AH243"/>
  <c r="B243" s="1"/>
  <c r="AH242"/>
  <c r="B242" s="1"/>
  <c r="AH241"/>
  <c r="B241" s="1"/>
  <c r="AH240"/>
  <c r="B240" s="1"/>
  <c r="AH239"/>
  <c r="B239" s="1"/>
  <c r="AH238"/>
  <c r="B238" s="1"/>
  <c r="AH237"/>
  <c r="B237" s="1"/>
  <c r="AH236"/>
  <c r="B236" s="1"/>
  <c r="AH235"/>
  <c r="B235" s="1"/>
  <c r="AG231"/>
  <c r="AF231"/>
  <c r="AE231"/>
  <c r="AC231"/>
  <c r="AB231"/>
  <c r="AA231"/>
  <c r="Z231"/>
  <c r="Y231"/>
  <c r="X231"/>
  <c r="W231"/>
  <c r="V231"/>
  <c r="U231"/>
  <c r="T231"/>
  <c r="S231"/>
  <c r="R231"/>
  <c r="Q231"/>
  <c r="P231"/>
  <c r="O231"/>
  <c r="N231"/>
  <c r="M231"/>
  <c r="L231"/>
  <c r="K231"/>
  <c r="J231"/>
  <c r="I231"/>
  <c r="H231"/>
  <c r="G231"/>
  <c r="F231"/>
  <c r="D231"/>
  <c r="C231"/>
  <c r="AH230"/>
  <c r="B230" s="1"/>
  <c r="AH229"/>
  <c r="B229" s="1"/>
  <c r="AH228"/>
  <c r="B228" s="1"/>
  <c r="AH227"/>
  <c r="B227" s="1"/>
  <c r="AH226"/>
  <c r="B226" s="1"/>
  <c r="AH225"/>
  <c r="B225" s="1"/>
  <c r="AH224"/>
  <c r="B224" s="1"/>
  <c r="AH223"/>
  <c r="AH222"/>
  <c r="B222" s="1"/>
  <c r="AH221"/>
  <c r="B221" s="1"/>
  <c r="AH220"/>
  <c r="B220" s="1"/>
  <c r="AH219"/>
  <c r="B219" s="1"/>
  <c r="AG215"/>
  <c r="AF215"/>
  <c r="AE215"/>
  <c r="AC215"/>
  <c r="AB215"/>
  <c r="AA215"/>
  <c r="Z215"/>
  <c r="Y215"/>
  <c r="X215"/>
  <c r="W215"/>
  <c r="V215"/>
  <c r="U215"/>
  <c r="T215"/>
  <c r="S215"/>
  <c r="R215"/>
  <c r="Q215"/>
  <c r="P215"/>
  <c r="O215"/>
  <c r="N215"/>
  <c r="M215"/>
  <c r="L215"/>
  <c r="K215"/>
  <c r="J215"/>
  <c r="I215"/>
  <c r="H215"/>
  <c r="G215"/>
  <c r="F215"/>
  <c r="D215"/>
  <c r="C215"/>
  <c r="AH214"/>
  <c r="B214" s="1"/>
  <c r="AH213"/>
  <c r="B213" s="1"/>
  <c r="AH212"/>
  <c r="B212" s="1"/>
  <c r="AH211"/>
  <c r="B211" s="1"/>
  <c r="AH210"/>
  <c r="B210" s="1"/>
  <c r="AH209"/>
  <c r="B209" s="1"/>
  <c r="AH208"/>
  <c r="B208" s="1"/>
  <c r="AH207"/>
  <c r="B207" s="1"/>
  <c r="AH206"/>
  <c r="B206" s="1"/>
  <c r="AH205"/>
  <c r="B205" s="1"/>
  <c r="AH204"/>
  <c r="B204" s="1"/>
  <c r="AH203"/>
  <c r="B203" s="1"/>
  <c r="AG199"/>
  <c r="AF199"/>
  <c r="AE199"/>
  <c r="AC199"/>
  <c r="AB199"/>
  <c r="AA199"/>
  <c r="Z199"/>
  <c r="Y199"/>
  <c r="X199"/>
  <c r="W199"/>
  <c r="V199"/>
  <c r="U199"/>
  <c r="T199"/>
  <c r="S199"/>
  <c r="R199"/>
  <c r="Q199"/>
  <c r="P199"/>
  <c r="O199"/>
  <c r="N199"/>
  <c r="M199"/>
  <c r="L199"/>
  <c r="K199"/>
  <c r="J199"/>
  <c r="I199"/>
  <c r="H199"/>
  <c r="G199"/>
  <c r="F199"/>
  <c r="D199"/>
  <c r="C199"/>
  <c r="AH198"/>
  <c r="B198" s="1"/>
  <c r="AH197"/>
  <c r="B197" s="1"/>
  <c r="AH196"/>
  <c r="B196" s="1"/>
  <c r="AH195"/>
  <c r="B195" s="1"/>
  <c r="AH194"/>
  <c r="B194" s="1"/>
  <c r="AH193"/>
  <c r="B193" s="1"/>
  <c r="AH192"/>
  <c r="B192" s="1"/>
  <c r="AH191"/>
  <c r="B191" s="1"/>
  <c r="AH190"/>
  <c r="B190" s="1"/>
  <c r="AH189"/>
  <c r="B189" s="1"/>
  <c r="AH188"/>
  <c r="B188" s="1"/>
  <c r="AH187"/>
  <c r="AG183"/>
  <c r="AF183"/>
  <c r="AE183"/>
  <c r="AC183"/>
  <c r="AB183"/>
  <c r="AA183"/>
  <c r="Z183"/>
  <c r="Y183"/>
  <c r="X183"/>
  <c r="W183"/>
  <c r="V183"/>
  <c r="U183"/>
  <c r="T183"/>
  <c r="S183"/>
  <c r="R183"/>
  <c r="Q183"/>
  <c r="P183"/>
  <c r="O183"/>
  <c r="N183"/>
  <c r="M183"/>
  <c r="L183"/>
  <c r="K183"/>
  <c r="J183"/>
  <c r="I183"/>
  <c r="H183"/>
  <c r="G183"/>
  <c r="F183"/>
  <c r="D183"/>
  <c r="C183"/>
  <c r="AH182"/>
  <c r="B182" s="1"/>
  <c r="AH181"/>
  <c r="B181" s="1"/>
  <c r="AH180"/>
  <c r="B180" s="1"/>
  <c r="AH179"/>
  <c r="B179" s="1"/>
  <c r="AH178"/>
  <c r="B178" s="1"/>
  <c r="AH177"/>
  <c r="B177" s="1"/>
  <c r="AH176"/>
  <c r="B176" s="1"/>
  <c r="AH175"/>
  <c r="B175" s="1"/>
  <c r="AH174"/>
  <c r="B174" s="1"/>
  <c r="AH173"/>
  <c r="B173" s="1"/>
  <c r="AH172"/>
  <c r="B172" s="1"/>
  <c r="AH171"/>
  <c r="B171" s="1"/>
  <c r="AG167"/>
  <c r="AF167"/>
  <c r="AE167"/>
  <c r="AC167"/>
  <c r="AB167"/>
  <c r="AA167"/>
  <c r="Z167"/>
  <c r="Y167"/>
  <c r="X167"/>
  <c r="W167"/>
  <c r="V167"/>
  <c r="U167"/>
  <c r="T167"/>
  <c r="S167"/>
  <c r="R167"/>
  <c r="Q167"/>
  <c r="P167"/>
  <c r="O167"/>
  <c r="N167"/>
  <c r="M167"/>
  <c r="L167"/>
  <c r="K167"/>
  <c r="J167"/>
  <c r="I167"/>
  <c r="H167"/>
  <c r="G167"/>
  <c r="F167"/>
  <c r="D167"/>
  <c r="C167"/>
  <c r="AH166"/>
  <c r="B166" s="1"/>
  <c r="AH165"/>
  <c r="B165" s="1"/>
  <c r="AH164"/>
  <c r="B164" s="1"/>
  <c r="AH163"/>
  <c r="B163" s="1"/>
  <c r="AH162"/>
  <c r="B162" s="1"/>
  <c r="AH161"/>
  <c r="B161" s="1"/>
  <c r="AH160"/>
  <c r="B160" s="1"/>
  <c r="AH159"/>
  <c r="B159" s="1"/>
  <c r="AH158"/>
  <c r="B158" s="1"/>
  <c r="AH157"/>
  <c r="B157" s="1"/>
  <c r="AH156"/>
  <c r="B156" s="1"/>
  <c r="AH155"/>
  <c r="B155" s="1"/>
  <c r="AG151"/>
  <c r="AF151"/>
  <c r="AE151"/>
  <c r="AC151"/>
  <c r="AB151"/>
  <c r="AA151"/>
  <c r="Z151"/>
  <c r="Y151"/>
  <c r="X151"/>
  <c r="W151"/>
  <c r="V151"/>
  <c r="U151"/>
  <c r="T151"/>
  <c r="S151"/>
  <c r="R151"/>
  <c r="Q151"/>
  <c r="P151"/>
  <c r="O151"/>
  <c r="N151"/>
  <c r="M151"/>
  <c r="L151"/>
  <c r="K151"/>
  <c r="J151"/>
  <c r="I151"/>
  <c r="H151"/>
  <c r="G151"/>
  <c r="F151"/>
  <c r="D151"/>
  <c r="C151"/>
  <c r="AH150"/>
  <c r="B150" s="1"/>
  <c r="AH149"/>
  <c r="B149" s="1"/>
  <c r="AH148"/>
  <c r="B148" s="1"/>
  <c r="AH147"/>
  <c r="B147" s="1"/>
  <c r="AH146"/>
  <c r="B146" s="1"/>
  <c r="AH145"/>
  <c r="B145" s="1"/>
  <c r="AH144"/>
  <c r="B144" s="1"/>
  <c r="AH143"/>
  <c r="B143" s="1"/>
  <c r="AH142"/>
  <c r="B142" s="1"/>
  <c r="AH141"/>
  <c r="B141" s="1"/>
  <c r="AH140"/>
  <c r="B140" s="1"/>
  <c r="AH139"/>
  <c r="B139" s="1"/>
  <c r="AG135"/>
  <c r="AF135"/>
  <c r="AE135"/>
  <c r="AC135"/>
  <c r="AB135"/>
  <c r="AA135"/>
  <c r="Z135"/>
  <c r="Y135"/>
  <c r="X135"/>
  <c r="W135"/>
  <c r="V135"/>
  <c r="U135"/>
  <c r="T135"/>
  <c r="S135"/>
  <c r="R135"/>
  <c r="Q135"/>
  <c r="P135"/>
  <c r="O135"/>
  <c r="N135"/>
  <c r="M135"/>
  <c r="L135"/>
  <c r="K135"/>
  <c r="J135"/>
  <c r="I135"/>
  <c r="H135"/>
  <c r="G135"/>
  <c r="F135"/>
  <c r="D135"/>
  <c r="C135"/>
  <c r="AH134"/>
  <c r="B134" s="1"/>
  <c r="AH133"/>
  <c r="B133" s="1"/>
  <c r="AH132"/>
  <c r="B132" s="1"/>
  <c r="AH131"/>
  <c r="B131" s="1"/>
  <c r="AH130"/>
  <c r="B130" s="1"/>
  <c r="AH129"/>
  <c r="B129" s="1"/>
  <c r="AH128"/>
  <c r="B128" s="1"/>
  <c r="AH127"/>
  <c r="B127" s="1"/>
  <c r="AH126"/>
  <c r="B126" s="1"/>
  <c r="AH125"/>
  <c r="B125" s="1"/>
  <c r="AH124"/>
  <c r="B124" s="1"/>
  <c r="AH123"/>
  <c r="B123" s="1"/>
  <c r="AG119"/>
  <c r="AF119"/>
  <c r="AE119"/>
  <c r="AC119"/>
  <c r="AB119"/>
  <c r="AA119"/>
  <c r="Z119"/>
  <c r="Y119"/>
  <c r="X119"/>
  <c r="W119"/>
  <c r="V119"/>
  <c r="U119"/>
  <c r="T119"/>
  <c r="S119"/>
  <c r="R119"/>
  <c r="Q119"/>
  <c r="P119"/>
  <c r="O119"/>
  <c r="N119"/>
  <c r="M119"/>
  <c r="L119"/>
  <c r="K119"/>
  <c r="J119"/>
  <c r="I119"/>
  <c r="H119"/>
  <c r="G119"/>
  <c r="F119"/>
  <c r="D119"/>
  <c r="C119"/>
  <c r="AH118"/>
  <c r="B118" s="1"/>
  <c r="AH117"/>
  <c r="B117" s="1"/>
  <c r="AH116"/>
  <c r="B116" s="1"/>
  <c r="AH115"/>
  <c r="B115" s="1"/>
  <c r="AH114"/>
  <c r="B114" s="1"/>
  <c r="AH113"/>
  <c r="B113" s="1"/>
  <c r="AH112"/>
  <c r="B112" s="1"/>
  <c r="AH111"/>
  <c r="AH110"/>
  <c r="B110" s="1"/>
  <c r="AH109"/>
  <c r="B109" s="1"/>
  <c r="AH108"/>
  <c r="B108" s="1"/>
  <c r="AH107"/>
  <c r="B107" s="1"/>
  <c r="AG103"/>
  <c r="AF103"/>
  <c r="AE103"/>
  <c r="AC103"/>
  <c r="AB103"/>
  <c r="AA103"/>
  <c r="Z103"/>
  <c r="Y103"/>
  <c r="X103"/>
  <c r="W103"/>
  <c r="V103"/>
  <c r="U103"/>
  <c r="T103"/>
  <c r="S103"/>
  <c r="R103"/>
  <c r="Q103"/>
  <c r="P103"/>
  <c r="O103"/>
  <c r="N103"/>
  <c r="M103"/>
  <c r="L103"/>
  <c r="K103"/>
  <c r="J103"/>
  <c r="I103"/>
  <c r="H103"/>
  <c r="G103"/>
  <c r="F103"/>
  <c r="D103"/>
  <c r="C103"/>
  <c r="AH102"/>
  <c r="B102" s="1"/>
  <c r="AH101"/>
  <c r="B101" s="1"/>
  <c r="AH100"/>
  <c r="B100" s="1"/>
  <c r="AH99"/>
  <c r="B99" s="1"/>
  <c r="AH98"/>
  <c r="B98" s="1"/>
  <c r="AH97"/>
  <c r="B97" s="1"/>
  <c r="AH96"/>
  <c r="B96" s="1"/>
  <c r="AH95"/>
  <c r="B95" s="1"/>
  <c r="AH94"/>
  <c r="B94" s="1"/>
  <c r="AH93"/>
  <c r="B93" s="1"/>
  <c r="AH92"/>
  <c r="B92" s="1"/>
  <c r="AH91"/>
  <c r="B91" s="1"/>
  <c r="AG85"/>
  <c r="AF85"/>
  <c r="AE85"/>
  <c r="AC85"/>
  <c r="AB85"/>
  <c r="AA85"/>
  <c r="Z85"/>
  <c r="Y85"/>
  <c r="X85"/>
  <c r="W85"/>
  <c r="V85"/>
  <c r="U85"/>
  <c r="T85"/>
  <c r="S85"/>
  <c r="R85"/>
  <c r="Q85"/>
  <c r="P85"/>
  <c r="O85"/>
  <c r="N85"/>
  <c r="M85"/>
  <c r="L85"/>
  <c r="K85"/>
  <c r="J85"/>
  <c r="I85"/>
  <c r="H85"/>
  <c r="G85"/>
  <c r="F85"/>
  <c r="E85"/>
  <c r="D85"/>
  <c r="C85"/>
  <c r="AH84"/>
  <c r="B84" s="1"/>
  <c r="AH83"/>
  <c r="B83" s="1"/>
  <c r="AH82"/>
  <c r="B82" s="1"/>
  <c r="AH81"/>
  <c r="B81" s="1"/>
  <c r="AH80"/>
  <c r="B80" s="1"/>
  <c r="AH79"/>
  <c r="B79" s="1"/>
  <c r="AH78"/>
  <c r="B78" s="1"/>
  <c r="AH77"/>
  <c r="B77" s="1"/>
  <c r="AH76"/>
  <c r="B76" s="1"/>
  <c r="AH75"/>
  <c r="B75" s="1"/>
  <c r="AH74"/>
  <c r="B74" s="1"/>
  <c r="AH73"/>
  <c r="AG69"/>
  <c r="AF69"/>
  <c r="AE69"/>
  <c r="AC69"/>
  <c r="AB69"/>
  <c r="AA69"/>
  <c r="Z69"/>
  <c r="Y69"/>
  <c r="X69"/>
  <c r="W69"/>
  <c r="V69"/>
  <c r="U69"/>
  <c r="T69"/>
  <c r="S69"/>
  <c r="R69"/>
  <c r="Q69"/>
  <c r="P69"/>
  <c r="O69"/>
  <c r="N69"/>
  <c r="M69"/>
  <c r="L69"/>
  <c r="K69"/>
  <c r="J69"/>
  <c r="I69"/>
  <c r="H69"/>
  <c r="G69"/>
  <c r="F69"/>
  <c r="E69"/>
  <c r="D69"/>
  <c r="C69"/>
  <c r="AH68"/>
  <c r="B68" s="1"/>
  <c r="AH67"/>
  <c r="B67" s="1"/>
  <c r="AH66"/>
  <c r="B66" s="1"/>
  <c r="AH65"/>
  <c r="B65" s="1"/>
  <c r="AH64"/>
  <c r="B64" s="1"/>
  <c r="AH63"/>
  <c r="B63" s="1"/>
  <c r="AH62"/>
  <c r="B62" s="1"/>
  <c r="AH61"/>
  <c r="B61" s="1"/>
  <c r="AH60"/>
  <c r="B60" s="1"/>
  <c r="AH59"/>
  <c r="B59" s="1"/>
  <c r="AH58"/>
  <c r="B58" s="1"/>
  <c r="AH57"/>
  <c r="AG53"/>
  <c r="AF53"/>
  <c r="AE53"/>
  <c r="AC53"/>
  <c r="AB53"/>
  <c r="AA53"/>
  <c r="Z53"/>
  <c r="Y53"/>
  <c r="X53"/>
  <c r="W53"/>
  <c r="V53"/>
  <c r="U53"/>
  <c r="T53"/>
  <c r="S53"/>
  <c r="R53"/>
  <c r="Q53"/>
  <c r="P53"/>
  <c r="O53"/>
  <c r="N53"/>
  <c r="M53"/>
  <c r="L53"/>
  <c r="K53"/>
  <c r="J53"/>
  <c r="I53"/>
  <c r="H53"/>
  <c r="G53"/>
  <c r="F53"/>
  <c r="E53"/>
  <c r="D53"/>
  <c r="C53"/>
  <c r="AH52"/>
  <c r="B52" s="1"/>
  <c r="AH51"/>
  <c r="B51" s="1"/>
  <c r="AH50"/>
  <c r="B50" s="1"/>
  <c r="AH49"/>
  <c r="B49" s="1"/>
  <c r="AH48"/>
  <c r="B48" s="1"/>
  <c r="AH47"/>
  <c r="B47" s="1"/>
  <c r="AH46"/>
  <c r="B46" s="1"/>
  <c r="AH45"/>
  <c r="B45" s="1"/>
  <c r="AH44"/>
  <c r="B44" s="1"/>
  <c r="AH43"/>
  <c r="B43" s="1"/>
  <c r="AH42"/>
  <c r="B42" s="1"/>
  <c r="AH41"/>
  <c r="B41" s="1"/>
  <c r="AG36"/>
  <c r="AF36"/>
  <c r="AE36"/>
  <c r="AC36"/>
  <c r="AB36"/>
  <c r="AA36"/>
  <c r="Z36"/>
  <c r="Y36"/>
  <c r="X36"/>
  <c r="W36"/>
  <c r="V36"/>
  <c r="U36"/>
  <c r="T36"/>
  <c r="S36"/>
  <c r="R36"/>
  <c r="Q36"/>
  <c r="P36"/>
  <c r="O36"/>
  <c r="N36"/>
  <c r="M36"/>
  <c r="L36"/>
  <c r="K36"/>
  <c r="J36"/>
  <c r="I36"/>
  <c r="H36"/>
  <c r="G36"/>
  <c r="F36"/>
  <c r="D36"/>
  <c r="C36"/>
  <c r="AH35"/>
  <c r="B35" s="1"/>
  <c r="AH34"/>
  <c r="B34" s="1"/>
  <c r="AH33"/>
  <c r="B33" s="1"/>
  <c r="AH32"/>
  <c r="B32" s="1"/>
  <c r="AH31"/>
  <c r="B31" s="1"/>
  <c r="AH30"/>
  <c r="B30" s="1"/>
  <c r="AH29"/>
  <c r="B29" s="1"/>
  <c r="AH28"/>
  <c r="B28" s="1"/>
  <c r="AH27"/>
  <c r="B27" s="1"/>
  <c r="AH26"/>
  <c r="B26" s="1"/>
  <c r="AH25"/>
  <c r="B25" s="1"/>
  <c r="AH24"/>
  <c r="B24" s="1"/>
  <c r="AG20"/>
  <c r="AF20"/>
  <c r="AE20"/>
  <c r="AC20"/>
  <c r="AB20"/>
  <c r="AA20"/>
  <c r="Z20"/>
  <c r="Y20"/>
  <c r="X20"/>
  <c r="W20"/>
  <c r="V20"/>
  <c r="U20"/>
  <c r="T20"/>
  <c r="S20"/>
  <c r="R20"/>
  <c r="Q20"/>
  <c r="P20"/>
  <c r="O20"/>
  <c r="N20"/>
  <c r="M20"/>
  <c r="L20"/>
  <c r="K20"/>
  <c r="J20"/>
  <c r="I20"/>
  <c r="H20"/>
  <c r="G20"/>
  <c r="F20"/>
  <c r="D20"/>
  <c r="C20"/>
  <c r="AH19"/>
  <c r="B19" s="1"/>
  <c r="AH18"/>
  <c r="B18" s="1"/>
  <c r="AH17"/>
  <c r="B17" s="1"/>
  <c r="AH16"/>
  <c r="B16" s="1"/>
  <c r="AH15"/>
  <c r="B15" s="1"/>
  <c r="AH14"/>
  <c r="B14" s="1"/>
  <c r="AH13"/>
  <c r="B13" s="1"/>
  <c r="AH12"/>
  <c r="B12" s="1"/>
  <c r="AH11"/>
  <c r="B11" s="1"/>
  <c r="AH10"/>
  <c r="B10" s="1"/>
  <c r="AH9"/>
  <c r="B9" s="1"/>
  <c r="AH8"/>
  <c r="B8" s="1"/>
  <c r="AG182" i="1024"/>
  <c r="AF182"/>
  <c r="AE182"/>
  <c r="AD182"/>
  <c r="AC182"/>
  <c r="AB182"/>
  <c r="AA182"/>
  <c r="Z182"/>
  <c r="Y182"/>
  <c r="X182"/>
  <c r="W182"/>
  <c r="V182"/>
  <c r="U182"/>
  <c r="T182"/>
  <c r="S182"/>
  <c r="R182"/>
  <c r="Q182"/>
  <c r="P182"/>
  <c r="O182"/>
  <c r="N182"/>
  <c r="M182"/>
  <c r="L182"/>
  <c r="K182"/>
  <c r="J182"/>
  <c r="I182"/>
  <c r="H182"/>
  <c r="G182"/>
  <c r="F182"/>
  <c r="E182"/>
  <c r="D182"/>
  <c r="C182"/>
  <c r="AH181"/>
  <c r="B181" s="1"/>
  <c r="AH180"/>
  <c r="B180" s="1"/>
  <c r="AH179"/>
  <c r="B179" s="1"/>
  <c r="AH178"/>
  <c r="B178" s="1"/>
  <c r="AH177"/>
  <c r="B177" s="1"/>
  <c r="AH176"/>
  <c r="B176" s="1"/>
  <c r="AH175"/>
  <c r="B175" s="1"/>
  <c r="AH174"/>
  <c r="B174" s="1"/>
  <c r="AH173"/>
  <c r="B173" s="1"/>
  <c r="AH172"/>
  <c r="B172" s="1"/>
  <c r="AH171"/>
  <c r="B171" s="1"/>
  <c r="AH170"/>
  <c r="AG166"/>
  <c r="AF166"/>
  <c r="AE166"/>
  <c r="AD166"/>
  <c r="AC166"/>
  <c r="AB166"/>
  <c r="AA166"/>
  <c r="Z166"/>
  <c r="Y166"/>
  <c r="X166"/>
  <c r="W166"/>
  <c r="V166"/>
  <c r="U166"/>
  <c r="T166"/>
  <c r="S166"/>
  <c r="R166"/>
  <c r="Q166"/>
  <c r="P166"/>
  <c r="O166"/>
  <c r="N166"/>
  <c r="M166"/>
  <c r="L166"/>
  <c r="K166"/>
  <c r="J166"/>
  <c r="I166"/>
  <c r="H166"/>
  <c r="G166"/>
  <c r="F166"/>
  <c r="E166"/>
  <c r="D166"/>
  <c r="C166"/>
  <c r="AH165"/>
  <c r="B165" s="1"/>
  <c r="AH164"/>
  <c r="B164" s="1"/>
  <c r="AH163"/>
  <c r="B163" s="1"/>
  <c r="AH162"/>
  <c r="B162" s="1"/>
  <c r="AH161"/>
  <c r="B161" s="1"/>
  <c r="AH160"/>
  <c r="B160" s="1"/>
  <c r="AH159"/>
  <c r="B159" s="1"/>
  <c r="AH158"/>
  <c r="B158" s="1"/>
  <c r="AH157"/>
  <c r="B157" s="1"/>
  <c r="AH156"/>
  <c r="B156" s="1"/>
  <c r="AH155"/>
  <c r="B155" s="1"/>
  <c r="AH154"/>
  <c r="AG150"/>
  <c r="AF150"/>
  <c r="AE150"/>
  <c r="AD150"/>
  <c r="AC150"/>
  <c r="AB150"/>
  <c r="AA150"/>
  <c r="Z150"/>
  <c r="Y150"/>
  <c r="X150"/>
  <c r="W150"/>
  <c r="V150"/>
  <c r="U150"/>
  <c r="T150"/>
  <c r="S150"/>
  <c r="R150"/>
  <c r="Q150"/>
  <c r="P150"/>
  <c r="O150"/>
  <c r="N150"/>
  <c r="M150"/>
  <c r="L150"/>
  <c r="K150"/>
  <c r="J150"/>
  <c r="I150"/>
  <c r="H150"/>
  <c r="G150"/>
  <c r="F150"/>
  <c r="E150"/>
  <c r="D150"/>
  <c r="C150"/>
  <c r="AH149"/>
  <c r="B149" s="1"/>
  <c r="AH148"/>
  <c r="B148" s="1"/>
  <c r="AH147"/>
  <c r="B147" s="1"/>
  <c r="AH146"/>
  <c r="B146" s="1"/>
  <c r="AH145"/>
  <c r="B145" s="1"/>
  <c r="AH144"/>
  <c r="B144" s="1"/>
  <c r="AH143"/>
  <c r="B143" s="1"/>
  <c r="AH142"/>
  <c r="AH141"/>
  <c r="B141" s="1"/>
  <c r="AH140"/>
  <c r="B140" s="1"/>
  <c r="AH139"/>
  <c r="B139" s="1"/>
  <c r="AH138"/>
  <c r="B138" s="1"/>
  <c r="AG133"/>
  <c r="AF133"/>
  <c r="AE133"/>
  <c r="AD133"/>
  <c r="AC133"/>
  <c r="AB133"/>
  <c r="AA133"/>
  <c r="Z133"/>
  <c r="Y133"/>
  <c r="X133"/>
  <c r="W133"/>
  <c r="V133"/>
  <c r="U133"/>
  <c r="T133"/>
  <c r="S133"/>
  <c r="R133"/>
  <c r="Q133"/>
  <c r="P133"/>
  <c r="O133"/>
  <c r="N133"/>
  <c r="M133"/>
  <c r="L133"/>
  <c r="K133"/>
  <c r="J133"/>
  <c r="I133"/>
  <c r="H133"/>
  <c r="G133"/>
  <c r="F133"/>
  <c r="E133"/>
  <c r="D133"/>
  <c r="C133"/>
  <c r="AH132"/>
  <c r="B132" s="1"/>
  <c r="AH131"/>
  <c r="B131" s="1"/>
  <c r="AH130"/>
  <c r="B130" s="1"/>
  <c r="AH129"/>
  <c r="B129" s="1"/>
  <c r="AH128"/>
  <c r="B128" s="1"/>
  <c r="AH127"/>
  <c r="B127" s="1"/>
  <c r="AH126"/>
  <c r="B126" s="1"/>
  <c r="AH125"/>
  <c r="B125" s="1"/>
  <c r="AH124"/>
  <c r="B124" s="1"/>
  <c r="AH123"/>
  <c r="B123" s="1"/>
  <c r="AH122"/>
  <c r="B122" s="1"/>
  <c r="AH121"/>
  <c r="B121" s="1"/>
  <c r="AG117"/>
  <c r="AF117"/>
  <c r="AE117"/>
  <c r="AD117"/>
  <c r="AC117"/>
  <c r="AB117"/>
  <c r="AA117"/>
  <c r="Z117"/>
  <c r="Y117"/>
  <c r="X117"/>
  <c r="W117"/>
  <c r="V117"/>
  <c r="U117"/>
  <c r="T117"/>
  <c r="S117"/>
  <c r="R117"/>
  <c r="Q117"/>
  <c r="P117"/>
  <c r="O117"/>
  <c r="N117"/>
  <c r="M117"/>
  <c r="L117"/>
  <c r="K117"/>
  <c r="J117"/>
  <c r="I117"/>
  <c r="H117"/>
  <c r="G117"/>
  <c r="F117"/>
  <c r="E117"/>
  <c r="D117"/>
  <c r="C117"/>
  <c r="AH116"/>
  <c r="B116" s="1"/>
  <c r="AH115"/>
  <c r="B115" s="1"/>
  <c r="AH114"/>
  <c r="B114" s="1"/>
  <c r="AH113"/>
  <c r="B113" s="1"/>
  <c r="AH112"/>
  <c r="B112" s="1"/>
  <c r="AH111"/>
  <c r="B111" s="1"/>
  <c r="AH110"/>
  <c r="B110" s="1"/>
  <c r="AH109"/>
  <c r="B109" s="1"/>
  <c r="AH108"/>
  <c r="B108" s="1"/>
  <c r="AH107"/>
  <c r="B107" s="1"/>
  <c r="AH106"/>
  <c r="B106" s="1"/>
  <c r="AH105"/>
  <c r="AG101"/>
  <c r="AF101"/>
  <c r="AE101"/>
  <c r="AD101"/>
  <c r="AC101"/>
  <c r="AB101"/>
  <c r="AA101"/>
  <c r="Z101"/>
  <c r="Y101"/>
  <c r="X101"/>
  <c r="W101"/>
  <c r="V101"/>
  <c r="U101"/>
  <c r="T101"/>
  <c r="S101"/>
  <c r="R101"/>
  <c r="Q101"/>
  <c r="P101"/>
  <c r="O101"/>
  <c r="N101"/>
  <c r="M101"/>
  <c r="L101"/>
  <c r="K101"/>
  <c r="J101"/>
  <c r="I101"/>
  <c r="H101"/>
  <c r="G101"/>
  <c r="F101"/>
  <c r="E101"/>
  <c r="D101"/>
  <c r="C101"/>
  <c r="AH100"/>
  <c r="B100" s="1"/>
  <c r="AH99"/>
  <c r="B99" s="1"/>
  <c r="AH98"/>
  <c r="B98" s="1"/>
  <c r="AH97"/>
  <c r="B97" s="1"/>
  <c r="AH96"/>
  <c r="B96" s="1"/>
  <c r="AH95"/>
  <c r="B95" s="1"/>
  <c r="AH94"/>
  <c r="B94" s="1"/>
  <c r="AH93"/>
  <c r="B93" s="1"/>
  <c r="AH92"/>
  <c r="B92" s="1"/>
  <c r="AH91"/>
  <c r="B91" s="1"/>
  <c r="AH90"/>
  <c r="B90" s="1"/>
  <c r="AH89"/>
  <c r="AH83"/>
  <c r="B83" s="1"/>
  <c r="AH82"/>
  <c r="B82" s="1"/>
  <c r="AH81"/>
  <c r="B81" s="1"/>
  <c r="AH80"/>
  <c r="B80" s="1"/>
  <c r="AH79"/>
  <c r="B79" s="1"/>
  <c r="AH78"/>
  <c r="B78" s="1"/>
  <c r="AH77"/>
  <c r="B77" s="1"/>
  <c r="AH76"/>
  <c r="B76" s="1"/>
  <c r="AH75"/>
  <c r="B75" s="1"/>
  <c r="AH74"/>
  <c r="B74" s="1"/>
  <c r="AH73"/>
  <c r="B73" s="1"/>
  <c r="AH72"/>
  <c r="B72" s="1"/>
  <c r="AH67"/>
  <c r="B67" s="1"/>
  <c r="AH66"/>
  <c r="B66" s="1"/>
  <c r="AH65"/>
  <c r="B65" s="1"/>
  <c r="AH64"/>
  <c r="B64" s="1"/>
  <c r="AH63"/>
  <c r="B63" s="1"/>
  <c r="AH62"/>
  <c r="B62" s="1"/>
  <c r="AH61"/>
  <c r="B61" s="1"/>
  <c r="AH60"/>
  <c r="B60" s="1"/>
  <c r="AH59"/>
  <c r="B59" s="1"/>
  <c r="AH58"/>
  <c r="B58" s="1"/>
  <c r="AH57"/>
  <c r="B57" s="1"/>
  <c r="AH56"/>
  <c r="B56" s="1"/>
  <c r="AH51"/>
  <c r="B51" s="1"/>
  <c r="AH50"/>
  <c r="B50" s="1"/>
  <c r="AH49"/>
  <c r="B49" s="1"/>
  <c r="AH48"/>
  <c r="B48" s="1"/>
  <c r="AH47"/>
  <c r="B47" s="1"/>
  <c r="AH46"/>
  <c r="B46" s="1"/>
  <c r="AH45"/>
  <c r="B45" s="1"/>
  <c r="AH44"/>
  <c r="B44" s="1"/>
  <c r="AH43"/>
  <c r="B43" s="1"/>
  <c r="AH42"/>
  <c r="B42" s="1"/>
  <c r="AH41"/>
  <c r="B41" s="1"/>
  <c r="AH40"/>
  <c r="B40" s="1"/>
  <c r="AH35"/>
  <c r="B35" s="1"/>
  <c r="AH34"/>
  <c r="B34" s="1"/>
  <c r="AH33"/>
  <c r="B33" s="1"/>
  <c r="AH32"/>
  <c r="B32" s="1"/>
  <c r="AH31"/>
  <c r="B31" s="1"/>
  <c r="AH30"/>
  <c r="B30" s="1"/>
  <c r="AH29"/>
  <c r="B29" s="1"/>
  <c r="AH28"/>
  <c r="B28" s="1"/>
  <c r="AH27"/>
  <c r="B27" s="1"/>
  <c r="AH26"/>
  <c r="B26" s="1"/>
  <c r="AH25"/>
  <c r="B25" s="1"/>
  <c r="AH24"/>
  <c r="AH23"/>
  <c r="BU18"/>
  <c r="AO18" s="1"/>
  <c r="AH18"/>
  <c r="B18" s="1"/>
  <c r="BU17"/>
  <c r="AO17" s="1"/>
  <c r="AH17"/>
  <c r="B17" s="1"/>
  <c r="BU16"/>
  <c r="AO16" s="1"/>
  <c r="AH16"/>
  <c r="B16" s="1"/>
  <c r="BU15"/>
  <c r="AO15" s="1"/>
  <c r="AH15"/>
  <c r="B15" s="1"/>
  <c r="BU14"/>
  <c r="AO14" s="1"/>
  <c r="AH14"/>
  <c r="B14" s="1"/>
  <c r="BU13"/>
  <c r="AO13" s="1"/>
  <c r="AH13"/>
  <c r="B13" s="1"/>
  <c r="BU12"/>
  <c r="AO12" s="1"/>
  <c r="AH12"/>
  <c r="B12" s="1"/>
  <c r="BU11"/>
  <c r="AO11" s="1"/>
  <c r="AH11"/>
  <c r="BU10"/>
  <c r="AO10" s="1"/>
  <c r="AH10"/>
  <c r="B10" s="1"/>
  <c r="BU9"/>
  <c r="AO9" s="1"/>
  <c r="AH9"/>
  <c r="B9" s="1"/>
  <c r="BU8"/>
  <c r="AH8"/>
  <c r="B8" s="1"/>
  <c r="BU7"/>
  <c r="AO7" s="1"/>
  <c r="AH7"/>
  <c r="B7" s="1"/>
  <c r="AG618" i="2316"/>
  <c r="AF618"/>
  <c r="AE618"/>
  <c r="AC618"/>
  <c r="AB618"/>
  <c r="AA618"/>
  <c r="Z618"/>
  <c r="Y618"/>
  <c r="X618"/>
  <c r="W618"/>
  <c r="V618"/>
  <c r="U618"/>
  <c r="T618"/>
  <c r="S618"/>
  <c r="R618"/>
  <c r="Q618"/>
  <c r="P618"/>
  <c r="O618"/>
  <c r="N618"/>
  <c r="M618"/>
  <c r="L618"/>
  <c r="K618"/>
  <c r="J618"/>
  <c r="I618"/>
  <c r="H618"/>
  <c r="G618"/>
  <c r="F618"/>
  <c r="D618"/>
  <c r="C618"/>
  <c r="AH617"/>
  <c r="B617" s="1"/>
  <c r="AH616"/>
  <c r="B616" s="1"/>
  <c r="AH615"/>
  <c r="B615" s="1"/>
  <c r="AH614"/>
  <c r="B614" s="1"/>
  <c r="AH613"/>
  <c r="B613" s="1"/>
  <c r="AH612"/>
  <c r="B612" s="1"/>
  <c r="AH611"/>
  <c r="B611" s="1"/>
  <c r="AH610"/>
  <c r="B610" s="1"/>
  <c r="AH609"/>
  <c r="B609" s="1"/>
  <c r="AH608"/>
  <c r="B608" s="1"/>
  <c r="AH607"/>
  <c r="B607" s="1"/>
  <c r="AH606"/>
  <c r="AG602"/>
  <c r="AF602"/>
  <c r="AE602"/>
  <c r="AC602"/>
  <c r="AB602"/>
  <c r="AA602"/>
  <c r="Z602"/>
  <c r="Y602"/>
  <c r="X602"/>
  <c r="W602"/>
  <c r="V602"/>
  <c r="U602"/>
  <c r="T602"/>
  <c r="S602"/>
  <c r="R602"/>
  <c r="Q602"/>
  <c r="P602"/>
  <c r="O602"/>
  <c r="N602"/>
  <c r="M602"/>
  <c r="L602"/>
  <c r="K602"/>
  <c r="J602"/>
  <c r="I602"/>
  <c r="H602"/>
  <c r="G602"/>
  <c r="F602"/>
  <c r="D602"/>
  <c r="C602"/>
  <c r="AH601"/>
  <c r="B601" s="1"/>
  <c r="AH600"/>
  <c r="B600" s="1"/>
  <c r="AH599"/>
  <c r="B599" s="1"/>
  <c r="AH598"/>
  <c r="B598" s="1"/>
  <c r="AH597"/>
  <c r="B597" s="1"/>
  <c r="AH596"/>
  <c r="B596" s="1"/>
  <c r="AH595"/>
  <c r="B595" s="1"/>
  <c r="AH594"/>
  <c r="B594" s="1"/>
  <c r="AH593"/>
  <c r="B593" s="1"/>
  <c r="AH592"/>
  <c r="B592" s="1"/>
  <c r="AH591"/>
  <c r="B591" s="1"/>
  <c r="AH590"/>
  <c r="AG586"/>
  <c r="AF586"/>
  <c r="AE586"/>
  <c r="AC586"/>
  <c r="AB586"/>
  <c r="AA586"/>
  <c r="Z586"/>
  <c r="Y586"/>
  <c r="X586"/>
  <c r="W586"/>
  <c r="V586"/>
  <c r="U586"/>
  <c r="T586"/>
  <c r="S586"/>
  <c r="R586"/>
  <c r="Q586"/>
  <c r="P586"/>
  <c r="O586"/>
  <c r="N586"/>
  <c r="M586"/>
  <c r="L586"/>
  <c r="K586"/>
  <c r="J586"/>
  <c r="I586"/>
  <c r="H586"/>
  <c r="G586"/>
  <c r="F586"/>
  <c r="D586"/>
  <c r="C586"/>
  <c r="AH585"/>
  <c r="B585" s="1"/>
  <c r="AH584"/>
  <c r="B584" s="1"/>
  <c r="AH583"/>
  <c r="B583" s="1"/>
  <c r="AH582"/>
  <c r="B582" s="1"/>
  <c r="AH581"/>
  <c r="B581" s="1"/>
  <c r="AH580"/>
  <c r="B580" s="1"/>
  <c r="AH579"/>
  <c r="B579" s="1"/>
  <c r="AH578"/>
  <c r="B578" s="1"/>
  <c r="AH577"/>
  <c r="B577" s="1"/>
  <c r="AH576"/>
  <c r="B576" s="1"/>
  <c r="AH575"/>
  <c r="B575" s="1"/>
  <c r="AH574"/>
  <c r="AG570"/>
  <c r="AF570"/>
  <c r="AE570"/>
  <c r="AC570"/>
  <c r="AB570"/>
  <c r="AA570"/>
  <c r="Z570"/>
  <c r="Y570"/>
  <c r="X570"/>
  <c r="W570"/>
  <c r="V570"/>
  <c r="U570"/>
  <c r="T570"/>
  <c r="S570"/>
  <c r="R570"/>
  <c r="Q570"/>
  <c r="P570"/>
  <c r="O570"/>
  <c r="N570"/>
  <c r="M570"/>
  <c r="L570"/>
  <c r="K570"/>
  <c r="J570"/>
  <c r="I570"/>
  <c r="H570"/>
  <c r="G570"/>
  <c r="F570"/>
  <c r="D570"/>
  <c r="C570"/>
  <c r="AH569"/>
  <c r="B569" s="1"/>
  <c r="AH568"/>
  <c r="B568" s="1"/>
  <c r="AH567"/>
  <c r="B567" s="1"/>
  <c r="AH566"/>
  <c r="B566" s="1"/>
  <c r="AH565"/>
  <c r="B565" s="1"/>
  <c r="AH564"/>
  <c r="B564" s="1"/>
  <c r="AH563"/>
  <c r="B563" s="1"/>
  <c r="AH562"/>
  <c r="B562" s="1"/>
  <c r="AH561"/>
  <c r="B561" s="1"/>
  <c r="AH560"/>
  <c r="B560" s="1"/>
  <c r="AH559"/>
  <c r="B559" s="1"/>
  <c r="AH558"/>
  <c r="B558" s="1"/>
  <c r="AG554"/>
  <c r="AF554"/>
  <c r="AE554"/>
  <c r="AC554"/>
  <c r="AB554"/>
  <c r="AA554"/>
  <c r="Z554"/>
  <c r="Y554"/>
  <c r="X554"/>
  <c r="W554"/>
  <c r="V554"/>
  <c r="U554"/>
  <c r="T554"/>
  <c r="S554"/>
  <c r="R554"/>
  <c r="Q554"/>
  <c r="P554"/>
  <c r="O554"/>
  <c r="N554"/>
  <c r="M554"/>
  <c r="L554"/>
  <c r="K554"/>
  <c r="J554"/>
  <c r="I554"/>
  <c r="H554"/>
  <c r="G554"/>
  <c r="F554"/>
  <c r="D554"/>
  <c r="C554"/>
  <c r="AH553"/>
  <c r="B553" s="1"/>
  <c r="AH552"/>
  <c r="B552" s="1"/>
  <c r="AH551"/>
  <c r="B551" s="1"/>
  <c r="AH550"/>
  <c r="B550" s="1"/>
  <c r="AH549"/>
  <c r="B549" s="1"/>
  <c r="AH548"/>
  <c r="B548" s="1"/>
  <c r="AH547"/>
  <c r="B547" s="1"/>
  <c r="AH546"/>
  <c r="B546" s="1"/>
  <c r="AH545"/>
  <c r="B545" s="1"/>
  <c r="AH544"/>
  <c r="B544" s="1"/>
  <c r="AH543"/>
  <c r="B543" s="1"/>
  <c r="AH542"/>
  <c r="AG538"/>
  <c r="AF538"/>
  <c r="AE538"/>
  <c r="AC538"/>
  <c r="AB538"/>
  <c r="AA538"/>
  <c r="Z538"/>
  <c r="Y538"/>
  <c r="X538"/>
  <c r="W538"/>
  <c r="V538"/>
  <c r="U538"/>
  <c r="T538"/>
  <c r="S538"/>
  <c r="R538"/>
  <c r="Q538"/>
  <c r="P538"/>
  <c r="O538"/>
  <c r="N538"/>
  <c r="M538"/>
  <c r="L538"/>
  <c r="K538"/>
  <c r="J538"/>
  <c r="I538"/>
  <c r="H538"/>
  <c r="G538"/>
  <c r="F538"/>
  <c r="D538"/>
  <c r="C538"/>
  <c r="AH537"/>
  <c r="B537" s="1"/>
  <c r="AH536"/>
  <c r="B536" s="1"/>
  <c r="AH535"/>
  <c r="B535" s="1"/>
  <c r="AH534"/>
  <c r="B534" s="1"/>
  <c r="AH533"/>
  <c r="B533" s="1"/>
  <c r="AH532"/>
  <c r="B532" s="1"/>
  <c r="AH531"/>
  <c r="B531" s="1"/>
  <c r="AH530"/>
  <c r="B530" s="1"/>
  <c r="AH529"/>
  <c r="B529" s="1"/>
  <c r="AH528"/>
  <c r="B528" s="1"/>
  <c r="AH527"/>
  <c r="B527" s="1"/>
  <c r="AH526"/>
  <c r="AG522"/>
  <c r="AF522"/>
  <c r="AE522"/>
  <c r="AC522"/>
  <c r="AB522"/>
  <c r="AA522"/>
  <c r="Z522"/>
  <c r="Y522"/>
  <c r="X522"/>
  <c r="W522"/>
  <c r="V522"/>
  <c r="U522"/>
  <c r="T522"/>
  <c r="S522"/>
  <c r="R522"/>
  <c r="Q522"/>
  <c r="P522"/>
  <c r="O522"/>
  <c r="N522"/>
  <c r="M522"/>
  <c r="L522"/>
  <c r="K522"/>
  <c r="J522"/>
  <c r="I522"/>
  <c r="H522"/>
  <c r="G522"/>
  <c r="F522"/>
  <c r="D522"/>
  <c r="C522"/>
  <c r="AH521"/>
  <c r="B521" s="1"/>
  <c r="AH520"/>
  <c r="B520" s="1"/>
  <c r="AH519"/>
  <c r="B519" s="1"/>
  <c r="AH518"/>
  <c r="B518" s="1"/>
  <c r="AH517"/>
  <c r="B517" s="1"/>
  <c r="AH516"/>
  <c r="B516" s="1"/>
  <c r="AH515"/>
  <c r="B515" s="1"/>
  <c r="AH514"/>
  <c r="B514" s="1"/>
  <c r="AH513"/>
  <c r="B513" s="1"/>
  <c r="AH512"/>
  <c r="B512" s="1"/>
  <c r="AH511"/>
  <c r="B511" s="1"/>
  <c r="AH510"/>
  <c r="AG506"/>
  <c r="AF506"/>
  <c r="AE506"/>
  <c r="AC506"/>
  <c r="AB506"/>
  <c r="AA506"/>
  <c r="Z506"/>
  <c r="Y506"/>
  <c r="X506"/>
  <c r="W506"/>
  <c r="V506"/>
  <c r="U506"/>
  <c r="T506"/>
  <c r="S506"/>
  <c r="R506"/>
  <c r="Q506"/>
  <c r="P506"/>
  <c r="O506"/>
  <c r="N506"/>
  <c r="M506"/>
  <c r="L506"/>
  <c r="K506"/>
  <c r="J506"/>
  <c r="I506"/>
  <c r="H506"/>
  <c r="G506"/>
  <c r="F506"/>
  <c r="D506"/>
  <c r="C506"/>
  <c r="AH505"/>
  <c r="B505" s="1"/>
  <c r="AH504"/>
  <c r="B504" s="1"/>
  <c r="AH503"/>
  <c r="B503" s="1"/>
  <c r="AH502"/>
  <c r="B502" s="1"/>
  <c r="AH501"/>
  <c r="B501" s="1"/>
  <c r="AH500"/>
  <c r="B500" s="1"/>
  <c r="AH499"/>
  <c r="B499" s="1"/>
  <c r="AH498"/>
  <c r="B498" s="1"/>
  <c r="AH497"/>
  <c r="B497" s="1"/>
  <c r="AH496"/>
  <c r="B496" s="1"/>
  <c r="AH495"/>
  <c r="B495" s="1"/>
  <c r="AH494"/>
  <c r="B494" s="1"/>
  <c r="AG490"/>
  <c r="AF490"/>
  <c r="AE490"/>
  <c r="AC490"/>
  <c r="AB490"/>
  <c r="AA490"/>
  <c r="Z490"/>
  <c r="Y490"/>
  <c r="X490"/>
  <c r="W490"/>
  <c r="V490"/>
  <c r="U490"/>
  <c r="T490"/>
  <c r="S490"/>
  <c r="R490"/>
  <c r="Q490"/>
  <c r="P490"/>
  <c r="O490"/>
  <c r="N490"/>
  <c r="M490"/>
  <c r="L490"/>
  <c r="K490"/>
  <c r="J490"/>
  <c r="I490"/>
  <c r="H490"/>
  <c r="G490"/>
  <c r="F490"/>
  <c r="D490"/>
  <c r="C490"/>
  <c r="AH489"/>
  <c r="B489" s="1"/>
  <c r="AH488"/>
  <c r="B488" s="1"/>
  <c r="AH487"/>
  <c r="B487" s="1"/>
  <c r="AH486"/>
  <c r="B486" s="1"/>
  <c r="AH485"/>
  <c r="B485" s="1"/>
  <c r="AH484"/>
  <c r="B484" s="1"/>
  <c r="AH483"/>
  <c r="B483" s="1"/>
  <c r="AH482"/>
  <c r="AH481"/>
  <c r="B481" s="1"/>
  <c r="AH480"/>
  <c r="B480" s="1"/>
  <c r="AH479"/>
  <c r="B479" s="1"/>
  <c r="AH478"/>
  <c r="B478" s="1"/>
  <c r="AG474"/>
  <c r="AF474"/>
  <c r="AE474"/>
  <c r="AC474"/>
  <c r="AB474"/>
  <c r="AA474"/>
  <c r="Z474"/>
  <c r="Y474"/>
  <c r="X474"/>
  <c r="W474"/>
  <c r="V474"/>
  <c r="U474"/>
  <c r="T474"/>
  <c r="S474"/>
  <c r="R474"/>
  <c r="Q474"/>
  <c r="P474"/>
  <c r="O474"/>
  <c r="N474"/>
  <c r="M474"/>
  <c r="L474"/>
  <c r="K474"/>
  <c r="J474"/>
  <c r="I474"/>
  <c r="H474"/>
  <c r="G474"/>
  <c r="F474"/>
  <c r="D474"/>
  <c r="C474"/>
  <c r="AH473"/>
  <c r="B473" s="1"/>
  <c r="AH472"/>
  <c r="B472" s="1"/>
  <c r="AH471"/>
  <c r="B471" s="1"/>
  <c r="AH470"/>
  <c r="B470" s="1"/>
  <c r="AH469"/>
  <c r="B469" s="1"/>
  <c r="AH468"/>
  <c r="B468" s="1"/>
  <c r="AH467"/>
  <c r="B467" s="1"/>
  <c r="AH466"/>
  <c r="B466" s="1"/>
  <c r="AH465"/>
  <c r="B465" s="1"/>
  <c r="AH464"/>
  <c r="B464" s="1"/>
  <c r="AH463"/>
  <c r="B463" s="1"/>
  <c r="AH462"/>
  <c r="AG458"/>
  <c r="AF458"/>
  <c r="AE458"/>
  <c r="AC458"/>
  <c r="AB458"/>
  <c r="AA458"/>
  <c r="Z458"/>
  <c r="Y458"/>
  <c r="X458"/>
  <c r="W458"/>
  <c r="V458"/>
  <c r="U458"/>
  <c r="T458"/>
  <c r="S458"/>
  <c r="R458"/>
  <c r="Q458"/>
  <c r="P458"/>
  <c r="O458"/>
  <c r="N458"/>
  <c r="M458"/>
  <c r="L458"/>
  <c r="K458"/>
  <c r="J458"/>
  <c r="I458"/>
  <c r="H458"/>
  <c r="G458"/>
  <c r="F458"/>
  <c r="D458"/>
  <c r="C458"/>
  <c r="AH457"/>
  <c r="B457" s="1"/>
  <c r="AH456"/>
  <c r="B456" s="1"/>
  <c r="AH455"/>
  <c r="B455" s="1"/>
  <c r="AH454"/>
  <c r="B454" s="1"/>
  <c r="AH453"/>
  <c r="B453" s="1"/>
  <c r="AH452"/>
  <c r="B452" s="1"/>
  <c r="AH451"/>
  <c r="B451" s="1"/>
  <c r="AH450"/>
  <c r="B450" s="1"/>
  <c r="AH449"/>
  <c r="B449" s="1"/>
  <c r="AH448"/>
  <c r="B448" s="1"/>
  <c r="AH447"/>
  <c r="B447" s="1"/>
  <c r="AH446"/>
  <c r="B446" s="1"/>
  <c r="AG442"/>
  <c r="AF442"/>
  <c r="AE442"/>
  <c r="AC442"/>
  <c r="AB442"/>
  <c r="AA442"/>
  <c r="Z442"/>
  <c r="Y442"/>
  <c r="X442"/>
  <c r="W442"/>
  <c r="V442"/>
  <c r="U442"/>
  <c r="T442"/>
  <c r="S442"/>
  <c r="R442"/>
  <c r="Q442"/>
  <c r="P442"/>
  <c r="O442"/>
  <c r="N442"/>
  <c r="M442"/>
  <c r="L442"/>
  <c r="K442"/>
  <c r="J442"/>
  <c r="I442"/>
  <c r="H442"/>
  <c r="G442"/>
  <c r="F442"/>
  <c r="D442"/>
  <c r="C442"/>
  <c r="AH441"/>
  <c r="B441" s="1"/>
  <c r="AH440"/>
  <c r="B440" s="1"/>
  <c r="AH439"/>
  <c r="B439" s="1"/>
  <c r="AH438"/>
  <c r="B438" s="1"/>
  <c r="AH437"/>
  <c r="B437" s="1"/>
  <c r="AH436"/>
  <c r="B436" s="1"/>
  <c r="AH435"/>
  <c r="B435" s="1"/>
  <c r="AH434"/>
  <c r="B434" s="1"/>
  <c r="AH433"/>
  <c r="B433" s="1"/>
  <c r="AH432"/>
  <c r="B432" s="1"/>
  <c r="AH431"/>
  <c r="B431" s="1"/>
  <c r="AH430"/>
  <c r="B430" s="1"/>
  <c r="AG426"/>
  <c r="AF426"/>
  <c r="AE426"/>
  <c r="AC426"/>
  <c r="AB426"/>
  <c r="AA426"/>
  <c r="Z426"/>
  <c r="Y426"/>
  <c r="X426"/>
  <c r="W426"/>
  <c r="V426"/>
  <c r="U426"/>
  <c r="T426"/>
  <c r="S426"/>
  <c r="R426"/>
  <c r="Q426"/>
  <c r="P426"/>
  <c r="O426"/>
  <c r="N426"/>
  <c r="M426"/>
  <c r="L426"/>
  <c r="K426"/>
  <c r="J426"/>
  <c r="I426"/>
  <c r="H426"/>
  <c r="G426"/>
  <c r="F426"/>
  <c r="D426"/>
  <c r="C426"/>
  <c r="AH425"/>
  <c r="B425" s="1"/>
  <c r="AH424"/>
  <c r="B424" s="1"/>
  <c r="AH423"/>
  <c r="B423" s="1"/>
  <c r="AH422"/>
  <c r="B422" s="1"/>
  <c r="AH421"/>
  <c r="B421" s="1"/>
  <c r="AH420"/>
  <c r="B420" s="1"/>
  <c r="AH419"/>
  <c r="B419" s="1"/>
  <c r="AH418"/>
  <c r="AH417"/>
  <c r="B417" s="1"/>
  <c r="AH416"/>
  <c r="B416" s="1"/>
  <c r="AH415"/>
  <c r="B415" s="1"/>
  <c r="AH414"/>
  <c r="B414" s="1"/>
  <c r="AG409"/>
  <c r="AF409"/>
  <c r="AE409"/>
  <c r="AC409"/>
  <c r="AB409"/>
  <c r="AA409"/>
  <c r="Z409"/>
  <c r="Y409"/>
  <c r="X409"/>
  <c r="W409"/>
  <c r="V409"/>
  <c r="U409"/>
  <c r="T409"/>
  <c r="S409"/>
  <c r="R409"/>
  <c r="Q409"/>
  <c r="P409"/>
  <c r="O409"/>
  <c r="N409"/>
  <c r="M409"/>
  <c r="L409"/>
  <c r="K409"/>
  <c r="J409"/>
  <c r="I409"/>
  <c r="H409"/>
  <c r="G409"/>
  <c r="F409"/>
  <c r="D409"/>
  <c r="C409"/>
  <c r="AH408"/>
  <c r="B408" s="1"/>
  <c r="AH407"/>
  <c r="B407" s="1"/>
  <c r="AH406"/>
  <c r="B406" s="1"/>
  <c r="AH405"/>
  <c r="B405" s="1"/>
  <c r="AH404"/>
  <c r="B404" s="1"/>
  <c r="AH403"/>
  <c r="B403" s="1"/>
  <c r="AH402"/>
  <c r="B402" s="1"/>
  <c r="AH401"/>
  <c r="B401" s="1"/>
  <c r="AH400"/>
  <c r="B400" s="1"/>
  <c r="AH399"/>
  <c r="B399" s="1"/>
  <c r="AH398"/>
  <c r="B398" s="1"/>
  <c r="AH397"/>
  <c r="B397" s="1"/>
  <c r="AG393"/>
  <c r="AF393"/>
  <c r="AE393"/>
  <c r="AC393"/>
  <c r="AB393"/>
  <c r="AA393"/>
  <c r="Z393"/>
  <c r="Y393"/>
  <c r="X393"/>
  <c r="W393"/>
  <c r="V393"/>
  <c r="U393"/>
  <c r="T393"/>
  <c r="S393"/>
  <c r="R393"/>
  <c r="Q393"/>
  <c r="P393"/>
  <c r="O393"/>
  <c r="N393"/>
  <c r="M393"/>
  <c r="L393"/>
  <c r="K393"/>
  <c r="J393"/>
  <c r="I393"/>
  <c r="H393"/>
  <c r="G393"/>
  <c r="F393"/>
  <c r="D393"/>
  <c r="C393"/>
  <c r="AH392"/>
  <c r="B392" s="1"/>
  <c r="AH391"/>
  <c r="B391" s="1"/>
  <c r="AH390"/>
  <c r="B390" s="1"/>
  <c r="AH389"/>
  <c r="B389" s="1"/>
  <c r="AH388"/>
  <c r="B388" s="1"/>
  <c r="AH387"/>
  <c r="B387" s="1"/>
  <c r="AH386"/>
  <c r="B386" s="1"/>
  <c r="AH385"/>
  <c r="B385" s="1"/>
  <c r="AH384"/>
  <c r="B384" s="1"/>
  <c r="AH383"/>
  <c r="B383" s="1"/>
  <c r="AH382"/>
  <c r="B382" s="1"/>
  <c r="AH381"/>
  <c r="B381" s="1"/>
  <c r="AG377"/>
  <c r="AF377"/>
  <c r="AE377"/>
  <c r="AC377"/>
  <c r="AB377"/>
  <c r="AA377"/>
  <c r="Z377"/>
  <c r="Y377"/>
  <c r="X377"/>
  <c r="W377"/>
  <c r="V377"/>
  <c r="U377"/>
  <c r="T377"/>
  <c r="S377"/>
  <c r="R377"/>
  <c r="Q377"/>
  <c r="P377"/>
  <c r="O377"/>
  <c r="N377"/>
  <c r="M377"/>
  <c r="L377"/>
  <c r="K377"/>
  <c r="J377"/>
  <c r="I377"/>
  <c r="H377"/>
  <c r="G377"/>
  <c r="F377"/>
  <c r="D377"/>
  <c r="C377"/>
  <c r="AH376"/>
  <c r="B376" s="1"/>
  <c r="AH375"/>
  <c r="B375" s="1"/>
  <c r="AH374"/>
  <c r="B374" s="1"/>
  <c r="AH373"/>
  <c r="B373" s="1"/>
  <c r="AH372"/>
  <c r="B372" s="1"/>
  <c r="AH371"/>
  <c r="B371" s="1"/>
  <c r="AH370"/>
  <c r="B370" s="1"/>
  <c r="AH369"/>
  <c r="B369" s="1"/>
  <c r="AH368"/>
  <c r="B368" s="1"/>
  <c r="AH367"/>
  <c r="B367" s="1"/>
  <c r="AH366"/>
  <c r="B366" s="1"/>
  <c r="AH365"/>
  <c r="AG361"/>
  <c r="AF361"/>
  <c r="AE361"/>
  <c r="AC361"/>
  <c r="AB361"/>
  <c r="AA361"/>
  <c r="Z361"/>
  <c r="Y361"/>
  <c r="X361"/>
  <c r="W361"/>
  <c r="V361"/>
  <c r="U361"/>
  <c r="T361"/>
  <c r="S361"/>
  <c r="R361"/>
  <c r="Q361"/>
  <c r="P361"/>
  <c r="O361"/>
  <c r="N361"/>
  <c r="M361"/>
  <c r="L361"/>
  <c r="K361"/>
  <c r="J361"/>
  <c r="I361"/>
  <c r="H361"/>
  <c r="G361"/>
  <c r="F361"/>
  <c r="D361"/>
  <c r="C361"/>
  <c r="AH360"/>
  <c r="B360" s="1"/>
  <c r="AH359"/>
  <c r="B359" s="1"/>
  <c r="AH358"/>
  <c r="B358" s="1"/>
  <c r="AH357"/>
  <c r="B357" s="1"/>
  <c r="AH356"/>
  <c r="B356" s="1"/>
  <c r="AH355"/>
  <c r="B355" s="1"/>
  <c r="AH354"/>
  <c r="B354" s="1"/>
  <c r="AH353"/>
  <c r="B353" s="1"/>
  <c r="AH352"/>
  <c r="B352" s="1"/>
  <c r="AH351"/>
  <c r="B351" s="1"/>
  <c r="AH350"/>
  <c r="B350" s="1"/>
  <c r="AH349"/>
  <c r="AG345"/>
  <c r="AF345"/>
  <c r="AE345"/>
  <c r="AC345"/>
  <c r="AB345"/>
  <c r="AA345"/>
  <c r="Z345"/>
  <c r="Y345"/>
  <c r="X345"/>
  <c r="W345"/>
  <c r="V345"/>
  <c r="U345"/>
  <c r="T345"/>
  <c r="S345"/>
  <c r="R345"/>
  <c r="Q345"/>
  <c r="P345"/>
  <c r="O345"/>
  <c r="N345"/>
  <c r="M345"/>
  <c r="L345"/>
  <c r="K345"/>
  <c r="J345"/>
  <c r="I345"/>
  <c r="H345"/>
  <c r="G345"/>
  <c r="F345"/>
  <c r="D345"/>
  <c r="C345"/>
  <c r="AH344"/>
  <c r="B344" s="1"/>
  <c r="AH343"/>
  <c r="B343" s="1"/>
  <c r="AH342"/>
  <c r="B342" s="1"/>
  <c r="AH341"/>
  <c r="B341" s="1"/>
  <c r="AH340"/>
  <c r="B340" s="1"/>
  <c r="AH339"/>
  <c r="B339" s="1"/>
  <c r="AH338"/>
  <c r="B338" s="1"/>
  <c r="AH337"/>
  <c r="B337" s="1"/>
  <c r="AH336"/>
  <c r="B336" s="1"/>
  <c r="AH335"/>
  <c r="B335" s="1"/>
  <c r="AH334"/>
  <c r="B334" s="1"/>
  <c r="AH333"/>
  <c r="B333" s="1"/>
  <c r="AG329"/>
  <c r="AF329"/>
  <c r="AE329"/>
  <c r="AC329"/>
  <c r="AB329"/>
  <c r="AA329"/>
  <c r="Z329"/>
  <c r="Y329"/>
  <c r="X329"/>
  <c r="W329"/>
  <c r="V329"/>
  <c r="U329"/>
  <c r="T329"/>
  <c r="S329"/>
  <c r="R329"/>
  <c r="Q329"/>
  <c r="P329"/>
  <c r="O329"/>
  <c r="N329"/>
  <c r="M329"/>
  <c r="L329"/>
  <c r="K329"/>
  <c r="J329"/>
  <c r="I329"/>
  <c r="H329"/>
  <c r="G329"/>
  <c r="F329"/>
  <c r="D329"/>
  <c r="C329"/>
  <c r="AH328"/>
  <c r="B328" s="1"/>
  <c r="AH327"/>
  <c r="B327" s="1"/>
  <c r="AH326"/>
  <c r="B326" s="1"/>
  <c r="AH325"/>
  <c r="B325" s="1"/>
  <c r="AH324"/>
  <c r="B324" s="1"/>
  <c r="AH323"/>
  <c r="B323" s="1"/>
  <c r="AH322"/>
  <c r="B322" s="1"/>
  <c r="AH321"/>
  <c r="B321" s="1"/>
  <c r="AH320"/>
  <c r="B320" s="1"/>
  <c r="AH319"/>
  <c r="B319" s="1"/>
  <c r="AH318"/>
  <c r="B318" s="1"/>
  <c r="AH317"/>
  <c r="B317" s="1"/>
  <c r="AG313"/>
  <c r="AF313"/>
  <c r="AE313"/>
  <c r="AC313"/>
  <c r="AB313"/>
  <c r="AA313"/>
  <c r="Z313"/>
  <c r="Y313"/>
  <c r="X313"/>
  <c r="W313"/>
  <c r="V313"/>
  <c r="U313"/>
  <c r="T313"/>
  <c r="S313"/>
  <c r="R313"/>
  <c r="Q313"/>
  <c r="P313"/>
  <c r="O313"/>
  <c r="N313"/>
  <c r="M313"/>
  <c r="L313"/>
  <c r="K313"/>
  <c r="J313"/>
  <c r="I313"/>
  <c r="H313"/>
  <c r="G313"/>
  <c r="F313"/>
  <c r="D313"/>
  <c r="C313"/>
  <c r="AH312"/>
  <c r="B312" s="1"/>
  <c r="AH311"/>
  <c r="B311" s="1"/>
  <c r="AH310"/>
  <c r="B310" s="1"/>
  <c r="AH309"/>
  <c r="B309" s="1"/>
  <c r="AH308"/>
  <c r="B308" s="1"/>
  <c r="AH307"/>
  <c r="B307" s="1"/>
  <c r="AH306"/>
  <c r="B306" s="1"/>
  <c r="AH305"/>
  <c r="B305" s="1"/>
  <c r="AH304"/>
  <c r="B304" s="1"/>
  <c r="AH303"/>
  <c r="B303" s="1"/>
  <c r="AH302"/>
  <c r="B302" s="1"/>
  <c r="AH301"/>
  <c r="AG297"/>
  <c r="AF297"/>
  <c r="AE297"/>
  <c r="AC297"/>
  <c r="AB297"/>
  <c r="AA297"/>
  <c r="Z297"/>
  <c r="Y297"/>
  <c r="X297"/>
  <c r="W297"/>
  <c r="V297"/>
  <c r="U297"/>
  <c r="T297"/>
  <c r="S297"/>
  <c r="R297"/>
  <c r="Q297"/>
  <c r="P297"/>
  <c r="O297"/>
  <c r="N297"/>
  <c r="M297"/>
  <c r="L297"/>
  <c r="K297"/>
  <c r="J297"/>
  <c r="I297"/>
  <c r="H297"/>
  <c r="G297"/>
  <c r="F297"/>
  <c r="D297"/>
  <c r="C297"/>
  <c r="AH296"/>
  <c r="B296" s="1"/>
  <c r="AH295"/>
  <c r="B295" s="1"/>
  <c r="AH294"/>
  <c r="B294" s="1"/>
  <c r="AH293"/>
  <c r="B293" s="1"/>
  <c r="AH292"/>
  <c r="B292" s="1"/>
  <c r="AH291"/>
  <c r="B291" s="1"/>
  <c r="AH290"/>
  <c r="B290" s="1"/>
  <c r="AH289"/>
  <c r="B289" s="1"/>
  <c r="AH288"/>
  <c r="B288" s="1"/>
  <c r="AH287"/>
  <c r="B287" s="1"/>
  <c r="AH286"/>
  <c r="B286" s="1"/>
  <c r="AH285"/>
  <c r="AG281"/>
  <c r="AF281"/>
  <c r="AE281"/>
  <c r="AC281"/>
  <c r="AB281"/>
  <c r="AA281"/>
  <c r="Z281"/>
  <c r="Y281"/>
  <c r="X281"/>
  <c r="W281"/>
  <c r="V281"/>
  <c r="U281"/>
  <c r="T281"/>
  <c r="S281"/>
  <c r="R281"/>
  <c r="Q281"/>
  <c r="P281"/>
  <c r="O281"/>
  <c r="N281"/>
  <c r="M281"/>
  <c r="L281"/>
  <c r="K281"/>
  <c r="J281"/>
  <c r="I281"/>
  <c r="H281"/>
  <c r="G281"/>
  <c r="F281"/>
  <c r="D281"/>
  <c r="C281"/>
  <c r="AH280"/>
  <c r="B280" s="1"/>
  <c r="AH279"/>
  <c r="B279" s="1"/>
  <c r="AH278"/>
  <c r="B278" s="1"/>
  <c r="AH277"/>
  <c r="B277" s="1"/>
  <c r="AH276"/>
  <c r="B276" s="1"/>
  <c r="AH275"/>
  <c r="B275" s="1"/>
  <c r="AH274"/>
  <c r="B274" s="1"/>
  <c r="AH273"/>
  <c r="AH272"/>
  <c r="B272" s="1"/>
  <c r="AH271"/>
  <c r="B271" s="1"/>
  <c r="AH270"/>
  <c r="B270" s="1"/>
  <c r="AH269"/>
  <c r="B269" s="1"/>
  <c r="AG265"/>
  <c r="AF265"/>
  <c r="AE265"/>
  <c r="AC265"/>
  <c r="AB265"/>
  <c r="AA265"/>
  <c r="Z265"/>
  <c r="Y265"/>
  <c r="X265"/>
  <c r="W265"/>
  <c r="V265"/>
  <c r="U265"/>
  <c r="T265"/>
  <c r="S265"/>
  <c r="R265"/>
  <c r="Q265"/>
  <c r="P265"/>
  <c r="O265"/>
  <c r="N265"/>
  <c r="M265"/>
  <c r="L265"/>
  <c r="K265"/>
  <c r="J265"/>
  <c r="I265"/>
  <c r="H265"/>
  <c r="G265"/>
  <c r="F265"/>
  <c r="D265"/>
  <c r="C265"/>
  <c r="AH264"/>
  <c r="B264" s="1"/>
  <c r="AH263"/>
  <c r="B263" s="1"/>
  <c r="AH262"/>
  <c r="B262" s="1"/>
  <c r="AH261"/>
  <c r="B261" s="1"/>
  <c r="AH260"/>
  <c r="B260" s="1"/>
  <c r="AH259"/>
  <c r="B259" s="1"/>
  <c r="AH258"/>
  <c r="B258" s="1"/>
  <c r="AH257"/>
  <c r="B257" s="1"/>
  <c r="AH256"/>
  <c r="B256" s="1"/>
  <c r="AH255"/>
  <c r="B255" s="1"/>
  <c r="AH254"/>
  <c r="B254" s="1"/>
  <c r="AH253"/>
  <c r="AG249"/>
  <c r="AF249"/>
  <c r="AE249"/>
  <c r="AC249"/>
  <c r="AB249"/>
  <c r="AA249"/>
  <c r="Z249"/>
  <c r="Y249"/>
  <c r="X249"/>
  <c r="W249"/>
  <c r="V249"/>
  <c r="U249"/>
  <c r="T249"/>
  <c r="S249"/>
  <c r="R249"/>
  <c r="Q249"/>
  <c r="P249"/>
  <c r="O249"/>
  <c r="N249"/>
  <c r="M249"/>
  <c r="L249"/>
  <c r="K249"/>
  <c r="J249"/>
  <c r="I249"/>
  <c r="H249"/>
  <c r="G249"/>
  <c r="F249"/>
  <c r="D249"/>
  <c r="C249"/>
  <c r="AH248"/>
  <c r="B248" s="1"/>
  <c r="AH247"/>
  <c r="B247" s="1"/>
  <c r="AH246"/>
  <c r="B246" s="1"/>
  <c r="AH245"/>
  <c r="B245" s="1"/>
  <c r="AH244"/>
  <c r="B244" s="1"/>
  <c r="AH243"/>
  <c r="B243" s="1"/>
  <c r="AH242"/>
  <c r="B242" s="1"/>
  <c r="AH241"/>
  <c r="B241" s="1"/>
  <c r="AH240"/>
  <c r="B240" s="1"/>
  <c r="AH239"/>
  <c r="B239" s="1"/>
  <c r="AH238"/>
  <c r="B238" s="1"/>
  <c r="AH237"/>
  <c r="B237" s="1"/>
  <c r="AG233"/>
  <c r="AF233"/>
  <c r="AE233"/>
  <c r="AC233"/>
  <c r="AB233"/>
  <c r="AA233"/>
  <c r="Z233"/>
  <c r="Y233"/>
  <c r="X233"/>
  <c r="W233"/>
  <c r="V233"/>
  <c r="U233"/>
  <c r="T233"/>
  <c r="S233"/>
  <c r="R233"/>
  <c r="Q233"/>
  <c r="P233"/>
  <c r="O233"/>
  <c r="N233"/>
  <c r="M233"/>
  <c r="L233"/>
  <c r="K233"/>
  <c r="J233"/>
  <c r="I233"/>
  <c r="H233"/>
  <c r="G233"/>
  <c r="F233"/>
  <c r="D233"/>
  <c r="C233"/>
  <c r="AH232"/>
  <c r="B232" s="1"/>
  <c r="AH231"/>
  <c r="B231" s="1"/>
  <c r="AH230"/>
  <c r="B230" s="1"/>
  <c r="AH229"/>
  <c r="B229" s="1"/>
  <c r="AH228"/>
  <c r="B228" s="1"/>
  <c r="AH227"/>
  <c r="B227" s="1"/>
  <c r="AH226"/>
  <c r="B226" s="1"/>
  <c r="AH225"/>
  <c r="B225" s="1"/>
  <c r="AH224"/>
  <c r="B224" s="1"/>
  <c r="AH223"/>
  <c r="B223" s="1"/>
  <c r="AH222"/>
  <c r="B222" s="1"/>
  <c r="AH221"/>
  <c r="AG217"/>
  <c r="AF217"/>
  <c r="AE217"/>
  <c r="AC217"/>
  <c r="AB217"/>
  <c r="AA217"/>
  <c r="Z217"/>
  <c r="Y217"/>
  <c r="X217"/>
  <c r="W217"/>
  <c r="V217"/>
  <c r="U217"/>
  <c r="T217"/>
  <c r="S217"/>
  <c r="R217"/>
  <c r="Q217"/>
  <c r="P217"/>
  <c r="O217"/>
  <c r="N217"/>
  <c r="M217"/>
  <c r="L217"/>
  <c r="K217"/>
  <c r="J217"/>
  <c r="I217"/>
  <c r="H217"/>
  <c r="G217"/>
  <c r="F217"/>
  <c r="D217"/>
  <c r="C217"/>
  <c r="AH216"/>
  <c r="B216" s="1"/>
  <c r="AH215"/>
  <c r="B215" s="1"/>
  <c r="AH214"/>
  <c r="B214" s="1"/>
  <c r="AH213"/>
  <c r="B213" s="1"/>
  <c r="AH212"/>
  <c r="B212" s="1"/>
  <c r="AH211"/>
  <c r="B211" s="1"/>
  <c r="AH210"/>
  <c r="B210" s="1"/>
  <c r="AH209"/>
  <c r="B209" s="1"/>
  <c r="AH208"/>
  <c r="B208" s="1"/>
  <c r="AH207"/>
  <c r="B207" s="1"/>
  <c r="AH206"/>
  <c r="B206" s="1"/>
  <c r="AH205"/>
  <c r="AG201"/>
  <c r="AF201"/>
  <c r="AE201"/>
  <c r="AC201"/>
  <c r="AB201"/>
  <c r="AA201"/>
  <c r="Z201"/>
  <c r="Y201"/>
  <c r="X201"/>
  <c r="W201"/>
  <c r="V201"/>
  <c r="U201"/>
  <c r="T201"/>
  <c r="S201"/>
  <c r="R201"/>
  <c r="Q201"/>
  <c r="P201"/>
  <c r="O201"/>
  <c r="N201"/>
  <c r="M201"/>
  <c r="L201"/>
  <c r="K201"/>
  <c r="J201"/>
  <c r="I201"/>
  <c r="H201"/>
  <c r="G201"/>
  <c r="F201"/>
  <c r="D201"/>
  <c r="C201"/>
  <c r="AH200"/>
  <c r="B200" s="1"/>
  <c r="AH199"/>
  <c r="B199" s="1"/>
  <c r="AH198"/>
  <c r="B198" s="1"/>
  <c r="AH197"/>
  <c r="B197" s="1"/>
  <c r="AH196"/>
  <c r="B196" s="1"/>
  <c r="AH195"/>
  <c r="B195" s="1"/>
  <c r="AH194"/>
  <c r="B194" s="1"/>
  <c r="AH193"/>
  <c r="B193" s="1"/>
  <c r="AH192"/>
  <c r="B192" s="1"/>
  <c r="AH191"/>
  <c r="B191" s="1"/>
  <c r="AH190"/>
  <c r="B190" s="1"/>
  <c r="AH189"/>
  <c r="B189" s="1"/>
  <c r="AG185"/>
  <c r="AF185"/>
  <c r="AE185"/>
  <c r="AC185"/>
  <c r="AB185"/>
  <c r="AA185"/>
  <c r="Z185"/>
  <c r="Y185"/>
  <c r="X185"/>
  <c r="W185"/>
  <c r="V185"/>
  <c r="U185"/>
  <c r="T185"/>
  <c r="S185"/>
  <c r="R185"/>
  <c r="Q185"/>
  <c r="P185"/>
  <c r="O185"/>
  <c r="N185"/>
  <c r="M185"/>
  <c r="L185"/>
  <c r="K185"/>
  <c r="J185"/>
  <c r="I185"/>
  <c r="H185"/>
  <c r="G185"/>
  <c r="F185"/>
  <c r="D185"/>
  <c r="C185"/>
  <c r="AH184"/>
  <c r="B184" s="1"/>
  <c r="AH183"/>
  <c r="B183" s="1"/>
  <c r="AH182"/>
  <c r="B182" s="1"/>
  <c r="AH181"/>
  <c r="B181" s="1"/>
  <c r="AH180"/>
  <c r="B180" s="1"/>
  <c r="AH179"/>
  <c r="B179" s="1"/>
  <c r="AH178"/>
  <c r="B178" s="1"/>
  <c r="AH177"/>
  <c r="AH176"/>
  <c r="B176" s="1"/>
  <c r="AH175"/>
  <c r="B175" s="1"/>
  <c r="AH174"/>
  <c r="B174" s="1"/>
  <c r="AH173"/>
  <c r="B173" s="1"/>
  <c r="AG169"/>
  <c r="AF169"/>
  <c r="AE169"/>
  <c r="AC169"/>
  <c r="AB169"/>
  <c r="AA169"/>
  <c r="Z169"/>
  <c r="Y169"/>
  <c r="X169"/>
  <c r="W169"/>
  <c r="V169"/>
  <c r="U169"/>
  <c r="T169"/>
  <c r="S169"/>
  <c r="R169"/>
  <c r="Q169"/>
  <c r="P169"/>
  <c r="O169"/>
  <c r="N169"/>
  <c r="M169"/>
  <c r="L169"/>
  <c r="K169"/>
  <c r="J169"/>
  <c r="I169"/>
  <c r="H169"/>
  <c r="G169"/>
  <c r="F169"/>
  <c r="D169"/>
  <c r="C169"/>
  <c r="AH168"/>
  <c r="B168" s="1"/>
  <c r="AH167"/>
  <c r="B167" s="1"/>
  <c r="AH166"/>
  <c r="B166" s="1"/>
  <c r="AH165"/>
  <c r="B165" s="1"/>
  <c r="AH164"/>
  <c r="B164" s="1"/>
  <c r="AH163"/>
  <c r="B163" s="1"/>
  <c r="AH162"/>
  <c r="B162" s="1"/>
  <c r="AH161"/>
  <c r="B161" s="1"/>
  <c r="AH160"/>
  <c r="B160" s="1"/>
  <c r="AH159"/>
  <c r="B159" s="1"/>
  <c r="AH158"/>
  <c r="B158" s="1"/>
  <c r="AH157"/>
  <c r="B157" s="1"/>
  <c r="AG153"/>
  <c r="AF153"/>
  <c r="AE153"/>
  <c r="AC153"/>
  <c r="AB153"/>
  <c r="AA153"/>
  <c r="Z153"/>
  <c r="Y153"/>
  <c r="X153"/>
  <c r="W153"/>
  <c r="V153"/>
  <c r="U153"/>
  <c r="T153"/>
  <c r="S153"/>
  <c r="R153"/>
  <c r="Q153"/>
  <c r="P153"/>
  <c r="O153"/>
  <c r="N153"/>
  <c r="M153"/>
  <c r="L153"/>
  <c r="K153"/>
  <c r="J153"/>
  <c r="I153"/>
  <c r="H153"/>
  <c r="G153"/>
  <c r="F153"/>
  <c r="D153"/>
  <c r="C153"/>
  <c r="AH152"/>
  <c r="B152" s="1"/>
  <c r="AH151"/>
  <c r="B151" s="1"/>
  <c r="AH150"/>
  <c r="B150" s="1"/>
  <c r="AH149"/>
  <c r="B149" s="1"/>
  <c r="AH148"/>
  <c r="B148" s="1"/>
  <c r="AH147"/>
  <c r="B147" s="1"/>
  <c r="AH146"/>
  <c r="B146" s="1"/>
  <c r="AH145"/>
  <c r="B145" s="1"/>
  <c r="AH144"/>
  <c r="B144" s="1"/>
  <c r="AH143"/>
  <c r="B143" s="1"/>
  <c r="AH142"/>
  <c r="B142" s="1"/>
  <c r="AH141"/>
  <c r="B141" s="1"/>
  <c r="AG135"/>
  <c r="AF135"/>
  <c r="AE135"/>
  <c r="AD135"/>
  <c r="AC135"/>
  <c r="AB135"/>
  <c r="AA135"/>
  <c r="Z135"/>
  <c r="Y135"/>
  <c r="X135"/>
  <c r="W135"/>
  <c r="V135"/>
  <c r="U135"/>
  <c r="T135"/>
  <c r="S135"/>
  <c r="R135"/>
  <c r="Q135"/>
  <c r="P135"/>
  <c r="O135"/>
  <c r="N135"/>
  <c r="M135"/>
  <c r="L135"/>
  <c r="K135"/>
  <c r="J135"/>
  <c r="I135"/>
  <c r="H135"/>
  <c r="G135"/>
  <c r="F135"/>
  <c r="E135"/>
  <c r="D135"/>
  <c r="C135"/>
  <c r="AH134"/>
  <c r="B134" s="1"/>
  <c r="AH133"/>
  <c r="B133" s="1"/>
  <c r="AH132"/>
  <c r="B132" s="1"/>
  <c r="AH131"/>
  <c r="B131" s="1"/>
  <c r="AH130"/>
  <c r="B130" s="1"/>
  <c r="AH129"/>
  <c r="B129" s="1"/>
  <c r="AH128"/>
  <c r="B128" s="1"/>
  <c r="AH127"/>
  <c r="B127" s="1"/>
  <c r="AH126"/>
  <c r="B126" s="1"/>
  <c r="AH125"/>
  <c r="B125" s="1"/>
  <c r="AH124"/>
  <c r="B124" s="1"/>
  <c r="AH123"/>
  <c r="AG119"/>
  <c r="AF119"/>
  <c r="AE119"/>
  <c r="AD119"/>
  <c r="AC119"/>
  <c r="AB119"/>
  <c r="AA119"/>
  <c r="Z119"/>
  <c r="Y119"/>
  <c r="X119"/>
  <c r="W119"/>
  <c r="V119"/>
  <c r="U119"/>
  <c r="T119"/>
  <c r="S119"/>
  <c r="R119"/>
  <c r="Q119"/>
  <c r="P119"/>
  <c r="O119"/>
  <c r="N119"/>
  <c r="M119"/>
  <c r="L119"/>
  <c r="K119"/>
  <c r="J119"/>
  <c r="I119"/>
  <c r="H119"/>
  <c r="G119"/>
  <c r="F119"/>
  <c r="E119"/>
  <c r="D119"/>
  <c r="C119"/>
  <c r="AH118"/>
  <c r="B118" s="1"/>
  <c r="AH117"/>
  <c r="B117" s="1"/>
  <c r="AH116"/>
  <c r="AH115"/>
  <c r="B115" s="1"/>
  <c r="AH114"/>
  <c r="B114" s="1"/>
  <c r="AH113"/>
  <c r="B113" s="1"/>
  <c r="AH112"/>
  <c r="B112" s="1"/>
  <c r="AH111"/>
  <c r="B111" s="1"/>
  <c r="AH110"/>
  <c r="B110" s="1"/>
  <c r="AH109"/>
  <c r="B109" s="1"/>
  <c r="AH108"/>
  <c r="B108" s="1"/>
  <c r="AH107"/>
  <c r="AG103"/>
  <c r="AF103"/>
  <c r="AE103"/>
  <c r="AD103"/>
  <c r="AC103"/>
  <c r="AB103"/>
  <c r="AA103"/>
  <c r="Z103"/>
  <c r="Y103"/>
  <c r="X103"/>
  <c r="W103"/>
  <c r="V103"/>
  <c r="U103"/>
  <c r="T103"/>
  <c r="S103"/>
  <c r="R103"/>
  <c r="Q103"/>
  <c r="P103"/>
  <c r="O103"/>
  <c r="N103"/>
  <c r="M103"/>
  <c r="L103"/>
  <c r="K103"/>
  <c r="J103"/>
  <c r="I103"/>
  <c r="H103"/>
  <c r="G103"/>
  <c r="F103"/>
  <c r="E103"/>
  <c r="D103"/>
  <c r="C103"/>
  <c r="AH102"/>
  <c r="B102" s="1"/>
  <c r="AH101"/>
  <c r="B101" s="1"/>
  <c r="AH100"/>
  <c r="B100" s="1"/>
  <c r="AH99"/>
  <c r="B99" s="1"/>
  <c r="AH98"/>
  <c r="B98" s="1"/>
  <c r="AH97"/>
  <c r="B97" s="1"/>
  <c r="AH96"/>
  <c r="B96" s="1"/>
  <c r="AH95"/>
  <c r="B95" s="1"/>
  <c r="AH94"/>
  <c r="B94" s="1"/>
  <c r="AH93"/>
  <c r="B93" s="1"/>
  <c r="AH92"/>
  <c r="B92" s="1"/>
  <c r="AH91"/>
  <c r="B91" s="1"/>
  <c r="AG86"/>
  <c r="AF86"/>
  <c r="AE86"/>
  <c r="AC86"/>
  <c r="AB86"/>
  <c r="AA86"/>
  <c r="Z86"/>
  <c r="Y86"/>
  <c r="X86"/>
  <c r="W86"/>
  <c r="V86"/>
  <c r="U86"/>
  <c r="T86"/>
  <c r="S86"/>
  <c r="R86"/>
  <c r="Q86"/>
  <c r="P86"/>
  <c r="O86"/>
  <c r="N86"/>
  <c r="M86"/>
  <c r="L86"/>
  <c r="K86"/>
  <c r="J86"/>
  <c r="I86"/>
  <c r="H86"/>
  <c r="G86"/>
  <c r="F86"/>
  <c r="D86"/>
  <c r="C86"/>
  <c r="AH85"/>
  <c r="B85" s="1"/>
  <c r="AH84"/>
  <c r="B84" s="1"/>
  <c r="AH83"/>
  <c r="B83" s="1"/>
  <c r="AH82"/>
  <c r="B82" s="1"/>
  <c r="AH81"/>
  <c r="B81" s="1"/>
  <c r="AH80"/>
  <c r="B80" s="1"/>
  <c r="AH79"/>
  <c r="B79" s="1"/>
  <c r="AH78"/>
  <c r="B78" s="1"/>
  <c r="AH77"/>
  <c r="B77" s="1"/>
  <c r="AH76"/>
  <c r="B76" s="1"/>
  <c r="AH75"/>
  <c r="B75" s="1"/>
  <c r="AH74"/>
  <c r="B74" s="1"/>
  <c r="AT72"/>
  <c r="BR70"/>
  <c r="BQ70"/>
  <c r="BP70"/>
  <c r="BN70"/>
  <c r="BM70"/>
  <c r="BL70"/>
  <c r="BK70"/>
  <c r="BJ70"/>
  <c r="BI70"/>
  <c r="BH70"/>
  <c r="BG70"/>
  <c r="BF70"/>
  <c r="BE70"/>
  <c r="BD70"/>
  <c r="BC70"/>
  <c r="BB70"/>
  <c r="BA70"/>
  <c r="AZ70"/>
  <c r="AY70"/>
  <c r="AX70"/>
  <c r="AW70"/>
  <c r="AV70"/>
  <c r="AU70"/>
  <c r="AT70"/>
  <c r="AS70"/>
  <c r="AR70"/>
  <c r="AQ70"/>
  <c r="AO70"/>
  <c r="AN70"/>
  <c r="AG70"/>
  <c r="AF70"/>
  <c r="AE70"/>
  <c r="AC70"/>
  <c r="AB70"/>
  <c r="AA70"/>
  <c r="Z70"/>
  <c r="Y70"/>
  <c r="X70"/>
  <c r="W70"/>
  <c r="V70"/>
  <c r="U70"/>
  <c r="T70"/>
  <c r="S70"/>
  <c r="R70"/>
  <c r="Q70"/>
  <c r="P70"/>
  <c r="O70"/>
  <c r="N70"/>
  <c r="M70"/>
  <c r="L70"/>
  <c r="K70"/>
  <c r="J70"/>
  <c r="I70"/>
  <c r="H70"/>
  <c r="G70"/>
  <c r="F70"/>
  <c r="BS69"/>
  <c r="AM69" s="1"/>
  <c r="AH69"/>
  <c r="B69" s="1"/>
  <c r="BS68"/>
  <c r="AM68" s="1"/>
  <c r="AH68"/>
  <c r="B68" s="1"/>
  <c r="BS67"/>
  <c r="AM67" s="1"/>
  <c r="AH67"/>
  <c r="B67" s="1"/>
  <c r="BS66"/>
  <c r="AM66" s="1"/>
  <c r="AH66"/>
  <c r="B66" s="1"/>
  <c r="BS65"/>
  <c r="AM65" s="1"/>
  <c r="AH65"/>
  <c r="B65" s="1"/>
  <c r="BS64"/>
  <c r="AM64" s="1"/>
  <c r="AH64"/>
  <c r="B64" s="1"/>
  <c r="BS63"/>
  <c r="AM63" s="1"/>
  <c r="AH63"/>
  <c r="B63" s="1"/>
  <c r="BS62"/>
  <c r="AM62" s="1"/>
  <c r="D62"/>
  <c r="D70" s="1"/>
  <c r="C62"/>
  <c r="C70" s="1"/>
  <c r="BS61"/>
  <c r="AM61" s="1"/>
  <c r="AH61"/>
  <c r="B61" s="1"/>
  <c r="BS60"/>
  <c r="AM60" s="1"/>
  <c r="AH60"/>
  <c r="B60" s="1"/>
  <c r="BS59"/>
  <c r="AM59" s="1"/>
  <c r="AH59"/>
  <c r="B59" s="1"/>
  <c r="BS58"/>
  <c r="AM58" s="1"/>
  <c r="AH58"/>
  <c r="AG52"/>
  <c r="AF52"/>
  <c r="AE52"/>
  <c r="AC52"/>
  <c r="AB52"/>
  <c r="AA52"/>
  <c r="Z52"/>
  <c r="Y52"/>
  <c r="X52"/>
  <c r="W52"/>
  <c r="V52"/>
  <c r="U52"/>
  <c r="T52"/>
  <c r="S52"/>
  <c r="R52"/>
  <c r="Q52"/>
  <c r="P52"/>
  <c r="O52"/>
  <c r="N52"/>
  <c r="M52"/>
  <c r="L52"/>
  <c r="K52"/>
  <c r="J52"/>
  <c r="I52"/>
  <c r="H52"/>
  <c r="G52"/>
  <c r="F52"/>
  <c r="D52"/>
  <c r="C52"/>
  <c r="AH51"/>
  <c r="B51" s="1"/>
  <c r="AH50"/>
  <c r="B50" s="1"/>
  <c r="AH49"/>
  <c r="B49" s="1"/>
  <c r="AH48"/>
  <c r="B48" s="1"/>
  <c r="AH47"/>
  <c r="B47" s="1"/>
  <c r="AH46"/>
  <c r="B46" s="1"/>
  <c r="AH45"/>
  <c r="B45" s="1"/>
  <c r="AH44"/>
  <c r="B44" s="1"/>
  <c r="AH43"/>
  <c r="B43" s="1"/>
  <c r="AH42"/>
  <c r="B42" s="1"/>
  <c r="AH41"/>
  <c r="B41" s="1"/>
  <c r="AH40"/>
  <c r="AG36"/>
  <c r="AF36"/>
  <c r="AE36"/>
  <c r="AD36"/>
  <c r="AC36"/>
  <c r="AB36"/>
  <c r="AA36"/>
  <c r="Z36"/>
  <c r="Y36"/>
  <c r="X36"/>
  <c r="W36"/>
  <c r="V36"/>
  <c r="U36"/>
  <c r="T36"/>
  <c r="S36"/>
  <c r="R36"/>
  <c r="Q36"/>
  <c r="P36"/>
  <c r="O36"/>
  <c r="N36"/>
  <c r="M36"/>
  <c r="L36"/>
  <c r="K36"/>
  <c r="J36"/>
  <c r="I36"/>
  <c r="H36"/>
  <c r="G36"/>
  <c r="F36"/>
  <c r="E36"/>
  <c r="D36"/>
  <c r="C36"/>
  <c r="AH35"/>
  <c r="B35" s="1"/>
  <c r="AH34"/>
  <c r="B34" s="1"/>
  <c r="AH33"/>
  <c r="B33" s="1"/>
  <c r="B32"/>
  <c r="B31"/>
  <c r="AH30"/>
  <c r="B30" s="1"/>
  <c r="AH29"/>
  <c r="B29" s="1"/>
  <c r="AH28"/>
  <c r="B28" s="1"/>
  <c r="AH27"/>
  <c r="B27" s="1"/>
  <c r="AH26"/>
  <c r="B26" s="1"/>
  <c r="AH25"/>
  <c r="B25" s="1"/>
  <c r="AH24"/>
  <c r="AG20"/>
  <c r="AF20"/>
  <c r="AE20"/>
  <c r="AD20"/>
  <c r="AC20"/>
  <c r="AB20"/>
  <c r="AA20"/>
  <c r="Z20"/>
  <c r="Y20"/>
  <c r="X20"/>
  <c r="W20"/>
  <c r="V20"/>
  <c r="U20"/>
  <c r="T20"/>
  <c r="S20"/>
  <c r="R20"/>
  <c r="Q20"/>
  <c r="P20"/>
  <c r="O20"/>
  <c r="N20"/>
  <c r="M20"/>
  <c r="L20"/>
  <c r="K20"/>
  <c r="J20"/>
  <c r="I20"/>
  <c r="H20"/>
  <c r="G20"/>
  <c r="F20"/>
  <c r="E20"/>
  <c r="D20"/>
  <c r="C20"/>
  <c r="AH19"/>
  <c r="B19" s="1"/>
  <c r="AH18"/>
  <c r="B18" s="1"/>
  <c r="AH17"/>
  <c r="B17" s="1"/>
  <c r="AH16"/>
  <c r="B16" s="1"/>
  <c r="AH15"/>
  <c r="B15" s="1"/>
  <c r="AH14"/>
  <c r="B14" s="1"/>
  <c r="AH13"/>
  <c r="B13" s="1"/>
  <c r="AH12"/>
  <c r="B12" s="1"/>
  <c r="AH11"/>
  <c r="B11" s="1"/>
  <c r="AH10"/>
  <c r="B10" s="1"/>
  <c r="AH9"/>
  <c r="B9" s="1"/>
  <c r="AH8"/>
  <c r="C285" i="1792"/>
  <c r="C269"/>
  <c r="E268"/>
  <c r="E267"/>
  <c r="E266"/>
  <c r="E265"/>
  <c r="E264"/>
  <c r="E263"/>
  <c r="E262"/>
  <c r="E261"/>
  <c r="E260"/>
  <c r="E259"/>
  <c r="E258"/>
  <c r="E257"/>
  <c r="E256"/>
  <c r="C251"/>
  <c r="C231"/>
  <c r="M211"/>
  <c r="C211"/>
  <c r="E210"/>
  <c r="AR207"/>
  <c r="AQ207"/>
  <c r="AP207"/>
  <c r="AN207"/>
  <c r="AM207"/>
  <c r="AL207"/>
  <c r="AK207"/>
  <c r="AJ207"/>
  <c r="AI207"/>
  <c r="AH207"/>
  <c r="AG207"/>
  <c r="AF207"/>
  <c r="AE207"/>
  <c r="AD207"/>
  <c r="AC207"/>
  <c r="AB207"/>
  <c r="AA207"/>
  <c r="Z207"/>
  <c r="Y207"/>
  <c r="X207"/>
  <c r="W207"/>
  <c r="V207"/>
  <c r="U207"/>
  <c r="T207"/>
  <c r="S207"/>
  <c r="R207"/>
  <c r="Q207"/>
  <c r="O207"/>
  <c r="N207"/>
  <c r="E207"/>
  <c r="AS206"/>
  <c r="M206" s="1"/>
  <c r="E206"/>
  <c r="AS205"/>
  <c r="M205" s="1"/>
  <c r="E205"/>
  <c r="AS204"/>
  <c r="M204" s="1"/>
  <c r="E204"/>
  <c r="AS203"/>
  <c r="M203" s="1"/>
  <c r="E203"/>
  <c r="AS202"/>
  <c r="M202" s="1"/>
  <c r="E202"/>
  <c r="AS201"/>
  <c r="M201" s="1"/>
  <c r="E201"/>
  <c r="AS200"/>
  <c r="M200" s="1"/>
  <c r="E200"/>
  <c r="AS199"/>
  <c r="M199" s="1"/>
  <c r="E199"/>
  <c r="AS198"/>
  <c r="M198" s="1"/>
  <c r="E198"/>
  <c r="AS197"/>
  <c r="M197" s="1"/>
  <c r="E197"/>
  <c r="AS196"/>
  <c r="M196" s="1"/>
  <c r="E196"/>
  <c r="AS195"/>
  <c r="M195" s="1"/>
  <c r="E195"/>
  <c r="E194"/>
  <c r="N189"/>
  <c r="F189"/>
  <c r="F190" s="1"/>
  <c r="D189"/>
  <c r="C189"/>
  <c r="M184"/>
  <c r="K184" s="1"/>
  <c r="M182"/>
  <c r="K182" s="1"/>
  <c r="M180"/>
  <c r="K180" s="1"/>
  <c r="M178"/>
  <c r="K178" s="1"/>
  <c r="M177"/>
  <c r="K177" s="1"/>
  <c r="M176"/>
  <c r="K176" s="1"/>
  <c r="M170"/>
  <c r="K170" s="1"/>
  <c r="M169"/>
  <c r="K169" s="1"/>
  <c r="M168"/>
  <c r="K168" s="1"/>
  <c r="M167"/>
  <c r="K167" s="1"/>
  <c r="M165"/>
  <c r="K165" s="1"/>
  <c r="M164"/>
  <c r="K164" s="1"/>
  <c r="M161"/>
  <c r="K161" s="1"/>
  <c r="M154"/>
  <c r="K154" s="1"/>
  <c r="M150"/>
  <c r="K150" s="1"/>
  <c r="M147"/>
  <c r="K147" s="1"/>
  <c r="M145"/>
  <c r="K145" s="1"/>
  <c r="M143"/>
  <c r="K143" s="1"/>
  <c r="M142"/>
  <c r="K142" s="1"/>
  <c r="M141"/>
  <c r="K141" s="1"/>
  <c r="M139"/>
  <c r="K139" s="1"/>
  <c r="M138"/>
  <c r="K138" s="1"/>
  <c r="M136"/>
  <c r="K136" s="1"/>
  <c r="M134"/>
  <c r="K134" s="1"/>
  <c r="M132"/>
  <c r="K132" s="1"/>
  <c r="M131"/>
  <c r="K131" s="1"/>
  <c r="M130"/>
  <c r="K130" s="1"/>
  <c r="M129"/>
  <c r="K129" s="1"/>
  <c r="M128"/>
  <c r="K128" s="1"/>
  <c r="M126"/>
  <c r="K126" s="1"/>
  <c r="J126"/>
  <c r="J127" s="1"/>
  <c r="J128" s="1"/>
  <c r="J129" s="1"/>
  <c r="J130" s="1"/>
  <c r="J131" s="1"/>
  <c r="J132" s="1"/>
  <c r="J133" s="1"/>
  <c r="J134" s="1"/>
  <c r="J135" s="1"/>
  <c r="J136" s="1"/>
  <c r="J137" s="1"/>
  <c r="J138" s="1"/>
  <c r="J139" s="1"/>
  <c r="J140" s="1"/>
  <c r="J141" s="1"/>
  <c r="J142" s="1"/>
  <c r="J143" s="1"/>
  <c r="J144" s="1"/>
  <c r="J145" s="1"/>
  <c r="J146" s="1"/>
  <c r="J147" s="1"/>
  <c r="J148" s="1"/>
  <c r="J149" s="1"/>
  <c r="J150" s="1"/>
  <c r="J151" s="1"/>
  <c r="J152" s="1"/>
  <c r="J153" s="1"/>
  <c r="J154" s="1"/>
  <c r="J155" s="1"/>
  <c r="J156" s="1"/>
  <c r="J157" s="1"/>
  <c r="J158" s="1"/>
  <c r="J159" s="1"/>
  <c r="J160" s="1"/>
  <c r="J161" s="1"/>
  <c r="J162" s="1"/>
  <c r="J163" s="1"/>
  <c r="J164" s="1"/>
  <c r="J165" s="1"/>
  <c r="J166" s="1"/>
  <c r="J167" s="1"/>
  <c r="J168" s="1"/>
  <c r="J169" s="1"/>
  <c r="J170" s="1"/>
  <c r="J171" s="1"/>
  <c r="J172" s="1"/>
  <c r="J173" s="1"/>
  <c r="J174" s="1"/>
  <c r="J175" s="1"/>
  <c r="J176" s="1"/>
  <c r="J177" s="1"/>
  <c r="J178" s="1"/>
  <c r="J179" s="1"/>
  <c r="J180" s="1"/>
  <c r="J181" s="1"/>
  <c r="J182" s="1"/>
  <c r="J183" s="1"/>
  <c r="J184" s="1"/>
  <c r="J185" s="1"/>
  <c r="J186" s="1"/>
  <c r="M121"/>
  <c r="E121"/>
  <c r="G121" s="1"/>
  <c r="E120"/>
  <c r="M119"/>
  <c r="E119"/>
  <c r="M118"/>
  <c r="E118"/>
  <c r="M117"/>
  <c r="E117"/>
  <c r="G117" s="1"/>
  <c r="E184" s="1"/>
  <c r="G184" s="1"/>
  <c r="H184" s="1"/>
  <c r="M183"/>
  <c r="K183" s="1"/>
  <c r="E116"/>
  <c r="M115"/>
  <c r="E115"/>
  <c r="G115" s="1"/>
  <c r="M114"/>
  <c r="E114"/>
  <c r="M113"/>
  <c r="E113"/>
  <c r="G113" s="1"/>
  <c r="M112"/>
  <c r="E112"/>
  <c r="M111"/>
  <c r="E111"/>
  <c r="G111" s="1"/>
  <c r="M110"/>
  <c r="E110"/>
  <c r="G110" s="1"/>
  <c r="E177" s="1"/>
  <c r="G177" s="1"/>
  <c r="H177" s="1"/>
  <c r="M109"/>
  <c r="E109"/>
  <c r="G109" s="1"/>
  <c r="H109" s="1"/>
  <c r="M108"/>
  <c r="M107"/>
  <c r="E107"/>
  <c r="M106"/>
  <c r="E106"/>
  <c r="G106" s="1"/>
  <c r="M105"/>
  <c r="E105"/>
  <c r="M104"/>
  <c r="E104"/>
  <c r="M103"/>
  <c r="E103"/>
  <c r="G103" s="1"/>
  <c r="E170" s="1"/>
  <c r="G170" s="1"/>
  <c r="H170" s="1"/>
  <c r="M102"/>
  <c r="E102"/>
  <c r="G102" s="1"/>
  <c r="H102" s="1"/>
  <c r="M101"/>
  <c r="E101"/>
  <c r="G101" s="1"/>
  <c r="E168" s="1"/>
  <c r="G168" s="1"/>
  <c r="H168" s="1"/>
  <c r="M100"/>
  <c r="E100"/>
  <c r="G100" s="1"/>
  <c r="E167" s="1"/>
  <c r="G167" s="1"/>
  <c r="H167" s="1"/>
  <c r="M166"/>
  <c r="K166" s="1"/>
  <c r="E99"/>
  <c r="G99" s="1"/>
  <c r="M98"/>
  <c r="E98"/>
  <c r="G98" s="1"/>
  <c r="E165" s="1"/>
  <c r="G165" s="1"/>
  <c r="H165" s="1"/>
  <c r="M97"/>
  <c r="E97"/>
  <c r="G97" s="1"/>
  <c r="M96"/>
  <c r="E96"/>
  <c r="M162"/>
  <c r="K162" s="1"/>
  <c r="E95"/>
  <c r="M94"/>
  <c r="E94"/>
  <c r="G94" s="1"/>
  <c r="H94" s="1"/>
  <c r="M93"/>
  <c r="E93"/>
  <c r="M92"/>
  <c r="E92"/>
  <c r="M91"/>
  <c r="E91"/>
  <c r="M90"/>
  <c r="E90"/>
  <c r="M89"/>
  <c r="E89"/>
  <c r="M155"/>
  <c r="K155" s="1"/>
  <c r="M87"/>
  <c r="E87"/>
  <c r="G87" s="1"/>
  <c r="M86"/>
  <c r="E86"/>
  <c r="M85"/>
  <c r="E85"/>
  <c r="M84"/>
  <c r="E84"/>
  <c r="M83"/>
  <c r="E83"/>
  <c r="G83" s="1"/>
  <c r="H83" s="1"/>
  <c r="M149"/>
  <c r="K149" s="1"/>
  <c r="E82"/>
  <c r="M81"/>
  <c r="E81"/>
  <c r="M80"/>
  <c r="E80"/>
  <c r="G80" s="1"/>
  <c r="M79"/>
  <c r="E79"/>
  <c r="M78"/>
  <c r="E78"/>
  <c r="G78" s="1"/>
  <c r="E145" s="1"/>
  <c r="G145" s="1"/>
  <c r="H145" s="1"/>
  <c r="M77"/>
  <c r="E77"/>
  <c r="M76"/>
  <c r="E76"/>
  <c r="G76" s="1"/>
  <c r="E143" s="1"/>
  <c r="G143" s="1"/>
  <c r="H143" s="1"/>
  <c r="M75"/>
  <c r="E75"/>
  <c r="G75" s="1"/>
  <c r="M74"/>
  <c r="E74"/>
  <c r="G74" s="1"/>
  <c r="E141" s="1"/>
  <c r="G141" s="1"/>
  <c r="H141" s="1"/>
  <c r="M73"/>
  <c r="E73"/>
  <c r="M72"/>
  <c r="E72"/>
  <c r="G72" s="1"/>
  <c r="H72" s="1"/>
  <c r="M71"/>
  <c r="E71"/>
  <c r="G71" s="1"/>
  <c r="H71" s="1"/>
  <c r="M137"/>
  <c r="K137" s="1"/>
  <c r="E70"/>
  <c r="M69"/>
  <c r="E69"/>
  <c r="G69" s="1"/>
  <c r="M68"/>
  <c r="E68"/>
  <c r="M67"/>
  <c r="E67"/>
  <c r="G67" s="1"/>
  <c r="M133"/>
  <c r="K133" s="1"/>
  <c r="E66"/>
  <c r="M65"/>
  <c r="E65"/>
  <c r="G65" s="1"/>
  <c r="E132" s="1"/>
  <c r="G132" s="1"/>
  <c r="H132" s="1"/>
  <c r="M64"/>
  <c r="E64"/>
  <c r="G64" s="1"/>
  <c r="M63"/>
  <c r="E63"/>
  <c r="G63" s="1"/>
  <c r="H63" s="1"/>
  <c r="M62"/>
  <c r="E62"/>
  <c r="G62" s="1"/>
  <c r="M61"/>
  <c r="E61"/>
  <c r="G61" s="1"/>
  <c r="H61" s="1"/>
  <c r="M60"/>
  <c r="E60"/>
  <c r="G60" s="1"/>
  <c r="E127" s="1"/>
  <c r="G127" s="1"/>
  <c r="H127" s="1"/>
  <c r="M59"/>
  <c r="J59"/>
  <c r="J60" s="1"/>
  <c r="J61" s="1"/>
  <c r="J62" s="1"/>
  <c r="J63" s="1"/>
  <c r="J64" s="1"/>
  <c r="J65" s="1"/>
  <c r="J66" s="1"/>
  <c r="J67" s="1"/>
  <c r="J68" s="1"/>
  <c r="J69" s="1"/>
  <c r="J70" s="1"/>
  <c r="J71" s="1"/>
  <c r="J72" s="1"/>
  <c r="J73" s="1"/>
  <c r="J74" s="1"/>
  <c r="J75" s="1"/>
  <c r="J76" s="1"/>
  <c r="J77" s="1"/>
  <c r="J78" s="1"/>
  <c r="J79" s="1"/>
  <c r="J80" s="1"/>
  <c r="J81" s="1"/>
  <c r="J82" s="1"/>
  <c r="J83" s="1"/>
  <c r="J84" s="1"/>
  <c r="J85" s="1"/>
  <c r="J86" s="1"/>
  <c r="J87" s="1"/>
  <c r="J88" s="1"/>
  <c r="J89" s="1"/>
  <c r="J90" s="1"/>
  <c r="J91" s="1"/>
  <c r="J92" s="1"/>
  <c r="J93" s="1"/>
  <c r="J94" s="1"/>
  <c r="J95" s="1"/>
  <c r="J96" s="1"/>
  <c r="J97" s="1"/>
  <c r="J98" s="1"/>
  <c r="J99" s="1"/>
  <c r="J100" s="1"/>
  <c r="J101" s="1"/>
  <c r="J102" s="1"/>
  <c r="J103" s="1"/>
  <c r="J104" s="1"/>
  <c r="J105" s="1"/>
  <c r="J106" s="1"/>
  <c r="J107" s="1"/>
  <c r="J108" s="1"/>
  <c r="J109" s="1"/>
  <c r="J110" s="1"/>
  <c r="J111" s="1"/>
  <c r="J112" s="1"/>
  <c r="J113" s="1"/>
  <c r="J114" s="1"/>
  <c r="J115" s="1"/>
  <c r="J116" s="1"/>
  <c r="J117" s="1"/>
  <c r="J118" s="1"/>
  <c r="J119" s="1"/>
  <c r="J120" s="1"/>
  <c r="J121" s="1"/>
  <c r="E59"/>
  <c r="G59" s="1"/>
  <c r="H59" s="1"/>
  <c r="M58"/>
  <c r="E58"/>
  <c r="C53"/>
  <c r="C47"/>
  <c r="C41"/>
  <c r="E40"/>
  <c r="E39"/>
  <c r="E38"/>
  <c r="C33"/>
  <c r="C28"/>
  <c r="C23"/>
  <c r="E22"/>
  <c r="E21"/>
  <c r="C16"/>
  <c r="E16" s="1"/>
  <c r="C10"/>
  <c r="E9"/>
  <c r="E7"/>
  <c r="C108" i="60796"/>
  <c r="B108"/>
  <c r="F83"/>
  <c r="C83"/>
  <c r="C40" i="2" s="1"/>
  <c r="F81" i="60796"/>
  <c r="C81"/>
  <c r="C39" i="2" s="1"/>
  <c r="F79" i="60796"/>
  <c r="C79"/>
  <c r="C38" i="2" s="1"/>
  <c r="F76" i="60796"/>
  <c r="C76"/>
  <c r="C37" i="2" s="1"/>
  <c r="F73" i="60796"/>
  <c r="C73"/>
  <c r="C36" i="2" s="1"/>
  <c r="F71" i="60796"/>
  <c r="C71"/>
  <c r="C35" i="2" s="1"/>
  <c r="F68" i="60796"/>
  <c r="C68"/>
  <c r="C34" i="2" s="1"/>
  <c r="F65" i="60796"/>
  <c r="C65"/>
  <c r="C33" i="2" s="1"/>
  <c r="E64" i="60796"/>
  <c r="E63"/>
  <c r="Y62"/>
  <c r="W62"/>
  <c r="E62"/>
  <c r="F61"/>
  <c r="C61"/>
  <c r="C31" i="2" s="1"/>
  <c r="F60" i="60796"/>
  <c r="C60"/>
  <c r="C30" i="2" s="1"/>
  <c r="C59" i="60796"/>
  <c r="F58"/>
  <c r="C58"/>
  <c r="C29" i="2" s="1"/>
  <c r="C57" i="60796"/>
  <c r="F56"/>
  <c r="C56"/>
  <c r="C28" i="2" s="1"/>
  <c r="C55" i="60796"/>
  <c r="F54"/>
  <c r="C54"/>
  <c r="C27" i="2" s="1"/>
  <c r="C53" i="60796"/>
  <c r="F52"/>
  <c r="C52"/>
  <c r="C26" i="2" s="1"/>
  <c r="C51" i="60796"/>
  <c r="F50"/>
  <c r="C50"/>
  <c r="C25" i="2" s="1"/>
  <c r="C49" i="60796"/>
  <c r="F48"/>
  <c r="C48"/>
  <c r="C24" i="2" s="1"/>
  <c r="C47" i="60796"/>
  <c r="F46"/>
  <c r="C46"/>
  <c r="C23" i="2" s="1"/>
  <c r="C45" i="60796"/>
  <c r="F44"/>
  <c r="C44"/>
  <c r="C22" i="2" s="1"/>
  <c r="C43" i="60796"/>
  <c r="C42"/>
  <c r="C21" i="2" s="1"/>
  <c r="C41" i="60796"/>
  <c r="F40"/>
  <c r="C40"/>
  <c r="C20" i="2" s="1"/>
  <c r="F38" i="60796"/>
  <c r="C38"/>
  <c r="C19" i="2" s="1"/>
  <c r="C37" i="60796"/>
  <c r="F36"/>
  <c r="C36"/>
  <c r="C18" i="2" s="1"/>
  <c r="C35" i="60796"/>
  <c r="F34"/>
  <c r="C34"/>
  <c r="C17" i="2" s="1"/>
  <c r="F32" i="60796"/>
  <c r="C32"/>
  <c r="C16" i="2" s="1"/>
  <c r="F29" i="60796"/>
  <c r="C29"/>
  <c r="C15" i="2" s="1"/>
  <c r="C26" i="60796"/>
  <c r="C14" i="2" s="1"/>
  <c r="F24" i="60796"/>
  <c r="C24"/>
  <c r="C13" i="2" s="1"/>
  <c r="F21" i="60796"/>
  <c r="C21"/>
  <c r="C12" i="2" s="1"/>
  <c r="F18" i="60796"/>
  <c r="C18"/>
  <c r="C11" i="2" s="1"/>
  <c r="F15" i="60796"/>
  <c r="C15"/>
  <c r="C10" i="2" s="1"/>
  <c r="C14" i="60796"/>
  <c r="F13"/>
  <c r="C13"/>
  <c r="C9" i="2" s="1"/>
  <c r="C12" i="60796"/>
  <c r="F11"/>
  <c r="C11"/>
  <c r="C8" i="2" s="1"/>
  <c r="F9" i="60796"/>
  <c r="C9"/>
  <c r="C7" i="2" s="1"/>
  <c r="F7" i="60796"/>
  <c r="C7"/>
  <c r="I33" i="2"/>
  <c r="J6" i="60818" l="1"/>
  <c r="Z6"/>
  <c r="V6"/>
  <c r="F6"/>
  <c r="AD6"/>
  <c r="AD18" s="1"/>
  <c r="N6"/>
  <c r="N18" s="1"/>
  <c r="R6"/>
  <c r="AM225" i="60819"/>
  <c r="AQ225"/>
  <c r="AU225"/>
  <c r="AY225"/>
  <c r="BC225"/>
  <c r="BG225"/>
  <c r="BK225"/>
  <c r="BO225"/>
  <c r="AM241"/>
  <c r="AQ241"/>
  <c r="AU241"/>
  <c r="AY241"/>
  <c r="BG241"/>
  <c r="BK241"/>
  <c r="BO241"/>
  <c r="BC241"/>
  <c r="T41" i="60818"/>
  <c r="T53" s="1"/>
  <c r="AB6"/>
  <c r="AB18" s="1"/>
  <c r="L41"/>
  <c r="L57"/>
  <c r="K359" i="60816"/>
  <c r="K360"/>
  <c r="K214" i="60821"/>
  <c r="P214"/>
  <c r="AF6" i="60818"/>
  <c r="AF18" s="1"/>
  <c r="X6"/>
  <c r="X18" s="1"/>
  <c r="X41"/>
  <c r="X53" s="1"/>
  <c r="P41"/>
  <c r="X57"/>
  <c r="X69" s="1"/>
  <c r="P57"/>
  <c r="P6"/>
  <c r="H6"/>
  <c r="AF41"/>
  <c r="AF53" s="1"/>
  <c r="D41"/>
  <c r="D53" s="1"/>
  <c r="AF57"/>
  <c r="D57"/>
  <c r="L6"/>
  <c r="AB41"/>
  <c r="H41"/>
  <c r="AB57"/>
  <c r="AB69" s="1"/>
  <c r="H57"/>
  <c r="H69" s="1"/>
  <c r="F6" i="60821"/>
  <c r="J6" s="1"/>
  <c r="J5"/>
  <c r="AP225" i="60819"/>
  <c r="AT225"/>
  <c r="AX225"/>
  <c r="BB225"/>
  <c r="BF225"/>
  <c r="BJ225"/>
  <c r="BN225"/>
  <c r="AP241"/>
  <c r="AT241"/>
  <c r="AX241"/>
  <c r="BB241"/>
  <c r="BF241"/>
  <c r="BJ241"/>
  <c r="BN241"/>
  <c r="V226" i="60816"/>
  <c r="G25" i="60796"/>
  <c r="AG38" i="60816"/>
  <c r="AH38"/>
  <c r="O29" i="60822"/>
  <c r="X25" s="1"/>
  <c r="AL14" i="1024"/>
  <c r="AK65" i="60819"/>
  <c r="K105" i="60818"/>
  <c r="B46" i="8194"/>
  <c r="AL46"/>
  <c r="B50"/>
  <c r="AL50"/>
  <c r="B41"/>
  <c r="AL41"/>
  <c r="B45"/>
  <c r="AL45"/>
  <c r="B49"/>
  <c r="AL49"/>
  <c r="AL73" i="514"/>
  <c r="AL81"/>
  <c r="AI15" i="60824"/>
  <c r="AI16" s="1"/>
  <c r="AL15" s="1"/>
  <c r="AI49"/>
  <c r="AI83"/>
  <c r="AI84" s="1"/>
  <c r="AL83" s="1"/>
  <c r="AI117"/>
  <c r="B40" i="8194"/>
  <c r="AL40"/>
  <c r="B44"/>
  <c r="AL44"/>
  <c r="B48"/>
  <c r="AL48"/>
  <c r="C6" i="2"/>
  <c r="C7" i="1" s="1"/>
  <c r="B39" i="8194"/>
  <c r="AL39"/>
  <c r="B43"/>
  <c r="AL43"/>
  <c r="B47"/>
  <c r="AL47"/>
  <c r="AP257" i="60819"/>
  <c r="AT257"/>
  <c r="AX257"/>
  <c r="BB257"/>
  <c r="BF257"/>
  <c r="BJ257"/>
  <c r="BN257"/>
  <c r="AI32" i="60824"/>
  <c r="AI66"/>
  <c r="AI67" s="1"/>
  <c r="AL66" s="1"/>
  <c r="AI100"/>
  <c r="AI101" s="1"/>
  <c r="AL100" s="1"/>
  <c r="AI134"/>
  <c r="AI135" s="1"/>
  <c r="AL134" s="1"/>
  <c r="B71" i="514"/>
  <c r="B75"/>
  <c r="B79"/>
  <c r="AL80"/>
  <c r="AL74"/>
  <c r="AL78"/>
  <c r="AL82"/>
  <c r="B74"/>
  <c r="AL75"/>
  <c r="B78"/>
  <c r="AL79"/>
  <c r="AL77"/>
  <c r="E88" i="11565"/>
  <c r="L44" i="60817"/>
  <c r="J46"/>
  <c r="L48"/>
  <c r="L52"/>
  <c r="S105" i="60818"/>
  <c r="I13" i="60816"/>
  <c r="J13"/>
  <c r="G98" i="7380"/>
  <c r="E165" s="1"/>
  <c r="G165" s="1"/>
  <c r="H165" s="1"/>
  <c r="G104"/>
  <c r="G35" i="60796"/>
  <c r="G37"/>
  <c r="E39" i="60825"/>
  <c r="G29" i="60815"/>
  <c r="H29" s="1"/>
  <c r="G31"/>
  <c r="H31" s="1"/>
  <c r="G61"/>
  <c r="H61" s="1"/>
  <c r="G63"/>
  <c r="H63" s="1"/>
  <c r="V34" i="60822"/>
  <c r="V35" s="1"/>
  <c r="AH113" i="60819"/>
  <c r="L66" i="60822"/>
  <c r="L67" s="1"/>
  <c r="C48" i="60825"/>
  <c r="F15" i="11565"/>
  <c r="F91"/>
  <c r="G51" i="60796"/>
  <c r="G105" i="60818"/>
  <c r="AA105"/>
  <c r="CZ113" i="60819"/>
  <c r="F96" i="11565"/>
  <c r="F82"/>
  <c r="F70" i="60801"/>
  <c r="J29" i="60817"/>
  <c r="AC105" i="60818"/>
  <c r="AH97" i="60819"/>
  <c r="AH129"/>
  <c r="E27" i="60825"/>
  <c r="C62" i="60796"/>
  <c r="C32" i="2" s="1"/>
  <c r="C10" i="1" s="1"/>
  <c r="G84" i="7380"/>
  <c r="E151" s="1"/>
  <c r="G151" s="1"/>
  <c r="H151" s="1"/>
  <c r="K32" i="60817"/>
  <c r="CZ97" i="60819"/>
  <c r="CZ129"/>
  <c r="E38" i="60825"/>
  <c r="AH313" i="2316"/>
  <c r="F13" i="11565"/>
  <c r="F101"/>
  <c r="G36" i="60796"/>
  <c r="G56"/>
  <c r="G57"/>
  <c r="F20" i="60814"/>
  <c r="DC97" i="60819"/>
  <c r="DC113"/>
  <c r="DC129"/>
  <c r="F108" i="7380"/>
  <c r="G63"/>
  <c r="E130" s="1"/>
  <c r="G130" s="1"/>
  <c r="H130" s="1"/>
  <c r="G71"/>
  <c r="E138" s="1"/>
  <c r="G138" s="1"/>
  <c r="H138" s="1"/>
  <c r="G85"/>
  <c r="E152" s="1"/>
  <c r="G152" s="1"/>
  <c r="H152" s="1"/>
  <c r="F69" i="11565"/>
  <c r="AH378" i="2819"/>
  <c r="H204" i="60801"/>
  <c r="G228"/>
  <c r="J43" i="60817"/>
  <c r="L45"/>
  <c r="J47"/>
  <c r="L49"/>
  <c r="J51"/>
  <c r="L53"/>
  <c r="CE209" i="60819"/>
  <c r="CI209"/>
  <c r="CU209"/>
  <c r="CY209"/>
  <c r="DG209"/>
  <c r="DK209"/>
  <c r="DK225" s="1"/>
  <c r="DK241" s="1"/>
  <c r="DO209"/>
  <c r="DS209"/>
  <c r="DW209"/>
  <c r="EA209"/>
  <c r="EA225" s="1"/>
  <c r="EA241" s="1"/>
  <c r="EE209"/>
  <c r="C105" i="60818"/>
  <c r="O105"/>
  <c r="W105"/>
  <c r="AE105"/>
  <c r="BQ97" i="60819"/>
  <c r="BQ113"/>
  <c r="BQ129"/>
  <c r="G70" i="1792"/>
  <c r="E137" s="1"/>
  <c r="G137" s="1"/>
  <c r="H137" s="1"/>
  <c r="C122"/>
  <c r="F15"/>
  <c r="F31"/>
  <c r="F276"/>
  <c r="F278"/>
  <c r="F97" i="11565"/>
  <c r="F98"/>
  <c r="G49" i="60796"/>
  <c r="G46" i="60815"/>
  <c r="H46" s="1"/>
  <c r="F105" i="60818"/>
  <c r="N105"/>
  <c r="R105"/>
  <c r="V105"/>
  <c r="AD105"/>
  <c r="AK97" i="60819"/>
  <c r="EI97"/>
  <c r="AK113"/>
  <c r="EI113"/>
  <c r="AK129"/>
  <c r="EI129"/>
  <c r="G85" i="1792"/>
  <c r="E152" s="1"/>
  <c r="G152" s="1"/>
  <c r="H152" s="1"/>
  <c r="G91"/>
  <c r="E158" s="1"/>
  <c r="G158" s="1"/>
  <c r="H158" s="1"/>
  <c r="G107"/>
  <c r="E174" s="1"/>
  <c r="G174" s="1"/>
  <c r="H174" s="1"/>
  <c r="G119"/>
  <c r="E186" s="1"/>
  <c r="G186" s="1"/>
  <c r="H186" s="1"/>
  <c r="D108" i="60796"/>
  <c r="E211" i="1792"/>
  <c r="E269"/>
  <c r="F280"/>
  <c r="AH554" i="2316"/>
  <c r="F279" i="1792"/>
  <c r="AH618" i="2316"/>
  <c r="G12" i="60796"/>
  <c r="AH69" i="32"/>
  <c r="F32" i="7380"/>
  <c r="F38"/>
  <c r="F180"/>
  <c r="G180" s="1"/>
  <c r="E200" s="1"/>
  <c r="F200"/>
  <c r="F269"/>
  <c r="G52"/>
  <c r="H52" s="1"/>
  <c r="K78"/>
  <c r="BU83" i="514"/>
  <c r="E24" i="11565"/>
  <c r="F55"/>
  <c r="F39"/>
  <c r="F60"/>
  <c r="F99"/>
  <c r="D51" i="516"/>
  <c r="H51"/>
  <c r="L51"/>
  <c r="P51"/>
  <c r="T51"/>
  <c r="X51"/>
  <c r="AB51"/>
  <c r="AF51"/>
  <c r="AH42"/>
  <c r="B42" s="1"/>
  <c r="AH46"/>
  <c r="B46" s="1"/>
  <c r="AH50"/>
  <c r="B50" s="1"/>
  <c r="G39" i="60815"/>
  <c r="H39" s="1"/>
  <c r="G41"/>
  <c r="H41" s="1"/>
  <c r="J28" i="60817"/>
  <c r="CZ33" i="60819"/>
  <c r="E26" i="60825"/>
  <c r="AH20" i="2316"/>
  <c r="F187" i="7380"/>
  <c r="G187" s="1"/>
  <c r="E207" s="1"/>
  <c r="AH359" i="32"/>
  <c r="F216" i="7380"/>
  <c r="F236"/>
  <c r="AH520" i="32"/>
  <c r="K76" i="7380"/>
  <c r="AH121" i="2819"/>
  <c r="F16" i="60814"/>
  <c r="K27" i="60817"/>
  <c r="AE41" i="60818"/>
  <c r="AE53" s="1"/>
  <c r="AA41"/>
  <c r="AA53" s="1"/>
  <c r="W41"/>
  <c r="S41"/>
  <c r="O41"/>
  <c r="K41"/>
  <c r="K53" s="1"/>
  <c r="G41"/>
  <c r="G53" s="1"/>
  <c r="AE57"/>
  <c r="AE69" s="1"/>
  <c r="AA57"/>
  <c r="W57"/>
  <c r="W69" s="1"/>
  <c r="S57"/>
  <c r="O57"/>
  <c r="O69" s="1"/>
  <c r="K57"/>
  <c r="G57"/>
  <c r="G69" s="1"/>
  <c r="AE73"/>
  <c r="AA73"/>
  <c r="AA85" s="1"/>
  <c r="W73"/>
  <c r="S73"/>
  <c r="S85" s="1"/>
  <c r="O73"/>
  <c r="O85" s="1"/>
  <c r="K73"/>
  <c r="K85" s="1"/>
  <c r="G73"/>
  <c r="BQ161" i="60819"/>
  <c r="R16" i="60825"/>
  <c r="R17" s="1"/>
  <c r="E34"/>
  <c r="G34" s="1"/>
  <c r="G89" i="1792"/>
  <c r="E156" s="1"/>
  <c r="G156" s="1"/>
  <c r="H156" s="1"/>
  <c r="G93"/>
  <c r="E160" s="1"/>
  <c r="G160" s="1"/>
  <c r="H160" s="1"/>
  <c r="G105"/>
  <c r="E172" s="1"/>
  <c r="G172" s="1"/>
  <c r="H172" s="1"/>
  <c r="F100" i="11565"/>
  <c r="F69" i="60801"/>
  <c r="G69" s="1"/>
  <c r="E70" s="1"/>
  <c r="AH33" i="60819"/>
  <c r="B85"/>
  <c r="B97" s="1"/>
  <c r="BT85"/>
  <c r="BT97" s="1"/>
  <c r="B101"/>
  <c r="B113" s="1"/>
  <c r="BT101"/>
  <c r="BT113" s="1"/>
  <c r="B117"/>
  <c r="B129" s="1"/>
  <c r="BT117"/>
  <c r="BT129" s="1"/>
  <c r="D51" i="60822"/>
  <c r="F28" i="11565"/>
  <c r="B87" i="2819"/>
  <c r="F23" i="11565"/>
  <c r="G23" s="1"/>
  <c r="F245" i="1792"/>
  <c r="F283"/>
  <c r="F95" i="11565"/>
  <c r="F228" i="7380"/>
  <c r="F80" i="11565"/>
  <c r="G80" s="1"/>
  <c r="H80" s="1"/>
  <c r="AH36" i="2316"/>
  <c r="F52" i="1792"/>
  <c r="AH233" i="2316"/>
  <c r="B542"/>
  <c r="B606"/>
  <c r="AL16" i="1024"/>
  <c r="E10" i="1792"/>
  <c r="G82"/>
  <c r="H82" s="1"/>
  <c r="G86"/>
  <c r="E153" s="1"/>
  <c r="G153" s="1"/>
  <c r="H153" s="1"/>
  <c r="G92"/>
  <c r="H92" s="1"/>
  <c r="F13"/>
  <c r="AH52" i="2316"/>
  <c r="AH217"/>
  <c r="AH361"/>
  <c r="F247" i="1792"/>
  <c r="AH522" i="2316"/>
  <c r="AH586"/>
  <c r="B68" i="1024"/>
  <c r="AH101"/>
  <c r="G19" i="60796"/>
  <c r="G20"/>
  <c r="AH166" i="1024"/>
  <c r="AH85" i="32"/>
  <c r="F222" i="7380"/>
  <c r="AH263" i="32"/>
  <c r="AH327"/>
  <c r="AH552"/>
  <c r="K63" i="7380"/>
  <c r="G101"/>
  <c r="H101" s="1"/>
  <c r="K102"/>
  <c r="G66" i="60796"/>
  <c r="F45" i="11565"/>
  <c r="G45" s="1"/>
  <c r="E65" s="1"/>
  <c r="AH345" i="2819"/>
  <c r="AH538"/>
  <c r="F6" i="60814"/>
  <c r="G6" s="1"/>
  <c r="H6" s="1"/>
  <c r="G71" i="60815"/>
  <c r="H71" s="1"/>
  <c r="G73"/>
  <c r="H73" s="1"/>
  <c r="I15" i="60817"/>
  <c r="K26"/>
  <c r="G6" i="60818"/>
  <c r="G18" s="1"/>
  <c r="Q105"/>
  <c r="E6" i="60825"/>
  <c r="G6" s="1"/>
  <c r="E29"/>
  <c r="E40"/>
  <c r="G77" i="1792"/>
  <c r="G116"/>
  <c r="E183" s="1"/>
  <c r="G183" s="1"/>
  <c r="H183" s="1"/>
  <c r="G120"/>
  <c r="E187" s="1"/>
  <c r="G187" s="1"/>
  <c r="H187" s="1"/>
  <c r="AH135" i="2316"/>
  <c r="AH297"/>
  <c r="AH377"/>
  <c r="AL12" i="1024"/>
  <c r="AH265" i="2316"/>
  <c r="B510"/>
  <c r="B574"/>
  <c r="AH133" i="1024"/>
  <c r="AH20" i="32"/>
  <c r="F14" i="7380"/>
  <c r="F19"/>
  <c r="F181"/>
  <c r="G181" s="1"/>
  <c r="H181" s="1"/>
  <c r="B251" i="32"/>
  <c r="F190" i="7380" s="1"/>
  <c r="G190" s="1"/>
  <c r="E210" s="1"/>
  <c r="F266"/>
  <c r="B540" i="32"/>
  <c r="F253" i="7380" s="1"/>
  <c r="G253" s="1"/>
  <c r="E269" s="1"/>
  <c r="G74"/>
  <c r="G76"/>
  <c r="H76" s="1"/>
  <c r="G77"/>
  <c r="E144" s="1"/>
  <c r="G144" s="1"/>
  <c r="H144" s="1"/>
  <c r="G92"/>
  <c r="E159" s="1"/>
  <c r="G159" s="1"/>
  <c r="H159" s="1"/>
  <c r="G96"/>
  <c r="G65" i="60796"/>
  <c r="I65" s="1"/>
  <c r="F66" s="1"/>
  <c r="AH98" i="514"/>
  <c r="AH114"/>
  <c r="AH217" i="2819"/>
  <c r="F61" i="11565"/>
  <c r="AH297" i="2819"/>
  <c r="AH99" i="8194"/>
  <c r="AH147"/>
  <c r="F18" i="60814"/>
  <c r="F8"/>
  <c r="G8" s="1"/>
  <c r="H8" s="1"/>
  <c r="F23"/>
  <c r="L238" i="60804"/>
  <c r="K31" i="60817"/>
  <c r="W6" i="60818"/>
  <c r="W18" s="1"/>
  <c r="M105"/>
  <c r="AG105"/>
  <c r="J105"/>
  <c r="Z105"/>
  <c r="E14" i="60825"/>
  <c r="BW209" i="60819"/>
  <c r="E105" i="60818"/>
  <c r="CA209" i="60819"/>
  <c r="I105" i="60818"/>
  <c r="CM209" i="60819"/>
  <c r="U105" i="60818"/>
  <c r="CQ209" i="60819"/>
  <c r="Y105" i="60818"/>
  <c r="B149" i="60819"/>
  <c r="AH161"/>
  <c r="K209"/>
  <c r="K6" i="60818"/>
  <c r="O209" i="60819"/>
  <c r="O6" i="60818"/>
  <c r="O18" s="1"/>
  <c r="AA209" i="60819"/>
  <c r="AA6" i="60818"/>
  <c r="AA18" s="1"/>
  <c r="AE209" i="60819"/>
  <c r="AE6" i="60818"/>
  <c r="AE18" s="1"/>
  <c r="B133" i="1024"/>
  <c r="F59" i="11565"/>
  <c r="F65"/>
  <c r="F47"/>
  <c r="G47" s="1"/>
  <c r="E67" s="1"/>
  <c r="F67"/>
  <c r="G45" i="60796"/>
  <c r="FC33" i="60819"/>
  <c r="S192" i="60818"/>
  <c r="S204" s="1"/>
  <c r="FG33" i="60819"/>
  <c r="W192" i="60818"/>
  <c r="W204" s="1"/>
  <c r="E23" i="1792"/>
  <c r="G114"/>
  <c r="H114" s="1"/>
  <c r="G26" i="60796"/>
  <c r="K26" s="1"/>
  <c r="G28"/>
  <c r="B347" i="32"/>
  <c r="F196" i="7380" s="1"/>
  <c r="G196" s="1"/>
  <c r="AH424" i="32"/>
  <c r="G75" i="7380"/>
  <c r="E142" s="1"/>
  <c r="G142" s="1"/>
  <c r="H142" s="1"/>
  <c r="G67" i="60796"/>
  <c r="E51" i="11565"/>
  <c r="B109" i="2819"/>
  <c r="F35" i="11565" s="1"/>
  <c r="G35" s="1"/>
  <c r="F57"/>
  <c r="B366" i="2819"/>
  <c r="B378" s="1"/>
  <c r="AJ365" s="1"/>
  <c r="F93" i="11565"/>
  <c r="F102"/>
  <c r="G47" i="60796"/>
  <c r="G58"/>
  <c r="K58" s="1"/>
  <c r="C51" i="516"/>
  <c r="G51"/>
  <c r="K51"/>
  <c r="O51"/>
  <c r="S51"/>
  <c r="W51"/>
  <c r="AA51"/>
  <c r="AE51"/>
  <c r="AH68"/>
  <c r="H192" i="60801"/>
  <c r="S6" i="60818"/>
  <c r="S18" s="1"/>
  <c r="BV209" i="60819"/>
  <c r="BZ209"/>
  <c r="CD209"/>
  <c r="CH209"/>
  <c r="CL209"/>
  <c r="CP209"/>
  <c r="CT209"/>
  <c r="CX209"/>
  <c r="DF209"/>
  <c r="DJ209"/>
  <c r="DN209"/>
  <c r="DN225" s="1"/>
  <c r="DN241" s="1"/>
  <c r="DR209"/>
  <c r="DR225" s="1"/>
  <c r="DR241" s="1"/>
  <c r="DV209"/>
  <c r="DV225" s="1"/>
  <c r="DV241" s="1"/>
  <c r="DZ209"/>
  <c r="ED209"/>
  <c r="ED225" s="1"/>
  <c r="ED241" s="1"/>
  <c r="EH209"/>
  <c r="B21"/>
  <c r="B33" s="1"/>
  <c r="BT21"/>
  <c r="EM33"/>
  <c r="EQ33"/>
  <c r="EU33"/>
  <c r="EY33"/>
  <c r="FK33"/>
  <c r="FO33"/>
  <c r="E8" i="60825"/>
  <c r="B102" i="60824"/>
  <c r="AH121" i="60816"/>
  <c r="H178" i="60801"/>
  <c r="G204"/>
  <c r="H236"/>
  <c r="H255"/>
  <c r="H280"/>
  <c r="K218" i="60804"/>
  <c r="G56" i="60815"/>
  <c r="H56" s="1"/>
  <c r="G80"/>
  <c r="H80" s="1"/>
  <c r="H29" i="60817"/>
  <c r="K33"/>
  <c r="T6" i="60818"/>
  <c r="D6"/>
  <c r="D18" s="1"/>
  <c r="CZ145" i="60819"/>
  <c r="CZ177"/>
  <c r="N5" i="60825"/>
  <c r="AI33" i="60824"/>
  <c r="AL32" s="1"/>
  <c r="E23" i="60825"/>
  <c r="E43"/>
  <c r="AG121" i="60816"/>
  <c r="B428" i="60805"/>
  <c r="B444"/>
  <c r="F160" i="60801" s="1"/>
  <c r="F161" s="1"/>
  <c r="B460" i="60805"/>
  <c r="E166" i="60801" s="1"/>
  <c r="E167" s="1"/>
  <c r="B476" i="60805"/>
  <c r="F166" i="60801" s="1"/>
  <c r="F167" s="1"/>
  <c r="B492" i="60805"/>
  <c r="E290" i="60801" s="1"/>
  <c r="E291" s="1"/>
  <c r="B509" i="60805"/>
  <c r="B525"/>
  <c r="J218" i="60804"/>
  <c r="I238"/>
  <c r="K25" i="60817"/>
  <c r="K30"/>
  <c r="K34"/>
  <c r="BT161" i="60819"/>
  <c r="T16" i="60825"/>
  <c r="T17" s="1"/>
  <c r="AH34" i="60824"/>
  <c r="E12" i="60825"/>
  <c r="AI152" i="60824"/>
  <c r="AL151" s="1"/>
  <c r="AH177" i="60819"/>
  <c r="EI197"/>
  <c r="EI198"/>
  <c r="DC198" s="1"/>
  <c r="EI199"/>
  <c r="DC199" s="1"/>
  <c r="EI200"/>
  <c r="DC200" s="1"/>
  <c r="EI201"/>
  <c r="DC201" s="1"/>
  <c r="EI202"/>
  <c r="DC202" s="1"/>
  <c r="EI203"/>
  <c r="DC203" s="1"/>
  <c r="EI204"/>
  <c r="DC204" s="1"/>
  <c r="EI205"/>
  <c r="DC205" s="1"/>
  <c r="EI206"/>
  <c r="DC206" s="1"/>
  <c r="EI207"/>
  <c r="DC207" s="1"/>
  <c r="EI208"/>
  <c r="DC208" s="1"/>
  <c r="EI214"/>
  <c r="DC214" s="1"/>
  <c r="EI216"/>
  <c r="DC216" s="1"/>
  <c r="EI218"/>
  <c r="DC218" s="1"/>
  <c r="EI220"/>
  <c r="DC220" s="1"/>
  <c r="EI222"/>
  <c r="DC222" s="1"/>
  <c r="EI224"/>
  <c r="DC224" s="1"/>
  <c r="EI236"/>
  <c r="DC236" s="1"/>
  <c r="EI238"/>
  <c r="DC238" s="1"/>
  <c r="EI240"/>
  <c r="DC240" s="1"/>
  <c r="AM257"/>
  <c r="AQ257"/>
  <c r="AU257"/>
  <c r="AY257"/>
  <c r="BC257"/>
  <c r="BG257"/>
  <c r="BK257"/>
  <c r="BO257"/>
  <c r="BQ248"/>
  <c r="AK248" s="1"/>
  <c r="BQ252"/>
  <c r="AK252" s="1"/>
  <c r="BQ256"/>
  <c r="AK256" s="1"/>
  <c r="E7" i="60825"/>
  <c r="B22" i="60824"/>
  <c r="E5" i="60825" s="1"/>
  <c r="F5" s="1"/>
  <c r="D8" s="1"/>
  <c r="E22"/>
  <c r="E171" i="7380"/>
  <c r="G171" s="1"/>
  <c r="H171" s="1"/>
  <c r="H104"/>
  <c r="F25"/>
  <c r="F33"/>
  <c r="F39"/>
  <c r="F217" i="1792"/>
  <c r="F237"/>
  <c r="F221"/>
  <c r="F241"/>
  <c r="F273"/>
  <c r="F221" i="7380"/>
  <c r="F185"/>
  <c r="G185" s="1"/>
  <c r="E205" s="1"/>
  <c r="F261"/>
  <c r="F41" i="11565"/>
  <c r="F220" i="7380"/>
  <c r="G59" i="60796"/>
  <c r="E142" i="1792"/>
  <c r="G142" s="1"/>
  <c r="H142" s="1"/>
  <c r="H75"/>
  <c r="B249" i="2819"/>
  <c r="AJ236" s="1"/>
  <c r="F43" i="11565"/>
  <c r="F195" i="1792"/>
  <c r="G195" s="1"/>
  <c r="E215" s="1"/>
  <c r="F215"/>
  <c r="F235"/>
  <c r="F219"/>
  <c r="F239"/>
  <c r="F223"/>
  <c r="F243"/>
  <c r="F223" i="7380"/>
  <c r="F37" i="11565"/>
  <c r="G37" s="1"/>
  <c r="E57" s="1"/>
  <c r="B410" i="2819"/>
  <c r="AJ397" s="1"/>
  <c r="F78" i="11565"/>
  <c r="G78" s="1"/>
  <c r="F62" i="60796"/>
  <c r="E41" i="1792"/>
  <c r="G58"/>
  <c r="H65"/>
  <c r="G68"/>
  <c r="E135" s="1"/>
  <c r="G135" s="1"/>
  <c r="H135" s="1"/>
  <c r="G73"/>
  <c r="E140" s="1"/>
  <c r="G140" s="1"/>
  <c r="H140" s="1"/>
  <c r="H78"/>
  <c r="G81"/>
  <c r="H81" s="1"/>
  <c r="G84"/>
  <c r="E151" s="1"/>
  <c r="G151" s="1"/>
  <c r="H151" s="1"/>
  <c r="G95"/>
  <c r="H98"/>
  <c r="G108"/>
  <c r="E175" s="1"/>
  <c r="G175" s="1"/>
  <c r="H175" s="1"/>
  <c r="C286"/>
  <c r="B8" i="2316"/>
  <c r="AM70"/>
  <c r="BU57" s="1"/>
  <c r="F50" i="1792"/>
  <c r="F194"/>
  <c r="H194" s="1"/>
  <c r="B253" i="2316"/>
  <c r="F226" i="1792"/>
  <c r="F246"/>
  <c r="AH538" i="2316"/>
  <c r="AH602"/>
  <c r="AL9" i="1024"/>
  <c r="G10" i="60796"/>
  <c r="B89" i="1024"/>
  <c r="AH117"/>
  <c r="B57" i="32"/>
  <c r="F26" i="7380" s="1"/>
  <c r="G26" s="1"/>
  <c r="E32" s="1"/>
  <c r="AH199" i="32"/>
  <c r="B412"/>
  <c r="F245" i="7380" s="1"/>
  <c r="G245" s="1"/>
  <c r="E261" s="1"/>
  <c r="F262"/>
  <c r="F263"/>
  <c r="F249"/>
  <c r="F265"/>
  <c r="E28"/>
  <c r="K56"/>
  <c r="G67"/>
  <c r="H67" s="1"/>
  <c r="K68"/>
  <c r="K71"/>
  <c r="K87"/>
  <c r="C272"/>
  <c r="F8" i="11565"/>
  <c r="G8" s="1"/>
  <c r="H8" s="1"/>
  <c r="F9"/>
  <c r="G9" s="1"/>
  <c r="H9" s="1"/>
  <c r="AH185" i="2819"/>
  <c r="F63" i="11565"/>
  <c r="AH281" i="2819"/>
  <c r="F68" i="11565"/>
  <c r="B333" i="2819"/>
  <c r="AH426"/>
  <c r="AH67" i="8194"/>
  <c r="B53" i="60805"/>
  <c r="E20" i="60801" s="1"/>
  <c r="F20" s="1"/>
  <c r="F22" s="1"/>
  <c r="B109" i="60805"/>
  <c r="K128" i="7380"/>
  <c r="L128" s="1"/>
  <c r="O128" s="1"/>
  <c r="K61"/>
  <c r="K141"/>
  <c r="L141" s="1"/>
  <c r="O141" s="1"/>
  <c r="K74"/>
  <c r="O210" i="1792"/>
  <c r="F275"/>
  <c r="BU19" i="1024"/>
  <c r="AL13"/>
  <c r="AL17"/>
  <c r="AH183" i="32"/>
  <c r="F247" i="7380"/>
  <c r="H247" s="1"/>
  <c r="B185" i="2819"/>
  <c r="AJ172" s="1"/>
  <c r="AH249"/>
  <c r="AH313"/>
  <c r="AH410"/>
  <c r="F84" i="11565"/>
  <c r="L99" s="1"/>
  <c r="AH43" i="516"/>
  <c r="B43" s="1"/>
  <c r="AH47"/>
  <c r="B47" s="1"/>
  <c r="E13" i="60814"/>
  <c r="F22"/>
  <c r="O195" i="60806"/>
  <c r="M198" s="1"/>
  <c r="B214" i="60805"/>
  <c r="E88" i="60801" s="1"/>
  <c r="E95" s="1"/>
  <c r="B328" i="60805"/>
  <c r="E43" i="60801" s="1"/>
  <c r="F43" s="1"/>
  <c r="K151" i="7380"/>
  <c r="L151" s="1"/>
  <c r="O151" s="1"/>
  <c r="K84"/>
  <c r="K152"/>
  <c r="L152" s="1"/>
  <c r="O152" s="1"/>
  <c r="AH506" i="2819"/>
  <c r="B494"/>
  <c r="AH84" i="516"/>
  <c r="B72"/>
  <c r="B84" s="1"/>
  <c r="AH132" i="60806"/>
  <c r="B120"/>
  <c r="C13" i="1"/>
  <c r="AA62" i="60796"/>
  <c r="G66" i="1792"/>
  <c r="H66" s="1"/>
  <c r="G79"/>
  <c r="H79" s="1"/>
  <c r="M88"/>
  <c r="G90"/>
  <c r="G96"/>
  <c r="E163" s="1"/>
  <c r="G163" s="1"/>
  <c r="H163" s="1"/>
  <c r="H101"/>
  <c r="G104"/>
  <c r="H104" s="1"/>
  <c r="G118"/>
  <c r="E185" s="1"/>
  <c r="G185" s="1"/>
  <c r="H185" s="1"/>
  <c r="B40" i="2316"/>
  <c r="AH119"/>
  <c r="F45" i="1792"/>
  <c r="F51"/>
  <c r="B221" i="2316"/>
  <c r="B285"/>
  <c r="F225" i="1792"/>
  <c r="B393" i="2316"/>
  <c r="AJ380" s="1"/>
  <c r="F272" i="1792"/>
  <c r="AL7" i="1024"/>
  <c r="AH36"/>
  <c r="B154"/>
  <c r="B166" s="1"/>
  <c r="AH182"/>
  <c r="B73" i="32"/>
  <c r="F27" i="7380" s="1"/>
  <c r="G27" s="1"/>
  <c r="H27" s="1"/>
  <c r="F192"/>
  <c r="G192" s="1"/>
  <c r="E212" s="1"/>
  <c r="B315" i="32"/>
  <c r="B327" s="1"/>
  <c r="AH456"/>
  <c r="B508"/>
  <c r="F251" i="7380" s="1"/>
  <c r="H251" s="1"/>
  <c r="G56"/>
  <c r="E123" s="1"/>
  <c r="G123" s="1"/>
  <c r="H123" s="1"/>
  <c r="G61"/>
  <c r="G78"/>
  <c r="E145" s="1"/>
  <c r="G145" s="1"/>
  <c r="H145" s="1"/>
  <c r="G81"/>
  <c r="E148" s="1"/>
  <c r="G148" s="1"/>
  <c r="H148" s="1"/>
  <c r="G97"/>
  <c r="E164" s="1"/>
  <c r="G164" s="1"/>
  <c r="H164" s="1"/>
  <c r="C238"/>
  <c r="AH18" i="514"/>
  <c r="AH34"/>
  <c r="AH50"/>
  <c r="AO71"/>
  <c r="AO72"/>
  <c r="AL72" s="1"/>
  <c r="AO76"/>
  <c r="AL76" s="1"/>
  <c r="G74" i="60796" s="1"/>
  <c r="B77" i="514"/>
  <c r="M53" i="11565"/>
  <c r="P88"/>
  <c r="AH37" i="2819"/>
  <c r="B153"/>
  <c r="AJ140" s="1"/>
  <c r="AH169"/>
  <c r="B313"/>
  <c r="AJ300" s="1"/>
  <c r="B526"/>
  <c r="B87" i="8194"/>
  <c r="AR195" i="7380"/>
  <c r="L183"/>
  <c r="N196" s="1"/>
  <c r="AH82" i="514"/>
  <c r="B70"/>
  <c r="F274" i="1792"/>
  <c r="AH474" i="2316"/>
  <c r="AL15" i="1024"/>
  <c r="AH215" i="32"/>
  <c r="AH279"/>
  <c r="F193" i="7380"/>
  <c r="G193" s="1"/>
  <c r="E213" s="1"/>
  <c r="AH488" i="32"/>
  <c r="AH504"/>
  <c r="B34" i="514"/>
  <c r="AJ21" s="1"/>
  <c r="E10" i="11565"/>
  <c r="AH153" i="2819"/>
  <c r="B217"/>
  <c r="AJ204" s="1"/>
  <c r="B281"/>
  <c r="AJ268" s="1"/>
  <c r="B442"/>
  <c r="AJ429" s="1"/>
  <c r="AH522"/>
  <c r="F86" i="11565"/>
  <c r="AH179" i="8194"/>
  <c r="E51" i="516"/>
  <c r="I51"/>
  <c r="M51"/>
  <c r="Q51"/>
  <c r="U51"/>
  <c r="Y51"/>
  <c r="AC51"/>
  <c r="AG51"/>
  <c r="AH41"/>
  <c r="B41" s="1"/>
  <c r="AH45"/>
  <c r="B45" s="1"/>
  <c r="AH49"/>
  <c r="B49" s="1"/>
  <c r="E40" i="60814"/>
  <c r="E137" i="60801"/>
  <c r="B246" i="60805"/>
  <c r="E115" i="60801" s="1"/>
  <c r="F115" s="1"/>
  <c r="F116" s="1"/>
  <c r="B356" i="60805"/>
  <c r="EI177" i="60819"/>
  <c r="DC165"/>
  <c r="DC177" s="1"/>
  <c r="AH193"/>
  <c r="B181"/>
  <c r="B193" s="1"/>
  <c r="AH85" i="60824"/>
  <c r="B73"/>
  <c r="B392" i="60805"/>
  <c r="E54" i="60801" s="1"/>
  <c r="F54" s="1"/>
  <c r="F56" s="1"/>
  <c r="F83" i="60815"/>
  <c r="F6" s="1"/>
  <c r="G6" s="1"/>
  <c r="H6" s="1"/>
  <c r="G47"/>
  <c r="H47" s="1"/>
  <c r="G49"/>
  <c r="H49" s="1"/>
  <c r="G64"/>
  <c r="H64" s="1"/>
  <c r="G76"/>
  <c r="H76" s="1"/>
  <c r="G81"/>
  <c r="H81" s="1"/>
  <c r="I25" i="60817"/>
  <c r="I26"/>
  <c r="I27"/>
  <c r="I28"/>
  <c r="L28"/>
  <c r="I30"/>
  <c r="I31"/>
  <c r="I32"/>
  <c r="I33"/>
  <c r="I34"/>
  <c r="AH37" i="60818"/>
  <c r="B145" i="60819"/>
  <c r="DC193"/>
  <c r="E10" i="60825"/>
  <c r="AH51" i="60824"/>
  <c r="E9" i="60825"/>
  <c r="AH102" i="60824"/>
  <c r="B119"/>
  <c r="CZ193" i="60819"/>
  <c r="BT181"/>
  <c r="BT193" s="1"/>
  <c r="AH17" i="60824"/>
  <c r="B5"/>
  <c r="E4" i="60825" s="1"/>
  <c r="F4" s="1"/>
  <c r="D7" s="1"/>
  <c r="G178" i="60801"/>
  <c r="G236"/>
  <c r="G255"/>
  <c r="G280"/>
  <c r="L22" i="60804"/>
  <c r="G21" i="60815"/>
  <c r="H21" s="1"/>
  <c r="G25"/>
  <c r="H25" s="1"/>
  <c r="G27"/>
  <c r="H27" s="1"/>
  <c r="G30"/>
  <c r="H30" s="1"/>
  <c r="G45"/>
  <c r="H45" s="1"/>
  <c r="G57"/>
  <c r="H57" s="1"/>
  <c r="G62"/>
  <c r="H62" s="1"/>
  <c r="G72"/>
  <c r="H72" s="1"/>
  <c r="G79"/>
  <c r="H79" s="1"/>
  <c r="L46" i="60817"/>
  <c r="L50"/>
  <c r="J52"/>
  <c r="AE192" i="60818"/>
  <c r="AE204" s="1"/>
  <c r="O192"/>
  <c r="O204" s="1"/>
  <c r="BT133" i="60819"/>
  <c r="BT145" s="1"/>
  <c r="AH145"/>
  <c r="CZ161"/>
  <c r="B165"/>
  <c r="B177" s="1"/>
  <c r="AH197"/>
  <c r="B197" s="1"/>
  <c r="AH198"/>
  <c r="B198" s="1"/>
  <c r="AH199"/>
  <c r="B199" s="1"/>
  <c r="AH200"/>
  <c r="B200" s="1"/>
  <c r="AH201"/>
  <c r="B201" s="1"/>
  <c r="AH202"/>
  <c r="B202" s="1"/>
  <c r="AH203"/>
  <c r="B203" s="1"/>
  <c r="AH204"/>
  <c r="B204" s="1"/>
  <c r="AH205"/>
  <c r="B205" s="1"/>
  <c r="AH206"/>
  <c r="B206" s="1"/>
  <c r="AH207"/>
  <c r="B207" s="1"/>
  <c r="AH208"/>
  <c r="B208" s="1"/>
  <c r="BQ213"/>
  <c r="AK213" s="1"/>
  <c r="EI213"/>
  <c r="DC213" s="1"/>
  <c r="BQ215"/>
  <c r="AK215" s="1"/>
  <c r="BQ217"/>
  <c r="AK217" s="1"/>
  <c r="BQ219"/>
  <c r="AK219" s="1"/>
  <c r="BQ221"/>
  <c r="AK221" s="1"/>
  <c r="BQ223"/>
  <c r="AK223" s="1"/>
  <c r="BQ229"/>
  <c r="AK229" s="1"/>
  <c r="BQ231"/>
  <c r="AK231" s="1"/>
  <c r="BQ233"/>
  <c r="AK233" s="1"/>
  <c r="BQ235"/>
  <c r="AK235" s="1"/>
  <c r="BQ237"/>
  <c r="AK237" s="1"/>
  <c r="BQ239"/>
  <c r="AK239" s="1"/>
  <c r="BQ245"/>
  <c r="BQ249"/>
  <c r="AK249" s="1"/>
  <c r="BQ253"/>
  <c r="AK253" s="1"/>
  <c r="B51" i="60824"/>
  <c r="E19" i="60825"/>
  <c r="F19" s="1"/>
  <c r="D22" s="1"/>
  <c r="E25"/>
  <c r="E28"/>
  <c r="E30"/>
  <c r="BQ145" i="60819"/>
  <c r="AK133"/>
  <c r="AK145" s="1"/>
  <c r="F188" i="7380"/>
  <c r="G188" s="1"/>
  <c r="E208" s="1"/>
  <c r="F209"/>
  <c r="F229"/>
  <c r="F232"/>
  <c r="B343" i="32"/>
  <c r="G60" i="7380"/>
  <c r="G68"/>
  <c r="G79"/>
  <c r="H79" s="1"/>
  <c r="G87"/>
  <c r="E154" s="1"/>
  <c r="G154" s="1"/>
  <c r="H154" s="1"/>
  <c r="G90"/>
  <c r="E157" s="1"/>
  <c r="G157" s="1"/>
  <c r="H157" s="1"/>
  <c r="G102"/>
  <c r="E169" s="1"/>
  <c r="G169" s="1"/>
  <c r="H169" s="1"/>
  <c r="E197"/>
  <c r="E255"/>
  <c r="AH66" i="514"/>
  <c r="AH21" i="2819"/>
  <c r="F14" i="11565"/>
  <c r="AH87" i="2819"/>
  <c r="AH105"/>
  <c r="F56" i="11565"/>
  <c r="AH233" i="2819"/>
  <c r="F64" i="11565"/>
  <c r="AH361" i="2819"/>
  <c r="F92" i="11565"/>
  <c r="AH442" i="2819"/>
  <c r="AH458"/>
  <c r="B35" i="8194"/>
  <c r="AJ22" s="1"/>
  <c r="AH83"/>
  <c r="AH115"/>
  <c r="AH163"/>
  <c r="B35" i="516"/>
  <c r="AJ22" s="1"/>
  <c r="F51"/>
  <c r="J51"/>
  <c r="N51"/>
  <c r="R51"/>
  <c r="V51"/>
  <c r="Z51"/>
  <c r="AD51"/>
  <c r="AH40"/>
  <c r="B40" s="1"/>
  <c r="AH44"/>
  <c r="B44" s="1"/>
  <c r="AH48"/>
  <c r="B48" s="1"/>
  <c r="C26" i="60814"/>
  <c r="H228" i="60801"/>
  <c r="I22" i="60804"/>
  <c r="E83" i="60815"/>
  <c r="G55"/>
  <c r="H55" s="1"/>
  <c r="G60"/>
  <c r="H60" s="1"/>
  <c r="G70"/>
  <c r="H70" s="1"/>
  <c r="H25" i="60817"/>
  <c r="J25" s="1"/>
  <c r="H26"/>
  <c r="J26" s="1"/>
  <c r="H27"/>
  <c r="J27" s="1"/>
  <c r="H28"/>
  <c r="I29"/>
  <c r="L29"/>
  <c r="H30"/>
  <c r="J30" s="1"/>
  <c r="H31"/>
  <c r="J31" s="1"/>
  <c r="H32"/>
  <c r="J32" s="1"/>
  <c r="H33"/>
  <c r="J33" s="1"/>
  <c r="H34"/>
  <c r="J34" s="1"/>
  <c r="L43"/>
  <c r="L47"/>
  <c r="J49"/>
  <c r="L51"/>
  <c r="C8" i="60818"/>
  <c r="AH8" s="1"/>
  <c r="B8" s="1"/>
  <c r="AG6"/>
  <c r="AC6"/>
  <c r="AC18" s="1"/>
  <c r="Y6"/>
  <c r="Y18" s="1"/>
  <c r="U6"/>
  <c r="U18" s="1"/>
  <c r="Q6"/>
  <c r="M6"/>
  <c r="M18" s="1"/>
  <c r="I6"/>
  <c r="I18" s="1"/>
  <c r="E6"/>
  <c r="E18" s="1"/>
  <c r="D105"/>
  <c r="H105"/>
  <c r="L105"/>
  <c r="P105"/>
  <c r="T105"/>
  <c r="X105"/>
  <c r="AB105"/>
  <c r="AF105"/>
  <c r="C145"/>
  <c r="C141"/>
  <c r="AH141" s="1"/>
  <c r="B141" s="1"/>
  <c r="C137"/>
  <c r="AH137" s="1"/>
  <c r="B137" s="1"/>
  <c r="C160"/>
  <c r="AH160" s="1"/>
  <c r="B160" s="1"/>
  <c r="C156"/>
  <c r="D153"/>
  <c r="AH153" s="1"/>
  <c r="AA192"/>
  <c r="AA204" s="1"/>
  <c r="K192"/>
  <c r="K204" s="1"/>
  <c r="BQ17" i="60819"/>
  <c r="BX209"/>
  <c r="CB209"/>
  <c r="CF209"/>
  <c r="CJ209"/>
  <c r="CN209"/>
  <c r="CR209"/>
  <c r="CV209"/>
  <c r="DD209"/>
  <c r="DD225" s="1"/>
  <c r="DD241" s="1"/>
  <c r="DH209"/>
  <c r="DH225" s="1"/>
  <c r="DH241" s="1"/>
  <c r="DL209"/>
  <c r="DL225" s="1"/>
  <c r="DL241" s="1"/>
  <c r="DP209"/>
  <c r="DP225" s="1"/>
  <c r="DP241" s="1"/>
  <c r="DT209"/>
  <c r="DT225" s="1"/>
  <c r="DT241" s="1"/>
  <c r="DX209"/>
  <c r="EB209"/>
  <c r="EB225" s="1"/>
  <c r="EB241" s="1"/>
  <c r="EF209"/>
  <c r="EF225" s="1"/>
  <c r="EF241" s="1"/>
  <c r="AK33"/>
  <c r="DC33"/>
  <c r="EO33"/>
  <c r="ES33"/>
  <c r="EW33"/>
  <c r="FA33"/>
  <c r="FE33"/>
  <c r="FI33"/>
  <c r="FM33"/>
  <c r="FQ33"/>
  <c r="AK149"/>
  <c r="AK161" s="1"/>
  <c r="EI161"/>
  <c r="BT165"/>
  <c r="BT177" s="1"/>
  <c r="E11" i="60825"/>
  <c r="FR21" i="60819"/>
  <c r="EL21" s="1"/>
  <c r="D192" i="60818"/>
  <c r="D204" s="1"/>
  <c r="ER33" i="60819"/>
  <c r="H192" i="60818"/>
  <c r="H204" s="1"/>
  <c r="EV33" i="60819"/>
  <c r="L192" i="60818"/>
  <c r="EZ33" i="60819"/>
  <c r="P192" i="60818"/>
  <c r="P204" s="1"/>
  <c r="FD33" i="60819"/>
  <c r="T192" i="60818"/>
  <c r="T204" s="1"/>
  <c r="FH33" i="60819"/>
  <c r="X192" i="60818"/>
  <c r="X204" s="1"/>
  <c r="FL33" i="60819"/>
  <c r="AB192" i="60818"/>
  <c r="AB204" s="1"/>
  <c r="FP33" i="60819"/>
  <c r="AF192" i="60818"/>
  <c r="FR24" i="60819"/>
  <c r="EL24" s="1"/>
  <c r="C195" i="60818"/>
  <c r="AH195" s="1"/>
  <c r="B195" s="1"/>
  <c r="EI145" i="60819"/>
  <c r="DC133"/>
  <c r="DC145" s="1"/>
  <c r="BQ177"/>
  <c r="AK165"/>
  <c r="AK177" s="1"/>
  <c r="B37" i="60818"/>
  <c r="AH17" i="60819"/>
  <c r="FR17"/>
  <c r="FR25"/>
  <c r="EL25" s="1"/>
  <c r="FR28"/>
  <c r="EL28" s="1"/>
  <c r="FR29"/>
  <c r="EL29" s="1"/>
  <c r="FR32"/>
  <c r="EL32" s="1"/>
  <c r="B161"/>
  <c r="DC161"/>
  <c r="AK193"/>
  <c r="CZ197"/>
  <c r="BT197" s="1"/>
  <c r="CZ198"/>
  <c r="BT198" s="1"/>
  <c r="CZ199"/>
  <c r="BT199" s="1"/>
  <c r="CZ200"/>
  <c r="BT200" s="1"/>
  <c r="CZ201"/>
  <c r="BT201" s="1"/>
  <c r="CZ202"/>
  <c r="BT202" s="1"/>
  <c r="CZ203"/>
  <c r="BT203" s="1"/>
  <c r="CZ204"/>
  <c r="BT204" s="1"/>
  <c r="CZ205"/>
  <c r="BT205" s="1"/>
  <c r="CZ206"/>
  <c r="BT206" s="1"/>
  <c r="CZ207"/>
  <c r="BT207" s="1"/>
  <c r="CZ208"/>
  <c r="BT208" s="1"/>
  <c r="AN225"/>
  <c r="AR225"/>
  <c r="AV225"/>
  <c r="AZ225"/>
  <c r="BD225"/>
  <c r="BH225"/>
  <c r="BL225"/>
  <c r="BP225"/>
  <c r="BQ214"/>
  <c r="AK214" s="1"/>
  <c r="BQ216"/>
  <c r="AK216" s="1"/>
  <c r="BQ218"/>
  <c r="AK218" s="1"/>
  <c r="BQ220"/>
  <c r="AK220" s="1"/>
  <c r="BQ222"/>
  <c r="AK222" s="1"/>
  <c r="BQ224"/>
  <c r="AK224" s="1"/>
  <c r="AN241"/>
  <c r="AR241"/>
  <c r="AV241"/>
  <c r="AZ241"/>
  <c r="BD241"/>
  <c r="BH241"/>
  <c r="BL241"/>
  <c r="BP241"/>
  <c r="BQ230"/>
  <c r="AK230" s="1"/>
  <c r="BQ232"/>
  <c r="AK232" s="1"/>
  <c r="BQ234"/>
  <c r="AK234" s="1"/>
  <c r="EI234"/>
  <c r="DC234" s="1"/>
  <c r="BQ236"/>
  <c r="AK236" s="1"/>
  <c r="BQ238"/>
  <c r="AK238" s="1"/>
  <c r="BQ240"/>
  <c r="AK240" s="1"/>
  <c r="AN257"/>
  <c r="AR257"/>
  <c r="AV257"/>
  <c r="AZ257"/>
  <c r="BD257"/>
  <c r="BH257"/>
  <c r="BL257"/>
  <c r="BP257"/>
  <c r="BQ247"/>
  <c r="AK247" s="1"/>
  <c r="BQ251"/>
  <c r="AK251" s="1"/>
  <c r="BQ255"/>
  <c r="AK255" s="1"/>
  <c r="M66" i="60822"/>
  <c r="M67" s="1"/>
  <c r="E15" i="60825"/>
  <c r="E24"/>
  <c r="E37"/>
  <c r="BT17" i="60819"/>
  <c r="BU209"/>
  <c r="BY209"/>
  <c r="CC209"/>
  <c r="CG209"/>
  <c r="CK209"/>
  <c r="CO209"/>
  <c r="CS209"/>
  <c r="CW209"/>
  <c r="DE209"/>
  <c r="DE225" s="1"/>
  <c r="DE241" s="1"/>
  <c r="DI209"/>
  <c r="DI225" s="1"/>
  <c r="DI241" s="1"/>
  <c r="DM209"/>
  <c r="DM225" s="1"/>
  <c r="DM241" s="1"/>
  <c r="DQ209"/>
  <c r="DQ225" s="1"/>
  <c r="DQ241" s="1"/>
  <c r="DU209"/>
  <c r="DU225" s="1"/>
  <c r="DU241" s="1"/>
  <c r="DY209"/>
  <c r="EC209"/>
  <c r="EG209"/>
  <c r="BQ33"/>
  <c r="EI33"/>
  <c r="EP33"/>
  <c r="ET33"/>
  <c r="EX33"/>
  <c r="FB33"/>
  <c r="FF33"/>
  <c r="FJ33"/>
  <c r="FN33"/>
  <c r="FR22"/>
  <c r="EL22" s="1"/>
  <c r="FR23"/>
  <c r="EL23" s="1"/>
  <c r="FR26"/>
  <c r="EL26" s="1"/>
  <c r="FR27"/>
  <c r="EL27" s="1"/>
  <c r="FR30"/>
  <c r="EL30" s="1"/>
  <c r="FR31"/>
  <c r="EL31" s="1"/>
  <c r="BQ197"/>
  <c r="AK197" s="1"/>
  <c r="BQ198"/>
  <c r="AK198" s="1"/>
  <c r="BQ199"/>
  <c r="AK199" s="1"/>
  <c r="BQ200"/>
  <c r="AK200" s="1"/>
  <c r="BQ201"/>
  <c r="AK201" s="1"/>
  <c r="BQ202"/>
  <c r="AK202" s="1"/>
  <c r="BQ203"/>
  <c r="AK203" s="1"/>
  <c r="BQ204"/>
  <c r="AK204" s="1"/>
  <c r="BQ205"/>
  <c r="AK205" s="1"/>
  <c r="BQ206"/>
  <c r="AK206" s="1"/>
  <c r="BQ207"/>
  <c r="AK207" s="1"/>
  <c r="BQ208"/>
  <c r="AK208" s="1"/>
  <c r="AO225"/>
  <c r="AS225"/>
  <c r="AW225"/>
  <c r="BA225"/>
  <c r="BE225"/>
  <c r="BI225"/>
  <c r="BM225"/>
  <c r="EI215"/>
  <c r="DC215" s="1"/>
  <c r="EI217"/>
  <c r="DC217" s="1"/>
  <c r="EI219"/>
  <c r="DC219" s="1"/>
  <c r="EI221"/>
  <c r="DC221" s="1"/>
  <c r="EI223"/>
  <c r="DC223" s="1"/>
  <c r="AO241"/>
  <c r="AS241"/>
  <c r="AW241"/>
  <c r="BA241"/>
  <c r="BE241"/>
  <c r="BI241"/>
  <c r="BM241"/>
  <c r="EI229"/>
  <c r="EI230"/>
  <c r="DC230" s="1"/>
  <c r="EI231"/>
  <c r="DC231" s="1"/>
  <c r="EI232"/>
  <c r="DC232" s="1"/>
  <c r="EI233"/>
  <c r="DC233" s="1"/>
  <c r="EI235"/>
  <c r="DC235" s="1"/>
  <c r="EI237"/>
  <c r="DC237" s="1"/>
  <c r="EI239"/>
  <c r="DC239" s="1"/>
  <c r="AO257"/>
  <c r="AS257"/>
  <c r="AW257"/>
  <c r="BA257"/>
  <c r="BE257"/>
  <c r="BI257"/>
  <c r="BM257"/>
  <c r="BQ246"/>
  <c r="AK246" s="1"/>
  <c r="BQ250"/>
  <c r="AK250" s="1"/>
  <c r="BQ254"/>
  <c r="AK254" s="1"/>
  <c r="W34" i="60822"/>
  <c r="W35" s="1"/>
  <c r="D52"/>
  <c r="N66"/>
  <c r="N67" s="1"/>
  <c r="N4" i="60825"/>
  <c r="S16"/>
  <c r="S17" s="1"/>
  <c r="E13"/>
  <c r="AI50" i="60824"/>
  <c r="AL49" s="1"/>
  <c r="AH68"/>
  <c r="AI118"/>
  <c r="AL117" s="1"/>
  <c r="AH119"/>
  <c r="F257" i="1792"/>
  <c r="G257" s="1"/>
  <c r="E273" s="1"/>
  <c r="G39" i="11565"/>
  <c r="E59" s="1"/>
  <c r="AH53" i="2819"/>
  <c r="B53"/>
  <c r="AJ40" s="1"/>
  <c r="V42" i="60816"/>
  <c r="I76"/>
  <c r="J86"/>
  <c r="J440"/>
  <c r="J463"/>
  <c r="J473"/>
  <c r="V339"/>
  <c r="AG57"/>
  <c r="AG101"/>
  <c r="I26"/>
  <c r="U63"/>
  <c r="AH57"/>
  <c r="AH101"/>
  <c r="AH15"/>
  <c r="V86"/>
  <c r="V97"/>
  <c r="V108"/>
  <c r="V11"/>
  <c r="V20"/>
  <c r="I347"/>
  <c r="AG15"/>
  <c r="I420"/>
  <c r="E204" i="60818"/>
  <c r="J26" i="60816"/>
  <c r="V63"/>
  <c r="J420"/>
  <c r="I450"/>
  <c r="I485"/>
  <c r="U330"/>
  <c r="V76"/>
  <c r="J76"/>
  <c r="I86"/>
  <c r="V189"/>
  <c r="J450"/>
  <c r="J485"/>
  <c r="V330"/>
  <c r="E124" i="60818"/>
  <c r="Q85"/>
  <c r="H97" i="1792"/>
  <c r="E164"/>
  <c r="G164" s="1"/>
  <c r="H164" s="1"/>
  <c r="E159"/>
  <c r="G159" s="1"/>
  <c r="H159" s="1"/>
  <c r="H99"/>
  <c r="E166"/>
  <c r="G166" s="1"/>
  <c r="H166" s="1"/>
  <c r="H106"/>
  <c r="E173"/>
  <c r="G173" s="1"/>
  <c r="H173" s="1"/>
  <c r="E182"/>
  <c r="G182" s="1"/>
  <c r="H182" s="1"/>
  <c r="H115"/>
  <c r="H120"/>
  <c r="O208"/>
  <c r="M207"/>
  <c r="B249" i="2316"/>
  <c r="AJ236" s="1"/>
  <c r="F200" i="1792"/>
  <c r="B570" i="2316"/>
  <c r="AJ557" s="1"/>
  <c r="F268" i="1792"/>
  <c r="H268" s="1"/>
  <c r="F252" i="7380"/>
  <c r="G252" s="1"/>
  <c r="E268" s="1"/>
  <c r="B536" i="32"/>
  <c r="AJ523" s="1"/>
  <c r="F27" i="1792"/>
  <c r="F46"/>
  <c r="F214"/>
  <c r="F196"/>
  <c r="F236"/>
  <c r="F220"/>
  <c r="F240"/>
  <c r="F224"/>
  <c r="F244"/>
  <c r="F227"/>
  <c r="F261"/>
  <c r="G261" s="1"/>
  <c r="E277" s="1"/>
  <c r="B506" i="2316"/>
  <c r="AJ493" s="1"/>
  <c r="F281" i="1792"/>
  <c r="F282"/>
  <c r="B84" i="1024"/>
  <c r="F206" i="7380"/>
  <c r="F226"/>
  <c r="F233"/>
  <c r="F258"/>
  <c r="F264"/>
  <c r="E178" i="1792"/>
  <c r="G178" s="1"/>
  <c r="H178" s="1"/>
  <c r="H111"/>
  <c r="E180"/>
  <c r="G180" s="1"/>
  <c r="H180" s="1"/>
  <c r="H113"/>
  <c r="H118"/>
  <c r="B86" i="2316"/>
  <c r="AJ73" s="1"/>
  <c r="F22" i="1792"/>
  <c r="G22" s="1"/>
  <c r="E27" s="1"/>
  <c r="F9" i="7380"/>
  <c r="G9" s="1"/>
  <c r="E14" s="1"/>
  <c r="B36" i="32"/>
  <c r="AJ23" s="1"/>
  <c r="F189" i="7380"/>
  <c r="G189" s="1"/>
  <c r="H189" s="1"/>
  <c r="B247" i="32"/>
  <c r="AJ234" s="1"/>
  <c r="E154" i="1792"/>
  <c r="G154" s="1"/>
  <c r="H154" s="1"/>
  <c r="H87"/>
  <c r="H90"/>
  <c r="E157"/>
  <c r="G157" s="1"/>
  <c r="H157" s="1"/>
  <c r="E136"/>
  <c r="G136" s="1"/>
  <c r="H136" s="1"/>
  <c r="H69"/>
  <c r="H85"/>
  <c r="E188"/>
  <c r="G188" s="1"/>
  <c r="H188" s="1"/>
  <c r="H121"/>
  <c r="B409" i="2316"/>
  <c r="AJ396" s="1"/>
  <c r="F210" i="1792"/>
  <c r="G210" s="1"/>
  <c r="E230" s="1"/>
  <c r="F248" i="7380"/>
  <c r="B472" i="32"/>
  <c r="AJ459" s="1"/>
  <c r="O209" i="1792"/>
  <c r="F14"/>
  <c r="F32"/>
  <c r="F234"/>
  <c r="F218"/>
  <c r="F238"/>
  <c r="F202"/>
  <c r="F242"/>
  <c r="F230"/>
  <c r="F250"/>
  <c r="F277"/>
  <c r="F284"/>
  <c r="F211" i="7380"/>
  <c r="F231"/>
  <c r="B376" i="32"/>
  <c r="AJ363" s="1"/>
  <c r="F260" i="7380"/>
  <c r="F268"/>
  <c r="E129" i="1792"/>
  <c r="G129" s="1"/>
  <c r="H129" s="1"/>
  <c r="H62"/>
  <c r="E131"/>
  <c r="G131" s="1"/>
  <c r="H131" s="1"/>
  <c r="H64"/>
  <c r="H67"/>
  <c r="E134"/>
  <c r="G134" s="1"/>
  <c r="H134" s="1"/>
  <c r="H77"/>
  <c r="E144"/>
  <c r="G144" s="1"/>
  <c r="H144" s="1"/>
  <c r="E147"/>
  <c r="G147" s="1"/>
  <c r="H147" s="1"/>
  <c r="H80"/>
  <c r="B329" i="2316"/>
  <c r="AJ316" s="1"/>
  <c r="F205" i="1792"/>
  <c r="G205" s="1"/>
  <c r="E225" s="1"/>
  <c r="B345" i="2316"/>
  <c r="AJ332" s="1"/>
  <c r="F206" i="1792"/>
  <c r="H206" s="1"/>
  <c r="B458" i="2316"/>
  <c r="AJ445" s="1"/>
  <c r="F258" i="1792"/>
  <c r="F184" i="7380"/>
  <c r="G184" s="1"/>
  <c r="E204" s="1"/>
  <c r="B167" i="32"/>
  <c r="AJ154" s="1"/>
  <c r="F197" i="1792"/>
  <c r="G197" s="1"/>
  <c r="E217" s="1"/>
  <c r="B442" i="2316"/>
  <c r="AJ429" s="1"/>
  <c r="AL10" i="1024"/>
  <c r="AL18"/>
  <c r="F182" i="7380"/>
  <c r="G182" s="1"/>
  <c r="F183"/>
  <c r="G183" s="1"/>
  <c r="E203" s="1"/>
  <c r="F204"/>
  <c r="F224"/>
  <c r="B556" i="32"/>
  <c r="AH568"/>
  <c r="E113" i="7380"/>
  <c r="G113" s="1"/>
  <c r="H113" s="1"/>
  <c r="H46"/>
  <c r="H68"/>
  <c r="E135"/>
  <c r="G135" s="1"/>
  <c r="H135" s="1"/>
  <c r="H102"/>
  <c r="H106"/>
  <c r="E173"/>
  <c r="G173" s="1"/>
  <c r="H173" s="1"/>
  <c r="F36" i="11565"/>
  <c r="G36" s="1"/>
  <c r="B137" i="2819"/>
  <c r="AJ124" s="1"/>
  <c r="F44" i="11565"/>
  <c r="G44" s="1"/>
  <c r="B265" i="2819"/>
  <c r="AJ252" s="1"/>
  <c r="F77" i="11565"/>
  <c r="G77" s="1"/>
  <c r="E92" s="1"/>
  <c r="B394" i="2819"/>
  <c r="AJ381" s="1"/>
  <c r="I56" i="60796"/>
  <c r="F57" s="1"/>
  <c r="G24"/>
  <c r="M70" i="1792"/>
  <c r="M95"/>
  <c r="M116"/>
  <c r="E138"/>
  <c r="G138" s="1"/>
  <c r="H138" s="1"/>
  <c r="M140"/>
  <c r="K140" s="1"/>
  <c r="M144"/>
  <c r="K144" s="1"/>
  <c r="M146"/>
  <c r="K146" s="1"/>
  <c r="M148"/>
  <c r="K148" s="1"/>
  <c r="M152"/>
  <c r="K152" s="1"/>
  <c r="M157"/>
  <c r="K157" s="1"/>
  <c r="M159"/>
  <c r="K159" s="1"/>
  <c r="M163"/>
  <c r="K163" s="1"/>
  <c r="M171"/>
  <c r="K171" s="1"/>
  <c r="M173"/>
  <c r="K173" s="1"/>
  <c r="M175"/>
  <c r="K175" s="1"/>
  <c r="M179"/>
  <c r="K179" s="1"/>
  <c r="M181"/>
  <c r="K181" s="1"/>
  <c r="M185"/>
  <c r="K185" s="1"/>
  <c r="L188"/>
  <c r="M188" s="1"/>
  <c r="K188" s="1"/>
  <c r="E88"/>
  <c r="G88" s="1"/>
  <c r="AS207"/>
  <c r="AH62" i="2316"/>
  <c r="B62" s="1"/>
  <c r="F26" i="1792" s="1"/>
  <c r="BS70" i="2316"/>
  <c r="AH86"/>
  <c r="F44" i="1792"/>
  <c r="B169" i="2316"/>
  <c r="AJ156" s="1"/>
  <c r="AH281"/>
  <c r="AH329"/>
  <c r="B349"/>
  <c r="AH393"/>
  <c r="AH426"/>
  <c r="B462"/>
  <c r="AH490"/>
  <c r="B526"/>
  <c r="AH570"/>
  <c r="B590"/>
  <c r="B24" i="1024"/>
  <c r="B105"/>
  <c r="B117" s="1"/>
  <c r="AH36" i="32"/>
  <c r="F31" i="7380"/>
  <c r="AH167" i="32"/>
  <c r="B187"/>
  <c r="AH247"/>
  <c r="B267"/>
  <c r="AH343"/>
  <c r="AH472"/>
  <c r="B492"/>
  <c r="AH536"/>
  <c r="C15" i="7380"/>
  <c r="N198"/>
  <c r="F58" i="11565"/>
  <c r="F66"/>
  <c r="F94"/>
  <c r="E140" i="7380"/>
  <c r="G140" s="1"/>
  <c r="H140" s="1"/>
  <c r="H73"/>
  <c r="H77"/>
  <c r="E150"/>
  <c r="G150" s="1"/>
  <c r="H150" s="1"/>
  <c r="H83"/>
  <c r="H96"/>
  <c r="E163"/>
  <c r="G163" s="1"/>
  <c r="H163" s="1"/>
  <c r="H98"/>
  <c r="H103"/>
  <c r="E170"/>
  <c r="G170" s="1"/>
  <c r="H170" s="1"/>
  <c r="B71" i="2819"/>
  <c r="AJ58" s="1"/>
  <c r="F22" i="11565"/>
  <c r="H60" i="1792"/>
  <c r="H76"/>
  <c r="M82"/>
  <c r="H89"/>
  <c r="H91"/>
  <c r="M99"/>
  <c r="H103"/>
  <c r="H105"/>
  <c r="G112"/>
  <c r="H117"/>
  <c r="H119"/>
  <c r="M120"/>
  <c r="B24" i="2316"/>
  <c r="AH153"/>
  <c r="AH201"/>
  <c r="B205"/>
  <c r="AH249"/>
  <c r="B273"/>
  <c r="B301"/>
  <c r="AH345"/>
  <c r="B365"/>
  <c r="B377" s="1"/>
  <c r="AJ364" s="1"/>
  <c r="AH409"/>
  <c r="AH458"/>
  <c r="B482"/>
  <c r="B490" s="1"/>
  <c r="AJ477" s="1"/>
  <c r="AH150" i="1024"/>
  <c r="F8" i="7380"/>
  <c r="F13"/>
  <c r="F18"/>
  <c r="B20" i="32"/>
  <c r="AJ7" s="1"/>
  <c r="F37" i="7380"/>
  <c r="F207"/>
  <c r="F227"/>
  <c r="B215" i="32"/>
  <c r="AJ202" s="1"/>
  <c r="AH408"/>
  <c r="B424"/>
  <c r="AJ411" s="1"/>
  <c r="AH440"/>
  <c r="B456"/>
  <c r="AJ443" s="1"/>
  <c r="F267" i="7380"/>
  <c r="G249"/>
  <c r="E265" s="1"/>
  <c r="E112"/>
  <c r="G112" s="1"/>
  <c r="H112" s="1"/>
  <c r="H45"/>
  <c r="H48"/>
  <c r="E115"/>
  <c r="G115" s="1"/>
  <c r="H115" s="1"/>
  <c r="E120"/>
  <c r="G120" s="1"/>
  <c r="H120" s="1"/>
  <c r="H53"/>
  <c r="E128"/>
  <c r="G128" s="1"/>
  <c r="H128" s="1"/>
  <c r="H61"/>
  <c r="E132"/>
  <c r="G132" s="1"/>
  <c r="H65"/>
  <c r="E134"/>
  <c r="G134" s="1"/>
  <c r="H134" s="1"/>
  <c r="E156"/>
  <c r="G156" s="1"/>
  <c r="H156" s="1"/>
  <c r="H89"/>
  <c r="F40" i="11565"/>
  <c r="B201" i="2819"/>
  <c r="AJ188" s="1"/>
  <c r="F48" i="11565"/>
  <c r="G48" s="1"/>
  <c r="E68" s="1"/>
  <c r="B329" i="2819"/>
  <c r="AJ316" s="1"/>
  <c r="M66" i="1792"/>
  <c r="M125"/>
  <c r="K125" s="1"/>
  <c r="M127"/>
  <c r="K127" s="1"/>
  <c r="M135"/>
  <c r="K135" s="1"/>
  <c r="M151"/>
  <c r="K151" s="1"/>
  <c r="M153"/>
  <c r="K153" s="1"/>
  <c r="M156"/>
  <c r="K156" s="1"/>
  <c r="M158"/>
  <c r="K158" s="1"/>
  <c r="M160"/>
  <c r="K160" s="1"/>
  <c r="M172"/>
  <c r="K172" s="1"/>
  <c r="M174"/>
  <c r="K174" s="1"/>
  <c r="M186"/>
  <c r="K186" s="1"/>
  <c r="B107" i="2316"/>
  <c r="B123"/>
  <c r="B153"/>
  <c r="AJ140" s="1"/>
  <c r="AH185"/>
  <c r="B201"/>
  <c r="AJ188" s="1"/>
  <c r="AO8" i="1024"/>
  <c r="AL8" s="1"/>
  <c r="AH19"/>
  <c r="B142"/>
  <c r="B170"/>
  <c r="B182" s="1"/>
  <c r="AH103" i="32"/>
  <c r="AH119"/>
  <c r="AH231"/>
  <c r="AH392"/>
  <c r="B400"/>
  <c r="F244" i="7380" s="1"/>
  <c r="H244" s="1"/>
  <c r="B432" i="32"/>
  <c r="F246" i="7380" s="1"/>
  <c r="F270"/>
  <c r="N197"/>
  <c r="F54" i="11565"/>
  <c r="F62"/>
  <c r="F70"/>
  <c r="H249" i="7380"/>
  <c r="H253"/>
  <c r="E8"/>
  <c r="E10" s="1"/>
  <c r="C10"/>
  <c r="E119"/>
  <c r="G119" s="1"/>
  <c r="H119" s="1"/>
  <c r="H56"/>
  <c r="B21" i="2819"/>
  <c r="AJ8" s="1"/>
  <c r="F7" i="11565"/>
  <c r="G7" s="1"/>
  <c r="E13" s="1"/>
  <c r="B58" i="2316"/>
  <c r="AH169"/>
  <c r="B177"/>
  <c r="AH442"/>
  <c r="AH506"/>
  <c r="F205" i="7380"/>
  <c r="F225"/>
  <c r="B183" i="32"/>
  <c r="AJ170" s="1"/>
  <c r="F210" i="7380"/>
  <c r="F230"/>
  <c r="B359" i="32"/>
  <c r="AJ346" s="1"/>
  <c r="AH376"/>
  <c r="F243" i="7380"/>
  <c r="F259"/>
  <c r="B488" i="32"/>
  <c r="AJ475" s="1"/>
  <c r="B552"/>
  <c r="AJ539" s="1"/>
  <c r="E45" i="60814"/>
  <c r="G45" s="1"/>
  <c r="H45" s="1"/>
  <c r="H34"/>
  <c r="E81" i="60801"/>
  <c r="F81" s="1"/>
  <c r="B182" i="60805"/>
  <c r="K44" i="7380"/>
  <c r="K52"/>
  <c r="K62"/>
  <c r="H64"/>
  <c r="K70"/>
  <c r="H71"/>
  <c r="H74"/>
  <c r="K77"/>
  <c r="E80"/>
  <c r="G80" s="1"/>
  <c r="K80"/>
  <c r="H84"/>
  <c r="K92"/>
  <c r="K94"/>
  <c r="K96"/>
  <c r="H97"/>
  <c r="H100"/>
  <c r="K104"/>
  <c r="H105"/>
  <c r="E107"/>
  <c r="G107" s="1"/>
  <c r="E174" s="1"/>
  <c r="G174" s="1"/>
  <c r="H174" s="1"/>
  <c r="K132"/>
  <c r="L132" s="1"/>
  <c r="O132" s="1"/>
  <c r="K144"/>
  <c r="L144" s="1"/>
  <c r="O144" s="1"/>
  <c r="K164"/>
  <c r="L164" s="1"/>
  <c r="O164" s="1"/>
  <c r="K168"/>
  <c r="L168" s="1"/>
  <c r="O168" s="1"/>
  <c r="K172"/>
  <c r="L172" s="1"/>
  <c r="O172" s="1"/>
  <c r="B54" i="514"/>
  <c r="B66" s="1"/>
  <c r="B73"/>
  <c r="B81"/>
  <c r="B86"/>
  <c r="B98" s="1"/>
  <c r="AH71" i="2819"/>
  <c r="B93"/>
  <c r="AH137"/>
  <c r="B157"/>
  <c r="AH201"/>
  <c r="B221"/>
  <c r="AH265"/>
  <c r="B285"/>
  <c r="AH329"/>
  <c r="B349"/>
  <c r="AH394"/>
  <c r="B414"/>
  <c r="B490"/>
  <c r="AJ477" s="1"/>
  <c r="B554"/>
  <c r="AJ541" s="1"/>
  <c r="F43" i="60814"/>
  <c r="F51" s="1"/>
  <c r="G51" s="1"/>
  <c r="F17"/>
  <c r="F21"/>
  <c r="B35" i="60805"/>
  <c r="B71"/>
  <c r="E55" i="60801"/>
  <c r="B375" i="60805"/>
  <c r="E48" i="60801" s="1"/>
  <c r="B409" i="60805"/>
  <c r="DC17" i="60819"/>
  <c r="BT33"/>
  <c r="E47" i="60814"/>
  <c r="G47" s="1"/>
  <c r="H47" s="1"/>
  <c r="H36"/>
  <c r="B166" i="60805"/>
  <c r="E80" i="60801"/>
  <c r="F80" s="1"/>
  <c r="E82"/>
  <c r="F82" s="1"/>
  <c r="B198" i="60805"/>
  <c r="K111" i="7380"/>
  <c r="L111" s="1"/>
  <c r="O111" s="1"/>
  <c r="E118"/>
  <c r="G118" s="1"/>
  <c r="H118" s="1"/>
  <c r="K119"/>
  <c r="L119" s="1"/>
  <c r="O119" s="1"/>
  <c r="K127"/>
  <c r="L127" s="1"/>
  <c r="O127" s="1"/>
  <c r="K159"/>
  <c r="L159" s="1"/>
  <c r="O159" s="1"/>
  <c r="K163"/>
  <c r="L163" s="1"/>
  <c r="O163" s="1"/>
  <c r="B38" i="514"/>
  <c r="B50" s="1"/>
  <c r="B72"/>
  <c r="B76"/>
  <c r="B80"/>
  <c r="G86" i="11565"/>
  <c r="H86" s="1"/>
  <c r="G82"/>
  <c r="H82" s="1"/>
  <c r="B16" i="60805"/>
  <c r="J44" i="60817"/>
  <c r="J48"/>
  <c r="E49" i="60814"/>
  <c r="G49" s="1"/>
  <c r="H49" s="1"/>
  <c r="H38"/>
  <c r="F32"/>
  <c r="G32" s="1"/>
  <c r="E43" s="1"/>
  <c r="B18" i="60806"/>
  <c r="AJ5" s="1"/>
  <c r="B150" i="60805"/>
  <c r="E79" i="60801"/>
  <c r="F79" s="1"/>
  <c r="B344" i="60805"/>
  <c r="F61" i="60801"/>
  <c r="G61" s="1"/>
  <c r="E62" s="1"/>
  <c r="G62" s="1"/>
  <c r="G44" i="7380"/>
  <c r="H50"/>
  <c r="H57"/>
  <c r="G62"/>
  <c r="K67"/>
  <c r="H69"/>
  <c r="G70"/>
  <c r="K75"/>
  <c r="K79"/>
  <c r="G94"/>
  <c r="K98"/>
  <c r="K106"/>
  <c r="B474" i="2819"/>
  <c r="AJ461" s="1"/>
  <c r="B19" i="516"/>
  <c r="AJ6" s="1"/>
  <c r="F19" i="60814"/>
  <c r="F24"/>
  <c r="B90" i="60805"/>
  <c r="B127"/>
  <c r="F210" i="60801" s="1"/>
  <c r="F211" s="1"/>
  <c r="B230" i="60805"/>
  <c r="B262"/>
  <c r="E99" i="60801" s="1"/>
  <c r="F99" s="1"/>
  <c r="F100" s="1"/>
  <c r="B278" i="60805"/>
  <c r="E120" i="60801" s="1"/>
  <c r="F120" s="1"/>
  <c r="F121" s="1"/>
  <c r="B294" i="60805"/>
  <c r="B311"/>
  <c r="E42" i="60801" s="1"/>
  <c r="F42" s="1"/>
  <c r="J45" i="60817"/>
  <c r="J53"/>
  <c r="B6" i="514"/>
  <c r="B18" s="1"/>
  <c r="B102"/>
  <c r="B114" s="1"/>
  <c r="J50" i="60817"/>
  <c r="AK245" i="60819"/>
  <c r="E35" i="60825"/>
  <c r="F35" s="1"/>
  <c r="D38" s="1"/>
  <c r="G38" s="1"/>
  <c r="B136" i="60824"/>
  <c r="AH474" i="2819"/>
  <c r="AH35" i="8194"/>
  <c r="AH119"/>
  <c r="B135"/>
  <c r="AH39" i="516"/>
  <c r="AH18" i="60806"/>
  <c r="AH84"/>
  <c r="B100"/>
  <c r="AJ87" s="1"/>
  <c r="AH278" i="60805"/>
  <c r="L21" i="60815"/>
  <c r="L83" s="1"/>
  <c r="L25" i="60817"/>
  <c r="L30"/>
  <c r="L31"/>
  <c r="K43"/>
  <c r="K44"/>
  <c r="K45"/>
  <c r="K46"/>
  <c r="K47"/>
  <c r="K48"/>
  <c r="K49"/>
  <c r="K50"/>
  <c r="K51"/>
  <c r="K52"/>
  <c r="K53"/>
  <c r="E165" i="60818"/>
  <c r="EI17" i="60819"/>
  <c r="DF225"/>
  <c r="DF241" s="1"/>
  <c r="DJ225"/>
  <c r="DJ241" s="1"/>
  <c r="DZ225"/>
  <c r="DZ241" s="1"/>
  <c r="EH225"/>
  <c r="EH241" s="1"/>
  <c r="EN33"/>
  <c r="BQ49"/>
  <c r="BQ65"/>
  <c r="BQ81"/>
  <c r="F122" i="60824"/>
  <c r="E45" i="60825"/>
  <c r="DC229" i="60819"/>
  <c r="O48" i="60822"/>
  <c r="B153" i="60824"/>
  <c r="E36" i="60825"/>
  <c r="G36" s="1"/>
  <c r="B446" i="2819"/>
  <c r="AH490"/>
  <c r="B510"/>
  <c r="AH554"/>
  <c r="AH51" i="8194"/>
  <c r="B71"/>
  <c r="B83" s="1"/>
  <c r="AH35" i="516"/>
  <c r="H35" i="60814"/>
  <c r="H39"/>
  <c r="AH68" i="60806"/>
  <c r="B76"/>
  <c r="B84" s="1"/>
  <c r="AJ71" s="1"/>
  <c r="Q168"/>
  <c r="G19" i="60815"/>
  <c r="H19" s="1"/>
  <c r="G34"/>
  <c r="H34" s="1"/>
  <c r="G38"/>
  <c r="H38" s="1"/>
  <c r="G40"/>
  <c r="H40" s="1"/>
  <c r="G50"/>
  <c r="H50" s="1"/>
  <c r="G53"/>
  <c r="H53" s="1"/>
  <c r="G68"/>
  <c r="H68" s="1"/>
  <c r="G75"/>
  <c r="H75" s="1"/>
  <c r="G77"/>
  <c r="H77" s="1"/>
  <c r="AK5" i="60819"/>
  <c r="AK17" s="1"/>
  <c r="CZ17"/>
  <c r="DY225"/>
  <c r="DY241" s="1"/>
  <c r="EC225"/>
  <c r="EC241" s="1"/>
  <c r="EG225"/>
  <c r="EG241" s="1"/>
  <c r="B37"/>
  <c r="B49" s="1"/>
  <c r="BT37"/>
  <c r="BT49" s="1"/>
  <c r="B53"/>
  <c r="B65" s="1"/>
  <c r="BT53"/>
  <c r="BT65" s="1"/>
  <c r="B69"/>
  <c r="B81" s="1"/>
  <c r="BT69"/>
  <c r="BT81" s="1"/>
  <c r="D70" i="60822"/>
  <c r="D71" s="1"/>
  <c r="B55" i="8194"/>
  <c r="B67" s="1"/>
  <c r="B167"/>
  <c r="B179" s="1"/>
  <c r="AH19" i="516"/>
  <c r="E44" i="60814"/>
  <c r="G44" s="1"/>
  <c r="H44" s="1"/>
  <c r="E48"/>
  <c r="G48" s="1"/>
  <c r="H48" s="1"/>
  <c r="AH52" i="60806"/>
  <c r="B68"/>
  <c r="AJ55" s="1"/>
  <c r="AH116"/>
  <c r="AH164"/>
  <c r="AH262" i="60805"/>
  <c r="AH294"/>
  <c r="E275" i="60804"/>
  <c r="F275" s="1"/>
  <c r="I43" i="60817"/>
  <c r="I44"/>
  <c r="I45"/>
  <c r="I46"/>
  <c r="I47"/>
  <c r="I48"/>
  <c r="I49"/>
  <c r="I50"/>
  <c r="I51"/>
  <c r="I52"/>
  <c r="I53"/>
  <c r="DX225" i="60819"/>
  <c r="DX241" s="1"/>
  <c r="EI49"/>
  <c r="EI65"/>
  <c r="EI81"/>
  <c r="BQ193"/>
  <c r="EI193"/>
  <c r="C70" i="60822"/>
  <c r="C71" s="1"/>
  <c r="E41" i="60825"/>
  <c r="EI209" i="60819"/>
  <c r="DC197"/>
  <c r="E30" i="60822"/>
  <c r="E7"/>
  <c r="B103" i="8194"/>
  <c r="B151"/>
  <c r="B163" s="1"/>
  <c r="B56" i="516"/>
  <c r="B68" s="1"/>
  <c r="AH36" i="60806"/>
  <c r="B44"/>
  <c r="B52" s="1"/>
  <c r="AJ39" s="1"/>
  <c r="AH100"/>
  <c r="B108"/>
  <c r="B116" s="1"/>
  <c r="AJ103" s="1"/>
  <c r="B156"/>
  <c r="B164" s="1"/>
  <c r="AJ151" s="1"/>
  <c r="H46" i="60817"/>
  <c r="H47"/>
  <c r="U124" i="60818"/>
  <c r="M124"/>
  <c r="B5" i="60819"/>
  <c r="B17" s="1"/>
  <c r="EL5"/>
  <c r="EL17" s="1"/>
  <c r="DG225"/>
  <c r="DG241" s="1"/>
  <c r="DO225"/>
  <c r="DO241" s="1"/>
  <c r="DS225"/>
  <c r="DS241" s="1"/>
  <c r="DW225"/>
  <c r="DW241" s="1"/>
  <c r="EE225"/>
  <c r="EE241" s="1"/>
  <c r="B70" i="60822"/>
  <c r="B71" s="1"/>
  <c r="E44" i="60825"/>
  <c r="E42"/>
  <c r="AL241" i="60819"/>
  <c r="AH136" i="60824"/>
  <c r="AL209" i="60819"/>
  <c r="E21" i="60825"/>
  <c r="G21" s="1"/>
  <c r="B37" i="2819"/>
  <c r="AJ24" s="1"/>
  <c r="C209" i="60819"/>
  <c r="AL225"/>
  <c r="AL257"/>
  <c r="K1" i="60821"/>
  <c r="U226" i="60816"/>
  <c r="I463"/>
  <c r="I473"/>
  <c r="U339"/>
  <c r="U355"/>
  <c r="U356" s="1"/>
  <c r="B68" i="60824"/>
  <c r="AH153"/>
  <c r="J96" i="60816"/>
  <c r="I407"/>
  <c r="AE184" i="60818"/>
  <c r="O184"/>
  <c r="I204"/>
  <c r="AG124"/>
  <c r="AC124"/>
  <c r="Y124"/>
  <c r="Q124"/>
  <c r="I124"/>
  <c r="G204"/>
  <c r="AG53"/>
  <c r="U204"/>
  <c r="T184"/>
  <c r="T146"/>
  <c r="D184"/>
  <c r="Z184"/>
  <c r="J184"/>
  <c r="U53"/>
  <c r="N53"/>
  <c r="AG85"/>
  <c r="I85"/>
  <c r="AH116"/>
  <c r="B116" s="1"/>
  <c r="M165"/>
  <c r="AC204"/>
  <c r="Q204"/>
  <c r="M204"/>
  <c r="H15" i="60817"/>
  <c r="L15" s="1"/>
  <c r="AF69" i="60818"/>
  <c r="I69"/>
  <c r="AH122"/>
  <c r="B122" s="1"/>
  <c r="AA124"/>
  <c r="W124"/>
  <c r="S124"/>
  <c r="O124"/>
  <c r="K124"/>
  <c r="G124"/>
  <c r="C124"/>
  <c r="AH118"/>
  <c r="B118" s="1"/>
  <c r="F88" i="60801"/>
  <c r="F90" s="1"/>
  <c r="N69" i="60818"/>
  <c r="Y69"/>
  <c r="T69"/>
  <c r="D69"/>
  <c r="AH114"/>
  <c r="B114" s="1"/>
  <c r="AG204"/>
  <c r="Y204"/>
  <c r="AH201"/>
  <c r="B201" s="1"/>
  <c r="AH197"/>
  <c r="B197" s="1"/>
  <c r="AH193"/>
  <c r="B193" s="1"/>
  <c r="H18"/>
  <c r="Y85"/>
  <c r="AH121"/>
  <c r="B121" s="1"/>
  <c r="AH117"/>
  <c r="B117" s="1"/>
  <c r="AH113"/>
  <c r="B113" s="1"/>
  <c r="AH200"/>
  <c r="B200" s="1"/>
  <c r="AH196"/>
  <c r="B196" s="1"/>
  <c r="AH43"/>
  <c r="B43" s="1"/>
  <c r="AH112"/>
  <c r="B112" s="1"/>
  <c r="AC165"/>
  <c r="U165"/>
  <c r="AH203"/>
  <c r="B203" s="1"/>
  <c r="AH199"/>
  <c r="B199" s="1"/>
  <c r="C9" i="1"/>
  <c r="L93" i="11565"/>
  <c r="AH42" i="60818"/>
  <c r="B42" s="1"/>
  <c r="AE124"/>
  <c r="AH123"/>
  <c r="B123" s="1"/>
  <c r="AH120"/>
  <c r="B120" s="1"/>
  <c r="AH119"/>
  <c r="B119" s="1"/>
  <c r="AH115"/>
  <c r="B115" s="1"/>
  <c r="D146"/>
  <c r="AD146"/>
  <c r="N146"/>
  <c r="Y146"/>
  <c r="I146"/>
  <c r="AH202"/>
  <c r="B202" s="1"/>
  <c r="AH198"/>
  <c r="B198" s="1"/>
  <c r="AH194"/>
  <c r="B194" s="1"/>
  <c r="C5" i="1"/>
  <c r="T18" i="60818"/>
  <c r="P18"/>
  <c r="L18"/>
  <c r="K18"/>
  <c r="AA184"/>
  <c r="W184"/>
  <c r="S184"/>
  <c r="K184"/>
  <c r="G184"/>
  <c r="C184"/>
  <c r="AD184"/>
  <c r="V184"/>
  <c r="R184"/>
  <c r="N184"/>
  <c r="F184"/>
  <c r="AF184"/>
  <c r="AB184"/>
  <c r="X184"/>
  <c r="P184"/>
  <c r="L184"/>
  <c r="H184"/>
  <c r="E33" i="7380"/>
  <c r="AD69" i="60818"/>
  <c r="Z69"/>
  <c r="V69"/>
  <c r="R69"/>
  <c r="J69"/>
  <c r="F69"/>
  <c r="U69"/>
  <c r="Q69"/>
  <c r="M69"/>
  <c r="E69"/>
  <c r="P69"/>
  <c r="L69"/>
  <c r="AC85"/>
  <c r="U85"/>
  <c r="M85"/>
  <c r="E85"/>
  <c r="AE85"/>
  <c r="W85"/>
  <c r="G85"/>
  <c r="C85"/>
  <c r="AC53"/>
  <c r="Y53"/>
  <c r="Q53"/>
  <c r="M53"/>
  <c r="I53"/>
  <c r="E53"/>
  <c r="W53"/>
  <c r="S53"/>
  <c r="O53"/>
  <c r="C53"/>
  <c r="AD53"/>
  <c r="V53"/>
  <c r="F53"/>
  <c r="AF146"/>
  <c r="AB146"/>
  <c r="X146"/>
  <c r="P146"/>
  <c r="L146"/>
  <c r="H146"/>
  <c r="Z146"/>
  <c r="V146"/>
  <c r="R146"/>
  <c r="J146"/>
  <c r="F146"/>
  <c r="AG146"/>
  <c r="AC146"/>
  <c r="U146"/>
  <c r="Q146"/>
  <c r="M146"/>
  <c r="E146"/>
  <c r="AE165"/>
  <c r="AA165"/>
  <c r="W165"/>
  <c r="S165"/>
  <c r="O165"/>
  <c r="K165"/>
  <c r="G165"/>
  <c r="AG165"/>
  <c r="Y165"/>
  <c r="Q165"/>
  <c r="I165"/>
  <c r="AH15"/>
  <c r="B15" s="1"/>
  <c r="AH11"/>
  <c r="B11" s="1"/>
  <c r="AH7"/>
  <c r="B7" s="1"/>
  <c r="AH51"/>
  <c r="B51" s="1"/>
  <c r="AH47"/>
  <c r="B47" s="1"/>
  <c r="J53"/>
  <c r="AG69"/>
  <c r="AC69"/>
  <c r="AD85"/>
  <c r="Z85"/>
  <c r="V85"/>
  <c r="R85"/>
  <c r="N85"/>
  <c r="J85"/>
  <c r="F85"/>
  <c r="AH14"/>
  <c r="B14" s="1"/>
  <c r="AH10"/>
  <c r="B10" s="1"/>
  <c r="AG18"/>
  <c r="Q18"/>
  <c r="AH50"/>
  <c r="B50" s="1"/>
  <c r="AH46"/>
  <c r="B46" s="1"/>
  <c r="Z53"/>
  <c r="R53"/>
  <c r="C8" i="1"/>
  <c r="K15" i="60817"/>
  <c r="AH17" i="60818"/>
  <c r="B17" s="1"/>
  <c r="AH13"/>
  <c r="B13" s="1"/>
  <c r="AH9"/>
  <c r="B9" s="1"/>
  <c r="AH49"/>
  <c r="B49" s="1"/>
  <c r="AH45"/>
  <c r="B45" s="1"/>
  <c r="AD165"/>
  <c r="Z165"/>
  <c r="V165"/>
  <c r="R165"/>
  <c r="N165"/>
  <c r="J165"/>
  <c r="F165"/>
  <c r="F6" i="60825"/>
  <c r="D9" s="1"/>
  <c r="G9" s="1"/>
  <c r="AH16" i="60818"/>
  <c r="B16" s="1"/>
  <c r="AH12"/>
  <c r="B12" s="1"/>
  <c r="AH52"/>
  <c r="B52" s="1"/>
  <c r="AH48"/>
  <c r="B48" s="1"/>
  <c r="AH44"/>
  <c r="B44" s="1"/>
  <c r="T124"/>
  <c r="P124"/>
  <c r="L124"/>
  <c r="H124"/>
  <c r="D124"/>
  <c r="AF124"/>
  <c r="AB124"/>
  <c r="X124"/>
  <c r="L204"/>
  <c r="AF204"/>
  <c r="H185" i="7380"/>
  <c r="C11" i="1"/>
  <c r="C6"/>
  <c r="I58" i="60796"/>
  <c r="F59" s="1"/>
  <c r="H187" i="7380"/>
  <c r="E216"/>
  <c r="H196"/>
  <c r="G22" i="60825"/>
  <c r="AB53" i="60818"/>
  <c r="P53"/>
  <c r="L53"/>
  <c r="H53"/>
  <c r="AH66"/>
  <c r="B66" s="1"/>
  <c r="AH62"/>
  <c r="B62" s="1"/>
  <c r="AH58"/>
  <c r="B58" s="1"/>
  <c r="AH84"/>
  <c r="B84" s="1"/>
  <c r="AH80"/>
  <c r="B80" s="1"/>
  <c r="AH76"/>
  <c r="B76" s="1"/>
  <c r="AH103"/>
  <c r="B103" s="1"/>
  <c r="AH99"/>
  <c r="B99" s="1"/>
  <c r="AH95"/>
  <c r="B95" s="1"/>
  <c r="AD124"/>
  <c r="Z124"/>
  <c r="V124"/>
  <c r="R124"/>
  <c r="N124"/>
  <c r="J124"/>
  <c r="F124"/>
  <c r="AH143"/>
  <c r="B143" s="1"/>
  <c r="AH139"/>
  <c r="B139" s="1"/>
  <c r="AH135"/>
  <c r="B135" s="1"/>
  <c r="AH164"/>
  <c r="B164" s="1"/>
  <c r="AH156"/>
  <c r="B156" s="1"/>
  <c r="AH182"/>
  <c r="B182" s="1"/>
  <c r="AH178"/>
  <c r="B178" s="1"/>
  <c r="AH174"/>
  <c r="B174" s="1"/>
  <c r="AD204"/>
  <c r="Z204"/>
  <c r="V204"/>
  <c r="R204"/>
  <c r="N204"/>
  <c r="J204"/>
  <c r="F204"/>
  <c r="C69"/>
  <c r="AH134"/>
  <c r="G84" i="11565"/>
  <c r="F109" i="60801"/>
  <c r="F110" s="1"/>
  <c r="E161"/>
  <c r="Z18" i="60818"/>
  <c r="V18"/>
  <c r="R18"/>
  <c r="J18"/>
  <c r="F18"/>
  <c r="AH65"/>
  <c r="B65" s="1"/>
  <c r="AH61"/>
  <c r="B61" s="1"/>
  <c r="AA69"/>
  <c r="S69"/>
  <c r="K69"/>
  <c r="AH83"/>
  <c r="B83" s="1"/>
  <c r="AH79"/>
  <c r="B79" s="1"/>
  <c r="AH75"/>
  <c r="B75" s="1"/>
  <c r="AH102"/>
  <c r="B102" s="1"/>
  <c r="AH98"/>
  <c r="B98" s="1"/>
  <c r="AH94"/>
  <c r="B94" s="1"/>
  <c r="AH142"/>
  <c r="B142" s="1"/>
  <c r="AH138"/>
  <c r="B138" s="1"/>
  <c r="AE146"/>
  <c r="AA146"/>
  <c r="W146"/>
  <c r="S146"/>
  <c r="O146"/>
  <c r="K146"/>
  <c r="G146"/>
  <c r="AH163"/>
  <c r="B163" s="1"/>
  <c r="AH159"/>
  <c r="B159" s="1"/>
  <c r="AH155"/>
  <c r="B155" s="1"/>
  <c r="AH181"/>
  <c r="B181" s="1"/>
  <c r="AH177"/>
  <c r="B177" s="1"/>
  <c r="AH173"/>
  <c r="B173" s="1"/>
  <c r="E184"/>
  <c r="AH172"/>
  <c r="E105" i="60801"/>
  <c r="AH68" i="60818"/>
  <c r="B68" s="1"/>
  <c r="AH64"/>
  <c r="B64" s="1"/>
  <c r="AH60"/>
  <c r="B60" s="1"/>
  <c r="AH82"/>
  <c r="B82" s="1"/>
  <c r="AH78"/>
  <c r="B78" s="1"/>
  <c r="AH74"/>
  <c r="B74" s="1"/>
  <c r="AH101"/>
  <c r="B101" s="1"/>
  <c r="AH97"/>
  <c r="B97" s="1"/>
  <c r="AH93"/>
  <c r="AH145"/>
  <c r="B145" s="1"/>
  <c r="AH162"/>
  <c r="B162" s="1"/>
  <c r="AH158"/>
  <c r="B158" s="1"/>
  <c r="AH154"/>
  <c r="B154" s="1"/>
  <c r="AH180"/>
  <c r="B180" s="1"/>
  <c r="AH176"/>
  <c r="B176" s="1"/>
  <c r="AG184"/>
  <c r="AC184"/>
  <c r="Y184"/>
  <c r="U184"/>
  <c r="Q184"/>
  <c r="M184"/>
  <c r="I184"/>
  <c r="D85"/>
  <c r="AH67"/>
  <c r="B67" s="1"/>
  <c r="AH63"/>
  <c r="B63" s="1"/>
  <c r="AH59"/>
  <c r="B59" s="1"/>
  <c r="AH81"/>
  <c r="B81" s="1"/>
  <c r="AH77"/>
  <c r="B77" s="1"/>
  <c r="AF85"/>
  <c r="AB85"/>
  <c r="X85"/>
  <c r="T85"/>
  <c r="P85"/>
  <c r="L85"/>
  <c r="H85"/>
  <c r="AH104"/>
  <c r="B104" s="1"/>
  <c r="AH100"/>
  <c r="B100" s="1"/>
  <c r="AH96"/>
  <c r="B96" s="1"/>
  <c r="AH144"/>
  <c r="B144" s="1"/>
  <c r="AH140"/>
  <c r="B140" s="1"/>
  <c r="AH136"/>
  <c r="B136" s="1"/>
  <c r="AH161"/>
  <c r="B161" s="1"/>
  <c r="AH157"/>
  <c r="B157" s="1"/>
  <c r="AF165"/>
  <c r="AB165"/>
  <c r="X165"/>
  <c r="T165"/>
  <c r="P165"/>
  <c r="L165"/>
  <c r="H165"/>
  <c r="AH183"/>
  <c r="B183" s="1"/>
  <c r="AH179"/>
  <c r="B179" s="1"/>
  <c r="AH175"/>
  <c r="B175" s="1"/>
  <c r="K56" i="60796"/>
  <c r="V355" i="60816"/>
  <c r="V356" s="1"/>
  <c r="J347"/>
  <c r="V151"/>
  <c r="J380"/>
  <c r="J430"/>
  <c r="I380"/>
  <c r="V118"/>
  <c r="U189"/>
  <c r="I430"/>
  <c r="I440"/>
  <c r="G11" i="60796"/>
  <c r="B52" i="1024"/>
  <c r="AJ39" s="1"/>
  <c r="B42" i="8194"/>
  <c r="E14" i="11565"/>
  <c r="J364" i="60816"/>
  <c r="J407"/>
  <c r="R168" i="60806"/>
  <c r="B148"/>
  <c r="AJ135" s="1"/>
  <c r="F11" i="60814"/>
  <c r="AH148" i="60806"/>
  <c r="E20" i="60814"/>
  <c r="G20" s="1"/>
  <c r="B28" i="60806"/>
  <c r="B440" i="32"/>
  <c r="AJ427" s="1"/>
  <c r="B392"/>
  <c r="AJ379" s="1"/>
  <c r="F242" i="7380"/>
  <c r="B418" i="2316"/>
  <c r="T356" i="60816"/>
  <c r="E166" i="7380"/>
  <c r="G166" s="1"/>
  <c r="H166" s="1"/>
  <c r="E162"/>
  <c r="G162" s="1"/>
  <c r="H162" s="1"/>
  <c r="E160"/>
  <c r="G160" s="1"/>
  <c r="H160" s="1"/>
  <c r="H91"/>
  <c r="H88"/>
  <c r="E153"/>
  <c r="G153" s="1"/>
  <c r="H153" s="1"/>
  <c r="H82"/>
  <c r="E139"/>
  <c r="G139" s="1"/>
  <c r="H139" s="1"/>
  <c r="E133"/>
  <c r="G133" s="1"/>
  <c r="H133" s="1"/>
  <c r="H59"/>
  <c r="H58"/>
  <c r="H55"/>
  <c r="H54"/>
  <c r="H49"/>
  <c r="H47"/>
  <c r="E176" i="1792"/>
  <c r="G176" s="1"/>
  <c r="H176" s="1"/>
  <c r="H110"/>
  <c r="E169"/>
  <c r="G169" s="1"/>
  <c r="H169" s="1"/>
  <c r="H100"/>
  <c r="E161"/>
  <c r="G161" s="1"/>
  <c r="H161" s="1"/>
  <c r="E150"/>
  <c r="G150" s="1"/>
  <c r="H150" s="1"/>
  <c r="H74"/>
  <c r="E139"/>
  <c r="G139" s="1"/>
  <c r="H139" s="1"/>
  <c r="E130"/>
  <c r="G130" s="1"/>
  <c r="H130" s="1"/>
  <c r="E128"/>
  <c r="G128" s="1"/>
  <c r="H128" s="1"/>
  <c r="E126"/>
  <c r="I364" i="60816"/>
  <c r="B311" i="32"/>
  <c r="AJ298" s="1"/>
  <c r="F213" i="7380"/>
  <c r="AH311" i="32"/>
  <c r="B295"/>
  <c r="AJ282" s="1"/>
  <c r="F212" i="7380"/>
  <c r="AH295" i="32"/>
  <c r="B223"/>
  <c r="F203" i="7380"/>
  <c r="B151" i="32"/>
  <c r="AJ138" s="1"/>
  <c r="AH151"/>
  <c r="F202" i="7380"/>
  <c r="B135" i="32"/>
  <c r="AJ122" s="1"/>
  <c r="AH135"/>
  <c r="B111"/>
  <c r="B103"/>
  <c r="AJ90" s="1"/>
  <c r="B53"/>
  <c r="AJ40" s="1"/>
  <c r="AH53"/>
  <c r="B103" i="2316"/>
  <c r="AJ90" s="1"/>
  <c r="F38" i="1792"/>
  <c r="AH103" i="2316"/>
  <c r="B19" i="8194"/>
  <c r="AJ6" s="1"/>
  <c r="G34" i="60796"/>
  <c r="AH19" i="8194"/>
  <c r="B11" i="1024"/>
  <c r="C165" i="60818" l="1"/>
  <c r="L101" i="11565"/>
  <c r="G141" i="7380"/>
  <c r="H141" s="1"/>
  <c r="E141"/>
  <c r="C146" i="60818"/>
  <c r="C204"/>
  <c r="O23" i="60822"/>
  <c r="X23" s="1"/>
  <c r="H85" i="7380"/>
  <c r="J20" i="60814"/>
  <c r="H26" i="7380"/>
  <c r="L95" i="11565"/>
  <c r="E25" i="60822"/>
  <c r="L34" i="60817"/>
  <c r="H75" i="7380"/>
  <c r="H107" i="1792"/>
  <c r="H93"/>
  <c r="E143" i="7380"/>
  <c r="G143" s="1"/>
  <c r="H143" s="1"/>
  <c r="H90"/>
  <c r="G166" i="60801"/>
  <c r="G167" s="1"/>
  <c r="H192" i="7380"/>
  <c r="L27" i="60817"/>
  <c r="B69" i="32"/>
  <c r="AJ56" s="1"/>
  <c r="H86" i="1792"/>
  <c r="H92" i="7380"/>
  <c r="E133" i="1792"/>
  <c r="G133" s="1"/>
  <c r="H133" s="1"/>
  <c r="E13" i="60822"/>
  <c r="B209" i="60819"/>
  <c r="J65" i="11565"/>
  <c r="H257" i="1792"/>
  <c r="DC209" i="60819"/>
  <c r="BQ241"/>
  <c r="G68" i="11565"/>
  <c r="H68" s="1"/>
  <c r="B408" i="32"/>
  <c r="AJ395" s="1"/>
  <c r="B17" i="60824"/>
  <c r="CZ209" i="60819"/>
  <c r="L33" i="60817"/>
  <c r="AK241" i="60819"/>
  <c r="B55" i="60805"/>
  <c r="B263" i="32"/>
  <c r="AJ250" s="1"/>
  <c r="H73" i="1792"/>
  <c r="AH73" i="60818"/>
  <c r="E181" i="1792"/>
  <c r="G181" s="1"/>
  <c r="H181" s="1"/>
  <c r="E149"/>
  <c r="G149" s="1"/>
  <c r="H149" s="1"/>
  <c r="K189"/>
  <c r="R5" i="60825"/>
  <c r="G83" i="60815"/>
  <c r="H83" s="1"/>
  <c r="H217" i="1792"/>
  <c r="G57" i="11565"/>
  <c r="H57" s="1"/>
  <c r="H132" i="7380"/>
  <c r="G71" i="60796"/>
  <c r="H71" s="1"/>
  <c r="L71" s="1"/>
  <c r="F176" i="7380"/>
  <c r="G7" i="60825"/>
  <c r="H22" i="1792"/>
  <c r="H34" i="60796"/>
  <c r="I26"/>
  <c r="F27" s="1"/>
  <c r="H63" i="7380"/>
  <c r="G39" i="60796"/>
  <c r="G65" i="11565"/>
  <c r="H65" s="1"/>
  <c r="H166" i="60801"/>
  <c r="H167" s="1"/>
  <c r="G217" i="1792"/>
  <c r="E237" s="1"/>
  <c r="H237" s="1"/>
  <c r="G19" i="60825"/>
  <c r="G5"/>
  <c r="K57" i="60796"/>
  <c r="F33" i="1792"/>
  <c r="G17" i="60796" s="1"/>
  <c r="G277" i="1792"/>
  <c r="AJ494" i="2316" s="1"/>
  <c r="AJ495" s="1"/>
  <c r="H277" i="1792"/>
  <c r="G206"/>
  <c r="E226" s="1"/>
  <c r="G226" s="1"/>
  <c r="E246" s="1"/>
  <c r="H246" s="1"/>
  <c r="G251" i="7380"/>
  <c r="E267" s="1"/>
  <c r="H267" s="1"/>
  <c r="F7" i="60825"/>
  <c r="D10" s="1"/>
  <c r="G8" i="60796"/>
  <c r="B51" i="8194"/>
  <c r="G38" i="60796"/>
  <c r="F271" i="7380"/>
  <c r="G80" i="60796" s="1"/>
  <c r="G60"/>
  <c r="I60" s="1"/>
  <c r="AJ55" i="516"/>
  <c r="G61" i="60796"/>
  <c r="K61" s="1"/>
  <c r="AJ71" i="516"/>
  <c r="H215" i="1792"/>
  <c r="S6" i="60825"/>
  <c r="G59" i="11565"/>
  <c r="H59" s="1"/>
  <c r="F53" i="1792"/>
  <c r="G23" i="60796" s="1"/>
  <c r="F71" i="60801"/>
  <c r="G71" s="1"/>
  <c r="G213" i="7380"/>
  <c r="H213" s="1"/>
  <c r="J277" i="1792"/>
  <c r="H160" i="60801"/>
  <c r="H161" s="1"/>
  <c r="E15" i="11565"/>
  <c r="G15" s="1"/>
  <c r="H193" i="7380"/>
  <c r="H195" i="1792"/>
  <c r="F34" i="60825"/>
  <c r="D37" s="1"/>
  <c r="G37" s="1"/>
  <c r="J60" i="11565"/>
  <c r="H20" i="60814"/>
  <c r="AJ88" i="60806"/>
  <c r="AJ89" s="1"/>
  <c r="E97" i="11565"/>
  <c r="G97" s="1"/>
  <c r="H97" s="1"/>
  <c r="H188" i="7380"/>
  <c r="C43" i="2"/>
  <c r="C45" s="1"/>
  <c r="G4" i="60825"/>
  <c r="J57" i="11565"/>
  <c r="S8" i="60825"/>
  <c r="F40" i="7380"/>
  <c r="G70" i="60796" s="1"/>
  <c r="J61" i="11565"/>
  <c r="G70" i="60801"/>
  <c r="O30" i="60822"/>
  <c r="V26" s="1"/>
  <c r="L58" s="1"/>
  <c r="AL51" i="8194"/>
  <c r="AO83" i="514"/>
  <c r="BW70" s="1"/>
  <c r="AK225" i="60819"/>
  <c r="S7" i="60825"/>
  <c r="R7"/>
  <c r="AL71" i="514"/>
  <c r="E127" i="7380"/>
  <c r="G127" s="1"/>
  <c r="H127" s="1"/>
  <c r="L32" i="60817"/>
  <c r="L26"/>
  <c r="L195" i="7380"/>
  <c r="H78"/>
  <c r="F20"/>
  <c r="G64" i="60796" s="1"/>
  <c r="H84" i="1792"/>
  <c r="F34" i="7380"/>
  <c r="G69" i="60796" s="1"/>
  <c r="E146" i="7380"/>
  <c r="G146" s="1"/>
  <c r="H146" s="1"/>
  <c r="G194" i="1792"/>
  <c r="E214" s="1"/>
  <c r="H214" s="1"/>
  <c r="H116"/>
  <c r="F29" i="11565"/>
  <c r="G43" i="60796" s="1"/>
  <c r="G261" i="7380"/>
  <c r="AJ412" i="32" s="1"/>
  <c r="AJ413" s="1"/>
  <c r="E171" i="1792"/>
  <c r="G171" s="1"/>
  <c r="H171" s="1"/>
  <c r="B121" i="2819"/>
  <c r="AJ108" s="1"/>
  <c r="L175" i="7380"/>
  <c r="I66" i="60796"/>
  <c r="F67" s="1"/>
  <c r="I67" s="1"/>
  <c r="H48" i="11565"/>
  <c r="J68"/>
  <c r="BQ209" i="60819"/>
  <c r="E168" i="7380"/>
  <c r="G168" s="1"/>
  <c r="H168" s="1"/>
  <c r="G84" i="60796"/>
  <c r="H32" i="60814"/>
  <c r="AP77" i="2819"/>
  <c r="AJ74"/>
  <c r="AP81"/>
  <c r="L97" i="11565"/>
  <c r="F16"/>
  <c r="G41" i="60796" s="1"/>
  <c r="H77" i="11565"/>
  <c r="G41"/>
  <c r="H41" s="1"/>
  <c r="G13"/>
  <c r="F103"/>
  <c r="G55" i="60796" s="1"/>
  <c r="H55" s="1"/>
  <c r="G244" i="7380"/>
  <c r="E260" s="1"/>
  <c r="H7" i="11565"/>
  <c r="EI241" i="60819"/>
  <c r="H87" i="7380"/>
  <c r="AK209" i="60819"/>
  <c r="DC241"/>
  <c r="BQ225"/>
  <c r="AH209"/>
  <c r="H190" i="7380"/>
  <c r="G200"/>
  <c r="H200" s="1"/>
  <c r="M189" i="1792"/>
  <c r="L189"/>
  <c r="E101" i="11565"/>
  <c r="G101" s="1"/>
  <c r="H101" s="1"/>
  <c r="BT209" i="60819"/>
  <c r="G8" i="60825"/>
  <c r="F8"/>
  <c r="D11" s="1"/>
  <c r="BQ257" i="60819"/>
  <c r="FR33"/>
  <c r="B34" i="60824"/>
  <c r="F40" i="60814"/>
  <c r="F52" s="1"/>
  <c r="H210" i="60801"/>
  <c r="H211" s="1"/>
  <c r="H197" i="1792"/>
  <c r="AK257" i="60819"/>
  <c r="DC225"/>
  <c r="B85" i="32"/>
  <c r="AJ72" s="1"/>
  <c r="B520"/>
  <c r="AJ507" s="1"/>
  <c r="E148" i="1792"/>
  <c r="G148" s="1"/>
  <c r="H148" s="1"/>
  <c r="H108"/>
  <c r="G67" i="11565"/>
  <c r="H67" s="1"/>
  <c r="K67" i="60796"/>
  <c r="G215" i="1792"/>
  <c r="E235" s="1"/>
  <c r="G235" s="1"/>
  <c r="AJ157" i="2316" s="1"/>
  <c r="AJ158" s="1"/>
  <c r="J59" i="11565"/>
  <c r="D165" i="60818"/>
  <c r="H57" i="60796"/>
  <c r="J57" s="1"/>
  <c r="H180" i="7380"/>
  <c r="H47" i="11565"/>
  <c r="H65" i="60796"/>
  <c r="L65" s="1"/>
  <c r="J273" i="1792"/>
  <c r="G14" i="7380"/>
  <c r="H14" s="1"/>
  <c r="J56" i="11565"/>
  <c r="T6" i="60825"/>
  <c r="H265" i="7380"/>
  <c r="J63" i="11565"/>
  <c r="G205" i="7380"/>
  <c r="H205" s="1"/>
  <c r="R6" i="60825"/>
  <c r="AH6" i="60818"/>
  <c r="B6" s="1"/>
  <c r="B18" s="1"/>
  <c r="G14" i="60817" s="1"/>
  <c r="AH57" i="60818"/>
  <c r="B57" s="1"/>
  <c r="B69" s="1"/>
  <c r="G8" i="60817" s="1"/>
  <c r="G32" i="7380"/>
  <c r="E38" s="1"/>
  <c r="G38" s="1"/>
  <c r="H38" s="1"/>
  <c r="H56" i="60796"/>
  <c r="J56" s="1"/>
  <c r="AJ7" i="516" s="1"/>
  <c r="AJ8" s="1"/>
  <c r="H45" i="11565"/>
  <c r="G216" i="7380"/>
  <c r="E236" s="1"/>
  <c r="G236" s="1"/>
  <c r="H236" s="1"/>
  <c r="J67" i="11565"/>
  <c r="T7" i="60825"/>
  <c r="F15" i="7380"/>
  <c r="G63" i="60796" s="1"/>
  <c r="F16" i="1792"/>
  <c r="G16" s="1"/>
  <c r="G33" i="7380"/>
  <c r="H33" s="1"/>
  <c r="AH192" i="60818"/>
  <c r="B192" s="1"/>
  <c r="B204" s="1"/>
  <c r="G16" i="60817" s="1"/>
  <c r="H16" s="1"/>
  <c r="AH41" i="60818"/>
  <c r="B41" s="1"/>
  <c r="B53" s="1"/>
  <c r="G7" i="60817" s="1"/>
  <c r="H7" s="1"/>
  <c r="G43" i="11565"/>
  <c r="E63" s="1"/>
  <c r="G63" s="1"/>
  <c r="H63" s="1"/>
  <c r="F10"/>
  <c r="G10" s="1"/>
  <c r="E201" i="7380"/>
  <c r="E18" i="60814"/>
  <c r="G18" s="1"/>
  <c r="G92" i="11565"/>
  <c r="H92" s="1"/>
  <c r="J55"/>
  <c r="C18" i="60818"/>
  <c r="G290" i="60801"/>
  <c r="G291" s="1"/>
  <c r="G265" i="7380"/>
  <c r="G212"/>
  <c r="E232" s="1"/>
  <c r="G232" s="1"/>
  <c r="J18" i="60814"/>
  <c r="F22" i="60825"/>
  <c r="D25" s="1"/>
  <c r="F25" s="1"/>
  <c r="D28" s="1"/>
  <c r="H39" i="11565"/>
  <c r="T8" i="60825"/>
  <c r="E56" i="60801"/>
  <c r="H269" i="7380"/>
  <c r="H225" i="1792"/>
  <c r="J269" i="7380"/>
  <c r="O26" i="60822"/>
  <c r="J260" i="7380"/>
  <c r="H23" i="11565"/>
  <c r="E28"/>
  <c r="G28" s="1"/>
  <c r="J268" i="7380"/>
  <c r="R8" i="60825"/>
  <c r="G243" i="7380"/>
  <c r="E259" s="1"/>
  <c r="G259" s="1"/>
  <c r="AJ380" i="32" s="1"/>
  <c r="AJ381" s="1"/>
  <c r="J259" i="7380"/>
  <c r="K36" i="60796"/>
  <c r="J267" i="7380"/>
  <c r="J265"/>
  <c r="H245"/>
  <c r="J261"/>
  <c r="H58" i="60796"/>
  <c r="D29" i="2" s="1"/>
  <c r="H24" i="60796"/>
  <c r="J24" s="1"/>
  <c r="G248" i="7380"/>
  <c r="E264" s="1"/>
  <c r="G264" s="1"/>
  <c r="J264"/>
  <c r="G247"/>
  <c r="E263" s="1"/>
  <c r="J263"/>
  <c r="H246"/>
  <c r="J262"/>
  <c r="K65" i="60796"/>
  <c r="H96" i="1792"/>
  <c r="H70"/>
  <c r="F76" i="11565"/>
  <c r="E11" i="60822"/>
  <c r="H81" i="7380"/>
  <c r="H9"/>
  <c r="G210"/>
  <c r="H210" s="1"/>
  <c r="J274" i="1792"/>
  <c r="EI225" i="60819"/>
  <c r="EL33"/>
  <c r="K175" i="7380"/>
  <c r="H68" i="1792"/>
  <c r="H35" i="60796"/>
  <c r="L35" s="1"/>
  <c r="I36"/>
  <c r="F37" s="1"/>
  <c r="I37" s="1"/>
  <c r="H36"/>
  <c r="G268" i="7380"/>
  <c r="H60"/>
  <c r="E146" i="1792"/>
  <c r="G146" s="1"/>
  <c r="H146" s="1"/>
  <c r="G75" i="60796"/>
  <c r="G230" i="1792"/>
  <c r="E250" s="1"/>
  <c r="H250" s="1"/>
  <c r="G40" i="11565"/>
  <c r="E60" s="1"/>
  <c r="G60" s="1"/>
  <c r="H60" s="1"/>
  <c r="H107" i="7380"/>
  <c r="I57" i="60796"/>
  <c r="H243" i="7380"/>
  <c r="F63" i="60801"/>
  <c r="G63" s="1"/>
  <c r="F237" i="7380"/>
  <c r="G78" i="60796" s="1"/>
  <c r="F285" i="1792"/>
  <c r="G33" i="60796" s="1"/>
  <c r="F251" i="1792"/>
  <c r="G31" i="60796" s="1"/>
  <c r="F28" i="1792"/>
  <c r="G16" i="60796" s="1"/>
  <c r="G27" i="1792"/>
  <c r="H27" s="1"/>
  <c r="G203" i="7380"/>
  <c r="H203" s="1"/>
  <c r="J15" i="60817"/>
  <c r="F9" i="60825"/>
  <c r="G207" i="7380"/>
  <c r="E227" s="1"/>
  <c r="G227" s="1"/>
  <c r="H227" s="1"/>
  <c r="H210" i="1792"/>
  <c r="F36" i="60825"/>
  <c r="D39" s="1"/>
  <c r="J64" i="11565"/>
  <c r="H230" i="1792"/>
  <c r="E55" i="11565"/>
  <c r="G55" s="1"/>
  <c r="H55" s="1"/>
  <c r="H35"/>
  <c r="B618" i="2316"/>
  <c r="AJ605" s="1"/>
  <c r="F267" i="1792"/>
  <c r="B522" i="2316"/>
  <c r="AJ509" s="1"/>
  <c r="F264" i="1792"/>
  <c r="B586" i="2316"/>
  <c r="AJ573" s="1"/>
  <c r="F263" i="1792"/>
  <c r="B554" i="2316"/>
  <c r="AJ541" s="1"/>
  <c r="F262" i="1792"/>
  <c r="H37" i="11565"/>
  <c r="E95"/>
  <c r="G95" s="1"/>
  <c r="H95" s="1"/>
  <c r="G269" i="7380"/>
  <c r="AJ540" i="32" s="1"/>
  <c r="AJ541" s="1"/>
  <c r="G225" i="1792"/>
  <c r="E245" s="1"/>
  <c r="G245" s="1"/>
  <c r="H258"/>
  <c r="F38" i="60825"/>
  <c r="D41" s="1"/>
  <c r="F41" s="1"/>
  <c r="D44" s="1"/>
  <c r="F44" i="60801"/>
  <c r="H205" i="1792"/>
  <c r="H268" i="7380"/>
  <c r="G43" i="60814"/>
  <c r="G267" i="7380"/>
  <c r="F25" i="60814"/>
  <c r="G82" i="60796" s="1"/>
  <c r="F71" i="11565"/>
  <c r="G53" i="60796" s="1"/>
  <c r="G204" i="7380"/>
  <c r="H204" s="1"/>
  <c r="E10" i="60822"/>
  <c r="B297" i="2316"/>
  <c r="AJ284" s="1"/>
  <c r="F203" i="1792"/>
  <c r="B132" i="60806"/>
  <c r="AJ119" s="1"/>
  <c r="F10" i="60814"/>
  <c r="B506" i="2819"/>
  <c r="AJ493" s="1"/>
  <c r="F87" i="11565"/>
  <c r="B101" i="1024"/>
  <c r="AJ88" s="1"/>
  <c r="G18" i="60796"/>
  <c r="B82" i="514"/>
  <c r="AJ69" s="1"/>
  <c r="B538" i="2819"/>
  <c r="AJ525" s="1"/>
  <c r="F85" i="11565"/>
  <c r="B265" i="2316"/>
  <c r="AJ252" s="1"/>
  <c r="F201" i="1792"/>
  <c r="B20" i="2316"/>
  <c r="AJ7" s="1"/>
  <c r="F7" i="1792"/>
  <c r="G7" s="1"/>
  <c r="E162"/>
  <c r="G162" s="1"/>
  <c r="H162" s="1"/>
  <c r="H95"/>
  <c r="B85" i="60824"/>
  <c r="E20" i="60825"/>
  <c r="B99" i="8194"/>
  <c r="AJ86" s="1"/>
  <c r="G44" i="60796"/>
  <c r="B345" i="2819"/>
  <c r="AJ332" s="1"/>
  <c r="F49" i="11565"/>
  <c r="E125" i="1792"/>
  <c r="G125" s="1"/>
  <c r="H125" s="1"/>
  <c r="H58"/>
  <c r="B233" i="2316"/>
  <c r="AJ220" s="1"/>
  <c r="F199" i="1792"/>
  <c r="B52" i="2316"/>
  <c r="AJ39" s="1"/>
  <c r="F9" i="1792"/>
  <c r="G9" s="1"/>
  <c r="G8" i="7380"/>
  <c r="H8" s="1"/>
  <c r="F260" i="1792"/>
  <c r="G260" s="1"/>
  <c r="E276" s="1"/>
  <c r="F47"/>
  <c r="G22" i="60796" s="1"/>
  <c r="H273" i="1792"/>
  <c r="G273"/>
  <c r="AJ430" i="2316" s="1"/>
  <c r="AJ431" s="1"/>
  <c r="J43" i="60814"/>
  <c r="J51" s="1"/>
  <c r="G246" i="7380"/>
  <c r="E262" s="1"/>
  <c r="H262" s="1"/>
  <c r="E100" i="60801"/>
  <c r="E209" i="7380"/>
  <c r="G209" s="1"/>
  <c r="E229" s="1"/>
  <c r="G229" s="1"/>
  <c r="H229" s="1"/>
  <c r="K66" i="60796"/>
  <c r="F83" i="60801"/>
  <c r="H183" i="7380"/>
  <c r="H184"/>
  <c r="E83" i="60801"/>
  <c r="F10" i="7380"/>
  <c r="G62" i="60796" s="1"/>
  <c r="P23" i="60822"/>
  <c r="N26" s="1"/>
  <c r="J284" i="1792"/>
  <c r="B124" i="60818"/>
  <c r="G11" i="60817" s="1"/>
  <c r="I11" s="1"/>
  <c r="E44" i="60801"/>
  <c r="G35" i="60825"/>
  <c r="E56" i="11565"/>
  <c r="G56" s="1"/>
  <c r="H56" s="1"/>
  <c r="H36"/>
  <c r="AH124" i="60818"/>
  <c r="Q23" i="60822"/>
  <c r="G268" i="1792"/>
  <c r="E284" s="1"/>
  <c r="L92" i="11565"/>
  <c r="H261" i="7380"/>
  <c r="E46" i="60825"/>
  <c r="H261" i="1792"/>
  <c r="E5" i="60822"/>
  <c r="E14"/>
  <c r="O27"/>
  <c r="V25" s="1"/>
  <c r="L57" s="1"/>
  <c r="E20"/>
  <c r="E19"/>
  <c r="E4"/>
  <c r="B119" i="8194"/>
  <c r="AH131"/>
  <c r="E161" i="7380"/>
  <c r="G161" s="1"/>
  <c r="H161" s="1"/>
  <c r="H94"/>
  <c r="B18" i="60805"/>
  <c r="E5" i="60801"/>
  <c r="AL83" i="514"/>
  <c r="G73" i="60796"/>
  <c r="E27" i="60801"/>
  <c r="B73" i="60805"/>
  <c r="B281" i="2316"/>
  <c r="AJ268" s="1"/>
  <c r="F222" i="1792"/>
  <c r="N199" i="7380"/>
  <c r="P196"/>
  <c r="AA200" s="1"/>
  <c r="F250"/>
  <c r="J266" s="1"/>
  <c r="B504" i="32"/>
  <c r="AJ491" s="1"/>
  <c r="B568"/>
  <c r="AJ555" s="1"/>
  <c r="F254" i="7380"/>
  <c r="J270" s="1"/>
  <c r="H248"/>
  <c r="G196" i="1792"/>
  <c r="E216" s="1"/>
  <c r="H196"/>
  <c r="H252" i="7380"/>
  <c r="F9" i="60814"/>
  <c r="F7"/>
  <c r="AO19" i="1024"/>
  <c r="AO21" s="1"/>
  <c r="G258" i="1792"/>
  <c r="E274" s="1"/>
  <c r="AH70" i="2316"/>
  <c r="E276" i="60804"/>
  <c r="F276" s="1"/>
  <c r="G275"/>
  <c r="E36" i="60822"/>
  <c r="E6"/>
  <c r="B522" i="2819"/>
  <c r="AJ509" s="1"/>
  <c r="F83" i="11565"/>
  <c r="E45" i="60822"/>
  <c r="B147" i="8194"/>
  <c r="AJ134" s="1"/>
  <c r="G50" i="60796"/>
  <c r="E34" i="60822"/>
  <c r="E137" i="7380"/>
  <c r="G137" s="1"/>
  <c r="H137" s="1"/>
  <c r="H70"/>
  <c r="F50" i="11565"/>
  <c r="B361" i="2819"/>
  <c r="AJ348" s="1"/>
  <c r="F42" i="11565"/>
  <c r="B233" i="2819"/>
  <c r="AJ220" s="1"/>
  <c r="F34" i="11565"/>
  <c r="B105" i="2819"/>
  <c r="AJ92" s="1"/>
  <c r="B185" i="2316"/>
  <c r="AJ172" s="1"/>
  <c r="F216" i="1792"/>
  <c r="B150" i="1024"/>
  <c r="AJ137" s="1"/>
  <c r="G27" i="60796"/>
  <c r="F204" i="1792"/>
  <c r="B313" i="2316"/>
  <c r="AJ300" s="1"/>
  <c r="G22" i="11565"/>
  <c r="F24"/>
  <c r="F191" i="7380"/>
  <c r="G191" s="1"/>
  <c r="B279" i="32"/>
  <c r="AJ266" s="1"/>
  <c r="F266" i="1792"/>
  <c r="B602" i="2316"/>
  <c r="AJ589" s="1"/>
  <c r="B474"/>
  <c r="AJ461" s="1"/>
  <c r="F259" i="1792"/>
  <c r="I24" i="60796"/>
  <c r="F25" s="1"/>
  <c r="K24"/>
  <c r="G200" i="1792"/>
  <c r="E220" s="1"/>
  <c r="H200"/>
  <c r="F21" i="60825"/>
  <c r="D24" s="1"/>
  <c r="B115" i="8194"/>
  <c r="AJ102" s="1"/>
  <c r="G46" i="60796"/>
  <c r="E8" i="60822"/>
  <c r="AH51" i="516"/>
  <c r="B39"/>
  <c r="B51" s="1"/>
  <c r="AJ38" s="1"/>
  <c r="B92" i="60805"/>
  <c r="E34" i="60801"/>
  <c r="E129" i="7380"/>
  <c r="G129" s="1"/>
  <c r="H129" s="1"/>
  <c r="H62"/>
  <c r="F48" i="60801"/>
  <c r="F50" s="1"/>
  <c r="E50"/>
  <c r="H80" i="7380"/>
  <c r="E147"/>
  <c r="G147" s="1"/>
  <c r="H147" s="1"/>
  <c r="B119" i="2316"/>
  <c r="AJ106" s="1"/>
  <c r="F39" i="1792"/>
  <c r="G39" s="1"/>
  <c r="F198"/>
  <c r="B217" i="2316"/>
  <c r="AJ204" s="1"/>
  <c r="G9" i="60796"/>
  <c r="B36" i="1024"/>
  <c r="AJ22" s="1"/>
  <c r="B361" i="2316"/>
  <c r="AJ348" s="1"/>
  <c r="F207" i="1792"/>
  <c r="Q208"/>
  <c r="Q209" s="1"/>
  <c r="Q210" s="1"/>
  <c r="O211"/>
  <c r="T5" i="60825"/>
  <c r="F5" i="60814"/>
  <c r="F12"/>
  <c r="E122" i="1792"/>
  <c r="G122" s="1"/>
  <c r="E38" i="60822"/>
  <c r="E22"/>
  <c r="B458" i="2819"/>
  <c r="AJ445" s="1"/>
  <c r="F81" i="11565"/>
  <c r="E35" i="60822"/>
  <c r="E21"/>
  <c r="E44"/>
  <c r="E28"/>
  <c r="H44" i="7380"/>
  <c r="E111"/>
  <c r="G111" s="1"/>
  <c r="H111" s="1"/>
  <c r="E93" i="11565"/>
  <c r="G93" s="1"/>
  <c r="H93" s="1"/>
  <c r="H78"/>
  <c r="B37" i="60805"/>
  <c r="E12" i="60801"/>
  <c r="F12" s="1"/>
  <c r="F14" s="1"/>
  <c r="F79" i="11565"/>
  <c r="B426" i="2819"/>
  <c r="AJ413" s="1"/>
  <c r="F46" i="11565"/>
  <c r="B297" i="2819"/>
  <c r="AJ284" s="1"/>
  <c r="F38" i="11565"/>
  <c r="B169" i="2819"/>
  <c r="AJ156" s="1"/>
  <c r="B70" i="2316"/>
  <c r="AJ57" s="1"/>
  <c r="F21" i="1792"/>
  <c r="B135" i="2316"/>
  <c r="AJ122" s="1"/>
  <c r="F40" i="1792"/>
  <c r="G40" s="1"/>
  <c r="B36" i="2316"/>
  <c r="AJ23" s="1"/>
  <c r="F8" i="1792"/>
  <c r="E179"/>
  <c r="G179" s="1"/>
  <c r="H179" s="1"/>
  <c r="H112"/>
  <c r="F186" i="7380"/>
  <c r="B199" i="32"/>
  <c r="AJ186" s="1"/>
  <c r="B538" i="2316"/>
  <c r="AJ525" s="1"/>
  <c r="F265" i="1792"/>
  <c r="H88"/>
  <c r="E155"/>
  <c r="G155" s="1"/>
  <c r="H155" s="1"/>
  <c r="G202"/>
  <c r="E222" s="1"/>
  <c r="H202"/>
  <c r="E108" i="7380"/>
  <c r="G108" s="1"/>
  <c r="H108" s="1"/>
  <c r="L56" i="60796"/>
  <c r="O42" i="60822"/>
  <c r="G237" i="1792"/>
  <c r="AJ189" i="2316" s="1"/>
  <c r="AJ190" s="1"/>
  <c r="D12" i="60825"/>
  <c r="F12" s="1"/>
  <c r="G83" i="60796"/>
  <c r="F11" i="60825"/>
  <c r="D14" s="1"/>
  <c r="G11"/>
  <c r="G10"/>
  <c r="F10"/>
  <c r="D13" s="1"/>
  <c r="AH165" i="60818"/>
  <c r="B153"/>
  <c r="B165" s="1"/>
  <c r="G12" i="60817" s="1"/>
  <c r="E64" i="11565"/>
  <c r="G64" s="1"/>
  <c r="H64" s="1"/>
  <c r="H44"/>
  <c r="AH184" i="60818"/>
  <c r="B172"/>
  <c r="B184" s="1"/>
  <c r="G13" i="60817" s="1"/>
  <c r="AH146" i="60818"/>
  <c r="B134"/>
  <c r="B146" s="1"/>
  <c r="H235" i="1792"/>
  <c r="E99" i="11565"/>
  <c r="G99" s="1"/>
  <c r="H99" s="1"/>
  <c r="H84"/>
  <c r="H182" i="7380"/>
  <c r="E202"/>
  <c r="G202" s="1"/>
  <c r="I59" i="60796"/>
  <c r="K59"/>
  <c r="AH69" i="60818"/>
  <c r="AH85"/>
  <c r="B73"/>
  <c r="B85" s="1"/>
  <c r="G9" i="60817" s="1"/>
  <c r="AH105" i="60818"/>
  <c r="B93"/>
  <c r="B105" s="1"/>
  <c r="G10" i="60817" s="1"/>
  <c r="E225" i="7380"/>
  <c r="G225" s="1"/>
  <c r="H225" s="1"/>
  <c r="O24" i="60822"/>
  <c r="H11" i="60796"/>
  <c r="K11"/>
  <c r="I11"/>
  <c r="F12" s="1"/>
  <c r="AJ38" i="8194"/>
  <c r="G14" i="11565"/>
  <c r="G11" i="60814"/>
  <c r="J23"/>
  <c r="F4"/>
  <c r="B36" i="60806"/>
  <c r="G260" i="7380"/>
  <c r="AJ396" i="32" s="1"/>
  <c r="H260" i="7380"/>
  <c r="G242"/>
  <c r="E258" s="1"/>
  <c r="J258"/>
  <c r="H242"/>
  <c r="F256" i="1792"/>
  <c r="B426" i="2316"/>
  <c r="AJ413" s="1"/>
  <c r="G126" i="1792"/>
  <c r="E233" i="7380"/>
  <c r="G233" s="1"/>
  <c r="F208"/>
  <c r="G208" s="1"/>
  <c r="B231" i="32"/>
  <c r="AJ218" s="1"/>
  <c r="F201" i="7380"/>
  <c r="B119" i="32"/>
  <c r="AJ106" s="1"/>
  <c r="F28" i="7380"/>
  <c r="G25"/>
  <c r="G38" i="1792"/>
  <c r="I34" i="60796"/>
  <c r="F35" s="1"/>
  <c r="K34"/>
  <c r="AL11" i="1024"/>
  <c r="G7" i="60796" s="1"/>
  <c r="B19" i="1024"/>
  <c r="E61" i="11565" l="1"/>
  <c r="G61" s="1"/>
  <c r="H61" s="1"/>
  <c r="E223" i="7380"/>
  <c r="G223" s="1"/>
  <c r="H223" s="1"/>
  <c r="AJ397" i="32"/>
  <c r="H245" i="1792"/>
  <c r="L57" i="60796"/>
  <c r="H216" i="7380"/>
  <c r="E220"/>
  <c r="AH18" i="60818"/>
  <c r="AH53"/>
  <c r="O21" i="60822"/>
  <c r="P21" s="1"/>
  <c r="N24" s="1"/>
  <c r="Q24" s="1"/>
  <c r="G25" i="60825"/>
  <c r="H43" i="60796"/>
  <c r="L43" s="1"/>
  <c r="T9" i="60825"/>
  <c r="T10" s="1"/>
  <c r="T12" s="1"/>
  <c r="J36" i="60796"/>
  <c r="AJ23" i="8194" s="1"/>
  <c r="AJ24" s="1"/>
  <c r="D18" i="2"/>
  <c r="F18" s="1"/>
  <c r="E16" i="11565"/>
  <c r="G16" s="1"/>
  <c r="H207" i="7380"/>
  <c r="H212"/>
  <c r="I71" i="60796"/>
  <c r="F72" s="1"/>
  <c r="I72" s="1"/>
  <c r="E32" i="1792"/>
  <c r="G32" s="1"/>
  <c r="H32" s="1"/>
  <c r="G214"/>
  <c r="E234" s="1"/>
  <c r="H234" s="1"/>
  <c r="K71" i="60796"/>
  <c r="G41" i="60825"/>
  <c r="G176" i="7380"/>
  <c r="H122" i="1792"/>
  <c r="C190"/>
  <c r="I61" i="60796"/>
  <c r="D28" i="2"/>
  <c r="E28" s="1"/>
  <c r="H61" i="60796"/>
  <c r="L61" s="1"/>
  <c r="H226" i="1792"/>
  <c r="H59" i="60796"/>
  <c r="L59" s="1"/>
  <c r="H32" i="7380"/>
  <c r="F37" i="60825"/>
  <c r="D40" s="1"/>
  <c r="H60" i="60796"/>
  <c r="L60" s="1"/>
  <c r="K60"/>
  <c r="E19" i="7380"/>
  <c r="G19" s="1"/>
  <c r="AJ24" i="32" s="1"/>
  <c r="AJ25" s="1"/>
  <c r="R9" i="60825"/>
  <c r="R10" s="1"/>
  <c r="R12" s="1"/>
  <c r="H259" i="7380"/>
  <c r="H28" i="11565"/>
  <c r="AJ75" i="2819"/>
  <c r="AJ76" s="1"/>
  <c r="H18" i="60814"/>
  <c r="AJ56" i="60806"/>
  <c r="AJ57" s="1"/>
  <c r="H43" i="60814"/>
  <c r="AJ6" i="60806"/>
  <c r="AJ7" s="1"/>
  <c r="H15" i="11565"/>
  <c r="AJ41" i="2819"/>
  <c r="AJ42" s="1"/>
  <c r="H13" i="11565"/>
  <c r="AJ9" i="2819"/>
  <c r="AJ10" s="1"/>
  <c r="H14" i="11565"/>
  <c r="AJ25" i="2819"/>
  <c r="AJ26" s="1"/>
  <c r="AJ139" i="32"/>
  <c r="AJ140" s="1"/>
  <c r="H233" i="7380"/>
  <c r="AJ299" i="32"/>
  <c r="AJ300" s="1"/>
  <c r="H232" i="7380"/>
  <c r="AJ283" i="32"/>
  <c r="AJ284" s="1"/>
  <c r="H264" i="7380"/>
  <c r="E24" i="60822"/>
  <c r="G262" i="7380"/>
  <c r="AJ428" i="32" s="1"/>
  <c r="AJ429" s="1"/>
  <c r="AH204" i="60818"/>
  <c r="E230" i="7380"/>
  <c r="G230" s="1"/>
  <c r="H230" s="1"/>
  <c r="AL19" i="1024"/>
  <c r="AJ6"/>
  <c r="AI29" i="60806"/>
  <c r="AJ23"/>
  <c r="G40" i="60814"/>
  <c r="G52" s="1"/>
  <c r="D33" i="2"/>
  <c r="E33" s="1"/>
  <c r="J65" i="60796"/>
  <c r="H43" i="11565"/>
  <c r="J55" i="60796"/>
  <c r="L55"/>
  <c r="H40" i="11565"/>
  <c r="D13" i="2"/>
  <c r="F13" s="1"/>
  <c r="G40" i="60796"/>
  <c r="H39" s="1"/>
  <c r="E41" i="60822"/>
  <c r="K11" i="60817"/>
  <c r="E39" i="7380"/>
  <c r="G39" s="1"/>
  <c r="H39" s="1"/>
  <c r="G14" i="60796"/>
  <c r="J11" i="60817"/>
  <c r="K16"/>
  <c r="H11"/>
  <c r="L11"/>
  <c r="G246" i="1792"/>
  <c r="AJ333" i="2316" s="1"/>
  <c r="AJ334" s="1"/>
  <c r="E12" i="60822"/>
  <c r="L58" i="60796"/>
  <c r="J58"/>
  <c r="AJ23" i="516" s="1"/>
  <c r="AJ24" s="1"/>
  <c r="E13" i="7380"/>
  <c r="G13" s="1"/>
  <c r="E18" s="1"/>
  <c r="G18" s="1"/>
  <c r="J271"/>
  <c r="L24" i="60796"/>
  <c r="K27"/>
  <c r="G263" i="7380"/>
  <c r="AJ444" i="32" s="1"/>
  <c r="AJ445" s="1"/>
  <c r="H263" i="7380"/>
  <c r="J35" i="60796"/>
  <c r="G76" i="11565"/>
  <c r="L91"/>
  <c r="O31" i="60822"/>
  <c r="W26" s="1"/>
  <c r="M58" s="1"/>
  <c r="G250" i="1792"/>
  <c r="D35" i="2"/>
  <c r="E35" s="1"/>
  <c r="J71" i="60796"/>
  <c r="L36"/>
  <c r="K37"/>
  <c r="E39" i="60822"/>
  <c r="E9"/>
  <c r="E42"/>
  <c r="E224" i="7380"/>
  <c r="G224" s="1"/>
  <c r="H224" s="1"/>
  <c r="O45" i="60822"/>
  <c r="N57" s="1"/>
  <c r="O22"/>
  <c r="G10" i="7380"/>
  <c r="E15" s="1"/>
  <c r="G15" s="1"/>
  <c r="E20" s="1"/>
  <c r="G20" s="1"/>
  <c r="O28" i="60822"/>
  <c r="W25" s="1"/>
  <c r="M57" s="1"/>
  <c r="E189" i="1792"/>
  <c r="P197" i="7380"/>
  <c r="P198" s="1"/>
  <c r="E26" i="60822"/>
  <c r="F255" i="7380"/>
  <c r="F272" s="1"/>
  <c r="G276" i="1792"/>
  <c r="AJ478" i="2316" s="1"/>
  <c r="AJ479" s="1"/>
  <c r="H276" i="1792"/>
  <c r="G39" i="60825"/>
  <c r="F39"/>
  <c r="D42" s="1"/>
  <c r="E175" i="7380"/>
  <c r="G175" s="1"/>
  <c r="H175" s="1"/>
  <c r="E29" i="60822"/>
  <c r="C62" s="1"/>
  <c r="F41" i="1792"/>
  <c r="G41" s="1"/>
  <c r="E47" s="1"/>
  <c r="G47" s="1"/>
  <c r="E53" s="1"/>
  <c r="G53" s="1"/>
  <c r="G262"/>
  <c r="E278" s="1"/>
  <c r="J278"/>
  <c r="H262"/>
  <c r="E37" i="60822"/>
  <c r="B60" s="1"/>
  <c r="E40"/>
  <c r="B61" s="1"/>
  <c r="G263" i="1792"/>
  <c r="E279" s="1"/>
  <c r="H263"/>
  <c r="J279"/>
  <c r="G264"/>
  <c r="E280" s="1"/>
  <c r="H264"/>
  <c r="J280"/>
  <c r="J283"/>
  <c r="G267"/>
  <c r="E283" s="1"/>
  <c r="H267"/>
  <c r="I16" i="60817"/>
  <c r="H209" i="7380"/>
  <c r="G12" i="60825"/>
  <c r="G222" i="1792"/>
  <c r="E242" s="1"/>
  <c r="G242" s="1"/>
  <c r="AJ269" i="2316" s="1"/>
  <c r="AJ270" s="1"/>
  <c r="E23" i="60822"/>
  <c r="C60" s="1"/>
  <c r="O32"/>
  <c r="X26" s="1"/>
  <c r="N58" s="1"/>
  <c r="H7" i="1792"/>
  <c r="E13"/>
  <c r="G13" s="1"/>
  <c r="L100" i="11565"/>
  <c r="G85"/>
  <c r="I18" i="60796"/>
  <c r="F19" s="1"/>
  <c r="K18"/>
  <c r="H18"/>
  <c r="G10" i="60814"/>
  <c r="J22"/>
  <c r="F29" i="2"/>
  <c r="E29"/>
  <c r="O39" i="60822"/>
  <c r="E15" i="1792"/>
  <c r="G15" s="1"/>
  <c r="H9"/>
  <c r="E43" i="60822"/>
  <c r="B62" s="1"/>
  <c r="G49" i="11565"/>
  <c r="J69"/>
  <c r="I44" i="60796"/>
  <c r="F45" s="1"/>
  <c r="K44"/>
  <c r="H44"/>
  <c r="E15" i="60822"/>
  <c r="D62" s="1"/>
  <c r="G201" i="1792"/>
  <c r="E221" s="1"/>
  <c r="H201"/>
  <c r="E27" i="60822"/>
  <c r="L102" i="11565"/>
  <c r="G87"/>
  <c r="G203" i="1792"/>
  <c r="E223" s="1"/>
  <c r="H203"/>
  <c r="J276"/>
  <c r="H260"/>
  <c r="G199"/>
  <c r="E219" s="1"/>
  <c r="H199"/>
  <c r="G20" i="60825"/>
  <c r="F20"/>
  <c r="D23" s="1"/>
  <c r="E31"/>
  <c r="F31" s="1"/>
  <c r="S5"/>
  <c r="S9" s="1"/>
  <c r="S10" s="1"/>
  <c r="S12" s="1"/>
  <c r="I7" i="60817"/>
  <c r="K7"/>
  <c r="H284" i="1792"/>
  <c r="G284"/>
  <c r="AJ558" i="2316" s="1"/>
  <c r="AJ559" s="1"/>
  <c r="H47" i="60825"/>
  <c r="F46"/>
  <c r="G38" i="11565"/>
  <c r="J58"/>
  <c r="G79"/>
  <c r="L94"/>
  <c r="F88"/>
  <c r="G5" i="60814"/>
  <c r="J17"/>
  <c r="G207" i="1792"/>
  <c r="E227" s="1"/>
  <c r="H207"/>
  <c r="H46" i="60796"/>
  <c r="H45"/>
  <c r="J45" s="1"/>
  <c r="K46"/>
  <c r="I46"/>
  <c r="F47" s="1"/>
  <c r="H259" i="1792"/>
  <c r="G259"/>
  <c r="E275" s="1"/>
  <c r="J275"/>
  <c r="F231"/>
  <c r="G30" i="60796" s="1"/>
  <c r="H216" i="1792"/>
  <c r="H274"/>
  <c r="G274"/>
  <c r="AJ446" i="2316" s="1"/>
  <c r="AJ447" s="1"/>
  <c r="G216" i="1792"/>
  <c r="E236" s="1"/>
  <c r="E29" i="60801"/>
  <c r="F27"/>
  <c r="F29" s="1"/>
  <c r="E37"/>
  <c r="F37" s="1"/>
  <c r="B131" i="8194"/>
  <c r="AJ118" s="1"/>
  <c r="G48" i="60796"/>
  <c r="F5" i="60822"/>
  <c r="D8" s="1"/>
  <c r="F8" s="1"/>
  <c r="D11" s="1"/>
  <c r="G5"/>
  <c r="C59"/>
  <c r="O25"/>
  <c r="G265" i="1792"/>
  <c r="E281" s="1"/>
  <c r="H265"/>
  <c r="J281"/>
  <c r="E46"/>
  <c r="G46" s="1"/>
  <c r="H40"/>
  <c r="Q21" i="60822"/>
  <c r="G81" i="11565"/>
  <c r="L96"/>
  <c r="G12" i="60814"/>
  <c r="J24"/>
  <c r="K9" i="60796"/>
  <c r="H9"/>
  <c r="I9"/>
  <c r="F10" s="1"/>
  <c r="G24" i="60825"/>
  <c r="F24"/>
  <c r="D27" s="1"/>
  <c r="K25" i="60796"/>
  <c r="I25"/>
  <c r="J282" i="1792"/>
  <c r="H266"/>
  <c r="G266"/>
  <c r="E282" s="1"/>
  <c r="H22" i="11565"/>
  <c r="E27"/>
  <c r="G34"/>
  <c r="F51"/>
  <c r="J54"/>
  <c r="G50"/>
  <c r="J70"/>
  <c r="F6" i="60822"/>
  <c r="D9" s="1"/>
  <c r="D59"/>
  <c r="G6"/>
  <c r="G9" i="60814"/>
  <c r="J21"/>
  <c r="G254" i="7380"/>
  <c r="E270" s="1"/>
  <c r="H254"/>
  <c r="F5" i="60801"/>
  <c r="F7" s="1"/>
  <c r="E7"/>
  <c r="F4" i="60822"/>
  <c r="D7" s="1"/>
  <c r="B59"/>
  <c r="G4"/>
  <c r="G186" i="7380"/>
  <c r="F197"/>
  <c r="G46" i="11565"/>
  <c r="J66"/>
  <c r="G21" i="60822"/>
  <c r="F21"/>
  <c r="D24" s="1"/>
  <c r="E45" i="1792"/>
  <c r="G45" s="1"/>
  <c r="H39"/>
  <c r="E36" i="60801"/>
  <c r="F34"/>
  <c r="F36" s="1"/>
  <c r="G24" i="11565"/>
  <c r="G42" i="60796"/>
  <c r="H42" s="1"/>
  <c r="L42" s="1"/>
  <c r="H26"/>
  <c r="I27"/>
  <c r="F28" s="1"/>
  <c r="F34" i="60822"/>
  <c r="D37" s="1"/>
  <c r="G34"/>
  <c r="F36"/>
  <c r="D39" s="1"/>
  <c r="G36"/>
  <c r="K273" i="60804"/>
  <c r="G276"/>
  <c r="G7" i="60814"/>
  <c r="J19"/>
  <c r="H250" i="7380"/>
  <c r="G250"/>
  <c r="E266" s="1"/>
  <c r="G19" i="60822"/>
  <c r="F19"/>
  <c r="D22" s="1"/>
  <c r="F22" s="1"/>
  <c r="D25" s="1"/>
  <c r="G20"/>
  <c r="F20"/>
  <c r="D23" s="1"/>
  <c r="G8" i="1792"/>
  <c r="F10"/>
  <c r="G21"/>
  <c r="F23"/>
  <c r="G35" i="60822"/>
  <c r="F35"/>
  <c r="D38" s="1"/>
  <c r="F38" s="1"/>
  <c r="D41" s="1"/>
  <c r="G198" i="1792"/>
  <c r="E218" s="1"/>
  <c r="H198"/>
  <c r="F211"/>
  <c r="G220"/>
  <c r="E240" s="1"/>
  <c r="H220"/>
  <c r="H191" i="7380"/>
  <c r="E211"/>
  <c r="G211" s="1"/>
  <c r="G204" i="1792"/>
  <c r="E224" s="1"/>
  <c r="H204"/>
  <c r="G42" i="11565"/>
  <c r="J62"/>
  <c r="H49" i="60796"/>
  <c r="K50"/>
  <c r="I50"/>
  <c r="F51" s="1"/>
  <c r="H50"/>
  <c r="G83" i="11565"/>
  <c r="L98"/>
  <c r="I73" i="60796"/>
  <c r="F74" s="1"/>
  <c r="K73"/>
  <c r="H73"/>
  <c r="H222" i="1792"/>
  <c r="D15" i="60825"/>
  <c r="F15" s="1"/>
  <c r="K62" i="60796"/>
  <c r="H62"/>
  <c r="I62"/>
  <c r="F63" s="1"/>
  <c r="X24" i="60822"/>
  <c r="Q26"/>
  <c r="P26"/>
  <c r="N29" s="1"/>
  <c r="K83" i="60796"/>
  <c r="H83"/>
  <c r="I83"/>
  <c r="F84" s="1"/>
  <c r="F13" i="60825"/>
  <c r="G13"/>
  <c r="E222" i="7380"/>
  <c r="G222" s="1"/>
  <c r="H202"/>
  <c r="F28" i="60825"/>
  <c r="G28"/>
  <c r="L7" i="60817"/>
  <c r="J7"/>
  <c r="K13"/>
  <c r="H13"/>
  <c r="I13"/>
  <c r="K10"/>
  <c r="L10"/>
  <c r="H10"/>
  <c r="I10"/>
  <c r="J10"/>
  <c r="K8"/>
  <c r="H8"/>
  <c r="I8"/>
  <c r="L16"/>
  <c r="J16"/>
  <c r="F14" i="60825"/>
  <c r="G14"/>
  <c r="F44"/>
  <c r="G44"/>
  <c r="K9" i="60817"/>
  <c r="H9"/>
  <c r="I9"/>
  <c r="K12"/>
  <c r="H12"/>
  <c r="I12"/>
  <c r="H14"/>
  <c r="I14"/>
  <c r="K14"/>
  <c r="V24" i="60822"/>
  <c r="D8" i="2"/>
  <c r="J11" i="60796"/>
  <c r="AJ40" i="1024" s="1"/>
  <c r="AJ41" s="1"/>
  <c r="L11" i="60796"/>
  <c r="K12"/>
  <c r="I12"/>
  <c r="K38"/>
  <c r="H37"/>
  <c r="I38"/>
  <c r="F39" s="1"/>
  <c r="H38"/>
  <c r="H11" i="60814"/>
  <c r="E23"/>
  <c r="G23" s="1"/>
  <c r="F13"/>
  <c r="G4"/>
  <c r="J16"/>
  <c r="G258" i="7380"/>
  <c r="AJ364" i="32" s="1"/>
  <c r="AJ365" s="1"/>
  <c r="H258" i="7380"/>
  <c r="F269" i="1792"/>
  <c r="G256"/>
  <c r="E272" s="1"/>
  <c r="J272"/>
  <c r="H256"/>
  <c r="H126"/>
  <c r="G189"/>
  <c r="E228" i="7380"/>
  <c r="G228" s="1"/>
  <c r="H208"/>
  <c r="G201"/>
  <c r="F217"/>
  <c r="G220"/>
  <c r="G28"/>
  <c r="E34" s="1"/>
  <c r="G34" s="1"/>
  <c r="E40" s="1"/>
  <c r="G40" s="1"/>
  <c r="G68" i="60796"/>
  <c r="E31" i="7380"/>
  <c r="G31" s="1"/>
  <c r="H25"/>
  <c r="G21" i="60796"/>
  <c r="E44" i="1792"/>
  <c r="G44" s="1"/>
  <c r="H38"/>
  <c r="D17" i="2"/>
  <c r="J34" i="60796"/>
  <c r="AJ7" i="8194" s="1"/>
  <c r="AJ8" s="1"/>
  <c r="L34" i="60796"/>
  <c r="K35"/>
  <c r="I35"/>
  <c r="I7"/>
  <c r="F8" s="1"/>
  <c r="H7"/>
  <c r="J7" s="1"/>
  <c r="AJ7" i="1024" s="1"/>
  <c r="K7" i="60796"/>
  <c r="V23" i="60822" l="1"/>
  <c r="L55" s="1"/>
  <c r="H13" i="7380"/>
  <c r="F28" i="2"/>
  <c r="J43" i="60796"/>
  <c r="K72"/>
  <c r="G234" i="1792"/>
  <c r="AJ141" i="2316" s="1"/>
  <c r="AJ142" s="1"/>
  <c r="AJ74"/>
  <c r="AJ75" s="1"/>
  <c r="J61" i="60796"/>
  <c r="AJ72" i="516" s="1"/>
  <c r="AJ73" s="1"/>
  <c r="D31" i="2"/>
  <c r="E31" s="1"/>
  <c r="D30"/>
  <c r="J59" i="60796"/>
  <c r="AJ8" i="1024"/>
  <c r="F40" i="60825"/>
  <c r="D43" s="1"/>
  <c r="G40"/>
  <c r="J60" i="60796"/>
  <c r="AJ56" i="516" s="1"/>
  <c r="AJ57" s="1"/>
  <c r="H19" i="7380"/>
  <c r="C61" i="60822"/>
  <c r="C63" s="1"/>
  <c r="C64" s="1"/>
  <c r="C66" s="1"/>
  <c r="H23" i="60814"/>
  <c r="AJ136" i="60806"/>
  <c r="AJ137" s="1"/>
  <c r="H220" i="7380"/>
  <c r="AJ91" i="32"/>
  <c r="AJ92" s="1"/>
  <c r="H228" i="7380"/>
  <c r="AJ219" i="32"/>
  <c r="AJ220" s="1"/>
  <c r="H15" i="1792"/>
  <c r="AJ40" i="2316"/>
  <c r="AJ41" s="1"/>
  <c r="H13" i="1792"/>
  <c r="AJ8" i="2316"/>
  <c r="AJ9" s="1"/>
  <c r="H18" i="7380"/>
  <c r="AJ8" i="32"/>
  <c r="AJ9" s="1"/>
  <c r="H222" i="7380"/>
  <c r="AJ123" i="32"/>
  <c r="AJ124" s="1"/>
  <c r="K40" i="60796"/>
  <c r="I40"/>
  <c r="F41" s="1"/>
  <c r="K41" s="1"/>
  <c r="H242" i="1792"/>
  <c r="E13" i="2"/>
  <c r="G79" i="60796"/>
  <c r="I79" s="1"/>
  <c r="F80" s="1"/>
  <c r="F33" i="2"/>
  <c r="H40" i="60796"/>
  <c r="J40" s="1"/>
  <c r="E18" i="2"/>
  <c r="E91" i="11565"/>
  <c r="G91" s="1"/>
  <c r="H76"/>
  <c r="G255" i="7380"/>
  <c r="E271" s="1"/>
  <c r="G271" s="1"/>
  <c r="D61" i="60822"/>
  <c r="F35" i="2"/>
  <c r="D60" i="60822"/>
  <c r="W23"/>
  <c r="M55" s="1"/>
  <c r="Q22"/>
  <c r="P22"/>
  <c r="N25" s="1"/>
  <c r="P25" s="1"/>
  <c r="N28" s="1"/>
  <c r="H189" i="1792"/>
  <c r="G8" i="60822"/>
  <c r="G42" i="60825"/>
  <c r="F42"/>
  <c r="D45" s="1"/>
  <c r="H283" i="1792"/>
  <c r="G283"/>
  <c r="AJ606" i="2316" s="1"/>
  <c r="AJ607" s="1"/>
  <c r="H280" i="1792"/>
  <c r="G280"/>
  <c r="G279"/>
  <c r="H279"/>
  <c r="H278"/>
  <c r="G278"/>
  <c r="G219"/>
  <c r="E239" s="1"/>
  <c r="H219"/>
  <c r="F31" i="2"/>
  <c r="K45" i="60796"/>
  <c r="I45"/>
  <c r="K19"/>
  <c r="I19"/>
  <c r="F20" s="1"/>
  <c r="G221" i="1792"/>
  <c r="E241" s="1"/>
  <c r="H221"/>
  <c r="P39" i="60822"/>
  <c r="N42" s="1"/>
  <c r="N55"/>
  <c r="Q39"/>
  <c r="E102" i="11565"/>
  <c r="G102" s="1"/>
  <c r="H87"/>
  <c r="J44" i="60796"/>
  <c r="AJ87" i="8194" s="1"/>
  <c r="AJ88" s="1"/>
  <c r="L44" i="60796"/>
  <c r="D22" i="2"/>
  <c r="E69" i="11565"/>
  <c r="G69" s="1"/>
  <c r="H69" s="1"/>
  <c r="H49"/>
  <c r="D11" i="2"/>
  <c r="J18" i="60796"/>
  <c r="L18"/>
  <c r="F23" i="60825"/>
  <c r="D26" s="1"/>
  <c r="G23"/>
  <c r="G223" i="1792"/>
  <c r="E243" s="1"/>
  <c r="H223"/>
  <c r="H10" i="60814"/>
  <c r="E22"/>
  <c r="G22" s="1"/>
  <c r="H22" s="1"/>
  <c r="E100" i="11565"/>
  <c r="G100" s="1"/>
  <c r="H100" s="1"/>
  <c r="H85"/>
  <c r="P24" i="60822"/>
  <c r="N27" s="1"/>
  <c r="Q27" s="1"/>
  <c r="W24"/>
  <c r="J25" i="60814"/>
  <c r="G15" i="60825"/>
  <c r="J50" i="60796"/>
  <c r="L50"/>
  <c r="D25" i="2"/>
  <c r="E231" i="7380"/>
  <c r="G231" s="1"/>
  <c r="H231" s="1"/>
  <c r="H211"/>
  <c r="G29" i="60796"/>
  <c r="G211" i="1792"/>
  <c r="H8"/>
  <c r="E14"/>
  <c r="G14" s="1"/>
  <c r="F25" i="60822"/>
  <c r="D28" s="1"/>
  <c r="G25"/>
  <c r="G37"/>
  <c r="F37"/>
  <c r="D40" s="1"/>
  <c r="H45" i="1792"/>
  <c r="E51"/>
  <c r="G51" s="1"/>
  <c r="H51" s="1"/>
  <c r="H186" i="7380"/>
  <c r="E206"/>
  <c r="F9" i="60822"/>
  <c r="D12" s="1"/>
  <c r="G9"/>
  <c r="G52" i="60796"/>
  <c r="G51" i="11565"/>
  <c r="H282" i="1792"/>
  <c r="G282"/>
  <c r="E52"/>
  <c r="G52" s="1"/>
  <c r="H52" s="1"/>
  <c r="H46"/>
  <c r="H48" i="60796"/>
  <c r="K48"/>
  <c r="H47"/>
  <c r="I48"/>
  <c r="F49" s="1"/>
  <c r="H275" i="1792"/>
  <c r="G275"/>
  <c r="AJ462" i="2316" s="1"/>
  <c r="AJ463" s="1"/>
  <c r="H79" i="11565"/>
  <c r="E94"/>
  <c r="I74" i="60796"/>
  <c r="F75" s="1"/>
  <c r="K74"/>
  <c r="H83" i="11565"/>
  <c r="E98"/>
  <c r="G98" s="1"/>
  <c r="H98" s="1"/>
  <c r="J49" i="60796"/>
  <c r="L49"/>
  <c r="G224" i="1792"/>
  <c r="E244" s="1"/>
  <c r="H224"/>
  <c r="H240"/>
  <c r="G240"/>
  <c r="G10"/>
  <c r="G13" i="60796"/>
  <c r="H41"/>
  <c r="K42"/>
  <c r="I42"/>
  <c r="F43" s="1"/>
  <c r="F24" i="60822"/>
  <c r="D27" s="1"/>
  <c r="G24"/>
  <c r="G76" i="60796"/>
  <c r="G197" i="7380"/>
  <c r="H270"/>
  <c r="G270"/>
  <c r="AJ556" i="32" s="1"/>
  <c r="AJ557" s="1"/>
  <c r="H81" i="11565"/>
  <c r="E96"/>
  <c r="G96" s="1"/>
  <c r="H96" s="1"/>
  <c r="H281" i="1792"/>
  <c r="G281"/>
  <c r="F11" i="60822"/>
  <c r="D14" s="1"/>
  <c r="G11"/>
  <c r="H227" i="1792"/>
  <c r="G227"/>
  <c r="E247" s="1"/>
  <c r="G22" i="60822"/>
  <c r="J71" i="11565"/>
  <c r="J285" i="1792"/>
  <c r="L103" i="11565"/>
  <c r="H218" i="1792"/>
  <c r="G218"/>
  <c r="E238" s="1"/>
  <c r="E26"/>
  <c r="G26" s="1"/>
  <c r="H21"/>
  <c r="G23" i="60822"/>
  <c r="F23"/>
  <c r="D26" s="1"/>
  <c r="H266" i="7380"/>
  <c r="G266"/>
  <c r="H7" i="60814"/>
  <c r="E19"/>
  <c r="G19" s="1"/>
  <c r="F39" i="60822"/>
  <c r="D42" s="1"/>
  <c r="G39"/>
  <c r="D14" i="2"/>
  <c r="J26" i="60796"/>
  <c r="AJ138" i="1024" s="1"/>
  <c r="AJ139" s="1"/>
  <c r="L26" i="60796"/>
  <c r="E66" i="11565"/>
  <c r="G66" s="1"/>
  <c r="H66" s="1"/>
  <c r="H46"/>
  <c r="G7" i="60822"/>
  <c r="F7"/>
  <c r="D10" s="1"/>
  <c r="H50" i="11565"/>
  <c r="E70"/>
  <c r="G70" s="1"/>
  <c r="G27"/>
  <c r="E29"/>
  <c r="J9" i="60796"/>
  <c r="AJ23" i="1024" s="1"/>
  <c r="AJ24" s="1"/>
  <c r="L9" i="60796"/>
  <c r="D7" i="2"/>
  <c r="K47" i="60796"/>
  <c r="I47"/>
  <c r="G54"/>
  <c r="G88" i="11565"/>
  <c r="H88" s="1"/>
  <c r="H38"/>
  <c r="E58"/>
  <c r="G58" s="1"/>
  <c r="H58" s="1"/>
  <c r="E231" i="1792"/>
  <c r="G231" s="1"/>
  <c r="D36" i="2"/>
  <c r="L73" i="60796"/>
  <c r="J73"/>
  <c r="AJ70" i="514" s="1"/>
  <c r="AJ71" s="1"/>
  <c r="I51" i="60796"/>
  <c r="K51"/>
  <c r="E62" i="11565"/>
  <c r="G62" s="1"/>
  <c r="H62" s="1"/>
  <c r="H42"/>
  <c r="G41" i="60822"/>
  <c r="F41"/>
  <c r="D44" s="1"/>
  <c r="G15" i="60796"/>
  <c r="G23" i="1792"/>
  <c r="E28" s="1"/>
  <c r="G28" s="1"/>
  <c r="E33" s="1"/>
  <c r="G33" s="1"/>
  <c r="K28" i="60796"/>
  <c r="I28"/>
  <c r="H9" i="60814"/>
  <c r="E21"/>
  <c r="G21" s="1"/>
  <c r="E54" i="11565"/>
  <c r="H34"/>
  <c r="G27" i="60825"/>
  <c r="F27"/>
  <c r="D30" s="1"/>
  <c r="K10" i="60796"/>
  <c r="I10"/>
  <c r="H12" i="60814"/>
  <c r="E24"/>
  <c r="G24" s="1"/>
  <c r="G236" i="1792"/>
  <c r="AJ173" i="2316" s="1"/>
  <c r="AJ174" s="1"/>
  <c r="H236" i="1792"/>
  <c r="L46" i="60796"/>
  <c r="D23" i="2"/>
  <c r="J46" i="60796"/>
  <c r="AJ103" i="8194" s="1"/>
  <c r="AJ104" s="1"/>
  <c r="H5" i="60814"/>
  <c r="E17"/>
  <c r="G17" s="1"/>
  <c r="G38" i="60822"/>
  <c r="B63"/>
  <c r="B64" s="1"/>
  <c r="B66" s="1"/>
  <c r="L62" i="60796"/>
  <c r="D32" i="2"/>
  <c r="J62" i="60796"/>
  <c r="I63"/>
  <c r="F64" s="1"/>
  <c r="K63"/>
  <c r="Q29" i="60822"/>
  <c r="P29"/>
  <c r="N32" s="1"/>
  <c r="N56"/>
  <c r="X27"/>
  <c r="X28" s="1"/>
  <c r="X30" s="1"/>
  <c r="I84" i="60796"/>
  <c r="K84"/>
  <c r="J83"/>
  <c r="L83"/>
  <c r="D40" i="2"/>
  <c r="L14" i="60817"/>
  <c r="J14"/>
  <c r="L12"/>
  <c r="J12"/>
  <c r="L9"/>
  <c r="J9"/>
  <c r="L39" i="60796"/>
  <c r="J39"/>
  <c r="L8" i="60817"/>
  <c r="J8"/>
  <c r="L13"/>
  <c r="J13"/>
  <c r="L56" i="60822"/>
  <c r="F8" i="2"/>
  <c r="E8"/>
  <c r="J38" i="60796"/>
  <c r="AJ39" i="8194" s="1"/>
  <c r="AJ40" s="1"/>
  <c r="D19" i="2"/>
  <c r="L38" i="60796"/>
  <c r="L37"/>
  <c r="J37"/>
  <c r="I39"/>
  <c r="K39"/>
  <c r="E16" i="60814"/>
  <c r="H4"/>
  <c r="F26"/>
  <c r="G26" s="1"/>
  <c r="G81" i="60796"/>
  <c r="G13" i="60814"/>
  <c r="G269" i="1792"/>
  <c r="E285" s="1"/>
  <c r="G285" s="1"/>
  <c r="G32" i="60796"/>
  <c r="G272" i="1792"/>
  <c r="AJ414" i="2316" s="1"/>
  <c r="AJ415" s="1"/>
  <c r="H272" i="1792"/>
  <c r="E221" i="7380"/>
  <c r="H201"/>
  <c r="G77" i="60796"/>
  <c r="I68"/>
  <c r="F69" s="1"/>
  <c r="H68"/>
  <c r="K68"/>
  <c r="E37" i="7380"/>
  <c r="G37" s="1"/>
  <c r="H31"/>
  <c r="K21" i="60796"/>
  <c r="I21"/>
  <c r="F22" s="1"/>
  <c r="H21"/>
  <c r="H44" i="1792"/>
  <c r="E50"/>
  <c r="G50" s="1"/>
  <c r="E17" i="2"/>
  <c r="F17"/>
  <c r="I8" i="60796"/>
  <c r="K8"/>
  <c r="D6" i="2"/>
  <c r="L7" i="60796"/>
  <c r="V27" i="60822" l="1"/>
  <c r="V28" s="1"/>
  <c r="V30" s="1"/>
  <c r="L59"/>
  <c r="L60" s="1"/>
  <c r="L62" s="1"/>
  <c r="D11" i="1"/>
  <c r="E11" s="1"/>
  <c r="E30" i="2"/>
  <c r="W27" i="60822"/>
  <c r="W28" s="1"/>
  <c r="W30" s="1"/>
  <c r="F30" i="2"/>
  <c r="K79" i="60796"/>
  <c r="F43" i="60825"/>
  <c r="G43"/>
  <c r="H79" i="60796"/>
  <c r="D38" i="2" s="1"/>
  <c r="H17" i="60814"/>
  <c r="AJ40" i="60806"/>
  <c r="AJ41" s="1"/>
  <c r="H21" i="60814"/>
  <c r="AJ104" i="60806"/>
  <c r="AJ105" s="1"/>
  <c r="H91" i="11565"/>
  <c r="AJ366" i="2819"/>
  <c r="AJ367" s="1"/>
  <c r="H24" i="60814"/>
  <c r="AJ152" i="60806"/>
  <c r="AJ153" s="1"/>
  <c r="H70" i="11565"/>
  <c r="AJ349" i="2819"/>
  <c r="AJ350" s="1"/>
  <c r="H19" i="60814"/>
  <c r="AJ72" i="60806"/>
  <c r="AJ73" s="1"/>
  <c r="H102" i="11565"/>
  <c r="AJ494" i="2819"/>
  <c r="AJ495" s="1"/>
  <c r="I41" i="60796"/>
  <c r="H37" i="7380"/>
  <c r="AJ41" i="32"/>
  <c r="AJ42" s="1"/>
  <c r="H50" i="1792"/>
  <c r="AJ91" i="2316"/>
  <c r="AJ92" s="1"/>
  <c r="H14" i="1792"/>
  <c r="AJ24" i="2316"/>
  <c r="AJ25" s="1"/>
  <c r="D20" i="2"/>
  <c r="F20" s="1"/>
  <c r="L40" i="60796"/>
  <c r="G16" i="60814"/>
  <c r="E25"/>
  <c r="G25" s="1"/>
  <c r="H25" s="1"/>
  <c r="D63" i="60822"/>
  <c r="D64" s="1"/>
  <c r="D66" s="1"/>
  <c r="Q25"/>
  <c r="P27"/>
  <c r="N30" s="1"/>
  <c r="Q30" s="1"/>
  <c r="Q28"/>
  <c r="P28"/>
  <c r="N31" s="1"/>
  <c r="Q31" s="1"/>
  <c r="G45" i="60825"/>
  <c r="F45"/>
  <c r="N59" i="60822"/>
  <c r="N60" s="1"/>
  <c r="N62" s="1"/>
  <c r="M56"/>
  <c r="M59" s="1"/>
  <c r="M60" s="1"/>
  <c r="M62" s="1"/>
  <c r="G26" i="60825"/>
  <c r="F26"/>
  <c r="D29" s="1"/>
  <c r="G241" i="1792"/>
  <c r="H241"/>
  <c r="H239"/>
  <c r="G239"/>
  <c r="E11" i="2"/>
  <c r="F11"/>
  <c r="G243" i="1792"/>
  <c r="H243"/>
  <c r="P42" i="60822"/>
  <c r="N45" s="1"/>
  <c r="Q42"/>
  <c r="E22" i="2"/>
  <c r="F22"/>
  <c r="K20" i="60796"/>
  <c r="I20"/>
  <c r="G54" i="11565"/>
  <c r="H54" s="1"/>
  <c r="E71"/>
  <c r="G71" s="1"/>
  <c r="K15" i="60796"/>
  <c r="H15"/>
  <c r="H14"/>
  <c r="J14" s="1"/>
  <c r="I15"/>
  <c r="F16" s="1"/>
  <c r="G10" i="60822"/>
  <c r="F10"/>
  <c r="D13" s="1"/>
  <c r="F42"/>
  <c r="D45" s="1"/>
  <c r="G42"/>
  <c r="E31" i="1792"/>
  <c r="G31" s="1"/>
  <c r="H26"/>
  <c r="G247"/>
  <c r="H247"/>
  <c r="L41" i="60796"/>
  <c r="J41"/>
  <c r="G206" i="7380"/>
  <c r="E217"/>
  <c r="G217" s="1"/>
  <c r="G40" i="60822"/>
  <c r="F40"/>
  <c r="D43" s="1"/>
  <c r="F30" i="60825"/>
  <c r="G30"/>
  <c r="G14" i="60822"/>
  <c r="F14"/>
  <c r="I76" i="60796"/>
  <c r="F77" s="1"/>
  <c r="I77" s="1"/>
  <c r="F78" s="1"/>
  <c r="K76"/>
  <c r="H244" i="1792"/>
  <c r="G244"/>
  <c r="L47" i="60796"/>
  <c r="J47"/>
  <c r="H51"/>
  <c r="H52"/>
  <c r="K52"/>
  <c r="I52"/>
  <c r="F53" s="1"/>
  <c r="G28" i="60822"/>
  <c r="F28"/>
  <c r="K29" i="60796"/>
  <c r="H29"/>
  <c r="I29"/>
  <c r="F30" s="1"/>
  <c r="E23" i="2"/>
  <c r="F23"/>
  <c r="K54" i="60796"/>
  <c r="I54"/>
  <c r="F55" s="1"/>
  <c r="H53"/>
  <c r="H54"/>
  <c r="E14" i="2"/>
  <c r="F14"/>
  <c r="K43" i="60796"/>
  <c r="I43"/>
  <c r="K13"/>
  <c r="I13"/>
  <c r="F14" s="1"/>
  <c r="H13"/>
  <c r="H12"/>
  <c r="J12" s="1"/>
  <c r="G94" i="11565"/>
  <c r="E103"/>
  <c r="G103" s="1"/>
  <c r="H103" s="1"/>
  <c r="K49" i="60796"/>
  <c r="I49"/>
  <c r="F25" i="2"/>
  <c r="E25"/>
  <c r="G44" i="60822"/>
  <c r="F44"/>
  <c r="F36" i="2"/>
  <c r="E36"/>
  <c r="D9" i="1"/>
  <c r="F7" i="2"/>
  <c r="E7"/>
  <c r="H27" i="11565"/>
  <c r="G29"/>
  <c r="G26" i="60822"/>
  <c r="F26"/>
  <c r="D29" s="1"/>
  <c r="H238" i="1792"/>
  <c r="G238"/>
  <c r="G27" i="60822"/>
  <c r="F27"/>
  <c r="D30" s="1"/>
  <c r="J42" i="60796"/>
  <c r="D21" i="2"/>
  <c r="K75" i="60796"/>
  <c r="I75"/>
  <c r="J48"/>
  <c r="AJ119" i="8194" s="1"/>
  <c r="AJ120" s="1"/>
  <c r="L48" i="60796"/>
  <c r="D24" i="2"/>
  <c r="G12" i="60822"/>
  <c r="F12"/>
  <c r="D15" s="1"/>
  <c r="E251" i="1792"/>
  <c r="G251" s="1"/>
  <c r="F32" i="2"/>
  <c r="E32"/>
  <c r="K64" i="60796"/>
  <c r="I64"/>
  <c r="Q32" i="60822"/>
  <c r="P32"/>
  <c r="F40" i="2"/>
  <c r="E40"/>
  <c r="E19"/>
  <c r="F19"/>
  <c r="K81" i="60796"/>
  <c r="I81"/>
  <c r="F82" s="1"/>
  <c r="H81"/>
  <c r="K80"/>
  <c r="I80"/>
  <c r="K32"/>
  <c r="I32"/>
  <c r="F33" s="1"/>
  <c r="H32"/>
  <c r="H76"/>
  <c r="G221" i="7380"/>
  <c r="G85" i="60796"/>
  <c r="L68"/>
  <c r="J68"/>
  <c r="D34" i="2"/>
  <c r="I69" i="60796"/>
  <c r="F70" s="1"/>
  <c r="K69"/>
  <c r="I22"/>
  <c r="F23" s="1"/>
  <c r="K22"/>
  <c r="D12" i="2"/>
  <c r="L21" i="60796"/>
  <c r="J21"/>
  <c r="E6" i="2"/>
  <c r="D7" i="1"/>
  <c r="F6" i="2"/>
  <c r="L79" i="60796" l="1"/>
  <c r="F11" i="1"/>
  <c r="J79" i="60796"/>
  <c r="H16" i="60814"/>
  <c r="AJ24" i="60806"/>
  <c r="AJ25" s="1"/>
  <c r="E20" i="2"/>
  <c r="H31" i="1792"/>
  <c r="AJ58" i="2316"/>
  <c r="AJ59" s="1"/>
  <c r="H221" i="7380"/>
  <c r="AJ107" i="32"/>
  <c r="AJ108" s="1"/>
  <c r="P30" i="60822"/>
  <c r="P31"/>
  <c r="K77" i="60796"/>
  <c r="G29" i="60825"/>
  <c r="F29"/>
  <c r="P45" i="60822"/>
  <c r="N48" s="1"/>
  <c r="Q45"/>
  <c r="F24" i="2"/>
  <c r="E24"/>
  <c r="G29" i="60822"/>
  <c r="F29"/>
  <c r="H94" i="11565"/>
  <c r="G104"/>
  <c r="K53" i="60796"/>
  <c r="I53"/>
  <c r="K55"/>
  <c r="I55"/>
  <c r="J54"/>
  <c r="L54"/>
  <c r="D27" i="2"/>
  <c r="H206" i="7380"/>
  <c r="E226"/>
  <c r="F45" i="60822"/>
  <c r="G45"/>
  <c r="D5" i="1"/>
  <c r="F30" i="60822"/>
  <c r="G30"/>
  <c r="D15" i="2"/>
  <c r="J29" i="60796"/>
  <c r="L29"/>
  <c r="K16"/>
  <c r="I16"/>
  <c r="F17" s="1"/>
  <c r="K14"/>
  <c r="I14"/>
  <c r="I30"/>
  <c r="F31" s="1"/>
  <c r="K30"/>
  <c r="J51"/>
  <c r="L51"/>
  <c r="G15" i="60822"/>
  <c r="F15"/>
  <c r="F21" i="2"/>
  <c r="E21"/>
  <c r="F9" i="1"/>
  <c r="E9"/>
  <c r="L13" i="60796"/>
  <c r="J13"/>
  <c r="D9" i="2"/>
  <c r="J53" i="60796"/>
  <c r="L53"/>
  <c r="J52"/>
  <c r="D26" i="2"/>
  <c r="L52" i="60796"/>
  <c r="F43" i="60822"/>
  <c r="G43"/>
  <c r="F13"/>
  <c r="G13"/>
  <c r="D10" i="2"/>
  <c r="L15" i="60796"/>
  <c r="J15"/>
  <c r="I82"/>
  <c r="K82"/>
  <c r="J81"/>
  <c r="L81"/>
  <c r="D39" i="2"/>
  <c r="F38"/>
  <c r="E38"/>
  <c r="I33" i="60796"/>
  <c r="K33"/>
  <c r="J32"/>
  <c r="L32"/>
  <c r="D16" i="2"/>
  <c r="D37"/>
  <c r="D10" i="1" s="1"/>
  <c r="L76" i="60796"/>
  <c r="J76"/>
  <c r="I78"/>
  <c r="K78"/>
  <c r="F34" i="2"/>
  <c r="E34"/>
  <c r="K70" i="60796"/>
  <c r="I70"/>
  <c r="I23"/>
  <c r="K23"/>
  <c r="E12" i="2"/>
  <c r="F12"/>
  <c r="E7" i="1"/>
  <c r="F7"/>
  <c r="P48" i="60822" l="1"/>
  <c r="Q48"/>
  <c r="D8" i="1"/>
  <c r="E8" s="1"/>
  <c r="E26" i="2"/>
  <c r="F26"/>
  <c r="D6" i="1"/>
  <c r="E9" i="2"/>
  <c r="F9"/>
  <c r="K31" i="60796"/>
  <c r="I31"/>
  <c r="K17"/>
  <c r="I17"/>
  <c r="F15" i="2"/>
  <c r="E15"/>
  <c r="F27"/>
  <c r="E27"/>
  <c r="F10"/>
  <c r="E10"/>
  <c r="F5" i="1"/>
  <c r="E5"/>
  <c r="G226" i="7380"/>
  <c r="H226" s="1"/>
  <c r="E237"/>
  <c r="G237" s="1"/>
  <c r="D43" i="2"/>
  <c r="D44" s="1"/>
  <c r="D13" i="1"/>
  <c r="E39" i="2"/>
  <c r="F39"/>
  <c r="F16"/>
  <c r="E16"/>
  <c r="E37"/>
  <c r="F37"/>
  <c r="E10" i="1"/>
  <c r="F10"/>
  <c r="F8" l="1"/>
  <c r="F6"/>
  <c r="E6"/>
  <c r="E13"/>
  <c r="F13"/>
  <c r="E43" i="2"/>
</calcChain>
</file>

<file path=xl/comments1.xml><?xml version="1.0" encoding="utf-8"?>
<comments xmlns="http://schemas.openxmlformats.org/spreadsheetml/2006/main">
  <authors>
    <author>elemus</author>
  </authors>
  <commentList>
    <comment ref="D13" authorId="0">
      <text>
        <r>
          <rPr>
            <b/>
            <sz val="14"/>
            <color indexed="81"/>
            <rFont val="Tahoma"/>
            <family val="2"/>
          </rPr>
          <t xml:space="preserve">elemus:
Descarte </t>
        </r>
      </text>
    </comment>
  </commentList>
</comments>
</file>

<file path=xl/comments2.xml><?xml version="1.0" encoding="utf-8"?>
<comments xmlns="http://schemas.openxmlformats.org/spreadsheetml/2006/main">
  <authors>
    <author>elemus</author>
    <author>enorero</author>
  </authors>
  <commentList>
    <comment ref="C7" authorId="0">
      <text>
        <r>
          <rPr>
            <b/>
            <sz val="8"/>
            <color indexed="81"/>
            <rFont val="Tahoma"/>
            <family val="2"/>
          </rPr>
          <t>e</t>
        </r>
        <r>
          <rPr>
            <b/>
            <sz val="8"/>
            <color indexed="10"/>
            <rFont val="Tahoma"/>
            <family val="2"/>
          </rPr>
          <t>lemus:</t>
        </r>
        <r>
          <rPr>
            <sz val="8"/>
            <color indexed="10"/>
            <rFont val="Tahoma"/>
            <family val="2"/>
          </rPr>
          <t xml:space="preserve">
XV REGION
SUSCEPTIBLE DE RECIBIR CUOTA DE IMPREVISTOS
7530 TONS
</t>
        </r>
      </text>
    </comment>
    <comment ref="E7" authorId="0">
      <text>
        <r>
          <rPr>
            <b/>
            <sz val="20"/>
            <color indexed="81"/>
            <rFont val="Tahoma"/>
            <family val="2"/>
          </rPr>
          <t xml:space="preserve">elemus:
Por Resolucion 1586, del 16 06 2014 se modifica estructra de valores 
desde 71062 y 10680 a 76062 y 5680
</t>
        </r>
        <r>
          <rPr>
            <sz val="20"/>
            <color indexed="81"/>
            <rFont val="Tahoma"/>
            <family val="2"/>
          </rPr>
          <t xml:space="preserve">
</t>
        </r>
      </text>
    </comment>
    <comment ref="E8" authorId="0">
      <text>
        <r>
          <rPr>
            <b/>
            <sz val="20"/>
            <color indexed="81"/>
            <rFont val="Tahoma"/>
            <family val="2"/>
          </rPr>
          <t xml:space="preserve">elemus:
Por Resolucion 1893, del 22 07 2014 se se activa cuota de imprevistos asignando 7500 toneladas 
</t>
        </r>
        <r>
          <rPr>
            <sz val="20"/>
            <color indexed="81"/>
            <rFont val="Tahoma"/>
            <family val="2"/>
          </rPr>
          <t xml:space="preserve">
</t>
        </r>
      </text>
    </comment>
    <comment ref="H24" authorId="0">
      <text>
        <r>
          <rPr>
            <b/>
            <sz val="14"/>
            <color indexed="81"/>
            <rFont val="Tahoma"/>
            <family val="2"/>
          </rPr>
          <t xml:space="preserve">elemus:
Descarte
</t>
        </r>
        <r>
          <rPr>
            <sz val="14"/>
            <color indexed="81"/>
            <rFont val="Tahoma"/>
            <family val="2"/>
          </rPr>
          <t xml:space="preserve">
</t>
        </r>
      </text>
    </comment>
    <comment ref="E26" authorId="0">
      <text>
        <r>
          <rPr>
            <b/>
            <sz val="20"/>
            <color indexed="81"/>
            <rFont val="Tahoma"/>
            <family val="2"/>
          </rPr>
          <t xml:space="preserve">elemus:
Por Resolucion 1489, del 03 06 2014 se modifica estructra de valores 
</t>
        </r>
        <r>
          <rPr>
            <sz val="20"/>
            <color indexed="81"/>
            <rFont val="Tahoma"/>
            <family val="2"/>
          </rPr>
          <t xml:space="preserve">
</t>
        </r>
      </text>
    </comment>
    <comment ref="D34" authorId="0">
      <text>
        <r>
          <rPr>
            <b/>
            <sz val="20"/>
            <color indexed="81"/>
            <rFont val="Tahoma"/>
            <family val="2"/>
          </rPr>
          <t xml:space="preserve">elemus:
Por Resolucion 172, del 02 04 2014 se modifica estructra de valores del jurel nacional
Por Resolucion 1063, del 17 04 2014 se modifica estructra de valores del jurel nacional
</t>
        </r>
        <r>
          <rPr>
            <sz val="20"/>
            <color indexed="81"/>
            <rFont val="Tahoma"/>
            <family val="2"/>
          </rPr>
          <t xml:space="preserve">
</t>
        </r>
      </text>
    </comment>
    <comment ref="E34" authorId="0">
      <text>
        <r>
          <rPr>
            <b/>
            <sz val="20"/>
            <color indexed="81"/>
            <rFont val="Tahoma"/>
            <family val="2"/>
          </rPr>
          <t>elemus:
por resol 1900 del 23 07 2014, se modifica cuota jurel global XV-II
XV-I 
desde 1013 a 941 y 53 a 50
II
desde 1013 a 941 y 53 a 50</t>
        </r>
        <r>
          <rPr>
            <sz val="20"/>
            <color indexed="81"/>
            <rFont val="Tahoma"/>
            <family val="2"/>
          </rPr>
          <t xml:space="preserve">
</t>
        </r>
      </text>
    </comment>
    <comment ref="E38" authorId="0">
      <text>
        <r>
          <rPr>
            <b/>
            <sz val="18"/>
            <color indexed="81"/>
            <rFont val="Tahoma"/>
            <family val="2"/>
          </rPr>
          <t>elemus:</t>
        </r>
        <r>
          <rPr>
            <sz val="18"/>
            <color indexed="81"/>
            <rFont val="Tahoma"/>
            <family val="2"/>
          </rPr>
          <t xml:space="preserve">
POR RESOLUCIÓN 1547 DEL 11 02 2014
SE MODIFICA ESTRUCTURA CUOTA JUREL III REGION, 
desde 2526 y 133 a 2654 Y 5
</t>
        </r>
        <r>
          <rPr>
            <b/>
            <sz val="18"/>
            <color indexed="81"/>
            <rFont val="Tahoma"/>
            <family val="2"/>
          </rPr>
          <t>RESL. N° 1960 DEL 25-07-2014</t>
        </r>
        <r>
          <rPr>
            <sz val="18"/>
            <color indexed="81"/>
            <rFont val="Tahoma"/>
            <family val="2"/>
          </rPr>
          <t xml:space="preserve">
LLEGA CUOTA IMPREVISTO DE 1.450 TOSN QUE SE SUMA A LASD 2.654 TONS 
</t>
        </r>
      </text>
    </comment>
    <comment ref="E42" authorId="0">
      <text>
        <r>
          <rPr>
            <b/>
            <sz val="18"/>
            <color indexed="81"/>
            <rFont val="Tahoma"/>
            <family val="2"/>
          </rPr>
          <t>elemus:</t>
        </r>
        <r>
          <rPr>
            <sz val="18"/>
            <color indexed="81"/>
            <rFont val="Tahoma"/>
            <family val="2"/>
          </rPr>
          <t xml:space="preserve">
cede 1400 desde primer periodo por resol 460 del 31 01 2014  desde 2854 a 1454. Se modifica por Res 516 del 06 02 2014 que deja sin efecto al anterior (460) pero reestablece otra cesion que es identica en cantidad (1400 tons)
</t>
        </r>
        <r>
          <rPr>
            <sz val="8"/>
            <color indexed="81"/>
            <rFont val="Tahoma"/>
            <family val="2"/>
          </rPr>
          <t xml:space="preserve">
</t>
        </r>
        <r>
          <rPr>
            <sz val="14"/>
            <color indexed="81"/>
            <rFont val="Tahoma"/>
            <family val="2"/>
          </rPr>
          <t xml:space="preserve">
POR RESOLUCIÓN 1132 DEL 25 04 2014
SE MODIFICA ESTRUCTURA CUOTA JUREL V REGION, QUEDANDO EN 
1209 Y 137 LA AG SAN ANTONIO Y; 166 Y 9 EL RESIDUAL</t>
        </r>
      </text>
    </comment>
    <comment ref="E54" authorId="0">
      <text>
        <r>
          <rPr>
            <b/>
            <sz val="18"/>
            <color indexed="81"/>
            <rFont val="Tahoma"/>
            <family val="2"/>
          </rPr>
          <t>elemus:</t>
        </r>
        <r>
          <rPr>
            <sz val="18"/>
            <color indexed="81"/>
            <rFont val="Tahoma"/>
            <family val="2"/>
          </rPr>
          <t xml:space="preserve">
</t>
        </r>
        <r>
          <rPr>
            <sz val="14"/>
            <color indexed="81"/>
            <rFont val="Tahoma"/>
            <family val="2"/>
          </rPr>
          <t>POR RESOLUCIÓN 1133 DEL 25 04 2014
SE MODIFICA ESTRUCTURA CUOTA JUREL X REGION, QUEDANDO EN 
4127 Y 243,01 (TOTALES)</t>
        </r>
      </text>
    </comment>
    <comment ref="C62" authorId="0">
      <text>
        <r>
          <rPr>
            <b/>
            <sz val="22"/>
            <color indexed="8"/>
            <rFont val="Tahoma"/>
            <family val="2"/>
          </rPr>
          <t>elemus:</t>
        </r>
        <r>
          <rPr>
            <sz val="22"/>
            <color indexed="8"/>
            <rFont val="Tahoma"/>
            <family val="2"/>
          </rPr>
          <t xml:space="preserve">
V REGION
SUSCEPTIBLE DE RECIBIR CUOTA DE IMPREVISTOS de 2033 TONS
por RES 1139 del 25 04 2014 se modifica la estructura de cuotas de la SC de la VR, aumentando en 1540 tons para la AG puerto San Antonio</t>
        </r>
      </text>
    </comment>
    <comment ref="E62" authorId="0">
      <text>
        <r>
          <rPr>
            <b/>
            <sz val="16"/>
            <color indexed="81"/>
            <rFont val="Tahoma"/>
            <family val="2"/>
          </rPr>
          <t>elemus: 
por resol 937 del 03 04 2014 se modifica cuota nacional de la fraccion artesanal Sardina Comun
por resol 947 del 03 04 2014 se modifica SC V R
quedando 
AG Sn Antonio 4445, 165 y 83 respect.
Residual 1278, 150 y 75 respect.</t>
        </r>
      </text>
    </comment>
    <comment ref="E63" authorId="1">
      <text>
        <r>
          <rPr>
            <b/>
            <sz val="16"/>
            <color indexed="81"/>
            <rFont val="Tahoma"/>
            <family val="2"/>
          </rPr>
          <t>enorero:</t>
        </r>
        <r>
          <rPr>
            <sz val="16"/>
            <color indexed="81"/>
            <rFont val="Tahoma"/>
            <family val="2"/>
          </rPr>
          <t xml:space="preserve">
</t>
        </r>
        <r>
          <rPr>
            <b/>
            <sz val="16"/>
            <color indexed="81"/>
            <rFont val="Tahoma"/>
            <family val="2"/>
          </rPr>
          <t>aumenta 821 ton desde cuota imprevisto, resl. N° 1368 de fecha 20-05-2014, ademas de Resl. NO  1391 de fecha 22-05-2014 que modifica error.</t>
        </r>
      </text>
    </comment>
    <comment ref="E68" authorId="0">
      <text>
        <r>
          <rPr>
            <b/>
            <sz val="16"/>
            <color indexed="81"/>
            <rFont val="Tahoma"/>
            <family val="2"/>
          </rPr>
          <t>elemus:
Por resolucion 2255 del 28 08 2014
ceden 318 ton  a armador industrial quedando
primer periodo desde 1796,606 a 1478,606; 2 y 3 P =</t>
        </r>
      </text>
    </comment>
    <comment ref="C73" authorId="0">
      <text>
        <r>
          <rPr>
            <b/>
            <sz val="8"/>
            <color indexed="81"/>
            <rFont val="Tahoma"/>
            <family val="2"/>
          </rPr>
          <t>e</t>
        </r>
        <r>
          <rPr>
            <b/>
            <sz val="8"/>
            <color indexed="10"/>
            <rFont val="Tahoma"/>
            <family val="2"/>
          </rPr>
          <t>lemus:</t>
        </r>
        <r>
          <rPr>
            <sz val="8"/>
            <color indexed="10"/>
            <rFont val="Tahoma"/>
            <family val="2"/>
          </rPr>
          <t xml:space="preserve">
IX REGION
SUSCEPTIBLE DE RECIBIR CUOTA DE IMPREVISTOS
1697 TONS
</t>
        </r>
      </text>
    </comment>
    <comment ref="E73" authorId="0">
      <text>
        <r>
          <rPr>
            <b/>
            <sz val="20"/>
            <color indexed="81"/>
            <rFont val="Tahoma"/>
            <family val="2"/>
          </rPr>
          <t xml:space="preserve">elemus:
Por Resolucion 1489, del 03 06 2014 se modifica estructra de valores 
</t>
        </r>
        <r>
          <rPr>
            <sz val="20"/>
            <color indexed="81"/>
            <rFont val="Tahoma"/>
            <family val="2"/>
          </rPr>
          <t xml:space="preserve">
</t>
        </r>
      </text>
    </comment>
    <comment ref="E74" authorId="0">
      <text>
        <r>
          <rPr>
            <b/>
            <sz val="20"/>
            <color indexed="81"/>
            <rFont val="Tahoma"/>
            <family val="2"/>
          </rPr>
          <t xml:space="preserve">elemus:
por resolución 1730 02 07 2014 se activa cuota de imprevistos de 2602 toneladas
</t>
        </r>
        <r>
          <rPr>
            <sz val="20"/>
            <color indexed="81"/>
            <rFont val="Tahoma"/>
            <family val="2"/>
          </rPr>
          <t xml:space="preserve">
</t>
        </r>
      </text>
    </comment>
    <comment ref="C76" authorId="0">
      <text>
        <r>
          <rPr>
            <b/>
            <sz val="8"/>
            <color indexed="81"/>
            <rFont val="Tahoma"/>
            <family val="2"/>
          </rPr>
          <t>elemus:</t>
        </r>
        <r>
          <rPr>
            <sz val="8"/>
            <color indexed="81"/>
            <rFont val="Tahoma"/>
            <family val="2"/>
          </rPr>
          <t xml:space="preserve">
modificada por 949 de 03 04 2014</t>
        </r>
      </text>
    </comment>
    <comment ref="C81" authorId="0">
      <text>
        <r>
          <rPr>
            <b/>
            <sz val="16"/>
            <color indexed="81"/>
            <rFont val="Tahoma"/>
            <family val="2"/>
          </rPr>
          <t>e</t>
        </r>
        <r>
          <rPr>
            <b/>
            <sz val="16"/>
            <color indexed="10"/>
            <rFont val="Tahoma"/>
            <family val="2"/>
          </rPr>
          <t>lemus:</t>
        </r>
        <r>
          <rPr>
            <sz val="16"/>
            <color indexed="10"/>
            <rFont val="Tahoma"/>
            <family val="2"/>
          </rPr>
          <t xml:space="preserve">
X REGION
SUSCEPTIBLE DE RECIBIR CUOTA DE IMPREVISTOS
187 TON
</t>
        </r>
      </text>
    </comment>
    <comment ref="E81" authorId="0">
      <text>
        <r>
          <rPr>
            <b/>
            <sz val="18"/>
            <color indexed="81"/>
            <rFont val="Tahoma"/>
            <family val="2"/>
          </rPr>
          <t xml:space="preserve">elemus:
Por Reso 973 del 07 04 2014
se modifica la estructura de distribucion completa del RAE S comun X
</t>
        </r>
        <r>
          <rPr>
            <sz val="18"/>
            <color indexed="81"/>
            <rFont val="Tahoma"/>
            <family val="2"/>
          </rPr>
          <t xml:space="preserve">
Por Reso 541 del 16 09 2014
se modifica la estructura de distribucion completa del RAE S Austral X
desde 14770 a 12793 y 3926 a 9710 (18696 a 22503)
</t>
        </r>
      </text>
    </comment>
    <comment ref="C83" authorId="0">
      <text>
        <r>
          <rPr>
            <b/>
            <sz val="8"/>
            <color indexed="81"/>
            <rFont val="Tahoma"/>
            <family val="2"/>
          </rPr>
          <t>e</t>
        </r>
        <r>
          <rPr>
            <b/>
            <sz val="8"/>
            <color indexed="10"/>
            <rFont val="Tahoma"/>
            <family val="2"/>
          </rPr>
          <t>lemus:</t>
        </r>
        <r>
          <rPr>
            <sz val="8"/>
            <color indexed="10"/>
            <rFont val="Tahoma"/>
            <family val="2"/>
          </rPr>
          <t xml:space="preserve">
XI REGION
SUSCEPTIBLE DE RECIBIR CUOTA DE IMPREVISTOS
80 TONS
</t>
        </r>
      </text>
    </comment>
  </commentList>
</comments>
</file>

<file path=xl/comments3.xml><?xml version="1.0" encoding="utf-8"?>
<comments xmlns="http://schemas.openxmlformats.org/spreadsheetml/2006/main">
  <authors>
    <author>elemus</author>
    <author>enorero</author>
  </authors>
  <commentList>
    <comment ref="C21" authorId="0">
      <text>
        <r>
          <rPr>
            <b/>
            <sz val="16"/>
            <color indexed="81"/>
            <rFont val="Tahoma"/>
            <family val="2"/>
          </rPr>
          <t xml:space="preserve">elemus:
Por resolucion 888 del 27 03 2014
se modifica  AG San antonio
primer periodo desde 1686 a 1981
segundo periodo desde 198 a 1
tercer periodo desde 99 a 1
</t>
        </r>
      </text>
    </comment>
    <comment ref="C38" authorId="0">
      <text>
        <r>
          <rPr>
            <b/>
            <sz val="16"/>
            <color indexed="81"/>
            <rFont val="Tahoma"/>
            <family val="2"/>
          </rPr>
          <t>elemus:
Por resolucion 2255 del 28 08 2014
ceden 27 ton  a armador industrial quedando
primer periodo desde 171,644 a 144,644; 2 y 3 P =</t>
        </r>
      </text>
    </comment>
    <comment ref="C60" authorId="0">
      <text>
        <r>
          <rPr>
            <b/>
            <sz val="18"/>
            <color indexed="81"/>
            <rFont val="Tahoma"/>
            <family val="2"/>
          </rPr>
          <t>elemus:</t>
        </r>
        <r>
          <rPr>
            <sz val="18"/>
            <color indexed="81"/>
            <rFont val="Tahoma"/>
            <family val="2"/>
          </rPr>
          <t xml:space="preserve">
POR RESOL 710 DE 27 02 2014 NUMERAL 8
SE DESCUENTA POR MDIDA PRECAUTORIA SOBRE CELENIA I
(78,899 TONELADAS) QUEDANDO EN 167,154,
8,794 Y 94,742 PRIMER, SEGUNDO Y FA =
POR RESOL 3524 DE 24 12 2014 CEDEN 62,609 T A ARMADORES XIV
DESDE 167,154 A 104,545 1P, SEGUNDO Y FA =</t>
        </r>
      </text>
    </comment>
    <comment ref="C61" authorId="0">
      <text>
        <r>
          <rPr>
            <b/>
            <sz val="22"/>
            <color indexed="81"/>
            <rFont val="Tahoma"/>
            <family val="2"/>
          </rPr>
          <t>elemus:</t>
        </r>
        <r>
          <rPr>
            <sz val="22"/>
            <color indexed="81"/>
            <rFont val="Tahoma"/>
            <family val="2"/>
          </rPr>
          <t xml:space="preserve">
por resol 44 de 18 11 2014 reciben 13 t desde 604,099 a 617,099 1P; = 2P
</t>
        </r>
      </text>
    </comment>
    <comment ref="A65" authorId="0">
      <text>
        <r>
          <rPr>
            <b/>
            <sz val="14"/>
            <color indexed="81"/>
            <rFont val="Tahoma"/>
            <family val="2"/>
          </rPr>
          <t>elemus:</t>
        </r>
        <r>
          <rPr>
            <sz val="14"/>
            <color indexed="81"/>
            <rFont val="Tahoma"/>
            <family val="2"/>
          </rPr>
          <t xml:space="preserve">
Por resol ex Nº 09   26 07 2013  sparhital cede 100 ton de anchoveta a arpropelar primer periodo quedando iguales los segundos periodos y las FA
sparhital desde 264 a 164
arpropelar desde 1055 a 1155</t>
        </r>
      </text>
    </comment>
    <comment ref="C66" authorId="0">
      <text>
        <r>
          <rPr>
            <b/>
            <sz val="16"/>
            <color indexed="81"/>
            <rFont val="Tahoma"/>
            <family val="2"/>
          </rPr>
          <t xml:space="preserve">elemus:
Por resolucion 1779 del 09 07 2014
ceden 93,335 desde  180,125 a 166,84; 9,476 a 0 y desde 102,095 a 81,521 la FA
</t>
        </r>
      </text>
    </comment>
    <comment ref="C69" authorId="0">
      <text>
        <r>
          <rPr>
            <b/>
            <sz val="16"/>
            <color indexed="81"/>
            <rFont val="Tahoma"/>
            <family val="2"/>
          </rPr>
          <t>elemus:
Por resolucion 27 del 04 08 2014
ceden 10 desde  81,66 a 71,66; 2P y Fa =
Por resolucion 34 del 25 09 2014
ceden 5 desde  71,66 a 66,66; 2P y Fa =</t>
        </r>
      </text>
    </comment>
    <comment ref="C71" authorId="0">
      <text>
        <r>
          <rPr>
            <b/>
            <sz val="16"/>
            <color indexed="81"/>
            <rFont val="Tahoma"/>
            <family val="2"/>
          </rPr>
          <t xml:space="preserve">elemus:
Por resolucion 16 del 24 06 2014
ceden 10 ton  a armador artesanal quedando
primer periodo desde 7,330 a 0; segundo periodo desde 0,386 a 0 y FA desde 4,155 a 1,88
</t>
        </r>
      </text>
    </comment>
    <comment ref="C72" authorId="0">
      <text>
        <r>
          <rPr>
            <b/>
            <sz val="16"/>
            <color indexed="81"/>
            <rFont val="Tahoma"/>
            <family val="2"/>
          </rPr>
          <t xml:space="preserve">elemus:
Por resolucion 1546 del 13 06 2014
se modifica  primer periodo desde 427,769 a 449,272; y segundo periodo desde 22,503 a 1 
FA igual
</t>
        </r>
      </text>
    </comment>
    <comment ref="C73" authorId="0">
      <text>
        <r>
          <rPr>
            <b/>
            <sz val="16"/>
            <color indexed="81"/>
            <rFont val="Tahoma"/>
            <family val="2"/>
          </rPr>
          <t xml:space="preserve">elemus:
Por resolucion 27 del 04 08 2014
reciben 10 desde  286,269 a 296,269; 2P y Fa =
</t>
        </r>
      </text>
    </comment>
    <comment ref="C75" authorId="0">
      <text>
        <r>
          <rPr>
            <b/>
            <sz val="16"/>
            <color indexed="81"/>
            <rFont val="Tahoma"/>
            <family val="2"/>
          </rPr>
          <t xml:space="preserve">elemus:
Por resolucion 25 del 31 07 2014
ceden 15,27 desde  15,271 a 0,001; 2P y Fa =
</t>
        </r>
      </text>
    </comment>
    <comment ref="C76" authorId="0">
      <text>
        <r>
          <rPr>
            <b/>
            <sz val="16"/>
            <color indexed="81"/>
            <rFont val="Tahoma"/>
            <family val="2"/>
          </rPr>
          <t xml:space="preserve">elemus:
Por resolucion 34 del 25 09 2014
reciben 5 desde  241,931 a 246,931; 2P y Fa =
</t>
        </r>
      </text>
    </comment>
    <comment ref="C77" authorId="0">
      <text>
        <r>
          <rPr>
            <b/>
            <sz val="16"/>
            <color indexed="81"/>
            <rFont val="Tahoma"/>
            <family val="2"/>
          </rPr>
          <t xml:space="preserve">elemus:
Por resolucion 901 del 31 03 2014
se modifica  STI Lo rojas y la cuota residual
Lo rojas 
primer periodo desde 386,627 415,897
segundo periodo desde 20,339 a 21,878
fa desde 219,139 a 235,729
</t>
        </r>
      </text>
    </comment>
    <comment ref="C78" authorId="0">
      <text>
        <r>
          <rPr>
            <b/>
            <sz val="16"/>
            <color indexed="81"/>
            <rFont val="Tahoma"/>
            <family val="2"/>
          </rPr>
          <t>elemus:
por resolucion 01 del 10 03 2014
reciben en cesion 100 ton anchoveta desde sti tumbes
pasando desde 528,181 a 628,181 primer periodo, quedando igual el segu do periodo y la FA</t>
        </r>
        <r>
          <rPr>
            <sz val="16"/>
            <color indexed="81"/>
            <rFont val="Tahoma"/>
            <family val="2"/>
          </rPr>
          <t xml:space="preserve">
</t>
        </r>
      </text>
    </comment>
    <comment ref="C80" authorId="0">
      <text>
        <r>
          <rPr>
            <b/>
            <sz val="16"/>
            <color indexed="81"/>
            <rFont val="Tahoma"/>
            <family val="2"/>
          </rPr>
          <t xml:space="preserve">elemus:
Por resolucion 1546 del 13 06 2014
se modifica  primer periodo desde 452,142 a 474,927; y segundo periodo desde 23,785 a 1 
FA igual
</t>
        </r>
      </text>
    </comment>
    <comment ref="C81" authorId="0">
      <text>
        <r>
          <rPr>
            <b/>
            <sz val="16"/>
            <color indexed="81"/>
            <rFont val="Tahoma"/>
            <family val="2"/>
          </rPr>
          <t xml:space="preserve">elemus:
por resolucion 0798 del 21 03 2014
ceden 50,728ton anchoveta a armados industrial
                         enero agosto                septiembre diciembre    FA                total
tenian                   36,423                                  1,916                    20,644        58,983
ceden                    33,053                                  1,916                    15,759        50,728
qudan asi                3,37                                        0                            4,885           8,255
</t>
        </r>
        <r>
          <rPr>
            <sz val="16"/>
            <color indexed="81"/>
            <rFont val="Tahoma"/>
            <family val="2"/>
          </rPr>
          <t xml:space="preserve">
</t>
        </r>
      </text>
    </comment>
    <comment ref="C82" authorId="0">
      <text>
        <r>
          <rPr>
            <b/>
            <sz val="16"/>
            <color indexed="81"/>
            <rFont val="Tahoma"/>
            <family val="2"/>
          </rPr>
          <t xml:space="preserve">elemus:
por resolucion 22 del 18 07 2014
ceden 23 ton anchoveta 
                         enero agosto                septiembre diciembre    FA                total
tenian                   20,6                                 1,084                    11,676        
ceden                    23                                   
qudan asi              0,6                                      1,08                     8,68             10,36
</t>
        </r>
        <r>
          <rPr>
            <sz val="16"/>
            <color indexed="81"/>
            <rFont val="Tahoma"/>
            <family val="2"/>
          </rPr>
          <t xml:space="preserve">
</t>
        </r>
      </text>
    </comment>
    <comment ref="C85" authorId="0">
      <text>
        <r>
          <rPr>
            <b/>
            <sz val="22"/>
            <color indexed="81"/>
            <rFont val="Tahoma"/>
            <family val="2"/>
          </rPr>
          <t>elemus:</t>
        </r>
        <r>
          <rPr>
            <sz val="22"/>
            <color indexed="81"/>
            <rFont val="Tahoma"/>
            <family val="2"/>
          </rPr>
          <t xml:space="preserve">
142,528
por resol 12 de 07 05 2014 ceden 40 t a armador artesanal
por resol 62 de 30 12 2014 ceden 115,43 t desde 102,53 a 7,92 1P y desde 80,784 a 59,96 FA; =2P</t>
        </r>
      </text>
    </comment>
    <comment ref="C88" authorId="0">
      <text>
        <r>
          <rPr>
            <b/>
            <sz val="22"/>
            <color indexed="81"/>
            <rFont val="Tahoma"/>
            <family val="2"/>
          </rPr>
          <t>elemus:</t>
        </r>
        <r>
          <rPr>
            <sz val="22"/>
            <color indexed="81"/>
            <rFont val="Tahoma"/>
            <family val="2"/>
          </rPr>
          <t xml:space="preserve">
por resol 62 de 30 12 2014 reciben 115,43 t desde 175,172 a 269,78 1P y desde 99,287 a 120,11 FA; =2P</t>
        </r>
      </text>
    </comment>
    <comment ref="C90" authorId="0">
      <text>
        <r>
          <rPr>
            <b/>
            <sz val="22"/>
            <color indexed="81"/>
            <rFont val="Tahoma"/>
            <family val="2"/>
          </rPr>
          <t>elemus:</t>
        </r>
        <r>
          <rPr>
            <sz val="22"/>
            <color indexed="81"/>
            <rFont val="Tahoma"/>
            <family val="2"/>
          </rPr>
          <t xml:space="preserve">
por resol 44 de 18 11 2014 ceden 13 t a Org artesanal VIII DESDE 15,271 A 2,271, 2P =
</t>
        </r>
      </text>
    </comment>
    <comment ref="C91" authorId="0">
      <text>
        <r>
          <rPr>
            <b/>
            <sz val="16"/>
            <color indexed="81"/>
            <rFont val="Tahoma"/>
            <family val="2"/>
          </rPr>
          <t xml:space="preserve">elemus:
por resolucion 11 del 07 05 2014
ceden 18,6 t anch 
</t>
        </r>
        <r>
          <rPr>
            <sz val="16"/>
            <color indexed="81"/>
            <rFont val="Tahoma"/>
            <family val="2"/>
          </rPr>
          <t xml:space="preserve">
</t>
        </r>
      </text>
    </comment>
    <comment ref="C92" authorId="0">
      <text>
        <r>
          <rPr>
            <b/>
            <sz val="16"/>
            <color indexed="81"/>
            <rFont val="Tahoma"/>
            <family val="2"/>
          </rPr>
          <t xml:space="preserve">elemus:
por resolucion 10 del 06 05 2014
reciben 60 t anch desde STI TOME COCHOLGUE </t>
        </r>
        <r>
          <rPr>
            <sz val="16"/>
            <color indexed="81"/>
            <rFont val="Tahoma"/>
            <family val="2"/>
          </rPr>
          <t xml:space="preserve">
desde 250,584 a 310,58
</t>
        </r>
      </text>
    </comment>
    <comment ref="C94" authorId="0">
      <text>
        <r>
          <rPr>
            <b/>
            <sz val="16"/>
            <color indexed="81"/>
            <rFont val="Tahoma"/>
            <family val="2"/>
          </rPr>
          <t xml:space="preserve">elemus:
Por resolucion 01 del 10 03 2014
ceden 100 ton anchoveta a spaada
pasando desde 
660,638 a 560,5 primer periodo, quedando igual el segu do periodo y la FA
por resolucion 02 del 17 03 2014
ceden 140 ton anchoveta a armadores artesanales de la VIII
pasando desde 
560,5 a 420,54 primer periodo, quedando igual el segu do periodo y la FA
</t>
        </r>
        <r>
          <rPr>
            <sz val="16"/>
            <color indexed="81"/>
            <rFont val="Tahoma"/>
            <family val="2"/>
          </rPr>
          <t xml:space="preserve">
por resolucion 04 del 20 03 2014
ceden 20 ton anchoveta a armadores artesanales de la VIII
pasando desde 420,54  a 400,5 primer periodo, quedando igual el segu do periodo y la FA
</t>
        </r>
      </text>
    </comment>
    <comment ref="C98" authorId="0">
      <text>
        <r>
          <rPr>
            <b/>
            <sz val="16"/>
            <color indexed="81"/>
            <rFont val="Tahoma"/>
            <family val="2"/>
          </rPr>
          <t>elemus:
por resolucion 786 del 17 03 2014
se modifica la estructura de datos de cocholgue tome y residual como sigue
enero agosto cocholgue desde 50,90 a 71,264</t>
        </r>
        <r>
          <rPr>
            <sz val="16"/>
            <color indexed="81"/>
            <rFont val="Tahoma"/>
            <family val="2"/>
          </rPr>
          <t xml:space="preserve">
Septiembre diciembre cocholgue desde 2,678 a 3,749
enero agosto residual desde 50,90 a 86,539
Septiembre diciembre residual desde 5,632 a 4,552
</t>
        </r>
        <r>
          <rPr>
            <b/>
            <sz val="18"/>
            <color indexed="81"/>
            <rFont val="Tahoma"/>
            <family val="2"/>
          </rPr>
          <t xml:space="preserve">elemus:
por resolucion 10 del 06 05 2014
CEDEN 71,265 t anch quedando en 0 1P
</t>
        </r>
      </text>
    </comment>
    <comment ref="C99" authorId="0">
      <text>
        <r>
          <rPr>
            <b/>
            <sz val="16"/>
            <color indexed="81"/>
            <rFont val="Tahoma"/>
            <family val="2"/>
          </rPr>
          <t>elemus:
por resolucion 03 del 17 03 2014
ceden 11 ton anchoveta a tres armadores individuales
pasando desde 458,49 a 447,49 primer periodo, quedando igual el segundo periodo y la FA</t>
        </r>
        <r>
          <rPr>
            <sz val="16"/>
            <color indexed="81"/>
            <rFont val="Tahoma"/>
            <family val="2"/>
          </rPr>
          <t xml:space="preserve">
por resolucion 05 del 21 03 2014
ceden 03 ton anchoveta a armador individual
pasando desde 447,49 a 444,49 primer periodo, quedando igual el segundo periodo y la FA
</t>
        </r>
      </text>
    </comment>
    <comment ref="C101" authorId="0">
      <text>
        <r>
          <rPr>
            <b/>
            <sz val="16"/>
            <color indexed="81"/>
            <rFont val="Tahoma"/>
            <family val="2"/>
          </rPr>
          <t>elemus:
por resolucion 30 del 11 08 2014
ceden 13 t anch 
pasando desde 20,361 a 7,36 primer periodo, = 2P y FA</t>
        </r>
        <r>
          <rPr>
            <sz val="16"/>
            <color indexed="81"/>
            <rFont val="Tahoma"/>
            <family val="2"/>
          </rPr>
          <t xml:space="preserve">
</t>
        </r>
      </text>
    </comment>
    <comment ref="C103" authorId="0">
      <text>
        <r>
          <rPr>
            <b/>
            <sz val="16"/>
            <color indexed="81"/>
            <rFont val="Tahoma"/>
            <family val="2"/>
          </rPr>
          <t>elemus:
por resolucion 953 del 03 04 2014
reciben 300 t anch y 5000 t SC desde AGARMAR X
pasando desde 317,3 a 567,3 primer periodo, quedando igual el segundo periodo y la FA; y desde 6645 a 11125 SC</t>
        </r>
        <r>
          <rPr>
            <sz val="16"/>
            <color indexed="81"/>
            <rFont val="Tahoma"/>
            <family val="2"/>
          </rPr>
          <t xml:space="preserve">
por resolucion 70 del 31 12 2014, se modifica Res Ex 3, quedando
desde 567,3 a 571,1 1P; = 2P y FA
</t>
        </r>
      </text>
    </comment>
    <comment ref="C104" authorId="1">
      <text>
        <r>
          <rPr>
            <b/>
            <sz val="18"/>
            <color indexed="81"/>
            <rFont val="Tahoma"/>
            <family val="2"/>
          </rPr>
          <t>elemus:</t>
        </r>
        <r>
          <rPr>
            <sz val="18"/>
            <color indexed="81"/>
            <rFont val="Tahoma"/>
            <family val="2"/>
          </rPr>
          <t xml:space="preserve">
por resl. 1847 18 07 2014 aumenta 4,036  tons
quedando 99,775 y 1, 1P y 2P</t>
        </r>
      </text>
    </comment>
    <comment ref="C105" authorId="0">
      <text>
        <r>
          <rPr>
            <b/>
            <sz val="16"/>
            <color indexed="81"/>
            <rFont val="Tahoma"/>
            <family val="2"/>
          </rPr>
          <t>elemus:
por resolucion 06 del 21 03 2014
ceden 05 ton anchoveta a armador individual
pasando desde 293,361 a 288,36 primer periodo, quedando igual el segundo periodo y la FA</t>
        </r>
        <r>
          <rPr>
            <sz val="16"/>
            <color indexed="81"/>
            <rFont val="Tahoma"/>
            <family val="2"/>
          </rPr>
          <t xml:space="preserve">
por resolucion 1703 del 2 07 2014
modifica estructura de cuotas que indica desde 288,361 a 302,79 primer periodo, y desde 15,432 a 1 2P, quedando igual la FA
</t>
        </r>
      </text>
    </comment>
    <comment ref="C114" authorId="0">
      <text>
        <r>
          <rPr>
            <b/>
            <sz val="16"/>
            <color indexed="81"/>
            <rFont val="Tahoma"/>
            <family val="2"/>
          </rPr>
          <t xml:space="preserve">elemus:
Por resolucion 1703 del 02 07 2014
se modifica  primer periodo desde 448,819 a 471,429; y segundo periodo desde 23,61 a 1 
FA igual
</t>
        </r>
      </text>
    </comment>
    <comment ref="C115" authorId="0">
      <text>
        <r>
          <rPr>
            <b/>
            <sz val="16"/>
            <color indexed="81"/>
            <rFont val="Tahoma"/>
            <family val="2"/>
          </rPr>
          <t xml:space="preserve">elemus:
Por resolucion 1546 del 13 06 2014
se modifica  primer periodo desde 717,938 a 754,705; y segundo periodo desde 37,767 a 1 
FA igual
</t>
        </r>
      </text>
    </comment>
    <comment ref="C118" authorId="0">
      <text>
        <r>
          <rPr>
            <b/>
            <sz val="16"/>
            <color indexed="81"/>
            <rFont val="Tahoma"/>
            <family val="2"/>
          </rPr>
          <t>elemus:
por resolucion 786 del 17 03 2014
se modifica la estructura de datos de cocholgue tome y residual como sigue
enero agosto cocholgue desde 50,90 a 71,264</t>
        </r>
        <r>
          <rPr>
            <sz val="16"/>
            <color indexed="81"/>
            <rFont val="Tahoma"/>
            <family val="2"/>
          </rPr>
          <t xml:space="preserve">
Septiembre diciembre cocholgue desde 2,678 a 3,749
enero agosto residual desde 50,90 a 86,539
Septiembre diciembre residual desde 5,632 a 4,552
Por resolucion 901 del 31 03 2014
se modifica  la cuota residual
primer periodo desde 86,539 a 57,270
segundo periodo desde 4,552 a 3,013
fa desde 49,05 a 32,461</t>
        </r>
      </text>
    </comment>
    <comment ref="C140" authorId="1">
      <text>
        <r>
          <rPr>
            <b/>
            <sz val="8"/>
            <color indexed="81"/>
            <rFont val="Tahoma"/>
            <family val="2"/>
          </rPr>
          <t>enorero:</t>
        </r>
        <r>
          <rPr>
            <sz val="8"/>
            <color indexed="81"/>
            <rFont val="Tahoma"/>
            <family val="2"/>
          </rPr>
          <t xml:space="preserve">
resl. 1847 del 18-07-2014 disminuye en  14,356  tons</t>
        </r>
      </text>
    </comment>
    <comment ref="C144" authorId="0">
      <text>
        <r>
          <rPr>
            <b/>
            <sz val="16"/>
            <color indexed="81"/>
            <rFont val="Tahoma"/>
            <family val="2"/>
          </rPr>
          <t>elemus:
por resolucion 23 del 21 07 2014
CEDEN 21,8 ton anchoveta 
pasando desde 21,878 a 0,08 2P quedando igual el 1P y la FA</t>
        </r>
        <r>
          <rPr>
            <sz val="16"/>
            <color indexed="81"/>
            <rFont val="Tahoma"/>
            <family val="2"/>
          </rPr>
          <t xml:space="preserve">
</t>
        </r>
      </text>
    </comment>
    <comment ref="C162" authorId="0">
      <text>
        <r>
          <rPr>
            <b/>
            <sz val="16"/>
            <color indexed="81"/>
            <rFont val="Tahoma"/>
            <family val="2"/>
          </rPr>
          <t>elemus:
por resolucion 54 del 30 12 2014
CEDEN 4,6 ton; desde 5,841 a 1,241 2P; = 1P y  FA</t>
        </r>
        <r>
          <rPr>
            <sz val="16"/>
            <color indexed="81"/>
            <rFont val="Tahoma"/>
            <family val="2"/>
          </rPr>
          <t xml:space="preserve">
</t>
        </r>
      </text>
    </comment>
    <comment ref="C171" authorId="1">
      <text>
        <r>
          <rPr>
            <b/>
            <sz val="8"/>
            <color indexed="81"/>
            <rFont val="Tahoma"/>
            <family val="2"/>
          </rPr>
          <t>enorero:</t>
        </r>
        <r>
          <rPr>
            <sz val="8"/>
            <color indexed="81"/>
            <rFont val="Tahoma"/>
            <family val="2"/>
          </rPr>
          <t xml:space="preserve">
resl. 1847 del 18-07-2014 se restan 15,035  tons</t>
        </r>
      </text>
    </comment>
    <comment ref="C174" authorId="0">
      <text>
        <r>
          <rPr>
            <b/>
            <sz val="16"/>
            <color indexed="81"/>
            <rFont val="Tahoma"/>
            <family val="2"/>
          </rPr>
          <t>elemus:
por resolucion 54 del 30 12 2014
reciben 4,6 ton; desde 23,718 a 28,318 2P; = 1P y  FA</t>
        </r>
        <r>
          <rPr>
            <sz val="16"/>
            <color indexed="81"/>
            <rFont val="Tahoma"/>
            <family val="2"/>
          </rPr>
          <t xml:space="preserve">
</t>
        </r>
      </text>
    </comment>
    <comment ref="C195" authorId="0">
      <text>
        <r>
          <rPr>
            <b/>
            <sz val="16"/>
            <color indexed="81"/>
            <rFont val="Tahoma"/>
            <family val="2"/>
          </rPr>
          <t xml:space="preserve">elemus:
Por resolucion 1171 del 30 04 2014 bonifacio cede 11,74 DE Anchoveta a ag Acerval 
Bonifacio DESDE 9,977 a 0; 1,174 a 0 y 0,589 a 0
AG ACERVAL desde 575,682 a 585,659;  67,711 a 68,885 y 33,996 a 34,585
</t>
        </r>
      </text>
    </comment>
    <comment ref="C198" authorId="0">
      <text>
        <r>
          <rPr>
            <b/>
            <sz val="16"/>
            <color indexed="81"/>
            <rFont val="Tahoma"/>
            <family val="2"/>
          </rPr>
          <t xml:space="preserve">elemus:
Por resolucion 1069 del 21 04 2014 ceden 42,3 ton DE ANCHOVETA Y 572,76 DE SARDINA a armador de la XIV Don Ulmes quedando Anch en 0
</t>
        </r>
      </text>
    </comment>
    <comment ref="C199" authorId="0">
      <text>
        <r>
          <rPr>
            <b/>
            <sz val="16"/>
            <color indexed="81"/>
            <rFont val="Tahoma"/>
            <family val="2"/>
          </rPr>
          <t>elemus:
Por resolucion 1226 del 08 05 2014 ceden 43,9t anch y 919 SC a Sipacerval</t>
        </r>
      </text>
    </comment>
    <comment ref="C200" authorId="0">
      <text>
        <r>
          <rPr>
            <b/>
            <sz val="16"/>
            <color indexed="81"/>
            <rFont val="Tahoma"/>
            <family val="2"/>
          </rPr>
          <t>elemus:
Por resolucion 1100 del 23 04 2014 ceden 25,64 ton DE ANCHOVETA Y 371,36 DE SARDINA a armador de la XIV Eben Ezer II quedando en
31,528; 6,724 y 3,376
Por resolucion 1101 del 23 04 2014 ceden 19,82 ton DE ANCHOVETA Y 268,08 DE SARDINA a armador de la XIV RIO VALDIVIA quedando en
11,608; 6,724 y 3,376
Por resolucion 1102 del 23 04 2014 ceden 19,92 ton DE ANCHOVETA Y 268,08 DE SARDINA a armador de la XIV NABOR I quedando en
0; 0 y 1,788</t>
        </r>
      </text>
    </comment>
    <comment ref="C201" authorId="0">
      <text>
        <r>
          <rPr>
            <b/>
            <sz val="16"/>
            <color indexed="81"/>
            <rFont val="Tahoma"/>
            <family val="2"/>
          </rPr>
          <t>elemus:
Por resolucion 1226 del 08 05 2014 ceden  5 t anch y 119 SC a Sipacerval</t>
        </r>
      </text>
    </comment>
    <comment ref="C202" authorId="0">
      <text>
        <r>
          <rPr>
            <b/>
            <sz val="16"/>
            <color indexed="81"/>
            <rFont val="Tahoma"/>
            <family val="2"/>
          </rPr>
          <t>elemus:
Por resolucion 1226 del 08 05 2014 reciben:
43,9t anch y 919 SC desde STI Mehuin
5 t anc y 119 de SC desde STI Travesia
9,597 Anch y 232,847 SC desde STI Corral
58,497 anc y 1270,847 Sc</t>
        </r>
      </text>
    </comment>
    <comment ref="C203" authorId="0">
      <text>
        <r>
          <rPr>
            <b/>
            <sz val="16"/>
            <color indexed="81"/>
            <rFont val="Tahoma"/>
            <family val="2"/>
          </rPr>
          <t xml:space="preserve">elemus:
Por resolucion 948 del 03 04 2014
ceden 35,22 DE ANCHOVETA Y 476,88 DE SARDINA a armador de la XIV eben ezer II
quedando todo en 0
</t>
        </r>
      </text>
    </comment>
    <comment ref="C204" authorId="0">
      <text>
        <r>
          <rPr>
            <b/>
            <sz val="16"/>
            <color indexed="81"/>
            <rFont val="Tahoma"/>
            <family val="2"/>
          </rPr>
          <t xml:space="preserve">elemus:
Por resolucion 1171 del 30 04 2014 bonifacio cede 11,74 DE Anchoveta a ag Acerval 
Bonifacio DESDE 9,977 a 0; 1,174 a 0 y 0,589 a 0
AG ACERVAL desde 575,682 a 585,659;  67,711 a 68,885 y 33,996 a 34,585
</t>
        </r>
      </text>
    </comment>
    <comment ref="C205" authorId="0">
      <text>
        <r>
          <rPr>
            <b/>
            <sz val="16"/>
            <color indexed="81"/>
            <rFont val="Tahoma"/>
            <family val="2"/>
          </rPr>
          <t>elemus:
Por resolucion 1226 del 08 05 2014 ceden  9,597 t anch y 232,847 SC a Sipacerval</t>
        </r>
      </text>
    </comment>
    <comment ref="C215" authorId="0">
      <text>
        <r>
          <rPr>
            <b/>
            <sz val="18"/>
            <color indexed="81"/>
            <rFont val="Tahoma"/>
            <family val="2"/>
          </rPr>
          <t>elemus:</t>
        </r>
        <r>
          <rPr>
            <sz val="18"/>
            <color indexed="81"/>
            <rFont val="Tahoma"/>
            <family val="2"/>
          </rPr>
          <t xml:space="preserve">
por resolucion 1698 del 02 07 2014
reciben 26 tons desde 68,885 a 94,885 (2P); =1P y 2P 
</t>
        </r>
      </text>
    </comment>
    <comment ref="C216" authorId="0">
      <text>
        <r>
          <rPr>
            <b/>
            <sz val="18"/>
            <color indexed="81"/>
            <rFont val="Tahoma"/>
            <family val="2"/>
          </rPr>
          <t>elemus:</t>
        </r>
        <r>
          <rPr>
            <sz val="18"/>
            <color indexed="81"/>
            <rFont val="Tahoma"/>
            <family val="2"/>
          </rPr>
          <t xml:space="preserve">
por resolucion 2224 del 25 08 2014
se reciben 100 tons de anchoveta 
desde 25,968 a 125,968 (2P);  = 1 y 3 p</t>
        </r>
      </text>
    </comment>
    <comment ref="C240" authorId="0">
      <text>
        <r>
          <rPr>
            <b/>
            <sz val="18"/>
            <color indexed="81"/>
            <rFont val="Tahoma"/>
            <family val="2"/>
          </rPr>
          <t>elemus:</t>
        </r>
        <r>
          <rPr>
            <sz val="18"/>
            <color indexed="81"/>
            <rFont val="Tahoma"/>
            <family val="2"/>
          </rPr>
          <t xml:space="preserve">
por resolucion 2823 del 23 10 2014
ceden 1,788 tons de anchoveta 
desde 1,788 a 0,00 (3P);  = 1 y 2 p</t>
        </r>
      </text>
    </comment>
    <comment ref="C256" authorId="0">
      <text>
        <r>
          <rPr>
            <b/>
            <sz val="18"/>
            <color indexed="81"/>
            <rFont val="Tahoma"/>
            <family val="2"/>
          </rPr>
          <t>elemus:</t>
        </r>
        <r>
          <rPr>
            <sz val="18"/>
            <color indexed="81"/>
            <rFont val="Tahoma"/>
            <family val="2"/>
          </rPr>
          <t xml:space="preserve">
por resolucion 2245 del 26 08 2014
se ceden 30 tons de anchoveta 
desde 116,373 (1P) a 86,373;  = 2p</t>
        </r>
      </text>
    </comment>
    <comment ref="C258" authorId="0">
      <text>
        <r>
          <rPr>
            <b/>
            <sz val="18"/>
            <color indexed="81"/>
            <rFont val="Tahoma"/>
            <family val="2"/>
          </rPr>
          <t>elemus:</t>
        </r>
        <r>
          <rPr>
            <sz val="18"/>
            <color indexed="81"/>
            <rFont val="Tahoma"/>
            <family val="2"/>
          </rPr>
          <t xml:space="preserve">
por resolucion 2224 del 25 08 2014
se ceden 100 tons de anchoveta 
desde 226,446 a 126,446 (1P);  = 2p</t>
        </r>
      </text>
    </comment>
    <comment ref="C259" authorId="0">
      <text>
        <r>
          <rPr>
            <b/>
            <sz val="18"/>
            <color indexed="81"/>
            <rFont val="Tahoma"/>
            <family val="2"/>
          </rPr>
          <t>elemus:</t>
        </r>
        <r>
          <rPr>
            <sz val="18"/>
            <color indexed="81"/>
            <rFont val="Tahoma"/>
            <family val="2"/>
          </rPr>
          <t xml:space="preserve">
por resolucion 953 del 03 04 2014
se ceden 300 tons de anchoveta desde 404,382 a 104,382 (1P);  y se ceden 5000 ton de sardina comuquedando en 19,89 y 239,114  (por resol 973 del 07 04 2014 se aumenta cuota a todo el RAE SC X)</t>
        </r>
      </text>
    </comment>
    <comment ref="C267" authorId="0">
      <text>
        <r>
          <rPr>
            <b/>
            <sz val="18"/>
            <color indexed="81"/>
            <rFont val="Tahoma"/>
            <family val="2"/>
          </rPr>
          <t>elemus:</t>
        </r>
        <r>
          <rPr>
            <sz val="18"/>
            <color indexed="81"/>
            <rFont val="Tahoma"/>
            <family val="2"/>
          </rPr>
          <t xml:space="preserve">
por resolucion 1698 del 02 07 2014
se ceden 26 tons desde 216,789 a 190,789 (1P); =2P  
por resolucion 1966 del 29 07 2014
se ceden 50 tons desde 190,789 a 140,789 (1P); =2P
</t>
        </r>
      </text>
    </comment>
    <comment ref="C280" authorId="0">
      <text>
        <r>
          <rPr>
            <b/>
            <sz val="18"/>
            <color indexed="81"/>
            <rFont val="Tahoma"/>
            <family val="2"/>
          </rPr>
          <t>elemus:</t>
        </r>
        <r>
          <rPr>
            <sz val="18"/>
            <color indexed="81"/>
            <rFont val="Tahoma"/>
            <family val="2"/>
          </rPr>
          <t xml:space="preserve">
por resolucion 2652 del 09 10 2014
se ceden 4 tons desde 10,856 (2P) a 6,856;  = 1p
por resolucion 2653 del 09 10 2014
se ceden 50 tons desde 43,422 A 0 1P Y 6,856 a 0,278 2p</t>
        </r>
      </text>
    </comment>
  </commentList>
</comments>
</file>

<file path=xl/comments4.xml><?xml version="1.0" encoding="utf-8"?>
<comments xmlns="http://schemas.openxmlformats.org/spreadsheetml/2006/main">
  <authors>
    <author>ACHAMORRO</author>
    <author>FBARRA</author>
    <author>enorero</author>
    <author>falbornoz</author>
  </authors>
  <commentList>
    <comment ref="N60" authorId="0">
      <text>
        <r>
          <rPr>
            <b/>
            <sz val="8"/>
            <color indexed="81"/>
            <rFont val="Tahoma"/>
            <family val="2"/>
          </rPr>
          <t>ACHAMORRO:</t>
        </r>
        <r>
          <rPr>
            <sz val="8"/>
            <color indexed="81"/>
            <rFont val="Tahoma"/>
            <family val="2"/>
          </rPr>
          <t xml:space="preserve">
</t>
        </r>
        <r>
          <rPr>
            <sz val="10"/>
            <color indexed="81"/>
            <rFont val="Tahoma"/>
            <family val="2"/>
          </rPr>
          <t>ARIES I  15.271</t>
        </r>
      </text>
    </comment>
    <comment ref="O60" authorId="0">
      <text>
        <r>
          <rPr>
            <b/>
            <sz val="8"/>
            <color indexed="81"/>
            <rFont val="Tahoma"/>
            <family val="2"/>
          </rPr>
          <t>ACHAMORRO:</t>
        </r>
        <r>
          <rPr>
            <sz val="8"/>
            <color indexed="81"/>
            <rFont val="Tahoma"/>
            <family val="2"/>
          </rPr>
          <t xml:space="preserve">
</t>
        </r>
        <r>
          <rPr>
            <sz val="11"/>
            <color indexed="81"/>
            <rFont val="Tahoma"/>
            <family val="2"/>
          </rPr>
          <t>OYSTER III 4.199
OYSTER III 0.718
ARIES I 0.69</t>
        </r>
      </text>
    </comment>
    <comment ref="Q60" authorId="0">
      <text>
        <r>
          <rPr>
            <b/>
            <sz val="8"/>
            <color indexed="81"/>
            <rFont val="Tahoma"/>
            <family val="2"/>
          </rPr>
          <t>ACHAMORRO:</t>
        </r>
        <r>
          <rPr>
            <sz val="8"/>
            <color indexed="81"/>
            <rFont val="Tahoma"/>
            <family val="2"/>
          </rPr>
          <t xml:space="preserve">
</t>
        </r>
        <r>
          <rPr>
            <sz val="10"/>
            <color indexed="81"/>
            <rFont val="Tahoma"/>
            <family val="2"/>
          </rPr>
          <t>yahve 7.462
jordan 4.291
oyster 6.327</t>
        </r>
      </text>
    </comment>
    <comment ref="R60" authorId="0">
      <text>
        <r>
          <rPr>
            <b/>
            <sz val="8"/>
            <color indexed="81"/>
            <rFont val="Tahoma"/>
            <family val="2"/>
          </rPr>
          <t>ACHAMORRO:</t>
        </r>
        <r>
          <rPr>
            <sz val="8"/>
            <color indexed="81"/>
            <rFont val="Tahoma"/>
            <family val="2"/>
          </rPr>
          <t xml:space="preserve">
</t>
        </r>
        <r>
          <rPr>
            <sz val="10"/>
            <color indexed="81"/>
            <rFont val="Tahoma"/>
            <family val="2"/>
          </rPr>
          <t xml:space="preserve">nortwestern 4.191
don hernan 2.456
</t>
        </r>
      </text>
    </comment>
    <comment ref="T60" authorId="0">
      <text>
        <r>
          <rPr>
            <b/>
            <sz val="8"/>
            <color indexed="81"/>
            <rFont val="Tahoma"/>
            <family val="2"/>
          </rPr>
          <t>ACHAMORRO:</t>
        </r>
        <r>
          <rPr>
            <sz val="8"/>
            <color indexed="81"/>
            <rFont val="Tahoma"/>
            <family val="2"/>
          </rPr>
          <t xml:space="preserve">
</t>
        </r>
        <r>
          <rPr>
            <sz val="10"/>
            <color indexed="81"/>
            <rFont val="Tahoma"/>
            <family val="2"/>
          </rPr>
          <t>BORRACHA 13.883
el chile 53.329
jordan 11.128
yahve de israel 7.729
NORTHWESTERN 70.22
OYSTER 23.756
DON RAFAEL 2.324
GOLFO 31.525</t>
        </r>
      </text>
    </comment>
    <comment ref="U60" authorId="0">
      <text>
        <r>
          <rPr>
            <b/>
            <sz val="8"/>
            <color indexed="81"/>
            <rFont val="Tahoma"/>
            <family val="2"/>
          </rPr>
          <t>ACHAMORRO:</t>
        </r>
        <r>
          <rPr>
            <sz val="8"/>
            <color indexed="81"/>
            <rFont val="Tahoma"/>
            <family val="2"/>
          </rPr>
          <t xml:space="preserve">
</t>
        </r>
        <r>
          <rPr>
            <sz val="12"/>
            <color indexed="81"/>
            <rFont val="Tahoma"/>
            <family val="2"/>
          </rPr>
          <t>MAR ESTRELLA IV 9.29</t>
        </r>
        <r>
          <rPr>
            <sz val="10"/>
            <color indexed="81"/>
            <rFont val="Tahoma"/>
            <family val="2"/>
          </rPr>
          <t xml:space="preserve">
BORRACHA 41.652
EL CHILE 2.219
golfo 29.267
don rafael 24.729
oyster iii 13.939
don hernan 3.898
MAR ESTRELLA IV 3.869
NORTWESTERN 10.875
</t>
        </r>
      </text>
    </comment>
    <comment ref="V60" authorId="0">
      <text>
        <r>
          <rPr>
            <b/>
            <sz val="8"/>
            <color indexed="81"/>
            <rFont val="Tahoma"/>
            <family val="2"/>
          </rPr>
          <t>ACHAMORRO:</t>
        </r>
        <r>
          <rPr>
            <sz val="8"/>
            <color indexed="81"/>
            <rFont val="Tahoma"/>
            <family val="2"/>
          </rPr>
          <t xml:space="preserve">
</t>
        </r>
        <r>
          <rPr>
            <sz val="10"/>
            <color indexed="81"/>
            <rFont val="Tahoma"/>
            <family val="2"/>
          </rPr>
          <t>JORDAN 10.717
YAHVE 14.481
OYETER III 38.907
BORRACHA II 4.048
jordan 10.433
yhave 18.471
ARIES I 50.216
aries 4.999</t>
        </r>
      </text>
    </comment>
    <comment ref="W60" authorId="0">
      <text>
        <r>
          <rPr>
            <b/>
            <sz val="8"/>
            <color indexed="81"/>
            <rFont val="Tahoma"/>
            <family val="2"/>
          </rPr>
          <t>ACHAMORRO:</t>
        </r>
        <r>
          <rPr>
            <sz val="8"/>
            <color indexed="81"/>
            <rFont val="Tahoma"/>
            <family val="2"/>
          </rPr>
          <t xml:space="preserve">
</t>
        </r>
        <r>
          <rPr>
            <sz val="10"/>
            <color indexed="81"/>
            <rFont val="Tahoma"/>
            <family val="2"/>
          </rPr>
          <t xml:space="preserve">DON RAFEL 34.935
el chile 14.127
NORTWESTERN 12.579
GOLFO 14.984
MAR ESTRELLA IV 2.595
DON HERNAN 9.79
</t>
        </r>
      </text>
    </comment>
    <comment ref="C61" authorId="0">
      <text>
        <r>
          <rPr>
            <b/>
            <sz val="8"/>
            <color indexed="81"/>
            <rFont val="Tahoma"/>
            <family val="2"/>
          </rPr>
          <t>ACHAMORRO:</t>
        </r>
        <r>
          <rPr>
            <sz val="8"/>
            <color indexed="81"/>
            <rFont val="Tahoma"/>
            <family val="2"/>
          </rPr>
          <t xml:space="preserve">
</t>
        </r>
        <r>
          <rPr>
            <sz val="10"/>
            <color indexed="81"/>
            <rFont val="Tahoma"/>
            <family val="2"/>
          </rPr>
          <t xml:space="preserve">ARIES 44.801
</t>
        </r>
      </text>
    </comment>
    <comment ref="E61" authorId="0">
      <text>
        <r>
          <rPr>
            <b/>
            <sz val="8"/>
            <color indexed="81"/>
            <rFont val="Tahoma"/>
            <family val="2"/>
          </rPr>
          <t>ACHAMORRO:</t>
        </r>
        <r>
          <rPr>
            <sz val="8"/>
            <color indexed="81"/>
            <rFont val="Tahoma"/>
            <family val="2"/>
          </rPr>
          <t xml:space="preserve">
</t>
        </r>
        <r>
          <rPr>
            <sz val="10"/>
            <color indexed="81"/>
            <rFont val="Tahoma"/>
            <family val="2"/>
          </rPr>
          <t>jordan 5.605</t>
        </r>
      </text>
    </comment>
    <comment ref="F61" authorId="0">
      <text>
        <r>
          <rPr>
            <b/>
            <sz val="8"/>
            <color indexed="81"/>
            <rFont val="Tahoma"/>
            <family val="2"/>
          </rPr>
          <t>ACHAMORRO:</t>
        </r>
        <r>
          <rPr>
            <sz val="8"/>
            <color indexed="81"/>
            <rFont val="Tahoma"/>
            <family val="2"/>
          </rPr>
          <t xml:space="preserve">
</t>
        </r>
        <r>
          <rPr>
            <sz val="10"/>
            <color indexed="81"/>
            <rFont val="Tahoma"/>
            <family val="2"/>
          </rPr>
          <t>DON HERNAN 9.324
JORDAN 4.833
EL CHILE 51.955
yhave 29.18
don rafael 45.243
nortwestern 14.17
golfo 42.817
aries i 33.6</t>
        </r>
      </text>
    </comment>
    <comment ref="G61" authorId="0">
      <text>
        <r>
          <rPr>
            <b/>
            <sz val="8"/>
            <color indexed="81"/>
            <rFont val="Tahoma"/>
            <family val="2"/>
          </rPr>
          <t>ACHAMORRO:</t>
        </r>
        <r>
          <rPr>
            <sz val="8"/>
            <color indexed="81"/>
            <rFont val="Tahoma"/>
            <family val="2"/>
          </rPr>
          <t xml:space="preserve">
</t>
        </r>
        <r>
          <rPr>
            <sz val="10"/>
            <color indexed="81"/>
            <rFont val="Tahoma"/>
            <family val="2"/>
          </rPr>
          <t>EL CHILE 11.231
YHAVE 5.826
borracha 16.065
borracha 44.037
oyster 53.464
golfo 37.419
mar estrella 12.036
aries 47.990</t>
        </r>
      </text>
    </comment>
    <comment ref="H61" authorId="0">
      <text>
        <r>
          <rPr>
            <b/>
            <sz val="8"/>
            <color indexed="81"/>
            <rFont val="Tahoma"/>
            <family val="2"/>
          </rPr>
          <t>ACHAMORRO:</t>
        </r>
        <r>
          <rPr>
            <sz val="8"/>
            <color indexed="81"/>
            <rFont val="Tahoma"/>
            <family val="2"/>
          </rPr>
          <t xml:space="preserve">
</t>
        </r>
        <r>
          <rPr>
            <sz val="10"/>
            <color indexed="81"/>
            <rFont val="Tahoma"/>
            <family val="2"/>
          </rPr>
          <t>EL CHILE 0.666
DON HERNAN 0.26
JORDAN 25.558
borracha 3.361
oyster 42.008
don rafael 10.064
nortwestern 67.775
aries 36.981
3.884 don rafael</t>
        </r>
      </text>
    </comment>
    <comment ref="I61" authorId="0">
      <text>
        <r>
          <rPr>
            <b/>
            <sz val="8"/>
            <color indexed="81"/>
            <rFont val="Tahoma"/>
            <family val="2"/>
          </rPr>
          <t>ACHAMORRO:</t>
        </r>
        <r>
          <rPr>
            <sz val="8"/>
            <color indexed="81"/>
            <rFont val="Tahoma"/>
            <family val="2"/>
          </rPr>
          <t xml:space="preserve">
</t>
        </r>
        <r>
          <rPr>
            <sz val="10"/>
            <color indexed="81"/>
            <rFont val="Tahoma"/>
            <family val="2"/>
          </rPr>
          <t xml:space="preserve">jordan 8.489
yhave 0.802
nortwestern 9.563
oyster 41.135
mar estrella iv 3.244
</t>
        </r>
      </text>
    </comment>
    <comment ref="AF61" authorId="1">
      <text>
        <r>
          <rPr>
            <b/>
            <sz val="12"/>
            <color indexed="81"/>
            <rFont val="Tahoma"/>
            <family val="2"/>
          </rPr>
          <t>FBARRA:</t>
        </r>
        <r>
          <rPr>
            <sz val="12"/>
            <color indexed="81"/>
            <rFont val="Tahoma"/>
            <family val="2"/>
          </rPr>
          <t xml:space="preserve">
726 DON HERNAN
dato eliminado por Control cuota V región.
22-05-2014</t>
        </r>
      </text>
    </comment>
    <comment ref="C62" authorId="1">
      <text>
        <r>
          <rPr>
            <b/>
            <sz val="22"/>
            <color indexed="81"/>
            <rFont val="Tahoma"/>
            <family val="2"/>
          </rPr>
          <t>ELEMUS
se quitan los datos regionalmente por tema descarte</t>
        </r>
        <r>
          <rPr>
            <b/>
            <sz val="8"/>
            <color indexed="81"/>
            <rFont val="Tahoma"/>
            <family val="2"/>
          </rPr>
          <t xml:space="preserve">
FBARRA:</t>
        </r>
        <r>
          <rPr>
            <b/>
            <sz val="11"/>
            <color indexed="81"/>
            <rFont val="Tahoma"/>
            <family val="2"/>
          </rPr>
          <t xml:space="preserve">
</t>
        </r>
        <r>
          <rPr>
            <sz val="11"/>
            <color indexed="81"/>
            <rFont val="Tahoma"/>
            <family val="2"/>
          </rPr>
          <t xml:space="preserve">63.669 YAHVE DE ISRAEL
38.148 EL CHILE
15.258 MARTINA IGNACIA
19.294 DON HERNAN
61.944 ARIES I
55.433 NORTHWESTERN
63.617 OYSTER III
11.328 MAR ESTRELLA IV
37.606 BORRACHA II
57.176 GOLFO
</t>
        </r>
      </text>
    </comment>
    <comment ref="D62" authorId="1">
      <text>
        <r>
          <rPr>
            <b/>
            <sz val="22"/>
            <color indexed="81"/>
            <rFont val="Tahoma"/>
            <family val="2"/>
          </rPr>
          <t>ELEMUS
se quitan los datos regionalmente por tema descarte</t>
        </r>
        <r>
          <rPr>
            <b/>
            <sz val="8"/>
            <color indexed="81"/>
            <rFont val="Tahoma"/>
            <family val="2"/>
          </rPr>
          <t xml:space="preserve">
FBARRA:</t>
        </r>
        <r>
          <rPr>
            <sz val="8"/>
            <color indexed="81"/>
            <rFont val="Tahoma"/>
            <family val="2"/>
          </rPr>
          <t xml:space="preserve">
</t>
        </r>
        <r>
          <rPr>
            <sz val="11"/>
            <color indexed="81"/>
            <rFont val="Tahoma"/>
            <family val="2"/>
          </rPr>
          <t xml:space="preserve">
40.838 JORDAN
63.466 DON RAFAEL</t>
        </r>
      </text>
    </comment>
    <comment ref="AO62" authorId="2">
      <text>
        <r>
          <rPr>
            <b/>
            <sz val="16"/>
            <color indexed="81"/>
            <rFont val="Tahoma"/>
            <family val="2"/>
          </rPr>
          <t>enorero:</t>
        </r>
        <r>
          <rPr>
            <sz val="16"/>
            <color indexed="81"/>
            <rFont val="Tahoma"/>
            <family val="2"/>
          </rPr>
          <t xml:space="preserve">
Cierre  de cuota de sardina comum
</t>
        </r>
      </text>
    </comment>
    <comment ref="AT72" authorId="2">
      <text>
        <r>
          <rPr>
            <b/>
            <sz val="14"/>
            <color indexed="81"/>
            <rFont val="Tahoma"/>
            <family val="2"/>
          </rPr>
          <t>enorero:</t>
        </r>
        <r>
          <rPr>
            <sz val="14"/>
            <color indexed="81"/>
            <rFont val="Tahoma"/>
            <family val="2"/>
          </rPr>
          <t xml:space="preserve">
Solo descartes del Bolson hasta el día 20 , en que se cerró la cuota</t>
        </r>
        <r>
          <rPr>
            <sz val="8"/>
            <color indexed="81"/>
            <rFont val="Tahoma"/>
            <family val="2"/>
          </rPr>
          <t xml:space="preserve">
</t>
        </r>
      </text>
    </comment>
    <comment ref="R76" authorId="0">
      <text>
        <r>
          <rPr>
            <b/>
            <sz val="8"/>
            <color indexed="81"/>
            <rFont val="Tahoma"/>
            <family val="2"/>
          </rPr>
          <t>ACHAMORRO:</t>
        </r>
        <r>
          <rPr>
            <sz val="8"/>
            <color indexed="81"/>
            <rFont val="Tahoma"/>
            <family val="2"/>
          </rPr>
          <t xml:space="preserve">
</t>
        </r>
        <r>
          <rPr>
            <sz val="10"/>
            <color indexed="81"/>
            <rFont val="Tahoma"/>
            <family val="2"/>
          </rPr>
          <t>MARTINA IGNACIA 0.197
DON ENZO 2.83</t>
        </r>
      </text>
    </comment>
    <comment ref="T76" authorId="0">
      <text>
        <r>
          <rPr>
            <b/>
            <sz val="8"/>
            <color indexed="81"/>
            <rFont val="Tahoma"/>
            <family val="2"/>
          </rPr>
          <t>ACHAMORRO:</t>
        </r>
        <r>
          <rPr>
            <sz val="8"/>
            <color indexed="81"/>
            <rFont val="Tahoma"/>
            <family val="2"/>
          </rPr>
          <t xml:space="preserve">
</t>
        </r>
        <r>
          <rPr>
            <sz val="9"/>
            <color indexed="81"/>
            <rFont val="Tahoma"/>
            <family val="2"/>
          </rPr>
          <t>MARTINA IGNACIA 2.151
MARINA II 7.774+ 0.662</t>
        </r>
      </text>
    </comment>
    <comment ref="U76" authorId="0">
      <text>
        <r>
          <rPr>
            <b/>
            <sz val="8"/>
            <color indexed="81"/>
            <rFont val="Tahoma"/>
            <family val="2"/>
          </rPr>
          <t>ACHAMORRO:</t>
        </r>
        <r>
          <rPr>
            <sz val="8"/>
            <color indexed="81"/>
            <rFont val="Tahoma"/>
            <family val="2"/>
          </rPr>
          <t xml:space="preserve">
</t>
        </r>
        <r>
          <rPr>
            <sz val="10"/>
            <color indexed="81"/>
            <rFont val="Tahoma"/>
            <family val="2"/>
          </rPr>
          <t>MARINA II 4.58
MARTINA IGNACIA 3.249
don enzo 1.293</t>
        </r>
      </text>
    </comment>
    <comment ref="V76" authorId="0">
      <text>
        <r>
          <rPr>
            <b/>
            <sz val="8"/>
            <color indexed="81"/>
            <rFont val="Tahoma"/>
            <family val="2"/>
          </rPr>
          <t>ACHAMORRO:</t>
        </r>
        <r>
          <rPr>
            <sz val="8"/>
            <color indexed="81"/>
            <rFont val="Tahoma"/>
            <family val="2"/>
          </rPr>
          <t xml:space="preserve">
</t>
        </r>
        <r>
          <rPr>
            <sz val="11"/>
            <color indexed="81"/>
            <rFont val="Tahoma"/>
            <family val="2"/>
          </rPr>
          <t>MARINA II 1.426
MARTINA 3.583
DON ENZO 11.375</t>
        </r>
      </text>
    </comment>
    <comment ref="F126" authorId="3">
      <text>
        <r>
          <rPr>
            <b/>
            <sz val="14"/>
            <color indexed="81"/>
            <rFont val="Tahoma"/>
            <family val="2"/>
          </rPr>
          <t>falbornoz:</t>
        </r>
        <r>
          <rPr>
            <sz val="14"/>
            <color indexed="81"/>
            <rFont val="Tahoma"/>
            <family val="2"/>
          </rPr>
          <t xml:space="preserve">
informacion que esta siendo validada con la VIII ya que puede haber un error en la digitación</t>
        </r>
      </text>
    </comment>
    <comment ref="V275" authorId="2">
      <text>
        <r>
          <rPr>
            <b/>
            <sz val="8"/>
            <color indexed="81"/>
            <rFont val="Tahoma"/>
            <family val="2"/>
          </rPr>
          <t>enorero:</t>
        </r>
        <r>
          <rPr>
            <sz val="8"/>
            <color indexed="81"/>
            <rFont val="Tahoma"/>
            <family val="2"/>
          </rPr>
          <t xml:space="preserve">
anotado, 24-10-2014
</t>
        </r>
      </text>
    </comment>
    <comment ref="W558" authorId="2">
      <text>
        <r>
          <rPr>
            <b/>
            <sz val="8"/>
            <color indexed="81"/>
            <rFont val="Tahoma"/>
            <family val="2"/>
          </rPr>
          <t>enorero:</t>
        </r>
        <r>
          <rPr>
            <sz val="8"/>
            <color indexed="81"/>
            <rFont val="Tahoma"/>
            <family val="2"/>
          </rPr>
          <t xml:space="preserve">
</t>
        </r>
        <r>
          <rPr>
            <sz val="14"/>
            <color indexed="81"/>
            <rFont val="Tahoma"/>
            <family val="2"/>
          </rPr>
          <t>Consultar a Anita</t>
        </r>
        <r>
          <rPr>
            <sz val="8"/>
            <color indexed="81"/>
            <rFont val="Tahoma"/>
            <family val="2"/>
          </rPr>
          <t xml:space="preserve">
</t>
        </r>
      </text>
    </comment>
    <comment ref="AD606" authorId="2">
      <text>
        <r>
          <rPr>
            <b/>
            <sz val="8"/>
            <color indexed="81"/>
            <rFont val="Tahoma"/>
            <family val="2"/>
          </rPr>
          <t>enorero:</t>
        </r>
        <r>
          <rPr>
            <sz val="8"/>
            <color indexed="81"/>
            <rFont val="Tahoma"/>
            <family val="2"/>
          </rPr>
          <t xml:space="preserve">
</t>
        </r>
        <r>
          <rPr>
            <sz val="12"/>
            <color indexed="81"/>
            <rFont val="Tahoma"/>
            <family val="2"/>
          </rPr>
          <t>Como Fauna acompañante</t>
        </r>
      </text>
    </comment>
  </commentList>
</comments>
</file>

<file path=xl/comments5.xml><?xml version="1.0" encoding="utf-8"?>
<comments xmlns="http://schemas.openxmlformats.org/spreadsheetml/2006/main">
  <authors>
    <author>ginostroza</author>
    <author>elemus</author>
  </authors>
  <commentList>
    <comment ref="AX16" authorId="0">
      <text>
        <r>
          <rPr>
            <b/>
            <sz val="14"/>
            <color indexed="81"/>
            <rFont val="Tahoma"/>
            <family val="2"/>
          </rPr>
          <t>ginostroza:</t>
        </r>
        <r>
          <rPr>
            <sz val="14"/>
            <color indexed="81"/>
            <rFont val="Tahoma"/>
            <family val="2"/>
          </rPr>
          <t xml:space="preserve">
Incluye 57.44 Corsario+ Bucanero.</t>
        </r>
      </text>
    </comment>
    <comment ref="AZ16" authorId="0">
      <text>
        <r>
          <rPr>
            <b/>
            <sz val="14"/>
            <color indexed="81"/>
            <rFont val="Tahoma"/>
            <family val="2"/>
          </rPr>
          <t>ginostroza:</t>
        </r>
        <r>
          <rPr>
            <sz val="14"/>
            <color indexed="81"/>
            <rFont val="Tahoma"/>
            <family val="2"/>
          </rPr>
          <t xml:space="preserve">
corresponden a Corsario + Bucanero.</t>
        </r>
      </text>
    </comment>
    <comment ref="O142" authorId="1">
      <text>
        <r>
          <rPr>
            <b/>
            <sz val="16"/>
            <color indexed="81"/>
            <rFont val="Tahoma"/>
            <family val="2"/>
          </rPr>
          <t>elemus:</t>
        </r>
        <r>
          <rPr>
            <sz val="16"/>
            <color indexed="81"/>
            <rFont val="Tahoma"/>
            <family val="2"/>
          </rPr>
          <t xml:space="preserve">
por informacion de la XIV</t>
        </r>
      </text>
    </comment>
  </commentList>
</comments>
</file>

<file path=xl/comments6.xml><?xml version="1.0" encoding="utf-8"?>
<comments xmlns="http://schemas.openxmlformats.org/spreadsheetml/2006/main">
  <authors>
    <author>elemus</author>
    <author>enorero</author>
  </authors>
  <commentList>
    <comment ref="C8" authorId="0">
      <text>
        <r>
          <rPr>
            <b/>
            <sz val="16"/>
            <color indexed="81"/>
            <rFont val="Tahoma"/>
            <family val="2"/>
          </rPr>
          <t xml:space="preserve">elemus:
Por resolucion 888 del 27 03 2014 se modifica  AG San antonio
primer periodo desde 2601 a 3058
segundo periodo desde 306 a 1
tercer periodo desde 153 a 1
por resol 947 03 04 2014 se modifica eestructura de los periodos
ag Sn Antonio 4445, 165 y 83
residual 1278, 150 y75
por RES 1139 del 25 04 2014 se modifica la estructura de cuotas de la SC de la VR, aumentando en 1540 tons para la AG puerto San Antonio
</t>
        </r>
      </text>
    </comment>
    <comment ref="C13" authorId="1">
      <text>
        <r>
          <rPr>
            <b/>
            <sz val="20"/>
            <color indexed="81"/>
            <rFont val="Tahoma"/>
            <family val="2"/>
          </rPr>
          <t>enorero:</t>
        </r>
        <r>
          <rPr>
            <sz val="20"/>
            <color indexed="81"/>
            <rFont val="Tahoma"/>
            <family val="2"/>
          </rPr>
          <t xml:space="preserve">
Resolución N° 1368 de fecha 20-05-2014, aumenta en 821 tons. provenientes de la cuota imprevisto.
Mas rel. NO: </t>
        </r>
        <r>
          <rPr>
            <b/>
            <sz val="20"/>
            <color indexed="81"/>
            <rFont val="Tahoma"/>
            <family val="2"/>
          </rPr>
          <t xml:space="preserve">1391 </t>
        </r>
        <r>
          <rPr>
            <sz val="20"/>
            <color indexed="81"/>
            <rFont val="Tahoma"/>
            <family val="2"/>
          </rPr>
          <t>del 22-05-2014, que mofica error de la 1368 del 22-05-2014</t>
        </r>
      </text>
    </comment>
    <comment ref="C14" authorId="0">
      <text>
        <r>
          <rPr>
            <b/>
            <sz val="16"/>
            <color indexed="81"/>
            <rFont val="Tahoma"/>
            <family val="2"/>
          </rPr>
          <t>elemus:
Por resolucion 1348 del 15 05 2014 se incrementa
el total de la cuota en757 ton
(dado que la resol es de mayo, se agrega a este periodo)</t>
        </r>
      </text>
    </comment>
    <comment ref="C24" authorId="0">
      <text>
        <r>
          <rPr>
            <b/>
            <sz val="22"/>
            <color indexed="81"/>
            <rFont val="Tahoma"/>
            <family val="2"/>
          </rPr>
          <t xml:space="preserve">elemus:
por resol 945, se modfica distribucion fraccion art sardina comun VII:
STI MAULE desde 1171,331; 137,693 y 68,846 a 1796,606; 211,254 y 105,627
agua limpia desde 11,177; 1,314 y 0,657 a 17,143; 2,016 y 1,008
residual desde 59,492; 6,993 y 3,497 a 91,251; 10,73 y 5,365
</t>
        </r>
        <r>
          <rPr>
            <sz val="22"/>
            <color indexed="81"/>
            <rFont val="Tahoma"/>
            <family val="2"/>
          </rPr>
          <t xml:space="preserve">
</t>
        </r>
      </text>
    </comment>
    <comment ref="C25" authorId="0">
      <text>
        <r>
          <rPr>
            <b/>
            <sz val="16"/>
            <color indexed="81"/>
            <rFont val="Tahoma"/>
            <family val="2"/>
          </rPr>
          <t>elemus:
Por resolucion 2255 del 28 08 2014
ceden 318 ton  a armador industrial quedando
primer periodo desde 1796,606 a 1478,606; 2 y 3 P =</t>
        </r>
      </text>
    </comment>
    <comment ref="C44" authorId="0">
      <text>
        <r>
          <rPr>
            <b/>
            <sz val="16"/>
            <color indexed="81"/>
            <rFont val="Tahoma"/>
            <family val="2"/>
          </rPr>
          <t xml:space="preserve">elemus:
por resolucion 48 del 17 12 2014
ceden 229 ton a armadores VIII
pasando desde 1022 a 793 primer periodo, quedando igual el segundo periodo
</t>
        </r>
      </text>
    </comment>
    <comment ref="C45" authorId="0">
      <text>
        <r>
          <rPr>
            <b/>
            <sz val="18"/>
            <color indexed="81"/>
            <rFont val="Tahoma"/>
            <family val="2"/>
          </rPr>
          <t>elemus:</t>
        </r>
        <r>
          <rPr>
            <sz val="18"/>
            <color indexed="81"/>
            <rFont val="Tahoma"/>
            <family val="2"/>
          </rPr>
          <t xml:space="preserve">
POR RESOL 2651 del 09 10 2014  QUE MODIFICA  RES 1657 DEL 25 06 2014
RECIBEN  200 TONS 
DESDE 3032 A 3232  1P; 2 P =
</t>
        </r>
      </text>
    </comment>
    <comment ref="C46" authorId="0">
      <text>
        <r>
          <rPr>
            <b/>
            <sz val="18"/>
            <color indexed="81"/>
            <rFont val="Tahoma"/>
            <family val="2"/>
          </rPr>
          <t>elemus:</t>
        </r>
        <r>
          <rPr>
            <sz val="18"/>
            <color indexed="81"/>
            <rFont val="Tahoma"/>
            <family val="2"/>
          </rPr>
          <t xml:space="preserve">
POR RESOL 710 DE 27 02 2014 NUMERAL 8
SE DESCUENTA POR MDIDA PRECAUTORIA SOBRE CELENIA I
(78,899 TONELADAS) QUEDANDO EN 2283,
120 PRIMER Y SEGUNDO RESPEC. DESDE 5153 a 3501
POR RESOL 3524 DE 24 12 2014 CEDEN 290 T A ARMADORES XIV
DESDE 3501 A 3211 1P, SEGUNDO =
</t>
        </r>
      </text>
    </comment>
    <comment ref="C47" authorId="0">
      <text>
        <r>
          <rPr>
            <b/>
            <sz val="22"/>
            <color indexed="81"/>
            <rFont val="Tahoma"/>
            <family val="2"/>
          </rPr>
          <t>elemus:</t>
        </r>
        <r>
          <rPr>
            <sz val="22"/>
            <color indexed="81"/>
            <rFont val="Tahoma"/>
            <family val="2"/>
          </rPr>
          <t xml:space="preserve">
por resol 44 de 18 11 2014 reciben 87 t desde 12651 a 12738 1P, 2P =
por resol 64 de 30 12 2014 reciben 50 t desde 12738 a 12788, 2P =</t>
        </r>
      </text>
    </comment>
    <comment ref="C50" authorId="0">
      <text>
        <r>
          <rPr>
            <b/>
            <sz val="16"/>
            <color indexed="81"/>
            <rFont val="Tahoma"/>
            <family val="2"/>
          </rPr>
          <t xml:space="preserve">elemus:
por resolucion 17 del 24 06 2014
ceden 1000 ton a armadores VIII
pasando desde 9995 a 8995 primer periodo, quedando igual el segundo periodo
</t>
        </r>
      </text>
    </comment>
    <comment ref="C52" authorId="0">
      <text>
        <r>
          <rPr>
            <b/>
            <sz val="16"/>
            <color indexed="81"/>
            <rFont val="Tahoma"/>
            <family val="2"/>
          </rPr>
          <t>elemus:
por resolucion 1779 del 09 07 2014
ceden 1424,29 ton a armador IND
pasando desde 3772 a 2503,83 y desde 199 a 42,88</t>
        </r>
      </text>
    </comment>
    <comment ref="C54" authorId="0">
      <text>
        <r>
          <rPr>
            <b/>
            <sz val="16"/>
            <color indexed="81"/>
            <rFont val="Tahoma"/>
            <family val="2"/>
          </rPr>
          <t xml:space="preserve">elemus:
por resolucion 08 del 21 04 2014
ceden 74 ton a armador
pasando desde 27411 a 27337 primer periodo, quedando igual el segundo periodo
</t>
        </r>
      </text>
    </comment>
    <comment ref="C55" authorId="0">
      <text>
        <r>
          <rPr>
            <b/>
            <sz val="16"/>
            <color indexed="81"/>
            <rFont val="Tahoma"/>
            <family val="2"/>
          </rPr>
          <t>elemus:
Por resolucion 27 del 04 08 2014
ceden 190 desde  1710 a 1520; 2P =
Por resolucion 34 del 25 09 2014
ceden 55 desde 1520 a 1465; 2P =</t>
        </r>
      </text>
    </comment>
    <comment ref="C56" authorId="0">
      <text>
        <r>
          <rPr>
            <b/>
            <sz val="16"/>
            <color indexed="81"/>
            <rFont val="Tahoma"/>
            <family val="2"/>
          </rPr>
          <t>elemus:
por resolucion 20 del 09 07 2014 ceden 700 ton desde pasando desde 5164 a 4464 primer periodo, quedando igual el segundo periodo
por resolucion 21 del 15 07 2014
ceden 300 ton
pasando desde 4464 a 4164 primer periodo, quedando igual el segundo periodo
por resolucion 1969 del 29 07 2014
ceden 160 ton
pasando desde 4164 a 4004 primer periodo, quedando igual el segundo periodo
Por resolucion 55 del 30 12 2014
reciben 6 desde  4004 a 4010; 2P =</t>
        </r>
      </text>
    </comment>
    <comment ref="C57" authorId="0">
      <text>
        <r>
          <rPr>
            <b/>
            <sz val="16"/>
            <color indexed="81"/>
            <rFont val="Tahoma"/>
            <family val="2"/>
          </rPr>
          <t>elemus:
Por resolucion 16 del 24 06 2014
ceden 155 ton  a armador artesanal quedando
primer periodo desde 154 a 0; segundo periodo desde 8 a 7</t>
        </r>
      </text>
    </comment>
    <comment ref="C58" authorId="0">
      <text>
        <r>
          <rPr>
            <b/>
            <sz val="16"/>
            <color indexed="81"/>
            <rFont val="Tahoma"/>
            <family val="2"/>
          </rPr>
          <t>elemus:
Por resolucion 1546 del 13 06 2014
se modifica  primer periodo desde 8958 a 9428; y segundo periodo desde 471 a 1 
Por resolucion 1771 del 09 07 2014
reciben 800 t desde 9428 a 10228 1P; 2P queda en 1 
Por resolucion 1968 del 29 07 2014
ceden 800 t desde 10228 a 9428 1P; =2P</t>
        </r>
      </text>
    </comment>
    <comment ref="C59" authorId="0">
      <text>
        <r>
          <rPr>
            <b/>
            <sz val="16"/>
            <color indexed="81"/>
            <rFont val="Tahoma"/>
            <family val="2"/>
          </rPr>
          <t>elemus:
por resolucion 1070 del 21 04 2014
reciben en cesion 1130 ton desde armar ag pasando desde 5715 a 6845 primer periodo, quedando igual el segundo periodo
por resolucion 09 del 06 05 2014
reciben en cesion 300 ton desde SIPESMAFESA pasando desde 6845 a 7145 primer periodo, quedando igual el segundo periodo
por resolucion 1794 del 10 07 2014
reciben 1100 ton desde SIPESMAFESA pasando desde 7145 a 8245 primer periodo, quedando igual el segundo periodo
Resl. N° 1847 del 18 07 2014 aumenta cuota en 1700 tons. quedando en 8545 y 1
Por resolucion 27 del 04 08 2014
reciben 190 desde  8545 a 8735; 2P =
Por resolucion 55 del 30 12 2014
ceden 6 desde  8735 a 8729; 2P =</t>
        </r>
      </text>
    </comment>
    <comment ref="C60" authorId="0">
      <text>
        <r>
          <rPr>
            <b/>
            <sz val="22"/>
            <color indexed="81"/>
            <rFont val="Tahoma"/>
            <family val="2"/>
          </rPr>
          <t>elemus:</t>
        </r>
        <r>
          <rPr>
            <sz val="22"/>
            <color indexed="81"/>
            <rFont val="Tahoma"/>
            <family val="2"/>
          </rPr>
          <t xml:space="preserve">
por resol 1587 de 16 06 2014 
ceden 5000 t a armador industrial
pasando desde 18615 a 13615
 </t>
        </r>
      </text>
    </comment>
    <comment ref="C61" authorId="0">
      <text>
        <r>
          <rPr>
            <b/>
            <sz val="16"/>
            <color indexed="81"/>
            <rFont val="Tahoma"/>
            <family val="2"/>
          </rPr>
          <t xml:space="preserve">elemus:
Por resolucion 25 del 31 07 2014
ceden 92 desde  320 a 228; 2P =
</t>
        </r>
      </text>
    </comment>
    <comment ref="C62" authorId="0">
      <text>
        <r>
          <rPr>
            <b/>
            <sz val="16"/>
            <color indexed="81"/>
            <rFont val="Tahoma"/>
            <family val="2"/>
          </rPr>
          <t>elemus:
Por resolucion 34 del 25 09 2014
reciben 55 desde 5067 a 5122; 2P =</t>
        </r>
      </text>
    </comment>
    <comment ref="C63" authorId="0">
      <text>
        <r>
          <rPr>
            <b/>
            <sz val="16"/>
            <color indexed="81"/>
            <rFont val="Tahoma"/>
            <family val="2"/>
          </rPr>
          <t>elemus:
Por resolucion 901 del 31 03 2014
se modifica  STI Lo rojas y la cuota residual
Lo rojas 
primer periodo desde 5279 a 5679
segundo periodo desde 278 a 299
por resolución 23 del 21 07 2014
ceden 1178,2 pasando desde 8710 a 7532 1P, =2P
por resolución 2273 del 28 08 2014
ceden 1000 pasando desde 7532 a 6532 1P, =2P</t>
        </r>
      </text>
    </comment>
    <comment ref="C64" authorId="0">
      <text>
        <r>
          <rPr>
            <b/>
            <sz val="16"/>
            <color indexed="81"/>
            <rFont val="Tahoma"/>
            <family val="2"/>
          </rPr>
          <t>elemus:
por resolucion 01 del 10 03 2014
reciben en cesion 900 ton desde sti tumbes
pasando desde 7212 a 8112 primer periodo, quedando igual el segundo periodo
por resolucion 1718 del 02 07 2014
CEDEN 1 ton pasando desde 11961 a 11960 primer periodo
por resolucion 21 del 15 07 2014
reciben en cesion 300 ton 
pasando desde 11960 a 12260 primer periodo, quedando igual el segundo periodo</t>
        </r>
      </text>
    </comment>
    <comment ref="D64" authorId="0">
      <text>
        <r>
          <rPr>
            <b/>
            <sz val="22"/>
            <color indexed="81"/>
            <rFont val="Tahoma"/>
            <family val="2"/>
          </rPr>
          <t>elemus:</t>
        </r>
        <r>
          <rPr>
            <sz val="22"/>
            <color indexed="81"/>
            <rFont val="Tahoma"/>
            <family val="2"/>
          </rPr>
          <t xml:space="preserve">
RECIBEN  por eso el signo negativo</t>
        </r>
        <r>
          <rPr>
            <sz val="8"/>
            <color indexed="81"/>
            <rFont val="Tahoma"/>
            <family val="2"/>
          </rPr>
          <t xml:space="preserve">
</t>
        </r>
      </text>
    </comment>
    <comment ref="C65" authorId="0">
      <text>
        <r>
          <rPr>
            <b/>
            <sz val="16"/>
            <color indexed="81"/>
            <rFont val="Tahoma"/>
            <family val="2"/>
          </rPr>
          <t xml:space="preserve">elemus:
Por resolucion 35 del 06 10 2014
ceden 700 desde  3376 a 2676; 2P =
Por resolucion 36 del 08 10 2014
ceden 200 desde  2676 a 2476; 2P =
</t>
        </r>
      </text>
    </comment>
    <comment ref="C66" authorId="0">
      <text>
        <r>
          <rPr>
            <b/>
            <sz val="16"/>
            <color indexed="81"/>
            <rFont val="Tahoma"/>
            <family val="2"/>
          </rPr>
          <t xml:space="preserve">elemus:
Por resolucion 1546 del 13 06 2014
se modifica  primer periodo desde 9469 a 9966; y segundo periodo desde 498 a 1 
Por resolucion 42 del 20 10 2014
reciben 131 pasando desde 9966 a 10097; y segundo periodo = 
</t>
        </r>
      </text>
    </comment>
    <comment ref="C67" authorId="0">
      <text>
        <r>
          <rPr>
            <b/>
            <sz val="16"/>
            <color indexed="81"/>
            <rFont val="Tahoma"/>
            <family val="2"/>
          </rPr>
          <t xml:space="preserve">elemus:
por resolucion 0798 del 21 03 2014
ceden 203,82 ton sardina comun a armador industrial
                         enero agosto                septiembre diciembre    total
tenian                  497                                         26                      523
ceden                   177,82                                   26                      203,82
qudan asi             319,18                                    0                       319,18
</t>
        </r>
        <r>
          <rPr>
            <sz val="16"/>
            <color indexed="81"/>
            <rFont val="Tahoma"/>
            <family val="2"/>
          </rPr>
          <t xml:space="preserve">
</t>
        </r>
      </text>
    </comment>
    <comment ref="C68" authorId="0">
      <text>
        <r>
          <rPr>
            <b/>
            <sz val="16"/>
            <color indexed="81"/>
            <rFont val="Tahoma"/>
            <family val="2"/>
          </rPr>
          <t xml:space="preserve">elemus:
por resolucion 22 del 18 07 2014
ceden 253 ton SC 
                         enero agosto                septiembre diciembre         total
tenian                   431                                 23                                                
ceden                    253                                   
qudan asi              178                                23                                    201
</t>
        </r>
        <r>
          <rPr>
            <sz val="16"/>
            <color indexed="81"/>
            <rFont val="Tahoma"/>
            <family val="2"/>
          </rPr>
          <t xml:space="preserve">
</t>
        </r>
      </text>
    </comment>
    <comment ref="C69" authorId="0">
      <text>
        <r>
          <rPr>
            <b/>
            <sz val="16"/>
            <color indexed="81"/>
            <rFont val="Tahoma"/>
            <family val="2"/>
          </rPr>
          <t xml:space="preserve">elemus:
por resolucion 07 del 21 04 2014
RECIBEN  200 t SC desde Siparbum
pasando desde 2028 a 2228 primer periodo, quedando igual el segundo periodo 
</t>
        </r>
        <r>
          <rPr>
            <sz val="16"/>
            <color indexed="81"/>
            <rFont val="Tahoma"/>
            <family val="2"/>
          </rPr>
          <t xml:space="preserve">
</t>
        </r>
      </text>
    </comment>
    <comment ref="C71" authorId="0">
      <text>
        <r>
          <rPr>
            <b/>
            <sz val="14"/>
            <color indexed="81"/>
            <rFont val="Tahoma"/>
            <family val="2"/>
          </rPr>
          <t>elemus:</t>
        </r>
        <r>
          <rPr>
            <sz val="14"/>
            <color indexed="81"/>
            <rFont val="Tahoma"/>
            <family val="2"/>
          </rPr>
          <t xml:space="preserve">
por resol 12 de 07 05 2014 ceden 310 t a armador 
artesanal
por resol 14 de 22 05 2014 ceden 350 t a armadores 
artesanales quedando en 2.325 
por resol 18 de 27 06 2014 ceden 100 t a armadores artesanales desde 2985 a 2225 1P;  2P queda igual
por resol 39 de 16 10 2014 ceden 122 t a armadores artesanales desde 2225 a 21031P;  2P queda igual</t>
        </r>
      </text>
    </comment>
    <comment ref="C72" authorId="0">
      <text>
        <r>
          <rPr>
            <b/>
            <sz val="22"/>
            <color indexed="81"/>
            <rFont val="Tahoma"/>
            <family val="2"/>
          </rPr>
          <t>elemus:</t>
        </r>
        <r>
          <rPr>
            <sz val="22"/>
            <color indexed="81"/>
            <rFont val="Tahoma"/>
            <family val="2"/>
          </rPr>
          <t xml:space="preserve">
por resol 1802 de 10 07 2014 ceden 1300 t desde 3305 a 2005 1P;  2P queda igual</t>
        </r>
      </text>
    </comment>
    <comment ref="C74" authorId="0">
      <text>
        <r>
          <rPr>
            <b/>
            <sz val="22"/>
            <color indexed="81"/>
            <rFont val="Tahoma"/>
            <family val="2"/>
          </rPr>
          <t>elemus:</t>
        </r>
        <r>
          <rPr>
            <sz val="22"/>
            <color indexed="81"/>
            <rFont val="Tahoma"/>
            <family val="2"/>
          </rPr>
          <t xml:space="preserve">
por resol 32 de 01 09 2014 ceden 520 t desde 3668 a 3148 1P;  2P queda igual
por resol 58 de 30 12 2014 reciben 9,46 t desde 3148 a 3157 1P;  2P queda igual
por resol 59 de 30 12 2014 reciben 5,49 t desde 3157 a 3163 1P;  2P queda igual</t>
        </r>
      </text>
    </comment>
    <comment ref="C76" authorId="0">
      <text>
        <r>
          <rPr>
            <b/>
            <sz val="22"/>
            <color indexed="81"/>
            <rFont val="Tahoma"/>
            <family val="2"/>
          </rPr>
          <t>elemus:</t>
        </r>
        <r>
          <rPr>
            <sz val="22"/>
            <color indexed="81"/>
            <rFont val="Tahoma"/>
            <family val="2"/>
          </rPr>
          <t xml:space="preserve">
por resol 44 de 18 11 2014 ceden 87 t a Org artesanal VIII DESDE 320 A 233 1P, 2P =
por resol 64 de 30 12 2014 ceden 50 t a Org artesanal VIII DESDE 233 A 183 1P, 2P =</t>
        </r>
      </text>
    </comment>
    <comment ref="C77" authorId="0">
      <text>
        <r>
          <rPr>
            <b/>
            <sz val="16"/>
            <color indexed="81"/>
            <rFont val="Tahoma"/>
            <family val="2"/>
          </rPr>
          <t xml:space="preserve">elemus:
por resolucion 11 del 07 05 2014
ceden 251,11 t SC quedando en 196,89 1p y 0 2p 
</t>
        </r>
        <r>
          <rPr>
            <sz val="16"/>
            <color indexed="81"/>
            <rFont val="Tahoma"/>
            <family val="2"/>
          </rPr>
          <t xml:space="preserve">
</t>
        </r>
      </text>
    </comment>
    <comment ref="C78" authorId="0">
      <text>
        <r>
          <rPr>
            <b/>
            <sz val="22"/>
            <color indexed="81"/>
            <rFont val="Tahoma"/>
            <family val="2"/>
          </rPr>
          <t>elemus:</t>
        </r>
        <r>
          <rPr>
            <sz val="22"/>
            <color indexed="81"/>
            <rFont val="Tahoma"/>
            <family val="2"/>
          </rPr>
          <t xml:space="preserve">
elemus:
por resolucion 10 del 06 05 2014
reciben 527 t anch </t>
        </r>
        <r>
          <rPr>
            <sz val="8"/>
            <color indexed="81"/>
            <rFont val="Tahoma"/>
            <family val="2"/>
          </rPr>
          <t xml:space="preserve">
</t>
        </r>
      </text>
    </comment>
    <comment ref="C79" authorId="0">
      <text>
        <r>
          <rPr>
            <b/>
            <sz val="22"/>
            <color indexed="81"/>
            <rFont val="Tahoma"/>
            <family val="2"/>
          </rPr>
          <t>elemus:</t>
        </r>
        <r>
          <rPr>
            <sz val="22"/>
            <color indexed="81"/>
            <rFont val="Tahoma"/>
            <family val="2"/>
          </rPr>
          <t xml:space="preserve">
por resolucion 1967 del 29 07 2014
ceden 900 t; desde 2068a 1168 1P; =2P
por resolucion 3611 del 30 12 2014
ceden 142 t; desde 1168 a 1135 1P y 109 a 0 2P
por resolucion 71 del 14 01 2015, dejase sin efecto la 3611 del 30 12 2014; quedando ceden en 1168 y 109 2P</t>
        </r>
      </text>
    </comment>
    <comment ref="C80" authorId="0">
      <text>
        <r>
          <rPr>
            <b/>
            <sz val="16"/>
            <color indexed="81"/>
            <rFont val="Tahoma"/>
            <family val="2"/>
          </rPr>
          <t>elemus:
Por resolucion 01 del 10 03 2014
ceden 900 ton a spaada
pasando desde 
9019 a 8119 primer periodo, quedando igual el segundo periodo</t>
        </r>
        <r>
          <rPr>
            <sz val="16"/>
            <color indexed="81"/>
            <rFont val="Tahoma"/>
            <family val="2"/>
          </rPr>
          <t xml:space="preserve">
Por resolucion 02 del 17 03 2014
ceden 1360 ton a armadores artesanales VIII R
pasando desde 8119 a  6759 primer periodo, quedando igual el segundo periodo
Por resolucion 04 del 17 03 2014
ceden 80 ton a armadores artesanales VIII R
pasando desde 6759 a 6679 primer periodo, quedando igual el segundo periodo
Por resolucion 15 del 06 06 2014
ceden 800 ton a armadores artesanales VIII R
pasando desde 9153 a 8353 primer periodo, quedando igual el segundo periodo
Por resolucion 1598 del 18 06 2014
ceden 910 ton a armadores artesanales VIII R
pasando desde 10693 a 9783 primer periodo, quedando igual el segundo periodo
Por resolucion 37 del 10 10 2014
ceden 450 ton a armadores artesanales VIII R
pasando desde 9783  a 9333 primer periodo, quedando igual el segundo periodo</t>
        </r>
      </text>
    </comment>
    <comment ref="C81" authorId="0">
      <text>
        <r>
          <rPr>
            <b/>
            <sz val="22"/>
            <color indexed="81"/>
            <rFont val="Tahoma"/>
            <family val="2"/>
          </rPr>
          <t>elemus:</t>
        </r>
        <r>
          <rPr>
            <sz val="22"/>
            <color indexed="81"/>
            <rFont val="Tahoma"/>
            <family val="2"/>
          </rPr>
          <t xml:space="preserve">
elemus:
por resolucion 29 del 05 08 2014
ceden 300 t 
desde 2325 a 2025 1P; =2P</t>
        </r>
      </text>
    </comment>
    <comment ref="C82" authorId="0">
      <text>
        <r>
          <rPr>
            <b/>
            <sz val="22"/>
            <color indexed="81"/>
            <rFont val="Tahoma"/>
            <family val="2"/>
          </rPr>
          <t>elemus:</t>
        </r>
        <r>
          <rPr>
            <sz val="22"/>
            <color indexed="81"/>
            <rFont val="Tahoma"/>
            <family val="2"/>
          </rPr>
          <t xml:space="preserve">
por resol 24 de 23 07 2014 
ceden 229 t desde 5538 a 5309 1P;  2P queda igual
por resol 2942 de 05 11 2014 
ceden 322 t desde 5309 a 49871P;  2P queda igual
por resol 60 de 30 12 2014 
reciben 30 t desde 4987 a 5017 1P;  2P queda igual</t>
        </r>
      </text>
    </comment>
    <comment ref="C84" authorId="0">
      <text>
        <r>
          <rPr>
            <b/>
            <sz val="16"/>
            <color indexed="81"/>
            <rFont val="Tahoma"/>
            <family val="2"/>
          </rPr>
          <t>elemus:
por resolucion 786 del 17 03 2014
se modifica la estructura de datos de cocholgue tome y residual como sigue
enero agosto cocholgue desde 695 a 973</t>
        </r>
        <r>
          <rPr>
            <sz val="16"/>
            <color indexed="81"/>
            <rFont val="Tahoma"/>
            <family val="2"/>
          </rPr>
          <t xml:space="preserve">
Septiembre diciembre cocholgue desde 37 a 51
enero agosto residual desde 1460 a 1182
Septiembre diciembre residual desde 77 a 62
por resolucion 10 del 06 05 2014
ceden 833 t anch desde STI TOME COCHOLGUE  y a armador artesanal quedando en 659 1P
</t>
        </r>
      </text>
    </comment>
    <comment ref="C85" authorId="0">
      <text>
        <r>
          <rPr>
            <b/>
            <sz val="16"/>
            <color indexed="81"/>
            <rFont val="Tahoma"/>
            <family val="2"/>
          </rPr>
          <t>elemus:
por resolucion 03 del 17 03 2014
ceden 239 ton anchoveta a tres armadores individuales
pasando desde 6260 a 6021 primer periodo, quedando igual el segundo periodo y la FA</t>
        </r>
        <r>
          <rPr>
            <sz val="16"/>
            <color indexed="81"/>
            <rFont val="Tahoma"/>
            <family val="2"/>
          </rPr>
          <t xml:space="preserve">
por resolucion 05 del 21 03 2014
ceden 47 ton anchoveta a armador individual
pasando desde 6021 a 5974 primer periodo, quedando igual el segundo periodo y la FA
</t>
        </r>
      </text>
    </comment>
    <comment ref="C87" authorId="0">
      <text>
        <r>
          <rPr>
            <b/>
            <sz val="16"/>
            <color indexed="81"/>
            <rFont val="Tahoma"/>
            <family val="2"/>
          </rPr>
          <t>elemus:
por resolucion 30 del 11 08 2014
ceden 118 t  
pasando desde 426 a 308 primer periodo, = 2P</t>
        </r>
        <r>
          <rPr>
            <sz val="16"/>
            <color indexed="81"/>
            <rFont val="Tahoma"/>
            <family val="2"/>
          </rPr>
          <t xml:space="preserve">
</t>
        </r>
      </text>
    </comment>
    <comment ref="C89" authorId="0">
      <text>
        <r>
          <rPr>
            <b/>
            <sz val="16"/>
            <color indexed="81"/>
            <rFont val="Tahoma"/>
            <family val="2"/>
          </rPr>
          <t>elemus:
por resolucion 953 del 03 04 2014
reciben 220 t anch y 4480 t SC desde AGARMAR X
pasando desde 317,3 a 537,3 primer periodo, quedando igual el segundo periodo y la FA; y desde 6645 a 11125 SC</t>
        </r>
        <r>
          <rPr>
            <sz val="16"/>
            <color indexed="81"/>
            <rFont val="Tahoma"/>
            <family val="2"/>
          </rPr>
          <t xml:space="preserve">
por resolucion 2180 del 20 08 2014
se reciben 500 ton desde 11125 a 11625 1P; 2P =
por resolucion 2181 del 20 08 2014
se reciben 200 ton desde 11625 a 11825 1P; 2P =
por resolucion 2245 del 26 08 2014
se reciben 170 ton desde 250 a 520 2P; 1P =
por resolucion 48 del 17 12 2014
se reciben 229 ton desde 11825 a 12054 1P; 2P =
por res 67 de 30 12 2014 reciben 43 tons.
desde 12054 a 12097 1P; =2P
por resolucion 70 del 31 12 2014, se modifica Res Ex 3, quedando
desde 12097 a 12134 1P; = 2P
</t>
        </r>
      </text>
    </comment>
    <comment ref="C90" authorId="1">
      <text>
        <r>
          <rPr>
            <b/>
            <sz val="18"/>
            <color indexed="81"/>
            <rFont val="Tahoma"/>
            <family val="2"/>
          </rPr>
          <t>elemus:
por res 1847 de 18 07 2014 aumenta 105 tons.
quedando en 2110 y 1 1P y 2P
por res 52 de 29 12 2014 ceden 60 tons.
desde 2110 a 2050 1P; =2P</t>
        </r>
      </text>
    </comment>
    <comment ref="C91" authorId="0">
      <text>
        <r>
          <rPr>
            <b/>
            <sz val="14"/>
            <color indexed="81"/>
            <rFont val="Tahoma"/>
            <family val="2"/>
          </rPr>
          <t xml:space="preserve">elemus:
por resolucion 06 del 21 03 2014
ceden 95 ton a armador individual
pasando desde 4006 a 3911 primer periodo, quedando igual el segundo periodo </t>
        </r>
        <r>
          <rPr>
            <sz val="14"/>
            <color indexed="81"/>
            <rFont val="Tahoma"/>
            <family val="2"/>
          </rPr>
          <t xml:space="preserve">
</t>
        </r>
        <r>
          <rPr>
            <b/>
            <sz val="14"/>
            <color indexed="81"/>
            <rFont val="Tahoma"/>
            <family val="2"/>
          </rPr>
          <t>por resolucion 09 del 06 05 2014
CEDEN 300 ton a Gemarsde pasando desde 6049 a 5649 primer periodo, quedando igual el segundo periodo
por resolucion 1703 del 02 07 2014
MODIFCA desde 5649 a 5961 primer periodo, quedando igual el segundo periodo
por resolucion 59 del 30 12 2014
cede 5,49t; desde 5971 a 5966 1P, =2P
por resolucion 60 del 30 12 2014
cede 30; desde 5966 a 5936 1P, =2P</t>
        </r>
      </text>
    </comment>
    <comment ref="C92" authorId="0">
      <text>
        <r>
          <rPr>
            <b/>
            <sz val="16"/>
            <color indexed="81"/>
            <rFont val="Tahoma"/>
            <family val="2"/>
          </rPr>
          <t>elemus:
por resolucion 1902 del 24 07 2014
ceden 150 t desde 3864 a 3714 1P, quedando igual el segundo periodo
por resolucion 40 del 17 10 2014
ceden 150 t desde 3714  a 3564 1P, quedando igual el segundo periodo
por resolucion 42 del 20 10 2014
ceden 150 t desde 3564 a 3433 1P, quedando igual el segundo periodo</t>
        </r>
      </text>
    </comment>
    <comment ref="C96" authorId="1">
      <text>
        <r>
          <rPr>
            <b/>
            <sz val="18"/>
            <color indexed="81"/>
            <rFont val="Tahoma"/>
            <family val="2"/>
          </rPr>
          <t>elemus:
por res 52 de 29 12 2014 reciben 60 tons.
desde 6186 a 6246 1P; =2P</t>
        </r>
      </text>
    </comment>
    <comment ref="C100" authorId="0">
      <text>
        <r>
          <rPr>
            <b/>
            <sz val="16"/>
            <color indexed="81"/>
            <rFont val="Tahoma"/>
            <family val="2"/>
          </rPr>
          <t xml:space="preserve">elemus:
por resolucion 07 del 21 04 2014
ceden 200 t SC a siarpemar
pasando desde 9399  9199 primer periodo, quedando igual el segundo periodo 
</t>
        </r>
        <r>
          <rPr>
            <sz val="16"/>
            <color indexed="81"/>
            <rFont val="Tahoma"/>
            <family val="2"/>
          </rPr>
          <t xml:space="preserve">
</t>
        </r>
        <r>
          <rPr>
            <b/>
            <sz val="16"/>
            <color indexed="81"/>
            <rFont val="Tahoma"/>
            <family val="2"/>
          </rPr>
          <t>por resolucion 1656 del 25 06 2014
ceden 1450 t SC a armador de la XIV
pasando desde 9199 a 7749 primer periodo, quedando igual el segundo periodo</t>
        </r>
        <r>
          <rPr>
            <sz val="16"/>
            <color indexed="81"/>
            <rFont val="Tahoma"/>
            <family val="2"/>
          </rPr>
          <t xml:space="preserve"> 
por resolucion 1657 del 25 06 2014
ceden 200 t SC a armador de la XIV
pasando desde 7749 A 7549 primer periodo, quedando igual el segundo periodo
por resolucion 1657 del 25 06 2014 modifica estructura de cuotas desde 7543 A 8043 primer periodo, segundo periodo 495 a 1
</t>
        </r>
      </text>
    </comment>
    <comment ref="C101" authorId="0">
      <text>
        <r>
          <rPr>
            <b/>
            <sz val="22"/>
            <color indexed="81"/>
            <rFont val="Tahoma"/>
            <family val="2"/>
          </rPr>
          <t>elemus:</t>
        </r>
        <r>
          <rPr>
            <sz val="22"/>
            <color indexed="81"/>
            <rFont val="Tahoma"/>
            <family val="2"/>
          </rPr>
          <t xml:space="preserve">
elemus:
por resolucion 29 del 05 08 2014
reciben 300 t; desde 15825 a 16125 1P; =2P
por resolucion 58 del 30 12 2014
ceden 9,46 t; desde 16125 a 16116 1P; =2P</t>
        </r>
      </text>
    </comment>
    <comment ref="C102" authorId="1">
      <text>
        <r>
          <rPr>
            <b/>
            <sz val="18"/>
            <color indexed="81"/>
            <rFont val="Tahoma"/>
            <family val="2"/>
          </rPr>
          <t>elemus:
por res 67 de 30 12 2014 ceden 43 tons.
desde 800 a 757 1P; =2P</t>
        </r>
      </text>
    </comment>
    <comment ref="C104" authorId="0">
      <text>
        <r>
          <rPr>
            <b/>
            <sz val="16"/>
            <color indexed="81"/>
            <rFont val="Tahoma"/>
            <family val="2"/>
          </rPr>
          <t>elemus:
por resolucion 786 del 17 03 2014
se modifica la estructura de datos de cocholgue tome y residual como sigue
enero agosto cocholgue desde 695 a 973</t>
        </r>
        <r>
          <rPr>
            <sz val="16"/>
            <color indexed="81"/>
            <rFont val="Tahoma"/>
            <family val="2"/>
          </rPr>
          <t xml:space="preserve">
Septiembre diciembre cocholgue desde 37 a 51
enero agosto residual desde 1460 a 1182
Septiembre diciembre residual desde 77 a 62
Por resolucion 901 del 31 03 2014
se modifica  la cuota residual
primer periodo desde 1182 a 782
segundo periodo desde 62 a 41</t>
        </r>
      </text>
    </comment>
    <comment ref="C112" authorId="0">
      <text>
        <r>
          <rPr>
            <b/>
            <sz val="22"/>
            <color indexed="81"/>
            <rFont val="Tahoma"/>
            <family val="2"/>
          </rPr>
          <t>elemus:</t>
        </r>
        <r>
          <rPr>
            <sz val="22"/>
            <color indexed="81"/>
            <rFont val="Tahoma"/>
            <family val="2"/>
          </rPr>
          <t xml:space="preserve">
por resolucion 61 del 30 12 2014
ceden 7,19 t 
desde 160 a 153 2P; =1P</t>
        </r>
      </text>
    </comment>
    <comment ref="C113" authorId="0">
      <text>
        <r>
          <rPr>
            <b/>
            <sz val="22"/>
            <color indexed="81"/>
            <rFont val="Tahoma"/>
            <family val="2"/>
          </rPr>
          <t>elemus:</t>
        </r>
        <r>
          <rPr>
            <sz val="22"/>
            <color indexed="81"/>
            <rFont val="Tahoma"/>
            <family val="2"/>
          </rPr>
          <t xml:space="preserve">
por resolucion 68 del 31 12 2014; ceden 98 t; desde 184 a 86 2P; =1P</t>
        </r>
      </text>
    </comment>
    <comment ref="C116" authorId="0">
      <text>
        <r>
          <rPr>
            <b/>
            <sz val="22"/>
            <color indexed="81"/>
            <rFont val="Tahoma"/>
            <family val="2"/>
          </rPr>
          <t>elemus:</t>
        </r>
        <r>
          <rPr>
            <sz val="22"/>
            <color indexed="81"/>
            <rFont val="Tahoma"/>
            <family val="2"/>
          </rPr>
          <t xml:space="preserve">
por resolucion 69 del 31 12 2014
reciben 54 t; desde 503 a 557 2P; =1P</t>
        </r>
      </text>
    </comment>
    <comment ref="C117" authorId="0">
      <text>
        <r>
          <rPr>
            <b/>
            <sz val="22"/>
            <color indexed="81"/>
            <rFont val="Tahoma"/>
            <family val="2"/>
          </rPr>
          <t>elemus:</t>
        </r>
        <r>
          <rPr>
            <sz val="22"/>
            <color indexed="81"/>
            <rFont val="Tahoma"/>
            <family val="2"/>
          </rPr>
          <t xml:space="preserve">
por resolucion 50 del 29 12 2014
reciben 45 t 
desde 526 a 571 2P; =1P</t>
        </r>
      </text>
    </comment>
    <comment ref="C119" authorId="0">
      <text>
        <r>
          <rPr>
            <b/>
            <sz val="22"/>
            <color indexed="81"/>
            <rFont val="Tahoma"/>
            <family val="2"/>
          </rPr>
          <t>elemus:</t>
        </r>
        <r>
          <rPr>
            <sz val="22"/>
            <color indexed="81"/>
            <rFont val="Tahoma"/>
            <family val="2"/>
          </rPr>
          <t xml:space="preserve">
por resolucion 53 del 30 12 2014
ceden 42,7 t; desde 43 a 0 2P; =1P</t>
        </r>
      </text>
    </comment>
    <comment ref="C121" authorId="0">
      <text>
        <r>
          <rPr>
            <b/>
            <sz val="22"/>
            <color indexed="81"/>
            <rFont val="Tahoma"/>
            <family val="2"/>
          </rPr>
          <t>elemus:</t>
        </r>
        <r>
          <rPr>
            <sz val="22"/>
            <color indexed="81"/>
            <rFont val="Tahoma"/>
            <family val="2"/>
          </rPr>
          <t xml:space="preserve">
por resolucion 69 del 31 12 2014
ceden 100 t; desde 1443 a 1343 2P; =1P</t>
        </r>
      </text>
    </comment>
    <comment ref="C126" authorId="1">
      <text>
        <r>
          <rPr>
            <b/>
            <sz val="8"/>
            <color indexed="81"/>
            <rFont val="Tahoma"/>
            <family val="2"/>
          </rPr>
          <t>enorero:</t>
        </r>
        <r>
          <rPr>
            <sz val="8"/>
            <color indexed="81"/>
            <rFont val="Tahoma"/>
            <family val="2"/>
          </rPr>
          <t xml:space="preserve">
resl. 1847 del 18-07-2014 resta 300 tons. tons</t>
        </r>
      </text>
    </comment>
    <comment ref="C129" authorId="0">
      <text>
        <r>
          <rPr>
            <b/>
            <sz val="22"/>
            <color indexed="81"/>
            <rFont val="Tahoma"/>
            <family val="2"/>
          </rPr>
          <t>elemus:</t>
        </r>
        <r>
          <rPr>
            <sz val="22"/>
            <color indexed="81"/>
            <rFont val="Tahoma"/>
            <family val="2"/>
          </rPr>
          <t xml:space="preserve">
por resolucion 57 del 30 12 2014
ceden 58 t 
desde 267 a 209 2P; =1P</t>
        </r>
      </text>
    </comment>
    <comment ref="C135" authorId="0">
      <text>
        <r>
          <rPr>
            <b/>
            <sz val="22"/>
            <color indexed="81"/>
            <rFont val="Tahoma"/>
            <family val="2"/>
          </rPr>
          <t>elemus:</t>
        </r>
        <r>
          <rPr>
            <sz val="22"/>
            <color indexed="81"/>
            <rFont val="Tahoma"/>
            <family val="2"/>
          </rPr>
          <t xml:space="preserve">
por resolucion 66 del 30 12 2014; ceden 23 t; desde 23 a 0 2P; =1P</t>
        </r>
      </text>
    </comment>
    <comment ref="C136" authorId="0">
      <text>
        <r>
          <rPr>
            <b/>
            <sz val="22"/>
            <color indexed="81"/>
            <rFont val="Tahoma"/>
            <family val="2"/>
          </rPr>
          <t>elemus:</t>
        </r>
        <r>
          <rPr>
            <sz val="22"/>
            <color indexed="81"/>
            <rFont val="Tahoma"/>
            <family val="2"/>
          </rPr>
          <t xml:space="preserve">
por resolucion 71 del 31 12 2014; ENROCAN CON NAVE lago ranco POR RESOL 45, RECIBEN 4 t; desde 107 a 111 2P; =1P</t>
        </r>
      </text>
    </comment>
    <comment ref="C137" authorId="0">
      <text>
        <r>
          <rPr>
            <b/>
            <sz val="22"/>
            <color indexed="81"/>
            <rFont val="Tahoma"/>
            <family val="2"/>
          </rPr>
          <t>elemus:</t>
        </r>
        <r>
          <rPr>
            <sz val="22"/>
            <color indexed="81"/>
            <rFont val="Tahoma"/>
            <family val="2"/>
          </rPr>
          <t xml:space="preserve">
por resolucion 50 del 29 12 2014
ceden 45 t 
desde 84 a 39 2P; =1P</t>
        </r>
      </text>
    </comment>
    <comment ref="C138" authorId="0">
      <text>
        <r>
          <rPr>
            <b/>
            <sz val="22"/>
            <color indexed="81"/>
            <rFont val="Tahoma"/>
            <family val="2"/>
          </rPr>
          <t>elemus:</t>
        </r>
        <r>
          <rPr>
            <sz val="22"/>
            <color indexed="81"/>
            <rFont val="Tahoma"/>
            <family val="2"/>
          </rPr>
          <t xml:space="preserve">
por resolucion 45 del 19 11 2014; ceden 120 t, desde 157 a 37 2P; =1P
por resolucion 62 del 30 12 2014; ceden 10,518 t, desde 37 a 26 2P; =1P</t>
        </r>
      </text>
    </comment>
    <comment ref="C141" authorId="0">
      <text>
        <r>
          <rPr>
            <b/>
            <sz val="22"/>
            <color indexed="81"/>
            <rFont val="Tahoma"/>
            <family val="2"/>
          </rPr>
          <t>elemus:</t>
        </r>
        <r>
          <rPr>
            <sz val="22"/>
            <color indexed="81"/>
            <rFont val="Tahoma"/>
            <family val="2"/>
          </rPr>
          <t xml:space="preserve">
por resolucion 56 del 30 12 2014; reciben 12,2 t; desde 193 a 205 2P; =1P
por resolucion 57 del 30 12 2014; reciben 58 t; desde 205 a 263 2P; =1P
por resolucion 61 del 30 12 2014; reciben 7,19 t; desde 263 a 270 2P; =1P
por resolucion 62 del 30 12 2014; reciben 10,518 t; desde 270 a 281 2P; =1P
por resolucion 63 del 30 12 2014; reciben 17,31 t; desde 281 a 298 2P; =1P
por resolucion 69 del 31 12 2014; reciben 10 t; desde 298 a 308 2P; =1P
por resolucion 01 del 06 01 2015; modifica res 62; quedan como 3163 1P; 281 1P</t>
        </r>
      </text>
    </comment>
    <comment ref="C142" authorId="0">
      <text>
        <r>
          <rPr>
            <b/>
            <sz val="22"/>
            <color indexed="81"/>
            <rFont val="Tahoma"/>
            <family val="2"/>
          </rPr>
          <t>elemus:</t>
        </r>
        <r>
          <rPr>
            <sz val="22"/>
            <color indexed="81"/>
            <rFont val="Tahoma"/>
            <family val="2"/>
          </rPr>
          <t xml:space="preserve">
elemus:
por resolucion 3487 del 19 12 2014
ceden 149,414 t 
desde 255 a 105,586 2P; =1P</t>
        </r>
      </text>
    </comment>
    <comment ref="C147" authorId="0">
      <text>
        <r>
          <rPr>
            <b/>
            <sz val="22"/>
            <color indexed="81"/>
            <rFont val="Tahoma"/>
            <family val="2"/>
          </rPr>
          <t>elemus:</t>
        </r>
        <r>
          <rPr>
            <sz val="22"/>
            <color indexed="81"/>
            <rFont val="Tahoma"/>
            <family val="2"/>
          </rPr>
          <t xml:space="preserve">
por resolucion 63 del 30 12 2014
ceden 17,31 t; desde 728 a 711 2P; =1P</t>
        </r>
      </text>
    </comment>
    <comment ref="C152" authorId="0">
      <text>
        <r>
          <rPr>
            <b/>
            <sz val="22"/>
            <color indexed="81"/>
            <rFont val="Tahoma"/>
            <family val="2"/>
          </rPr>
          <t>elemus:</t>
        </r>
        <r>
          <rPr>
            <sz val="22"/>
            <color indexed="81"/>
            <rFont val="Tahoma"/>
            <family val="2"/>
          </rPr>
          <t xml:space="preserve">
por resolucion 51 del 29 12 2014
ceden 86,31 t; desde 505 a 419 2P; =1P</t>
        </r>
      </text>
    </comment>
    <comment ref="C153" authorId="0">
      <text>
        <r>
          <rPr>
            <b/>
            <sz val="22"/>
            <color indexed="81"/>
            <rFont val="Tahoma"/>
            <family val="2"/>
          </rPr>
          <t>elemus:</t>
        </r>
        <r>
          <rPr>
            <sz val="22"/>
            <color indexed="81"/>
            <rFont val="Tahoma"/>
            <family val="2"/>
          </rPr>
          <t xml:space="preserve">
por resolucion 69 del 31 12 2014
reciben 3 t; desde 341 a 344 2P; =1P</t>
        </r>
      </text>
    </comment>
    <comment ref="C156" authorId="0">
      <text>
        <r>
          <rPr>
            <b/>
            <sz val="22"/>
            <color indexed="81"/>
            <rFont val="Tahoma"/>
            <family val="2"/>
          </rPr>
          <t>elemus:</t>
        </r>
        <r>
          <rPr>
            <sz val="22"/>
            <color indexed="81"/>
            <rFont val="Tahoma"/>
            <family val="2"/>
          </rPr>
          <t xml:space="preserve">
por resolucion 65 del 30 12 2014; reciben 12 t; desde 770 a 782 2P; =1P
por resolucion 66 del 30 12 2014; reciben 23 t; desde 782 a 793 </t>
        </r>
        <r>
          <rPr>
            <b/>
            <sz val="22"/>
            <color indexed="81"/>
            <rFont val="Tahoma"/>
            <family val="2"/>
          </rPr>
          <t xml:space="preserve">?????? </t>
        </r>
        <r>
          <rPr>
            <sz val="22"/>
            <color indexed="81"/>
            <rFont val="Tahoma"/>
            <family val="2"/>
          </rPr>
          <t>2P; =1P
por resolucion 68 del 31 12 2014; reciben 98 t; desde 793 a 891 2P; =1P</t>
        </r>
      </text>
    </comment>
    <comment ref="C157" authorId="1">
      <text>
        <r>
          <rPr>
            <b/>
            <sz val="8"/>
            <color indexed="81"/>
            <rFont val="Tahoma"/>
            <family val="2"/>
          </rPr>
          <t>enorero:</t>
        </r>
        <r>
          <rPr>
            <sz val="8"/>
            <color indexed="81"/>
            <rFont val="Tahoma"/>
            <family val="2"/>
          </rPr>
          <t xml:space="preserve">
resl. 1847 del 18-07-2014 resta 105  tons</t>
        </r>
      </text>
    </comment>
    <comment ref="C159" authorId="0">
      <text>
        <r>
          <rPr>
            <b/>
            <sz val="22"/>
            <color indexed="81"/>
            <rFont val="Tahoma"/>
            <family val="2"/>
          </rPr>
          <t>elemus:</t>
        </r>
        <r>
          <rPr>
            <sz val="22"/>
            <color indexed="81"/>
            <rFont val="Tahoma"/>
            <family val="2"/>
          </rPr>
          <t xml:space="preserve">
por resolucion 65 del 30 12 2014
ceden 12 t 
desde 203 a 191 2P; =1P</t>
        </r>
      </text>
    </comment>
    <comment ref="C161" authorId="0">
      <text>
        <r>
          <rPr>
            <b/>
            <sz val="22"/>
            <color indexed="81"/>
            <rFont val="Tahoma"/>
            <family val="2"/>
          </rPr>
          <t>elemus:</t>
        </r>
        <r>
          <rPr>
            <sz val="22"/>
            <color indexed="81"/>
            <rFont val="Tahoma"/>
            <family val="2"/>
          </rPr>
          <t xml:space="preserve">
por resolucion 56 del 30 12 2014
ceden 12,2 t 
desde 181 a 169 2P; =1P</t>
        </r>
      </text>
    </comment>
    <comment ref="C163" authorId="0">
      <text>
        <r>
          <rPr>
            <b/>
            <sz val="22"/>
            <color indexed="81"/>
            <rFont val="Tahoma"/>
            <family val="2"/>
          </rPr>
          <t>elemus:</t>
        </r>
        <r>
          <rPr>
            <sz val="22"/>
            <color indexed="81"/>
            <rFont val="Tahoma"/>
            <family val="2"/>
          </rPr>
          <t xml:space="preserve">
por resolucion 53 del 30 12 2014
reciben 42,7 t 
desde 326 a 368,7 2P; =1P</t>
        </r>
      </text>
    </comment>
    <comment ref="C164" authorId="0">
      <text>
        <r>
          <rPr>
            <b/>
            <sz val="22"/>
            <color indexed="81"/>
            <rFont val="Tahoma"/>
            <family val="2"/>
          </rPr>
          <t>elemus:</t>
        </r>
        <r>
          <rPr>
            <sz val="22"/>
            <color indexed="81"/>
            <rFont val="Tahoma"/>
            <family val="2"/>
          </rPr>
          <t xml:space="preserve">
por resolucion 49 del 29 12 2014
ceden 28,71 t 
desde 98 a 69 2P; =1P</t>
        </r>
      </text>
    </comment>
    <comment ref="C166" authorId="0">
      <text>
        <r>
          <rPr>
            <b/>
            <sz val="22"/>
            <color indexed="81"/>
            <rFont val="Tahoma"/>
            <family val="2"/>
          </rPr>
          <t>elemus:</t>
        </r>
        <r>
          <rPr>
            <sz val="22"/>
            <color indexed="81"/>
            <rFont val="Tahoma"/>
            <family val="2"/>
          </rPr>
          <t xml:space="preserve">
por resolucion 51 del 29 12 2014
reciben 86,31 t; desde 734 a 820 2P; =1P
por resolucion 69 del 31 12 2014
reciben 33 t; desde 820 a 853 2P; =1P</t>
        </r>
      </text>
    </comment>
    <comment ref="C167" authorId="0">
      <text>
        <r>
          <rPr>
            <b/>
            <sz val="22"/>
            <color indexed="81"/>
            <rFont val="Tahoma"/>
            <family val="2"/>
          </rPr>
          <t>elemus:</t>
        </r>
        <r>
          <rPr>
            <sz val="22"/>
            <color indexed="81"/>
            <rFont val="Tahoma"/>
            <family val="2"/>
          </rPr>
          <t xml:space="preserve">
por resolucion 49 del 29 12 2014
reciben 28,71 t 
desde 0,001 a 30 2P; =1P</t>
        </r>
      </text>
    </comment>
    <comment ref="C179" authorId="0">
      <text>
        <r>
          <rPr>
            <b/>
            <sz val="22"/>
            <color indexed="81"/>
            <rFont val="Tahoma"/>
            <family val="2"/>
          </rPr>
          <t xml:space="preserve">elemus:
por resol 949 del 03 04 2014, se modfica distribucion fraccion art sardina comun XIV
completa de los 3 periodos
</t>
        </r>
        <r>
          <rPr>
            <sz val="22"/>
            <color indexed="81"/>
            <rFont val="Tahoma"/>
            <family val="2"/>
          </rPr>
          <t xml:space="preserve">
</t>
        </r>
      </text>
    </comment>
    <comment ref="C181" authorId="0">
      <text>
        <r>
          <rPr>
            <b/>
            <sz val="16"/>
            <color indexed="81"/>
            <rFont val="Tahoma"/>
            <family val="2"/>
          </rPr>
          <t xml:space="preserve">elemus:
Por resolucion 1171 del 30 04 2014 bonifacio cede 207,49 DE SARDINA a ag Acerval 
Bonifacio DESDE 207,248 a 0
AG ACERVAL desde 11958,124 a 12165,372
Por resolucion 1549 del 11 06 2014 reciben 216,363 + 1432,443 + 716,255 desde STI Los Molinos 
pasando desde12165,372 a 12381,735 1p
1406,997 a 1432,443 2p
703,518 a 716,255
</t>
        </r>
      </text>
    </comment>
    <comment ref="C184" authorId="0">
      <text>
        <r>
          <rPr>
            <b/>
            <sz val="16"/>
            <color indexed="81"/>
            <rFont val="Tahoma"/>
            <family val="2"/>
          </rPr>
          <t>elemus:
Por resolucion 1069 del 21 04 2014 ceden 572,76 DE SARDINA a armador de la XIV Don Ulmes</t>
        </r>
      </text>
    </comment>
    <comment ref="C185" authorId="0">
      <text>
        <r>
          <rPr>
            <b/>
            <sz val="16"/>
            <color indexed="81"/>
            <rFont val="Tahoma"/>
            <family val="2"/>
          </rPr>
          <t>elemus:
Por resolucion 1226 del 08 05 2014 ceden 43,9t anch y 919 SC a Sipacerval</t>
        </r>
      </text>
    </comment>
    <comment ref="C186" authorId="0">
      <text>
        <r>
          <rPr>
            <b/>
            <sz val="18"/>
            <color indexed="81"/>
            <rFont val="Tahoma"/>
            <family val="2"/>
          </rPr>
          <t>elemus:</t>
        </r>
        <r>
          <rPr>
            <sz val="18"/>
            <color indexed="81"/>
            <rFont val="Tahoma"/>
            <family val="2"/>
          </rPr>
          <t xml:space="preserve">
por resolucion 2823 del 23 10 2014
ceden 1,788 tons de anchoveta 
desde 1,788 a 0,00 (3P);  = 1 y 2 p</t>
        </r>
      </text>
    </comment>
    <comment ref="C187" authorId="0">
      <text>
        <r>
          <rPr>
            <b/>
            <sz val="16"/>
            <color indexed="81"/>
            <rFont val="Tahoma"/>
            <family val="2"/>
          </rPr>
          <t>elemus:
Por resolucion 1226 del 08 05 2014 ceden  5 t anch y 119 SC a Sipacerval</t>
        </r>
      </text>
    </comment>
    <comment ref="C188" authorId="0">
      <text>
        <r>
          <rPr>
            <b/>
            <sz val="16"/>
            <color indexed="81"/>
            <rFont val="Tahoma"/>
            <family val="2"/>
          </rPr>
          <t>elemus:
Por resolucion 1226 del 08 05 2014 reciben:
43,9t anch y 919 SC desde STI Mehuin
5 t anc y 119 de SC desde STI Travesia
9,597 Anch y 232,847 SC desde STI Corral
58,497 anc y 1270,847 Sc</t>
        </r>
      </text>
    </comment>
    <comment ref="C189" authorId="0">
      <text>
        <r>
          <rPr>
            <b/>
            <sz val="16"/>
            <color indexed="81"/>
            <rFont val="Tahoma"/>
            <family val="2"/>
          </rPr>
          <t>elemus:
Por resolucion 948 del 03 04 2014
ceden 35,22 DE ANCHOVETA Y 476,88 DE SARDINA a armador de la XIV eben ezer II
quedando todo en 0
Por resolucion 1549 del 11 06 2014 ceden 216,363 + 1432,443 + 716,255 desde a ACERVAL 
pasando desde 216,363 a 0 1p
25,446 a 0 2p
12,738 a 0,001</t>
        </r>
      </text>
    </comment>
    <comment ref="C190" authorId="0">
      <text>
        <r>
          <rPr>
            <b/>
            <sz val="16"/>
            <color indexed="81"/>
            <rFont val="Tahoma"/>
            <family val="2"/>
          </rPr>
          <t xml:space="preserve">elemus:
Por resolucion 1171 del 30 04 2014 bonifacio cede 207,49 DE SARDINA a ag Acerval 
Bonifacio DESDE 207,248 a 0
AG ACERVAL desde 11958,124 a 12165,372
</t>
        </r>
      </text>
    </comment>
    <comment ref="C191" authorId="0">
      <text>
        <r>
          <rPr>
            <b/>
            <sz val="16"/>
            <color indexed="81"/>
            <rFont val="Tahoma"/>
            <family val="2"/>
          </rPr>
          <t>elemus:
Por resolucion 1226 del 08 05 2014 ceden  9,597 t anch y 232,847 SC a Sipacerval</t>
        </r>
      </text>
    </comment>
    <comment ref="C201" authorId="0">
      <text>
        <r>
          <rPr>
            <b/>
            <sz val="16"/>
            <color indexed="81"/>
            <rFont val="Tahoma"/>
            <family val="2"/>
          </rPr>
          <t>elemus:
por resolucion 1698 del 02 07 2014
reciben 3431 ton desde 11432,443 a 4863,443 segundo periodo, quedando igual los otros periodos
por resolucion 2246 del 26 08 2014
reciben 36,331 ton desde 4863,443 A 4887,582 2P; desde 716,255 a 728,447 3P;  quedando = 1P</t>
        </r>
      </text>
    </comment>
    <comment ref="C202" authorId="0">
      <text>
        <r>
          <rPr>
            <b/>
            <sz val="16"/>
            <color indexed="81"/>
            <rFont val="Tahoma"/>
            <family val="2"/>
          </rPr>
          <t>elemus:
por resolucion 1550 del 11 06 2014
reciben 250 ton desde ARMAR AG XR
pasando desde 539,507 a 789,507 segundo periodo, quedando igual los otros periodos
por resolucion 1601 del 18 06 2014
reciben 350 ton pasando desde 789,507 a 1139,507 segundo periodo, quedando igual los otros periodos
por resolucion 2223 del 25 08 2014
reciben 500 ton pasando desde 1139,507  a 1639,507, segundo periodo, quedando igual los otros periodos.
por resolucion 2224 del 25 08 2014
reciben 150 ton pasando desde 1639,507 a 1789,507, segundo periodo, quedando igual los otros periodos.</t>
        </r>
      </text>
    </comment>
    <comment ref="C203" authorId="0">
      <text>
        <r>
          <rPr>
            <b/>
            <sz val="16"/>
            <color indexed="81"/>
            <rFont val="Tahoma"/>
            <family val="2"/>
          </rPr>
          <t xml:space="preserve">elemus:
por resolucion 1778 del 09 07 2014
reciben 1800 ton pasando desde 404,749 a 2204,749 segundo periodo, quedando igual los otros periodos
</t>
        </r>
      </text>
    </comment>
    <comment ref="C206" authorId="0">
      <text>
        <r>
          <rPr>
            <b/>
            <sz val="18"/>
            <color indexed="81"/>
            <rFont val="Tahoma"/>
            <family val="2"/>
          </rPr>
          <t>elemus:</t>
        </r>
        <r>
          <rPr>
            <sz val="18"/>
            <color indexed="81"/>
            <rFont val="Tahoma"/>
            <family val="2"/>
          </rPr>
          <t xml:space="preserve">
por resolucion 2823 del 23 10 2014
ceden 1,788 tons de anchoveta 
desde 1,788 a 0,00 (3P);  = 1 y 2 p</t>
        </r>
      </text>
    </comment>
    <comment ref="C208" authorId="0">
      <text>
        <r>
          <rPr>
            <b/>
            <sz val="16"/>
            <color indexed="81"/>
            <rFont val="Tahoma"/>
            <family val="2"/>
          </rPr>
          <t>elemus:
por resolucion 1598 del 18 06 2014
reciben 910 ton desde Tumbes Thno VIIIR
pasando desde 1368,909 a 2278,909 segundo periodo, quedando igual los otros periodos
por resolucion 1802 del 10 07 2014
reciben 1300 ton pasando desde 2278,909  a 3578,909 segundo periodo, quedando igual los otros periodos
por resolucion 1968 del 29 07 2014
reciben 800 ton pasando desde 3578,909 a 4378,909 segundo periodo, quedando igual los otros periodos
por resolucion 1969 del 29 07 2014
reciben 160 ton pasando desde 4378,909 a 4538,909 segundo periodo, quedando igual los otros periodos</t>
        </r>
      </text>
    </comment>
    <comment ref="C222" authorId="0">
      <text>
        <r>
          <rPr>
            <b/>
            <sz val="18"/>
            <color indexed="81"/>
            <rFont val="Tahoma"/>
            <family val="2"/>
          </rPr>
          <t>elemus:</t>
        </r>
        <r>
          <rPr>
            <sz val="18"/>
            <color indexed="81"/>
            <rFont val="Tahoma"/>
            <family val="2"/>
          </rPr>
          <t xml:space="preserve">
por resolucion 2788 del 21 10 2014
reciben 400 ton pasando desde 269,807 a 669,807 3P,  2P y 1P igual</t>
        </r>
      </text>
    </comment>
    <comment ref="C226" authorId="0">
      <text>
        <r>
          <rPr>
            <b/>
            <sz val="18"/>
            <color indexed="81"/>
            <rFont val="Tahoma"/>
            <family val="2"/>
          </rPr>
          <t>elemus:</t>
        </r>
        <r>
          <rPr>
            <sz val="18"/>
            <color indexed="81"/>
            <rFont val="Tahoma"/>
            <family val="2"/>
          </rPr>
          <t xml:space="preserve">
por resolucion 2823 del 23 10 2014
ceden 489,547 tons de S comun
desde 279,986 + 139,698 + 69,863 a 0,00 anual </t>
        </r>
      </text>
    </comment>
    <comment ref="C241" authorId="0">
      <text>
        <r>
          <rPr>
            <b/>
            <sz val="18"/>
            <color indexed="81"/>
            <rFont val="Tahoma"/>
            <family val="2"/>
          </rPr>
          <t xml:space="preserve">elemus:
por reso 973 del 07 04 2014
se modifica la estructura de distribucion completa del RAE S comun X
</t>
        </r>
        <r>
          <rPr>
            <sz val="18"/>
            <color indexed="81"/>
            <rFont val="Tahoma"/>
            <family val="2"/>
          </rPr>
          <t xml:space="preserve">
</t>
        </r>
      </text>
    </comment>
    <comment ref="C242" authorId="0">
      <text>
        <r>
          <rPr>
            <b/>
            <sz val="16"/>
            <color indexed="81"/>
            <rFont val="Tahoma"/>
            <family val="2"/>
          </rPr>
          <t>elemus:
por resolucion 1070 del 21 04 2014
CEDEN 1130 ton desde a GEMAR AG pasando desde 1856,973 a 726,973 primer periodo, quedando igual el segundo periodo
por resolucion 1550 del 11 06 2014
CEDEN 250 ton a ACERMAR AG XIV R
pasando desde 726,973 a 476,973 primer periodo, quedando igual el segundo periodo
por resolucion 1599 del 18 06 2014
CEDEN 300 ton a armador VIII R
pasando desde 476,973 y 464,219 a 216,973 y 424,219</t>
        </r>
      </text>
    </comment>
    <comment ref="C243" authorId="0">
      <text>
        <r>
          <rPr>
            <b/>
            <sz val="18"/>
            <color indexed="81"/>
            <rFont val="Tahoma"/>
            <family val="2"/>
          </rPr>
          <t>elemus:</t>
        </r>
        <r>
          <rPr>
            <sz val="18"/>
            <color indexed="81"/>
            <rFont val="Tahoma"/>
            <family val="2"/>
          </rPr>
          <t xml:space="preserve">
por resolucion 1970 del 29 07 2014
ceden 350 ton pasando desde 324,792 a 30,414 1P; y 81,194 a 25,572 2P </t>
        </r>
      </text>
    </comment>
    <comment ref="C244" authorId="0">
      <text>
        <r>
          <rPr>
            <b/>
            <sz val="18"/>
            <color indexed="81"/>
            <rFont val="Tahoma"/>
            <family val="2"/>
          </rPr>
          <t>elemus:</t>
        </r>
        <r>
          <rPr>
            <sz val="18"/>
            <color indexed="81"/>
            <rFont val="Tahoma"/>
            <family val="2"/>
          </rPr>
          <t xml:space="preserve">
por resolucion 1003 del 10 04 2014
se ceden 500 ton de sardina comun desde 3613,405 a 3113,405. Segundo periodo igual.
por resolucion 1004 del 10 04 2014
se ceden 500 ton de sardina comun desde 3113,405 a 2613,405. Segundo periodo igual.
por resolucion 1153 del 28 04 2014
se ceden 500 ton de sardina comun desde 2613,405 A 2113,405. Segundo periodo igual.
por resolucion 1771 del 09 07 2014
se ceden 2000 ton de SC
desde 2113,405 a 135,456 1P y 903,308 a 881,257 2P. </t>
        </r>
      </text>
    </comment>
    <comment ref="C245" authorId="0">
      <text>
        <r>
          <rPr>
            <b/>
            <sz val="18"/>
            <color indexed="81"/>
            <rFont val="Tahoma"/>
            <family val="2"/>
          </rPr>
          <t>elemus:</t>
        </r>
        <r>
          <rPr>
            <sz val="18"/>
            <color indexed="81"/>
            <rFont val="Tahoma"/>
            <family val="2"/>
          </rPr>
          <t xml:space="preserve">
por resolucion 953 del 03 04 2014
se ceden 5000 ton de sardina comuquedando en 19,89 y 239,114  (por resol 973 del 07 04 2014 se aumenta cuota a todo el RAE X)
por resolucion 1778 del 09 07 2014
se ceden 2380 ton desde 2265,433 a 59,680 1P y desde 800,414 a 626,167 </t>
        </r>
      </text>
    </comment>
    <comment ref="C246" authorId="0">
      <text>
        <r>
          <rPr>
            <b/>
            <sz val="18"/>
            <color indexed="81"/>
            <rFont val="Tahoma"/>
            <family val="2"/>
          </rPr>
          <t>elemus:</t>
        </r>
        <r>
          <rPr>
            <sz val="18"/>
            <color indexed="81"/>
            <rFont val="Tahoma"/>
            <family val="2"/>
          </rPr>
          <t xml:space="preserve">
por resolucion 1794 del 10 07 2014
se ceden 1100 ton pasando desde 1807,547 a 707,547 1P a 2P igual</t>
        </r>
      </text>
    </comment>
    <comment ref="C247" authorId="0">
      <text>
        <r>
          <rPr>
            <b/>
            <sz val="18"/>
            <color indexed="81"/>
            <rFont val="Tahoma"/>
            <family val="2"/>
          </rPr>
          <t>elemus:</t>
        </r>
        <r>
          <rPr>
            <sz val="18"/>
            <color indexed="81"/>
            <rFont val="Tahoma"/>
            <family val="2"/>
          </rPr>
          <t xml:space="preserve">
por resolucion 1601 del 18 06 2014
se ceden 350 ton desde 549,877 a 199,877 1P
2P =</t>
        </r>
      </text>
    </comment>
    <comment ref="C250" authorId="0">
      <text>
        <r>
          <rPr>
            <b/>
            <sz val="18"/>
            <color indexed="81"/>
            <rFont val="Tahoma"/>
            <family val="2"/>
          </rPr>
          <t>elemus:</t>
        </r>
        <r>
          <rPr>
            <sz val="18"/>
            <color indexed="81"/>
            <rFont val="Tahoma"/>
            <family val="2"/>
          </rPr>
          <t xml:space="preserve">
por resolucion 2181 del 20 08 2014
se ceden 200 ton desde 692,896 a 492,896 1P
2P =
por resolucion 2223 del 25 08 2014
se ceden 500 ton desde 492,896 a 0 1P; 173,215 a 166,111 2P</t>
        </r>
      </text>
    </comment>
    <comment ref="C253" authorId="0">
      <text>
        <r>
          <rPr>
            <b/>
            <sz val="16"/>
            <color indexed="81"/>
            <rFont val="Tahoma"/>
            <family val="2"/>
          </rPr>
          <t>elemus:
por resolucion 1698 del 02 07 2014
ceden 3431 ton desde 3459,311 a 28,311 1P, 
=2P
por resolucion 1966 del 29 07 2014
ceden 677 ton desde 28,311 a 17,73 1P, 
 y 864,782 a 198,363 2P</t>
        </r>
      </text>
    </comment>
    <comment ref="C258" authorId="0">
      <text>
        <r>
          <rPr>
            <b/>
            <sz val="16"/>
            <color indexed="81"/>
            <rFont val="Tahoma"/>
            <family val="2"/>
          </rPr>
          <t>elemus:
por resolucion 2245 del 26 08 2014
CEDEN 170 ton a armador VIII R
pasando desde 424,219 y 254,219 2P; 1P =</t>
        </r>
      </text>
    </comment>
    <comment ref="C260" authorId="0">
      <text>
        <r>
          <rPr>
            <b/>
            <sz val="18"/>
            <color indexed="81"/>
            <rFont val="Tahoma"/>
            <family val="2"/>
          </rPr>
          <t>elemus:</t>
        </r>
        <r>
          <rPr>
            <sz val="18"/>
            <color indexed="81"/>
            <rFont val="Tahoma"/>
            <family val="2"/>
          </rPr>
          <t xml:space="preserve">
por resolucion 2180 del 20 08 2014
ceden 500 ton desde 881,257 a 381,2578 2P
por resolucion 2224 del 25 08 2014
ceden 150 ton desde 381,257 a 231,257 2P
por resolucion 2650 del 09 10 2014
ceden 141,420 ton desde 231,257 a 89,837 2P; 1p =</t>
        </r>
      </text>
    </comment>
    <comment ref="C262" authorId="0">
      <text>
        <r>
          <rPr>
            <b/>
            <sz val="18"/>
            <color indexed="81"/>
            <rFont val="Tahoma"/>
            <family val="2"/>
          </rPr>
          <t>elemus:</t>
        </r>
        <r>
          <rPr>
            <sz val="18"/>
            <color indexed="81"/>
            <rFont val="Tahoma"/>
            <family val="2"/>
          </rPr>
          <t xml:space="preserve">
por resolucion 2788 del 21 10 2014
se ceden 400 ton pasando desde 451,863 a 51,863 2P a 1P igual</t>
        </r>
      </text>
    </comment>
    <comment ref="C266" authorId="0">
      <text>
        <r>
          <rPr>
            <b/>
            <sz val="18"/>
            <color indexed="81"/>
            <rFont val="Tahoma"/>
            <family val="2"/>
          </rPr>
          <t>elemus:</t>
        </r>
        <r>
          <rPr>
            <sz val="18"/>
            <color indexed="81"/>
            <rFont val="Tahoma"/>
            <family val="2"/>
          </rPr>
          <t xml:space="preserve">
por resolucion 2652 del 09 10 2014
se ceden 16 ton desde 166,111 a 150,111 2P
1P =
por resolucion 2653 del 09 10 2014
ceden 150 ton desde 150,111 2P a 0,111; 
1P =</t>
        </r>
      </text>
    </comment>
    <comment ref="C269" authorId="1">
      <text>
        <r>
          <rPr>
            <b/>
            <sz val="8"/>
            <color indexed="81"/>
            <rFont val="Tahoma"/>
            <family val="2"/>
          </rPr>
          <t>enorero:</t>
        </r>
        <r>
          <rPr>
            <sz val="8"/>
            <color indexed="81"/>
            <rFont val="Tahoma"/>
            <family val="2"/>
          </rPr>
          <t xml:space="preserve">
enorero:
resl NO: 1966/ 29-07-2014 modifca 2do períod de 864.782 a 198.363
</t>
        </r>
      </text>
    </comment>
  </commentList>
</comments>
</file>

<file path=xl/comments7.xml><?xml version="1.0" encoding="utf-8"?>
<comments xmlns="http://schemas.openxmlformats.org/spreadsheetml/2006/main">
  <authors>
    <author>ACHAMORRO</author>
    <author>FBARRA</author>
  </authors>
  <commentList>
    <comment ref="M10" authorId="0">
      <text>
        <r>
          <rPr>
            <b/>
            <sz val="8"/>
            <color indexed="81"/>
            <rFont val="Tahoma"/>
            <family val="2"/>
          </rPr>
          <t>ACHAMORRO:</t>
        </r>
        <r>
          <rPr>
            <sz val="11"/>
            <color indexed="81"/>
            <rFont val="Tahoma"/>
            <family val="2"/>
          </rPr>
          <t xml:space="preserve">
GOLFO 41815</t>
        </r>
      </text>
    </comment>
    <comment ref="N10" authorId="0">
      <text>
        <r>
          <rPr>
            <b/>
            <sz val="8"/>
            <color indexed="81"/>
            <rFont val="Tahoma"/>
            <family val="2"/>
          </rPr>
          <t>ACHAMORRO:</t>
        </r>
        <r>
          <rPr>
            <sz val="8"/>
            <color indexed="81"/>
            <rFont val="Tahoma"/>
            <family val="2"/>
          </rPr>
          <t xml:space="preserve">
</t>
        </r>
        <r>
          <rPr>
            <sz val="10"/>
            <color indexed="81"/>
            <rFont val="Tahoma"/>
            <family val="2"/>
          </rPr>
          <t>BORRACHA II 42.17
EL CHILE 48.985
YAHVE DE ISRAEL 50.34
MAR ESTRELLA IV 41.89
GOLFO 68.52
ARIES I   13.219</t>
        </r>
      </text>
    </comment>
    <comment ref="O10" authorId="0">
      <text>
        <r>
          <rPr>
            <b/>
            <sz val="8"/>
            <color indexed="81"/>
            <rFont val="Tahoma"/>
            <family val="2"/>
          </rPr>
          <t>ACHAMORRO:</t>
        </r>
        <r>
          <rPr>
            <sz val="8"/>
            <color indexed="81"/>
            <rFont val="Tahoma"/>
            <family val="2"/>
          </rPr>
          <t xml:space="preserve">
J</t>
        </r>
        <r>
          <rPr>
            <sz val="10"/>
            <color indexed="81"/>
            <rFont val="Tahoma"/>
            <family val="2"/>
          </rPr>
          <t>ORDAN 47.015
DON HERNAN 30.925
OYSTER III 55.79
borracha ii 70.85
DON HERNAN 69.78
EL CHILE 71.87
JORDAN 69.115
YAHVE 72.345
OYSTER III 71.067
DON RAFAEL 45.25
golfo 61.34
nortwestern 72.885
ARIES I 68.63</t>
        </r>
      </text>
    </comment>
    <comment ref="Q10" authorId="0">
      <text>
        <r>
          <rPr>
            <b/>
            <sz val="8"/>
            <color indexed="81"/>
            <rFont val="Tahoma"/>
            <family val="2"/>
          </rPr>
          <t>ACHAMORRO:</t>
        </r>
        <r>
          <rPr>
            <sz val="8"/>
            <color indexed="81"/>
            <rFont val="Tahoma"/>
            <family val="2"/>
          </rPr>
          <t xml:space="preserve">
</t>
        </r>
        <r>
          <rPr>
            <sz val="10"/>
            <color indexed="81"/>
            <rFont val="Tahoma"/>
            <family val="2"/>
          </rPr>
          <t xml:space="preserve">BORRACHA II 12.865
don rafael 12.535
yahve 11.193
el chile 11.73
golfo 8.69
jordan 18.294
oyster 10.773
mar estrella iv 11.685
</t>
        </r>
      </text>
    </comment>
    <comment ref="R10" authorId="0">
      <text>
        <r>
          <rPr>
            <b/>
            <sz val="8"/>
            <color indexed="81"/>
            <rFont val="Tahoma"/>
            <family val="2"/>
          </rPr>
          <t>ACHAMORRO:</t>
        </r>
        <r>
          <rPr>
            <sz val="8"/>
            <color indexed="81"/>
            <rFont val="Tahoma"/>
            <family val="2"/>
          </rPr>
          <t xml:space="preserve">
</t>
        </r>
        <r>
          <rPr>
            <sz val="10"/>
            <color indexed="81"/>
            <rFont val="Tahoma"/>
            <family val="2"/>
          </rPr>
          <t>nortwester 2.999
golfo 3.47
el chile 20.8
don hernan 15.089</t>
        </r>
      </text>
    </comment>
    <comment ref="S10" authorId="0">
      <text>
        <r>
          <rPr>
            <b/>
            <sz val="8"/>
            <color indexed="81"/>
            <rFont val="Tahoma"/>
            <family val="2"/>
          </rPr>
          <t>ACHAMORRO:</t>
        </r>
        <r>
          <rPr>
            <sz val="8"/>
            <color indexed="81"/>
            <rFont val="Tahoma"/>
            <family val="2"/>
          </rPr>
          <t xml:space="preserve">
</t>
        </r>
        <r>
          <rPr>
            <sz val="10"/>
            <color indexed="81"/>
            <rFont val="Tahoma"/>
            <family val="2"/>
          </rPr>
          <t>JORDAN 7.805
EL CHILE 3
YAHVE 5.79
NORTHWESTERN 6.15
OYESTER 12.58
DON RAFAEL 4.63</t>
        </r>
      </text>
    </comment>
    <comment ref="T10" authorId="0">
      <text>
        <r>
          <rPr>
            <b/>
            <sz val="8"/>
            <color indexed="81"/>
            <rFont val="Tahoma"/>
            <family val="2"/>
          </rPr>
          <t>ACHAMORRO:</t>
        </r>
        <r>
          <rPr>
            <sz val="8"/>
            <color indexed="81"/>
            <rFont val="Tahoma"/>
            <family val="2"/>
          </rPr>
          <t xml:space="preserve">
</t>
        </r>
        <r>
          <rPr>
            <sz val="10"/>
            <color indexed="81"/>
            <rFont val="Tahoma"/>
            <family val="2"/>
          </rPr>
          <t>BORRACHA II 39.512
el chile 8.681
jordan 39.452
yahve de israel 24.476
ARIES 44.36
NORTHWESTERN 9.575
OYSTER 46.884
DON RAFAEL 44.156
GOLFO 29.1</t>
        </r>
      </text>
    </comment>
    <comment ref="U10" authorId="0">
      <text>
        <r>
          <rPr>
            <b/>
            <sz val="8"/>
            <color indexed="81"/>
            <rFont val="Tahoma"/>
            <family val="2"/>
          </rPr>
          <t>ACHAMORRO:</t>
        </r>
        <r>
          <rPr>
            <sz val="8"/>
            <color indexed="81"/>
            <rFont val="Tahoma"/>
            <family val="2"/>
          </rPr>
          <t xml:space="preserve">
</t>
        </r>
        <r>
          <rPr>
            <sz val="10"/>
            <color indexed="81"/>
            <rFont val="Tahoma"/>
            <family val="2"/>
          </rPr>
          <t>MAR ESTRELLA IV 21.675
BORRACHA 18.713
EL CHILE 42.166
golfo 33.003
don rafael 15.156
oyster iii 59.426
don hernan 31.542
MAR ESTRELLA IV 39.121
NORTWESTERN 67.751</t>
        </r>
      </text>
    </comment>
    <comment ref="V10" authorId="0">
      <text>
        <r>
          <rPr>
            <b/>
            <sz val="8"/>
            <color indexed="81"/>
            <rFont val="Tahoma"/>
            <family val="2"/>
          </rPr>
          <t>ACHAMORRO:</t>
        </r>
        <r>
          <rPr>
            <sz val="8"/>
            <color indexed="81"/>
            <rFont val="Tahoma"/>
            <family val="2"/>
          </rPr>
          <t xml:space="preserve">
</t>
        </r>
        <r>
          <rPr>
            <sz val="10"/>
            <color indexed="81"/>
            <rFont val="Tahoma"/>
            <family val="2"/>
          </rPr>
          <t>YHAVE 61.734
JORDAN 60.733
OYETER 38.908
BORRACHA 63.427
jordan 59.122
yhave 55.414
ARIES I 25.869
aries i 78.316</t>
        </r>
      </text>
    </comment>
    <comment ref="W10" authorId="0">
      <text>
        <r>
          <rPr>
            <b/>
            <sz val="8"/>
            <color indexed="81"/>
            <rFont val="Tahoma"/>
            <family val="2"/>
          </rPr>
          <t>ACHAMORRO:</t>
        </r>
        <r>
          <rPr>
            <sz val="8"/>
            <color indexed="81"/>
            <rFont val="Tahoma"/>
            <family val="2"/>
          </rPr>
          <t xml:space="preserve">
</t>
        </r>
        <r>
          <rPr>
            <sz val="10"/>
            <color indexed="81"/>
            <rFont val="Tahoma"/>
            <family val="2"/>
          </rPr>
          <t>DON RAFAEL 26.355
el chile 36.328
NORTWESTERN 66.041
GOLFO 29.086
MAR ESTRRELLA IV 21
DON HERNAN 55.48</t>
        </r>
      </text>
    </comment>
    <comment ref="AE10" authorId="0">
      <text>
        <r>
          <rPr>
            <b/>
            <sz val="8"/>
            <color indexed="81"/>
            <rFont val="Tahoma"/>
            <family val="2"/>
          </rPr>
          <t>ACHAMORRO:</t>
        </r>
        <r>
          <rPr>
            <sz val="8"/>
            <color indexed="81"/>
            <rFont val="Tahoma"/>
            <family val="2"/>
          </rPr>
          <t xml:space="preserve">
</t>
        </r>
        <r>
          <rPr>
            <sz val="10"/>
            <color indexed="81"/>
            <rFont val="Tahoma"/>
            <family val="2"/>
          </rPr>
          <t>DON RAFAEL 0.813
BORRACHA  1.252
NORTWESTERN 2.571
MAR ESTRRELLA 14.475
YHAVE 0.852
JORDAN 5.103
ARIES I 25.764
golfo 0.178</t>
        </r>
      </text>
    </comment>
    <comment ref="AG10" authorId="0">
      <text>
        <r>
          <rPr>
            <b/>
            <sz val="8"/>
            <color indexed="81"/>
            <rFont val="Tahoma"/>
            <family val="2"/>
          </rPr>
          <t>ACHAMORRO:</t>
        </r>
        <r>
          <rPr>
            <sz val="8"/>
            <color indexed="81"/>
            <rFont val="Tahoma"/>
            <family val="2"/>
          </rPr>
          <t xml:space="preserve">
</t>
        </r>
        <r>
          <rPr>
            <sz val="10"/>
            <color indexed="81"/>
            <rFont val="Tahoma"/>
            <family val="2"/>
          </rPr>
          <t xml:space="preserve">OYSTER III    4.821
don rafael 5.584
EL CHILE 0.418
BORRACHA 4.119
NORTWSTERN 3.343
golfo 1.406
</t>
        </r>
      </text>
    </comment>
    <comment ref="C11" authorId="0">
      <text>
        <r>
          <rPr>
            <b/>
            <sz val="8"/>
            <color indexed="81"/>
            <rFont val="Tahoma"/>
            <family val="2"/>
          </rPr>
          <t>ACHAMORRO:</t>
        </r>
        <r>
          <rPr>
            <sz val="8"/>
            <color indexed="81"/>
            <rFont val="Tahoma"/>
            <family val="2"/>
          </rPr>
          <t xml:space="preserve">
</t>
        </r>
        <r>
          <rPr>
            <sz val="10"/>
            <color indexed="81"/>
            <rFont val="Tahoma"/>
            <family val="2"/>
          </rPr>
          <t>ARIES 33.133</t>
        </r>
        <r>
          <rPr>
            <sz val="8"/>
            <color indexed="81"/>
            <rFont val="Tahoma"/>
            <family val="2"/>
          </rPr>
          <t xml:space="preserve">
</t>
        </r>
      </text>
    </comment>
    <comment ref="E11" authorId="0">
      <text>
        <r>
          <rPr>
            <b/>
            <sz val="8"/>
            <color indexed="81"/>
            <rFont val="Tahoma"/>
            <family val="2"/>
          </rPr>
          <t>ACHAMORRO:</t>
        </r>
        <r>
          <rPr>
            <sz val="8"/>
            <color indexed="81"/>
            <rFont val="Tahoma"/>
            <family val="2"/>
          </rPr>
          <t xml:space="preserve">
</t>
        </r>
        <r>
          <rPr>
            <sz val="10"/>
            <color indexed="81"/>
            <rFont val="Tahoma"/>
            <family val="2"/>
          </rPr>
          <t>golfo 42.25
oyster iii 16.61
aries i 36.08</t>
        </r>
      </text>
    </comment>
    <comment ref="F11" authorId="0">
      <text>
        <r>
          <rPr>
            <b/>
            <sz val="8"/>
            <color indexed="81"/>
            <rFont val="Tahoma"/>
            <family val="2"/>
          </rPr>
          <t>ACHAMORRO:</t>
        </r>
        <r>
          <rPr>
            <sz val="8"/>
            <color indexed="81"/>
            <rFont val="Tahoma"/>
            <family val="2"/>
          </rPr>
          <t xml:space="preserve">
</t>
        </r>
        <r>
          <rPr>
            <sz val="10"/>
            <color indexed="81"/>
            <rFont val="Tahoma"/>
            <family val="2"/>
          </rPr>
          <t>DON HERNAN 6.216
JORDAN 64.217
EL CHILE 7.085
yhave 17.885
don rafael 5.027
nortwestern 15.98
golfo 17.488
aries i 44.54</t>
        </r>
      </text>
    </comment>
    <comment ref="G11" authorId="0">
      <text>
        <r>
          <rPr>
            <b/>
            <sz val="8"/>
            <color indexed="81"/>
            <rFont val="Tahoma"/>
            <family val="2"/>
          </rPr>
          <t>ACHAMORRO:</t>
        </r>
        <r>
          <rPr>
            <sz val="8"/>
            <color indexed="81"/>
            <rFont val="Tahoma"/>
            <family val="2"/>
          </rPr>
          <t xml:space="preserve">
</t>
        </r>
        <r>
          <rPr>
            <sz val="10"/>
            <color indexed="81"/>
            <rFont val="Tahoma"/>
            <family val="2"/>
          </rPr>
          <t>EL CHILE 9.959
YHAVE  4.049
borracha 7.56
borracha 5.443
oyster  12.541
golfo 6.091
mar estrella 9.079
aries 0.485</t>
        </r>
      </text>
    </comment>
    <comment ref="H11" authorId="0">
      <text>
        <r>
          <rPr>
            <b/>
            <sz val="8"/>
            <color indexed="81"/>
            <rFont val="Tahoma"/>
            <family val="2"/>
          </rPr>
          <t>ACHAMORRO:</t>
        </r>
        <r>
          <rPr>
            <sz val="8"/>
            <color indexed="81"/>
            <rFont val="Tahoma"/>
            <family val="2"/>
          </rPr>
          <t xml:space="preserve">
</t>
        </r>
        <r>
          <rPr>
            <sz val="10"/>
            <color indexed="81"/>
            <rFont val="Tahoma"/>
            <family val="2"/>
          </rPr>
          <t>EL CHILE 12.649
DON HERNAN 25.755
JORDAN 2.222
borracha 44.649
oyster 15.537
don rafael 17.136
nortwestern 11.96
aries 26.779
28.486 don rafael</t>
        </r>
      </text>
    </comment>
    <comment ref="I11" authorId="0">
      <text>
        <r>
          <rPr>
            <b/>
            <sz val="8"/>
            <color indexed="81"/>
            <rFont val="Tahoma"/>
            <family val="2"/>
          </rPr>
          <t>ACHAMORRO:</t>
        </r>
        <r>
          <rPr>
            <sz val="8"/>
            <color indexed="81"/>
            <rFont val="Tahoma"/>
            <family val="2"/>
          </rPr>
          <t xml:space="preserve">
</t>
        </r>
        <r>
          <rPr>
            <sz val="10"/>
            <color indexed="81"/>
            <rFont val="Tahoma"/>
            <family val="2"/>
          </rPr>
          <t xml:space="preserve">jordan 24.161
yhave  25.938
nortwestern 23.412
mar estrella 19.926
</t>
        </r>
      </text>
    </comment>
    <comment ref="W11" authorId="0">
      <text>
        <r>
          <rPr>
            <sz val="10"/>
            <color indexed="81"/>
            <rFont val="Tahoma"/>
            <family val="2"/>
          </rPr>
          <t xml:space="preserve">ACHAMORRO:
</t>
        </r>
        <r>
          <rPr>
            <sz val="11"/>
            <color indexed="81"/>
            <rFont val="Tahoma"/>
            <family val="2"/>
          </rPr>
          <t>19.693 GOLFO (S/C)
0.402 GOLFO (MOTE)</t>
        </r>
        <r>
          <rPr>
            <b/>
            <sz val="11"/>
            <color indexed="81"/>
            <rFont val="Tahoma"/>
            <family val="2"/>
          </rPr>
          <t xml:space="preserve">
</t>
        </r>
      </text>
    </comment>
    <comment ref="X11" authorId="0">
      <text>
        <r>
          <rPr>
            <b/>
            <sz val="8"/>
            <color indexed="81"/>
            <rFont val="Tahoma"/>
            <family val="2"/>
          </rPr>
          <t>ACHAMORRO:</t>
        </r>
        <r>
          <rPr>
            <sz val="8"/>
            <color indexed="81"/>
            <rFont val="Tahoma"/>
            <family val="2"/>
          </rPr>
          <t xml:space="preserve">
</t>
        </r>
        <r>
          <rPr>
            <sz val="11"/>
            <color indexed="81"/>
            <rFont val="Tahoma"/>
            <family val="2"/>
          </rPr>
          <t>65.045 GOLFO 8s/c)
17.442 MAR ESTRELLA IV (S/C)
26.163 MAR ESTRELLA IV (ANCHOA)
67.73 Oyster (s/c)
6.231 ARIES I (S/C)
50414 ARIES (ANCHOVETA)
61.883 JORDAN (S/C)
9.247 Jordan (anchoveta)
46.308 yhave (s/c)
30.872 yhave (anchoa)
68.086 el chile (s/c)
6.734 el chile (anchoveta)
29.376 boracha (s/c)
44.064 borracha (anchoa)
72.629 don hernan (s/c)
2.246 don hernan (anchoa)
4.772 northwester (s/c)
74.768 nortwester (anchoa)</t>
        </r>
      </text>
    </comment>
    <comment ref="Y11" authorId="0">
      <text>
        <r>
          <rPr>
            <b/>
            <sz val="8"/>
            <color indexed="81"/>
            <rFont val="Tahoma"/>
            <family val="2"/>
          </rPr>
          <t>ACHAMORRO:</t>
        </r>
        <r>
          <rPr>
            <sz val="8"/>
            <color indexed="81"/>
            <rFont val="Tahoma"/>
            <family val="2"/>
          </rPr>
          <t xml:space="preserve">
</t>
        </r>
        <r>
          <rPr>
            <sz val="11"/>
            <color indexed="81"/>
            <rFont val="Tahoma"/>
            <family val="2"/>
          </rPr>
          <t>2.269 DON RAFAEL ( S/C)
35.551 DON RAFAEL (ANCHOA)
DON HERNAN 25.76 ( S/C)
GOLFO 68.175 (S/C)
YHAVE 36.56 (S/C)
JORDAN 67.18 (S/C)
EL CHILE 73.73 (S/C)
mar estrella 37.02 (s/c)
oyster 72825 (s/c)
don rafael 57.810 (s/c)</t>
        </r>
      </text>
    </comment>
    <comment ref="AB11" authorId="0">
      <text>
        <r>
          <rPr>
            <b/>
            <sz val="8"/>
            <color indexed="81"/>
            <rFont val="Tahoma"/>
            <family val="2"/>
          </rPr>
          <t>ACHAMORRO:</t>
        </r>
        <r>
          <rPr>
            <sz val="8"/>
            <color indexed="81"/>
            <rFont val="Tahoma"/>
            <family val="2"/>
          </rPr>
          <t xml:space="preserve">
</t>
        </r>
        <r>
          <rPr>
            <sz val="11"/>
            <color indexed="81"/>
            <rFont val="Tahoma"/>
            <family val="2"/>
          </rPr>
          <t xml:space="preserve">71.03 EL CHILE
70.88 YHAVE
68.08 OYSTER III
</t>
        </r>
      </text>
    </comment>
    <comment ref="AC11" authorId="0">
      <text>
        <r>
          <rPr>
            <b/>
            <sz val="8"/>
            <color indexed="81"/>
            <rFont val="Tahoma"/>
            <family val="2"/>
          </rPr>
          <t>ACHAMORRO:</t>
        </r>
        <r>
          <rPr>
            <sz val="8"/>
            <color indexed="81"/>
            <rFont val="Tahoma"/>
            <family val="2"/>
          </rPr>
          <t xml:space="preserve">
</t>
        </r>
        <r>
          <rPr>
            <sz val="11"/>
            <color indexed="81"/>
            <rFont val="Tahoma"/>
            <family val="2"/>
          </rPr>
          <t>73.6</t>
        </r>
        <r>
          <rPr>
            <sz val="8"/>
            <color indexed="81"/>
            <rFont val="Tahoma"/>
            <family val="2"/>
          </rPr>
          <t xml:space="preserve"> </t>
        </r>
        <r>
          <rPr>
            <sz val="11"/>
            <color indexed="81"/>
            <rFont val="Tahoma"/>
            <family val="2"/>
          </rPr>
          <t xml:space="preserve">BORRACHA 
70.495 JORDAN
73 DON HERNAN
70.37 DON RAFAEL
65.905  GOLFO 
42.32 MAR ESTRELLA
73.495 NORTWESTERN
65.080 ARIES
</t>
        </r>
      </text>
    </comment>
    <comment ref="AF11" authorId="0">
      <text>
        <r>
          <rPr>
            <b/>
            <sz val="8"/>
            <color indexed="81"/>
            <rFont val="Tahoma"/>
            <family val="2"/>
          </rPr>
          <t>ACHAMORRO:</t>
        </r>
        <r>
          <rPr>
            <sz val="8"/>
            <color indexed="81"/>
            <rFont val="Tahoma"/>
            <family val="2"/>
          </rPr>
          <t xml:space="preserve">
</t>
        </r>
        <r>
          <rPr>
            <sz val="11"/>
            <color indexed="81"/>
            <rFont val="Tahoma"/>
            <family val="2"/>
          </rPr>
          <t>75.475 ARIES I
69.055 DON ENZO
74.055  NOERTWESTERN
71.854 DON HERNAN
43.290 MARTINA IGNACIA
68.260 JORDAN
74.075 EL CHILE
73.110 YAHVE DE ISRAEL
69.760 DON RAFAEL
72.640 OYSTER III
41.965 MAR ESTRELLA IV
70.460. BORRACHA II
70.755 GOLFO</t>
        </r>
      </text>
    </comment>
    <comment ref="C12" authorId="1">
      <text>
        <r>
          <rPr>
            <b/>
            <sz val="8"/>
            <color indexed="81"/>
            <rFont val="Tahoma"/>
            <family val="2"/>
          </rPr>
          <t>FBARRA:</t>
        </r>
        <r>
          <rPr>
            <sz val="8"/>
            <color indexed="81"/>
            <rFont val="Tahoma"/>
            <family val="2"/>
          </rPr>
          <t xml:space="preserve">
</t>
        </r>
        <r>
          <rPr>
            <sz val="11"/>
            <color indexed="81"/>
            <rFont val="Tahoma"/>
            <family val="2"/>
          </rPr>
          <t xml:space="preserve">
13.041 YAHVE DE ISRAEL
12.716 EL CHILE
9.352 MARTINA IGNACIA
2.631 DON HERNAN
15.486 ARIES I
21.557 NORTHWESTERN
7.863 OYSTER III
2.487 MAR ESTRELLA IV
4.179 BORRACHA II
15.199 GOLFO</t>
        </r>
      </text>
    </comment>
    <comment ref="D12" authorId="1">
      <text>
        <r>
          <rPr>
            <b/>
            <sz val="8"/>
            <color indexed="81"/>
            <rFont val="Tahoma"/>
            <family val="2"/>
          </rPr>
          <t>FBARRA:</t>
        </r>
        <r>
          <rPr>
            <sz val="8"/>
            <color indexed="81"/>
            <rFont val="Tahoma"/>
            <family val="2"/>
          </rPr>
          <t xml:space="preserve">
</t>
        </r>
        <r>
          <rPr>
            <sz val="11"/>
            <color indexed="81"/>
            <rFont val="Tahoma"/>
            <family val="2"/>
          </rPr>
          <t xml:space="preserve">
17.502 JORDAN
8.654 DON RAFAEL</t>
        </r>
      </text>
    </comment>
    <comment ref="N26" authorId="0">
      <text>
        <r>
          <rPr>
            <b/>
            <sz val="8"/>
            <color indexed="81"/>
            <rFont val="Tahoma"/>
            <family val="2"/>
          </rPr>
          <t>ACHAMORRO:</t>
        </r>
        <r>
          <rPr>
            <sz val="8"/>
            <color indexed="81"/>
            <rFont val="Tahoma"/>
            <family val="2"/>
          </rPr>
          <t xml:space="preserve">
MARTINA IGNACIA 45.18</t>
        </r>
      </text>
    </comment>
    <comment ref="O26" authorId="0">
      <text>
        <r>
          <rPr>
            <b/>
            <sz val="8"/>
            <color indexed="81"/>
            <rFont val="Tahoma"/>
            <family val="2"/>
          </rPr>
          <t>ACHAMORRO:</t>
        </r>
        <r>
          <rPr>
            <sz val="8"/>
            <color indexed="81"/>
            <rFont val="Tahoma"/>
            <family val="2"/>
          </rPr>
          <t xml:space="preserve">
</t>
        </r>
        <r>
          <rPr>
            <sz val="11"/>
            <color indexed="81"/>
            <rFont val="Tahoma"/>
            <family val="2"/>
          </rPr>
          <t>martina ignacia 45.09
martina ignacia 16.94
MARINA II  26.49
DON ENZO  69.115</t>
        </r>
      </text>
    </comment>
    <comment ref="Q26" authorId="0">
      <text>
        <r>
          <rPr>
            <b/>
            <sz val="8"/>
            <color indexed="81"/>
            <rFont val="Tahoma"/>
            <family val="2"/>
          </rPr>
          <t>ACHAMORRO:</t>
        </r>
        <r>
          <rPr>
            <sz val="8"/>
            <color indexed="81"/>
            <rFont val="Tahoma"/>
            <family val="2"/>
          </rPr>
          <t xml:space="preserve">
</t>
        </r>
        <r>
          <rPr>
            <sz val="11"/>
            <color indexed="81"/>
            <rFont val="Tahoma"/>
            <family val="2"/>
          </rPr>
          <t>MARINA II 23.875</t>
        </r>
      </text>
    </comment>
    <comment ref="R26" authorId="0">
      <text>
        <r>
          <rPr>
            <b/>
            <sz val="8"/>
            <color indexed="81"/>
            <rFont val="Tahoma"/>
            <family val="2"/>
          </rPr>
          <t>ACHAMORRO:</t>
        </r>
        <r>
          <rPr>
            <sz val="8"/>
            <color indexed="81"/>
            <rFont val="Tahoma"/>
            <family val="2"/>
          </rPr>
          <t xml:space="preserve">
</t>
        </r>
        <r>
          <rPr>
            <sz val="10"/>
            <color indexed="81"/>
            <rFont val="Tahoma"/>
            <family val="2"/>
          </rPr>
          <t>MARTINA IGNACIA 19.468
MARTINA IGNACIA 7.07
DON ENZO 5.635</t>
        </r>
      </text>
    </comment>
    <comment ref="T26" authorId="0">
      <text>
        <r>
          <rPr>
            <b/>
            <sz val="8"/>
            <color indexed="81"/>
            <rFont val="Tahoma"/>
            <family val="2"/>
          </rPr>
          <t>ACHAMORRO:</t>
        </r>
        <r>
          <rPr>
            <sz val="8"/>
            <color indexed="81"/>
            <rFont val="Tahoma"/>
            <family val="2"/>
          </rPr>
          <t xml:space="preserve">
</t>
        </r>
        <r>
          <rPr>
            <sz val="10"/>
            <color indexed="81"/>
            <rFont val="Tahoma"/>
            <family val="2"/>
          </rPr>
          <t>MARTINA IGNACIA 40.874
MARINA II 13.236+ 10.378</t>
        </r>
      </text>
    </comment>
    <comment ref="U26" authorId="0">
      <text>
        <r>
          <rPr>
            <b/>
            <sz val="8"/>
            <color indexed="81"/>
            <rFont val="Tahoma"/>
            <family val="2"/>
          </rPr>
          <t>ACHAMORRO:</t>
        </r>
        <r>
          <rPr>
            <sz val="8"/>
            <color indexed="81"/>
            <rFont val="Tahoma"/>
            <family val="2"/>
          </rPr>
          <t xml:space="preserve">
</t>
        </r>
        <r>
          <rPr>
            <sz val="10"/>
            <color indexed="81"/>
            <rFont val="Tahoma"/>
            <family val="2"/>
          </rPr>
          <t>MARINA II 19.815
MARINA II 19.525
MARTINA IGNACIA 43.171
don enzo 41.970</t>
        </r>
      </text>
    </comment>
    <comment ref="V26" authorId="0">
      <text>
        <r>
          <rPr>
            <b/>
            <sz val="8"/>
            <color indexed="81"/>
            <rFont val="Tahoma"/>
            <family val="2"/>
          </rPr>
          <t>ACHAMORRO:</t>
        </r>
        <r>
          <rPr>
            <sz val="8"/>
            <color indexed="81"/>
            <rFont val="Tahoma"/>
            <family val="2"/>
          </rPr>
          <t xml:space="preserve">
</t>
        </r>
        <r>
          <rPr>
            <sz val="10"/>
            <color indexed="81"/>
            <rFont val="Tahoma"/>
            <family val="2"/>
          </rPr>
          <t>MARINA II 27.094
MARTINA 41.207
DON ENZO 51.82</t>
        </r>
      </text>
    </comment>
  </commentList>
</comments>
</file>

<file path=xl/comments8.xml><?xml version="1.0" encoding="utf-8"?>
<comments xmlns="http://schemas.openxmlformats.org/spreadsheetml/2006/main">
  <authors>
    <author>elemus</author>
  </authors>
  <commentList>
    <comment ref="O74" authorId="0">
      <text>
        <r>
          <rPr>
            <b/>
            <sz val="16"/>
            <color indexed="81"/>
            <rFont val="Tahoma"/>
            <family val="2"/>
          </rPr>
          <t>elemus:</t>
        </r>
        <r>
          <rPr>
            <sz val="16"/>
            <color indexed="81"/>
            <rFont val="Tahoma"/>
            <family val="2"/>
          </rPr>
          <t xml:space="preserve">
por informacion de la XIV</t>
        </r>
      </text>
    </comment>
    <comment ref="U75" authorId="0">
      <text>
        <r>
          <rPr>
            <b/>
            <sz val="18"/>
            <color indexed="81"/>
            <rFont val="Tahoma"/>
            <family val="2"/>
          </rPr>
          <t>elemus:</t>
        </r>
        <r>
          <rPr>
            <sz val="18"/>
            <color indexed="81"/>
            <rFont val="Tahoma"/>
            <family val="2"/>
          </rPr>
          <t xml:space="preserve">
IC desde darwin muñoz 70 tons
(ojo de las 70 toneladas una fracción ira a cesion industrial a artesanal resolucion cesion 801)</t>
        </r>
      </text>
    </comment>
    <comment ref="AQ77" authorId="0">
      <text>
        <r>
          <rPr>
            <b/>
            <sz val="18"/>
            <color indexed="81"/>
            <rFont val="Tahoma"/>
            <family val="2"/>
          </rPr>
          <t>elemus:</t>
        </r>
        <r>
          <rPr>
            <sz val="18"/>
            <color indexed="81"/>
            <rFont val="Tahoma"/>
            <family val="2"/>
          </rPr>
          <t xml:space="preserve">
se inicia cuota imprevistos</t>
        </r>
      </text>
    </comment>
    <comment ref="BH81" authorId="0">
      <text>
        <r>
          <rPr>
            <b/>
            <sz val="18"/>
            <color indexed="81"/>
            <rFont val="Tahoma"/>
            <family val="2"/>
          </rPr>
          <t>elemus:</t>
        </r>
        <r>
          <rPr>
            <sz val="18"/>
            <color indexed="81"/>
            <rFont val="Tahoma"/>
            <family val="2"/>
          </rPr>
          <t xml:space="preserve">
desde la XIV  alvaro guiñez
</t>
        </r>
      </text>
    </comment>
  </commentList>
</comments>
</file>

<file path=xl/comments9.xml><?xml version="1.0" encoding="utf-8"?>
<comments xmlns="http://schemas.openxmlformats.org/spreadsheetml/2006/main">
  <authors>
    <author>elemus</author>
    <author>asilva</author>
  </authors>
  <commentList>
    <comment ref="C6" authorId="0">
      <text>
        <r>
          <rPr>
            <b/>
            <sz val="18"/>
            <color indexed="81"/>
            <rFont val="Tahoma"/>
            <family val="2"/>
          </rPr>
          <t xml:space="preserve">elemus:
Por resolución 1149 de 28 04 2014, se modifica la estructura completa de la region 
</t>
        </r>
        <r>
          <rPr>
            <sz val="18"/>
            <color indexed="81"/>
            <rFont val="Tahoma"/>
            <family val="2"/>
          </rPr>
          <t xml:space="preserve">
</t>
        </r>
      </text>
    </comment>
    <comment ref="C8" authorId="0">
      <text>
        <r>
          <rPr>
            <b/>
            <sz val="18"/>
            <color indexed="81"/>
            <rFont val="Tahoma"/>
            <family val="2"/>
          </rPr>
          <t xml:space="preserve">elemus:
Por resolución 1989 de 30 07 2014, CEDEN 1000T
desde 4734,57 a 3734,57 1P; =2P
elemus:
Por resolución 3434 de 18 12 2014, CEDEN 500T
desde 43734,57 a 3234,57 1P; =2P
</t>
        </r>
      </text>
    </comment>
    <comment ref="C22" authorId="0">
      <text>
        <r>
          <rPr>
            <b/>
            <sz val="14"/>
            <color indexed="81"/>
            <rFont val="Tahoma"/>
            <family val="2"/>
          </rPr>
          <t>elemus:</t>
        </r>
        <r>
          <rPr>
            <sz val="14"/>
            <color indexed="81"/>
            <rFont val="Tahoma"/>
            <family val="2"/>
          </rPr>
          <t xml:space="preserve">
ceden 1400 tons a industrial 
por resolucion 460de 31 01 2014
pasando de 2683 a 1283, quedando igual el segundo periodo 
POR RESOLUCIÓN 1132 DEL 25 04 2014
SE MODIFICA ESTRUCTURA CUOTA JUREL V REGION, QUEDANDO EN 
1209 Y 137 LA AG SAN ANTONIO Y; 166 Y 9 EL RESIDUAL
</t>
        </r>
      </text>
    </comment>
    <comment ref="C27" authorId="0">
      <text>
        <r>
          <rPr>
            <b/>
            <sz val="14"/>
            <color indexed="81"/>
            <rFont val="Tahoma"/>
            <family val="2"/>
          </rPr>
          <t>elemus:</t>
        </r>
        <r>
          <rPr>
            <sz val="14"/>
            <color indexed="81"/>
            <rFont val="Tahoma"/>
            <family val="2"/>
          </rPr>
          <t xml:space="preserve">
ceden 1346 tons a industrial 
por resolucion 3346 de 11 12 2014
desde 1346 a 0
</t>
        </r>
      </text>
    </comment>
    <comment ref="C75" authorId="0">
      <text>
        <r>
          <rPr>
            <b/>
            <sz val="22"/>
            <color indexed="81"/>
            <rFont val="Tahoma"/>
            <family val="2"/>
          </rPr>
          <t>elemus:</t>
        </r>
        <r>
          <rPr>
            <sz val="18"/>
            <color indexed="81"/>
            <rFont val="Tahoma"/>
            <family val="2"/>
          </rPr>
          <t xml:space="preserve">
POR RESOLUCION 1133 DEL 25 04 2014 SE MODIFICA ESTRUCTURA COMPLETA DE LA DISTRIBUCION DE CUOTA JUREL X
</t>
        </r>
      </text>
    </comment>
    <comment ref="C78" authorId="1">
      <text>
        <r>
          <rPr>
            <b/>
            <sz val="18"/>
            <color indexed="81"/>
            <rFont val="Tahoma"/>
            <family val="2"/>
          </rPr>
          <t>asilva:</t>
        </r>
        <r>
          <rPr>
            <sz val="18"/>
            <color indexed="81"/>
            <rFont val="Tahoma"/>
            <family val="2"/>
          </rPr>
          <t xml:space="preserve">
Resol Nº 795/2014, traspaso de 100 ton al sector Industrial
Por resol 1633 del 19 06 2014 se rectifica resol 1133 
quedando el 1P en 509,882 e igual el 2P
por resolucion 1641 del 24 06 2014 ceden 345 tons a armador Ind quedando 1P en 164,882 e igual el 2P
por resolucion 2182 del 20 08 2014
se ceden 190 ton desde 164,882 y 32,03 a 6,912 y 0  1P y 2P 
</t>
        </r>
      </text>
    </comment>
    <comment ref="C79" authorId="1">
      <text>
        <r>
          <rPr>
            <b/>
            <sz val="18"/>
            <color indexed="81"/>
            <rFont val="Tahoma"/>
            <family val="2"/>
          </rPr>
          <t>ELEMUS</t>
        </r>
        <r>
          <rPr>
            <sz val="18"/>
            <color indexed="81"/>
            <rFont val="Tahoma"/>
            <family val="2"/>
          </rPr>
          <t xml:space="preserve">
Resol Nº 1814 11 07 2014, 
ceden 2300 ton a LANDES
desde 2187,858 a 0 y desde 114,902 a 2,76
</t>
        </r>
      </text>
    </comment>
    <comment ref="C80" authorId="1">
      <text>
        <r>
          <rPr>
            <b/>
            <sz val="18"/>
            <color indexed="81"/>
            <rFont val="Tahoma"/>
            <family val="2"/>
          </rPr>
          <t>ELEMUS</t>
        </r>
        <r>
          <rPr>
            <sz val="18"/>
            <color indexed="81"/>
            <rFont val="Tahoma"/>
            <family val="2"/>
          </rPr>
          <t xml:space="preserve">
Resol Nº 1193/2014, traspaso de 900 ton al ALIMAR (ind)
desde 1481,070 a 581,070 1P, =2P.
Resol Nº 1793 10 07 2014, ceden de 400 ton a FOODCORP
desde 581,070 a 181,07 1P, =2P.
</t>
        </r>
      </text>
    </comment>
    <comment ref="C86" authorId="1">
      <text>
        <r>
          <rPr>
            <b/>
            <sz val="18"/>
            <color indexed="81"/>
            <rFont val="Tahoma"/>
            <family val="2"/>
          </rPr>
          <t>ELEMUS</t>
        </r>
        <r>
          <rPr>
            <sz val="18"/>
            <color indexed="81"/>
            <rFont val="Tahoma"/>
            <family val="2"/>
          </rPr>
          <t xml:space="preserve">
por resol 1966 29 07 2014, ceden  220 toneladas desde 231,768 a 11,768; =2P
</t>
        </r>
      </text>
    </comment>
  </commentList>
</comments>
</file>

<file path=xl/comments10.xml><?xml version="1.0" encoding="utf-8"?>
<comments xmlns="http://schemas.openxmlformats.org/spreadsheetml/2006/main">
  <authors>
    <author>enorero</author>
  </authors>
  <commentList>
    <comment ref="G499" authorId="0">
      <text>
        <r>
          <rPr>
            <sz val="14"/>
            <color indexed="81"/>
            <rFont val="Tahoma"/>
            <family val="2"/>
          </rPr>
          <t>enorero:
en  la región eliminaron el valor de 2.25 tons. 
02-01-2015</t>
        </r>
      </text>
    </comment>
  </commentList>
</comments>
</file>

<file path=xl/comments11.xml><?xml version="1.0" encoding="utf-8"?>
<comments xmlns="http://schemas.openxmlformats.org/spreadsheetml/2006/main">
  <authors>
    <author>ginostroza</author>
    <author>elemus</author>
  </authors>
  <commentList>
    <comment ref="F9" authorId="0">
      <text>
        <r>
          <rPr>
            <b/>
            <sz val="8"/>
            <color indexed="81"/>
            <rFont val="Tahoma"/>
            <family val="2"/>
          </rPr>
          <t>ginostroza:</t>
        </r>
        <r>
          <rPr>
            <sz val="8"/>
            <color indexed="81"/>
            <rFont val="Tahoma"/>
            <family val="2"/>
          </rPr>
          <t xml:space="preserve">
incluyen 5848 kg correspondientes a Fauna acompañante, imputadas a Cuota general por cierre de fauna acompañante.</t>
        </r>
      </text>
    </comment>
    <comment ref="J9" authorId="0">
      <text>
        <r>
          <rPr>
            <b/>
            <sz val="8"/>
            <color indexed="81"/>
            <rFont val="Tahoma"/>
            <family val="2"/>
          </rPr>
          <t>ginostroza:</t>
        </r>
        <r>
          <rPr>
            <sz val="8"/>
            <color indexed="81"/>
            <rFont val="Tahoma"/>
            <family val="2"/>
          </rPr>
          <t xml:space="preserve">
incluyen 227 kg de la embarcación Kawescar, correspondiente a la fracción fauna acompañante cerrada,
El Armador será sancionado.</t>
        </r>
      </text>
    </comment>
    <comment ref="E120" authorId="1">
      <text>
        <r>
          <rPr>
            <b/>
            <sz val="14"/>
            <color indexed="81"/>
            <rFont val="Tahoma"/>
            <family val="2"/>
          </rPr>
          <t>elemus:</t>
        </r>
        <r>
          <rPr>
            <sz val="14"/>
            <color indexed="81"/>
            <rFont val="Tahoma"/>
            <family val="2"/>
          </rPr>
          <t xml:space="preserve">
de los dias 1, 2 y 3 de febrero 3146,65 (informado para el dia 03)
</t>
        </r>
        <r>
          <rPr>
            <sz val="8"/>
            <color indexed="81"/>
            <rFont val="Tahoma"/>
            <family val="2"/>
          </rPr>
          <t xml:space="preserve">
</t>
        </r>
      </text>
    </comment>
    <comment ref="G120" authorId="1">
      <text>
        <r>
          <rPr>
            <b/>
            <sz val="8"/>
            <color indexed="81"/>
            <rFont val="Tahoma"/>
            <family val="2"/>
          </rPr>
          <t>elemus:</t>
        </r>
        <r>
          <rPr>
            <sz val="8"/>
            <color indexed="81"/>
            <rFont val="Tahoma"/>
            <family val="2"/>
          </rPr>
          <t xml:space="preserve">
fechas de informe desde la regional
</t>
        </r>
      </text>
    </comment>
  </commentList>
</comments>
</file>

<file path=xl/comments12.xml><?xml version="1.0" encoding="utf-8"?>
<comments xmlns="http://schemas.openxmlformats.org/spreadsheetml/2006/main">
  <authors>
    <author>elemus</author>
  </authors>
  <commentList>
    <comment ref="C6" authorId="0">
      <text>
        <r>
          <rPr>
            <b/>
            <sz val="18"/>
            <color indexed="81"/>
            <rFont val="Tahoma"/>
            <family val="2"/>
          </rPr>
          <t>elemus:</t>
        </r>
        <r>
          <rPr>
            <sz val="18"/>
            <color indexed="81"/>
            <rFont val="Tahoma"/>
            <family val="2"/>
          </rPr>
          <t xml:space="preserve">
por resol 951 del 03 04 2014 se modifica cuota de asogfer quedando en 2258 y 46,08 primer y 2 periodo
</t>
        </r>
      </text>
    </comment>
    <comment ref="C9" authorId="0">
      <text>
        <r>
          <rPr>
            <b/>
            <sz val="18"/>
            <color indexed="81"/>
            <rFont val="Arial"/>
            <family val="2"/>
          </rPr>
          <t>elemus:</t>
        </r>
        <r>
          <rPr>
            <sz val="18"/>
            <color indexed="81"/>
            <rFont val="Arial"/>
            <family val="2"/>
          </rPr>
          <t xml:space="preserve">
por resol 1597 del 18 06 2014 se modifica la estructura de la cuota 
pasando desde 941 a 1343 1P, y desde 403 a 1el 2P
</t>
        </r>
      </text>
    </comment>
    <comment ref="C10" authorId="0">
      <text>
        <r>
          <rPr>
            <b/>
            <sz val="18"/>
            <color indexed="81"/>
            <rFont val="Arial"/>
            <family val="2"/>
          </rPr>
          <t>elemus:</t>
        </r>
        <r>
          <rPr>
            <sz val="18"/>
            <color indexed="81"/>
            <rFont val="Arial"/>
            <family val="2"/>
          </rPr>
          <t xml:space="preserve">
</t>
        </r>
        <r>
          <rPr>
            <sz val="16"/>
            <color indexed="81"/>
            <rFont val="Arial"/>
            <family val="2"/>
          </rPr>
          <t>por resol 517 del 07 02 2014 se modifica la estructura de la cuota 
pasando desde 299 a 494 1P, y desde 128 a 212 el 2P
por resol 1600 del 18 06 2014 ceden 300 a armador artesanal XR
pasando desde 494 a 194 1P, igual el 2P
por resol 2652 del 10 10 2014 ceden 150 
desde 194 a 44 1P, 375 2P</t>
        </r>
      </text>
    </comment>
    <comment ref="C12" authorId="0">
      <text>
        <r>
          <rPr>
            <b/>
            <sz val="18"/>
            <color indexed="81"/>
            <rFont val="Arial"/>
            <family val="2"/>
          </rPr>
          <t>elemus:</t>
        </r>
        <r>
          <rPr>
            <sz val="18"/>
            <color indexed="81"/>
            <rFont val="Arial"/>
            <family val="2"/>
          </rPr>
          <t xml:space="preserve">
por resol 517 del 07 02 2014 se modifica la estructura de la cuota 
pasando desde 2101 a 1906 1P, y desde 901 a 817 el 2P
</t>
        </r>
      </text>
    </comment>
    <comment ref="C16" authorId="0">
      <text>
        <r>
          <rPr>
            <b/>
            <sz val="18"/>
            <color indexed="81"/>
            <rFont val="Tahoma"/>
            <family val="2"/>
          </rPr>
          <t xml:space="preserve">elemus:
</t>
        </r>
        <r>
          <rPr>
            <sz val="18"/>
            <color indexed="81"/>
            <rFont val="Tahoma"/>
            <family val="2"/>
          </rPr>
          <t xml:space="preserve">Por Reso 541 del 16 09 2014
se modifica la estructura de distribucion completa del RAE S Austral X, desde 14770 a 12793 y 3926 a 9710 (18696 a 22503)
Por resol 2490 26 09 2014, se modifica la estructura del detalle de las organizaciones, alterando los valores de los segundos periodos.
</t>
        </r>
      </text>
    </comment>
    <comment ref="C22" authorId="0">
      <text>
        <r>
          <rPr>
            <b/>
            <sz val="18"/>
            <color indexed="81"/>
            <rFont val="Arial"/>
            <family val="2"/>
          </rPr>
          <t>elemus:</t>
        </r>
        <r>
          <rPr>
            <sz val="18"/>
            <color indexed="81"/>
            <rFont val="Arial"/>
            <family val="2"/>
          </rPr>
          <t xml:space="preserve">
</t>
        </r>
        <r>
          <rPr>
            <sz val="16"/>
            <color indexed="81"/>
            <rFont val="Arial"/>
            <family val="2"/>
          </rPr>
          <t xml:space="preserve">por resol 3027 del 11 11 2014 ceden 163 
desde 375 a 212 2P, = 1P
</t>
        </r>
      </text>
    </comment>
  </commentList>
</comments>
</file>

<file path=xl/comments13.xml><?xml version="1.0" encoding="utf-8"?>
<comments xmlns="http://schemas.openxmlformats.org/spreadsheetml/2006/main">
  <authors>
    <author>ENORERO</author>
    <author>elemus</author>
    <author>asilva</author>
    <author>yperez</author>
  </authors>
  <commentList>
    <comment ref="Q42" authorId="0">
      <text>
        <r>
          <rPr>
            <b/>
            <sz val="8"/>
            <color indexed="81"/>
            <rFont val="Tahoma"/>
            <family val="2"/>
          </rPr>
          <t>ENORERO:</t>
        </r>
        <r>
          <rPr>
            <sz val="8"/>
            <color indexed="81"/>
            <rFont val="Tahoma"/>
            <family val="2"/>
          </rPr>
          <t xml:space="preserve">
decreto 35/2013
</t>
        </r>
      </text>
    </comment>
    <comment ref="S45" authorId="1">
      <text>
        <r>
          <rPr>
            <b/>
            <sz val="8"/>
            <color indexed="81"/>
            <rFont val="Tahoma"/>
            <family val="2"/>
          </rPr>
          <t>elemus:</t>
        </r>
        <r>
          <rPr>
            <sz val="8"/>
            <color indexed="81"/>
            <rFont val="Tahoma"/>
            <family val="2"/>
          </rPr>
          <t xml:space="preserve">
IC de AMS
</t>
        </r>
      </text>
    </comment>
    <comment ref="M67" authorId="2">
      <text>
        <r>
          <rPr>
            <b/>
            <sz val="10"/>
            <color indexed="81"/>
            <rFont val="Tahoma"/>
            <family val="2"/>
          </rPr>
          <t>asilva:</t>
        </r>
        <r>
          <rPr>
            <sz val="10"/>
            <color indexed="81"/>
            <rFont val="Tahoma"/>
            <family val="2"/>
          </rPr>
          <t xml:space="preserve">
48,76   ton son la diferencia del desembarque de la antares IV del dia 11-12-14( se cargan a la asociacion)</t>
        </r>
      </text>
    </comment>
    <comment ref="R67" authorId="3">
      <text>
        <r>
          <rPr>
            <b/>
            <sz val="8"/>
            <color indexed="81"/>
            <rFont val="Tahoma"/>
            <family val="2"/>
          </rPr>
          <t>yperez:</t>
        </r>
        <r>
          <rPr>
            <sz val="8"/>
            <color indexed="81"/>
            <rFont val="Tahoma"/>
            <family val="2"/>
          </rPr>
          <t xml:space="preserve">
19.67 DE ANTARES + 17.73 DE DON ISAAC</t>
        </r>
      </text>
    </comment>
    <comment ref="L78" authorId="2">
      <text>
        <r>
          <rPr>
            <b/>
            <sz val="10"/>
            <color indexed="81"/>
            <rFont val="Tahoma"/>
            <family val="2"/>
          </rPr>
          <t>asilva:</t>
        </r>
        <r>
          <rPr>
            <sz val="10"/>
            <color indexed="81"/>
            <rFont val="Tahoma"/>
            <family val="2"/>
          </rPr>
          <t xml:space="preserve">
decia 39,72 ton.</t>
        </r>
      </text>
    </comment>
  </commentList>
</comments>
</file>

<file path=xl/comments14.xml><?xml version="1.0" encoding="utf-8"?>
<comments xmlns="http://schemas.openxmlformats.org/spreadsheetml/2006/main">
  <authors>
    <author>ENORERO</author>
  </authors>
  <commentList>
    <comment ref="A77" authorId="0">
      <text>
        <r>
          <rPr>
            <b/>
            <sz val="8"/>
            <color indexed="81"/>
            <rFont val="Tahoma"/>
            <family val="2"/>
          </rPr>
          <t>ENORERO:</t>
        </r>
        <r>
          <rPr>
            <sz val="8"/>
            <color indexed="81"/>
            <rFont val="Tahoma"/>
            <family val="2"/>
          </rPr>
          <t xml:space="preserve">
resl N° 693 del 23-03-2012 traspaso de industrial
</t>
        </r>
      </text>
    </comment>
    <comment ref="A86" authorId="0">
      <text>
        <r>
          <rPr>
            <b/>
            <sz val="8"/>
            <color indexed="81"/>
            <rFont val="Tahoma"/>
            <family val="2"/>
          </rPr>
          <t>ENORERO:</t>
        </r>
        <r>
          <rPr>
            <sz val="8"/>
            <color indexed="81"/>
            <rFont val="Tahoma"/>
            <family val="2"/>
          </rPr>
          <t xml:space="preserve">
resl. Ex. 698 del 27-03-2012, MAS RESL. EX. N° 1225/2012 AGREGA EMB. GAROTA II
</t>
        </r>
      </text>
    </comment>
  </commentList>
</comments>
</file>

<file path=xl/comments15.xml><?xml version="1.0" encoding="utf-8"?>
<comments xmlns="http://schemas.openxmlformats.org/spreadsheetml/2006/main">
  <authors>
    <author>elemus</author>
    <author>enorero</author>
  </authors>
  <commentList>
    <comment ref="A21" authorId="0">
      <text>
        <r>
          <rPr>
            <sz val="16"/>
            <color indexed="81"/>
            <rFont val="Tahoma"/>
            <family val="2"/>
          </rPr>
          <t xml:space="preserve">elemus:
(fauna acom 394
modificada por R ex 580 art 9?)
POR RE 710 PASA DE 139,462 A 94,742
</t>
        </r>
      </text>
    </comment>
    <comment ref="C22" authorId="0">
      <text>
        <r>
          <rPr>
            <b/>
            <sz val="16"/>
            <color indexed="81"/>
            <rFont val="Tahoma"/>
            <family val="2"/>
          </rPr>
          <t>elemus:
por resolucion 64 del 30 12 2014
RECIBEN 3,94 ton; desde 342,401 a 346,34 FA; = 1P y  2P</t>
        </r>
        <r>
          <rPr>
            <sz val="16"/>
            <color indexed="81"/>
            <rFont val="Tahoma"/>
            <family val="2"/>
          </rPr>
          <t xml:space="preserve">
</t>
        </r>
      </text>
    </comment>
    <comment ref="C51" authorId="0">
      <text>
        <r>
          <rPr>
            <b/>
            <sz val="16"/>
            <color indexed="81"/>
            <rFont val="Tahoma"/>
            <family val="2"/>
          </rPr>
          <t>elemus:
por resolucion 64 del 30 12 2014
CEDEN 3,94 ton; desde 8,655 a 4,72 FA; = 1P y  2P</t>
        </r>
        <r>
          <rPr>
            <sz val="16"/>
            <color indexed="81"/>
            <rFont val="Tahoma"/>
            <family val="2"/>
          </rPr>
          <t xml:space="preserve">
</t>
        </r>
      </text>
    </comment>
    <comment ref="C55" authorId="0">
      <text>
        <r>
          <rPr>
            <b/>
            <sz val="16"/>
            <color indexed="81"/>
            <rFont val="Tahoma"/>
            <family val="2"/>
          </rPr>
          <t>elemus:</t>
        </r>
        <r>
          <rPr>
            <sz val="16"/>
            <color indexed="81"/>
            <rFont val="Tahoma"/>
            <family val="2"/>
          </rPr>
          <t xml:space="preserve">
Por res 2533 del 09 09 2013
STI Tubes cede 600 tons de anchoveta a STI Cerqueros de Valdivia quedando:
fauna acompañante desde 1090 a 874</t>
        </r>
      </text>
    </comment>
    <comment ref="C58" authorId="0">
      <text>
        <r>
          <rPr>
            <b/>
            <sz val="8"/>
            <color indexed="81"/>
            <rFont val="Tahoma"/>
            <family val="2"/>
          </rPr>
          <t>elemus:</t>
        </r>
        <r>
          <rPr>
            <sz val="8"/>
            <color indexed="81"/>
            <rFont val="Tahoma"/>
            <family val="2"/>
          </rPr>
          <t xml:space="preserve">
modifica anchovet FA desde 725 a 820 ton
según res 879 01 04 2013
</t>
        </r>
      </text>
    </comment>
    <comment ref="A59" authorId="0">
      <text>
        <r>
          <rPr>
            <b/>
            <sz val="14"/>
            <color indexed="81"/>
            <rFont val="Arial"/>
            <family val="2"/>
          </rPr>
          <t>elemus:</t>
        </r>
        <r>
          <rPr>
            <sz val="14"/>
            <color indexed="81"/>
            <rFont val="Arial"/>
            <family val="2"/>
          </rPr>
          <t xml:space="preserve">
POR RES 1269 22 05 13 se modifica cuota para los dos periodos y FA, 
DESDE 259 TONS A 316 primer periodo, DESDE 14 A 17 SEGUNDO PERÍODO y desde 147 a 180 la FA</t>
        </r>
      </text>
    </comment>
    <comment ref="C59" authorId="0">
      <text>
        <r>
          <rPr>
            <b/>
            <sz val="16"/>
            <color indexed="81"/>
            <rFont val="Tahoma"/>
            <family val="2"/>
          </rPr>
          <t>elemus:
por resolucion 786 del 17 03 2014
se modifica la estructura de datos de cocholgue tome y residual como sigue
enero diciembre cocholgue desde 28,852 a 40,392</t>
        </r>
        <r>
          <rPr>
            <sz val="16"/>
            <color indexed="81"/>
            <rFont val="Tahoma"/>
            <family val="2"/>
          </rPr>
          <t xml:space="preserve">
enero Diciembre residual desde 60,591 a 49,050
elemus:
por resolucion 10 del 06 05 2014
CEDen 26,002 t anch 
</t>
        </r>
      </text>
    </comment>
    <comment ref="C79" authorId="0">
      <text>
        <r>
          <rPr>
            <b/>
            <sz val="16"/>
            <color indexed="81"/>
            <rFont val="Tahoma"/>
            <family val="2"/>
          </rPr>
          <t>elemus:
por resolucion 786 del 17 03 2014
se modifica la estructura de datos de cocholgue tome y residual como sigue
enero diciembre cocholgue desde 28,852 a 40,392</t>
        </r>
        <r>
          <rPr>
            <sz val="16"/>
            <color indexed="81"/>
            <rFont val="Tahoma"/>
            <family val="2"/>
          </rPr>
          <t xml:space="preserve">
enero Diciembre residual desde 60,591 a 49,050</t>
        </r>
      </text>
    </comment>
    <comment ref="C82" authorId="1">
      <text>
        <r>
          <rPr>
            <b/>
            <sz val="8"/>
            <color indexed="81"/>
            <rFont val="Tahoma"/>
            <family val="2"/>
          </rPr>
          <t>enorero:</t>
        </r>
        <r>
          <rPr>
            <sz val="8"/>
            <color indexed="81"/>
            <rFont val="Tahoma"/>
            <family val="2"/>
          </rPr>
          <t xml:space="preserve">
</t>
        </r>
        <r>
          <rPr>
            <sz val="11"/>
            <color indexed="81"/>
            <rFont val="Tahoma"/>
            <family val="2"/>
          </rPr>
          <t>revisar valor con la VIII reg</t>
        </r>
        <r>
          <rPr>
            <sz val="8"/>
            <color indexed="81"/>
            <rFont val="Tahoma"/>
            <family val="2"/>
          </rPr>
          <t xml:space="preserve">
</t>
        </r>
      </text>
    </comment>
  </commentList>
</comments>
</file>

<file path=xl/comments16.xml><?xml version="1.0" encoding="utf-8"?>
<comments xmlns="http://schemas.openxmlformats.org/spreadsheetml/2006/main">
  <authors>
    <author>elemus</author>
  </authors>
  <commentList>
    <comment ref="C10" authorId="0">
      <text>
        <r>
          <rPr>
            <b/>
            <sz val="18"/>
            <color indexed="81"/>
            <rFont val="Tahoma"/>
            <family val="2"/>
          </rPr>
          <t>elemus:
por Resol 1900 del 23 07 2014
se modifica 3877 estructura cuotas jurel de macrozona  XV a II, FA desde 2 tons a 152</t>
        </r>
        <r>
          <rPr>
            <sz val="18"/>
            <color indexed="81"/>
            <rFont val="Tahoma"/>
            <family val="2"/>
          </rPr>
          <t xml:space="preserve">
</t>
        </r>
      </text>
    </comment>
    <comment ref="C50" authorId="0">
      <text>
        <r>
          <rPr>
            <b/>
            <sz val="14"/>
            <color indexed="81"/>
            <rFont val="Tahoma"/>
            <family val="2"/>
          </rPr>
          <t>elemus:</t>
        </r>
        <r>
          <rPr>
            <sz val="14"/>
            <color indexed="81"/>
            <rFont val="Tahoma"/>
            <family val="2"/>
          </rPr>
          <t xml:space="preserve">
res 783 establece tabla de imprevistos, se modifica sardina comun V y IX por res 1347 del 15 05 2014 fijando en 5720 (3118 y 2602 resp por region)</t>
        </r>
        <r>
          <rPr>
            <sz val="8"/>
            <color indexed="81"/>
            <rFont val="Tahoma"/>
            <family val="2"/>
          </rPr>
          <t xml:space="preserve">
</t>
        </r>
      </text>
    </comment>
  </commentList>
</comments>
</file>

<file path=xl/comments17.xml><?xml version="1.0" encoding="utf-8"?>
<comments xmlns="http://schemas.openxmlformats.org/spreadsheetml/2006/main">
  <authors>
    <author>ginostroza</author>
    <author>elemus</author>
  </authors>
  <commentList>
    <comment ref="CI5" authorId="0">
      <text>
        <r>
          <rPr>
            <b/>
            <sz val="8"/>
            <color indexed="81"/>
            <rFont val="Tahoma"/>
            <family val="2"/>
          </rPr>
          <t>ginostroza:</t>
        </r>
        <r>
          <rPr>
            <sz val="8"/>
            <color indexed="81"/>
            <rFont val="Tahoma"/>
            <family val="2"/>
          </rPr>
          <t xml:space="preserve">
Juan Sebastian I</t>
        </r>
      </text>
    </comment>
    <comment ref="CF6" authorId="0">
      <text>
        <r>
          <rPr>
            <b/>
            <sz val="8"/>
            <color indexed="81"/>
            <rFont val="Tahoma"/>
            <family val="2"/>
          </rPr>
          <t>ginostroza:</t>
        </r>
        <r>
          <rPr>
            <sz val="8"/>
            <color indexed="81"/>
            <rFont val="Tahoma"/>
            <family val="2"/>
          </rPr>
          <t xml:space="preserve">
Pelicano 475Kg
Lobo de Afuera V 131Kg</t>
        </r>
      </text>
    </comment>
    <comment ref="BX7" authorId="0">
      <text>
        <r>
          <rPr>
            <b/>
            <sz val="8"/>
            <color indexed="81"/>
            <rFont val="Tahoma"/>
            <family val="2"/>
          </rPr>
          <t>ginostroza:</t>
        </r>
        <r>
          <rPr>
            <sz val="8"/>
            <color indexed="81"/>
            <rFont val="Tahoma"/>
            <family val="2"/>
          </rPr>
          <t xml:space="preserve">
Buneaventura 529 kg
Marcelo Rodolfo 2074 kg
Santiago 3193 kg
Loreto III 1366
solo se imputan 1314 kg ya que las 5848kg se imputan a la cuota global</t>
        </r>
      </text>
    </comment>
    <comment ref="CY70" authorId="1">
      <text>
        <r>
          <rPr>
            <b/>
            <sz val="14"/>
            <color indexed="81"/>
            <rFont val="Tahoma"/>
            <family val="2"/>
          </rPr>
          <t>elemus:</t>
        </r>
        <r>
          <rPr>
            <sz val="14"/>
            <color indexed="81"/>
            <rFont val="Tahoma"/>
            <family val="2"/>
          </rPr>
          <t xml:space="preserve">
según reporte de la IV R, sobre toda la nacion
reportada al 05 03 2013
</t>
        </r>
      </text>
    </comment>
  </commentList>
</comments>
</file>

<file path=xl/comments18.xml><?xml version="1.0" encoding="utf-8"?>
<comments xmlns="http://schemas.openxmlformats.org/spreadsheetml/2006/main">
  <authors>
    <author>elemus</author>
  </authors>
  <commentList>
    <comment ref="I4" authorId="0">
      <text>
        <r>
          <rPr>
            <b/>
            <sz val="14"/>
            <color indexed="81"/>
            <rFont val="Tahoma"/>
            <family val="2"/>
          </rPr>
          <t xml:space="preserve">elemus:
por resol 938 del 03 04 2014
 se modifica valores de ancho y sardina
desde 8.740 a 13.405
12735 y 670
</t>
        </r>
        <r>
          <rPr>
            <sz val="14"/>
            <color indexed="81"/>
            <rFont val="Tahoma"/>
            <family val="2"/>
          </rPr>
          <t xml:space="preserve">
</t>
        </r>
      </text>
    </comment>
  </commentList>
</comments>
</file>

<file path=xl/comments19.xml><?xml version="1.0" encoding="utf-8"?>
<comments xmlns="http://schemas.openxmlformats.org/spreadsheetml/2006/main">
  <authors>
    <author>enorero</author>
    <author>elemus</author>
  </authors>
  <commentList>
    <comment ref="O18" authorId="0">
      <text>
        <r>
          <rPr>
            <b/>
            <sz val="8"/>
            <color indexed="81"/>
            <rFont val="Tahoma"/>
            <family val="2"/>
          </rPr>
          <t>enorero:</t>
        </r>
        <r>
          <rPr>
            <sz val="8"/>
            <color indexed="81"/>
            <rFont val="Tahoma"/>
            <family val="2"/>
          </rPr>
          <t xml:space="preserve">
</t>
        </r>
        <r>
          <rPr>
            <b/>
            <sz val="14"/>
            <color indexed="81"/>
            <rFont val="Tahoma"/>
            <family val="2"/>
          </rPr>
          <t xml:space="preserve">Por resl 1963 de fecha 25-07-20147 de traspasa el saldo a embarcación  Don Marcial  </t>
        </r>
      </text>
    </comment>
    <comment ref="U42" authorId="0">
      <text>
        <r>
          <rPr>
            <sz val="11"/>
            <color indexed="81"/>
            <rFont val="Tahoma"/>
            <family val="2"/>
          </rPr>
          <t xml:space="preserve">enorero:
se corrigió el formula
01-07-2014
</t>
        </r>
      </text>
    </comment>
    <comment ref="AS56" authorId="0">
      <text>
        <r>
          <rPr>
            <b/>
            <sz val="8"/>
            <color indexed="81"/>
            <rFont val="Tahoma"/>
            <family val="2"/>
          </rPr>
          <t>enorero:</t>
        </r>
        <r>
          <rPr>
            <sz val="8"/>
            <color indexed="81"/>
            <rFont val="Tahoma"/>
            <family val="2"/>
          </rPr>
          <t xml:space="preserve">
Modificado el 17-20-14
E. Noero C:, lleg+ó cargad y mail de G. Inostroza.</t>
        </r>
      </text>
    </comment>
    <comment ref="U115" authorId="0">
      <text>
        <r>
          <rPr>
            <b/>
            <sz val="11"/>
            <color indexed="81"/>
            <rFont val="Tahoma"/>
            <family val="2"/>
          </rPr>
          <t>enorero:</t>
        </r>
        <r>
          <rPr>
            <sz val="11"/>
            <color indexed="81"/>
            <rFont val="Tahoma"/>
            <family val="2"/>
          </rPr>
          <t xml:space="preserve">
detalle corregido,  , faltaba imputación</t>
        </r>
        <r>
          <rPr>
            <sz val="8"/>
            <color indexed="81"/>
            <rFont val="Tahoma"/>
            <family val="2"/>
          </rPr>
          <t xml:space="preserve">
</t>
        </r>
      </text>
    </comment>
    <comment ref="AF168" authorId="1">
      <text>
        <r>
          <rPr>
            <b/>
            <sz val="20"/>
            <color indexed="81"/>
            <rFont val="Tahoma"/>
            <family val="2"/>
          </rPr>
          <t>elemus:</t>
        </r>
        <r>
          <rPr>
            <sz val="20"/>
            <color indexed="81"/>
            <rFont val="Tahoma"/>
            <family val="2"/>
          </rPr>
          <t xml:space="preserve">
preguntar situación
según valdivia hay 610,257 t consumidas
</t>
        </r>
      </text>
    </comment>
    <comment ref="AI171" authorId="0">
      <text>
        <r>
          <rPr>
            <b/>
            <sz val="8"/>
            <color indexed="81"/>
            <rFont val="Tahoma"/>
            <family val="2"/>
          </rPr>
          <t>enorero:</t>
        </r>
        <r>
          <rPr>
            <sz val="8"/>
            <color indexed="81"/>
            <rFont val="Tahoma"/>
            <family val="2"/>
          </rPr>
          <t xml:space="preserve">
</t>
        </r>
        <r>
          <rPr>
            <b/>
            <sz val="11"/>
            <color indexed="81"/>
            <rFont val="Tahoma"/>
            <family val="2"/>
          </rPr>
          <t>último desemarque.</t>
        </r>
      </text>
    </comment>
    <comment ref="Q225" authorId="0">
      <text>
        <r>
          <rPr>
            <b/>
            <sz val="11"/>
            <color indexed="81"/>
            <rFont val="Tahoma"/>
            <family val="2"/>
          </rPr>
          <t>enorero:
Modificado según resl. N° 1987 de fecha 30-04-2014 de 7.166,828 a 4.166,828 tons</t>
        </r>
      </text>
    </comment>
    <comment ref="E402" authorId="0">
      <text>
        <r>
          <rPr>
            <b/>
            <sz val="8"/>
            <color indexed="81"/>
            <rFont val="Tahoma"/>
            <family val="2"/>
          </rPr>
          <t>enorero:</t>
        </r>
        <r>
          <rPr>
            <sz val="8"/>
            <color indexed="81"/>
            <rFont val="Tahoma"/>
            <family val="2"/>
          </rPr>
          <t xml:space="preserve">
</t>
        </r>
        <r>
          <rPr>
            <b/>
            <sz val="12"/>
            <color indexed="81"/>
            <rFont val="Tahoma"/>
            <family val="2"/>
          </rPr>
          <t>Hay que consultar a subpesca por error en la resolución.</t>
        </r>
      </text>
    </comment>
    <comment ref="E407" authorId="0">
      <text>
        <r>
          <rPr>
            <sz val="11"/>
            <color indexed="81"/>
            <rFont val="Tahoma"/>
            <family val="2"/>
          </rPr>
          <t>enorero:
Se modificaron los pesos estaban como 40 kilos siendo solo 20 cada UNO</t>
        </r>
      </text>
    </comment>
  </commentList>
</comments>
</file>

<file path=xl/comments20.xml><?xml version="1.0" encoding="utf-8"?>
<comments xmlns="http://schemas.openxmlformats.org/spreadsheetml/2006/main">
  <authors>
    <author>ENORERO</author>
  </authors>
  <commentList>
    <comment ref="A1" authorId="0">
      <text>
        <r>
          <rPr>
            <b/>
            <sz val="8"/>
            <color indexed="81"/>
            <rFont val="Tahoma"/>
            <family val="2"/>
          </rPr>
          <t>ENORERO:</t>
        </r>
        <r>
          <rPr>
            <sz val="8"/>
            <color indexed="81"/>
            <rFont val="Tahoma"/>
            <family val="2"/>
          </rPr>
          <t xml:space="preserve">
Decreto N° 250 del 09-03-2012.
</t>
        </r>
      </text>
    </comment>
  </commentList>
</comments>
</file>

<file path=xl/comments21.xml><?xml version="1.0" encoding="utf-8"?>
<comments xmlns="http://schemas.openxmlformats.org/spreadsheetml/2006/main">
  <authors>
    <author>ENORERO</author>
  </authors>
  <commentList>
    <comment ref="C1" authorId="0">
      <text>
        <r>
          <rPr>
            <b/>
            <sz val="8"/>
            <color indexed="81"/>
            <rFont val="Tahoma"/>
            <family val="2"/>
          </rPr>
          <t>ENORERO:</t>
        </r>
        <r>
          <rPr>
            <sz val="8"/>
            <color indexed="81"/>
            <rFont val="Tahoma"/>
            <family val="2"/>
          </rPr>
          <t xml:space="preserve">
Decreto Ex. N° 250 del 09-03-2012
</t>
        </r>
      </text>
    </comment>
  </commentList>
</comments>
</file>

<file path=xl/comments22.xml><?xml version="1.0" encoding="utf-8"?>
<comments xmlns="http://schemas.openxmlformats.org/spreadsheetml/2006/main">
  <authors>
    <author>ENORERO</author>
  </authors>
  <commentList>
    <comment ref="A1" authorId="0">
      <text>
        <r>
          <rPr>
            <b/>
            <sz val="8"/>
            <color indexed="81"/>
            <rFont val="Tahoma"/>
            <family val="2"/>
          </rPr>
          <t>ENORERO:</t>
        </r>
        <r>
          <rPr>
            <sz val="8"/>
            <color indexed="81"/>
            <rFont val="Tahoma"/>
            <family val="2"/>
          </rPr>
          <t xml:space="preserve">
Decreto N° 250 del 09-03-2012.
</t>
        </r>
      </text>
    </comment>
  </commentList>
</comments>
</file>

<file path=xl/sharedStrings.xml><?xml version="1.0" encoding="utf-8"?>
<sst xmlns="http://schemas.openxmlformats.org/spreadsheetml/2006/main" count="23510" uniqueCount="1664">
  <si>
    <t>Recurso</t>
  </si>
  <si>
    <t>Unidad de pesquería</t>
  </si>
  <si>
    <t>Cuota Global (t)</t>
  </si>
  <si>
    <t>Desembarque total (t)</t>
  </si>
  <si>
    <t>Saldo total (t)</t>
  </si>
  <si>
    <t>Jurel</t>
  </si>
  <si>
    <t>III</t>
  </si>
  <si>
    <t>VIII</t>
  </si>
  <si>
    <t>Anchoveta</t>
  </si>
  <si>
    <t>Sardina común</t>
  </si>
  <si>
    <t>X</t>
  </si>
  <si>
    <t>II</t>
  </si>
  <si>
    <t>IX</t>
  </si>
  <si>
    <t>XI</t>
  </si>
  <si>
    <t>Sardina española</t>
  </si>
  <si>
    <t>XV y I</t>
  </si>
  <si>
    <t>VI</t>
  </si>
  <si>
    <t>VII</t>
  </si>
  <si>
    <t>Cuota (t)</t>
  </si>
  <si>
    <t>Desembarque (t)</t>
  </si>
  <si>
    <t>Saldo (t)</t>
  </si>
  <si>
    <t>Saldo %</t>
  </si>
  <si>
    <t>Fecha de Cierre</t>
  </si>
  <si>
    <t>Unidad de Pesquería</t>
  </si>
  <si>
    <t>Período</t>
  </si>
  <si>
    <t>Asignada</t>
  </si>
  <si>
    <t>Efectiva</t>
  </si>
  <si>
    <t>Global</t>
  </si>
  <si>
    <t>Jul - Dic</t>
  </si>
  <si>
    <t>Ene - Oct</t>
  </si>
  <si>
    <t>Nov - Dic</t>
  </si>
  <si>
    <t>Ene-Abr</t>
  </si>
  <si>
    <t>May-Ago</t>
  </si>
  <si>
    <t>Sep-Dic</t>
  </si>
  <si>
    <t>Ene- Ago</t>
  </si>
  <si>
    <t>Sep - Dic</t>
  </si>
  <si>
    <t>Ene-Jun</t>
  </si>
  <si>
    <t>Jul-Dic</t>
  </si>
  <si>
    <t>JUREL</t>
  </si>
  <si>
    <t>Oct-Dic</t>
  </si>
  <si>
    <t>Nov-Dic</t>
  </si>
  <si>
    <t>Ene- Abr</t>
  </si>
  <si>
    <t>May - Ago</t>
  </si>
  <si>
    <t>Ene- Jun</t>
  </si>
  <si>
    <t>V  Región, de Valparaíso</t>
  </si>
  <si>
    <t>Organización</t>
  </si>
  <si>
    <t>Periodo</t>
  </si>
  <si>
    <t>Cuota asignada (t)</t>
  </si>
  <si>
    <t>Cuota efectiva (t)</t>
  </si>
  <si>
    <t>%</t>
  </si>
  <si>
    <t>Total</t>
  </si>
  <si>
    <t>VIII Región, del Bio Bio</t>
  </si>
  <si>
    <t>Ene-Ago</t>
  </si>
  <si>
    <t>XIV Región, de Los Ríos</t>
  </si>
  <si>
    <t>ACERVAL., R.A.G. 207-10</t>
  </si>
  <si>
    <t>ACER., R.A.G. 3793 de 2007</t>
  </si>
  <si>
    <t>ARMAPES., R.A.G. 264-10</t>
  </si>
  <si>
    <t>Sind. Pesc. Art. Y Arm. Cerqueros de Valdivia. R.S.U. 10.02.0409</t>
  </si>
  <si>
    <t>Cuota bolsón o residual</t>
  </si>
  <si>
    <t>X Región, de Los Lagos</t>
  </si>
  <si>
    <t>ASARCECHI., R.A.G. 3532</t>
  </si>
  <si>
    <t>AQUEPESCA., R.A.G.270-10</t>
  </si>
  <si>
    <t>SIPESRAYEN., R.A.G.10.01.0870</t>
  </si>
  <si>
    <t>Sind. Pesc. Art. Caleta San Rafael., R.S.U.10.01.0573</t>
  </si>
  <si>
    <t>V REGION</t>
  </si>
  <si>
    <t>Desembarque</t>
  </si>
  <si>
    <t>Saldo</t>
  </si>
  <si>
    <t>VI Región, de O'higgins</t>
  </si>
  <si>
    <t>VII Región, del Maule</t>
  </si>
  <si>
    <t>XV y I Región, Arica e Iquique</t>
  </si>
  <si>
    <t>Mes</t>
  </si>
  <si>
    <t>Total mes</t>
  </si>
  <si>
    <t>TOTAL</t>
  </si>
  <si>
    <t>Enero</t>
  </si>
  <si>
    <t>Febrero</t>
  </si>
  <si>
    <t>Marzo</t>
  </si>
  <si>
    <t>Abril</t>
  </si>
  <si>
    <t>Mayo</t>
  </si>
  <si>
    <t>Junio</t>
  </si>
  <si>
    <t>Julio</t>
  </si>
  <si>
    <t>Agosto</t>
  </si>
  <si>
    <t>Septiembre</t>
  </si>
  <si>
    <t>Octubre</t>
  </si>
  <si>
    <t>Noviembre</t>
  </si>
  <si>
    <t>Diciembre</t>
  </si>
  <si>
    <t>II Región, de Antofasta</t>
  </si>
  <si>
    <t>III Región, de Atacama</t>
  </si>
  <si>
    <t>IX Región, de la Araucanía</t>
  </si>
  <si>
    <t>V Región A.G. Armadores artesanales del Puerto de San Antonio R.A.G. N° 2510</t>
  </si>
  <si>
    <t>Región</t>
  </si>
  <si>
    <t>Veda</t>
  </si>
  <si>
    <t>Cuota Residual</t>
  </si>
  <si>
    <t>III y IV Regiones, de Atacama y Coquimbo</t>
  </si>
  <si>
    <t>V región</t>
  </si>
  <si>
    <t>A.G. Armadores Artesanales San Antonio R.A.G. 2510</t>
  </si>
  <si>
    <t>Pescadores artesanales no afiliados</t>
  </si>
  <si>
    <t>Sind. Arm. y Trip. de la Isla de Chiloé, R.S.U.10.04.0214</t>
  </si>
  <si>
    <t>Sind. Ind. Corcovado.R.S.U.10.16.0040</t>
  </si>
  <si>
    <t>Sind.Comuna de Quellón.R.S.U.10.16.0010</t>
  </si>
  <si>
    <t>% consumido 2011</t>
  </si>
  <si>
    <t>STI. Artesanales de Amargo R.S.U.14.01.0105</t>
  </si>
  <si>
    <t>STI. Caleta de Los Molinos R.S.U.14.01.0136</t>
  </si>
  <si>
    <t>STI. Gente de Mar R.S.U.14.01.0266</t>
  </si>
  <si>
    <t>STI. Pescadores Artesanales de Bonifacio R.S.U.14.01.0140</t>
  </si>
  <si>
    <t>STI. Pescadores Artesanales de Corral R.S.U.14.01.0115</t>
  </si>
  <si>
    <t>STI. Balneario de Niebla R.S.U.14.01.0127</t>
  </si>
  <si>
    <t>STI. Caleta Tres Espino Niebla R.S.U.14.01.0270</t>
  </si>
  <si>
    <t>STI. Artesanales Históricos de Valdivia R.S.U.14.01.0514</t>
  </si>
  <si>
    <t>SALDO</t>
  </si>
  <si>
    <t>VEDA</t>
  </si>
  <si>
    <t>veda</t>
  </si>
  <si>
    <t>IV  Región, de Coquimbo</t>
  </si>
  <si>
    <t>A.G. de pescadores Art.  Y Buzos Marisc. De Coquimbo IV Región</t>
  </si>
  <si>
    <t xml:space="preserve">Cuota Residual  - Bolson </t>
  </si>
  <si>
    <t>Cooperativa de Armadores Cerqueros IV Región</t>
  </si>
  <si>
    <t>IV REGIÓN</t>
  </si>
  <si>
    <t>Cooperativa de Armadores Cerqueros IV región</t>
  </si>
  <si>
    <t xml:space="preserve">Cuota residual - Bolson </t>
  </si>
  <si>
    <t>A.G. de pescadores Artesanales y Buzos Mariscadores de Coquimbo - IV Región</t>
  </si>
  <si>
    <t>IV Región</t>
  </si>
  <si>
    <t>% consumido 2012</t>
  </si>
  <si>
    <t>Sind. Trab. Indp. Y Ram Afn. PERCERCAL R.S.U. 10.01.0948</t>
  </si>
  <si>
    <t>Cuota Bolsón o Residual</t>
  </si>
  <si>
    <t>APEVAL AG. R.A.G N° 29-14</t>
  </si>
  <si>
    <t>ACERMAR A.G. R.A.G. N ° 4205</t>
  </si>
  <si>
    <t>S.T.I. Buz. Y Pesc. De MEHUÍN N° 1 R.S.U. 14.03.0021</t>
  </si>
  <si>
    <t>S.T.I. Buz. Y Marisc.  De MEHUÍN N° 2 R.S.U. 14.03.0090</t>
  </si>
  <si>
    <t xml:space="preserve"> </t>
  </si>
  <si>
    <t>Cerrada</t>
  </si>
  <si>
    <t>XIV</t>
  </si>
  <si>
    <t>VIII región</t>
  </si>
  <si>
    <t>Embarcación</t>
  </si>
  <si>
    <t>cierre</t>
  </si>
  <si>
    <t>RPA</t>
  </si>
  <si>
    <t>Tons. Traspaso</t>
  </si>
  <si>
    <t>cierres</t>
  </si>
  <si>
    <t>III  región</t>
  </si>
  <si>
    <t>Nómina de embac.</t>
  </si>
  <si>
    <t>jurel</t>
  </si>
  <si>
    <t>Todos los inscritos</t>
  </si>
  <si>
    <t>MONICA BELEN</t>
  </si>
  <si>
    <t>ENZO NICOLAS</t>
  </si>
  <si>
    <t>Resl. Ex. N° 606/2012</t>
  </si>
  <si>
    <t>TOTALES REGIONALES</t>
  </si>
  <si>
    <t>IV región de Industrial a Artesanal</t>
  </si>
  <si>
    <t>Enero  cotubre</t>
  </si>
  <si>
    <t>Cuota</t>
  </si>
  <si>
    <t>Cuota residual  Esl menor o igual 8 Mtrs.</t>
  </si>
  <si>
    <t>Cuota residual eslora mayor a 8 Mtrs.</t>
  </si>
  <si>
    <t>Coop. Arm. Cer. De la IV reg.</t>
  </si>
  <si>
    <t>AG. Pesc. Art. Y Buz. Marisc. Coquimbo</t>
  </si>
  <si>
    <t>A.G. pesc. Art. Y Buzos Marisc. Ce Coquimbo IV Reg.</t>
  </si>
  <si>
    <t>Asignado</t>
  </si>
  <si>
    <t>Capturado</t>
  </si>
  <si>
    <t>SALDOS</t>
  </si>
  <si>
    <t>N° Resol Ex</t>
  </si>
  <si>
    <t>Fecha</t>
  </si>
  <si>
    <t>Mat</t>
  </si>
  <si>
    <t>Sardina Común</t>
  </si>
  <si>
    <t>Sardinac C</t>
  </si>
  <si>
    <t>BRENDA ESMERALDA</t>
  </si>
  <si>
    <t>DON JORGE</t>
  </si>
  <si>
    <t>MAR DE BERING</t>
  </si>
  <si>
    <t>SANTA KEILA</t>
  </si>
  <si>
    <t>HERLIBET</t>
  </si>
  <si>
    <t>BENJAMIN I</t>
  </si>
  <si>
    <t>PALMI II</t>
  </si>
  <si>
    <t>IGNACIO S</t>
  </si>
  <si>
    <t>Cuota residual Mayor 8 metrros.</t>
  </si>
  <si>
    <t>DON CLAUDIO</t>
  </si>
  <si>
    <t xml:space="preserve">BUENA FE </t>
  </si>
  <si>
    <t>Enero  octubre</t>
  </si>
  <si>
    <t>DON PEDRO I</t>
  </si>
  <si>
    <t>DOÑA GLADYS II</t>
  </si>
  <si>
    <t>DON BETO III</t>
  </si>
  <si>
    <t>MARLEN JORGE</t>
  </si>
  <si>
    <t>DON MATEO</t>
  </si>
  <si>
    <t>DON BASILIO</t>
  </si>
  <si>
    <t>TRASPASO DE ASIGNACION A EMBARCACION QUE INDICA</t>
  </si>
  <si>
    <t>DEBORA I</t>
  </si>
  <si>
    <t>Cierres</t>
  </si>
  <si>
    <t>TRASPASOS</t>
  </si>
  <si>
    <t>TRAPASOS</t>
  </si>
  <si>
    <t>VII Región, deL Maule</t>
  </si>
  <si>
    <t>STI:.de Pescadores "Pelágicos del Maule" Constitución, R.S.U. N° 07050150</t>
  </si>
  <si>
    <t>STI. De Pesc. Pelagícos del Maule, Constitución RSU. N° 07050150</t>
  </si>
  <si>
    <t>AARON</t>
  </si>
  <si>
    <t>DON JORGE LUIS M</t>
  </si>
  <si>
    <t>DON GUILLERMO I</t>
  </si>
  <si>
    <t>traspasos</t>
  </si>
  <si>
    <t>DON JOSE I</t>
  </si>
  <si>
    <t>2904</t>
  </si>
  <si>
    <t>LA JIBIA</t>
  </si>
  <si>
    <t xml:space="preserve"> Saldo %</t>
  </si>
  <si>
    <t>ANGELA VALENTINA</t>
  </si>
  <si>
    <t>CONDOR IV</t>
  </si>
  <si>
    <t>DON ELISEO</t>
  </si>
  <si>
    <t>ELOISA II</t>
  </si>
  <si>
    <t>EMELINDA</t>
  </si>
  <si>
    <t>ISAAC</t>
  </si>
  <si>
    <t>MAGDALENA III</t>
  </si>
  <si>
    <t>RIO JORDAN V</t>
  </si>
  <si>
    <t>DON MARCIAL</t>
  </si>
  <si>
    <t>GAVIOTA</t>
  </si>
  <si>
    <t>DON ESTEBAN</t>
  </si>
  <si>
    <t>MATIAS</t>
  </si>
  <si>
    <t>FRANSISCO JAVIER</t>
  </si>
  <si>
    <t>LUCAS I</t>
  </si>
  <si>
    <t>DON JAIRO</t>
  </si>
  <si>
    <t>JOEL I</t>
  </si>
  <si>
    <t>LA NOVIA DEL MAR</t>
  </si>
  <si>
    <t>ANSELMO I</t>
  </si>
  <si>
    <t>DON LUIS ALBERTO</t>
  </si>
  <si>
    <t>DON MIGUEL</t>
  </si>
  <si>
    <t>DON MIGUEL II</t>
  </si>
  <si>
    <t>DONCELLA II</t>
  </si>
  <si>
    <t>CRISTIAN GUILLERMO</t>
  </si>
  <si>
    <t>BARLOVENTO</t>
  </si>
  <si>
    <t>DON FEÑA</t>
  </si>
  <si>
    <t>RODRIGO I</t>
  </si>
  <si>
    <t>TOTALES</t>
  </si>
  <si>
    <t>1487</t>
  </si>
  <si>
    <t>IMPUTACION LMC</t>
  </si>
  <si>
    <t>Resol</t>
  </si>
  <si>
    <t>Rpa</t>
  </si>
  <si>
    <t>Nm_Nave</t>
  </si>
  <si>
    <t>Asignado Anchoveta</t>
  </si>
  <si>
    <t>Asignado Sardina C</t>
  </si>
  <si>
    <t>Capturado Sardina C</t>
  </si>
  <si>
    <t>Saldo Anchoveta</t>
  </si>
  <si>
    <t>Saldo Sardina C</t>
  </si>
  <si>
    <t>MAR SEGUNDO</t>
  </si>
  <si>
    <t>MAR PRIMERO</t>
  </si>
  <si>
    <t>SIXTO ABRAHAM I</t>
  </si>
  <si>
    <t>EBEN EZER III</t>
  </si>
  <si>
    <t>ANTUCO I</t>
  </si>
  <si>
    <t>MARTIN RENATO</t>
  </si>
  <si>
    <t>Limite</t>
  </si>
  <si>
    <t>CESION VIII A  VII REGIÓN</t>
  </si>
  <si>
    <t>MARGARITA DEL MAR</t>
  </si>
  <si>
    <t>Traspaso Industrial a Artesanal</t>
  </si>
  <si>
    <t>traspaso</t>
  </si>
  <si>
    <t>A G  de Productores Pelágicos Artesanales de las Caletas de Talcahuano y San Vicente de la VIII Región GEMAR A.G., Registro de Asociaciones Gremiales 464-8</t>
  </si>
  <si>
    <t>S.T.I. de la Pesca Artesanal, Armadores Artesanales Pelágicos, Pesc Art propiamente tales y actividades Conexas de Caleta San Vicente "Sindicato Tsunami", Registro Sindical Único 08.05.0428</t>
  </si>
  <si>
    <t>BILL</t>
  </si>
  <si>
    <t>CAPELLO</t>
  </si>
  <si>
    <t>CONCEPCION</t>
  </si>
  <si>
    <t>CONSTITUCION</t>
  </si>
  <si>
    <t>DOMENICA</t>
  </si>
  <si>
    <t>DON HERNAN M</t>
  </si>
  <si>
    <t>EL YEYE</t>
  </si>
  <si>
    <t>MACEDONIA I</t>
  </si>
  <si>
    <t>PUNTA MAULE</t>
  </si>
  <si>
    <t>RIO LOA I</t>
  </si>
  <si>
    <t>SILOE</t>
  </si>
  <si>
    <t>SIXTO ABRAHAM</t>
  </si>
  <si>
    <t>VERONICA ALEJANDRA</t>
  </si>
  <si>
    <t>YOLANDA S</t>
  </si>
  <si>
    <t>total:</t>
  </si>
  <si>
    <t>XI dif. Cuota real</t>
  </si>
  <si>
    <t>EMBARCACION</t>
  </si>
  <si>
    <t>ANCHOVETA</t>
  </si>
  <si>
    <t>CONSTlTUCION</t>
  </si>
  <si>
    <t>DON BORNEY</t>
  </si>
  <si>
    <t>EBEN EZER II</t>
  </si>
  <si>
    <t>LlNARES</t>
  </si>
  <si>
    <t>TRASPASO IND-ART  XIV REGIÓN  RESL. 1462</t>
  </si>
  <si>
    <t>DESEMBARQUE</t>
  </si>
  <si>
    <t>SARDINA COMUN</t>
  </si>
  <si>
    <t>CIERRES</t>
  </si>
  <si>
    <t>TRASPASO IND-ART  VII REGIÓN  RESL. 1462</t>
  </si>
  <si>
    <t>Traspazo Anchoveta  XV - I industrial a artesanal Resol 1397/2012</t>
  </si>
  <si>
    <t>Cuota Nov-Dic</t>
  </si>
  <si>
    <t>Resl. Ex. 1410/2012</t>
  </si>
  <si>
    <t>Resl. Ex. N° 1493/2012</t>
  </si>
  <si>
    <t>Embarcaciones Res. 698/2012 Cuota Anchoveta Y 1225/2012 AGREGA EMB.</t>
  </si>
  <si>
    <t>Traspazo Sardina Común  XIV desde la VIII región resl. 1666/2012</t>
  </si>
  <si>
    <t>Traspazo Anchoveta  XV - I industrial a artesanal Resol 1695/2012</t>
  </si>
  <si>
    <t>Resl. N° 1695/2012</t>
  </si>
  <si>
    <t>XV y I  regiones</t>
  </si>
  <si>
    <t>TRASPASO IND-ART  IX REGIÓN  RESL. 1672/2012</t>
  </si>
  <si>
    <t>RIO TOLTEN I</t>
  </si>
  <si>
    <t>RIO QUEULE I</t>
  </si>
  <si>
    <t>CUOTA ASIGNADA</t>
  </si>
  <si>
    <t>ORKA</t>
  </si>
  <si>
    <t>RIO VALDIVIA</t>
  </si>
  <si>
    <t>BENJAMIN</t>
  </si>
  <si>
    <t xml:space="preserve">NABOR I </t>
  </si>
  <si>
    <t>NICOLAS</t>
  </si>
  <si>
    <t>MARGOT MARIA IV</t>
  </si>
  <si>
    <t>DON ULMES</t>
  </si>
  <si>
    <t>SAMARITANO I</t>
  </si>
  <si>
    <t>FELIPE N</t>
  </si>
  <si>
    <t xml:space="preserve">YO CLAUDIO </t>
  </si>
  <si>
    <t>CARMENCHA</t>
  </si>
  <si>
    <t>TRASPASO IND-ART  XIV REGIÓN  RESL. 1673/2012</t>
  </si>
  <si>
    <t>LINARES</t>
  </si>
  <si>
    <t>VICTOR GUILLERMO</t>
  </si>
  <si>
    <t>RIVEIRA</t>
  </si>
  <si>
    <t>DON JAIME</t>
  </si>
  <si>
    <t>LONQUIMAY</t>
  </si>
  <si>
    <t>LAGO RANCO</t>
  </si>
  <si>
    <t>EDGARDITO I</t>
  </si>
  <si>
    <t>DON NENE</t>
  </si>
  <si>
    <t>JOSUE</t>
  </si>
  <si>
    <t xml:space="preserve">MARIA ISABEL </t>
  </si>
  <si>
    <t>DON JULIAN</t>
  </si>
  <si>
    <t>MARCO POLO</t>
  </si>
  <si>
    <t>DON JUAN I</t>
  </si>
  <si>
    <t>LINCE</t>
  </si>
  <si>
    <t>CESION VIII A  XIV REGIÓN</t>
  </si>
  <si>
    <t>Cuota residual Menor -  Menor 8 metros.</t>
  </si>
  <si>
    <t>todo inscrito esp.</t>
  </si>
  <si>
    <t>TRASPASO</t>
  </si>
  <si>
    <t>Traspasos III región</t>
  </si>
  <si>
    <t>Cuota traspaso Industrial a Artesanal III resl. 606/2012 Nómina</t>
  </si>
  <si>
    <t>Cuota traspaso Industrial a Artesanal III resl. 606/2012 T.Inscrtos</t>
  </si>
  <si>
    <t>Cuota traspaso Industrial a Artesanal III resl. 1410/2012 T.Inscrtos</t>
  </si>
  <si>
    <t>Cuota traspaso Industrial a Artesanal III resl. 1493/2012 T.Inscrtos</t>
  </si>
  <si>
    <t>Resl. Ex. N° 1226/2012</t>
  </si>
  <si>
    <t>Cuota traspaso Industrial a Artesanal III resl. 1226/2012 NÓMINA</t>
  </si>
  <si>
    <t>CESION ENTRE ORGANIZACIONES RAE DE SARDINA COMUN Y ANCHOVETA VIII REGION</t>
  </si>
  <si>
    <t>ENTRE VIII REGION</t>
  </si>
  <si>
    <t>GIANPIERO</t>
  </si>
  <si>
    <t>XIV Región</t>
  </si>
  <si>
    <t>JOSE LEONARDO</t>
  </si>
  <si>
    <t>Nómina Embarcacionmes   ( en total)</t>
  </si>
  <si>
    <t>XI región</t>
  </si>
  <si>
    <t>CIERRE</t>
  </si>
  <si>
    <t>Sardina Austral</t>
  </si>
  <si>
    <t>TRASPASO IND-ART  VII REGIÓN  RESL. 1489</t>
  </si>
  <si>
    <t>BUENA FE III</t>
  </si>
  <si>
    <t>DON HUMBERTO M</t>
  </si>
  <si>
    <t>DON PATRICIO I</t>
  </si>
  <si>
    <t>OON PEDRO M</t>
  </si>
  <si>
    <t>DON RUBEN</t>
  </si>
  <si>
    <t>LOS VILOS</t>
  </si>
  <si>
    <t>NAGASAKI</t>
  </si>
  <si>
    <t>PAULINA</t>
  </si>
  <si>
    <t>POSEIDON II</t>
  </si>
  <si>
    <t>TOME</t>
  </si>
  <si>
    <t>Armadores de Artesanales IV región (nómina)</t>
  </si>
  <si>
    <t>Nómina Embarcacionmes   ( 14 embarcaciones)</t>
  </si>
  <si>
    <t>MARIA JESUS</t>
  </si>
  <si>
    <t>TOTAL CAPTURADO</t>
  </si>
  <si>
    <t>Fauna acompañante</t>
  </si>
  <si>
    <t>BACALADILLO O MOTE</t>
  </si>
  <si>
    <t>MACHUELO O TRITRE</t>
  </si>
  <si>
    <t>PAMPANITO</t>
  </si>
  <si>
    <t>Cesión Sindicatos desde la V reg. A la VII Zona Norte 1</t>
  </si>
  <si>
    <t>Resl. 2075/2012</t>
  </si>
  <si>
    <t>resl 698/2012</t>
  </si>
  <si>
    <t>Rels. 1395/2012 Jurel</t>
  </si>
  <si>
    <t>Jul-Ago</t>
  </si>
  <si>
    <t>Nov-Dic.</t>
  </si>
  <si>
    <t>Imputación Decreto Exento N° 669/2012</t>
  </si>
  <si>
    <t>Consumo VIII Región</t>
  </si>
  <si>
    <t>DON RENATO</t>
  </si>
  <si>
    <t>CAPITO I</t>
  </si>
  <si>
    <t>SOCOROMA II</t>
  </si>
  <si>
    <t>CANDELARIA</t>
  </si>
  <si>
    <t>ANCHOVETA  RELS.   1970/2012</t>
  </si>
  <si>
    <t xml:space="preserve">Coop. Arm. Cerqueros. De la IV reg. </t>
  </si>
  <si>
    <t>MASTER</t>
  </si>
  <si>
    <t xml:space="preserve">PAULINA M </t>
  </si>
  <si>
    <t xml:space="preserve">JORGE HERMAN M </t>
  </si>
  <si>
    <t>RIO BIO BIO</t>
  </si>
  <si>
    <t>JUAN MARCELO</t>
  </si>
  <si>
    <t>DON  CHUNDO</t>
  </si>
  <si>
    <t>SEBASTIAN II</t>
  </si>
  <si>
    <t>MAR MEDITERRANEO</t>
  </si>
  <si>
    <t>MAR DE GALILEA</t>
  </si>
  <si>
    <t>LAUCA</t>
  </si>
  <si>
    <t>PEHUENCHE</t>
  </si>
  <si>
    <t>ACHERNAR</t>
  </si>
  <si>
    <t xml:space="preserve">ANTARES V </t>
  </si>
  <si>
    <t>DON BRUNO</t>
  </si>
  <si>
    <t>GLACIAR I</t>
  </si>
  <si>
    <t xml:space="preserve">HURACAN I </t>
  </si>
  <si>
    <t>LA VICTORIA</t>
  </si>
  <si>
    <t>FLORINDA INES</t>
  </si>
  <si>
    <t>MAS SEGUNDO</t>
  </si>
  <si>
    <t>DON GOYO</t>
  </si>
  <si>
    <t>MARGARITA DEL MAR   ANCHOVETA        RESOL 1489/2012</t>
  </si>
  <si>
    <t>MARGARITA DEL MAR SARDINA COMUN RESL. 1489/2012</t>
  </si>
  <si>
    <t>IV región de Industrial a Artesanal  693/2012  JUREL</t>
  </si>
  <si>
    <t>ANCHOVETA Y SARDINA COMUN  RES. 698/2012</t>
  </si>
  <si>
    <t>IV región de Industrial a Artesanal  1970/2012 ANCHOVETA</t>
  </si>
  <si>
    <t>IV región de Industrial a Artesanal  1395/2012  JUREL</t>
  </si>
  <si>
    <t>Traspasos Desde la VII A LA VIII REGIÓN</t>
  </si>
  <si>
    <t xml:space="preserve">JOEL I </t>
  </si>
  <si>
    <t xml:space="preserve">TRASPASO IND-ART  XIV REGIÓN  RESL. 2537/2012 desde la VIII región </t>
  </si>
  <si>
    <t>Acuario III RPA 954796</t>
  </si>
  <si>
    <t>CHUMINGO</t>
  </si>
  <si>
    <t>VERÓNICA ALEJANDRA</t>
  </si>
  <si>
    <t>JOSÉ LEONARDO</t>
  </si>
  <si>
    <t>CUOTA</t>
  </si>
  <si>
    <t>CUOTA EFECTIVA</t>
  </si>
  <si>
    <t xml:space="preserve">Veda </t>
  </si>
  <si>
    <t>III  región  lmc.</t>
  </si>
  <si>
    <t>C. efectiva</t>
  </si>
  <si>
    <t>.</t>
  </si>
  <si>
    <t>Cuota traspaso Industrial a Artesanal III resl. 1799/2012 NÓMINA</t>
  </si>
  <si>
    <t>DON ENRI</t>
  </si>
  <si>
    <t>PAOLA I</t>
  </si>
  <si>
    <t>DON LUCHO</t>
  </si>
  <si>
    <t>DOÑA FLORINDA</t>
  </si>
  <si>
    <t>DANIEL</t>
  </si>
  <si>
    <t>DOÑA MARGARITA</t>
  </si>
  <si>
    <t>Nómina de embac. 1ER.   PERÍODO ENE-OCT.</t>
  </si>
  <si>
    <t>Nómina de embac. 2DO.  PERÍODO NOV-DIC.</t>
  </si>
  <si>
    <t>Resl. Ex. N° 1799/2012</t>
  </si>
  <si>
    <t>Nómina de embac. 1ER.   PERÍODO ENE-OCT</t>
  </si>
  <si>
    <t>Nómina de embac. 2DO.  PERÍODO NOV-DIC</t>
  </si>
  <si>
    <t>Cooperativa LTDA. GEVIMAR Lota,  Reg. Rol. 4465</t>
  </si>
  <si>
    <t>Don Robert</t>
  </si>
  <si>
    <t>Don Eliseo</t>
  </si>
  <si>
    <t>Angela Valentina</t>
  </si>
  <si>
    <t>Isaac</t>
  </si>
  <si>
    <t>Ricardo I</t>
  </si>
  <si>
    <t>Tio Chito</t>
  </si>
  <si>
    <t>Moises</t>
  </si>
  <si>
    <t>Albita Melania</t>
  </si>
  <si>
    <t>Maria Bristela</t>
  </si>
  <si>
    <t>Don Angel</t>
  </si>
  <si>
    <t>Rio Jordan V</t>
  </si>
  <si>
    <t>Don Marcial</t>
  </si>
  <si>
    <t>Francisco Javier</t>
  </si>
  <si>
    <t>Don Jairo</t>
  </si>
  <si>
    <t>La Novia del Mar</t>
  </si>
  <si>
    <t>Don Luis Alberto</t>
  </si>
  <si>
    <t>Don Miguel</t>
  </si>
  <si>
    <t>Doncella II</t>
  </si>
  <si>
    <t>Matias</t>
  </si>
  <si>
    <t>Rels. 2838/2012 ANCHOVETA</t>
  </si>
  <si>
    <t>IV región de Industrial a Artesanal  2838/2012 ANCHOVETA</t>
  </si>
  <si>
    <t>1er per.</t>
  </si>
  <si>
    <t>2do per.</t>
  </si>
  <si>
    <t>dif.</t>
  </si>
  <si>
    <t>1er per</t>
  </si>
  <si>
    <t>1ER PERÍODO</t>
  </si>
  <si>
    <t>2DO PERÍODO</t>
  </si>
  <si>
    <t>3ER PERÍODO</t>
  </si>
  <si>
    <t>Fauna Acompañante</t>
  </si>
  <si>
    <t>DON SAMUEL II</t>
  </si>
  <si>
    <t>ISAAC M</t>
  </si>
  <si>
    <t>CAMILA ANTONELLA</t>
  </si>
  <si>
    <t>GAVILAN III</t>
  </si>
  <si>
    <t>DON ANSELMO II</t>
  </si>
  <si>
    <t>RODRIGO</t>
  </si>
  <si>
    <t>DON SIXTO</t>
  </si>
  <si>
    <t>GALEON II</t>
  </si>
  <si>
    <t>ESTRELLA DE DAVID</t>
  </si>
  <si>
    <t>RUBY FRANCISCA</t>
  </si>
  <si>
    <t>2136 modf. 2690</t>
  </si>
  <si>
    <t>A G  de Pescadores y Armadores Artesanales Pelágicos de la Región del Bío Bío, PESCA MAR A.G., Registro de Asociaciones Gremiales 450-8</t>
  </si>
  <si>
    <t>trespaso</t>
  </si>
  <si>
    <t>TRASPASO IND-ART  XIV REGIÓN  RESL. 2878/2012</t>
  </si>
  <si>
    <t>Avutarda</t>
  </si>
  <si>
    <t>Esperanza IV</t>
  </si>
  <si>
    <t>TRASPASO IND-ART  XIV REGIÓN  RESL. 2881/2012</t>
  </si>
  <si>
    <t>AGUILA REAL</t>
  </si>
  <si>
    <t>EBENEZER II</t>
  </si>
  <si>
    <t>CLAUDIO I</t>
  </si>
  <si>
    <t>PUNTA BRAVA</t>
  </si>
  <si>
    <t>Traspazo Anchoveta  XV - I industrial a artesanal Resol 2883/2012</t>
  </si>
  <si>
    <t>Grupo de embarcaciones</t>
  </si>
  <si>
    <t>Resl. N° 2883/2012</t>
  </si>
  <si>
    <t xml:space="preserve">DON JOAQUIN </t>
  </si>
  <si>
    <t xml:space="preserve">SAMARITANO </t>
  </si>
  <si>
    <t xml:space="preserve">Amparito I </t>
  </si>
  <si>
    <t>Glopara I</t>
  </si>
  <si>
    <t>TRASPASO IND-ART  VIII a la XIV REGIÓN  RESL. 2925/2012</t>
  </si>
  <si>
    <t>ACUARIO III</t>
  </si>
  <si>
    <t>cuota</t>
  </si>
  <si>
    <t>saldo</t>
  </si>
  <si>
    <t>RICARDO I  es conpatida con la VIII                  RESOL 2794</t>
  </si>
  <si>
    <t>resl. 2794 pesca en la VIII</t>
  </si>
  <si>
    <t>TRASPASO IND-ART  V a la VII REGIÓN  RESL. 2794/2012</t>
  </si>
  <si>
    <t>TRASPASO IND-ART  IV REGIÓN  RESL. 2961/2012 LANGOSTINO COLORADO</t>
  </si>
  <si>
    <t>L. COLORADO</t>
  </si>
  <si>
    <t>CUNSUMO</t>
  </si>
  <si>
    <t>BONI MAURI</t>
  </si>
  <si>
    <t>CHAFIC I</t>
  </si>
  <si>
    <t>PUNTA TALCA</t>
  </si>
  <si>
    <t>TRAUWUN I</t>
  </si>
  <si>
    <t>TRASPASO IND-ART  IV REGIÓN  RESL. 2960/2012 LANGOSTINO COLORADO</t>
  </si>
  <si>
    <t>ROLANDO</t>
  </si>
  <si>
    <t>YO CLAUDIO</t>
  </si>
  <si>
    <t>SAMARITANO.</t>
  </si>
  <si>
    <t>DON JOAQUIN</t>
  </si>
  <si>
    <t>TRASPASO IND-ART  XIV REGIÓN  RESL. 2980/2012  SARDINA COMUN</t>
  </si>
  <si>
    <t>CHFIC I</t>
  </si>
  <si>
    <t>IV región de Industrial a Artesanal  3054/2022  LANGOSTINO COLORADO IND-ART</t>
  </si>
  <si>
    <t>NAVE</t>
  </si>
  <si>
    <t>Resl. N° 3068/2012</t>
  </si>
  <si>
    <t>TRASPASO IND-ART  IX REGIÓN  RESL. 3038/2012</t>
  </si>
  <si>
    <t>TRASPASO IND-ART  IV REGIÓN  RESL. 3057/2012 CAMARON NAILON</t>
  </si>
  <si>
    <t>IV región de Industrial a Artesanal  3058/2012 ANCHOVETA</t>
  </si>
  <si>
    <t>CESION VIII A  IX REGIÓN</t>
  </si>
  <si>
    <t>Resl. N° 1397/2012</t>
  </si>
  <si>
    <t>Traspazo Anchoveta  XV - I industrial a artesanal Resol 3068/2012</t>
  </si>
  <si>
    <t xml:space="preserve">consumo total </t>
  </si>
  <si>
    <t>2° periodo</t>
  </si>
  <si>
    <t>total anual</t>
  </si>
  <si>
    <t>anual</t>
  </si>
  <si>
    <t>Capturado Anchoveta</t>
  </si>
  <si>
    <t>Períodos V a X regiones Y TONELADAS ANCHOVETA</t>
  </si>
  <si>
    <t>MARGARITA DEL MAR ANCHOVETA RESOL 1462/2012</t>
  </si>
  <si>
    <t>MARGARITA DEL MAR SARDINA COMUN RES 1462/2012</t>
  </si>
  <si>
    <t>DELTA</t>
  </si>
  <si>
    <t>ANTARES V</t>
  </si>
  <si>
    <t>HURACAN I</t>
  </si>
  <si>
    <t>correlativo</t>
  </si>
  <si>
    <t>capturado</t>
  </si>
  <si>
    <r>
      <rPr>
        <b/>
        <sz val="11"/>
        <rFont val="Arial"/>
        <family val="2"/>
      </rPr>
      <t xml:space="preserve">JUREL </t>
    </r>
    <r>
      <rPr>
        <b/>
        <sz val="8"/>
        <rFont val="Arial"/>
        <family val="2"/>
      </rPr>
      <t>TRASPADO DE INDUSTRIAL  RESL. 693/2012</t>
    </r>
  </si>
  <si>
    <t>Rels. 3058/2012 ANCHOVETA</t>
  </si>
  <si>
    <t>Sardina</t>
  </si>
  <si>
    <t>delta</t>
  </si>
  <si>
    <t>oct dic informado</t>
  </si>
  <si>
    <t>nuestro</t>
  </si>
  <si>
    <t>Cesión Sindicatos desde la IV reg. A la V Zona Norte</t>
  </si>
  <si>
    <t>Resl. 3184/ 06 12 2012</t>
  </si>
  <si>
    <t>Asc. Arm. Art de la Décima Región., R.A.G.156-10 ARGAMAR</t>
  </si>
  <si>
    <t>Sind. Pesc. Art. Caleta SAN RAFAEL, R.S.U.10.01.0573</t>
  </si>
  <si>
    <t>Sind.Comuna de QUELLON R.S.U.10.16.0010</t>
  </si>
  <si>
    <t>Sind. Ind. CORCOVADO R.S.U.10.16.400</t>
  </si>
  <si>
    <t>Sind. Arm. y Trip. de la Isla de Chiloé, R.S.U.10.04.0214 SATICH</t>
  </si>
  <si>
    <t>LOS REPORTA LA XIV</t>
  </si>
  <si>
    <t>NATALY</t>
  </si>
  <si>
    <t>ANTARES III</t>
  </si>
  <si>
    <t>CESIÓN ART-ART  X a la IX REGIÓN  RESL. 3214/ 11 12 2012</t>
  </si>
  <si>
    <t>sardina total</t>
  </si>
  <si>
    <t>Traspazo Sardina Común  XIV desde la VIII región resl. 2537</t>
  </si>
  <si>
    <t xml:space="preserve">              </t>
  </si>
  <si>
    <t>Nómina Embarcacionmes   BOLSON</t>
  </si>
  <si>
    <t>IV región de Industrial a Artesanal  3310/2012  JUREL</t>
  </si>
  <si>
    <t>EMB. ENTRE 8.1 A 12 METRSO</t>
  </si>
  <si>
    <t>Nómina Embarcacionmes   31 EN OTAL CERCOPESCA</t>
  </si>
  <si>
    <t>EL ACUARIO I</t>
  </si>
  <si>
    <t>Traspazo Anchoveta  XV - I industrial a artesanal Resol 3385/2012</t>
  </si>
  <si>
    <t>Resl. N° 3385/2012</t>
  </si>
  <si>
    <t>IV Región de Coquimbo</t>
  </si>
  <si>
    <t>V Región de Valparaíso</t>
  </si>
  <si>
    <t xml:space="preserve">VIII Región, del Bio Bio </t>
  </si>
  <si>
    <t>XIV Región, de los Ríos</t>
  </si>
  <si>
    <t>X Región, de la Los Lagos</t>
  </si>
  <si>
    <t>IV Región, de Coquimbo</t>
  </si>
  <si>
    <t>V Región, de Valparaiso</t>
  </si>
  <si>
    <t>VII Región, de Maule</t>
  </si>
  <si>
    <t>VIII Región, del BioBio</t>
  </si>
  <si>
    <t>X Región, de los Lagos</t>
  </si>
  <si>
    <t>% consumido 2013</t>
  </si>
  <si>
    <t>V Región, de Valparaíso</t>
  </si>
  <si>
    <t>Anchoveta 2013</t>
  </si>
  <si>
    <t>RAE</t>
  </si>
  <si>
    <t>NACIONAL</t>
  </si>
  <si>
    <t>IV (RAE por Org)</t>
  </si>
  <si>
    <t>V (RAE por Org)</t>
  </si>
  <si>
    <t>V (RAE por ORG)</t>
  </si>
  <si>
    <t>VII (RAE por ORG)</t>
  </si>
  <si>
    <t>VIII (RAE por ORG)</t>
  </si>
  <si>
    <t>XIV (RAE por Org)</t>
  </si>
  <si>
    <t>X (RAE por ORG)</t>
  </si>
  <si>
    <t>XIV (RAE por ORG)</t>
  </si>
  <si>
    <t>Abr-Oct</t>
  </si>
  <si>
    <t>IV RAE</t>
  </si>
  <si>
    <t>V RAE</t>
  </si>
  <si>
    <t>VII RAE</t>
  </si>
  <si>
    <t>VIII RAE</t>
  </si>
  <si>
    <t>XIV RAE</t>
  </si>
  <si>
    <t>X RAE</t>
  </si>
  <si>
    <t xml:space="preserve">VII (RAE por Org) </t>
  </si>
  <si>
    <t>X (RAE por Org)</t>
  </si>
  <si>
    <t>Ene-Dic</t>
  </si>
  <si>
    <t>ASOGFER AG. R.A.G. 310-10</t>
  </si>
  <si>
    <t>ASOGPESCA ANCUD AG.  R.A.G. 4266</t>
  </si>
  <si>
    <t>ASOGFER AG. 310-10</t>
  </si>
  <si>
    <t>ASOGPESCA ANCUD AG. 4266</t>
  </si>
  <si>
    <t>ASOGPESCA ANCUD AG. RAG. 4266</t>
  </si>
  <si>
    <t>III Region de Atacama</t>
  </si>
  <si>
    <t>IV Region de Coquimbo</t>
  </si>
  <si>
    <t>Asc. Arm. Art de la Décima Región., R.A.G.156-10 AGARMAR</t>
  </si>
  <si>
    <t>resumen anchoveta como fauna acompañante</t>
  </si>
  <si>
    <t>Ene - Jun</t>
  </si>
  <si>
    <t>Ene - oct</t>
  </si>
  <si>
    <t>Ene - Sep</t>
  </si>
  <si>
    <t>Ene-Oct</t>
  </si>
  <si>
    <t>Ene -Sep</t>
  </si>
  <si>
    <t>STI. AGUA LIMPIA RSU. N° 07050118</t>
  </si>
  <si>
    <t>Traspasos</t>
  </si>
  <si>
    <t>Ene-Sep</t>
  </si>
  <si>
    <t>ASOGPESCA ANCUD AG. RAG. 4266, RSU 10,04,0214</t>
  </si>
  <si>
    <t>Sardina austral</t>
  </si>
  <si>
    <t>X región</t>
  </si>
  <si>
    <t>V a X</t>
  </si>
  <si>
    <t>III a IV</t>
  </si>
  <si>
    <t>XV a II</t>
  </si>
  <si>
    <t>FAUNA ACOMPAÑANTE</t>
  </si>
  <si>
    <t>Resumen</t>
  </si>
  <si>
    <t>Solo X  región</t>
  </si>
  <si>
    <t>Resumen III a IV</t>
  </si>
  <si>
    <t>Resumen XV a II</t>
  </si>
  <si>
    <t>Resumen Global</t>
  </si>
  <si>
    <t>Resumen V a X</t>
  </si>
  <si>
    <t>Sardina Comun 2013</t>
  </si>
  <si>
    <t>Resumen global</t>
  </si>
  <si>
    <t>XIV región</t>
  </si>
  <si>
    <t>IX región</t>
  </si>
  <si>
    <t>VII región</t>
  </si>
  <si>
    <t>VI región</t>
  </si>
  <si>
    <t>IV región</t>
  </si>
  <si>
    <t>III región</t>
  </si>
  <si>
    <t>II región</t>
  </si>
  <si>
    <t>I región</t>
  </si>
  <si>
    <t>XV región</t>
  </si>
  <si>
    <t>total año</t>
  </si>
  <si>
    <t>Agrupación de Armadores y Pescadores Pelágicos de Caleta Tubul, Registro de Organización Comunitaria Funcional 478-2007</t>
  </si>
  <si>
    <t>Agrupación Gremial de Productores Pelágicos, Armadores Artesanales de Talcahuano, Región del Bío Bío AGREPAR BIO BIO A.G., R.A.G.  N° 468-8</t>
  </si>
  <si>
    <t>Asociación de Armadores, Pescadores Artesanales y Actividades Afines de la Octava Región, Asociación Gremial ARPESCA A.G., R.A.G.  429-8</t>
  </si>
  <si>
    <t>A.G. Armadores Artesanales Pelágico Coronel-Lota del Bío Bío, ARPES BIO BIO A.G., R.A.G.  445-8</t>
  </si>
  <si>
    <t>A.G. Armadores y Pescadores Artesanales, SIARPAR A.G., R.A.G.  448-8</t>
  </si>
  <si>
    <t>A.G. de Armadores Artesanales - ARMAR A.G., R.A.G.  384-8</t>
  </si>
  <si>
    <t>A.G. de Armadores Artesanales y Productores Pelágicos de la Caleta el Morro de Talcahuano - AGEMAPAR, R.A.G.  376-8</t>
  </si>
  <si>
    <t>A.G. de Armadores y Productores Pelágicos Artesanales de la Octava Región - ARPROPELAR A.G., R.A.G.  353-8</t>
  </si>
  <si>
    <t>A.G. de Pequeños Armadores, Pescadores y Tripulantes - ITALMAR A.G., R.A.G.  392-8</t>
  </si>
  <si>
    <t>A.G. de Pescadores Artesanales de caleta INFIERNILLO, R.A.G.  98-8</t>
  </si>
  <si>
    <t>A.G. de Pescadores Artesanales de Coronel, R.A.G.  5-08</t>
  </si>
  <si>
    <t>A.G. de Pescadores Artesanales de Lota - A.G. APESCA Lota, R.A.G.  428-8</t>
  </si>
  <si>
    <t>A.G. de Pescadores Artesanales de San Vicente – Talcahuano, R.A.G.  18-8</t>
  </si>
  <si>
    <t>A.G. de Pescadores Artesanales, VIII Región- AGREPESCA A.G., R.A.G.  N° 396-8</t>
  </si>
  <si>
    <t>A.G. de Pescadores y Armadores Artesanales Pelágicos de la Región del Bío Bío, PESCA MAR A.G., R.A.G.  450-8</t>
  </si>
  <si>
    <t>A.G. de Productores Pelágicos Artesanales de las Caletas de Talcahuano y San Vicente de la VIII Región GEMAR A.G., R.A.G.  464-8</t>
  </si>
  <si>
    <t>A.G. Productores Pelágicos, Armadores Artesanales de la Comuna de Coronel, VIII Región, ARPESCA A.G., R.A.G.  447-8</t>
  </si>
  <si>
    <t>Cooperativa de Pescadores Pelilleros Isla Santa María Ltda., Registro de Cooperativa Rol 1826</t>
  </si>
  <si>
    <t>Cooperativa de Pescadores y Armadores Artesanales de Lota o GEVIMAR, Registro de Cooperativa Rol 4465</t>
  </si>
  <si>
    <t>Sindicato de Pescadores Artesanales Lo Rojas y Caletas Anexas del Golfo de Arauco , R.S.U.  08.07.0307</t>
  </si>
  <si>
    <t>Sindicato de Pescadores Artesanales y Armadores Artesanales de la Octava Región, SPAADA SD, R.S.U.  08.05.0339</t>
  </si>
  <si>
    <t>Sindicato de Pescadores Artesanales, Armadores Pelágicos y Actividades Conexas de la Caleta Vegas de Coliumo, R.S.U.  08.06.0113</t>
  </si>
  <si>
    <t>Sindicato de Pescadores y Armadores Artesanales del Mar, SIPARMAR, R.S.U.  08.05.0399</t>
  </si>
  <si>
    <t>Sindicato de Pescadores y Trabajadores Independientes "Brisas del Mar", R.S.U.  08.04.0115</t>
  </si>
  <si>
    <t>S.T.I.  Armadores Pescadores Artesanales Buzos Mariscadores, Algueros Acuicultores y Actividades Conexas de la Región del Bío Bío (PESCA BIO BIO), R.S.U.  08.05.0532</t>
  </si>
  <si>
    <t>S.T.I.  Armadores Pescadores del Mar "SIARPEMAR", R.S.U.  08.05.0459.</t>
  </si>
  <si>
    <t>S.T.I.  Armadores, Pescadores y Ramos Afines de la Pesca Artesanal de la Región del  Bio-Bio, SARPAR BIO-BIO, R.S.U.  08.05.0378</t>
  </si>
  <si>
    <t>S.T.I.  Armadores, Pescadores y Ramos Afines de la Pesca Artesanal Lo Rojas "SITRAL", R.S.U.  08.07.0322</t>
  </si>
  <si>
    <t>S.T.I.  de Armadores y Pescadores Artesanales y Ramas afines, R.S.U.  08.05.0512</t>
  </si>
  <si>
    <t>S.T.I.  de Buzos asistentes, Armadores, Pescadores Artesanales Hermandad de la Costa, R.S.U.  08.05.0404</t>
  </si>
  <si>
    <t>S.T.I.  de la Pesca Artesanal, Armadores Artesanales Pelágicos Actividades Afines y Actividades Conexas de la Comuna de Talcahuano, MAR AZUL,  R.S.U.  08.05.0434</t>
  </si>
  <si>
    <t>S.T.I.  de la Pesca Artesanal, Armadores Artesanales Pelágicos, Pescadores Artesanales propiamente tales y actividades Conexas de Caleta San Vicente "Sindicato Tsunami", R.S.U.  08.05.0428</t>
  </si>
  <si>
    <t>S.T.I.  de Pescadores Artesanales Caleta Lo Rojas, R.S.U.  08.07.0287.</t>
  </si>
  <si>
    <t>S.T.I.  de Pescadores Artesanales Merluceros y Afines de Caleta Lo Rojas, R.S.U.  08.07.0227</t>
  </si>
  <si>
    <t>S.T.I.  de Pescadores Artesanales, Armadores Artesanales Pelágicos Actividades Afines y Actividades Conexas de la Caleta de San Vicente de la Comuna de Talcahuano, SIPARMARCEA, R.S.U.  08.05.0430</t>
  </si>
  <si>
    <t>S.T.I.  Pescadores Armadores y Ramos Afines de la Pesca Artesanal, APAT, R.S.U.  08.05.0380</t>
  </si>
  <si>
    <t>S.T.I.  Pescadores Artesanales de Caleta Tumbes - Talcahuano, R.S.U.  08.05.0057</t>
  </si>
  <si>
    <t>S.T.I.  Pescadores Artesanales Históricos de Talcahuano, SPARHITAL, R.S.U.  08.05.0382</t>
  </si>
  <si>
    <t>S.T.I.  Pescadores Artesanales Península de Tumbes, R.S.U.  08.05.0391</t>
  </si>
  <si>
    <t>S.T.I.  Pescadores Artesanales, Armadores y Actividades Conexas Tome Los Bagres, R.S.U.  08.06.0024</t>
  </si>
  <si>
    <t>S.T.I.  Pescadores Artesanales, Armadores, Patrones y Tripulantes de Pesca Artesanal y Actividades Conexas de la Caleta Cocholgüe de la Comuna de Tomé VIII Región, R.S.U.  08.0601.06.</t>
  </si>
  <si>
    <t>S.T.I.  Pescadores Artesanales, Buzos Mariscadores y Actividades Conexas del Puerto de Coronel de la VIII Región y del Golfo de Arauco, R.S.U.  08.07.0183</t>
  </si>
  <si>
    <t>S.T.I.  Pescadores Artesanales, Lancheros, Acuicultores y Actividades Conexas de Caleta Lota Bajo, R.S.U.  08.07.0106</t>
  </si>
  <si>
    <t>S.T.I.  Pescadores de la Caleta Cocholgüe, R.S.U.  08.06.0023</t>
  </si>
  <si>
    <t>S.T.I.  Pescadores de la Caleta Coliumo, R.S.U.  08.06.0027</t>
  </si>
  <si>
    <t>S.T.I.  Pescadores y Armadores y Ramos Afines de la Pesca Artesanal, SIPARMA - LOTA, R.S.U.  08.07.0306</t>
  </si>
  <si>
    <t>S.T.I.  Pescadores, Armadores Artesanales Buzos, Acuicultores y Ramos Afines de la Pesca Artesanal Comuna de Talcahuano, R.S.U.  08.05.0487.</t>
  </si>
  <si>
    <t>S.T.I.  Pescadores, Armadores y Ramas Afines de la Pesca Artesanal de Coronel SIPESMAFESA, R.S.U.  08.07.0332</t>
  </si>
  <si>
    <t>S.T.I.  Pescadores, Armadores y Ramos Afines de la Pesca Artesanal de Coronel, SIPARMAR CORONEL , R.S.U.  08.07.0271</t>
  </si>
  <si>
    <t>S.T.I.  Pescadores, Armadores y Ramos Afines SIPEAYRAS de Lota, R.S.U.  08.07.0296</t>
  </si>
  <si>
    <t>S.T.I. , Armadores, Buzos acuicultores y ramos afines de la pesca artesanal "SIPEARBUCOR" R.S.U.  08.07.0376</t>
  </si>
  <si>
    <t>S.T.I. , Ayudantes de Buzos, Pescadores Artesanales y Algueras y Actividades Conexas de las Caletas Tomé y Quichiuto, R.S.U.  08.06.0043</t>
  </si>
  <si>
    <t>S.T.I. , Pescadores Artesanales, Armadores Artesanales Pelágicos, Patrones y Tripulantes de Pesca Artesanal y Actividades Conexas de la Común de Talcahuano " ASPAS", R.S.U.  08.05.0474</t>
  </si>
  <si>
    <t>S.T.I. , Pescadores Artesanales, Armadores Artesanales, "Rio Maipo" de la Caleta de San Vicente de la Comuna de Talcahuano; R.S.U.  08.05.0488.</t>
  </si>
  <si>
    <t>S.T.I. , Pescadores Artesanales, Armadores Artesanales, Buzos Mariscadores y Recolectores de Orilla Isla Santa Maria Puerto Sur, R.S.U.  08.07.0364.</t>
  </si>
  <si>
    <t>S.T.I. , Pescadores de la Pesca Artesanal, Armadores Artesanales y Actividades Conexas de la Caleta de Lota VIII Región (SIPAR GENTE DE MAR), R.S.U.  08.07.0326</t>
  </si>
  <si>
    <t>Sindicato de Trabajadores Pescadores y Armadores Artesanales Independientes, Buzos Mariscadores  y Actividades Anexas de Talcahuano, SIPARBUM, R.S.U.  08.05.0424</t>
  </si>
  <si>
    <t>Sindicato Independiente de Armadores y Pescadores Artesanales Afines, SARPE, R.S.U.  08.05.0398</t>
  </si>
  <si>
    <t>Sindicato Independiente de Pequeños Armadores Artesanales de Cerco y Otras Actividades Afines de Coronel y Lota, R.S.U.  08.07.0373</t>
  </si>
  <si>
    <t>Sindicato Independiente de Pescadores Artesanales, Tripulantes Artesanales de Cerco y Ramos Afines de la Comuna de Lota, R.S.U.  08.07.0220</t>
  </si>
  <si>
    <t>Embarcaciones tipo bote sin historia real de desembarque</t>
  </si>
  <si>
    <t>insertar aquí</t>
  </si>
  <si>
    <t>desembarque</t>
  </si>
  <si>
    <t>I PERIODO</t>
  </si>
  <si>
    <t>Sardina C</t>
  </si>
  <si>
    <t>Embarcaciones Tipo Bote</t>
  </si>
  <si>
    <t>Sin historial real de desembarque</t>
  </si>
  <si>
    <t>ODISEO</t>
  </si>
  <si>
    <t>sin la VIII</t>
  </si>
  <si>
    <t>CESION INDUSTRIAL-ARTESANAL UNIDADES DE PESQUERÍA ANCHOVETA-SARDINA COMUN V-X REGIONES</t>
  </si>
  <si>
    <t xml:space="preserve">con desembarques al día   </t>
  </si>
  <si>
    <t>Capturado  Anchoveta</t>
  </si>
  <si>
    <t>DON BETO IV</t>
  </si>
  <si>
    <t>Ojo: Asignado es el total de ambas embarcaciones. Ojo para el cierre</t>
  </si>
  <si>
    <t>MARIELA III</t>
  </si>
  <si>
    <t>BLANCA ESTELA</t>
  </si>
  <si>
    <t>CESIONES ( Resol Ex. N° 708 y 01)</t>
  </si>
  <si>
    <t xml:space="preserve">insertar aca </t>
  </si>
  <si>
    <t>Estado</t>
  </si>
  <si>
    <t>cuota antigua</t>
  </si>
  <si>
    <t>jurel x</t>
  </si>
  <si>
    <t>periodo 1</t>
  </si>
  <si>
    <t>periodo 2</t>
  </si>
  <si>
    <t>por res 548 del 22 02 2013</t>
  </si>
  <si>
    <r>
      <t>Sind. Pesc. Art. Y Arm. Cerqueros de Valdivia</t>
    </r>
    <r>
      <rPr>
        <sz val="10"/>
        <color rgb="FFFF0000"/>
        <rFont val="@Arial Unicode MS"/>
      </rPr>
      <t>. R.S.U. 14.01.0330</t>
    </r>
  </si>
  <si>
    <t>ok</t>
  </si>
  <si>
    <t>Atencion</t>
  </si>
  <si>
    <t>Atención</t>
  </si>
  <si>
    <t>NELLY II</t>
  </si>
  <si>
    <t>IMPERIO AUSTRAL</t>
  </si>
  <si>
    <t>CONNY</t>
  </si>
  <si>
    <t>CABO TAMAR II</t>
  </si>
  <si>
    <t>DON ARIEL</t>
  </si>
  <si>
    <t>FAMA II</t>
  </si>
  <si>
    <t>TORMENTA</t>
  </si>
  <si>
    <t>XV Región IMPREVISTOS</t>
  </si>
  <si>
    <t>Suma global mas imprevistos</t>
  </si>
  <si>
    <t>cuota imprevistos</t>
  </si>
  <si>
    <t>antiguo valor</t>
  </si>
  <si>
    <t>ok¡</t>
  </si>
  <si>
    <t>Diferencia</t>
  </si>
  <si>
    <t>KASSANDRA I</t>
  </si>
  <si>
    <t>SIRENITA II</t>
  </si>
  <si>
    <t>CUOTA DE IMPREVISTOS  RES EX 3135 14 11 2013</t>
  </si>
  <si>
    <t>GLOBAL + IMPREVISTOS</t>
  </si>
  <si>
    <t>Cierre anual 27 11 2013</t>
  </si>
  <si>
    <t>ROSITA I</t>
  </si>
  <si>
    <t>III a X</t>
  </si>
  <si>
    <t>IV</t>
  </si>
  <si>
    <t>Anual</t>
  </si>
  <si>
    <t>cuota por resolución</t>
  </si>
  <si>
    <t xml:space="preserve">XI Región, de Aysen Sardina austral </t>
  </si>
  <si>
    <t>CONSUMO HUMANO</t>
  </si>
  <si>
    <t>XV</t>
  </si>
  <si>
    <t>V</t>
  </si>
  <si>
    <t>CUOTA DE IMPREVISTOS</t>
  </si>
  <si>
    <t>Resumen Artesanal por unidad de pesquería, 2014</t>
  </si>
  <si>
    <t>% consumido 2014</t>
  </si>
  <si>
    <t>Resumen RAE Anchoveta 2014</t>
  </si>
  <si>
    <t>RAE Anchoveta 2014</t>
  </si>
  <si>
    <t>Anchoveta 2014</t>
  </si>
  <si>
    <t>Resumen RAE Sardina común 2014</t>
  </si>
  <si>
    <t>RAE Sardina común 2014</t>
  </si>
  <si>
    <t>Sardina común 2014</t>
  </si>
  <si>
    <t>Resumen RAE Jurel 2014</t>
  </si>
  <si>
    <t>RAE Jurel 2014</t>
  </si>
  <si>
    <t>Jurel 2014</t>
  </si>
  <si>
    <t>Sardina española 2014</t>
  </si>
  <si>
    <t>X Región, de Los Lagos Sardina austral 2014</t>
  </si>
  <si>
    <t>Sardina austral 2014</t>
  </si>
  <si>
    <t>Resumen por Periodo Cuota Artesanal 2014</t>
  </si>
  <si>
    <t>Jurel 2014 XV a II</t>
  </si>
  <si>
    <t>Jurel 2014 III a X</t>
  </si>
  <si>
    <t>Sardina Española 2014</t>
  </si>
  <si>
    <t>Sardina Comun 2014</t>
  </si>
  <si>
    <t>HUASCO</t>
  </si>
  <si>
    <t>CHAÑARAL</t>
  </si>
  <si>
    <t xml:space="preserve">Algas pardas para la IV región </t>
  </si>
  <si>
    <t>Huiro Negro -  Elqui</t>
  </si>
  <si>
    <t>Huiro Palo  - Elqui</t>
  </si>
  <si>
    <t>Huiro Macro  - Elqui</t>
  </si>
  <si>
    <t>Huiro Negro  - Limarí</t>
  </si>
  <si>
    <t>Huiro Palo  - Limarí</t>
  </si>
  <si>
    <t>Huiro Macro - Limarí</t>
  </si>
  <si>
    <t>Huiro Negro  - Choapa</t>
  </si>
  <si>
    <t>Huiro Palo  - Choapa</t>
  </si>
  <si>
    <t>Huiro Macro  - Choapa</t>
  </si>
  <si>
    <t xml:space="preserve">Algas Pardas IV región </t>
  </si>
  <si>
    <t xml:space="preserve">Elqui IV </t>
  </si>
  <si>
    <t>10% varado</t>
  </si>
  <si>
    <t>Des. varado (t)</t>
  </si>
  <si>
    <t>Huiro negro</t>
  </si>
  <si>
    <t>Huiro palo</t>
  </si>
  <si>
    <t>Huiro  macro</t>
  </si>
  <si>
    <t>Huiro macro</t>
  </si>
  <si>
    <t>Totales  por especie</t>
  </si>
  <si>
    <t xml:space="preserve">Limarí IV </t>
  </si>
  <si>
    <t>Desembarque total</t>
  </si>
  <si>
    <t>Saldo cuota anual</t>
  </si>
  <si>
    <t>Choapa IV</t>
  </si>
  <si>
    <t>ARMAR., R.A.G. 320-10</t>
  </si>
  <si>
    <t>AQUEPESCA, RAG 270-1</t>
  </si>
  <si>
    <t>COPIAPO</t>
  </si>
  <si>
    <t>I</t>
  </si>
  <si>
    <t>XII</t>
  </si>
  <si>
    <t>Saldo varado (t)</t>
  </si>
  <si>
    <t>Ene-Mar</t>
  </si>
  <si>
    <t>S/R</t>
  </si>
  <si>
    <t>Abr-Jun</t>
  </si>
  <si>
    <t>Jul-Sep</t>
  </si>
  <si>
    <t xml:space="preserve">% Sobrepaso </t>
  </si>
  <si>
    <t>Desembarque varado</t>
  </si>
  <si>
    <t>Saldo % varado</t>
  </si>
  <si>
    <t xml:space="preserve">Algas Pardas III región </t>
  </si>
  <si>
    <t>Residual</t>
  </si>
  <si>
    <t>total extraido</t>
  </si>
  <si>
    <t>%consumo</t>
  </si>
  <si>
    <t>Don Raul</t>
  </si>
  <si>
    <t>LANCHA</t>
  </si>
  <si>
    <t>Don Joaquin</t>
  </si>
  <si>
    <t>Alexis</t>
  </si>
  <si>
    <t>ANITA BELEN</t>
  </si>
  <si>
    <t>ANTONELLA II</t>
  </si>
  <si>
    <t>DON SIMON</t>
  </si>
  <si>
    <t>KOKALEKA II</t>
  </si>
  <si>
    <t>MAR DE DREY</t>
  </si>
  <si>
    <t>ODISEA</t>
  </si>
  <si>
    <t>PACIFIC MAR</t>
  </si>
  <si>
    <t>PAOLA V</t>
  </si>
  <si>
    <t>PERLITA</t>
  </si>
  <si>
    <t>PHOENIX</t>
  </si>
  <si>
    <t>SAN JORGE</t>
  </si>
  <si>
    <t>SAN QUINTIN</t>
  </si>
  <si>
    <t>SUPERSOL</t>
  </si>
  <si>
    <t>VIENTOS DEL MAR IV</t>
  </si>
  <si>
    <t>ton. Lanchas</t>
  </si>
  <si>
    <t>ton. Botes</t>
  </si>
  <si>
    <t>0,706*</t>
  </si>
  <si>
    <t>FA</t>
  </si>
  <si>
    <t>0,049*</t>
  </si>
  <si>
    <t>Total región período</t>
  </si>
  <si>
    <t xml:space="preserve">SARDINA </t>
  </si>
  <si>
    <t>XIV Región, de Los Ríos SARDINA COMUN año 2014</t>
  </si>
  <si>
    <t>cuota enero abril</t>
  </si>
  <si>
    <t>cuota mayo agosto</t>
  </si>
  <si>
    <t>cuota septiembre diciembre</t>
  </si>
  <si>
    <t>consumo P1</t>
  </si>
  <si>
    <t>consumo P2</t>
  </si>
  <si>
    <t>consumo P3</t>
  </si>
  <si>
    <t>saldo P1</t>
  </si>
  <si>
    <t>saldo P2</t>
  </si>
  <si>
    <t>saldo P3</t>
  </si>
  <si>
    <t>*38,44</t>
  </si>
  <si>
    <t>*45,17</t>
  </si>
  <si>
    <t>05 03 2014</t>
  </si>
  <si>
    <t>Medida Precautoria   ( Celenia I )</t>
  </si>
  <si>
    <t>CAPTURAS</t>
  </si>
  <si>
    <t>Sardina comun</t>
  </si>
  <si>
    <t>J.CARLITOS</t>
  </si>
  <si>
    <t>A</t>
  </si>
  <si>
    <t>OMEGA</t>
  </si>
  <si>
    <t>DON ALONSO</t>
  </si>
  <si>
    <t>DOÑA ISABEL</t>
  </si>
  <si>
    <t>DON PASCUAL V</t>
  </si>
  <si>
    <t>LADY ALASKA</t>
  </si>
  <si>
    <t>BELEN III</t>
  </si>
  <si>
    <t>GEDEON II</t>
  </si>
  <si>
    <t>DON SEBASTIAN</t>
  </si>
  <si>
    <t>MAIRA ALEJANDRA</t>
  </si>
  <si>
    <t>DON JOSE L I</t>
  </si>
  <si>
    <t>TUNINA</t>
  </si>
  <si>
    <t>BEATRIZ</t>
  </si>
  <si>
    <t>ESPERANZA EN DIOS</t>
  </si>
  <si>
    <t>ERWIN</t>
  </si>
  <si>
    <t>SOL NACIENTE</t>
  </si>
  <si>
    <t>BELLA MARINA</t>
  </si>
  <si>
    <t>BENDICION II</t>
  </si>
  <si>
    <t>EL CHOLA I</t>
  </si>
  <si>
    <t>SANTA PATRICIA</t>
  </si>
  <si>
    <t>CHICO RISSO</t>
  </si>
  <si>
    <t>DON PETER I</t>
  </si>
  <si>
    <t>EL BUCANERO I</t>
  </si>
  <si>
    <t>MIRASOL</t>
  </si>
  <si>
    <t>JONNATHAN I</t>
  </si>
  <si>
    <t xml:space="preserve">DON MATI </t>
  </si>
  <si>
    <t>SERGIO II</t>
  </si>
  <si>
    <t>GETSEMANI II</t>
  </si>
  <si>
    <t>DEPREDADOR</t>
  </si>
  <si>
    <t>MAC GIVER</t>
  </si>
  <si>
    <t>TROTAMAR</t>
  </si>
  <si>
    <t>DON PEDRO 2°</t>
  </si>
  <si>
    <t>SERGIO JAVIER</t>
  </si>
  <si>
    <t>KARLITA ALONDRA</t>
  </si>
  <si>
    <t>NIÑO DEL VALLE</t>
  </si>
  <si>
    <t>MARCELITO I</t>
  </si>
  <si>
    <t>EL LIDER</t>
  </si>
  <si>
    <t>MARTINA I</t>
  </si>
  <si>
    <t>EL LAUTARO</t>
  </si>
  <si>
    <t>VICTOR RENE II</t>
  </si>
  <si>
    <t>DAVID</t>
  </si>
  <si>
    <t>SUCUPIRA I</t>
  </si>
  <si>
    <t>JAVIERA H</t>
  </si>
  <si>
    <t>ALEJANDRO I</t>
  </si>
  <si>
    <t>RIO JORDAN</t>
  </si>
  <si>
    <t>CUPIDO</t>
  </si>
  <si>
    <t>PAOLITA</t>
  </si>
  <si>
    <t>DON BRAYAN II</t>
  </si>
  <si>
    <t>DON PABLO</t>
  </si>
  <si>
    <t>JEAN KEVIN</t>
  </si>
  <si>
    <t>LA DONCELLA I</t>
  </si>
  <si>
    <t>LERITO M</t>
  </si>
  <si>
    <t>DON AGUSTIN</t>
  </si>
  <si>
    <t>DON DANIEL I</t>
  </si>
  <si>
    <t>MARIA JOSE</t>
  </si>
  <si>
    <t>SALVADOR 3</t>
  </si>
  <si>
    <t>MI JESUS</t>
  </si>
  <si>
    <t>SANTA VERONICA</t>
  </si>
  <si>
    <t>JOSE MARIA II</t>
  </si>
  <si>
    <t>RIO MAR III</t>
  </si>
  <si>
    <t>FERNANDO ALONSO</t>
  </si>
  <si>
    <t>LINEA AZUL II</t>
  </si>
  <si>
    <t>VENCEDOR</t>
  </si>
  <si>
    <t>EL CHAVA</t>
  </si>
  <si>
    <t>PERLA NEGRA 3</t>
  </si>
  <si>
    <t>SALOMON I</t>
  </si>
  <si>
    <t>EDEN III</t>
  </si>
  <si>
    <t>CLAUDIO DARIO</t>
  </si>
  <si>
    <t>JOSEFA ANTONIA</t>
  </si>
  <si>
    <t>DON MARCE</t>
  </si>
  <si>
    <t>JONAS I</t>
  </si>
  <si>
    <t>EL RENACER I</t>
  </si>
  <si>
    <t>RAYO II</t>
  </si>
  <si>
    <t>ALONSO S</t>
  </si>
  <si>
    <t>KALAFQUEN</t>
  </si>
  <si>
    <t>REBUSCA II</t>
  </si>
  <si>
    <t>MOAB</t>
  </si>
  <si>
    <t>DON DANILO I</t>
  </si>
  <si>
    <t>REY DEL PACIFICO</t>
  </si>
  <si>
    <t>OCEANIC</t>
  </si>
  <si>
    <t>DON ENRIQUE</t>
  </si>
  <si>
    <t>ADONIS</t>
  </si>
  <si>
    <t>JERUSALEM III</t>
  </si>
  <si>
    <t>PIOLIN</t>
  </si>
  <si>
    <t>EL GAVILAN II</t>
  </si>
  <si>
    <t>HUMBERTITO I</t>
  </si>
  <si>
    <t>SANTA CARMEN</t>
  </si>
  <si>
    <t>ULISES II</t>
  </si>
  <si>
    <t>STA ELENA</t>
  </si>
  <si>
    <t>PAULA</t>
  </si>
  <si>
    <t>LORETO I</t>
  </si>
  <si>
    <t>DON FERNANDO I</t>
  </si>
  <si>
    <t>SOL DEL PACIFICO</t>
  </si>
  <si>
    <t>MOVIDIK</t>
  </si>
  <si>
    <t>MARISAN IV</t>
  </si>
  <si>
    <t>INSIGNIA I</t>
  </si>
  <si>
    <t>ENEAS I</t>
  </si>
  <si>
    <t>NEPTUNO II</t>
  </si>
  <si>
    <t>CAMILA IGNACIA</t>
  </si>
  <si>
    <t>BENJAMIN II</t>
  </si>
  <si>
    <t>RIO NILO III</t>
  </si>
  <si>
    <t>CHILEDONIA 8.8</t>
  </si>
  <si>
    <t>CONY I</t>
  </si>
  <si>
    <t>DON RODRIGO</t>
  </si>
  <si>
    <t>YELCHO II</t>
  </si>
  <si>
    <t>FA  Anchoveta</t>
  </si>
  <si>
    <t>CESION DESDE BLUMAR A ARMADORES ART DE LA XIV</t>
  </si>
  <si>
    <t>ANCHOVETA Y S COMUN</t>
  </si>
  <si>
    <t>Asignado anchoveta</t>
  </si>
  <si>
    <t>Asignado s comun</t>
  </si>
  <si>
    <t>Capturado  anchoveta</t>
  </si>
  <si>
    <t>Capturado  s comun</t>
  </si>
  <si>
    <t>Saldo anchoveta</t>
  </si>
  <si>
    <t>Saldo s comun</t>
  </si>
  <si>
    <t>SAMARITANO</t>
  </si>
  <si>
    <t>NABOR I</t>
  </si>
  <si>
    <t>DOL ULMES</t>
  </si>
  <si>
    <t>DOL JOAQUIN</t>
  </si>
  <si>
    <t>DON HECTOR I</t>
  </si>
  <si>
    <t>RESOL 732 DEL 06 03 2014</t>
  </si>
  <si>
    <t>CESION DESDE CAMANCHACA A ARMADORES ART DE LA XIV Y VII</t>
  </si>
  <si>
    <t>REGION</t>
  </si>
  <si>
    <t>NOEMI SOMONEY</t>
  </si>
  <si>
    <t>DOÑA CARMELA</t>
  </si>
  <si>
    <t>STI TRAVESIA RSU 14. 01. 0345</t>
  </si>
  <si>
    <t>STI Travesia 14 01 0345</t>
  </si>
  <si>
    <r>
      <t xml:space="preserve">Sind. Pesc. Art. Y Arm. Cerqueros de Valdivia. R.S.U. 10.02.0409 SIPACERVAL </t>
    </r>
    <r>
      <rPr>
        <b/>
        <sz val="10"/>
        <color rgb="FFFF0000"/>
        <rFont val="@Arial Unicode MS"/>
      </rPr>
      <t>(14 01 0330)</t>
    </r>
  </si>
  <si>
    <t>RESIDUAL BOLSON</t>
  </si>
  <si>
    <t>BENJAMIN M I</t>
  </si>
  <si>
    <t>SAGITARIO</t>
  </si>
  <si>
    <t>YENIFER</t>
  </si>
  <si>
    <t>YANIRA</t>
  </si>
  <si>
    <t>MAR ROJO I</t>
  </si>
  <si>
    <t>ANA ROSA</t>
  </si>
  <si>
    <t>LUZ DEL SUR</t>
  </si>
  <si>
    <t>DIEGO BENJAMIN</t>
  </si>
  <si>
    <t>MAR Y CIELO</t>
  </si>
  <si>
    <t>MAR ROJO</t>
  </si>
  <si>
    <t>PISCIS II</t>
  </si>
  <si>
    <t>OCEANO I</t>
  </si>
  <si>
    <t>HALCON III</t>
  </si>
  <si>
    <t>MARION I</t>
  </si>
  <si>
    <t>ERIKA I</t>
  </si>
  <si>
    <t xml:space="preserve">JUAN JESUS </t>
  </si>
  <si>
    <t>ADMIEL</t>
  </si>
  <si>
    <t>EL LINCO II</t>
  </si>
  <si>
    <t>DON MIGUEL ANGEL</t>
  </si>
  <si>
    <t>ENZO NICOLAS I</t>
  </si>
  <si>
    <t>RIO NILO V</t>
  </si>
  <si>
    <t>YENNY VALESKA II</t>
  </si>
  <si>
    <t>BRENDA STEFANY</t>
  </si>
  <si>
    <t>MONSERRAT</t>
  </si>
  <si>
    <t>MARAZUL</t>
  </si>
  <si>
    <t>JHONATAN</t>
  </si>
  <si>
    <t>RIO GHION</t>
  </si>
  <si>
    <t>FLORITA I</t>
  </si>
  <si>
    <t>EMILIANO</t>
  </si>
  <si>
    <t>EL TIRANO</t>
  </si>
  <si>
    <t>DON IGNACIO</t>
  </si>
  <si>
    <t>QUILANTAHUE</t>
  </si>
  <si>
    <t>CALIPSO</t>
  </si>
  <si>
    <t>DON JACOB</t>
  </si>
  <si>
    <t>PATY</t>
  </si>
  <si>
    <t>CANSAO CHICO I</t>
  </si>
  <si>
    <t>JUAN ANSELMO</t>
  </si>
  <si>
    <t>EL MAR GRANDE II</t>
  </si>
  <si>
    <t>DON DIEGO I</t>
  </si>
  <si>
    <t>NORTINA</t>
  </si>
  <si>
    <t>TATA BEÑO</t>
  </si>
  <si>
    <t>DON CHINDO</t>
  </si>
  <si>
    <t>CRISTY PILAR</t>
  </si>
  <si>
    <t>PUMA</t>
  </si>
  <si>
    <t>CRISTIAN DANIEL</t>
  </si>
  <si>
    <t>LAGO VERDE</t>
  </si>
  <si>
    <t>PATY II</t>
  </si>
  <si>
    <t>JUAN ALEXI</t>
  </si>
  <si>
    <t>LIDER</t>
  </si>
  <si>
    <t>CARLOS MALO</t>
  </si>
  <si>
    <t>FRANCO ANTONIO</t>
  </si>
  <si>
    <t>MAICOL</t>
  </si>
  <si>
    <t>OLGUITA</t>
  </si>
  <si>
    <t>AYLINE I</t>
  </si>
  <si>
    <t>JOHANI</t>
  </si>
  <si>
    <t>PITUCO</t>
  </si>
  <si>
    <t>DON EDUARDO</t>
  </si>
  <si>
    <t>GISEL</t>
  </si>
  <si>
    <t>JOAQLUC PAUMARIG</t>
  </si>
  <si>
    <t>MICKY</t>
  </si>
  <si>
    <t>PELO DURO</t>
  </si>
  <si>
    <t>ADELAIDE</t>
  </si>
  <si>
    <t>DELFIN</t>
  </si>
  <si>
    <t>KAREN V</t>
  </si>
  <si>
    <t>PEREGRINO I</t>
  </si>
  <si>
    <t>PAMELA</t>
  </si>
  <si>
    <t>MURIEL ESCILDA</t>
  </si>
  <si>
    <t>TATIANA</t>
  </si>
  <si>
    <t>HIMAN II</t>
  </si>
  <si>
    <t>ARRECIFE</t>
  </si>
  <si>
    <t>ANTARES</t>
  </si>
  <si>
    <t>ALONDRA</t>
  </si>
  <si>
    <t>EMILIO LUIS I</t>
  </si>
  <si>
    <t>Eslora</t>
  </si>
  <si>
    <t>RESOL 733 DEL 06 03 2014</t>
  </si>
  <si>
    <t>RESOL 734 DEL 06 03 2014</t>
  </si>
  <si>
    <t>CESION DESDE CENTRO SUR A ARMADORES VIII</t>
  </si>
  <si>
    <t>S.T.I.  Pescadores Artesanales, Buzos Mariscadores y Actividades Conexas del Puerto de Coronel de la VIII Región y del Golfo de Arauco, SIPARBUMAR R.S.U.  08.07.0183</t>
  </si>
  <si>
    <t>CESION DESDE SIPARBUMAR VIII A ARMADORES ART DE LA VIII</t>
  </si>
  <si>
    <t>RESOL 3 DEL 17 03 2014</t>
  </si>
  <si>
    <t>LUIS DAVID</t>
  </si>
  <si>
    <t>CESION DESDE STI Tumbes talcahuano VIII A ARMADORES ART DE LA VIII</t>
  </si>
  <si>
    <t>RESOL 2 DEL 17 03 2014</t>
  </si>
  <si>
    <t>20 03 2014</t>
  </si>
  <si>
    <t>13 03 2014</t>
  </si>
  <si>
    <t>RESOL 04 DEL 20 03 2014</t>
  </si>
  <si>
    <t>S.T.I.  Pescadores Artesanales, Buzos Mariscadores y Actividades Conexas del Puerto de Coronel de la VIII Región y del Golfo de Arauco, SIPARBUMAR R.S.U.  08.07.01837</t>
  </si>
  <si>
    <t>CESION DESDE STI SIPARBUMAR CORONEL VIII A ARMADOR ART DE LA VIII</t>
  </si>
  <si>
    <t>RESOL 05 DEL 21 03 2014</t>
  </si>
  <si>
    <t>CESION DESDE STI SIPESMAFESA CORONEL VIII A ARMADOR ART DE LA VIII</t>
  </si>
  <si>
    <t>RESOL 06 DEL 21 03 2014</t>
  </si>
  <si>
    <t xml:space="preserve">RIO TOLTEN I </t>
  </si>
  <si>
    <t>CESION DESDE BLUMAR A ARMADORES ART DE LA VIII</t>
  </si>
  <si>
    <t>03 02 3014</t>
  </si>
  <si>
    <t>05 02 3014</t>
  </si>
  <si>
    <t>12 03 2014</t>
  </si>
  <si>
    <t>14 03 2014</t>
  </si>
  <si>
    <t>RESOL 801 DEL 24 03 2014</t>
  </si>
  <si>
    <t>26 03 2014</t>
  </si>
  <si>
    <t>27 03 2014</t>
  </si>
  <si>
    <t>CESION DESDE IND A ARMADORES ART DE LA VIII</t>
  </si>
  <si>
    <t>RESOL 879 DEL 27 03 2014</t>
  </si>
  <si>
    <t>28 03 2014</t>
  </si>
  <si>
    <t>RESOL 793 DEL 19 03 2014</t>
  </si>
  <si>
    <t>29 03 2014</t>
  </si>
  <si>
    <t>Cierre cuota anual</t>
  </si>
  <si>
    <t>041-04-2014</t>
  </si>
  <si>
    <t>CESION INV PESQUERAS A ARMADORES ART DE LA VIII</t>
  </si>
  <si>
    <t>RESOL 919 DEL 02 04 2014</t>
  </si>
  <si>
    <t>VENTISQUERO</t>
  </si>
  <si>
    <t>RESOL 920 DEL 02 04 2014</t>
  </si>
  <si>
    <t>RESOL 921 DEL 02 04 2014</t>
  </si>
  <si>
    <t>NOEMI SIMONEY</t>
  </si>
  <si>
    <t>CESION CAMANCHACA PESCA SUR A  ARMAD ART DE LA XIV</t>
  </si>
  <si>
    <t>02 04 2014</t>
  </si>
  <si>
    <t>CESION DESDE pesq. Centro sur A ARMADORES ART DE LA VIII</t>
  </si>
  <si>
    <t>RESOL 941 DEL 03 04 2014</t>
  </si>
  <si>
    <t>Palmi II</t>
  </si>
  <si>
    <t>RESOL 942 DEL 03 04 2014</t>
  </si>
  <si>
    <t>CESION DESDE pesq. Centro sur A SIT SIPARMA LOTA DE LA VIII</t>
  </si>
  <si>
    <t>DON LUIS ALBERTO II</t>
  </si>
  <si>
    <t>CESION DESDE STI LOS MOLINOS XIV A ARMADOR ART DE LA XIV</t>
  </si>
  <si>
    <t>RESOL 948 DEL 03 04 2014</t>
  </si>
  <si>
    <t>CESION DESDE foodcorp a ARMADOR ART DE LA VIII</t>
  </si>
  <si>
    <t>RESOL 954 DEL 07 04 2014</t>
  </si>
  <si>
    <t>EDEN I</t>
  </si>
  <si>
    <t>RESOL 953 DEL 03 04 2014</t>
  </si>
  <si>
    <t>CESION DESDE AGARMAR X a ARMADOR ART DE LA VIII</t>
  </si>
  <si>
    <t>DON MILLIN II</t>
  </si>
  <si>
    <t>HENRY</t>
  </si>
  <si>
    <t>TITITO</t>
  </si>
  <si>
    <t>RENACER</t>
  </si>
  <si>
    <t>KATHERINE III</t>
  </si>
  <si>
    <t>MAREA ROJA</t>
  </si>
  <si>
    <t>CRISTIAN MARCELO</t>
  </si>
  <si>
    <t>CESION DESDE ARMADORES INDUSTRIALES A ARMADORES ART DE LA VIII</t>
  </si>
  <si>
    <t>RESOL 1006 DEL 10 04 2014</t>
  </si>
  <si>
    <t>Juan Anselmo</t>
  </si>
  <si>
    <t>Oceanic</t>
  </si>
  <si>
    <t>Sebastian II</t>
  </si>
  <si>
    <t>Gaviota</t>
  </si>
  <si>
    <t>Odiseo</t>
  </si>
  <si>
    <t>Yanira</t>
  </si>
  <si>
    <t>Enzo Nicolas I</t>
  </si>
  <si>
    <t>Mariala III</t>
  </si>
  <si>
    <t>Herlibet</t>
  </si>
  <si>
    <t>Don Mateo</t>
  </si>
  <si>
    <t>Camila Antonella</t>
  </si>
  <si>
    <t>Don Goyo</t>
  </si>
  <si>
    <t>Don Rodrigo B</t>
  </si>
  <si>
    <t>Don Guillermo I</t>
  </si>
  <si>
    <t>CESION DESDE ARMADOR INDUSTRIAL A ARMADORES ART DE LA XIV</t>
  </si>
  <si>
    <t>RESOL 1005 DEL 10 04 2014</t>
  </si>
  <si>
    <t>Margot Maria IV</t>
  </si>
  <si>
    <t>Samaritano I</t>
  </si>
  <si>
    <t>Samaritano</t>
  </si>
  <si>
    <t>Nabor I</t>
  </si>
  <si>
    <t>Benjamin</t>
  </si>
  <si>
    <t>Punta Brava</t>
  </si>
  <si>
    <t>Don Ulmes</t>
  </si>
  <si>
    <t>Don Joaquín</t>
  </si>
  <si>
    <t>Rolando</t>
  </si>
  <si>
    <t>Aguila Real</t>
  </si>
  <si>
    <t>Eben Ezer II</t>
  </si>
  <si>
    <t>Claudio I</t>
  </si>
  <si>
    <t>Don Hector I</t>
  </si>
  <si>
    <t>Nicolas</t>
  </si>
  <si>
    <t>CESION DESDE ASOGFER X A ARMADOR ART DE LA VIII</t>
  </si>
  <si>
    <t>RESOL 1003 DEL 10 04 2014</t>
  </si>
  <si>
    <t>RESOL 1004 DEL 10 04 2014</t>
  </si>
  <si>
    <t>El Tontin</t>
  </si>
  <si>
    <t>cierre 15-04-2014</t>
  </si>
  <si>
    <t>07 04 2014</t>
  </si>
  <si>
    <t>*26,093</t>
  </si>
  <si>
    <t>CESION DESDE ARMAPES XIV A ARMADOR ART DE LA XIV</t>
  </si>
  <si>
    <t>RESOL 1069 DEL 21 04 2014</t>
  </si>
  <si>
    <t>RESOL 1070 DEL 21 04 2014</t>
  </si>
  <si>
    <t xml:space="preserve">GEMAR </t>
  </si>
  <si>
    <t>CESION DESDE STI AMARGOS XIV A ARMADOR ART DE LA XIV</t>
  </si>
  <si>
    <t>RESOL 1100 DEL 23 04 2014</t>
  </si>
  <si>
    <t>RESOL 1101 DEL 23 04 2014</t>
  </si>
  <si>
    <t>RESOL 1102 DEL 23 04 2014</t>
  </si>
  <si>
    <t>Bahiha chasco</t>
  </si>
  <si>
    <t>HN</t>
  </si>
  <si>
    <t>HP</t>
  </si>
  <si>
    <t>HM</t>
  </si>
  <si>
    <t>Resto de Region</t>
  </si>
  <si>
    <t>Bahia Chasco</t>
  </si>
  <si>
    <t>V región DESCARTES R EX 1000 09 b04 2014</t>
  </si>
  <si>
    <t>Resto Region</t>
  </si>
  <si>
    <t>Totales  por especie RESTO DE LA REGION</t>
  </si>
  <si>
    <t>Totales  REGIO por especie</t>
  </si>
  <si>
    <t>RESOL 08 DEL 21 03 2014</t>
  </si>
  <si>
    <t>RESOL 1153 DEL 28 04 2014</t>
  </si>
  <si>
    <t>S COMUN</t>
  </si>
  <si>
    <t>CESION DESDE __________ A ARMADOR ART DE LA VIII</t>
  </si>
  <si>
    <t>Don MATEO</t>
  </si>
  <si>
    <t>CESION DESDE ORIZON A ARMADORES ART DE LA III Y  IV</t>
  </si>
  <si>
    <t>RESOL 1150 DEL 28 04 2014</t>
  </si>
  <si>
    <t>DELFIN 2000</t>
  </si>
  <si>
    <t>DON TOMAS</t>
  </si>
  <si>
    <t>DON VICTORINO</t>
  </si>
  <si>
    <t>DOÑA OLGA I</t>
  </si>
  <si>
    <t>GAROTA</t>
  </si>
  <si>
    <t>GAROTA III</t>
  </si>
  <si>
    <t>JEPE I</t>
  </si>
  <si>
    <t>LORENA I</t>
  </si>
  <si>
    <t>MARIA PABLA</t>
  </si>
  <si>
    <t>MARIA SOLEDAD II</t>
  </si>
  <si>
    <t>MARINA BERNARDA II</t>
  </si>
  <si>
    <t xml:space="preserve">NIEBLA </t>
  </si>
  <si>
    <t>SANDY III</t>
  </si>
  <si>
    <t>CESION DESDE AG  CORONEL 05 - 08  A ARMADOR ART DE LA VIII</t>
  </si>
  <si>
    <t>Sardina Española</t>
  </si>
  <si>
    <t>DON BENITO II</t>
  </si>
  <si>
    <t>CHUBASCO I</t>
  </si>
  <si>
    <t>MAIMAU</t>
  </si>
  <si>
    <t>DON JOSE EDGARDO</t>
  </si>
  <si>
    <t>DON JOSE MIGUEL</t>
  </si>
  <si>
    <t>EL CID</t>
  </si>
  <si>
    <t>GUILLERMO I</t>
  </si>
  <si>
    <t>KALI</t>
  </si>
  <si>
    <t>DON ATILIO</t>
  </si>
  <si>
    <t>OSO YOGUI</t>
  </si>
  <si>
    <t>PIONERO</t>
  </si>
  <si>
    <t>PUNTA PICHICUY</t>
  </si>
  <si>
    <t>RAQUEL I</t>
  </si>
  <si>
    <t>FORTUNA IV</t>
  </si>
  <si>
    <t>FORTUNA V</t>
  </si>
  <si>
    <t>XOLOT</t>
  </si>
  <si>
    <t>SOFIA MAGDALENA</t>
  </si>
  <si>
    <t>CINTHYA VERONICA</t>
  </si>
  <si>
    <t>DON PANCRACIO</t>
  </si>
  <si>
    <t>JUANITA</t>
  </si>
  <si>
    <t>ROCIO II</t>
  </si>
  <si>
    <t>LA RAQUEL</t>
  </si>
  <si>
    <t>ESTRELLA III</t>
  </si>
  <si>
    <t>DINASTIA</t>
  </si>
  <si>
    <t>VIRGO</t>
  </si>
  <si>
    <t>TRINIDAD</t>
  </si>
  <si>
    <t>LONQUIMAY 2</t>
  </si>
  <si>
    <t>SANTA CATALINA II</t>
  </si>
  <si>
    <t>SION</t>
  </si>
  <si>
    <t>FORTUNA III</t>
  </si>
  <si>
    <t>CESION DESDE BLUMAR A ARMADORES ART DE LA III</t>
  </si>
  <si>
    <t>RESOL 1177 DEL 30 04 2014</t>
  </si>
  <si>
    <t>RESOL 1178 DEL 30 04 2014</t>
  </si>
  <si>
    <t>CESION DESDE BAHIA CALDERA A ARMADORES ART DE LA III</t>
  </si>
  <si>
    <t>ultimo reporte 28 03 2014 hasta 07 05 2014</t>
  </si>
  <si>
    <t>DON BORNEY PUNTAMAULE</t>
  </si>
  <si>
    <t>RESOL 1195 DEL 06 05 2014</t>
  </si>
  <si>
    <t>RESOL 1196 DEL 06 05 2014</t>
  </si>
  <si>
    <t>RESOL 9 DEL 06 05 2014</t>
  </si>
  <si>
    <t>CESION DESDE ______________ A ARMADORES ART DE LA ___________</t>
  </si>
  <si>
    <t>S COMUN y Anchoveta</t>
  </si>
  <si>
    <t>RESOL 1225 DEL 08 05 2014</t>
  </si>
  <si>
    <t>DON ORLANDO</t>
  </si>
  <si>
    <t>DON ROBERT</t>
  </si>
  <si>
    <t>SANDRITA I</t>
  </si>
  <si>
    <t>INTREPIDA II</t>
  </si>
  <si>
    <t>CECILIA III</t>
  </si>
  <si>
    <t>Sardina Comun</t>
  </si>
  <si>
    <t>CESION DESDE Arm Art a Arm Art de VIII</t>
  </si>
  <si>
    <t xml:space="preserve"> S COMUN</t>
  </si>
  <si>
    <t>CESION DESDE rg art a Arm Art de VIII</t>
  </si>
  <si>
    <t>RESOL 10 DEL 06 05 2014</t>
  </si>
  <si>
    <t>RESOL 09 DEL 06 05 2014</t>
  </si>
  <si>
    <t>Misionera III</t>
  </si>
  <si>
    <t>RESOL 11 DEL 07 05 2014</t>
  </si>
  <si>
    <t>Raul M</t>
  </si>
  <si>
    <t>CESION DESDE IND A ARMADORES ART DE LA V</t>
  </si>
  <si>
    <t>RESOL 1222 DEL 08 05 2014</t>
  </si>
  <si>
    <t>DON ENzo</t>
  </si>
  <si>
    <t>RESOL 1223 DEL 08 05 2014</t>
  </si>
  <si>
    <t>MARTINA IGNACIA</t>
  </si>
  <si>
    <t>RESOL 1224 DEL 08 05 2014</t>
  </si>
  <si>
    <t>MARINA II</t>
  </si>
  <si>
    <t>CACILIA III</t>
  </si>
  <si>
    <t>DONELISEO</t>
  </si>
  <si>
    <t>ANCHOVETA Y S. COMUN</t>
  </si>
  <si>
    <t>RESOL 1356 DEL 15 05 2014</t>
  </si>
  <si>
    <t>DON CESAR</t>
  </si>
  <si>
    <t>RAINIER ALEJANDRO</t>
  </si>
  <si>
    <t>DON PEPE</t>
  </si>
  <si>
    <t>TIO CHITO</t>
  </si>
  <si>
    <t>SOFIA - A</t>
  </si>
  <si>
    <t>RESOL 1357 DEL 15 05 2014</t>
  </si>
  <si>
    <t>DOÑA CATALINA</t>
  </si>
  <si>
    <t>CESIONES ( Resol Ex. N° 708 y 01) + ind y otros</t>
  </si>
  <si>
    <t>RESOL 1358 DEL 15 05 2014</t>
  </si>
  <si>
    <t>FLORENCIA</t>
  </si>
  <si>
    <t>DON YACO</t>
  </si>
  <si>
    <t>KORMORAN 2º</t>
  </si>
  <si>
    <t>DON ALEJANCDRO II</t>
  </si>
  <si>
    <t>KIPPERNES</t>
  </si>
  <si>
    <t xml:space="preserve">CRISTOBAL T </t>
  </si>
  <si>
    <t>21 03 2014 / 07 04 2014 24-04-2014 02-05-2014</t>
  </si>
  <si>
    <t>Apertura</t>
  </si>
  <si>
    <t>cesiones</t>
  </si>
  <si>
    <t xml:space="preserve">DON LUIS ALBERTO </t>
  </si>
  <si>
    <t xml:space="preserve">DON JAIRO </t>
  </si>
  <si>
    <t>GEMAR AG 464-8</t>
  </si>
  <si>
    <t>RESOL 1198 DEL 06 05 2014</t>
  </si>
  <si>
    <t>RESOL 1199 DEL 06 05 2014</t>
  </si>
  <si>
    <t>RESOL 1197 DEL 06 05 2014</t>
  </si>
  <si>
    <t>TURIMAR III</t>
  </si>
  <si>
    <t>RESOL 1403 DEL 27 05 2014</t>
  </si>
  <si>
    <t>MARIA BRISTELA</t>
  </si>
  <si>
    <t>RESOL 1404 DEL 27 05 2014</t>
  </si>
  <si>
    <t>DON TITO R</t>
  </si>
  <si>
    <t>RESOL 1405 DEL 27 05 2014</t>
  </si>
  <si>
    <t>LIDIA C</t>
  </si>
  <si>
    <t>RESOL 1406 DEL 27 05 2014</t>
  </si>
  <si>
    <t>CESION DESDE ORG a Arm Art de VIII</t>
  </si>
  <si>
    <t>RESOL 12 DEL 07 05 2014</t>
  </si>
  <si>
    <t>RESOL 1442 DEL 29 05 2014</t>
  </si>
  <si>
    <t>CESION DESDE SITRAL VIII a ARMADORES ART DE LA VIII</t>
  </si>
  <si>
    <t>RESOL 14 DEL 22 05 2014</t>
  </si>
  <si>
    <t>RAUL M</t>
  </si>
  <si>
    <t>QUIMERA</t>
  </si>
  <si>
    <t>DOÑA MARGARITA C</t>
  </si>
  <si>
    <t>RESOL 1202 DEL 06 05 2014</t>
  </si>
  <si>
    <t>RESOL 1200 DEL 06 05 2014</t>
  </si>
  <si>
    <t>RESOL 1203 DEL06 05 2014</t>
  </si>
  <si>
    <r>
      <t xml:space="preserve">Sind. Pesc. Art. Y Arm. Cerqueros de Valdivia. </t>
    </r>
    <r>
      <rPr>
        <sz val="8"/>
        <color rgb="FFFF0000"/>
        <rFont val="Arial"/>
        <family val="2"/>
      </rPr>
      <t>R.S.U. 10.02.0409 (14.01.0330)</t>
    </r>
  </si>
  <si>
    <r>
      <t xml:space="preserve">Sind. Arm. y Trip. de la Isla de Chiloé, R.S.U.10.04.0214 </t>
    </r>
    <r>
      <rPr>
        <sz val="10"/>
        <color rgb="FFFF0000"/>
        <rFont val="Arial"/>
        <family val="2"/>
      </rPr>
      <t>SATICH</t>
    </r>
  </si>
  <si>
    <t>RESOL 1485 DEL 03 06 2014</t>
  </si>
  <si>
    <t>DON EMILIO IV</t>
  </si>
  <si>
    <t>DOÑA JOVA 2DA</t>
  </si>
  <si>
    <t>AZARIEL</t>
  </si>
  <si>
    <t>04 03 2014/06-06-2014</t>
  </si>
  <si>
    <t>CESION DESDE STI TUMBES VIII A ARMADORES ART DE LA VIII</t>
  </si>
  <si>
    <t>RESOL 15 DEL 06 06 2014</t>
  </si>
  <si>
    <t xml:space="preserve">HURACAN </t>
  </si>
  <si>
    <t>RESOL 1569 DEL 12 06 2014</t>
  </si>
  <si>
    <t>JUREL ANCHOVETA Y S ESPAÑOLA</t>
  </si>
  <si>
    <t>PETROHUE I</t>
  </si>
  <si>
    <t>PETROHUE II</t>
  </si>
  <si>
    <t>PETROHUE III</t>
  </si>
  <si>
    <t>IKE II</t>
  </si>
  <si>
    <t>ELVA S</t>
  </si>
  <si>
    <t>TRITON II</t>
  </si>
  <si>
    <t>anchoveta</t>
  </si>
  <si>
    <t>s Española</t>
  </si>
  <si>
    <t>16 06 2014</t>
  </si>
  <si>
    <t>CESION DESDE BLUMAR A ARMADORES ART DE LA IX</t>
  </si>
  <si>
    <t>RESOL 1599 DEL 18 06 2014</t>
  </si>
  <si>
    <t>CESION DESDE Org X a ARMADOR ART DE LA VIII</t>
  </si>
  <si>
    <t>CESION DESDE Org X a ARMADOR ART DE LA X</t>
  </si>
  <si>
    <t>RESOL 1600 DEL 18 06 2014</t>
  </si>
  <si>
    <t>S Austral</t>
  </si>
  <si>
    <t>Asignado s austral</t>
  </si>
  <si>
    <t>CESION DESDE Org VIII a ARMADOR ART DE LA XIV</t>
  </si>
  <si>
    <t>RESOL 1656 DEL 25 06 2014</t>
  </si>
  <si>
    <t>ISAAC II</t>
  </si>
  <si>
    <t>S Comun</t>
  </si>
  <si>
    <t>Capturado  s austral</t>
  </si>
  <si>
    <t>Saldo s austral</t>
  </si>
  <si>
    <t>RESOL 1657 DEL 25 06 2014</t>
  </si>
  <si>
    <t>RESOL 16 DEL 24 06 2014</t>
  </si>
  <si>
    <t>CESION DESDE STI AGREPESCA VIII A ARMADORES ART DE LA VIII</t>
  </si>
  <si>
    <t>ANTERES</t>
  </si>
  <si>
    <t>RESOL 17 DEL 24 06 2014</t>
  </si>
  <si>
    <t>CESION DESDE STI agemapar VIII A ARMADORES ART DE LA VIII</t>
  </si>
  <si>
    <t>OK¡</t>
  </si>
  <si>
    <t>CESION Artes a ART DE LA VIII</t>
  </si>
  <si>
    <t>RESOL 27 DEL 07 06 2014</t>
  </si>
  <si>
    <t>DOÑA MARGARITA c</t>
  </si>
  <si>
    <t>RESOL 18 DEL 27 06 2014</t>
  </si>
  <si>
    <t>CESION DESDE Org VIII a ARMADOR ART DE LA V</t>
  </si>
  <si>
    <t>RESOL 1718 DEL 02 07 2014</t>
  </si>
  <si>
    <t>VIEJO LALO I</t>
  </si>
  <si>
    <t>DOÑA FLORINA</t>
  </si>
  <si>
    <t>RESOL 1771 DEL 09 07 2014</t>
  </si>
  <si>
    <t>S. COMUN</t>
  </si>
  <si>
    <t>CESION DESDE Org A Org y Arm ART DE LA VIII</t>
  </si>
  <si>
    <t>elemn</t>
  </si>
  <si>
    <t>S</t>
  </si>
  <si>
    <t>/</t>
  </si>
  <si>
    <t>x&gt;0</t>
  </si>
  <si>
    <t xml:space="preserve">contar </t>
  </si>
  <si>
    <t>Xc</t>
  </si>
  <si>
    <t>Promedio Consumo Anual Flota</t>
  </si>
  <si>
    <t>-</t>
  </si>
  <si>
    <t>DOÑA MERCEDES</t>
  </si>
  <si>
    <t>MARYPAZ II</t>
  </si>
  <si>
    <t>KAREN PAMELA</t>
  </si>
  <si>
    <t>SOCOROMA</t>
  </si>
  <si>
    <t>JUAN PABLO II</t>
  </si>
  <si>
    <t>TRINQUETE</t>
  </si>
  <si>
    <t>hacer aperturas</t>
  </si>
  <si>
    <t>RESOL 20 DEL 09 07 2014</t>
  </si>
  <si>
    <t>CARLOS EMILIO</t>
  </si>
  <si>
    <t>DON RICARDO II</t>
  </si>
  <si>
    <t>DON EMILIO</t>
  </si>
  <si>
    <t>DON RICARDO</t>
  </si>
  <si>
    <t>HERMINIA I</t>
  </si>
  <si>
    <t>CESION DESDE IND A Org ART DE LA II</t>
  </si>
  <si>
    <t>Capturado  JUREL</t>
  </si>
  <si>
    <t>RESOL 1801 DEL 10 07 2014</t>
  </si>
  <si>
    <t>CESION DESDE org de la VIII region  A Arm art DE LA VIII</t>
  </si>
  <si>
    <t>CESION DESDE org X A arm ART IX</t>
  </si>
  <si>
    <t>RESOL 1778 DEL 09 07 2014</t>
  </si>
  <si>
    <t>Capturado  SC</t>
  </si>
  <si>
    <t>S comun</t>
  </si>
  <si>
    <t>activada por resol 1730 del 02 07 2014</t>
  </si>
  <si>
    <t>por resol 1893 de 22 07 2014</t>
  </si>
  <si>
    <t>23 07 2014</t>
  </si>
  <si>
    <t>RESOL 22 DEL 18 07 2014</t>
  </si>
  <si>
    <t>DON LUCAS I</t>
  </si>
  <si>
    <t>RESOL 23 DEL 21 07 2014</t>
  </si>
  <si>
    <t>RESOL 24 DEL 23 07 2014</t>
  </si>
  <si>
    <t>RESOL 1902 DEL 24 07 2014</t>
  </si>
  <si>
    <t>EDLFIN 2000</t>
  </si>
  <si>
    <t xml:space="preserve">GAROTA </t>
  </si>
  <si>
    <t>NIEBLA</t>
  </si>
  <si>
    <t>CESION DESDE IND A Org ART DE LA IV</t>
  </si>
  <si>
    <t>RESOL 1964 DEL 25 07 2014</t>
  </si>
  <si>
    <t>CUOTA IMPREVISTOS</t>
  </si>
  <si>
    <t>RESOLUCION 1960 25 07 2014</t>
  </si>
  <si>
    <t>NORMAL + IMPREVISTOS</t>
  </si>
  <si>
    <t>CESION DESDE ARICA SEAFOOD A ARMADORES ART DE LA XV</t>
  </si>
  <si>
    <t>RES 1893  22 07 2014</t>
  </si>
  <si>
    <t>ANTARES IV</t>
  </si>
  <si>
    <t>MAR DE LIGURIA</t>
  </si>
  <si>
    <t>Empresa</t>
  </si>
  <si>
    <t>Fecha Resol</t>
  </si>
  <si>
    <t>Lote</t>
  </si>
  <si>
    <t>Pesquería</t>
  </si>
  <si>
    <t>toneladas</t>
  </si>
  <si>
    <t>CABOMA</t>
  </si>
  <si>
    <t>ANCHOVETA V-X</t>
  </si>
  <si>
    <t>SARDINA COMUN V-X</t>
  </si>
  <si>
    <t>CARLOS NAVARRO</t>
  </si>
  <si>
    <t>JUREL XV-X</t>
  </si>
  <si>
    <t>CERRO VERDE</t>
  </si>
  <si>
    <t>INCOMAR</t>
  </si>
  <si>
    <t>LONGAVI</t>
  </si>
  <si>
    <t>LOTA SEAFOOD</t>
  </si>
  <si>
    <t>PESQ TUBUL</t>
  </si>
  <si>
    <t>CONSUMO HUMANO VIII Region</t>
  </si>
  <si>
    <t>RESOL 1988 DEL 30 07 2014</t>
  </si>
  <si>
    <t>GAROTA II</t>
  </si>
  <si>
    <t>CESION DESDE art IV A Org ART DE LA III</t>
  </si>
  <si>
    <t>RESOL 1989 DEL 30 07 2014</t>
  </si>
  <si>
    <t>Asignado JUREL</t>
  </si>
  <si>
    <t>Cerrada 31-07-2014</t>
  </si>
  <si>
    <t>Modificado por Resl. NO. 1987 del 30-07-2014</t>
  </si>
  <si>
    <t xml:space="preserve">resl. </t>
  </si>
  <si>
    <t>Rels. Ex. NO: 1963 del 25-07-2014</t>
  </si>
  <si>
    <t>atención</t>
  </si>
  <si>
    <t>X|</t>
  </si>
  <si>
    <t>OJO</t>
  </si>
  <si>
    <t>aculaizado</t>
  </si>
  <si>
    <t>Suma</t>
  </si>
  <si>
    <t>Consultar</t>
  </si>
  <si>
    <t>RESOL 25 DEL 31 07 2014</t>
  </si>
  <si>
    <t>S COMUN Y ANCHOVETA</t>
  </si>
  <si>
    <t>CESION DESDE IND A ARMADOR ART DE LA VIII</t>
  </si>
  <si>
    <t>RESOL 2077 DEL 06 08 2014</t>
  </si>
  <si>
    <t>CESION DESDE CORPESCA A ARMADORES ART DE LA XV I</t>
  </si>
  <si>
    <t>RESOL 2051 DEL 06 08 2014</t>
  </si>
  <si>
    <t>ARKOS III</t>
  </si>
  <si>
    <t>ARKOS I</t>
  </si>
  <si>
    <t>GRACIAS A DIOS I</t>
  </si>
  <si>
    <t>ABEL</t>
  </si>
  <si>
    <t>DON HUBALDO HQ</t>
  </si>
  <si>
    <t>ABRAHAM</t>
  </si>
  <si>
    <t>LOBO DE AFUERA V</t>
  </si>
  <si>
    <t>DESIDERIO ROJAS</t>
  </si>
  <si>
    <t>VALENCIA</t>
  </si>
  <si>
    <t>ISAURA I</t>
  </si>
  <si>
    <t>GRACIAS A DIOS IV</t>
  </si>
  <si>
    <t>CHONE</t>
  </si>
  <si>
    <t>JJ</t>
  </si>
  <si>
    <t>PATO LILE</t>
  </si>
  <si>
    <t>TUAREG I</t>
  </si>
  <si>
    <t>DOÑA PILAR II</t>
  </si>
  <si>
    <t>AMADEUS</t>
  </si>
  <si>
    <t>AMADEUS I</t>
  </si>
  <si>
    <t>MARIA I</t>
  </si>
  <si>
    <t>LA BALLENA</t>
  </si>
  <si>
    <t>KAIROS</t>
  </si>
  <si>
    <t>LOBO DE AFUERA IV</t>
  </si>
  <si>
    <t>ISAURA</t>
  </si>
  <si>
    <t>DON FRUCTOSO</t>
  </si>
  <si>
    <t>GRACIAS A DIOS II</t>
  </si>
  <si>
    <t>CHARLY</t>
  </si>
  <si>
    <t>GRINGO PABLO II</t>
  </si>
  <si>
    <t>CORSARIO</t>
  </si>
  <si>
    <t>SHALON II</t>
  </si>
  <si>
    <t>MARCELO RODOLFO</t>
  </si>
  <si>
    <t>KAWESKAR</t>
  </si>
  <si>
    <t>BUENAVENTURA</t>
  </si>
  <si>
    <t>LORETO III</t>
  </si>
  <si>
    <t>GUAJACHE II</t>
  </si>
  <si>
    <t>ARKOS II</t>
  </si>
  <si>
    <t>ALBORADA II</t>
  </si>
  <si>
    <t>BUCANERO</t>
  </si>
  <si>
    <t>PELICANO</t>
  </si>
  <si>
    <t>SANTIAGO</t>
  </si>
  <si>
    <t>RESOL 30 DEL 11 08 2014</t>
  </si>
  <si>
    <t>01 07 2014</t>
  </si>
  <si>
    <t>02 07 2014</t>
  </si>
  <si>
    <t>10 07 2014</t>
  </si>
  <si>
    <t>14 07 2014</t>
  </si>
  <si>
    <t>(cierre parcial 14 07 2014)</t>
  </si>
  <si>
    <t>(emb don ariel)</t>
  </si>
  <si>
    <t>17 07 2014</t>
  </si>
  <si>
    <t>cierre 18 07 2014</t>
  </si>
  <si>
    <t>22 07 2014</t>
  </si>
  <si>
    <t>23 07 2014 cierre anual</t>
  </si>
  <si>
    <t>14 03 2014 / Apertura 07 04 2014</t>
  </si>
  <si>
    <t>28 03 2014 / apertura 07 04 2014</t>
  </si>
  <si>
    <t>31 03 2014 / apertura 07 04 2014</t>
  </si>
  <si>
    <t>28 03 2014 / 17 07 2014 / apertura 07 04 2014</t>
  </si>
  <si>
    <t>28 03 2014  /02-07-2014 / apertura 07 04 2014</t>
  </si>
  <si>
    <t>28 03 2014 / 14 07 2014 / apertura 07 04 2014</t>
  </si>
  <si>
    <t>27 03 2014 / apertura 07 04 2014</t>
  </si>
  <si>
    <t>11 03 2014 Y 12 03 2014 / apertura 07 047 2014</t>
  </si>
  <si>
    <t>Apertura 23 05 2014</t>
  </si>
  <si>
    <t>apertura 13 06 2014</t>
  </si>
  <si>
    <t>14 07 2014 / apertura 04 07 2014</t>
  </si>
  <si>
    <t>RESOL 2222 DEL 25 08 2014</t>
  </si>
  <si>
    <t>DOÑAFLORINDA</t>
  </si>
  <si>
    <t>02 09 2014</t>
  </si>
  <si>
    <t xml:space="preserve">LIDIA C </t>
  </si>
  <si>
    <t>Region</t>
  </si>
  <si>
    <t>XV-I</t>
  </si>
  <si>
    <t> 156,787</t>
  </si>
  <si>
    <t> 1163,04</t>
  </si>
  <si>
    <t> 2963,919</t>
  </si>
  <si>
    <t> 3504,58</t>
  </si>
  <si>
    <t>15,32 </t>
  </si>
  <si>
    <t> 0,07</t>
  </si>
  <si>
    <t> 51,29</t>
  </si>
  <si>
    <t> 8922,03</t>
  </si>
  <si>
    <t>0 </t>
  </si>
  <si>
    <t> 0,02</t>
  </si>
  <si>
    <t> 5,31</t>
  </si>
  <si>
    <t>FA III-X</t>
  </si>
  <si>
    <t>5,08 </t>
  </si>
  <si>
    <t>FA XV-II</t>
  </si>
  <si>
    <t> 4,61</t>
  </si>
  <si>
    <t>Cd_Region</t>
  </si>
  <si>
    <t>Cd_Especie</t>
  </si>
  <si>
    <t>SumaDeNr_Toneladas</t>
  </si>
  <si>
    <t>Cd_Estado</t>
  </si>
  <si>
    <t>AÑO</t>
  </si>
  <si>
    <t>Nm_Zona</t>
  </si>
  <si>
    <t>Zona 105</t>
  </si>
  <si>
    <t>Zona 112</t>
  </si>
  <si>
    <t>Zona 115</t>
  </si>
  <si>
    <t>Zona 121 (Aguas Interiores X Región)</t>
  </si>
  <si>
    <t>Zona 101</t>
  </si>
  <si>
    <t>Zona 106</t>
  </si>
  <si>
    <t>Zona 109</t>
  </si>
  <si>
    <t>Zona 110</t>
  </si>
  <si>
    <t>Zona 116.1</t>
  </si>
  <si>
    <t>Zona 107</t>
  </si>
  <si>
    <t>Zona 108</t>
  </si>
  <si>
    <t>Zona 111</t>
  </si>
  <si>
    <t>Zona 132 (Juan Fernandez)</t>
  </si>
  <si>
    <t>Zona 104</t>
  </si>
  <si>
    <t>Zona 113</t>
  </si>
  <si>
    <t>Zona 114</t>
  </si>
  <si>
    <t>Zona 102</t>
  </si>
  <si>
    <t>Cuota original</t>
  </si>
  <si>
    <t>Cuota con modificaciones</t>
  </si>
  <si>
    <t> 16792,056</t>
  </si>
  <si>
    <t>1030*(x*100)</t>
  </si>
  <si>
    <t>Anchoveta VIII Descarte</t>
  </si>
  <si>
    <t>DESCARTE</t>
  </si>
  <si>
    <t xml:space="preserve">Anchoveta </t>
  </si>
  <si>
    <t>VIII Descarte Res Nº 946</t>
  </si>
  <si>
    <t>RESOL 32 DEL 01 09 2014</t>
  </si>
  <si>
    <t>DON HERMAN M</t>
  </si>
  <si>
    <t>TOME II</t>
  </si>
  <si>
    <t>Lo que habia antes de la 2490</t>
  </si>
  <si>
    <t>CESION DESDE La vega Coliumo VIII a ARMADORES ART DE LA VIII</t>
  </si>
  <si>
    <t>RESOL 35 DEL 06 10 2014</t>
  </si>
  <si>
    <t>ARMANDO II</t>
  </si>
  <si>
    <t>RESOL 36 DEL 08 10 2014</t>
  </si>
  <si>
    <t>DON ANGEL</t>
  </si>
  <si>
    <t>SOFIA A</t>
  </si>
  <si>
    <t>CESION DESDE ORG  A ARM de la X</t>
  </si>
  <si>
    <t>RESOL 2652 DEL 09 10 2014</t>
  </si>
  <si>
    <t>S AUSTRAL</t>
  </si>
  <si>
    <t>CESION DESDE ORG ART A ARMADOR ART DE LA VIII</t>
  </si>
  <si>
    <t>RESOL 2653 DEL 09 10 2014</t>
  </si>
  <si>
    <t>S COMUN Y ANCH</t>
  </si>
  <si>
    <t>RESOL 2650 DEL 09 10 2014</t>
  </si>
  <si>
    <t>CESION DESDE STI Tumbes ThnoVIII a ARMS ART DE LA VIII</t>
  </si>
  <si>
    <t>RESOL 37 DEL 10 10 2014</t>
  </si>
  <si>
    <t>cargado</t>
  </si>
  <si>
    <t>Cierre</t>
  </si>
  <si>
    <t>20 10 2014</t>
  </si>
  <si>
    <t>CESION DESDE SIPARMA CORONEL VIII a ARMADOR art VIII</t>
  </si>
  <si>
    <t>RESOL 40 DEL 17 10 2014</t>
  </si>
  <si>
    <t xml:space="preserve">LONQUIMAY </t>
  </si>
  <si>
    <t>RESOL 39 DEL 16 10 2014</t>
  </si>
  <si>
    <t>CESION DESDE SITRAL VIII a ARMADOR art VIII</t>
  </si>
  <si>
    <t>MASTER I</t>
  </si>
  <si>
    <t>MISIONERA III</t>
  </si>
  <si>
    <t>PALMI I</t>
  </si>
  <si>
    <t>Resol 946</t>
  </si>
  <si>
    <t>CLAUDIO</t>
  </si>
  <si>
    <t>DON LUCHO II</t>
  </si>
  <si>
    <t>MAURICIO IGNACIO</t>
  </si>
  <si>
    <t>ALEXANDER II</t>
  </si>
  <si>
    <t>AGUSTIN IGNACIO</t>
  </si>
  <si>
    <t>TIO DORO</t>
  </si>
  <si>
    <t>FELIPE ANTONIO I</t>
  </si>
  <si>
    <t>DON JACK</t>
  </si>
  <si>
    <t>NAHUM</t>
  </si>
  <si>
    <t>HABACUC</t>
  </si>
  <si>
    <t>JOHANA I</t>
  </si>
  <si>
    <t>SONIA M</t>
  </si>
  <si>
    <t>MISTER</t>
  </si>
  <si>
    <t>CARPINTERO</t>
  </si>
  <si>
    <t>MIRAMAR</t>
  </si>
  <si>
    <t>JOYA DEL SUR</t>
  </si>
  <si>
    <t>Mas 9 tons</t>
  </si>
  <si>
    <t>vertedero</t>
  </si>
  <si>
    <t>RESOL 2819 DEL 23 10 2014</t>
  </si>
  <si>
    <t xml:space="preserve">DOMENICA </t>
  </si>
  <si>
    <t>al 24-10-2014</t>
  </si>
  <si>
    <t>Ajustar</t>
  </si>
  <si>
    <t>AJUSTAR</t>
  </si>
  <si>
    <t>CUOTA INDIVIDUAL, MISMA RESOLUCIOÓN</t>
  </si>
  <si>
    <t>CYNTHIA</t>
  </si>
  <si>
    <t>FELIPE R</t>
  </si>
  <si>
    <t>RESOL 1802 DEL 10 07 2014</t>
  </si>
  <si>
    <t>CESION DESDE SIPACERVAL - Valdivia XIV Region</t>
  </si>
  <si>
    <t>SC</t>
  </si>
  <si>
    <t>RESOL 1968 DEL 29 07 2014</t>
  </si>
  <si>
    <t>RESOL 1969 DEL 29 07 2014</t>
  </si>
  <si>
    <t>CESION DESDE STI tumbes - arm Valdivia XIV Region</t>
  </si>
  <si>
    <t>RESOL 2942 DEL 05 11 2014</t>
  </si>
  <si>
    <t xml:space="preserve">DON JORGE </t>
  </si>
  <si>
    <t>RESOL 2823 DEL _____ 11 2014</t>
  </si>
  <si>
    <t>CESION DESDE ___________ - arm Valdivia XIV Region</t>
  </si>
  <si>
    <t xml:space="preserve">CESION Org VIII a ARM aRT XIV (SE MODIFICA POR RES 2651; DEJA DE EXISTIR) </t>
  </si>
  <si>
    <t>RESOL 3000 DEL _____ 11 2014</t>
  </si>
  <si>
    <t>CESION DESDE CAMANCHACA a arm Valdivia XIV Region</t>
  </si>
  <si>
    <t>CESION DESDE Org Art X - arm X</t>
  </si>
  <si>
    <t>Don isaac</t>
  </si>
  <si>
    <t>Saustral</t>
  </si>
  <si>
    <t>RESOL 3027 DEL 11 11 2014</t>
  </si>
  <si>
    <t>RESOL 3072 DEL 19 11 2014</t>
  </si>
  <si>
    <t>RELAMPAGO</t>
  </si>
  <si>
    <t>RESOL 3071 DEL 19 11 2014</t>
  </si>
  <si>
    <t>Resumen Global Cuotas Artesanales 2014</t>
  </si>
  <si>
    <t>CESION DESDE SITRAL LO ROJAS VIII a ARMADOR art VIII</t>
  </si>
  <si>
    <t>CESION Ind a arm VIII Region</t>
  </si>
  <si>
    <t>CESION DESDE Ind a arm VIII Region</t>
  </si>
  <si>
    <t>RESOL 45 DEL 19 11 2014</t>
  </si>
  <si>
    <t>CESION DESDE Ind a Arm Art VIII R</t>
  </si>
  <si>
    <t>RESOL 3252 DEL 28 11 2014</t>
  </si>
  <si>
    <t>Scomun</t>
  </si>
  <si>
    <t>04 12 2014</t>
  </si>
  <si>
    <t>CESION DESDE Ind a Arm Art XV - I R</t>
  </si>
  <si>
    <t>RESOL 3294 DEL 03 12 2014</t>
  </si>
  <si>
    <t>VARIOS</t>
  </si>
  <si>
    <t>(CONDOR III) DON LUIS ALBERTO</t>
  </si>
  <si>
    <t>CESION DESDE Ind a Arm Art XIV R</t>
  </si>
  <si>
    <t>RESOL 3368 DEL 12 12 2014</t>
  </si>
  <si>
    <t>SCOMUN</t>
  </si>
  <si>
    <t>CESION DESDE IND A ART III Region</t>
  </si>
  <si>
    <t>VARIAS</t>
  </si>
  <si>
    <t>RESOL 3423 DEL 16 12 2014</t>
  </si>
  <si>
    <t xml:space="preserve">CESION DESDE ART IV A ART III </t>
  </si>
  <si>
    <t>RESOL 3434 DEL 18 12 2014</t>
  </si>
  <si>
    <t>aysen al 05 12 2014</t>
  </si>
  <si>
    <t xml:space="preserve">CESION DESDE ART VII A ART XIV </t>
  </si>
  <si>
    <t>RESOL 3487 DEL 19 12 2014</t>
  </si>
  <si>
    <t>CESION DESDE IND a ART XV - I</t>
  </si>
  <si>
    <t>RESOL 3502 DEL 19 12 2014</t>
  </si>
  <si>
    <t>VARIAS POR LISTADO</t>
  </si>
  <si>
    <t>ISAAC II (RIO VALDIVIA)</t>
  </si>
  <si>
    <t xml:space="preserve"> 961132 (951254)</t>
  </si>
  <si>
    <t>RESOL 3524 DEL 24 12 2014</t>
  </si>
  <si>
    <t>CESION DESDE ORG ART VIII  A ARMADORES XIV</t>
  </si>
  <si>
    <t>confirmado</t>
  </si>
  <si>
    <t>AL 29-12-2014</t>
  </si>
  <si>
    <t>22/12/2014 - 30/12/2014</t>
  </si>
  <si>
    <t>AG.</t>
  </si>
  <si>
    <t>ver nota</t>
  </si>
  <si>
    <t>ultima revisión.</t>
  </si>
  <si>
    <t>RESOL 3611 DEL 30 12 2014</t>
  </si>
  <si>
    <t>¿+¿</t>
  </si>
  <si>
    <r>
      <t xml:space="preserve">X </t>
    </r>
    <r>
      <rPr>
        <b/>
        <sz val="8"/>
        <rFont val="@Arial Unicode MS"/>
      </rPr>
      <t>(RAE por Org)</t>
    </r>
  </si>
  <si>
    <t>VIII (RAE por Org)(sin descarte)</t>
  </si>
  <si>
    <t>VIII RAE (sin descarte)</t>
  </si>
  <si>
    <t>NAHUM (hasta el 31 12 2014 )</t>
  </si>
  <si>
    <t xml:space="preserve">POR RES 71 31 12 2014 SACA LAGO RANCO Y ENTRA SIARPEMAR </t>
  </si>
  <si>
    <r>
      <t xml:space="preserve">(LAGO RANCO) </t>
    </r>
    <r>
      <rPr>
        <sz val="14"/>
        <color rgb="FFC00000"/>
        <rFont val="Arial"/>
        <family val="2"/>
      </rPr>
      <t>SIARPEMAR</t>
    </r>
  </si>
  <si>
    <t>Anchoveta y se</t>
  </si>
  <si>
    <t>????</t>
  </si>
  <si>
    <t>esto está OK¡</t>
  </si>
</sst>
</file>

<file path=xl/styles.xml><?xml version="1.0" encoding="utf-8"?>
<styleSheet xmlns="http://schemas.openxmlformats.org/spreadsheetml/2006/main">
  <numFmts count="29">
    <numFmt numFmtId="44" formatCode="_-&quot;$&quot;\ * #,##0.00_-;\-&quot;$&quot;\ * #,##0.00_-;_-&quot;$&quot;\ * &quot;-&quot;??_-;_-@_-"/>
    <numFmt numFmtId="43" formatCode="_-* #,##0.00_-;\-* #,##0.00_-;_-* &quot;-&quot;??_-;_-@_-"/>
    <numFmt numFmtId="164" formatCode="0.00_ ;[Red]\-0.00\ "/>
    <numFmt numFmtId="165" formatCode="#,##0.00_ ;[Red]\-#,##0.00\ "/>
    <numFmt numFmtId="166" formatCode="0.0%"/>
    <numFmt numFmtId="167" formatCode="#,##0.0"/>
    <numFmt numFmtId="168" formatCode="#,##0.0_ ;[Red]\-#,##0.0\ "/>
    <numFmt numFmtId="169" formatCode="#,##0.000"/>
    <numFmt numFmtId="170" formatCode="#,##0_ ;[Red]\-#,##0\ "/>
    <numFmt numFmtId="171" formatCode="0_ ;[Red]\-0\ "/>
    <numFmt numFmtId="172" formatCode="0.000_ ;[Red]\-0.000\ "/>
    <numFmt numFmtId="173" formatCode="0.000"/>
    <numFmt numFmtId="174" formatCode="0.0000"/>
    <numFmt numFmtId="175" formatCode="0.000%"/>
    <numFmt numFmtId="176" formatCode="0.0"/>
    <numFmt numFmtId="177" formatCode="dd\-mm\-yy"/>
    <numFmt numFmtId="178" formatCode="dd\-mm\-yy;@"/>
    <numFmt numFmtId="179" formatCode="dd\-mm\-yyyy;@"/>
    <numFmt numFmtId="180" formatCode="#,##0.000000000"/>
    <numFmt numFmtId="181" formatCode="#,##0.00_ ;\-#,##0.00\ "/>
    <numFmt numFmtId="182" formatCode="[$-340A]d&quot; de &quot;mmmm&quot; de &quot;yyyy;@"/>
    <numFmt numFmtId="183" formatCode="#,##0.0_ ;\-#,##0.0\ "/>
    <numFmt numFmtId="184" formatCode="0.00_ ;\-0.00\ "/>
    <numFmt numFmtId="185" formatCode="#,##0.0000"/>
    <numFmt numFmtId="186" formatCode="_-* #,##0.000_-;\-* #,##0.000_-;_-* &quot;-&quot;??_-;_-@_-"/>
    <numFmt numFmtId="187" formatCode="dd/mm/yyyy;@"/>
    <numFmt numFmtId="188" formatCode="[$-F800]dddd\,\ mmmm\ dd\,\ yyyy"/>
    <numFmt numFmtId="189" formatCode="_-* #,##0.00\ _p_t_a_-;\-* #,##0.00\ _p_t_a_-;_-* \-??\ _p_t_a_-;_-@_-"/>
    <numFmt numFmtId="190" formatCode="_-* #,##0_-;\-* #,##0_-;_-* &quot;-&quot;??_-;_-@_-"/>
  </numFmts>
  <fonts count="25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i/>
      <sz val="10"/>
      <name val="@Arial Unicode MS"/>
      <family val="2"/>
    </font>
    <font>
      <b/>
      <sz val="10"/>
      <name val="@Arial Unicode MS"/>
      <family val="2"/>
    </font>
    <font>
      <sz val="10"/>
      <name val="@Arial Unicode MS"/>
      <family val="2"/>
    </font>
    <font>
      <sz val="10"/>
      <color indexed="10"/>
      <name val="@Arial Unicode MS"/>
      <family val="2"/>
    </font>
    <font>
      <sz val="8"/>
      <name val="@Arial Unicode MS"/>
      <family val="2"/>
    </font>
    <font>
      <b/>
      <sz val="10"/>
      <color indexed="10"/>
      <name val="@Arial Unicode MS"/>
      <family val="2"/>
    </font>
    <font>
      <b/>
      <sz val="8"/>
      <name val="@Arial Unicode MS"/>
      <family val="2"/>
    </font>
    <font>
      <b/>
      <sz val="10"/>
      <color indexed="10"/>
      <name val="Arial"/>
      <family val="2"/>
    </font>
    <font>
      <b/>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name val="Arial"/>
      <family val="2"/>
    </font>
    <font>
      <b/>
      <sz val="10"/>
      <color indexed="9"/>
      <name val="@Arial Unicode MS"/>
      <family val="2"/>
    </font>
    <font>
      <sz val="10"/>
      <color indexed="10"/>
      <name val="Arial"/>
      <family val="2"/>
    </font>
    <font>
      <sz val="8"/>
      <name val="Arial"/>
      <family val="2"/>
    </font>
    <font>
      <b/>
      <sz val="8"/>
      <name val="Arial"/>
      <family val="2"/>
    </font>
    <font>
      <sz val="8"/>
      <color indexed="10"/>
      <name val="@Arial Unicode MS"/>
      <family val="2"/>
    </font>
    <font>
      <b/>
      <sz val="10"/>
      <name val="Tahoma"/>
      <family val="2"/>
    </font>
    <font>
      <sz val="12"/>
      <name val="Times New Roman"/>
      <family val="1"/>
    </font>
    <font>
      <sz val="11"/>
      <name val="@Arial Unicode MS"/>
      <family val="2"/>
    </font>
    <font>
      <b/>
      <sz val="8"/>
      <color indexed="10"/>
      <name val="@Arial Unicode MS"/>
      <family val="2"/>
    </font>
    <font>
      <b/>
      <sz val="10"/>
      <name val="@Arial Unicode MS"/>
    </font>
    <font>
      <sz val="8"/>
      <name val="@Arial Unicode MS"/>
    </font>
    <font>
      <sz val="10"/>
      <color indexed="8"/>
      <name val="Arial"/>
      <family val="2"/>
    </font>
    <font>
      <sz val="8"/>
      <color indexed="81"/>
      <name val="Tahoma"/>
      <family val="2"/>
    </font>
    <font>
      <b/>
      <sz val="8"/>
      <color indexed="81"/>
      <name val="Tahoma"/>
      <family val="2"/>
    </font>
    <font>
      <sz val="10"/>
      <name val="@Arial Unicode MS"/>
    </font>
    <font>
      <b/>
      <sz val="10"/>
      <color indexed="10"/>
      <name val="@Arial Unicode MS"/>
    </font>
    <font>
      <b/>
      <sz val="8"/>
      <name val="@Arial Unicode MS"/>
    </font>
    <font>
      <b/>
      <i/>
      <sz val="8"/>
      <name val="Arial"/>
      <family val="2"/>
    </font>
    <font>
      <b/>
      <sz val="11"/>
      <name val="Arial"/>
      <family val="2"/>
    </font>
    <font>
      <sz val="9"/>
      <name val="Arial"/>
      <family val="2"/>
    </font>
    <font>
      <b/>
      <sz val="9"/>
      <color indexed="10"/>
      <name val="@Arial Unicode MS"/>
      <family val="2"/>
    </font>
    <font>
      <sz val="10"/>
      <name val="Arial"/>
      <family val="2"/>
    </font>
    <font>
      <b/>
      <sz val="9"/>
      <name val="Arial"/>
      <family val="2"/>
    </font>
    <font>
      <sz val="8"/>
      <name val="Arial Narrow"/>
      <family val="2"/>
    </font>
    <font>
      <sz val="10"/>
      <name val="Arial"/>
      <family val="2"/>
    </font>
    <font>
      <sz val="10"/>
      <color indexed="18"/>
      <name val="Arial"/>
      <family val="2"/>
    </font>
    <font>
      <sz val="12"/>
      <name val="Arial"/>
      <family val="2"/>
    </font>
    <font>
      <sz val="10"/>
      <name val="Calibri"/>
      <family val="2"/>
    </font>
    <font>
      <sz val="10"/>
      <name val="Arial"/>
      <family val="2"/>
    </font>
    <font>
      <sz val="8"/>
      <name val="Courier New"/>
      <family val="3"/>
    </font>
    <font>
      <sz val="8"/>
      <name val="Times New Roman"/>
      <family val="1"/>
    </font>
    <font>
      <b/>
      <sz val="8"/>
      <name val="Arial Narrow"/>
      <family val="2"/>
    </font>
    <font>
      <b/>
      <sz val="8"/>
      <name val="Times New Roman"/>
      <family val="1"/>
    </font>
    <font>
      <sz val="8"/>
      <color indexed="8"/>
      <name val="Calibri"/>
      <family val="2"/>
    </font>
    <font>
      <b/>
      <sz val="8"/>
      <color indexed="8"/>
      <name val="Calibri"/>
      <family val="2"/>
    </font>
    <font>
      <b/>
      <sz val="10"/>
      <color indexed="8"/>
      <name val="Calibri"/>
      <family val="2"/>
    </font>
    <font>
      <sz val="8"/>
      <color indexed="8"/>
      <name val="Arial"/>
      <family val="2"/>
    </font>
    <font>
      <sz val="10"/>
      <name val="Arial"/>
      <family val="2"/>
    </font>
    <font>
      <sz val="6"/>
      <name val="Arial"/>
      <family val="2"/>
    </font>
    <font>
      <sz val="10"/>
      <color indexed="10"/>
      <name val="Arial"/>
      <family val="2"/>
    </font>
    <font>
      <b/>
      <sz val="10"/>
      <color indexed="10"/>
      <name val="@Arial Unicode MS"/>
    </font>
    <font>
      <b/>
      <sz val="10"/>
      <color indexed="10"/>
      <name val="Arial"/>
      <family val="2"/>
    </font>
    <font>
      <b/>
      <sz val="10"/>
      <color indexed="10"/>
      <name val="@Arial Unicode MS"/>
      <family val="2"/>
    </font>
    <font>
      <b/>
      <sz val="8"/>
      <color indexed="10"/>
      <name val="@Arial Unicode MS"/>
    </font>
    <font>
      <b/>
      <sz val="9"/>
      <color indexed="10"/>
      <name val="Arial"/>
      <family val="2"/>
    </font>
    <font>
      <b/>
      <sz val="8"/>
      <color indexed="8"/>
      <name val="Arial"/>
      <family val="2"/>
    </font>
    <font>
      <sz val="8"/>
      <color indexed="8"/>
      <name val="Arial"/>
      <family val="2"/>
    </font>
    <font>
      <b/>
      <sz val="8"/>
      <color indexed="8"/>
      <name val="Calibri"/>
      <family val="2"/>
    </font>
    <font>
      <sz val="8"/>
      <color indexed="8"/>
      <name val="Calibri"/>
      <family val="2"/>
    </font>
    <font>
      <b/>
      <sz val="8"/>
      <name val="Calibri"/>
      <family val="2"/>
    </font>
    <font>
      <b/>
      <sz val="12"/>
      <color indexed="10"/>
      <name val="Arial"/>
      <family val="2"/>
    </font>
    <font>
      <sz val="8"/>
      <color indexed="8"/>
      <name val="Calibri"/>
      <family val="2"/>
    </font>
    <font>
      <b/>
      <i/>
      <u/>
      <sz val="8"/>
      <color indexed="8"/>
      <name val="Calibri"/>
      <family val="2"/>
    </font>
    <font>
      <b/>
      <sz val="8"/>
      <color indexed="10"/>
      <name val="Arial"/>
      <family val="2"/>
    </font>
    <font>
      <b/>
      <sz val="8"/>
      <color indexed="10"/>
      <name val="Calibri"/>
      <family val="2"/>
    </font>
    <font>
      <sz val="8"/>
      <color indexed="8"/>
      <name val="gobCL"/>
      <family val="3"/>
    </font>
    <font>
      <sz val="10"/>
      <color indexed="63"/>
      <name val="Arial"/>
      <family val="2"/>
    </font>
    <font>
      <sz val="10"/>
      <color indexed="8"/>
      <name val="Calibri"/>
      <family val="2"/>
    </font>
    <font>
      <sz val="10"/>
      <color indexed="8"/>
      <name val="Calibri"/>
      <family val="2"/>
    </font>
    <font>
      <b/>
      <sz val="10"/>
      <color indexed="8"/>
      <name val="Calibri"/>
      <family val="2"/>
    </font>
    <font>
      <sz val="8"/>
      <color indexed="10"/>
      <name val="Arial"/>
      <family val="2"/>
    </font>
    <font>
      <sz val="8"/>
      <name val="Calibri"/>
      <family val="2"/>
    </font>
    <font>
      <b/>
      <sz val="11"/>
      <color indexed="8"/>
      <name val="Calibri"/>
      <family val="2"/>
    </font>
    <font>
      <b/>
      <sz val="11"/>
      <color indexed="10"/>
      <name val="Calibri"/>
      <family val="2"/>
    </font>
    <font>
      <b/>
      <sz val="10"/>
      <color indexed="8"/>
      <name val="Calibri"/>
      <family val="2"/>
    </font>
    <font>
      <b/>
      <sz val="10"/>
      <color indexed="10"/>
      <name val="Arial"/>
      <family val="2"/>
    </font>
    <font>
      <b/>
      <sz val="9"/>
      <color indexed="10"/>
      <name val="Arial"/>
      <family val="2"/>
    </font>
    <font>
      <b/>
      <sz val="8"/>
      <color indexed="10"/>
      <name val="Arial"/>
      <family val="2"/>
    </font>
    <font>
      <sz val="10"/>
      <name val="Arial"/>
      <family val="2"/>
    </font>
    <font>
      <sz val="11"/>
      <color theme="1"/>
      <name val="Calibri"/>
      <family val="2"/>
      <scheme val="minor"/>
    </font>
    <font>
      <b/>
      <sz val="10"/>
      <color rgb="FFFF0000"/>
      <name val="Arial"/>
      <family val="2"/>
    </font>
    <font>
      <sz val="8"/>
      <color indexed="8"/>
      <name val="Calibri"/>
      <family val="2"/>
      <scheme val="minor"/>
    </font>
    <font>
      <b/>
      <sz val="10"/>
      <color rgb="FF000000"/>
      <name val="Calibri"/>
      <family val="2"/>
    </font>
    <font>
      <sz val="8"/>
      <color rgb="FFFF0000"/>
      <name val="Arial"/>
      <family val="2"/>
    </font>
    <font>
      <b/>
      <sz val="9"/>
      <color rgb="FFFF0000"/>
      <name val="Arial"/>
      <family val="2"/>
    </font>
    <font>
      <sz val="8"/>
      <color rgb="FFFF0000"/>
      <name val="@Arial Unicode MS"/>
      <family val="2"/>
    </font>
    <font>
      <b/>
      <sz val="8"/>
      <color rgb="FFFF0000"/>
      <name val="Arial"/>
      <family val="2"/>
    </font>
    <font>
      <sz val="9"/>
      <color rgb="FFFF0000"/>
      <name val="Arial"/>
      <family val="2"/>
    </font>
    <font>
      <b/>
      <sz val="12"/>
      <name val="Arial"/>
      <family val="2"/>
    </font>
    <font>
      <sz val="8"/>
      <name val="gobCL"/>
    </font>
    <font>
      <sz val="10"/>
      <color rgb="FFFF0000"/>
      <name val="Arial"/>
      <family val="2"/>
    </font>
    <font>
      <sz val="8"/>
      <color theme="1"/>
      <name val="@Arial Unicode MS"/>
      <family val="2"/>
    </font>
    <font>
      <b/>
      <sz val="8"/>
      <color rgb="FFFF0000"/>
      <name val="@Arial Unicode MS"/>
    </font>
    <font>
      <sz val="11"/>
      <color indexed="8"/>
      <name val="Calibri"/>
      <family val="2"/>
      <scheme val="minor"/>
    </font>
    <font>
      <sz val="11"/>
      <color rgb="FFFF0000"/>
      <name val="Calibri"/>
      <family val="2"/>
      <scheme val="minor"/>
    </font>
    <font>
      <b/>
      <sz val="10"/>
      <color rgb="FFFF0000"/>
      <name val="@Arial Unicode MS"/>
    </font>
    <font>
      <b/>
      <sz val="16"/>
      <color indexed="8"/>
      <name val="Calibri"/>
      <family val="2"/>
    </font>
    <font>
      <b/>
      <sz val="7"/>
      <name val="gobCL"/>
      <family val="3"/>
    </font>
    <font>
      <sz val="7"/>
      <name val="gobCL"/>
      <family val="3"/>
    </font>
    <font>
      <b/>
      <sz val="8"/>
      <color rgb="FFFF0000"/>
      <name val="gobCL"/>
    </font>
    <font>
      <sz val="8"/>
      <color theme="1"/>
      <name val="Arial"/>
      <family val="2"/>
    </font>
    <font>
      <sz val="10"/>
      <color rgb="FFFF0000"/>
      <name val="@Arial Unicode MS"/>
      <family val="2"/>
    </font>
    <font>
      <b/>
      <sz val="14"/>
      <name val="@Arial Unicode MS"/>
      <family val="2"/>
    </font>
    <font>
      <sz val="10"/>
      <color rgb="FFFF0000"/>
      <name val="@Arial Unicode MS"/>
    </font>
    <font>
      <b/>
      <sz val="12"/>
      <name val="@Arial Unicode MS"/>
      <family val="2"/>
    </font>
    <font>
      <b/>
      <sz val="8"/>
      <color rgb="FFFF0000"/>
      <name val="@Arial Unicode MS"/>
      <family val="2"/>
    </font>
    <font>
      <b/>
      <sz val="14"/>
      <color indexed="81"/>
      <name val="Tahoma"/>
      <family val="2"/>
    </font>
    <font>
      <sz val="14"/>
      <color indexed="81"/>
      <name val="Tahoma"/>
      <family val="2"/>
    </font>
    <font>
      <b/>
      <sz val="14"/>
      <color rgb="FFFF0000"/>
      <name val="@Arial Unicode MS"/>
      <family val="2"/>
    </font>
    <font>
      <sz val="24"/>
      <color rgb="FFFF0000"/>
      <name val="Arial"/>
      <family val="2"/>
    </font>
    <font>
      <sz val="11"/>
      <name val="Calibri"/>
      <family val="2"/>
    </font>
    <font>
      <b/>
      <sz val="16"/>
      <color indexed="81"/>
      <name val="Tahoma"/>
      <family val="2"/>
    </font>
    <font>
      <sz val="16"/>
      <color indexed="81"/>
      <name val="Tahoma"/>
      <family val="2"/>
    </font>
    <font>
      <sz val="10"/>
      <name val="Arial"/>
      <family val="2"/>
    </font>
    <font>
      <u/>
      <sz val="7"/>
      <color theme="10"/>
      <name val="Arial"/>
      <family val="2"/>
    </font>
    <font>
      <b/>
      <sz val="11"/>
      <color theme="1"/>
      <name val="Calibri"/>
      <family val="2"/>
      <scheme val="minor"/>
    </font>
    <font>
      <b/>
      <i/>
      <u/>
      <sz val="11"/>
      <color theme="1"/>
      <name val="Calibri"/>
      <family val="2"/>
      <scheme val="minor"/>
    </font>
    <font>
      <b/>
      <sz val="10"/>
      <color rgb="FFFF0000"/>
      <name val="Calibri"/>
      <family val="2"/>
      <scheme val="minor"/>
    </font>
    <font>
      <sz val="10"/>
      <color theme="1"/>
      <name val="Calibri"/>
      <family val="2"/>
      <scheme val="minor"/>
    </font>
    <font>
      <sz val="18"/>
      <color rgb="FFFF0000"/>
      <name val="Arial"/>
      <family val="2"/>
    </font>
    <font>
      <sz val="11"/>
      <color rgb="FFFF0000"/>
      <name val="Arial"/>
      <family val="2"/>
    </font>
    <font>
      <sz val="11"/>
      <name val="Calibri"/>
      <family val="2"/>
      <scheme val="minor"/>
    </font>
    <font>
      <sz val="10"/>
      <color theme="1"/>
      <name val="@Arial Unicode MS"/>
    </font>
    <font>
      <sz val="10"/>
      <name val="Arial"/>
      <family val="2"/>
    </font>
    <font>
      <sz val="10"/>
      <color theme="1"/>
      <name val="@Arial Unicode MS"/>
      <family val="2"/>
    </font>
    <font>
      <b/>
      <sz val="14"/>
      <color indexed="81"/>
      <name val="Arial"/>
      <family val="2"/>
    </font>
    <font>
      <sz val="14"/>
      <color indexed="81"/>
      <name val="Arial"/>
      <family val="2"/>
    </font>
    <font>
      <sz val="8"/>
      <color theme="1"/>
      <name val="Calibri"/>
      <family val="2"/>
      <scheme val="minor"/>
    </font>
    <font>
      <b/>
      <sz val="8"/>
      <color theme="1"/>
      <name val="Calibri"/>
      <family val="2"/>
      <scheme val="minor"/>
    </font>
    <font>
      <sz val="10"/>
      <name val="Arial"/>
      <family val="2"/>
    </font>
    <font>
      <b/>
      <sz val="8"/>
      <color indexed="10"/>
      <name val="Tahoma"/>
      <family val="2"/>
    </font>
    <font>
      <sz val="8"/>
      <color indexed="10"/>
      <name val="Tahoma"/>
      <family val="2"/>
    </font>
    <font>
      <i/>
      <sz val="8"/>
      <name val="@Arial Unicode MS"/>
      <family val="2"/>
    </font>
    <font>
      <b/>
      <i/>
      <sz val="10"/>
      <name val="Arial"/>
      <family val="2"/>
    </font>
    <font>
      <b/>
      <i/>
      <sz val="9"/>
      <name val="Arial"/>
      <family val="2"/>
    </font>
    <font>
      <i/>
      <sz val="10"/>
      <name val="Arial"/>
      <family val="2"/>
    </font>
    <font>
      <sz val="10"/>
      <name val="Arial Narrow"/>
      <family val="2"/>
    </font>
    <font>
      <b/>
      <sz val="18"/>
      <color indexed="81"/>
      <name val="Tahoma"/>
      <family val="2"/>
    </font>
    <font>
      <sz val="18"/>
      <color indexed="81"/>
      <name val="Tahoma"/>
      <family val="2"/>
    </font>
    <font>
      <b/>
      <sz val="10"/>
      <color rgb="FF800080"/>
      <name val="Arial"/>
      <family val="2"/>
    </font>
    <font>
      <sz val="8"/>
      <color rgb="FFFF0000"/>
      <name val="gobCL"/>
      <family val="2"/>
    </font>
    <font>
      <sz val="8"/>
      <color theme="1"/>
      <name val="gobCL"/>
      <family val="2"/>
    </font>
    <font>
      <sz val="12"/>
      <color indexed="81"/>
      <name val="Tahoma"/>
      <family val="2"/>
    </font>
    <font>
      <b/>
      <sz val="10"/>
      <color rgb="FFFF0000"/>
      <name val="@Arial Unicode MS"/>
      <family val="2"/>
    </font>
    <font>
      <sz val="10"/>
      <color indexed="8"/>
      <name val="Calibri"/>
      <family val="2"/>
      <scheme val="minor"/>
    </font>
    <font>
      <sz val="24"/>
      <name val="Arial"/>
      <family val="2"/>
    </font>
    <font>
      <b/>
      <sz val="24"/>
      <color rgb="FFFF0000"/>
      <name val="Arial"/>
      <family val="2"/>
    </font>
    <font>
      <sz val="11"/>
      <color indexed="81"/>
      <name val="Tahoma"/>
      <family val="2"/>
    </font>
    <font>
      <sz val="10"/>
      <color indexed="81"/>
      <name val="Tahoma"/>
      <family val="2"/>
    </font>
    <font>
      <sz val="9"/>
      <color indexed="81"/>
      <name val="Tahoma"/>
      <family val="2"/>
    </font>
    <font>
      <sz val="10"/>
      <color theme="5" tint="0.39997558519241921"/>
      <name val="Arial"/>
      <family val="2"/>
    </font>
    <font>
      <sz val="24"/>
      <color rgb="FFFF3300"/>
      <name val="Arial"/>
      <family val="2"/>
    </font>
    <font>
      <b/>
      <sz val="20"/>
      <color indexed="81"/>
      <name val="Tahoma"/>
      <family val="2"/>
    </font>
    <font>
      <sz val="20"/>
      <color indexed="81"/>
      <name val="Tahoma"/>
      <family val="2"/>
    </font>
    <font>
      <sz val="24"/>
      <color theme="8" tint="-0.249977111117893"/>
      <name val="Arial"/>
      <family val="2"/>
    </font>
    <font>
      <b/>
      <sz val="24"/>
      <color theme="8" tint="-0.249977111117893"/>
      <name val="Arial"/>
      <family val="2"/>
    </font>
    <font>
      <sz val="10"/>
      <color theme="8" tint="-0.249977111117893"/>
      <name val="Arial"/>
      <family val="2"/>
    </font>
    <font>
      <b/>
      <i/>
      <u/>
      <sz val="11"/>
      <color theme="8" tint="-0.249977111117893"/>
      <name val="Calibri"/>
      <family val="2"/>
      <scheme val="minor"/>
    </font>
    <font>
      <b/>
      <sz val="11"/>
      <color theme="8" tint="-0.249977111117893"/>
      <name val="Calibri"/>
      <family val="2"/>
      <scheme val="minor"/>
    </font>
    <font>
      <sz val="11"/>
      <color theme="8" tint="-0.249977111117893"/>
      <name val="Calibri"/>
      <family val="2"/>
      <scheme val="minor"/>
    </font>
    <font>
      <b/>
      <sz val="10"/>
      <color theme="8" tint="-0.249977111117893"/>
      <name val="Arial"/>
      <family val="2"/>
    </font>
    <font>
      <b/>
      <sz val="22"/>
      <color indexed="81"/>
      <name val="Tahoma"/>
      <family val="2"/>
    </font>
    <font>
      <sz val="22"/>
      <color indexed="81"/>
      <name val="Tahoma"/>
      <family val="2"/>
    </font>
    <font>
      <b/>
      <sz val="16"/>
      <color indexed="10"/>
      <name val="Tahoma"/>
      <family val="2"/>
    </font>
    <font>
      <sz val="16"/>
      <color indexed="10"/>
      <name val="Tahoma"/>
      <family val="2"/>
    </font>
    <font>
      <sz val="22"/>
      <color rgb="FFFF0000"/>
      <name val="Arial"/>
      <family val="2"/>
    </font>
    <font>
      <sz val="10"/>
      <color theme="5" tint="-0.249977111117893"/>
      <name val="Arial"/>
      <family val="2"/>
    </font>
    <font>
      <b/>
      <sz val="10"/>
      <color theme="5" tint="-0.249977111117893"/>
      <name val="Arial"/>
      <family val="2"/>
    </font>
    <font>
      <sz val="8"/>
      <color rgb="FFFF0000"/>
      <name val="Arial Narrow"/>
      <family val="2"/>
    </font>
    <font>
      <b/>
      <sz val="11"/>
      <color indexed="81"/>
      <name val="Tahoma"/>
      <family val="2"/>
    </font>
    <font>
      <b/>
      <sz val="22"/>
      <color indexed="8"/>
      <name val="Tahoma"/>
      <family val="2"/>
    </font>
    <font>
      <sz val="22"/>
      <color indexed="8"/>
      <name val="Tahoma"/>
      <family val="2"/>
    </font>
    <font>
      <sz val="24"/>
      <color theme="3" tint="-0.499984740745262"/>
      <name val="Arial"/>
      <family val="2"/>
    </font>
    <font>
      <b/>
      <sz val="24"/>
      <color theme="3" tint="-0.499984740745262"/>
      <name val="Arial"/>
      <family val="2"/>
    </font>
    <font>
      <sz val="10"/>
      <color theme="3" tint="-0.499984740745262"/>
      <name val="Arial"/>
      <family val="2"/>
    </font>
    <font>
      <b/>
      <i/>
      <u/>
      <sz val="11"/>
      <color theme="3" tint="-0.499984740745262"/>
      <name val="Calibri"/>
      <family val="2"/>
      <scheme val="minor"/>
    </font>
    <font>
      <b/>
      <sz val="11"/>
      <color theme="3" tint="-0.499984740745262"/>
      <name val="Calibri"/>
      <family val="2"/>
      <scheme val="minor"/>
    </font>
    <font>
      <sz val="11"/>
      <color theme="3" tint="-0.499984740745262"/>
      <name val="Calibri"/>
      <family val="2"/>
      <scheme val="minor"/>
    </font>
    <font>
      <sz val="24"/>
      <color theme="4" tint="-0.249977111117893"/>
      <name val="Arial"/>
      <family val="2"/>
    </font>
    <font>
      <b/>
      <sz val="24"/>
      <color theme="4" tint="-0.249977111117893"/>
      <name val="Arial"/>
      <family val="2"/>
    </font>
    <font>
      <sz val="10"/>
      <color theme="4" tint="-0.249977111117893"/>
      <name val="Arial"/>
      <family val="2"/>
    </font>
    <font>
      <b/>
      <i/>
      <u/>
      <sz val="11"/>
      <color theme="4" tint="-0.249977111117893"/>
      <name val="Calibri"/>
      <family val="2"/>
      <scheme val="minor"/>
    </font>
    <font>
      <b/>
      <sz val="11"/>
      <color theme="4" tint="-0.249977111117893"/>
      <name val="Calibri"/>
      <family val="2"/>
      <scheme val="minor"/>
    </font>
    <font>
      <sz val="11"/>
      <color theme="4" tint="-0.249977111117893"/>
      <name val="Calibri"/>
      <family val="2"/>
      <scheme val="minor"/>
    </font>
    <font>
      <b/>
      <sz val="10"/>
      <color theme="4" tint="-0.249977111117893"/>
      <name val="Arial"/>
      <family val="2"/>
    </font>
    <font>
      <sz val="18"/>
      <color theme="4" tint="-0.249977111117893"/>
      <name val="Arial"/>
      <family val="2"/>
    </font>
    <font>
      <sz val="22"/>
      <color theme="4" tint="-0.249977111117893"/>
      <name val="Arial"/>
      <family val="2"/>
    </font>
    <font>
      <sz val="20"/>
      <color theme="4" tint="-0.249977111117893"/>
      <name val="Arial"/>
      <family val="2"/>
    </font>
    <font>
      <sz val="24"/>
      <color rgb="FFC00000"/>
      <name val="Arial"/>
      <family val="2"/>
    </font>
    <font>
      <b/>
      <sz val="24"/>
      <color rgb="FFC00000"/>
      <name val="Arial"/>
      <family val="2"/>
    </font>
    <font>
      <sz val="10"/>
      <color rgb="FFC00000"/>
      <name val="Arial"/>
      <family val="2"/>
    </font>
    <font>
      <b/>
      <i/>
      <u/>
      <sz val="11"/>
      <color rgb="FFC00000"/>
      <name val="Calibri"/>
      <family val="2"/>
      <scheme val="minor"/>
    </font>
    <font>
      <b/>
      <sz val="11"/>
      <color rgb="FFC00000"/>
      <name val="Calibri"/>
      <family val="2"/>
      <scheme val="minor"/>
    </font>
    <font>
      <sz val="11"/>
      <color rgb="FFC00000"/>
      <name val="Calibri"/>
      <family val="2"/>
      <scheme val="minor"/>
    </font>
    <font>
      <b/>
      <sz val="10"/>
      <color rgb="FFC00000"/>
      <name val="Arial"/>
      <family val="2"/>
    </font>
    <font>
      <sz val="18"/>
      <color rgb="FFC00000"/>
      <name val="Arial"/>
      <family val="2"/>
    </font>
    <font>
      <sz val="24"/>
      <color rgb="FF002060"/>
      <name val="Arial"/>
      <family val="2"/>
    </font>
    <font>
      <b/>
      <sz val="24"/>
      <color rgb="FF002060"/>
      <name val="Arial"/>
      <family val="2"/>
    </font>
    <font>
      <sz val="10"/>
      <color rgb="FF002060"/>
      <name val="Arial"/>
      <family val="2"/>
    </font>
    <font>
      <b/>
      <i/>
      <u/>
      <sz val="11"/>
      <color rgb="FF002060"/>
      <name val="Calibri"/>
      <family val="2"/>
      <scheme val="minor"/>
    </font>
    <font>
      <b/>
      <sz val="11"/>
      <color rgb="FF002060"/>
      <name val="Calibri"/>
      <family val="2"/>
      <scheme val="minor"/>
    </font>
    <font>
      <sz val="11"/>
      <color rgb="FF002060"/>
      <name val="Calibri"/>
      <family val="2"/>
      <scheme val="minor"/>
    </font>
    <font>
      <b/>
      <sz val="10"/>
      <color rgb="FF002060"/>
      <name val="Arial"/>
      <family val="2"/>
    </font>
    <font>
      <sz val="16"/>
      <color indexed="8"/>
      <name val="Arial"/>
      <family val="2"/>
    </font>
    <font>
      <b/>
      <sz val="12"/>
      <color indexed="81"/>
      <name val="Tahoma"/>
      <family val="2"/>
    </font>
    <font>
      <sz val="12"/>
      <color theme="4" tint="-0.249977111117893"/>
      <name val="Arial"/>
      <family val="2"/>
    </font>
    <font>
      <b/>
      <sz val="12"/>
      <color theme="4" tint="-0.249977111117893"/>
      <name val="Arial"/>
      <family val="2"/>
    </font>
    <font>
      <sz val="10"/>
      <color theme="1"/>
      <name val="Arial"/>
      <family val="2"/>
    </font>
    <font>
      <sz val="12"/>
      <color rgb="FFFF0000"/>
      <name val="Arial"/>
      <family val="2"/>
    </font>
    <font>
      <i/>
      <sz val="10"/>
      <color indexed="10"/>
      <name val="Arial"/>
      <family val="2"/>
    </font>
    <font>
      <b/>
      <sz val="18"/>
      <color indexed="81"/>
      <name val="Arial"/>
      <family val="2"/>
    </font>
    <font>
      <sz val="18"/>
      <color indexed="81"/>
      <name val="Arial"/>
      <family val="2"/>
    </font>
    <font>
      <sz val="10"/>
      <name val="Symbol"/>
      <family val="1"/>
      <charset val="2"/>
    </font>
    <font>
      <sz val="14"/>
      <name val="@Arial Unicode MS"/>
      <family val="2"/>
    </font>
    <font>
      <sz val="18"/>
      <name val="Arial"/>
      <family val="2"/>
    </font>
    <font>
      <b/>
      <sz val="18"/>
      <color rgb="FFFF0000"/>
      <name val="Arial"/>
      <family val="2"/>
    </font>
    <font>
      <b/>
      <sz val="11"/>
      <color rgb="FFFF0000"/>
      <name val="Calibri"/>
      <family val="2"/>
      <scheme val="minor"/>
    </font>
    <font>
      <b/>
      <u/>
      <sz val="11"/>
      <color rgb="FFFF0000"/>
      <name val="Calibri"/>
      <family val="2"/>
      <scheme val="minor"/>
    </font>
    <font>
      <b/>
      <u/>
      <sz val="11"/>
      <color rgb="FFC00000"/>
      <name val="Calibri"/>
      <family val="2"/>
      <scheme val="minor"/>
    </font>
    <font>
      <b/>
      <u/>
      <sz val="14"/>
      <color rgb="FFC00000"/>
      <name val="Calibri"/>
      <family val="2"/>
      <scheme val="minor"/>
    </font>
    <font>
      <sz val="14"/>
      <name val="Arial"/>
      <family val="2"/>
    </font>
    <font>
      <sz val="10"/>
      <color rgb="FF000000"/>
      <name val="Calibri"/>
      <family val="2"/>
    </font>
    <font>
      <sz val="16"/>
      <color indexed="81"/>
      <name val="Arial"/>
      <family val="2"/>
    </font>
    <font>
      <b/>
      <sz val="10"/>
      <color indexed="8"/>
      <name val="Calibri"/>
      <family val="2"/>
      <scheme val="minor"/>
    </font>
    <font>
      <sz val="10"/>
      <color theme="1" tint="0.34998626667073579"/>
      <name val="Calibri"/>
      <family val="2"/>
      <scheme val="minor"/>
    </font>
    <font>
      <b/>
      <sz val="12"/>
      <color rgb="FFFF0000"/>
      <name val="Arial"/>
      <family val="2"/>
    </font>
    <font>
      <b/>
      <sz val="16"/>
      <name val="@Arial Unicode MS"/>
    </font>
    <font>
      <b/>
      <sz val="10"/>
      <color indexed="81"/>
      <name val="Tahoma"/>
      <family val="2"/>
    </font>
    <font>
      <b/>
      <sz val="10"/>
      <color rgb="FFFF3300"/>
      <name val="Arial"/>
      <family val="2"/>
    </font>
    <font>
      <sz val="14"/>
      <color rgb="FFC00000"/>
      <name val="Arial"/>
      <family val="2"/>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9"/>
        <bgColor indexed="64"/>
      </patternFill>
    </fill>
    <fill>
      <patternFill patternType="solid">
        <fgColor indexed="13"/>
        <bgColor indexed="64"/>
      </patternFill>
    </fill>
    <fill>
      <patternFill patternType="solid">
        <fgColor indexed="18"/>
        <bgColor indexed="64"/>
      </patternFill>
    </fill>
    <fill>
      <patternFill patternType="solid">
        <fgColor indexed="34"/>
        <bgColor indexed="64"/>
      </patternFill>
    </fill>
    <fill>
      <patternFill patternType="solid">
        <fgColor indexed="47"/>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26"/>
        <bgColor indexed="64"/>
      </patternFill>
    </fill>
    <fill>
      <patternFill patternType="solid">
        <fgColor indexed="29"/>
        <bgColor indexed="64"/>
      </patternFill>
    </fill>
    <fill>
      <patternFill patternType="solid">
        <fgColor indexed="22"/>
        <bgColor indexed="64"/>
      </patternFill>
    </fill>
    <fill>
      <patternFill patternType="solid">
        <fgColor indexed="9"/>
        <bgColor indexed="26"/>
      </patternFill>
    </fill>
    <fill>
      <patternFill patternType="solid">
        <fgColor indexed="23"/>
        <bgColor indexed="64"/>
      </patternFill>
    </fill>
    <fill>
      <patternFill patternType="solid">
        <fgColor indexed="5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bgColor indexed="26"/>
      </patternFill>
    </fill>
    <fill>
      <patternFill patternType="solid">
        <fgColor rgb="FF00B0F0"/>
        <bgColor indexed="64"/>
      </patternFill>
    </fill>
    <fill>
      <patternFill patternType="solid">
        <fgColor rgb="FF4BC7BB"/>
        <bgColor indexed="64"/>
      </patternFill>
    </fill>
    <fill>
      <patternFill patternType="solid">
        <fgColor rgb="FF92D050"/>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33CCFF"/>
        <bgColor indexed="64"/>
      </patternFill>
    </fill>
    <fill>
      <patternFill patternType="solid">
        <fgColor rgb="FFBCE4DA"/>
        <bgColor indexed="64"/>
      </patternFill>
    </fill>
    <fill>
      <patternFill patternType="solid">
        <fgColor rgb="FF99FFCC"/>
        <bgColor indexed="64"/>
      </patternFill>
    </fill>
    <fill>
      <patternFill patternType="solid">
        <fgColor rgb="FFFFFFCC"/>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FF0000"/>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rgb="FF00FFFF"/>
        <bgColor indexed="64"/>
      </patternFill>
    </fill>
    <fill>
      <patternFill patternType="solid">
        <fgColor theme="3" tint="0.79998168889431442"/>
        <bgColor indexed="64"/>
      </patternFill>
    </fill>
    <fill>
      <patternFill patternType="solid">
        <fgColor rgb="FFFF6699"/>
        <bgColor indexed="64"/>
      </patternFill>
    </fill>
    <fill>
      <patternFill patternType="solid">
        <fgColor rgb="FF66FF33"/>
        <bgColor indexed="64"/>
      </patternFill>
    </fill>
    <fill>
      <patternFill patternType="solid">
        <fgColor rgb="FFFFCCFF"/>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rgb="FF00FF99"/>
        <bgColor indexed="64"/>
      </patternFill>
    </fill>
    <fill>
      <patternFill patternType="solid">
        <fgColor rgb="FF00FFCC"/>
        <bgColor indexed="64"/>
      </patternFill>
    </fill>
    <fill>
      <patternFill patternType="solid">
        <fgColor rgb="FF538ED5"/>
        <bgColor indexed="64"/>
      </patternFill>
    </fill>
    <fill>
      <patternFill patternType="solid">
        <fgColor indexed="22"/>
        <bgColor indexed="0"/>
      </patternFill>
    </fill>
    <fill>
      <patternFill patternType="solid">
        <fgColor rgb="FFCCCCCC"/>
        <bgColor indexed="64"/>
      </patternFill>
    </fill>
    <fill>
      <patternFill patternType="solid">
        <fgColor theme="9" tint="-0.49998474074526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5" tint="-0.249977111117893"/>
        <bgColor indexed="64"/>
      </patternFill>
    </fill>
  </fills>
  <borders count="21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55"/>
      </left>
      <right style="thin">
        <color indexed="55"/>
      </right>
      <top style="hair">
        <color indexed="55"/>
      </top>
      <bottom style="hair">
        <color indexed="55"/>
      </bottom>
      <diagonal/>
    </border>
    <border>
      <left style="thin">
        <color indexed="55"/>
      </left>
      <right style="thin">
        <color indexed="55"/>
      </right>
      <top style="hair">
        <color indexed="55"/>
      </top>
      <bottom/>
      <diagonal/>
    </border>
    <border>
      <left style="thin">
        <color indexed="55"/>
      </left>
      <right style="medium">
        <color indexed="22"/>
      </right>
      <top style="hair">
        <color indexed="55"/>
      </top>
      <bottom style="hair">
        <color indexed="55"/>
      </bottom>
      <diagonal/>
    </border>
    <border>
      <left style="thin">
        <color indexed="55"/>
      </left>
      <right style="medium">
        <color indexed="22"/>
      </right>
      <top style="hair">
        <color indexed="55"/>
      </top>
      <bottom/>
      <diagonal/>
    </border>
    <border>
      <left style="medium">
        <color indexed="64"/>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8"/>
      </right>
      <top style="thin">
        <color indexed="8"/>
      </top>
      <bottom style="thin">
        <color indexed="8"/>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8"/>
      </right>
      <top/>
      <bottom style="thin">
        <color indexed="8"/>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thin">
        <color indexed="8"/>
      </left>
      <right style="thin">
        <color indexed="8"/>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8"/>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8"/>
      </left>
      <right/>
      <top style="medium">
        <color indexed="64"/>
      </top>
      <bottom/>
      <diagonal/>
    </border>
    <border>
      <left style="medium">
        <color indexed="64"/>
      </left>
      <right style="medium">
        <color indexed="8"/>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8"/>
      </right>
      <top style="medium">
        <color indexed="64"/>
      </top>
      <bottom style="medium">
        <color indexed="64"/>
      </bottom>
      <diagonal/>
    </border>
    <border>
      <left style="medium">
        <color indexed="8"/>
      </left>
      <right style="medium">
        <color indexed="8"/>
      </right>
      <top/>
      <bottom style="medium">
        <color indexed="64"/>
      </bottom>
      <diagonal/>
    </border>
    <border>
      <left style="medium">
        <color indexed="8"/>
      </left>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8"/>
      </right>
      <top style="medium">
        <color indexed="64"/>
      </top>
      <bottom/>
      <diagonal/>
    </border>
    <border>
      <left style="thin">
        <color indexed="8"/>
      </left>
      <right style="medium">
        <color indexed="64"/>
      </right>
      <top style="medium">
        <color indexed="64"/>
      </top>
      <bottom/>
      <diagonal/>
    </border>
    <border>
      <left/>
      <right style="thin">
        <color indexed="8"/>
      </right>
      <top style="medium">
        <color indexed="64"/>
      </top>
      <bottom/>
      <diagonal/>
    </border>
    <border>
      <left style="thin">
        <color indexed="8"/>
      </left>
      <right/>
      <top style="medium">
        <color indexed="64"/>
      </top>
      <bottom/>
      <diagonal/>
    </border>
    <border>
      <left style="medium">
        <color indexed="64"/>
      </left>
      <right/>
      <top style="medium">
        <color indexed="64"/>
      </top>
      <bottom style="thin">
        <color indexed="22"/>
      </bottom>
      <diagonal/>
    </border>
    <border>
      <left style="medium">
        <color indexed="64"/>
      </left>
      <right style="thin">
        <color indexed="22"/>
      </right>
      <top style="medium">
        <color indexed="64"/>
      </top>
      <bottom style="thin">
        <color indexed="22"/>
      </bottom>
      <diagonal/>
    </border>
    <border>
      <left style="thin">
        <color indexed="22"/>
      </left>
      <right style="thin">
        <color indexed="22"/>
      </right>
      <top style="medium">
        <color indexed="64"/>
      </top>
      <bottom style="thin">
        <color indexed="22"/>
      </bottom>
      <diagonal/>
    </border>
    <border>
      <left style="thin">
        <color indexed="22"/>
      </left>
      <right style="medium">
        <color indexed="64"/>
      </right>
      <top style="medium">
        <color indexed="64"/>
      </top>
      <bottom style="thin">
        <color indexed="22"/>
      </bottom>
      <diagonal/>
    </border>
    <border>
      <left/>
      <right style="thin">
        <color indexed="22"/>
      </right>
      <top style="medium">
        <color indexed="64"/>
      </top>
      <bottom style="thin">
        <color indexed="22"/>
      </bottom>
      <diagonal/>
    </border>
    <border>
      <left style="thin">
        <color indexed="22"/>
      </left>
      <right/>
      <top style="medium">
        <color indexed="64"/>
      </top>
      <bottom style="thin">
        <color indexed="22"/>
      </bottom>
      <diagonal/>
    </border>
    <border>
      <left style="medium">
        <color indexed="64"/>
      </left>
      <right/>
      <top style="thin">
        <color indexed="22"/>
      </top>
      <bottom style="thin">
        <color indexed="22"/>
      </bottom>
      <diagonal/>
    </border>
    <border>
      <left style="medium">
        <color indexed="64"/>
      </left>
      <right style="thin">
        <color indexed="22"/>
      </right>
      <top style="thin">
        <color indexed="22"/>
      </top>
      <bottom style="thin">
        <color indexed="22"/>
      </bottom>
      <diagonal/>
    </border>
    <border>
      <left style="thin">
        <color indexed="22"/>
      </left>
      <right style="medium">
        <color indexed="64"/>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medium">
        <color indexed="64"/>
      </left>
      <right/>
      <top style="thin">
        <color indexed="22"/>
      </top>
      <bottom style="medium">
        <color indexed="64"/>
      </bottom>
      <diagonal/>
    </border>
    <border>
      <left style="medium">
        <color indexed="64"/>
      </left>
      <right style="thin">
        <color indexed="22"/>
      </right>
      <top style="thin">
        <color indexed="22"/>
      </top>
      <bottom style="medium">
        <color indexed="64"/>
      </bottom>
      <diagonal/>
    </border>
    <border>
      <left style="thin">
        <color indexed="22"/>
      </left>
      <right style="thin">
        <color indexed="22"/>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right style="thin">
        <color indexed="22"/>
      </right>
      <top style="thin">
        <color indexed="22"/>
      </top>
      <bottom style="medium">
        <color indexed="64"/>
      </bottom>
      <diagonal/>
    </border>
    <border>
      <left style="thin">
        <color indexed="22"/>
      </left>
      <right/>
      <top style="thin">
        <color indexed="22"/>
      </top>
      <bottom style="medium">
        <color indexed="64"/>
      </bottom>
      <diagonal/>
    </border>
    <border>
      <left style="medium">
        <color indexed="64"/>
      </left>
      <right/>
      <top/>
      <bottom style="thin">
        <color indexed="22"/>
      </bottom>
      <diagonal/>
    </border>
    <border>
      <left style="medium">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medium">
        <color indexed="64"/>
      </right>
      <top/>
      <bottom style="thin">
        <color indexed="22"/>
      </bottom>
      <diagonal/>
    </border>
    <border>
      <left/>
      <right style="thin">
        <color indexed="22"/>
      </right>
      <top/>
      <bottom style="thin">
        <color indexed="22"/>
      </bottom>
      <diagonal/>
    </border>
    <border>
      <left style="thin">
        <color indexed="22"/>
      </left>
      <right/>
      <top/>
      <bottom style="thin">
        <color indexed="22"/>
      </bottom>
      <diagonal/>
    </border>
    <border>
      <left style="medium">
        <color indexed="64"/>
      </left>
      <right/>
      <top style="thin">
        <color indexed="22"/>
      </top>
      <bottom/>
      <diagonal/>
    </border>
    <border>
      <left style="medium">
        <color indexed="64"/>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medium">
        <color indexed="64"/>
      </right>
      <top style="thin">
        <color indexed="22"/>
      </top>
      <bottom/>
      <diagonal/>
    </border>
    <border>
      <left/>
      <right style="thin">
        <color indexed="22"/>
      </right>
      <top style="thin">
        <color indexed="22"/>
      </top>
      <bottom/>
      <diagonal/>
    </border>
    <border>
      <left style="thin">
        <color indexed="22"/>
      </left>
      <right/>
      <top style="thin">
        <color indexed="22"/>
      </top>
      <bottom/>
      <diagonal/>
    </border>
    <border>
      <left/>
      <right style="thin">
        <color indexed="64"/>
      </right>
      <top style="medium">
        <color indexed="64"/>
      </top>
      <bottom style="medium">
        <color indexed="64"/>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medium">
        <color indexed="64"/>
      </left>
      <right style="medium">
        <color indexed="64"/>
      </right>
      <top/>
      <bottom/>
      <diagonal/>
    </border>
    <border>
      <left style="medium">
        <color indexed="8"/>
      </left>
      <right style="medium">
        <color indexed="8"/>
      </right>
      <top style="medium">
        <color indexed="8"/>
      </top>
      <bottom style="medium">
        <color indexed="8"/>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thin">
        <color indexed="22"/>
      </left>
      <right style="medium">
        <color indexed="64"/>
      </right>
      <top/>
      <bottom/>
      <diagonal/>
    </border>
    <border>
      <left style="thin">
        <color indexed="22"/>
      </left>
      <right style="medium">
        <color indexed="64"/>
      </right>
      <top style="medium">
        <color indexed="64"/>
      </top>
      <bottom/>
      <diagonal/>
    </border>
    <border>
      <left/>
      <right style="thin">
        <color indexed="22"/>
      </right>
      <top style="medium">
        <color indexed="64"/>
      </top>
      <bottom/>
      <diagonal/>
    </border>
    <border>
      <left style="medium">
        <color indexed="64"/>
      </left>
      <right style="thin">
        <color indexed="22"/>
      </right>
      <top style="medium">
        <color indexed="64"/>
      </top>
      <bottom/>
      <diagonal/>
    </border>
    <border>
      <left style="thin">
        <color indexed="22"/>
      </left>
      <right style="thin">
        <color indexed="22"/>
      </right>
      <top style="medium">
        <color indexed="64"/>
      </top>
      <bottom/>
      <diagonal/>
    </border>
    <border>
      <left style="medium">
        <color indexed="64"/>
      </left>
      <right style="thin">
        <color indexed="22"/>
      </right>
      <top style="medium">
        <color indexed="64"/>
      </top>
      <bottom style="medium">
        <color indexed="64"/>
      </bottom>
      <diagonal/>
    </border>
    <border>
      <left style="thin">
        <color indexed="22"/>
      </left>
      <right style="medium">
        <color indexed="64"/>
      </right>
      <top style="medium">
        <color indexed="64"/>
      </top>
      <bottom style="medium">
        <color indexed="64"/>
      </bottom>
      <diagonal/>
    </border>
    <border>
      <left style="thin">
        <color indexed="22"/>
      </left>
      <right/>
      <top style="medium">
        <color indexed="64"/>
      </top>
      <bottom/>
      <diagonal/>
    </border>
    <border>
      <left/>
      <right style="thin">
        <color indexed="22"/>
      </right>
      <top/>
      <bottom/>
      <diagonal/>
    </border>
    <border>
      <left style="thin">
        <color indexed="22"/>
      </left>
      <right/>
      <top/>
      <bottom/>
      <diagonal/>
    </border>
    <border>
      <left/>
      <right style="thin">
        <color indexed="22"/>
      </right>
      <top/>
      <bottom style="medium">
        <color indexed="64"/>
      </bottom>
      <diagonal/>
    </border>
    <border>
      <left style="thin">
        <color indexed="22"/>
      </left>
      <right/>
      <top/>
      <bottom style="medium">
        <color indexed="64"/>
      </bottom>
      <diagonal/>
    </border>
    <border>
      <left style="medium">
        <color indexed="64"/>
      </left>
      <right style="thin">
        <color indexed="22"/>
      </right>
      <top/>
      <bottom/>
      <diagonal/>
    </border>
    <border>
      <left style="medium">
        <color indexed="64"/>
      </left>
      <right style="thin">
        <color indexed="22"/>
      </right>
      <top/>
      <bottom style="medium">
        <color indexed="64"/>
      </bottom>
      <diagonal/>
    </border>
    <border>
      <left style="thin">
        <color indexed="22"/>
      </left>
      <right style="medium">
        <color indexed="64"/>
      </right>
      <top/>
      <bottom style="medium">
        <color indexed="64"/>
      </bottom>
      <diagonal/>
    </border>
    <border>
      <left/>
      <right style="thin">
        <color indexed="64"/>
      </right>
      <top/>
      <bottom/>
      <diagonal/>
    </border>
    <border>
      <left style="thin">
        <color indexed="8"/>
      </left>
      <right style="medium">
        <color indexed="64"/>
      </right>
      <top style="thin">
        <color indexed="8"/>
      </top>
      <bottom style="thin">
        <color indexed="8"/>
      </bottom>
      <diagonal/>
    </border>
    <border>
      <left style="medium">
        <color indexed="64"/>
      </left>
      <right style="medium">
        <color indexed="8"/>
      </right>
      <top/>
      <bottom style="medium">
        <color indexed="64"/>
      </bottom>
      <diagonal/>
    </border>
    <border>
      <left style="medium">
        <color indexed="22"/>
      </left>
      <right style="thin">
        <color indexed="55"/>
      </right>
      <top style="hair">
        <color indexed="55"/>
      </top>
      <bottom/>
      <diagonal/>
    </border>
    <border>
      <left style="medium">
        <color indexed="22"/>
      </left>
      <right style="thin">
        <color indexed="55"/>
      </right>
      <top style="hair">
        <color indexed="55"/>
      </top>
      <bottom style="hair">
        <color indexed="55"/>
      </bottom>
      <diagonal/>
    </border>
    <border>
      <left style="medium">
        <color indexed="22"/>
      </left>
      <right style="thin">
        <color indexed="55"/>
      </right>
      <top style="medium">
        <color indexed="22"/>
      </top>
      <bottom/>
      <diagonal/>
    </border>
    <border>
      <left style="thin">
        <color indexed="55"/>
      </left>
      <right style="thin">
        <color indexed="55"/>
      </right>
      <top style="medium">
        <color indexed="22"/>
      </top>
      <bottom/>
      <diagonal/>
    </border>
    <border>
      <left style="thin">
        <color indexed="55"/>
      </left>
      <right style="medium">
        <color indexed="22"/>
      </right>
      <top style="medium">
        <color indexed="22"/>
      </top>
      <bottom/>
      <diagonal/>
    </border>
    <border>
      <left style="medium">
        <color indexed="64"/>
      </left>
      <right/>
      <top style="thin">
        <color indexed="64"/>
      </top>
      <bottom/>
      <diagonal/>
    </border>
    <border>
      <left style="thin">
        <color indexed="22"/>
      </left>
      <right style="thin">
        <color indexed="22"/>
      </right>
      <top style="medium">
        <color indexed="64"/>
      </top>
      <bottom style="medium">
        <color indexed="64"/>
      </bottom>
      <diagonal/>
    </border>
    <border>
      <left style="thin">
        <color indexed="22"/>
      </left>
      <right style="thin">
        <color indexed="22"/>
      </right>
      <top/>
      <bottom/>
      <diagonal/>
    </border>
    <border>
      <left style="thin">
        <color indexed="22"/>
      </left>
      <right style="thin">
        <color indexed="22"/>
      </right>
      <top/>
      <bottom style="medium">
        <color indexed="64"/>
      </bottom>
      <diagonal/>
    </border>
    <border>
      <left style="thin">
        <color indexed="64"/>
      </left>
      <right style="thin">
        <color indexed="55"/>
      </right>
      <top/>
      <bottom style="hair">
        <color indexed="55"/>
      </bottom>
      <diagonal/>
    </border>
    <border>
      <left style="thin">
        <color indexed="55"/>
      </left>
      <right style="thin">
        <color indexed="55"/>
      </right>
      <top/>
      <bottom style="hair">
        <color indexed="55"/>
      </bottom>
      <diagonal/>
    </border>
    <border>
      <left style="thin">
        <color indexed="55"/>
      </left>
      <right style="thin">
        <color indexed="64"/>
      </right>
      <top/>
      <bottom style="hair">
        <color indexed="55"/>
      </bottom>
      <diagonal/>
    </border>
    <border>
      <left style="thin">
        <color indexed="55"/>
      </left>
      <right style="medium">
        <color indexed="64"/>
      </right>
      <top/>
      <bottom style="hair">
        <color indexed="55"/>
      </bottom>
      <diagonal/>
    </border>
    <border>
      <left style="thin">
        <color indexed="64"/>
      </left>
      <right style="thin">
        <color indexed="55"/>
      </right>
      <top/>
      <bottom style="medium">
        <color indexed="64"/>
      </bottom>
      <diagonal/>
    </border>
    <border>
      <left style="thin">
        <color indexed="55"/>
      </left>
      <right style="thin">
        <color indexed="55"/>
      </right>
      <top/>
      <bottom style="medium">
        <color indexed="64"/>
      </bottom>
      <diagonal/>
    </border>
    <border>
      <left style="thin">
        <color indexed="55"/>
      </left>
      <right style="thin">
        <color indexed="64"/>
      </right>
      <top/>
      <bottom style="medium">
        <color indexed="64"/>
      </bottom>
      <diagonal/>
    </border>
    <border>
      <left style="thin">
        <color indexed="55"/>
      </left>
      <right style="medium">
        <color indexed="64"/>
      </right>
      <top/>
      <bottom style="medium">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medium">
        <color indexed="64"/>
      </top>
      <bottom/>
      <diagonal/>
    </border>
    <border>
      <left/>
      <right style="hair">
        <color indexed="64"/>
      </right>
      <top style="thin">
        <color indexed="64"/>
      </top>
      <bottom style="thin">
        <color indexed="64"/>
      </bottom>
      <diagonal/>
    </border>
    <border>
      <left style="hair">
        <color indexed="64"/>
      </left>
      <right style="hair">
        <color indexed="64"/>
      </right>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hair">
        <color indexed="8"/>
      </left>
      <right style="hair">
        <color indexed="8"/>
      </right>
      <top/>
      <bottom style="hair">
        <color indexed="8"/>
      </bottom>
      <diagonal/>
    </border>
    <border>
      <left style="medium">
        <color indexed="64"/>
      </left>
      <right/>
      <top/>
      <bottom style="thin">
        <color theme="0" tint="-0.24994659260841701"/>
      </bottom>
      <diagonal/>
    </border>
    <border>
      <left style="thin">
        <color indexed="64"/>
      </left>
      <right style="thin">
        <color indexed="64"/>
      </right>
      <top/>
      <bottom style="thin">
        <color theme="0" tint="-0.24994659260841701"/>
      </bottom>
      <diagonal/>
    </border>
    <border>
      <left/>
      <right style="medium">
        <color indexed="64"/>
      </right>
      <top/>
      <bottom style="thin">
        <color theme="0" tint="-0.24994659260841701"/>
      </bottom>
      <diagonal/>
    </border>
    <border>
      <left/>
      <right/>
      <top/>
      <bottom style="thin">
        <color theme="0" tint="-0.24994659260841701"/>
      </bottom>
      <diagonal/>
    </border>
    <border>
      <left style="medium">
        <color indexed="64"/>
      </left>
      <right style="medium">
        <color indexed="64"/>
      </right>
      <top/>
      <bottom style="thin">
        <color theme="0" tint="-0.24994659260841701"/>
      </bottom>
      <diagonal/>
    </border>
    <border>
      <left style="medium">
        <color indexed="64"/>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right style="medium">
        <color indexed="64"/>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style="medium">
        <color indexed="64"/>
      </left>
      <right/>
      <top style="thin">
        <color theme="0" tint="-0.24994659260841701"/>
      </top>
      <bottom/>
      <diagonal/>
    </border>
    <border>
      <left style="thin">
        <color indexed="64"/>
      </left>
      <right style="thin">
        <color indexed="64"/>
      </right>
      <top style="thin">
        <color theme="0" tint="-0.24994659260841701"/>
      </top>
      <bottom/>
      <diagonal/>
    </border>
    <border>
      <left/>
      <right style="medium">
        <color indexed="64"/>
      </right>
      <top style="thin">
        <color theme="0" tint="-0.24994659260841701"/>
      </top>
      <bottom/>
      <diagonal/>
    </border>
    <border>
      <left/>
      <right/>
      <top style="thin">
        <color theme="0" tint="-0.24994659260841701"/>
      </top>
      <bottom/>
      <diagonal/>
    </border>
    <border>
      <left style="medium">
        <color indexed="64"/>
      </left>
      <right style="medium">
        <color indexed="64"/>
      </right>
      <top style="thin">
        <color theme="0" tint="-0.24994659260841701"/>
      </top>
      <bottom/>
      <diagonal/>
    </border>
    <border>
      <left style="medium">
        <color indexed="64"/>
      </left>
      <right/>
      <top style="medium">
        <color indexed="64"/>
      </top>
      <bottom style="thin">
        <color theme="0" tint="-0.24994659260841701"/>
      </bottom>
      <diagonal/>
    </border>
    <border>
      <left style="thin">
        <color indexed="64"/>
      </left>
      <right style="thin">
        <color indexed="64"/>
      </right>
      <top style="medium">
        <color indexed="64"/>
      </top>
      <bottom style="thin">
        <color theme="0" tint="-0.24994659260841701"/>
      </bottom>
      <diagonal/>
    </border>
    <border>
      <left/>
      <right style="medium">
        <color indexed="64"/>
      </right>
      <top style="medium">
        <color indexed="64"/>
      </top>
      <bottom style="thin">
        <color theme="0" tint="-0.24994659260841701"/>
      </bottom>
      <diagonal/>
    </border>
    <border>
      <left/>
      <right/>
      <top style="medium">
        <color indexed="64"/>
      </top>
      <bottom style="thin">
        <color theme="0" tint="-0.24994659260841701"/>
      </bottom>
      <diagonal/>
    </border>
    <border>
      <left style="medium">
        <color indexed="64"/>
      </left>
      <right style="medium">
        <color indexed="64"/>
      </right>
      <top style="medium">
        <color indexed="64"/>
      </top>
      <bottom style="thin">
        <color theme="0" tint="-0.24994659260841701"/>
      </bottom>
      <diagonal/>
    </border>
    <border>
      <left style="medium">
        <color indexed="64"/>
      </left>
      <right/>
      <top style="thin">
        <color theme="0" tint="-0.24994659260841701"/>
      </top>
      <bottom style="medium">
        <color indexed="64"/>
      </bottom>
      <diagonal/>
    </border>
    <border>
      <left style="thin">
        <color indexed="64"/>
      </left>
      <right style="thin">
        <color indexed="64"/>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right/>
      <top style="thin">
        <color theme="0" tint="-0.24994659260841701"/>
      </top>
      <bottom style="medium">
        <color indexed="64"/>
      </bottom>
      <diagonal/>
    </border>
    <border>
      <left style="medium">
        <color indexed="64"/>
      </left>
      <right style="medium">
        <color indexed="64"/>
      </right>
      <top style="thin">
        <color theme="0" tint="-0.24994659260841701"/>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style="thin">
        <color auto="1"/>
      </left>
      <right style="thin">
        <color auto="1"/>
      </right>
      <top/>
      <bottom/>
      <diagonal/>
    </border>
    <border>
      <left style="thin">
        <color indexed="64"/>
      </left>
      <right/>
      <top/>
      <bottom/>
      <diagonal/>
    </border>
  </borders>
  <cellStyleXfs count="41731">
    <xf numFmtId="0" fontId="0" fillId="0" borderId="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1" fillId="17" borderId="2" applyNumberFormat="0" applyAlignment="0" applyProtection="0"/>
    <xf numFmtId="0" fontId="21" fillId="17" borderId="2" applyNumberFormat="0" applyAlignment="0" applyProtection="0"/>
    <xf numFmtId="0" fontId="21" fillId="17" borderId="2" applyNumberFormat="0" applyAlignment="0" applyProtection="0"/>
    <xf numFmtId="0" fontId="21" fillId="17" borderId="2" applyNumberFormat="0" applyAlignment="0" applyProtection="0"/>
    <xf numFmtId="0" fontId="21" fillId="17" borderId="2" applyNumberFormat="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17" fillId="0" borderId="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43" fontId="7" fillId="0" borderId="0" applyFont="0" applyFill="0" applyBorder="0" applyAlignment="0" applyProtection="0"/>
    <xf numFmtId="43" fontId="73"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4" fontId="7" fillId="0" borderId="0" applyFont="0" applyFill="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7" fillId="0" borderId="0"/>
    <xf numFmtId="0" fontId="27" fillId="0" borderId="0"/>
    <xf numFmtId="0" fontId="104" fillId="0" borderId="0"/>
    <xf numFmtId="0" fontId="7" fillId="0" borderId="0"/>
    <xf numFmtId="0" fontId="27" fillId="0" borderId="0"/>
    <xf numFmtId="0" fontId="104" fillId="0" borderId="0"/>
    <xf numFmtId="0" fontId="27" fillId="0" borderId="0"/>
    <xf numFmtId="0" fontId="57" fillId="0" borderId="0"/>
    <xf numFmtId="0" fontId="27" fillId="0" borderId="0"/>
    <xf numFmtId="0" fontId="27" fillId="0" borderId="0"/>
    <xf numFmtId="0" fontId="27" fillId="0" borderId="0"/>
    <xf numFmtId="0" fontId="27" fillId="0" borderId="0"/>
    <xf numFmtId="0" fontId="64" fillId="0" borderId="0"/>
    <xf numFmtId="0" fontId="27" fillId="0" borderId="0"/>
    <xf numFmtId="0" fontId="27" fillId="0" borderId="0"/>
    <xf numFmtId="0" fontId="60" fillId="0" borderId="0"/>
    <xf numFmtId="0" fontId="27" fillId="0" borderId="0"/>
    <xf numFmtId="0" fontId="27" fillId="0" borderId="0"/>
    <xf numFmtId="0" fontId="27" fillId="0" borderId="0"/>
    <xf numFmtId="0" fontId="104"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47" fillId="0" borderId="0"/>
    <xf numFmtId="0" fontId="27" fillId="0" borderId="0"/>
    <xf numFmtId="0" fontId="47" fillId="0" borderId="0"/>
    <xf numFmtId="0" fontId="27" fillId="23" borderId="4" applyNumberFormat="0" applyFont="0" applyAlignment="0" applyProtection="0"/>
    <xf numFmtId="0" fontId="27" fillId="23" borderId="4" applyNumberFormat="0" applyFont="0" applyAlignment="0" applyProtection="0"/>
    <xf numFmtId="0" fontId="27" fillId="23" borderId="4" applyNumberFormat="0" applyFont="0" applyAlignment="0" applyProtection="0"/>
    <xf numFmtId="0" fontId="27" fillId="23" borderId="4" applyNumberFormat="0" applyFont="0" applyAlignment="0" applyProtection="0"/>
    <xf numFmtId="0" fontId="27" fillId="23" borderId="4" applyNumberFormat="0" applyFont="0" applyAlignment="0" applyProtection="0"/>
    <xf numFmtId="9" fontId="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7" fillId="0" borderId="0" applyFont="0" applyFill="0" applyBorder="0" applyAlignment="0" applyProtection="0"/>
    <xf numFmtId="9" fontId="27" fillId="0" borderId="0" applyFont="0" applyFill="0" applyBorder="0" applyAlignment="0" applyProtection="0"/>
    <xf numFmtId="9" fontId="104" fillId="0" borderId="0" applyFont="0" applyFill="0" applyBorder="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7" fillId="0" borderId="0"/>
    <xf numFmtId="0" fontId="139" fillId="0" borderId="0"/>
    <xf numFmtId="0" fontId="140" fillId="0" borderId="0" applyNumberFormat="0" applyFill="0" applyBorder="0" applyAlignment="0" applyProtection="0">
      <alignment vertical="top"/>
      <protection locked="0"/>
    </xf>
    <xf numFmtId="0" fontId="5" fillId="0" borderId="0"/>
    <xf numFmtId="0" fontId="149" fillId="0" borderId="0"/>
    <xf numFmtId="0" fontId="149" fillId="0" borderId="0"/>
    <xf numFmtId="0" fontId="149" fillId="0" borderId="0"/>
    <xf numFmtId="0" fontId="149" fillId="0" borderId="0"/>
    <xf numFmtId="0" fontId="155" fillId="0" borderId="0"/>
    <xf numFmtId="0" fontId="155" fillId="0" borderId="0"/>
    <xf numFmtId="0" fontId="7" fillId="0" borderId="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0" fillId="16" borderId="1" applyNumberFormat="0" applyAlignment="0" applyProtection="0"/>
    <xf numFmtId="0" fontId="21" fillId="17" borderId="2" applyNumberFormat="0" applyAlignment="0" applyProtection="0"/>
    <xf numFmtId="0" fontId="21" fillId="17" borderId="2" applyNumberFormat="0" applyAlignment="0" applyProtection="0"/>
    <xf numFmtId="0" fontId="21" fillId="17" borderId="2" applyNumberFormat="0" applyAlignment="0" applyProtection="0"/>
    <xf numFmtId="0" fontId="21" fillId="17" borderId="2" applyNumberFormat="0" applyAlignment="0" applyProtection="0"/>
    <xf numFmtId="0" fontId="21" fillId="17" borderId="2" applyNumberFormat="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4" fillId="7" borderId="1" applyNumberFormat="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9" fontId="7" fillId="0" borderId="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26" fillId="2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8" fillId="16" borderId="5" applyNumberFormat="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2" fillId="0" borderId="6"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23" fillId="0" borderId="8"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34" fillId="0" borderId="9" applyNumberFormat="0" applyFill="0" applyAlignment="0" applyProtection="0"/>
    <xf numFmtId="0" fontId="2" fillId="0" borderId="0"/>
    <xf numFmtId="0" fontId="47" fillId="0" borderId="0"/>
    <xf numFmtId="0" fontId="47" fillId="0" borderId="0"/>
  </cellStyleXfs>
  <cellXfs count="4129">
    <xf numFmtId="0" fontId="0" fillId="0" borderId="0" xfId="0"/>
    <xf numFmtId="0" fontId="10" fillId="0" borderId="0" xfId="0" applyFont="1"/>
    <xf numFmtId="164" fontId="9" fillId="0" borderId="0" xfId="0" applyNumberFormat="1" applyFont="1" applyAlignment="1">
      <alignment horizontal="center"/>
    </xf>
    <xf numFmtId="165" fontId="10" fillId="0" borderId="0" xfId="0" applyNumberFormat="1" applyFont="1"/>
    <xf numFmtId="165" fontId="9" fillId="0" borderId="0" xfId="0" applyNumberFormat="1" applyFont="1" applyAlignment="1">
      <alignment horizontal="center"/>
    </xf>
    <xf numFmtId="0" fontId="10" fillId="0" borderId="10" xfId="0" applyFont="1" applyBorder="1" applyAlignment="1">
      <alignment horizontal="center"/>
    </xf>
    <xf numFmtId="2" fontId="9" fillId="0" borderId="0" xfId="0" applyNumberFormat="1" applyFont="1"/>
    <xf numFmtId="2" fontId="10" fillId="0" borderId="0" xfId="0" applyNumberFormat="1" applyFont="1" applyFill="1" applyAlignment="1">
      <alignment horizontal="center"/>
    </xf>
    <xf numFmtId="0" fontId="10" fillId="0" borderId="0" xfId="0" applyFont="1" applyFill="1" applyAlignment="1">
      <alignment horizontal="center"/>
    </xf>
    <xf numFmtId="167" fontId="10" fillId="0" borderId="0" xfId="0" applyNumberFormat="1" applyFont="1" applyFill="1" applyAlignment="1">
      <alignment horizontal="center"/>
    </xf>
    <xf numFmtId="2" fontId="9" fillId="0" borderId="0" xfId="0" applyNumberFormat="1" applyFont="1" applyFill="1" applyAlignment="1">
      <alignment horizontal="center"/>
    </xf>
    <xf numFmtId="0" fontId="10" fillId="0" borderId="0" xfId="0" applyFont="1" applyFill="1"/>
    <xf numFmtId="0" fontId="10" fillId="0" borderId="0" xfId="0" applyFont="1" applyBorder="1"/>
    <xf numFmtId="2" fontId="10" fillId="0" borderId="0" xfId="0" applyNumberFormat="1" applyFont="1" applyBorder="1"/>
    <xf numFmtId="0" fontId="10" fillId="0" borderId="0" xfId="0" applyFont="1" applyAlignment="1">
      <alignment horizontal="center"/>
    </xf>
    <xf numFmtId="2" fontId="10" fillId="0" borderId="10" xfId="0" applyNumberFormat="1" applyFont="1" applyFill="1" applyBorder="1" applyAlignment="1">
      <alignment horizontal="center"/>
    </xf>
    <xf numFmtId="0" fontId="10" fillId="0" borderId="0" xfId="0" applyFont="1" applyFill="1" applyAlignment="1">
      <alignment horizontal="right"/>
    </xf>
    <xf numFmtId="3" fontId="10" fillId="0" borderId="0" xfId="0" applyNumberFormat="1" applyFont="1" applyFill="1" applyBorder="1" applyAlignment="1">
      <alignment horizontal="center" vertical="center"/>
    </xf>
    <xf numFmtId="4" fontId="10" fillId="0" borderId="0" xfId="0" applyNumberFormat="1" applyFont="1" applyFill="1" applyBorder="1" applyAlignment="1">
      <alignment horizontal="center"/>
    </xf>
    <xf numFmtId="4" fontId="10" fillId="0" borderId="10" xfId="0" applyNumberFormat="1" applyFont="1" applyFill="1" applyBorder="1" applyAlignment="1">
      <alignment horizontal="center"/>
    </xf>
    <xf numFmtId="165" fontId="10" fillId="0" borderId="10" xfId="0" applyNumberFormat="1" applyFont="1" applyFill="1" applyBorder="1" applyAlignment="1">
      <alignment horizontal="center"/>
    </xf>
    <xf numFmtId="0" fontId="10" fillId="0" borderId="10" xfId="0" applyFont="1" applyFill="1" applyBorder="1" applyAlignment="1">
      <alignment horizontal="center"/>
    </xf>
    <xf numFmtId="4" fontId="10" fillId="0" borderId="0" xfId="0" applyNumberFormat="1" applyFont="1" applyFill="1" applyAlignment="1">
      <alignment horizontal="center"/>
    </xf>
    <xf numFmtId="3" fontId="10" fillId="0" borderId="10" xfId="0" applyNumberFormat="1" applyFont="1" applyFill="1" applyBorder="1" applyAlignment="1">
      <alignment horizontal="center"/>
    </xf>
    <xf numFmtId="169" fontId="10" fillId="0" borderId="10" xfId="0" applyNumberFormat="1" applyFont="1" applyFill="1" applyBorder="1" applyAlignment="1">
      <alignment horizontal="center"/>
    </xf>
    <xf numFmtId="0" fontId="10" fillId="0" borderId="10" xfId="0" applyFont="1" applyBorder="1"/>
    <xf numFmtId="3" fontId="11" fillId="0" borderId="0" xfId="0" applyNumberFormat="1" applyFont="1" applyFill="1" applyBorder="1" applyAlignment="1">
      <alignment horizontal="center" vertical="center"/>
    </xf>
    <xf numFmtId="4" fontId="11" fillId="0" borderId="0" xfId="0" applyNumberFormat="1" applyFont="1" applyFill="1" applyBorder="1" applyAlignment="1">
      <alignment horizontal="center"/>
    </xf>
    <xf numFmtId="9" fontId="11" fillId="0" borderId="0" xfId="203" applyFont="1" applyFill="1" applyBorder="1" applyAlignment="1">
      <alignment horizontal="center"/>
    </xf>
    <xf numFmtId="0" fontId="9" fillId="0" borderId="0" xfId="0" applyFont="1" applyFill="1" applyAlignment="1">
      <alignment horizontal="center"/>
    </xf>
    <xf numFmtId="2" fontId="10" fillId="0" borderId="0" xfId="0" applyNumberFormat="1" applyFont="1" applyFill="1"/>
    <xf numFmtId="2" fontId="10" fillId="0" borderId="10" xfId="0" applyNumberFormat="1" applyFont="1" applyFill="1" applyBorder="1" applyAlignment="1">
      <alignment horizontal="right"/>
    </xf>
    <xf numFmtId="2" fontId="10" fillId="0" borderId="10" xfId="0" applyNumberFormat="1" applyFont="1" applyBorder="1"/>
    <xf numFmtId="173" fontId="10" fillId="0" borderId="10" xfId="0" applyNumberFormat="1" applyFont="1" applyBorder="1"/>
    <xf numFmtId="173" fontId="10" fillId="0" borderId="10" xfId="0" applyNumberFormat="1" applyFont="1" applyFill="1" applyBorder="1" applyAlignment="1">
      <alignment horizontal="right"/>
    </xf>
    <xf numFmtId="2" fontId="10" fillId="0" borderId="10" xfId="0" applyNumberFormat="1" applyFont="1" applyBorder="1" applyAlignment="1">
      <alignment horizontal="center"/>
    </xf>
    <xf numFmtId="0" fontId="9" fillId="0" borderId="0" xfId="0" applyFont="1" applyFill="1" applyBorder="1" applyAlignment="1">
      <alignment horizontal="center"/>
    </xf>
    <xf numFmtId="2" fontId="10" fillId="0" borderId="0" xfId="0" applyNumberFormat="1" applyFont="1" applyBorder="1" applyAlignment="1">
      <alignment horizontal="center"/>
    </xf>
    <xf numFmtId="2" fontId="10" fillId="0" borderId="0" xfId="0" applyNumberFormat="1" applyFont="1" applyFill="1" applyBorder="1"/>
    <xf numFmtId="2" fontId="10" fillId="0" borderId="10" xfId="0" applyNumberFormat="1" applyFont="1" applyFill="1" applyBorder="1"/>
    <xf numFmtId="2" fontId="10" fillId="0" borderId="14" xfId="0" applyNumberFormat="1" applyFont="1" applyBorder="1"/>
    <xf numFmtId="2" fontId="10" fillId="0" borderId="14" xfId="0" applyNumberFormat="1" applyFont="1" applyFill="1" applyBorder="1"/>
    <xf numFmtId="2" fontId="10" fillId="0" borderId="15" xfId="0" applyNumberFormat="1" applyFont="1" applyFill="1" applyBorder="1"/>
    <xf numFmtId="2" fontId="10" fillId="0" borderId="10" xfId="0" applyNumberFormat="1" applyFont="1" applyBorder="1" applyAlignment="1"/>
    <xf numFmtId="2" fontId="10" fillId="0" borderId="0" xfId="0" applyNumberFormat="1" applyFont="1" applyFill="1" applyBorder="1" applyAlignment="1">
      <alignment horizontal="center"/>
    </xf>
    <xf numFmtId="0" fontId="10" fillId="24" borderId="0" xfId="0" applyFont="1" applyFill="1" applyAlignment="1">
      <alignment horizontal="center"/>
    </xf>
    <xf numFmtId="0" fontId="10" fillId="24" borderId="0" xfId="0" applyFont="1" applyFill="1"/>
    <xf numFmtId="0" fontId="10" fillId="0" borderId="13" xfId="0" applyFont="1" applyFill="1" applyBorder="1" applyAlignment="1">
      <alignment horizontal="center"/>
    </xf>
    <xf numFmtId="3" fontId="12" fillId="0" borderId="0" xfId="0" applyNumberFormat="1" applyFont="1" applyFill="1" applyAlignment="1">
      <alignment horizontal="center" vertical="center"/>
    </xf>
    <xf numFmtId="0" fontId="12" fillId="0" borderId="0" xfId="0" applyFont="1" applyFill="1"/>
    <xf numFmtId="0" fontId="12" fillId="0" borderId="0" xfId="0" applyFont="1" applyFill="1" applyAlignment="1">
      <alignment horizontal="center"/>
    </xf>
    <xf numFmtId="169" fontId="12" fillId="0" borderId="0" xfId="0" applyNumberFormat="1" applyFont="1" applyFill="1"/>
    <xf numFmtId="173" fontId="10" fillId="0" borderId="10" xfId="0" applyNumberFormat="1" applyFont="1" applyFill="1" applyBorder="1" applyAlignment="1">
      <alignment horizontal="center"/>
    </xf>
    <xf numFmtId="0" fontId="0" fillId="0" borderId="0" xfId="0" applyFill="1"/>
    <xf numFmtId="0" fontId="0" fillId="0" borderId="0" xfId="0" applyAlignment="1">
      <alignment horizontal="center"/>
    </xf>
    <xf numFmtId="4" fontId="10" fillId="0" borderId="0" xfId="0" applyNumberFormat="1" applyFont="1" applyAlignment="1">
      <alignment horizontal="center"/>
    </xf>
    <xf numFmtId="4" fontId="10" fillId="0" borderId="10" xfId="0" applyNumberFormat="1" applyFont="1" applyBorder="1" applyAlignment="1">
      <alignment horizontal="center"/>
    </xf>
    <xf numFmtId="3" fontId="10" fillId="0" borderId="10" xfId="0" applyNumberFormat="1" applyFont="1" applyBorder="1" applyAlignment="1">
      <alignment horizontal="center"/>
    </xf>
    <xf numFmtId="4" fontId="9" fillId="0" borderId="0" xfId="0" applyNumberFormat="1" applyFont="1" applyFill="1" applyBorder="1" applyAlignment="1">
      <alignment horizontal="center"/>
    </xf>
    <xf numFmtId="4" fontId="10" fillId="0" borderId="0" xfId="0" applyNumberFormat="1" applyFont="1" applyBorder="1" applyAlignment="1">
      <alignment horizontal="center"/>
    </xf>
    <xf numFmtId="2" fontId="10" fillId="0" borderId="19" xfId="0" applyNumberFormat="1" applyFont="1" applyBorder="1"/>
    <xf numFmtId="2" fontId="10" fillId="0" borderId="19" xfId="0" applyNumberFormat="1" applyFont="1" applyFill="1" applyBorder="1"/>
    <xf numFmtId="9" fontId="0" fillId="0" borderId="0" xfId="0" applyNumberFormat="1" applyFill="1"/>
    <xf numFmtId="166" fontId="0" fillId="0" borderId="0" xfId="0" applyNumberFormat="1" applyFill="1"/>
    <xf numFmtId="2" fontId="10" fillId="0" borderId="10" xfId="0" applyNumberFormat="1" applyFont="1" applyFill="1" applyBorder="1" applyAlignment="1"/>
    <xf numFmtId="2" fontId="10" fillId="26" borderId="10" xfId="0" applyNumberFormat="1" applyFont="1" applyFill="1" applyBorder="1" applyAlignment="1">
      <alignment horizontal="center"/>
    </xf>
    <xf numFmtId="0" fontId="35" fillId="0" borderId="0" xfId="0" applyFont="1"/>
    <xf numFmtId="0" fontId="35" fillId="0" borderId="0" xfId="0" applyFont="1" applyFill="1"/>
    <xf numFmtId="0" fontId="35" fillId="0" borderId="0" xfId="0" applyFont="1" applyAlignment="1">
      <alignment horizontal="center"/>
    </xf>
    <xf numFmtId="4" fontId="35" fillId="0" borderId="0" xfId="0" applyNumberFormat="1" applyFont="1"/>
    <xf numFmtId="0" fontId="9" fillId="25" borderId="10" xfId="0" applyFont="1" applyFill="1" applyBorder="1" applyAlignment="1">
      <alignment horizontal="center" vertical="center" wrapText="1"/>
    </xf>
    <xf numFmtId="0" fontId="9" fillId="25" borderId="10" xfId="0" applyFont="1" applyFill="1" applyBorder="1" applyAlignment="1">
      <alignment horizontal="center"/>
    </xf>
    <xf numFmtId="2" fontId="9" fillId="25" borderId="10" xfId="0" applyNumberFormat="1" applyFont="1" applyFill="1" applyBorder="1" applyAlignment="1">
      <alignment horizontal="center"/>
    </xf>
    <xf numFmtId="4" fontId="9" fillId="25" borderId="10" xfId="0" applyNumberFormat="1" applyFont="1" applyFill="1" applyBorder="1" applyAlignment="1">
      <alignment horizontal="center"/>
    </xf>
    <xf numFmtId="169" fontId="9" fillId="25" borderId="10" xfId="0" applyNumberFormat="1" applyFont="1" applyFill="1" applyBorder="1" applyAlignment="1">
      <alignment horizontal="center"/>
    </xf>
    <xf numFmtId="173" fontId="9" fillId="25" borderId="10" xfId="0" applyNumberFormat="1" applyFont="1" applyFill="1" applyBorder="1" applyAlignment="1">
      <alignment horizontal="center"/>
    </xf>
    <xf numFmtId="3" fontId="9" fillId="25" borderId="13" xfId="0" applyNumberFormat="1" applyFont="1" applyFill="1" applyBorder="1" applyAlignment="1">
      <alignment horizontal="center" vertical="center"/>
    </xf>
    <xf numFmtId="3" fontId="9" fillId="25" borderId="13" xfId="0" applyNumberFormat="1" applyFont="1" applyFill="1" applyBorder="1" applyAlignment="1">
      <alignment horizontal="center" vertical="center" wrapText="1"/>
    </xf>
    <xf numFmtId="2" fontId="9" fillId="25" borderId="13" xfId="0" applyNumberFormat="1" applyFont="1" applyFill="1" applyBorder="1" applyAlignment="1">
      <alignment horizontal="center" vertical="center"/>
    </xf>
    <xf numFmtId="167" fontId="9" fillId="25" borderId="13" xfId="0" applyNumberFormat="1" applyFont="1" applyFill="1" applyBorder="1" applyAlignment="1">
      <alignment horizontal="center" vertical="center"/>
    </xf>
    <xf numFmtId="3" fontId="9" fillId="25" borderId="10" xfId="0" applyNumberFormat="1" applyFont="1" applyFill="1" applyBorder="1" applyAlignment="1">
      <alignment horizontal="center" vertical="center" wrapText="1"/>
    </xf>
    <xf numFmtId="165" fontId="0" fillId="0" borderId="0" xfId="0" applyNumberFormat="1" applyFill="1"/>
    <xf numFmtId="165" fontId="0" fillId="0" borderId="0" xfId="0" applyNumberFormat="1"/>
    <xf numFmtId="9" fontId="0" fillId="0" borderId="0" xfId="203" applyFont="1"/>
    <xf numFmtId="4" fontId="0" fillId="0" borderId="0" xfId="0" applyNumberFormat="1"/>
    <xf numFmtId="173" fontId="0" fillId="0" borderId="0" xfId="0" applyNumberFormat="1"/>
    <xf numFmtId="10" fontId="0" fillId="0" borderId="0" xfId="0" applyNumberFormat="1"/>
    <xf numFmtId="0" fontId="35" fillId="28" borderId="0" xfId="0" applyFont="1" applyFill="1"/>
    <xf numFmtId="0" fontId="15" fillId="24" borderId="0" xfId="0" applyFont="1" applyFill="1"/>
    <xf numFmtId="0" fontId="0" fillId="0" borderId="10" xfId="0" applyBorder="1"/>
    <xf numFmtId="0" fontId="27" fillId="0" borderId="10" xfId="0" applyFont="1" applyFill="1" applyBorder="1"/>
    <xf numFmtId="0" fontId="0" fillId="0" borderId="10" xfId="0" applyFill="1" applyBorder="1"/>
    <xf numFmtId="0" fontId="27" fillId="0" borderId="10" xfId="0" applyFont="1" applyBorder="1" applyAlignment="1">
      <alignment horizontal="center"/>
    </xf>
    <xf numFmtId="0" fontId="27" fillId="0" borderId="10" xfId="0" applyFont="1" applyFill="1" applyBorder="1" applyAlignment="1">
      <alignment horizontal="center"/>
    </xf>
    <xf numFmtId="2" fontId="10" fillId="24" borderId="10" xfId="0" applyNumberFormat="1" applyFont="1" applyFill="1" applyBorder="1" applyAlignment="1">
      <alignment horizontal="center"/>
    </xf>
    <xf numFmtId="2" fontId="10" fillId="29" borderId="10" xfId="0" applyNumberFormat="1" applyFont="1" applyFill="1" applyBorder="1" applyAlignment="1">
      <alignment horizontal="center"/>
    </xf>
    <xf numFmtId="0" fontId="35" fillId="24" borderId="0" xfId="0" applyFont="1" applyFill="1"/>
    <xf numFmtId="4" fontId="10" fillId="29" borderId="10" xfId="0" applyNumberFormat="1" applyFont="1" applyFill="1" applyBorder="1" applyAlignment="1">
      <alignment horizontal="center"/>
    </xf>
    <xf numFmtId="0" fontId="10" fillId="24" borderId="10" xfId="0" applyFont="1" applyFill="1" applyBorder="1" applyAlignment="1">
      <alignment horizontal="center"/>
    </xf>
    <xf numFmtId="2" fontId="10" fillId="24" borderId="10" xfId="0" applyNumberFormat="1" applyFont="1" applyFill="1" applyBorder="1"/>
    <xf numFmtId="4" fontId="10" fillId="24" borderId="10" xfId="0" applyNumberFormat="1" applyFont="1" applyFill="1" applyBorder="1" applyAlignment="1">
      <alignment horizontal="center"/>
    </xf>
    <xf numFmtId="3" fontId="10" fillId="24" borderId="10" xfId="0" applyNumberFormat="1" applyFont="1" applyFill="1" applyBorder="1" applyAlignment="1">
      <alignment horizontal="center" vertical="center"/>
    </xf>
    <xf numFmtId="165" fontId="10" fillId="24" borderId="10" xfId="0" applyNumberFormat="1" applyFont="1" applyFill="1" applyBorder="1" applyAlignment="1">
      <alignment horizontal="center"/>
    </xf>
    <xf numFmtId="174" fontId="9" fillId="25" borderId="10" xfId="0" applyNumberFormat="1" applyFont="1" applyFill="1" applyBorder="1" applyAlignment="1">
      <alignment horizontal="center"/>
    </xf>
    <xf numFmtId="173" fontId="10" fillId="0" borderId="10" xfId="0" applyNumberFormat="1" applyFont="1" applyFill="1" applyBorder="1"/>
    <xf numFmtId="173" fontId="10" fillId="24" borderId="10" xfId="0" applyNumberFormat="1" applyFont="1" applyFill="1" applyBorder="1" applyAlignment="1">
      <alignment horizontal="center"/>
    </xf>
    <xf numFmtId="3" fontId="35" fillId="0" borderId="0" xfId="0" applyNumberFormat="1" applyFont="1"/>
    <xf numFmtId="176" fontId="10" fillId="26" borderId="10" xfId="0" applyNumberFormat="1" applyFont="1" applyFill="1" applyBorder="1" applyAlignment="1">
      <alignment horizontal="center"/>
    </xf>
    <xf numFmtId="176" fontId="10" fillId="24" borderId="10" xfId="0" applyNumberFormat="1" applyFont="1" applyFill="1" applyBorder="1" applyAlignment="1">
      <alignment horizontal="center"/>
    </xf>
    <xf numFmtId="0" fontId="10" fillId="29" borderId="10" xfId="0" applyFont="1" applyFill="1" applyBorder="1" applyAlignment="1">
      <alignment horizontal="center"/>
    </xf>
    <xf numFmtId="0" fontId="10" fillId="26" borderId="10" xfId="0" applyFont="1" applyFill="1" applyBorder="1" applyAlignment="1">
      <alignment horizontal="center"/>
    </xf>
    <xf numFmtId="0" fontId="10" fillId="30" borderId="10" xfId="0" applyFont="1" applyFill="1" applyBorder="1" applyAlignment="1">
      <alignment horizontal="center"/>
    </xf>
    <xf numFmtId="0" fontId="27" fillId="24" borderId="0" xfId="0" applyFont="1" applyFill="1"/>
    <xf numFmtId="2" fontId="10" fillId="26" borderId="10" xfId="0" applyNumberFormat="1" applyFont="1" applyFill="1" applyBorder="1" applyAlignment="1">
      <alignment horizontal="right"/>
    </xf>
    <xf numFmtId="0" fontId="9" fillId="24" borderId="0" xfId="0" applyFont="1" applyFill="1" applyBorder="1" applyAlignment="1">
      <alignment horizontal="center"/>
    </xf>
    <xf numFmtId="0" fontId="9" fillId="24" borderId="12" xfId="0" applyFont="1" applyFill="1" applyBorder="1" applyAlignment="1">
      <alignment horizontal="center"/>
    </xf>
    <xf numFmtId="0" fontId="9" fillId="24" borderId="14" xfId="0" applyFont="1" applyFill="1" applyBorder="1" applyAlignment="1">
      <alignment horizontal="center"/>
    </xf>
    <xf numFmtId="0" fontId="0" fillId="24" borderId="0" xfId="0" applyFill="1"/>
    <xf numFmtId="0" fontId="27" fillId="0" borderId="0" xfId="0" applyFont="1"/>
    <xf numFmtId="0" fontId="10" fillId="24" borderId="12" xfId="0" applyFont="1" applyFill="1" applyBorder="1" applyAlignment="1">
      <alignment horizontal="center"/>
    </xf>
    <xf numFmtId="0" fontId="10" fillId="31" borderId="10" xfId="0" applyFont="1" applyFill="1" applyBorder="1" applyAlignment="1">
      <alignment horizontal="center"/>
    </xf>
    <xf numFmtId="0" fontId="10" fillId="32" borderId="10" xfId="0" applyFont="1" applyFill="1" applyBorder="1" applyAlignment="1">
      <alignment horizontal="center"/>
    </xf>
    <xf numFmtId="0" fontId="10" fillId="33" borderId="10" xfId="0" applyFont="1" applyFill="1" applyBorder="1" applyAlignment="1">
      <alignment horizontal="center"/>
    </xf>
    <xf numFmtId="0" fontId="10" fillId="34" borderId="10" xfId="0" applyFont="1" applyFill="1" applyBorder="1" applyAlignment="1">
      <alignment horizontal="center"/>
    </xf>
    <xf numFmtId="169" fontId="10" fillId="24" borderId="10" xfId="0" applyNumberFormat="1" applyFont="1" applyFill="1" applyBorder="1" applyAlignment="1">
      <alignment horizontal="center" vertical="center"/>
    </xf>
    <xf numFmtId="2" fontId="10" fillId="0" borderId="10" xfId="177" applyNumberFormat="1" applyFont="1" applyFill="1" applyBorder="1" applyAlignment="1">
      <alignment horizontal="right"/>
    </xf>
    <xf numFmtId="2" fontId="27" fillId="0" borderId="10" xfId="0" applyNumberFormat="1" applyFont="1" applyFill="1" applyBorder="1" applyAlignment="1">
      <alignment horizontal="center"/>
    </xf>
    <xf numFmtId="43" fontId="9" fillId="25" borderId="31" xfId="157" applyFont="1" applyFill="1" applyBorder="1" applyAlignment="1">
      <alignment horizontal="center"/>
    </xf>
    <xf numFmtId="2" fontId="35" fillId="24" borderId="0" xfId="0" applyNumberFormat="1" applyFont="1" applyFill="1"/>
    <xf numFmtId="0" fontId="27" fillId="0" borderId="10" xfId="0" applyFont="1" applyBorder="1" applyAlignment="1"/>
    <xf numFmtId="2" fontId="12" fillId="0" borderId="10" xfId="0" applyNumberFormat="1" applyFont="1" applyFill="1" applyBorder="1" applyAlignment="1">
      <alignment horizontal="center"/>
    </xf>
    <xf numFmtId="173" fontId="0" fillId="0" borderId="10" xfId="0" applyNumberFormat="1" applyBorder="1"/>
    <xf numFmtId="0" fontId="77" fillId="24" borderId="0" xfId="0" applyFont="1" applyFill="1"/>
    <xf numFmtId="2" fontId="10" fillId="24" borderId="16" xfId="0" applyNumberFormat="1" applyFont="1" applyFill="1" applyBorder="1"/>
    <xf numFmtId="2" fontId="10" fillId="24" borderId="15" xfId="0" applyNumberFormat="1" applyFont="1" applyFill="1" applyBorder="1" applyAlignment="1">
      <alignment horizontal="center"/>
    </xf>
    <xf numFmtId="2" fontId="76" fillId="0" borderId="10" xfId="0" applyNumberFormat="1" applyFont="1" applyBorder="1" applyAlignment="1">
      <alignment horizontal="center"/>
    </xf>
    <xf numFmtId="0" fontId="12" fillId="24" borderId="10" xfId="0" applyFont="1" applyFill="1" applyBorder="1" applyAlignment="1">
      <alignment horizontal="center"/>
    </xf>
    <xf numFmtId="0" fontId="38" fillId="0" borderId="0" xfId="0" applyFont="1"/>
    <xf numFmtId="0" fontId="38" fillId="0" borderId="0" xfId="0" applyFont="1" applyBorder="1"/>
    <xf numFmtId="0" fontId="0" fillId="0" borderId="0" xfId="0" applyBorder="1"/>
    <xf numFmtId="0" fontId="9" fillId="24" borderId="0" xfId="0" applyFont="1" applyFill="1" applyAlignment="1">
      <alignment horizontal="center"/>
    </xf>
    <xf numFmtId="2" fontId="10" fillId="0" borderId="15" xfId="0" applyNumberFormat="1" applyFont="1" applyBorder="1" applyAlignment="1">
      <alignment horizontal="center"/>
    </xf>
    <xf numFmtId="169" fontId="10" fillId="24" borderId="10" xfId="0" applyNumberFormat="1" applyFont="1" applyFill="1" applyBorder="1" applyAlignment="1">
      <alignment horizontal="center"/>
    </xf>
    <xf numFmtId="179" fontId="13" fillId="0" borderId="10" xfId="203" applyNumberFormat="1" applyFont="1" applyFill="1" applyBorder="1" applyAlignment="1">
      <alignment horizontal="center"/>
    </xf>
    <xf numFmtId="2" fontId="12" fillId="0" borderId="0" xfId="0" applyNumberFormat="1" applyFont="1" applyFill="1"/>
    <xf numFmtId="0" fontId="12" fillId="0" borderId="0" xfId="0" applyFont="1"/>
    <xf numFmtId="0" fontId="12" fillId="0" borderId="10" xfId="0" applyFont="1" applyBorder="1" applyAlignment="1">
      <alignment horizontal="center"/>
    </xf>
    <xf numFmtId="0" fontId="12" fillId="0" borderId="10" xfId="0" applyFont="1" applyFill="1" applyBorder="1" applyAlignment="1">
      <alignment horizontal="center"/>
    </xf>
    <xf numFmtId="0" fontId="12" fillId="26" borderId="10" xfId="0" applyFont="1" applyFill="1" applyBorder="1" applyAlignment="1">
      <alignment horizontal="center"/>
    </xf>
    <xf numFmtId="0" fontId="14" fillId="0" borderId="10" xfId="0" applyFont="1" applyFill="1" applyBorder="1" applyAlignment="1">
      <alignment horizontal="center"/>
    </xf>
    <xf numFmtId="2" fontId="12" fillId="24" borderId="10" xfId="0" applyNumberFormat="1" applyFont="1" applyFill="1" applyBorder="1" applyAlignment="1">
      <alignment horizontal="center"/>
    </xf>
    <xf numFmtId="2" fontId="12" fillId="0" borderId="10" xfId="0" applyNumberFormat="1" applyFont="1" applyBorder="1" applyAlignment="1">
      <alignment horizontal="center"/>
    </xf>
    <xf numFmtId="2" fontId="12" fillId="0" borderId="10" xfId="0" applyNumberFormat="1" applyFont="1" applyBorder="1" applyAlignment="1">
      <alignment horizontal="right"/>
    </xf>
    <xf numFmtId="2" fontId="12" fillId="0" borderId="10" xfId="0" applyNumberFormat="1" applyFont="1" applyFill="1" applyBorder="1" applyAlignment="1">
      <alignment horizontal="right"/>
    </xf>
    <xf numFmtId="2" fontId="14" fillId="25" borderId="10" xfId="0" applyNumberFormat="1" applyFont="1" applyFill="1" applyBorder="1" applyAlignment="1">
      <alignment horizontal="center"/>
    </xf>
    <xf numFmtId="2" fontId="12" fillId="0" borderId="10" xfId="0" applyNumberFormat="1" applyFont="1" applyBorder="1"/>
    <xf numFmtId="2" fontId="14" fillId="0" borderId="10" xfId="0" applyNumberFormat="1" applyFont="1" applyBorder="1" applyAlignment="1">
      <alignment horizontal="center"/>
    </xf>
    <xf numFmtId="4" fontId="12" fillId="0" borderId="10" xfId="0" applyNumberFormat="1" applyFont="1" applyBorder="1" applyAlignment="1">
      <alignment horizontal="center"/>
    </xf>
    <xf numFmtId="4" fontId="12" fillId="0" borderId="10" xfId="0" applyNumberFormat="1" applyFont="1" applyFill="1" applyBorder="1" applyAlignment="1">
      <alignment horizontal="center"/>
    </xf>
    <xf numFmtId="0" fontId="12" fillId="29" borderId="10" xfId="0" applyFont="1" applyFill="1" applyBorder="1" applyAlignment="1">
      <alignment horizontal="center"/>
    </xf>
    <xf numFmtId="4" fontId="12" fillId="0" borderId="0" xfId="0" applyNumberFormat="1" applyFont="1" applyFill="1" applyAlignment="1">
      <alignment horizontal="center"/>
    </xf>
    <xf numFmtId="0" fontId="12" fillId="0" borderId="0" xfId="0" applyFont="1" applyFill="1" applyAlignment="1">
      <alignment horizontal="right"/>
    </xf>
    <xf numFmtId="4" fontId="12" fillId="0" borderId="0" xfId="0" applyNumberFormat="1" applyFont="1" applyFill="1" applyBorder="1" applyAlignment="1">
      <alignment horizontal="center"/>
    </xf>
    <xf numFmtId="0" fontId="12" fillId="0" borderId="0" xfId="0" applyFont="1" applyFill="1" applyBorder="1" applyAlignment="1">
      <alignment horizontal="center"/>
    </xf>
    <xf numFmtId="0" fontId="12" fillId="0" borderId="0" xfId="0" applyFont="1" applyFill="1" applyBorder="1" applyAlignment="1">
      <alignment horizontal="center" wrapText="1"/>
    </xf>
    <xf numFmtId="4" fontId="12" fillId="0" borderId="0" xfId="0" applyNumberFormat="1" applyFont="1" applyFill="1" applyBorder="1" applyAlignment="1">
      <alignment horizontal="center" vertical="center"/>
    </xf>
    <xf numFmtId="0" fontId="27" fillId="0" borderId="10" xfId="0" applyFont="1" applyFill="1" applyBorder="1" applyAlignment="1"/>
    <xf numFmtId="2" fontId="0" fillId="0" borderId="10" xfId="0" applyNumberFormat="1" applyBorder="1" applyAlignment="1">
      <alignment horizontal="center"/>
    </xf>
    <xf numFmtId="0" fontId="0" fillId="0" borderId="10" xfId="0" applyBorder="1" applyAlignment="1"/>
    <xf numFmtId="0" fontId="27" fillId="0" borderId="20" xfId="0" applyFont="1" applyFill="1" applyBorder="1" applyAlignment="1"/>
    <xf numFmtId="2" fontId="0" fillId="0" borderId="10" xfId="0" applyNumberFormat="1" applyBorder="1" applyAlignment="1"/>
    <xf numFmtId="2" fontId="27" fillId="0" borderId="10" xfId="0" applyNumberFormat="1" applyFont="1" applyFill="1" applyBorder="1" applyAlignment="1"/>
    <xf numFmtId="2" fontId="0" fillId="0" borderId="10" xfId="0" applyNumberFormat="1" applyFill="1" applyBorder="1" applyAlignment="1"/>
    <xf numFmtId="173" fontId="10" fillId="0" borderId="10" xfId="0" applyNumberFormat="1" applyFont="1" applyBorder="1" applyAlignment="1">
      <alignment horizontal="center"/>
    </xf>
    <xf numFmtId="0" fontId="55" fillId="0" borderId="0" xfId="0" applyFont="1"/>
    <xf numFmtId="173" fontId="55" fillId="0" borderId="0" xfId="0" applyNumberFormat="1" applyFont="1"/>
    <xf numFmtId="173" fontId="55" fillId="0" borderId="0" xfId="0" applyNumberFormat="1" applyFont="1" applyFill="1"/>
    <xf numFmtId="173" fontId="55" fillId="24" borderId="0" xfId="0" applyNumberFormat="1" applyFont="1" applyFill="1"/>
    <xf numFmtId="2" fontId="0" fillId="0" borderId="10" xfId="0" applyNumberFormat="1" applyFill="1" applyBorder="1"/>
    <xf numFmtId="2" fontId="0" fillId="0" borderId="10" xfId="0" applyNumberFormat="1" applyFill="1" applyBorder="1" applyAlignment="1">
      <alignment horizontal="center"/>
    </xf>
    <xf numFmtId="173" fontId="10" fillId="24" borderId="10" xfId="0" applyNumberFormat="1" applyFont="1" applyFill="1" applyBorder="1"/>
    <xf numFmtId="167" fontId="35" fillId="0" borderId="0" xfId="0" applyNumberFormat="1" applyFont="1"/>
    <xf numFmtId="179" fontId="13" fillId="24" borderId="10" xfId="203" applyNumberFormat="1" applyFont="1" applyFill="1" applyBorder="1" applyAlignment="1">
      <alignment horizontal="center"/>
    </xf>
    <xf numFmtId="3" fontId="10" fillId="0" borderId="0" xfId="0" applyNumberFormat="1" applyFont="1" applyBorder="1"/>
    <xf numFmtId="2" fontId="0" fillId="0" borderId="0" xfId="0" applyNumberFormat="1"/>
    <xf numFmtId="180" fontId="35" fillId="0" borderId="0" xfId="0" applyNumberFormat="1" applyFont="1"/>
    <xf numFmtId="3" fontId="76" fillId="24" borderId="10" xfId="0" applyNumberFormat="1" applyFont="1" applyFill="1" applyBorder="1" applyAlignment="1">
      <alignment horizontal="center" vertical="center"/>
    </xf>
    <xf numFmtId="4" fontId="76" fillId="24" borderId="10" xfId="0" applyNumberFormat="1" applyFont="1" applyFill="1" applyBorder="1" applyAlignment="1">
      <alignment horizontal="center" vertical="center"/>
    </xf>
    <xf numFmtId="169" fontId="0" fillId="0" borderId="0" xfId="0" applyNumberFormat="1"/>
    <xf numFmtId="4" fontId="9" fillId="24" borderId="0" xfId="0" applyNumberFormat="1" applyFont="1" applyFill="1" applyBorder="1" applyAlignment="1">
      <alignment horizontal="center"/>
    </xf>
    <xf numFmtId="173" fontId="9" fillId="24" borderId="14" xfId="0" applyNumberFormat="1" applyFont="1" applyFill="1" applyBorder="1" applyAlignment="1">
      <alignment horizontal="center"/>
    </xf>
    <xf numFmtId="0" fontId="14" fillId="25" borderId="12" xfId="0" applyFont="1" applyFill="1" applyBorder="1" applyAlignment="1"/>
    <xf numFmtId="0" fontId="14" fillId="25" borderId="14" xfId="0" applyFont="1" applyFill="1" applyBorder="1" applyAlignment="1"/>
    <xf numFmtId="0" fontId="14" fillId="25" borderId="15" xfId="0" applyFont="1" applyFill="1" applyBorder="1" applyAlignment="1"/>
    <xf numFmtId="4" fontId="10" fillId="25" borderId="0" xfId="0" applyNumberFormat="1" applyFont="1" applyFill="1" applyAlignment="1">
      <alignment horizontal="center"/>
    </xf>
    <xf numFmtId="0" fontId="9" fillId="25" borderId="12" xfId="0" applyFont="1" applyFill="1" applyBorder="1" applyAlignment="1"/>
    <xf numFmtId="0" fontId="9" fillId="25" borderId="14" xfId="0" applyFont="1" applyFill="1" applyBorder="1" applyAlignment="1"/>
    <xf numFmtId="0" fontId="9" fillId="25" borderId="15" xfId="0" applyFont="1" applyFill="1" applyBorder="1" applyAlignment="1"/>
    <xf numFmtId="0" fontId="12" fillId="0" borderId="16" xfId="0" applyFont="1" applyFill="1" applyBorder="1" applyAlignment="1">
      <alignment horizontal="center"/>
    </xf>
    <xf numFmtId="0" fontId="16" fillId="25" borderId="27" xfId="0" applyFont="1" applyFill="1" applyBorder="1"/>
    <xf numFmtId="0" fontId="16" fillId="25" borderId="22" xfId="0" applyFont="1" applyFill="1" applyBorder="1"/>
    <xf numFmtId="0" fontId="16" fillId="25" borderId="21" xfId="0" applyFont="1" applyFill="1" applyBorder="1"/>
    <xf numFmtId="179" fontId="10" fillId="0" borderId="0" xfId="0" applyNumberFormat="1" applyFont="1" applyAlignment="1">
      <alignment horizontal="center"/>
    </xf>
    <xf numFmtId="179" fontId="9" fillId="25" borderId="13" xfId="0" applyNumberFormat="1" applyFont="1" applyFill="1" applyBorder="1" applyAlignment="1">
      <alignment horizontal="center" vertical="center"/>
    </xf>
    <xf numFmtId="173" fontId="10" fillId="29" borderId="10" xfId="0" applyNumberFormat="1" applyFont="1" applyFill="1" applyBorder="1" applyAlignment="1">
      <alignment horizontal="center"/>
    </xf>
    <xf numFmtId="173" fontId="35" fillId="0" borderId="0" xfId="0" applyNumberFormat="1" applyFont="1"/>
    <xf numFmtId="0" fontId="0" fillId="0" borderId="10" xfId="0" applyBorder="1" applyAlignment="1">
      <alignment horizontal="center"/>
    </xf>
    <xf numFmtId="0" fontId="0" fillId="0" borderId="10" xfId="0" applyFill="1" applyBorder="1" applyAlignment="1">
      <alignment horizontal="center"/>
    </xf>
    <xf numFmtId="2" fontId="27" fillId="0" borderId="10" xfId="0" applyNumberFormat="1" applyFont="1" applyBorder="1" applyAlignment="1">
      <alignment horizontal="center"/>
    </xf>
    <xf numFmtId="2" fontId="27" fillId="0" borderId="20" xfId="0" applyNumberFormat="1" applyFont="1" applyFill="1" applyBorder="1" applyAlignment="1">
      <alignment horizontal="center"/>
    </xf>
    <xf numFmtId="173" fontId="55" fillId="0" borderId="28" xfId="0" applyNumberFormat="1" applyFont="1" applyFill="1" applyBorder="1" applyAlignment="1">
      <alignment horizontal="center"/>
    </xf>
    <xf numFmtId="173" fontId="55" fillId="0" borderId="10" xfId="0" applyNumberFormat="1" applyFont="1" applyFill="1" applyBorder="1" applyAlignment="1">
      <alignment horizontal="center"/>
    </xf>
    <xf numFmtId="2" fontId="10" fillId="0" borderId="16" xfId="0" applyNumberFormat="1" applyFont="1" applyFill="1" applyBorder="1"/>
    <xf numFmtId="2" fontId="55" fillId="0" borderId="10" xfId="0" applyNumberFormat="1" applyFont="1" applyFill="1" applyBorder="1" applyAlignment="1">
      <alignment horizontal="center"/>
    </xf>
    <xf numFmtId="179" fontId="79" fillId="24" borderId="13" xfId="0" applyNumberFormat="1" applyFont="1" applyFill="1" applyBorder="1" applyAlignment="1">
      <alignment horizontal="center" vertical="center"/>
    </xf>
    <xf numFmtId="179" fontId="78" fillId="0" borderId="13" xfId="0" applyNumberFormat="1" applyFont="1" applyFill="1" applyBorder="1" applyAlignment="1">
      <alignment horizontal="center" vertical="center"/>
    </xf>
    <xf numFmtId="173" fontId="55" fillId="0" borderId="0" xfId="0" applyNumberFormat="1" applyFont="1" applyAlignment="1">
      <alignment vertical="center"/>
    </xf>
    <xf numFmtId="173" fontId="55" fillId="0" borderId="10" xfId="0" applyNumberFormat="1" applyFont="1" applyBorder="1" applyAlignment="1">
      <alignment horizontal="center"/>
    </xf>
    <xf numFmtId="0" fontId="55" fillId="0" borderId="0" xfId="0" applyFont="1" applyFill="1"/>
    <xf numFmtId="2" fontId="55" fillId="0" borderId="0" xfId="0" applyNumberFormat="1" applyFont="1" applyFill="1"/>
    <xf numFmtId="0" fontId="55" fillId="0" borderId="10" xfId="0" applyFont="1" applyBorder="1" applyAlignment="1">
      <alignment horizontal="center"/>
    </xf>
    <xf numFmtId="0" fontId="58" fillId="0" borderId="10" xfId="0" applyFont="1" applyFill="1" applyBorder="1" applyAlignment="1">
      <alignment horizontal="center"/>
    </xf>
    <xf numFmtId="2" fontId="55" fillId="0" borderId="10" xfId="0" applyNumberFormat="1" applyFont="1" applyBorder="1" applyAlignment="1">
      <alignment horizontal="center"/>
    </xf>
    <xf numFmtId="2" fontId="55" fillId="0" borderId="10" xfId="0" applyNumberFormat="1" applyFont="1" applyFill="1" applyBorder="1" applyAlignment="1">
      <alignment horizontal="right"/>
    </xf>
    <xf numFmtId="2" fontId="58" fillId="25" borderId="10" xfId="0" applyNumberFormat="1" applyFont="1" applyFill="1" applyBorder="1" applyAlignment="1">
      <alignment horizontal="center"/>
    </xf>
    <xf numFmtId="2" fontId="55" fillId="0" borderId="10" xfId="0" applyNumberFormat="1" applyFont="1" applyBorder="1"/>
    <xf numFmtId="2" fontId="55" fillId="26" borderId="10" xfId="0" applyNumberFormat="1" applyFont="1" applyFill="1" applyBorder="1" applyAlignment="1">
      <alignment horizontal="center"/>
    </xf>
    <xf numFmtId="2" fontId="10" fillId="0" borderId="10" xfId="177" applyNumberFormat="1" applyFont="1" applyFill="1" applyBorder="1" applyAlignment="1">
      <alignment horizontal="center"/>
    </xf>
    <xf numFmtId="0" fontId="38" fillId="0" borderId="10" xfId="0" applyFont="1" applyBorder="1"/>
    <xf numFmtId="173" fontId="55" fillId="0" borderId="29" xfId="0" applyNumberFormat="1" applyFont="1" applyFill="1" applyBorder="1" applyAlignment="1">
      <alignment horizontal="center"/>
    </xf>
    <xf numFmtId="3" fontId="10" fillId="24" borderId="20" xfId="0" applyNumberFormat="1" applyFont="1" applyFill="1" applyBorder="1" applyAlignment="1">
      <alignment horizontal="center" vertical="center"/>
    </xf>
    <xf numFmtId="165" fontId="10" fillId="0" borderId="20" xfId="0" applyNumberFormat="1" applyFont="1" applyFill="1" applyBorder="1" applyAlignment="1">
      <alignment horizontal="center"/>
    </xf>
    <xf numFmtId="4" fontId="9" fillId="26" borderId="54" xfId="0" applyNumberFormat="1" applyFont="1" applyFill="1" applyBorder="1" applyAlignment="1">
      <alignment horizontal="center" vertical="center"/>
    </xf>
    <xf numFmtId="9" fontId="10" fillId="24" borderId="54" xfId="203" applyFont="1" applyFill="1" applyBorder="1" applyAlignment="1">
      <alignment horizontal="center"/>
    </xf>
    <xf numFmtId="0" fontId="55" fillId="24" borderId="10" xfId="0" applyFont="1" applyFill="1" applyBorder="1" applyAlignment="1">
      <alignment horizontal="center"/>
    </xf>
    <xf numFmtId="4" fontId="12" fillId="0" borderId="16" xfId="0" applyNumberFormat="1" applyFont="1" applyFill="1" applyBorder="1" applyAlignment="1">
      <alignment horizontal="center"/>
    </xf>
    <xf numFmtId="173" fontId="61" fillId="0" borderId="10" xfId="0" applyNumberFormat="1" applyFont="1" applyFill="1" applyBorder="1" applyAlignment="1">
      <alignment horizontal="center"/>
    </xf>
    <xf numFmtId="173" fontId="55" fillId="0" borderId="16" xfId="0" applyNumberFormat="1" applyFont="1" applyBorder="1" applyAlignment="1">
      <alignment horizontal="center"/>
    </xf>
    <xf numFmtId="2" fontId="55" fillId="26" borderId="10" xfId="0" applyNumberFormat="1" applyFont="1" applyFill="1" applyBorder="1" applyAlignment="1">
      <alignment horizontal="right"/>
    </xf>
    <xf numFmtId="0" fontId="39" fillId="0" borderId="10" xfId="0" applyFont="1" applyBorder="1"/>
    <xf numFmtId="43" fontId="58" fillId="0" borderId="10" xfId="157" applyFont="1" applyBorder="1"/>
    <xf numFmtId="43" fontId="14" fillId="0" borderId="10" xfId="157" applyFont="1" applyFill="1" applyBorder="1" applyAlignment="1">
      <alignment horizontal="left"/>
    </xf>
    <xf numFmtId="4" fontId="41" fillId="0" borderId="33" xfId="184" applyNumberFormat="1" applyFont="1" applyFill="1" applyBorder="1" applyAlignment="1">
      <alignment horizontal="center" vertical="center"/>
    </xf>
    <xf numFmtId="4" fontId="41" fillId="0" borderId="16" xfId="184" applyNumberFormat="1" applyFont="1" applyFill="1" applyBorder="1" applyAlignment="1">
      <alignment horizontal="center" vertical="center"/>
    </xf>
    <xf numFmtId="4" fontId="41" fillId="0" borderId="10" xfId="184" applyNumberFormat="1" applyFont="1" applyFill="1" applyBorder="1" applyAlignment="1">
      <alignment horizontal="center" vertical="center"/>
    </xf>
    <xf numFmtId="0" fontId="62" fillId="0" borderId="0" xfId="0" applyFont="1"/>
    <xf numFmtId="0" fontId="62" fillId="0" borderId="0" xfId="0" applyFont="1" applyAlignment="1">
      <alignment horizontal="center"/>
    </xf>
    <xf numFmtId="0" fontId="62" fillId="24" borderId="0" xfId="0" applyFont="1" applyFill="1"/>
    <xf numFmtId="165" fontId="0" fillId="26" borderId="0" xfId="0" applyNumberFormat="1" applyFill="1"/>
    <xf numFmtId="0" fontId="10" fillId="26" borderId="0" xfId="0" applyFont="1" applyFill="1" applyBorder="1" applyAlignment="1">
      <alignment horizontal="center"/>
    </xf>
    <xf numFmtId="0" fontId="10" fillId="0" borderId="12" xfId="0" applyFont="1" applyFill="1" applyBorder="1" applyAlignment="1">
      <alignment horizontal="center"/>
    </xf>
    <xf numFmtId="0" fontId="0" fillId="0" borderId="15" xfId="0" applyFill="1" applyBorder="1"/>
    <xf numFmtId="3" fontId="0" fillId="0" borderId="0" xfId="0" applyNumberFormat="1"/>
    <xf numFmtId="0" fontId="39" fillId="25" borderId="22" xfId="0" applyFont="1" applyFill="1" applyBorder="1" applyAlignment="1">
      <alignment horizontal="center"/>
    </xf>
    <xf numFmtId="0" fontId="39" fillId="0" borderId="0" xfId="0" applyFont="1" applyBorder="1" applyAlignment="1">
      <alignment horizontal="center"/>
    </xf>
    <xf numFmtId="0" fontId="38" fillId="0" borderId="0" xfId="0" applyFont="1" applyBorder="1" applyAlignment="1">
      <alignment horizontal="center"/>
    </xf>
    <xf numFmtId="0" fontId="53" fillId="0" borderId="20" xfId="0" applyFont="1" applyBorder="1" applyAlignment="1">
      <alignment horizontal="center"/>
    </xf>
    <xf numFmtId="0" fontId="39" fillId="0" borderId="52" xfId="0" applyFont="1" applyBorder="1" applyAlignment="1">
      <alignment horizontal="center"/>
    </xf>
    <xf numFmtId="0" fontId="39" fillId="0" borderId="54" xfId="0" applyFont="1" applyBorder="1" applyAlignment="1">
      <alignment horizontal="center"/>
    </xf>
    <xf numFmtId="0" fontId="39" fillId="0" borderId="55" xfId="0" applyFont="1" applyBorder="1" applyAlignment="1">
      <alignment horizontal="center"/>
    </xf>
    <xf numFmtId="0" fontId="39" fillId="0" borderId="31" xfId="0" applyFont="1" applyBorder="1" applyAlignment="1">
      <alignment horizontal="center"/>
    </xf>
    <xf numFmtId="0" fontId="39" fillId="0" borderId="13" xfId="0" applyFont="1" applyBorder="1" applyAlignment="1">
      <alignment horizontal="center"/>
    </xf>
    <xf numFmtId="0" fontId="39" fillId="0" borderId="13" xfId="0" applyFont="1" applyFill="1" applyBorder="1" applyAlignment="1">
      <alignment horizontal="center"/>
    </xf>
    <xf numFmtId="0" fontId="39" fillId="0" borderId="17" xfId="0" applyFont="1" applyBorder="1" applyAlignment="1">
      <alignment horizontal="center"/>
    </xf>
    <xf numFmtId="0" fontId="38" fillId="0" borderId="62" xfId="0" applyFont="1" applyBorder="1" applyAlignment="1">
      <alignment horizontal="center"/>
    </xf>
    <xf numFmtId="0" fontId="38" fillId="0" borderId="63" xfId="0" applyFont="1" applyBorder="1"/>
    <xf numFmtId="0" fontId="38" fillId="0" borderId="37" xfId="0" applyFont="1" applyBorder="1" applyAlignment="1">
      <alignment horizontal="center"/>
    </xf>
    <xf numFmtId="2" fontId="38" fillId="0" borderId="33" xfId="0" applyNumberFormat="1" applyFont="1" applyBorder="1" applyAlignment="1">
      <alignment horizontal="center"/>
    </xf>
    <xf numFmtId="0" fontId="38" fillId="0" borderId="34" xfId="0" applyFont="1" applyBorder="1"/>
    <xf numFmtId="0" fontId="39" fillId="0" borderId="12" xfId="0" applyFont="1" applyBorder="1" applyAlignment="1">
      <alignment horizontal="center"/>
    </xf>
    <xf numFmtId="0" fontId="38" fillId="0" borderId="64" xfId="0" applyFont="1" applyBorder="1"/>
    <xf numFmtId="0" fontId="38" fillId="0" borderId="44" xfId="0" applyFont="1" applyBorder="1" applyAlignment="1">
      <alignment horizontal="center"/>
    </xf>
    <xf numFmtId="2" fontId="38" fillId="0" borderId="46" xfId="0" applyNumberFormat="1" applyFont="1" applyBorder="1" applyAlignment="1">
      <alignment horizontal="center"/>
    </xf>
    <xf numFmtId="0" fontId="38" fillId="0" borderId="46" xfId="0" applyFont="1" applyBorder="1" applyAlignment="1">
      <alignment horizontal="center"/>
    </xf>
    <xf numFmtId="0" fontId="38" fillId="0" borderId="47" xfId="0" applyFont="1" applyBorder="1"/>
    <xf numFmtId="0" fontId="38" fillId="0" borderId="27" xfId="0" applyFont="1" applyBorder="1" applyAlignment="1">
      <alignment horizontal="center"/>
    </xf>
    <xf numFmtId="2" fontId="38" fillId="0" borderId="41" xfId="0" applyNumberFormat="1" applyFont="1" applyBorder="1" applyAlignment="1">
      <alignment horizontal="center"/>
    </xf>
    <xf numFmtId="2" fontId="38" fillId="0" borderId="22" xfId="0" applyNumberFormat="1" applyFont="1" applyBorder="1" applyAlignment="1">
      <alignment horizontal="center"/>
    </xf>
    <xf numFmtId="0" fontId="39" fillId="24" borderId="0" xfId="0" applyFont="1" applyFill="1" applyBorder="1" applyAlignment="1">
      <alignment horizontal="center"/>
    </xf>
    <xf numFmtId="0" fontId="53" fillId="0" borderId="16" xfId="0" applyFont="1" applyBorder="1" applyAlignment="1">
      <alignment horizontal="center"/>
    </xf>
    <xf numFmtId="0" fontId="39" fillId="0" borderId="10" xfId="0" applyFont="1" applyBorder="1" applyAlignment="1">
      <alignment horizontal="center"/>
    </xf>
    <xf numFmtId="0" fontId="38" fillId="0" borderId="63" xfId="0" applyFont="1" applyBorder="1" applyAlignment="1">
      <alignment horizontal="center"/>
    </xf>
    <xf numFmtId="0" fontId="38" fillId="0" borderId="65" xfId="0" applyFont="1" applyBorder="1"/>
    <xf numFmtId="0" fontId="38" fillId="0" borderId="33" xfId="0" applyFont="1" applyBorder="1" applyAlignment="1">
      <alignment horizontal="center"/>
    </xf>
    <xf numFmtId="0" fontId="38" fillId="0" borderId="66" xfId="0" applyFont="1" applyBorder="1"/>
    <xf numFmtId="0" fontId="39" fillId="0" borderId="0" xfId="0" applyFont="1"/>
    <xf numFmtId="0" fontId="38" fillId="0" borderId="0" xfId="0" applyFont="1" applyAlignment="1">
      <alignment horizontal="center"/>
    </xf>
    <xf numFmtId="0" fontId="39" fillId="0" borderId="27" xfId="0" applyFont="1" applyBorder="1" applyAlignment="1">
      <alignment horizontal="center"/>
    </xf>
    <xf numFmtId="0" fontId="39" fillId="0" borderId="41" xfId="0" applyFont="1" applyBorder="1" applyAlignment="1">
      <alignment horizontal="center"/>
    </xf>
    <xf numFmtId="14" fontId="38" fillId="0" borderId="0" xfId="0" applyNumberFormat="1" applyFont="1"/>
    <xf numFmtId="0" fontId="39" fillId="24" borderId="70" xfId="0" applyFont="1" applyFill="1" applyBorder="1" applyAlignment="1">
      <alignment horizontal="center"/>
    </xf>
    <xf numFmtId="0" fontId="39" fillId="24" borderId="60" xfId="0" applyFont="1" applyFill="1" applyBorder="1" applyAlignment="1">
      <alignment horizontal="center"/>
    </xf>
    <xf numFmtId="0" fontId="39" fillId="24" borderId="71" xfId="0" applyFont="1" applyFill="1" applyBorder="1" applyAlignment="1">
      <alignment horizontal="center"/>
    </xf>
    <xf numFmtId="0" fontId="39" fillId="24" borderId="45" xfId="0" applyFont="1" applyFill="1" applyBorder="1" applyAlignment="1">
      <alignment horizontal="center"/>
    </xf>
    <xf numFmtId="0" fontId="38" fillId="0" borderId="37" xfId="0" applyFont="1" applyBorder="1"/>
    <xf numFmtId="0" fontId="38" fillId="0" borderId="33" xfId="0" applyFont="1" applyBorder="1"/>
    <xf numFmtId="0" fontId="38" fillId="0" borderId="34" xfId="0" applyFont="1" applyBorder="1" applyAlignment="1">
      <alignment horizontal="center"/>
    </xf>
    <xf numFmtId="0" fontId="38" fillId="0" borderId="36" xfId="0" applyFont="1" applyBorder="1"/>
    <xf numFmtId="2" fontId="38" fillId="0" borderId="10" xfId="0" applyNumberFormat="1" applyFont="1" applyBorder="1" applyAlignment="1">
      <alignment horizontal="center"/>
    </xf>
    <xf numFmtId="0" fontId="38" fillId="0" borderId="36" xfId="0" applyFont="1" applyFill="1" applyBorder="1" applyAlignment="1"/>
    <xf numFmtId="0" fontId="38" fillId="0" borderId="10" xfId="0" applyFont="1" applyFill="1" applyBorder="1" applyAlignment="1"/>
    <xf numFmtId="0" fontId="38" fillId="0" borderId="44" xfId="0" applyFont="1" applyFill="1" applyBorder="1" applyAlignment="1"/>
    <xf numFmtId="0" fontId="38" fillId="0" borderId="46" xfId="0" applyFont="1" applyFill="1" applyBorder="1" applyAlignment="1"/>
    <xf numFmtId="0" fontId="38" fillId="0" borderId="39" xfId="0" applyFont="1" applyBorder="1"/>
    <xf numFmtId="0" fontId="38" fillId="0" borderId="72" xfId="0" applyFont="1" applyBorder="1"/>
    <xf numFmtId="0" fontId="39" fillId="0" borderId="59" xfId="0" applyFont="1" applyBorder="1" applyAlignment="1">
      <alignment horizontal="center"/>
    </xf>
    <xf numFmtId="0" fontId="38" fillId="0" borderId="73" xfId="0" applyFont="1" applyBorder="1" applyAlignment="1">
      <alignment horizontal="center"/>
    </xf>
    <xf numFmtId="0" fontId="38" fillId="0" borderId="74" xfId="0" applyFont="1" applyBorder="1"/>
    <xf numFmtId="0" fontId="81" fillId="24" borderId="39" xfId="0" applyFont="1" applyFill="1" applyBorder="1" applyAlignment="1">
      <alignment horizontal="center"/>
    </xf>
    <xf numFmtId="0" fontId="81" fillId="24" borderId="74" xfId="0" applyFont="1" applyFill="1" applyBorder="1" applyAlignment="1">
      <alignment horizontal="center"/>
    </xf>
    <xf numFmtId="0" fontId="82" fillId="0" borderId="75" xfId="0" applyFont="1" applyBorder="1" applyAlignment="1">
      <alignment horizontal="center"/>
    </xf>
    <xf numFmtId="0" fontId="82" fillId="0" borderId="76" xfId="0" applyFont="1" applyBorder="1"/>
    <xf numFmtId="0" fontId="82" fillId="0" borderId="0" xfId="0" applyFont="1" applyBorder="1"/>
    <xf numFmtId="0" fontId="82" fillId="0" borderId="0" xfId="0" applyFont="1" applyBorder="1" applyAlignment="1">
      <alignment horizontal="center"/>
    </xf>
    <xf numFmtId="0" fontId="39" fillId="24" borderId="77" xfId="179" applyFont="1" applyFill="1" applyBorder="1" applyAlignment="1">
      <alignment horizontal="center" wrapText="1"/>
    </xf>
    <xf numFmtId="0" fontId="39" fillId="24" borderId="78" xfId="179" applyFont="1" applyFill="1" applyBorder="1" applyAlignment="1">
      <alignment horizontal="center" wrapText="1"/>
    </xf>
    <xf numFmtId="0" fontId="39" fillId="24" borderId="41" xfId="179" applyFont="1" applyFill="1" applyBorder="1" applyAlignment="1">
      <alignment horizontal="center" wrapText="1"/>
    </xf>
    <xf numFmtId="0" fontId="39" fillId="24" borderId="71" xfId="179" applyFont="1" applyFill="1" applyBorder="1" applyAlignment="1">
      <alignment horizontal="center" wrapText="1"/>
    </xf>
    <xf numFmtId="0" fontId="38" fillId="24" borderId="33" xfId="179" applyFont="1" applyFill="1" applyBorder="1" applyAlignment="1">
      <alignment horizontal="center" wrapText="1"/>
    </xf>
    <xf numFmtId="0" fontId="38" fillId="24" borderId="79" xfId="179" applyFont="1" applyFill="1" applyBorder="1" applyAlignment="1">
      <alignment horizontal="center" wrapText="1"/>
    </xf>
    <xf numFmtId="0" fontId="38" fillId="24" borderId="63" xfId="179" applyFont="1" applyFill="1" applyBorder="1" applyAlignment="1">
      <alignment horizontal="center" wrapText="1"/>
    </xf>
    <xf numFmtId="0" fontId="65" fillId="24" borderId="10" xfId="179" applyFont="1" applyFill="1" applyBorder="1" applyAlignment="1">
      <alignment horizontal="center" wrapText="1"/>
    </xf>
    <xf numFmtId="0" fontId="59" fillId="24" borderId="12" xfId="179" applyFont="1" applyFill="1" applyBorder="1" applyAlignment="1">
      <alignment horizontal="center" wrapText="1"/>
    </xf>
    <xf numFmtId="0" fontId="59" fillId="24" borderId="80" xfId="179" applyFont="1" applyFill="1" applyBorder="1" applyAlignment="1">
      <alignment horizontal="center" wrapText="1"/>
    </xf>
    <xf numFmtId="0" fontId="38" fillId="24" borderId="80" xfId="179" applyFont="1" applyFill="1" applyBorder="1" applyAlignment="1">
      <alignment horizontal="center" wrapText="1"/>
    </xf>
    <xf numFmtId="0" fontId="38" fillId="24" borderId="10" xfId="179" applyFont="1" applyFill="1" applyBorder="1" applyAlignment="1">
      <alignment horizontal="center" wrapText="1"/>
    </xf>
    <xf numFmtId="0" fontId="38" fillId="24" borderId="12" xfId="179" applyFont="1" applyFill="1" applyBorder="1" applyAlignment="1">
      <alignment horizontal="center" wrapText="1"/>
    </xf>
    <xf numFmtId="0" fontId="38" fillId="24" borderId="46" xfId="179" applyFont="1" applyFill="1" applyBorder="1" applyAlignment="1">
      <alignment horizontal="center" wrapText="1"/>
    </xf>
    <xf numFmtId="0" fontId="38" fillId="24" borderId="49" xfId="179" applyFont="1" applyFill="1" applyBorder="1" applyAlignment="1">
      <alignment horizontal="center" wrapText="1"/>
    </xf>
    <xf numFmtId="0" fontId="38" fillId="24" borderId="64" xfId="179" applyFont="1" applyFill="1" applyBorder="1" applyAlignment="1">
      <alignment horizontal="center" wrapText="1"/>
    </xf>
    <xf numFmtId="0" fontId="38" fillId="24" borderId="81" xfId="179" applyFont="1" applyFill="1" applyBorder="1" applyAlignment="1">
      <alignment horizontal="center" wrapText="1"/>
    </xf>
    <xf numFmtId="0" fontId="83" fillId="30" borderId="27" xfId="187" applyFont="1" applyFill="1" applyBorder="1"/>
    <xf numFmtId="0" fontId="84" fillId="30" borderId="21" xfId="187" applyFont="1" applyFill="1" applyBorder="1"/>
    <xf numFmtId="0" fontId="84" fillId="30" borderId="22" xfId="187" applyFont="1" applyFill="1" applyBorder="1"/>
    <xf numFmtId="0" fontId="38" fillId="24" borderId="82" xfId="179" applyFont="1" applyFill="1" applyBorder="1" applyAlignment="1">
      <alignment horizontal="center" wrapText="1"/>
    </xf>
    <xf numFmtId="0" fontId="38" fillId="24" borderId="83" xfId="179" applyFont="1" applyFill="1" applyBorder="1" applyAlignment="1">
      <alignment horizontal="center" wrapText="1"/>
    </xf>
    <xf numFmtId="0" fontId="38" fillId="24" borderId="58" xfId="179" applyFont="1" applyFill="1" applyBorder="1" applyAlignment="1">
      <alignment horizontal="center" wrapText="1"/>
    </xf>
    <xf numFmtId="0" fontId="39" fillId="24" borderId="45" xfId="179" applyFont="1" applyFill="1" applyBorder="1" applyAlignment="1">
      <alignment horizontal="center" wrapText="1"/>
    </xf>
    <xf numFmtId="0" fontId="39" fillId="24" borderId="60" xfId="179" applyFont="1" applyFill="1" applyBorder="1" applyAlignment="1">
      <alignment horizontal="center" wrapText="1"/>
    </xf>
    <xf numFmtId="0" fontId="38" fillId="24" borderId="0" xfId="179" applyFont="1" applyFill="1" applyBorder="1" applyAlignment="1">
      <alignment horizontal="center" wrapText="1"/>
    </xf>
    <xf numFmtId="0" fontId="84" fillId="26" borderId="21" xfId="187" applyFont="1" applyFill="1" applyBorder="1"/>
    <xf numFmtId="0" fontId="83" fillId="26" borderId="27" xfId="187" applyFont="1" applyFill="1" applyBorder="1"/>
    <xf numFmtId="0" fontId="0" fillId="26" borderId="22" xfId="0" applyFill="1" applyBorder="1"/>
    <xf numFmtId="0" fontId="83" fillId="24" borderId="84" xfId="187" applyFont="1" applyFill="1" applyBorder="1"/>
    <xf numFmtId="0" fontId="84" fillId="24" borderId="84" xfId="187" applyFont="1" applyFill="1" applyBorder="1"/>
    <xf numFmtId="0" fontId="84" fillId="24" borderId="0" xfId="187" applyFont="1" applyFill="1" applyBorder="1"/>
    <xf numFmtId="0" fontId="27" fillId="24" borderId="41" xfId="0" applyFont="1" applyFill="1" applyBorder="1"/>
    <xf numFmtId="0" fontId="84" fillId="0" borderId="41" xfId="187" applyFont="1" applyBorder="1" applyAlignment="1">
      <alignment horizontal="center"/>
    </xf>
    <xf numFmtId="0" fontId="105" fillId="0" borderId="0" xfId="187" applyAlignment="1">
      <alignment horizontal="center"/>
    </xf>
    <xf numFmtId="0" fontId="67" fillId="24" borderId="85" xfId="179" applyFont="1" applyFill="1" applyBorder="1" applyAlignment="1">
      <alignment horizontal="center" wrapText="1"/>
    </xf>
    <xf numFmtId="0" fontId="68" fillId="24" borderId="86" xfId="179" applyFont="1" applyFill="1" applyBorder="1" applyAlignment="1">
      <alignment horizontal="center" wrapText="1"/>
    </xf>
    <xf numFmtId="0" fontId="83" fillId="0" borderId="41" xfId="187" applyFont="1" applyBorder="1" applyAlignment="1">
      <alignment horizontal="center"/>
    </xf>
    <xf numFmtId="0" fontId="84" fillId="0" borderId="87" xfId="187" applyFont="1" applyBorder="1" applyAlignment="1">
      <alignment horizontal="center"/>
    </xf>
    <xf numFmtId="0" fontId="105" fillId="0" borderId="76" xfId="187" applyBorder="1" applyAlignment="1">
      <alignment horizontal="center"/>
    </xf>
    <xf numFmtId="0" fontId="105" fillId="0" borderId="0" xfId="187" applyBorder="1" applyAlignment="1">
      <alignment horizontal="center"/>
    </xf>
    <xf numFmtId="0" fontId="105" fillId="0" borderId="63" xfId="187" applyBorder="1" applyAlignment="1">
      <alignment horizontal="center"/>
    </xf>
    <xf numFmtId="0" fontId="105" fillId="0" borderId="80" xfId="187" applyBorder="1" applyAlignment="1">
      <alignment horizontal="center"/>
    </xf>
    <xf numFmtId="0" fontId="105" fillId="0" borderId="64" xfId="187" applyBorder="1" applyAlignment="1">
      <alignment horizontal="center"/>
    </xf>
    <xf numFmtId="0" fontId="83" fillId="24" borderId="27" xfId="187" applyFont="1" applyFill="1" applyBorder="1"/>
    <xf numFmtId="0" fontId="84" fillId="24" borderId="21" xfId="187" applyFont="1" applyFill="1" applyBorder="1"/>
    <xf numFmtId="0" fontId="67" fillId="24" borderId="0" xfId="179" applyFont="1" applyFill="1" applyBorder="1" applyAlignment="1">
      <alignment horizontal="center" wrapText="1"/>
    </xf>
    <xf numFmtId="0" fontId="68" fillId="24" borderId="0" xfId="179" applyFont="1" applyFill="1" applyBorder="1" applyAlignment="1">
      <alignment horizontal="center" wrapText="1"/>
    </xf>
    <xf numFmtId="0" fontId="83" fillId="0" borderId="0" xfId="187" applyFont="1" applyBorder="1" applyAlignment="1">
      <alignment horizontal="center"/>
    </xf>
    <xf numFmtId="0" fontId="84" fillId="24" borderId="62" xfId="187" applyFont="1" applyFill="1" applyBorder="1" applyAlignment="1">
      <alignment horizontal="center"/>
    </xf>
    <xf numFmtId="169" fontId="10" fillId="29" borderId="10" xfId="0" applyNumberFormat="1" applyFont="1" applyFill="1" applyBorder="1" applyAlignment="1">
      <alignment horizontal="center"/>
    </xf>
    <xf numFmtId="174" fontId="10" fillId="29" borderId="10" xfId="0" applyNumberFormat="1" applyFont="1" applyFill="1" applyBorder="1" applyAlignment="1">
      <alignment horizontal="center"/>
    </xf>
    <xf numFmtId="0" fontId="38" fillId="24" borderId="10" xfId="0" applyFont="1" applyFill="1" applyBorder="1" applyAlignment="1">
      <alignment horizontal="center"/>
    </xf>
    <xf numFmtId="2" fontId="38" fillId="26" borderId="10" xfId="0" applyNumberFormat="1" applyFont="1" applyFill="1" applyBorder="1" applyAlignment="1">
      <alignment horizontal="center"/>
    </xf>
    <xf numFmtId="2" fontId="38" fillId="26" borderId="10" xfId="0" applyNumberFormat="1" applyFont="1" applyFill="1" applyBorder="1" applyAlignment="1">
      <alignment horizontal="right"/>
    </xf>
    <xf numFmtId="2" fontId="38" fillId="0" borderId="10" xfId="0" applyNumberFormat="1" applyFont="1" applyBorder="1" applyAlignment="1">
      <alignment horizontal="right"/>
    </xf>
    <xf numFmtId="2" fontId="38" fillId="0" borderId="10" xfId="0" applyNumberFormat="1" applyFont="1" applyFill="1" applyBorder="1" applyAlignment="1">
      <alignment horizontal="right"/>
    </xf>
    <xf numFmtId="2" fontId="38" fillId="0" borderId="10" xfId="0" applyNumberFormat="1" applyFont="1" applyBorder="1"/>
    <xf numFmtId="0" fontId="39" fillId="29" borderId="41" xfId="0" applyFont="1" applyFill="1" applyBorder="1"/>
    <xf numFmtId="0" fontId="82" fillId="0" borderId="71" xfId="0" applyFont="1" applyBorder="1"/>
    <xf numFmtId="0" fontId="82" fillId="0" borderId="74" xfId="0" applyFont="1" applyBorder="1"/>
    <xf numFmtId="0" fontId="39" fillId="0" borderId="22" xfId="0" applyFont="1" applyBorder="1" applyAlignment="1">
      <alignment horizontal="center"/>
    </xf>
    <xf numFmtId="0" fontId="39" fillId="0" borderId="20" xfId="0" applyFont="1" applyBorder="1" applyAlignment="1">
      <alignment horizontal="center"/>
    </xf>
    <xf numFmtId="173" fontId="38" fillId="0" borderId="28" xfId="0" applyNumberFormat="1" applyFont="1" applyFill="1" applyBorder="1" applyAlignment="1">
      <alignment horizontal="center"/>
    </xf>
    <xf numFmtId="173" fontId="38" fillId="0" borderId="10" xfId="0" applyNumberFormat="1" applyFont="1" applyBorder="1" applyAlignment="1">
      <alignment horizontal="center"/>
    </xf>
    <xf numFmtId="43" fontId="14" fillId="0" borderId="0" xfId="157" applyFont="1" applyFill="1" applyBorder="1" applyAlignment="1">
      <alignment horizontal="left"/>
    </xf>
    <xf numFmtId="43" fontId="58" fillId="0" borderId="0" xfId="157" applyFont="1" applyBorder="1"/>
    <xf numFmtId="0" fontId="0" fillId="0" borderId="63" xfId="0" applyBorder="1" applyAlignment="1">
      <alignment horizontal="center"/>
    </xf>
    <xf numFmtId="0" fontId="0" fillId="0" borderId="76" xfId="0" applyBorder="1" applyAlignment="1">
      <alignment horizontal="center"/>
    </xf>
    <xf numFmtId="0" fontId="0" fillId="0" borderId="76" xfId="0" applyBorder="1"/>
    <xf numFmtId="0" fontId="38" fillId="24" borderId="41" xfId="179" applyFont="1" applyFill="1" applyBorder="1" applyAlignment="1">
      <alignment horizontal="center" wrapText="1"/>
    </xf>
    <xf numFmtId="0" fontId="38" fillId="24" borderId="88" xfId="179" applyFont="1" applyFill="1" applyBorder="1" applyAlignment="1">
      <alignment horizontal="center" wrapText="1"/>
    </xf>
    <xf numFmtId="0" fontId="39" fillId="24" borderId="89" xfId="179" applyFont="1" applyFill="1" applyBorder="1" applyAlignment="1">
      <alignment horizontal="center" wrapText="1"/>
    </xf>
    <xf numFmtId="0" fontId="39" fillId="24" borderId="90" xfId="179" applyFont="1" applyFill="1" applyBorder="1" applyAlignment="1">
      <alignment horizontal="center" wrapText="1"/>
    </xf>
    <xf numFmtId="0" fontId="0" fillId="0" borderId="35" xfId="0" applyBorder="1"/>
    <xf numFmtId="0" fontId="67" fillId="24" borderId="91" xfId="179" applyFont="1" applyFill="1" applyBorder="1" applyAlignment="1">
      <alignment horizontal="center" wrapText="1"/>
    </xf>
    <xf numFmtId="0" fontId="38" fillId="24" borderId="11" xfId="179" applyFont="1" applyFill="1" applyBorder="1" applyAlignment="1">
      <alignment horizontal="center" wrapText="1"/>
    </xf>
    <xf numFmtId="0" fontId="38" fillId="24" borderId="13" xfId="179" applyFont="1" applyFill="1" applyBorder="1" applyAlignment="1">
      <alignment horizontal="center" wrapText="1"/>
    </xf>
    <xf numFmtId="0" fontId="68" fillId="24" borderId="52" xfId="179" applyFont="1" applyFill="1" applyBorder="1" applyAlignment="1">
      <alignment horizontal="center" wrapText="1"/>
    </xf>
    <xf numFmtId="0" fontId="68" fillId="24" borderId="54" xfId="179" applyFont="1" applyFill="1" applyBorder="1" applyAlignment="1">
      <alignment horizontal="center" wrapText="1"/>
    </xf>
    <xf numFmtId="0" fontId="0" fillId="0" borderId="55" xfId="0" applyBorder="1"/>
    <xf numFmtId="0" fontId="39" fillId="24" borderId="22" xfId="179" applyFont="1" applyFill="1" applyBorder="1" applyAlignment="1">
      <alignment horizontal="center" wrapText="1"/>
    </xf>
    <xf numFmtId="0" fontId="0" fillId="0" borderId="83" xfId="0" applyBorder="1"/>
    <xf numFmtId="0" fontId="0" fillId="0" borderId="58" xfId="0" applyBorder="1"/>
    <xf numFmtId="0" fontId="0" fillId="0" borderId="67" xfId="0" applyBorder="1"/>
    <xf numFmtId="0" fontId="59" fillId="24" borderId="36" xfId="179" applyFont="1" applyFill="1" applyBorder="1" applyAlignment="1">
      <alignment horizontal="center" wrapText="1"/>
    </xf>
    <xf numFmtId="0" fontId="59" fillId="24" borderId="44" xfId="179" applyFont="1" applyFill="1" applyBorder="1" applyAlignment="1">
      <alignment horizontal="center" wrapText="1"/>
    </xf>
    <xf numFmtId="0" fontId="0" fillId="0" borderId="69" xfId="0" applyBorder="1"/>
    <xf numFmtId="0" fontId="67" fillId="24" borderId="72" xfId="179" applyFont="1" applyFill="1" applyBorder="1" applyAlignment="1">
      <alignment horizontal="center" wrapText="1"/>
    </xf>
    <xf numFmtId="0" fontId="84" fillId="24" borderId="87" xfId="187" applyFont="1" applyFill="1" applyBorder="1" applyAlignment="1">
      <alignment horizontal="center"/>
    </xf>
    <xf numFmtId="0" fontId="0" fillId="24" borderId="92" xfId="0" applyFill="1" applyBorder="1" applyAlignment="1">
      <alignment horizontal="center"/>
    </xf>
    <xf numFmtId="0" fontId="84" fillId="24" borderId="80" xfId="187" applyFont="1" applyFill="1" applyBorder="1" applyAlignment="1">
      <alignment horizontal="center"/>
    </xf>
    <xf numFmtId="0" fontId="38" fillId="24" borderId="87" xfId="179" applyFont="1" applyFill="1" applyBorder="1" applyAlignment="1">
      <alignment horizontal="center" wrapText="1"/>
    </xf>
    <xf numFmtId="0" fontId="0" fillId="24" borderId="93" xfId="0" applyFill="1" applyBorder="1" applyAlignment="1">
      <alignment horizontal="center"/>
    </xf>
    <xf numFmtId="0" fontId="67" fillId="24" borderId="94" xfId="179" applyFont="1" applyFill="1" applyBorder="1" applyAlignment="1">
      <alignment horizontal="center" wrapText="1"/>
    </xf>
    <xf numFmtId="0" fontId="67" fillId="24" borderId="95" xfId="179" applyFont="1" applyFill="1" applyBorder="1" applyAlignment="1">
      <alignment horizontal="center" wrapText="1"/>
    </xf>
    <xf numFmtId="0" fontId="68" fillId="24" borderId="96" xfId="179" applyFont="1" applyFill="1" applyBorder="1" applyAlignment="1">
      <alignment horizontal="center" wrapText="1"/>
    </xf>
    <xf numFmtId="0" fontId="83" fillId="0" borderId="76" xfId="187" applyFont="1" applyBorder="1" applyAlignment="1">
      <alignment horizontal="center"/>
    </xf>
    <xf numFmtId="0" fontId="84" fillId="24" borderId="63" xfId="187" applyFont="1" applyFill="1" applyBorder="1" applyAlignment="1">
      <alignment horizontal="center"/>
    </xf>
    <xf numFmtId="0" fontId="84" fillId="24" borderId="82" xfId="187" applyFont="1" applyFill="1" applyBorder="1" applyAlignment="1">
      <alignment horizontal="center"/>
    </xf>
    <xf numFmtId="0" fontId="38" fillId="24" borderId="67" xfId="179" applyFont="1" applyFill="1" applyBorder="1" applyAlignment="1">
      <alignment horizontal="center" wrapText="1"/>
    </xf>
    <xf numFmtId="0" fontId="84" fillId="24" borderId="67" xfId="187" applyFont="1" applyFill="1" applyBorder="1" applyAlignment="1">
      <alignment horizontal="center"/>
    </xf>
    <xf numFmtId="0" fontId="0" fillId="24" borderId="75" xfId="0" applyFill="1" applyBorder="1" applyAlignment="1">
      <alignment horizontal="center"/>
    </xf>
    <xf numFmtId="0" fontId="84" fillId="24" borderId="92" xfId="187" applyFont="1" applyFill="1" applyBorder="1" applyAlignment="1">
      <alignment horizontal="center"/>
    </xf>
    <xf numFmtId="0" fontId="84" fillId="24" borderId="93" xfId="187" applyFont="1" applyFill="1" applyBorder="1" applyAlignment="1">
      <alignment horizontal="center"/>
    </xf>
    <xf numFmtId="0" fontId="84" fillId="24" borderId="75" xfId="187" applyFont="1" applyFill="1" applyBorder="1" applyAlignment="1">
      <alignment horizontal="center"/>
    </xf>
    <xf numFmtId="0" fontId="105" fillId="0" borderId="37" xfId="191" applyBorder="1" applyAlignment="1">
      <alignment horizontal="center"/>
    </xf>
    <xf numFmtId="0" fontId="105" fillId="0" borderId="34" xfId="193" applyBorder="1" applyAlignment="1">
      <alignment horizontal="center"/>
    </xf>
    <xf numFmtId="0" fontId="105" fillId="0" borderId="36" xfId="191" applyBorder="1" applyAlignment="1">
      <alignment horizontal="center"/>
    </xf>
    <xf numFmtId="0" fontId="105" fillId="0" borderId="35" xfId="193" applyBorder="1" applyAlignment="1">
      <alignment horizontal="center"/>
    </xf>
    <xf numFmtId="0" fontId="105" fillId="0" borderId="44" xfId="191" applyBorder="1" applyAlignment="1">
      <alignment horizontal="center"/>
    </xf>
    <xf numFmtId="0" fontId="105" fillId="0" borderId="47" xfId="193" applyBorder="1" applyAlignment="1">
      <alignment horizontal="center"/>
    </xf>
    <xf numFmtId="0" fontId="84" fillId="24" borderId="83" xfId="187" applyFont="1" applyFill="1" applyBorder="1" applyAlignment="1">
      <alignment horizontal="center"/>
    </xf>
    <xf numFmtId="0" fontId="84" fillId="24" borderId="58" xfId="187" applyFont="1" applyFill="1" applyBorder="1" applyAlignment="1">
      <alignment horizontal="center"/>
    </xf>
    <xf numFmtId="0" fontId="84" fillId="24" borderId="64" xfId="187" applyFont="1" applyFill="1" applyBorder="1" applyAlignment="1">
      <alignment horizontal="center"/>
    </xf>
    <xf numFmtId="0" fontId="87" fillId="0" borderId="60" xfId="195" applyFont="1" applyFill="1" applyBorder="1" applyAlignment="1">
      <alignment horizontal="center" wrapText="1"/>
    </xf>
    <xf numFmtId="0" fontId="80" fillId="26" borderId="0" xfId="0" applyFont="1" applyFill="1"/>
    <xf numFmtId="0" fontId="88" fillId="0" borderId="0" xfId="0" applyFont="1" applyAlignment="1"/>
    <xf numFmtId="0" fontId="38" fillId="0" borderId="0" xfId="0" applyFont="1" applyAlignment="1">
      <alignment horizontal="center" vertical="center"/>
    </xf>
    <xf numFmtId="0" fontId="38" fillId="0" borderId="40" xfId="0" applyFont="1" applyBorder="1" applyAlignment="1">
      <alignment horizontal="center" vertical="center"/>
    </xf>
    <xf numFmtId="0" fontId="38" fillId="0" borderId="43" xfId="0" applyFont="1" applyBorder="1" applyAlignment="1">
      <alignment horizontal="center" vertical="center"/>
    </xf>
    <xf numFmtId="0" fontId="38" fillId="0" borderId="57" xfId="0" applyFont="1" applyBorder="1" applyAlignment="1">
      <alignment horizontal="center" vertical="center"/>
    </xf>
    <xf numFmtId="0" fontId="38" fillId="0" borderId="42" xfId="0" applyFont="1" applyBorder="1" applyAlignment="1">
      <alignment horizontal="center" vertical="center"/>
    </xf>
    <xf numFmtId="0" fontId="38" fillId="31" borderId="48" xfId="0" applyFont="1" applyFill="1" applyBorder="1" applyAlignment="1">
      <alignment horizontal="center" vertical="center"/>
    </xf>
    <xf numFmtId="0" fontId="38" fillId="31" borderId="13" xfId="0" applyFont="1" applyFill="1" applyBorder="1" applyAlignment="1">
      <alignment horizontal="center" vertical="center"/>
    </xf>
    <xf numFmtId="0" fontId="38" fillId="0" borderId="11" xfId="0" applyFont="1" applyBorder="1" applyAlignment="1">
      <alignment horizontal="center" vertical="center"/>
    </xf>
    <xf numFmtId="0" fontId="38" fillId="31" borderId="69" xfId="0" applyFont="1" applyFill="1" applyBorder="1" applyAlignment="1">
      <alignment horizontal="center" vertical="center"/>
    </xf>
    <xf numFmtId="0" fontId="39" fillId="0" borderId="45" xfId="0" applyFont="1" applyFill="1" applyBorder="1" applyAlignment="1">
      <alignment horizontal="center" vertical="center"/>
    </xf>
    <xf numFmtId="0" fontId="38" fillId="0" borderId="50" xfId="0" applyFont="1" applyBorder="1" applyAlignment="1">
      <alignment horizontal="center" vertical="center"/>
    </xf>
    <xf numFmtId="0" fontId="38" fillId="0" borderId="33" xfId="0" applyFont="1" applyBorder="1" applyAlignment="1">
      <alignment horizontal="center" vertical="center"/>
    </xf>
    <xf numFmtId="0" fontId="38" fillId="0" borderId="34" xfId="0" applyFont="1" applyBorder="1" applyAlignment="1">
      <alignment horizontal="center" vertical="center"/>
    </xf>
    <xf numFmtId="3" fontId="38" fillId="0" borderId="37" xfId="0" applyNumberFormat="1" applyFont="1" applyBorder="1" applyAlignment="1">
      <alignment horizontal="center" vertical="center"/>
    </xf>
    <xf numFmtId="3" fontId="38" fillId="0" borderId="33" xfId="0" applyNumberFormat="1" applyFont="1" applyBorder="1" applyAlignment="1">
      <alignment horizontal="center" vertical="center"/>
    </xf>
    <xf numFmtId="3" fontId="38" fillId="0" borderId="79" xfId="0" applyNumberFormat="1" applyFont="1" applyBorder="1" applyAlignment="1">
      <alignment horizontal="center" vertical="center"/>
    </xf>
    <xf numFmtId="3" fontId="72" fillId="0" borderId="34" xfId="196" applyNumberFormat="1" applyFont="1" applyFill="1" applyBorder="1" applyAlignment="1">
      <alignment horizontal="center" vertical="center" wrapText="1"/>
    </xf>
    <xf numFmtId="0" fontId="38" fillId="0" borderId="97" xfId="0" applyFont="1" applyBorder="1" applyAlignment="1">
      <alignment horizontal="center" vertical="center"/>
    </xf>
    <xf numFmtId="0" fontId="38" fillId="0" borderId="46" xfId="0" applyFont="1" applyBorder="1" applyAlignment="1">
      <alignment horizontal="center" vertical="center"/>
    </xf>
    <xf numFmtId="0" fontId="38" fillId="0" borderId="47" xfId="0" applyFont="1" applyBorder="1" applyAlignment="1">
      <alignment horizontal="center" vertical="center"/>
    </xf>
    <xf numFmtId="3" fontId="38" fillId="0" borderId="44" xfId="0" applyNumberFormat="1" applyFont="1" applyBorder="1" applyAlignment="1">
      <alignment horizontal="center" vertical="center"/>
    </xf>
    <xf numFmtId="3" fontId="38" fillId="0" borderId="46" xfId="0" applyNumberFormat="1" applyFont="1" applyBorder="1" applyAlignment="1">
      <alignment horizontal="center" vertical="center"/>
    </xf>
    <xf numFmtId="3" fontId="38" fillId="0" borderId="49" xfId="0" applyNumberFormat="1" applyFont="1" applyBorder="1" applyAlignment="1">
      <alignment horizontal="center" vertical="center"/>
    </xf>
    <xf numFmtId="3" fontId="72" fillId="0" borderId="47" xfId="196" applyNumberFormat="1" applyFont="1" applyFill="1" applyBorder="1" applyAlignment="1">
      <alignment horizontal="center" vertical="center" wrapText="1"/>
    </xf>
    <xf numFmtId="3" fontId="38" fillId="0" borderId="68" xfId="0" applyNumberFormat="1" applyFont="1" applyBorder="1" applyAlignment="1">
      <alignment horizontal="center" vertical="center"/>
    </xf>
    <xf numFmtId="3" fontId="38" fillId="0" borderId="0" xfId="0" applyNumberFormat="1" applyFont="1"/>
    <xf numFmtId="0" fontId="38" fillId="24" borderId="0" xfId="0" applyFont="1" applyFill="1" applyBorder="1"/>
    <xf numFmtId="0" fontId="38" fillId="0" borderId="15" xfId="0" applyFont="1" applyBorder="1" applyAlignment="1">
      <alignment horizontal="center" vertical="center"/>
    </xf>
    <xf numFmtId="0" fontId="38" fillId="0" borderId="10" xfId="0" applyFont="1" applyBorder="1" applyAlignment="1">
      <alignment horizontal="center" vertical="center"/>
    </xf>
    <xf numFmtId="0" fontId="38" fillId="0" borderId="35" xfId="0" applyFont="1" applyBorder="1" applyAlignment="1">
      <alignment horizontal="center" vertical="center"/>
    </xf>
    <xf numFmtId="3" fontId="38" fillId="0" borderId="36" xfId="0" applyNumberFormat="1" applyFont="1" applyBorder="1" applyAlignment="1">
      <alignment horizontal="center" vertical="center"/>
    </xf>
    <xf numFmtId="3" fontId="38" fillId="0" borderId="10" xfId="0" applyNumberFormat="1" applyFont="1" applyBorder="1" applyAlignment="1">
      <alignment horizontal="center" vertical="center"/>
    </xf>
    <xf numFmtId="3" fontId="38" fillId="0" borderId="12" xfId="0" applyNumberFormat="1" applyFont="1" applyBorder="1" applyAlignment="1">
      <alignment horizontal="center" vertical="center"/>
    </xf>
    <xf numFmtId="3" fontId="72" fillId="0" borderId="35" xfId="196" applyNumberFormat="1" applyFont="1" applyFill="1" applyBorder="1" applyAlignment="1">
      <alignment horizontal="center" vertical="center" wrapText="1"/>
    </xf>
    <xf numFmtId="0" fontId="38" fillId="0" borderId="32" xfId="0" applyFont="1" applyBorder="1" applyAlignment="1">
      <alignment horizontal="center" vertical="center"/>
    </xf>
    <xf numFmtId="0" fontId="38" fillId="0" borderId="16" xfId="0" applyFont="1" applyBorder="1" applyAlignment="1">
      <alignment horizontal="center" vertical="center"/>
    </xf>
    <xf numFmtId="0" fontId="38" fillId="0" borderId="99" xfId="0" applyFont="1" applyBorder="1" applyAlignment="1">
      <alignment horizontal="center" vertical="center"/>
    </xf>
    <xf numFmtId="3" fontId="38" fillId="0" borderId="100" xfId="0" applyNumberFormat="1" applyFont="1" applyBorder="1" applyAlignment="1">
      <alignment horizontal="center" vertical="center"/>
    </xf>
    <xf numFmtId="3" fontId="38" fillId="0" borderId="16" xfId="0" applyNumberFormat="1" applyFont="1" applyBorder="1" applyAlignment="1">
      <alignment horizontal="center" vertical="center"/>
    </xf>
    <xf numFmtId="3" fontId="38" fillId="0" borderId="17" xfId="0" applyNumberFormat="1" applyFont="1" applyBorder="1" applyAlignment="1">
      <alignment horizontal="center" vertical="center"/>
    </xf>
    <xf numFmtId="3" fontId="72" fillId="0" borderId="99" xfId="196" applyNumberFormat="1" applyFont="1" applyFill="1" applyBorder="1" applyAlignment="1">
      <alignment horizontal="center" vertical="center" wrapText="1"/>
    </xf>
    <xf numFmtId="0" fontId="38" fillId="0" borderId="31" xfId="0" applyFont="1" applyBorder="1" applyAlignment="1">
      <alignment horizontal="center" vertical="center"/>
    </xf>
    <xf numFmtId="0" fontId="38" fillId="0" borderId="13" xfId="0" applyFont="1" applyBorder="1" applyAlignment="1">
      <alignment horizontal="center" vertical="center"/>
    </xf>
    <xf numFmtId="0" fontId="38" fillId="0" borderId="69" xfId="0" applyFont="1" applyBorder="1" applyAlignment="1">
      <alignment horizontal="center" vertical="center"/>
    </xf>
    <xf numFmtId="3" fontId="38" fillId="0" borderId="48" xfId="0" applyNumberFormat="1" applyFont="1" applyBorder="1" applyAlignment="1">
      <alignment horizontal="center" vertical="center"/>
    </xf>
    <xf numFmtId="3" fontId="38" fillId="0" borderId="13" xfId="0" applyNumberFormat="1" applyFont="1" applyBorder="1" applyAlignment="1">
      <alignment horizontal="center" vertical="center"/>
    </xf>
    <xf numFmtId="3" fontId="38" fillId="0" borderId="11" xfId="0" applyNumberFormat="1" applyFont="1" applyBorder="1" applyAlignment="1">
      <alignment horizontal="center" vertical="center"/>
    </xf>
    <xf numFmtId="0" fontId="38" fillId="0" borderId="79" xfId="0" applyFont="1" applyBorder="1" applyAlignment="1">
      <alignment horizontal="center" vertical="center"/>
    </xf>
    <xf numFmtId="3" fontId="38" fillId="0" borderId="34" xfId="0" applyNumberFormat="1" applyFont="1" applyBorder="1" applyAlignment="1">
      <alignment horizontal="center" vertical="center"/>
    </xf>
    <xf numFmtId="3" fontId="38" fillId="0" borderId="63" xfId="0" applyNumberFormat="1" applyFont="1" applyBorder="1" applyAlignment="1">
      <alignment horizontal="center" vertical="center"/>
    </xf>
    <xf numFmtId="0" fontId="38" fillId="0" borderId="49" xfId="0" applyFont="1" applyBorder="1" applyAlignment="1">
      <alignment horizontal="center" vertical="center"/>
    </xf>
    <xf numFmtId="3" fontId="38" fillId="0" borderId="47" xfId="0" applyNumberFormat="1" applyFont="1" applyBorder="1" applyAlignment="1">
      <alignment horizontal="center" vertical="center"/>
    </xf>
    <xf numFmtId="3" fontId="38" fillId="0" borderId="64" xfId="0" applyNumberFormat="1" applyFont="1" applyBorder="1" applyAlignment="1">
      <alignment horizontal="center" vertical="center"/>
    </xf>
    <xf numFmtId="0" fontId="38" fillId="0" borderId="0" xfId="0" applyFont="1" applyBorder="1" applyAlignment="1">
      <alignment horizontal="center" vertical="center"/>
    </xf>
    <xf numFmtId="16" fontId="38" fillId="0" borderId="0" xfId="0" applyNumberFormat="1" applyFont="1" applyBorder="1" applyAlignment="1">
      <alignment horizontal="center" vertical="center"/>
    </xf>
    <xf numFmtId="0" fontId="38" fillId="0" borderId="22" xfId="0" applyFont="1" applyBorder="1" applyAlignment="1">
      <alignment horizontal="center" vertical="center"/>
    </xf>
    <xf numFmtId="3" fontId="38" fillId="0" borderId="52" xfId="0" applyNumberFormat="1" applyFont="1" applyBorder="1" applyAlignment="1">
      <alignment horizontal="center" vertical="center"/>
    </xf>
    <xf numFmtId="3" fontId="38" fillId="26" borderId="52" xfId="0" applyNumberFormat="1" applyFont="1" applyFill="1" applyBorder="1" applyAlignment="1">
      <alignment horizontal="center" vertical="center"/>
    </xf>
    <xf numFmtId="0" fontId="38" fillId="24" borderId="0" xfId="0" applyFont="1" applyFill="1" applyBorder="1" applyAlignment="1">
      <alignment horizontal="center"/>
    </xf>
    <xf numFmtId="0" fontId="39" fillId="24" borderId="0" xfId="0" applyFont="1" applyFill="1" applyBorder="1"/>
    <xf numFmtId="0" fontId="38" fillId="0" borderId="0" xfId="0" applyFont="1" applyFill="1" applyBorder="1" applyAlignment="1">
      <alignment horizontal="center" vertical="center"/>
    </xf>
    <xf numFmtId="178" fontId="38" fillId="0" borderId="0" xfId="0" applyNumberFormat="1" applyFont="1" applyBorder="1" applyAlignment="1">
      <alignment horizontal="center"/>
    </xf>
    <xf numFmtId="0" fontId="88" fillId="0" borderId="0" xfId="0" applyFont="1" applyAlignment="1">
      <alignment horizontal="left"/>
    </xf>
    <xf numFmtId="0" fontId="87" fillId="35" borderId="70" xfId="195" applyFont="1" applyFill="1" applyBorder="1" applyAlignment="1">
      <alignment horizontal="center" vertical="center" wrapText="1"/>
    </xf>
    <xf numFmtId="0" fontId="87" fillId="35" borderId="101" xfId="195" applyFont="1" applyFill="1" applyBorder="1" applyAlignment="1">
      <alignment horizontal="center" vertical="center" wrapText="1"/>
    </xf>
    <xf numFmtId="0" fontId="87" fillId="35" borderId="61" xfId="195" applyFont="1" applyFill="1" applyBorder="1" applyAlignment="1">
      <alignment horizontal="center" vertical="center" wrapText="1"/>
    </xf>
    <xf numFmtId="0" fontId="87" fillId="35" borderId="102" xfId="195" applyFont="1" applyFill="1" applyBorder="1" applyAlignment="1">
      <alignment horizontal="center" vertical="center" wrapText="1"/>
    </xf>
    <xf numFmtId="0" fontId="87" fillId="35" borderId="103" xfId="195" applyFont="1" applyFill="1" applyBorder="1" applyAlignment="1">
      <alignment horizontal="center" vertical="center" wrapText="1"/>
    </xf>
    <xf numFmtId="0" fontId="87" fillId="35" borderId="104" xfId="195" applyFont="1" applyFill="1" applyBorder="1" applyAlignment="1">
      <alignment horizontal="center" vertical="center" wrapText="1"/>
    </xf>
    <xf numFmtId="178" fontId="39" fillId="35" borderId="41" xfId="0" applyNumberFormat="1" applyFont="1" applyFill="1" applyBorder="1" applyAlignment="1">
      <alignment horizontal="center"/>
    </xf>
    <xf numFmtId="0" fontId="87" fillId="0" borderId="105" xfId="195" applyFont="1" applyFill="1" applyBorder="1" applyAlignment="1">
      <alignment horizontal="center" wrapText="1"/>
    </xf>
    <xf numFmtId="0" fontId="87" fillId="0" borderId="106" xfId="195" applyFont="1" applyFill="1" applyBorder="1" applyAlignment="1">
      <alignment horizontal="center" wrapText="1"/>
    </xf>
    <xf numFmtId="0" fontId="87" fillId="0" borderId="107" xfId="195" applyFont="1" applyFill="1" applyBorder="1" applyAlignment="1">
      <alignment horizontal="center" wrapText="1"/>
    </xf>
    <xf numFmtId="0" fontId="87" fillId="0" borderId="108" xfId="195" applyFont="1" applyFill="1" applyBorder="1" applyAlignment="1">
      <alignment horizontal="center" wrapText="1"/>
    </xf>
    <xf numFmtId="0" fontId="87" fillId="0" borderId="109" xfId="195" applyFont="1" applyFill="1" applyBorder="1" applyAlignment="1">
      <alignment horizontal="center" wrapText="1"/>
    </xf>
    <xf numFmtId="0" fontId="87" fillId="0" borderId="110" xfId="195" applyFont="1" applyFill="1" applyBorder="1" applyAlignment="1">
      <alignment horizontal="center" wrapText="1"/>
    </xf>
    <xf numFmtId="0" fontId="87" fillId="0" borderId="111" xfId="195" applyFont="1" applyFill="1" applyBorder="1" applyAlignment="1">
      <alignment horizontal="center" wrapText="1"/>
    </xf>
    <xf numFmtId="0" fontId="87" fillId="0" borderId="112" xfId="195" applyFont="1" applyFill="1" applyBorder="1" applyAlignment="1">
      <alignment horizontal="center" wrapText="1"/>
    </xf>
    <xf numFmtId="0" fontId="87" fillId="0" borderId="4" xfId="195" applyFont="1" applyFill="1" applyBorder="1" applyAlignment="1">
      <alignment horizontal="center" wrapText="1"/>
    </xf>
    <xf numFmtId="0" fontId="87" fillId="0" borderId="113" xfId="195" applyFont="1" applyFill="1" applyBorder="1" applyAlignment="1">
      <alignment horizontal="center" wrapText="1"/>
    </xf>
    <xf numFmtId="0" fontId="87" fillId="0" borderId="114" xfId="195" applyFont="1" applyFill="1" applyBorder="1" applyAlignment="1">
      <alignment horizontal="center" wrapText="1"/>
    </xf>
    <xf numFmtId="0" fontId="87" fillId="0" borderId="115" xfId="195" applyFont="1" applyFill="1" applyBorder="1" applyAlignment="1">
      <alignment horizontal="center" wrapText="1"/>
    </xf>
    <xf numFmtId="0" fontId="87" fillId="0" borderId="116" xfId="195" applyFont="1" applyFill="1" applyBorder="1" applyAlignment="1">
      <alignment horizontal="center" wrapText="1"/>
    </xf>
    <xf numFmtId="0" fontId="87" fillId="0" borderId="117" xfId="195" applyFont="1" applyFill="1" applyBorder="1" applyAlignment="1">
      <alignment horizontal="center" wrapText="1"/>
    </xf>
    <xf numFmtId="0" fontId="87" fillId="0" borderId="118" xfId="195" applyFont="1" applyFill="1" applyBorder="1" applyAlignment="1">
      <alignment horizontal="center" wrapText="1"/>
    </xf>
    <xf numFmtId="0" fontId="87" fillId="0" borderId="119" xfId="195" applyFont="1" applyFill="1" applyBorder="1" applyAlignment="1">
      <alignment horizontal="center" wrapText="1"/>
    </xf>
    <xf numFmtId="0" fontId="87" fillId="0" borderId="120" xfId="195" applyFont="1" applyFill="1" applyBorder="1" applyAlignment="1">
      <alignment horizontal="center" wrapText="1"/>
    </xf>
    <xf numFmtId="0" fontId="87" fillId="0" borderId="121" xfId="195" applyFont="1" applyFill="1" applyBorder="1" applyAlignment="1">
      <alignment horizontal="center" wrapText="1"/>
    </xf>
    <xf numFmtId="0" fontId="87" fillId="0" borderId="122" xfId="195" applyFont="1" applyFill="1" applyBorder="1" applyAlignment="1">
      <alignment horizontal="center" wrapText="1"/>
    </xf>
    <xf numFmtId="0" fontId="87" fillId="0" borderId="123" xfId="195" applyFont="1" applyFill="1" applyBorder="1" applyAlignment="1">
      <alignment horizontal="center" wrapText="1"/>
    </xf>
    <xf numFmtId="0" fontId="87" fillId="0" borderId="124" xfId="195" applyFont="1" applyFill="1" applyBorder="1" applyAlignment="1">
      <alignment horizontal="center" wrapText="1"/>
    </xf>
    <xf numFmtId="0" fontId="87" fillId="0" borderId="125" xfId="195" applyFont="1" applyFill="1" applyBorder="1" applyAlignment="1">
      <alignment horizontal="center" wrapText="1"/>
    </xf>
    <xf numFmtId="0" fontId="87" fillId="0" borderId="126" xfId="195" applyFont="1" applyFill="1" applyBorder="1" applyAlignment="1">
      <alignment horizontal="center" wrapText="1"/>
    </xf>
    <xf numFmtId="0" fontId="87" fillId="0" borderId="127" xfId="195" applyFont="1" applyFill="1" applyBorder="1" applyAlignment="1">
      <alignment horizontal="center" wrapText="1"/>
    </xf>
    <xf numFmtId="0" fontId="87" fillId="0" borderId="128" xfId="195" applyFont="1" applyFill="1" applyBorder="1" applyAlignment="1">
      <alignment horizontal="center" wrapText="1"/>
    </xf>
    <xf numFmtId="0" fontId="87" fillId="0" borderId="129" xfId="195" applyFont="1" applyFill="1" applyBorder="1" applyAlignment="1">
      <alignment horizontal="center" wrapText="1"/>
    </xf>
    <xf numFmtId="0" fontId="87" fillId="0" borderId="130" xfId="195" applyFont="1" applyFill="1" applyBorder="1" applyAlignment="1">
      <alignment horizontal="center" wrapText="1"/>
    </xf>
    <xf numFmtId="0" fontId="87" fillId="0" borderId="131" xfId="195" applyFont="1" applyFill="1" applyBorder="1" applyAlignment="1">
      <alignment horizontal="center" wrapText="1"/>
    </xf>
    <xf numFmtId="0" fontId="87" fillId="0" borderId="132" xfId="195" applyFont="1" applyFill="1" applyBorder="1" applyAlignment="1">
      <alignment horizontal="center" wrapText="1"/>
    </xf>
    <xf numFmtId="0" fontId="87" fillId="0" borderId="133" xfId="195" applyFont="1" applyFill="1" applyBorder="1" applyAlignment="1">
      <alignment horizontal="center" wrapText="1"/>
    </xf>
    <xf numFmtId="0" fontId="87" fillId="0" borderId="70" xfId="195" applyFont="1" applyFill="1" applyBorder="1" applyAlignment="1">
      <alignment horizontal="center" wrapText="1"/>
    </xf>
    <xf numFmtId="0" fontId="87" fillId="0" borderId="71" xfId="195" applyFont="1" applyFill="1" applyBorder="1" applyAlignment="1">
      <alignment horizontal="center" wrapText="1"/>
    </xf>
    <xf numFmtId="0" fontId="87" fillId="0" borderId="39" xfId="195" applyFont="1" applyFill="1" applyBorder="1" applyAlignment="1">
      <alignment horizontal="center" wrapText="1"/>
    </xf>
    <xf numFmtId="0" fontId="87" fillId="0" borderId="0" xfId="195" applyFont="1" applyFill="1" applyBorder="1" applyAlignment="1">
      <alignment horizontal="center" wrapText="1"/>
    </xf>
    <xf numFmtId="0" fontId="87" fillId="0" borderId="74" xfId="195" applyFont="1" applyFill="1" applyBorder="1" applyAlignment="1">
      <alignment horizontal="center" wrapText="1"/>
    </xf>
    <xf numFmtId="0" fontId="87" fillId="0" borderId="67" xfId="195" applyFont="1" applyFill="1" applyBorder="1" applyAlignment="1">
      <alignment horizontal="center" wrapText="1"/>
    </xf>
    <xf numFmtId="0" fontId="87" fillId="0" borderId="84" xfId="195" applyFont="1" applyFill="1" applyBorder="1" applyAlignment="1">
      <alignment horizontal="center" wrapText="1"/>
    </xf>
    <xf numFmtId="0" fontId="87" fillId="0" borderId="75" xfId="195" applyFont="1" applyFill="1" applyBorder="1" applyAlignment="1">
      <alignment horizontal="center" wrapText="1"/>
    </xf>
    <xf numFmtId="0" fontId="87" fillId="0" borderId="27" xfId="195" applyFont="1" applyFill="1" applyBorder="1" applyAlignment="1">
      <alignment horizontal="center" wrapText="1"/>
    </xf>
    <xf numFmtId="0" fontId="87" fillId="0" borderId="22" xfId="195" applyFont="1" applyFill="1" applyBorder="1" applyAlignment="1">
      <alignment horizontal="center" wrapText="1"/>
    </xf>
    <xf numFmtId="0" fontId="87" fillId="0" borderId="0" xfId="195" applyFont="1" applyFill="1" applyBorder="1" applyAlignment="1">
      <alignment horizontal="left" wrapText="1"/>
    </xf>
    <xf numFmtId="0" fontId="87" fillId="0" borderId="21" xfId="195" applyFont="1" applyFill="1" applyBorder="1" applyAlignment="1">
      <alignment horizontal="left" wrapText="1"/>
    </xf>
    <xf numFmtId="0" fontId="87" fillId="26" borderId="22" xfId="195" applyFont="1" applyFill="1" applyBorder="1" applyAlignment="1">
      <alignment horizontal="center" wrapText="1"/>
    </xf>
    <xf numFmtId="0" fontId="38" fillId="0" borderId="134" xfId="0" applyFont="1" applyBorder="1" applyAlignment="1">
      <alignment horizontal="center" vertical="center"/>
    </xf>
    <xf numFmtId="0" fontId="38" fillId="0" borderId="52" xfId="0" applyFont="1" applyBorder="1" applyAlignment="1">
      <alignment horizontal="center" vertical="center"/>
    </xf>
    <xf numFmtId="0" fontId="38" fillId="0" borderId="53" xfId="0" applyFont="1" applyBorder="1" applyAlignment="1">
      <alignment horizontal="center" vertical="center"/>
    </xf>
    <xf numFmtId="0" fontId="38" fillId="24" borderId="11" xfId="0" applyFont="1" applyFill="1" applyBorder="1" applyAlignment="1">
      <alignment horizontal="center" vertical="center"/>
    </xf>
    <xf numFmtId="16" fontId="38" fillId="0" borderId="55" xfId="0" applyNumberFormat="1" applyFont="1" applyBorder="1" applyAlignment="1">
      <alignment horizontal="center" vertical="center"/>
    </xf>
    <xf numFmtId="0" fontId="38" fillId="0" borderId="41" xfId="0" applyFont="1" applyBorder="1" applyAlignment="1">
      <alignment horizontal="center"/>
    </xf>
    <xf numFmtId="2" fontId="38" fillId="0" borderId="10" xfId="0" applyNumberFormat="1" applyFont="1" applyFill="1" applyBorder="1" applyAlignment="1">
      <alignment horizontal="center"/>
    </xf>
    <xf numFmtId="4" fontId="87" fillId="0" borderId="70" xfId="195" applyNumberFormat="1" applyFont="1" applyFill="1" applyBorder="1" applyAlignment="1">
      <alignment horizontal="center" wrapText="1"/>
    </xf>
    <xf numFmtId="4" fontId="87" fillId="0" borderId="71" xfId="195" applyNumberFormat="1" applyFont="1" applyFill="1" applyBorder="1" applyAlignment="1">
      <alignment horizontal="center" wrapText="1"/>
    </xf>
    <xf numFmtId="4" fontId="87" fillId="0" borderId="39" xfId="195" applyNumberFormat="1" applyFont="1" applyFill="1" applyBorder="1" applyAlignment="1">
      <alignment horizontal="center" wrapText="1"/>
    </xf>
    <xf numFmtId="4" fontId="87" fillId="0" borderId="74" xfId="195" applyNumberFormat="1" applyFont="1" applyFill="1" applyBorder="1" applyAlignment="1">
      <alignment horizontal="center" wrapText="1"/>
    </xf>
    <xf numFmtId="4" fontId="87" fillId="0" borderId="67" xfId="195" applyNumberFormat="1" applyFont="1" applyFill="1" applyBorder="1" applyAlignment="1">
      <alignment horizontal="center" wrapText="1"/>
    </xf>
    <xf numFmtId="4" fontId="87" fillId="0" borderId="75" xfId="195" applyNumberFormat="1" applyFont="1" applyFill="1" applyBorder="1" applyAlignment="1">
      <alignment horizontal="center" wrapText="1"/>
    </xf>
    <xf numFmtId="173" fontId="55" fillId="24" borderId="0" xfId="0" applyNumberFormat="1" applyFont="1" applyFill="1" applyBorder="1"/>
    <xf numFmtId="0" fontId="0" fillId="24" borderId="0" xfId="0" applyFill="1" applyBorder="1" applyAlignment="1">
      <alignment horizontal="center"/>
    </xf>
    <xf numFmtId="0" fontId="16" fillId="30" borderId="21" xfId="0" applyFont="1" applyFill="1" applyBorder="1"/>
    <xf numFmtId="0" fontId="16" fillId="30" borderId="67" xfId="0" applyFont="1" applyFill="1" applyBorder="1"/>
    <xf numFmtId="0" fontId="16" fillId="30" borderId="84" xfId="0" applyFont="1" applyFill="1" applyBorder="1"/>
    <xf numFmtId="0" fontId="16" fillId="30" borderId="75" xfId="0" applyFont="1" applyFill="1" applyBorder="1"/>
    <xf numFmtId="0" fontId="16" fillId="30" borderId="27" xfId="0" applyFont="1" applyFill="1" applyBorder="1"/>
    <xf numFmtId="0" fontId="16" fillId="30" borderId="22" xfId="0" applyFont="1" applyFill="1" applyBorder="1"/>
    <xf numFmtId="2" fontId="12" fillId="24" borderId="10" xfId="0" applyNumberFormat="1" applyFont="1" applyFill="1" applyBorder="1" applyAlignment="1">
      <alignment horizontal="right"/>
    </xf>
    <xf numFmtId="0" fontId="12" fillId="0" borderId="16" xfId="0" applyFont="1" applyBorder="1" applyAlignment="1">
      <alignment horizontal="center"/>
    </xf>
    <xf numFmtId="0" fontId="55" fillId="0" borderId="16" xfId="0" applyFont="1" applyBorder="1" applyAlignment="1">
      <alignment horizontal="center"/>
    </xf>
    <xf numFmtId="0" fontId="38" fillId="24" borderId="16" xfId="0" applyFont="1" applyFill="1" applyBorder="1" applyAlignment="1">
      <alignment horizontal="center"/>
    </xf>
    <xf numFmtId="0" fontId="14" fillId="34" borderId="27" xfId="0" applyFont="1" applyFill="1" applyBorder="1" applyAlignment="1"/>
    <xf numFmtId="0" fontId="14" fillId="34" borderId="21" xfId="0" applyFont="1" applyFill="1" applyBorder="1" applyAlignment="1"/>
    <xf numFmtId="0" fontId="14" fillId="34" borderId="134" xfId="0" applyFont="1" applyFill="1" applyBorder="1" applyAlignment="1"/>
    <xf numFmtId="0" fontId="55" fillId="34" borderId="21" xfId="0" applyFont="1" applyFill="1" applyBorder="1"/>
    <xf numFmtId="0" fontId="55" fillId="34" borderId="22" xfId="0" applyFont="1" applyFill="1" applyBorder="1"/>
    <xf numFmtId="0" fontId="10" fillId="0" borderId="13" xfId="0" applyFont="1" applyBorder="1"/>
    <xf numFmtId="0" fontId="87" fillId="24" borderId="0" xfId="195" applyFont="1" applyFill="1" applyBorder="1" applyAlignment="1">
      <alignment horizontal="center" wrapText="1"/>
    </xf>
    <xf numFmtId="0" fontId="0" fillId="0" borderId="0" xfId="0" applyAlignment="1">
      <alignment horizontal="left"/>
    </xf>
    <xf numFmtId="182" fontId="84" fillId="0" borderId="0" xfId="0" applyNumberFormat="1" applyFont="1" applyAlignment="1">
      <alignment horizontal="left"/>
    </xf>
    <xf numFmtId="0" fontId="88" fillId="24" borderId="0" xfId="0" applyFont="1" applyFill="1" applyAlignment="1"/>
    <xf numFmtId="0" fontId="38" fillId="24" borderId="0" xfId="0" applyFont="1" applyFill="1" applyAlignment="1">
      <alignment horizontal="center" vertical="center"/>
    </xf>
    <xf numFmtId="0" fontId="38" fillId="24" borderId="40" xfId="0" applyFont="1" applyFill="1" applyBorder="1" applyAlignment="1">
      <alignment horizontal="center" vertical="center"/>
    </xf>
    <xf numFmtId="0" fontId="38" fillId="24" borderId="43" xfId="0" applyFont="1" applyFill="1" applyBorder="1" applyAlignment="1">
      <alignment horizontal="center" vertical="center"/>
    </xf>
    <xf numFmtId="0" fontId="38" fillId="24" borderId="57" xfId="0" applyFont="1" applyFill="1" applyBorder="1" applyAlignment="1">
      <alignment horizontal="center" vertical="center"/>
    </xf>
    <xf numFmtId="0" fontId="38" fillId="24" borderId="42" xfId="0" applyFont="1" applyFill="1" applyBorder="1" applyAlignment="1">
      <alignment horizontal="center" vertical="center"/>
    </xf>
    <xf numFmtId="0" fontId="38" fillId="24" borderId="48" xfId="0" applyFont="1" applyFill="1" applyBorder="1" applyAlignment="1">
      <alignment horizontal="center" vertical="center"/>
    </xf>
    <xf numFmtId="0" fontId="38" fillId="24" borderId="13" xfId="0" applyFont="1" applyFill="1" applyBorder="1" applyAlignment="1">
      <alignment horizontal="center" vertical="center"/>
    </xf>
    <xf numFmtId="0" fontId="38" fillId="24" borderId="69" xfId="0" applyFont="1" applyFill="1" applyBorder="1" applyAlignment="1">
      <alignment horizontal="center" vertical="center"/>
    </xf>
    <xf numFmtId="0" fontId="88" fillId="29" borderId="0" xfId="0" applyFont="1" applyFill="1" applyAlignment="1"/>
    <xf numFmtId="0" fontId="38" fillId="29" borderId="0" xfId="0" applyFont="1" applyFill="1" applyAlignment="1">
      <alignment horizontal="center" vertical="center"/>
    </xf>
    <xf numFmtId="4" fontId="12" fillId="0" borderId="0" xfId="0" applyNumberFormat="1" applyFont="1" applyAlignment="1">
      <alignment horizontal="center"/>
    </xf>
    <xf numFmtId="4" fontId="38" fillId="0" borderId="0" xfId="0" applyNumberFormat="1" applyFont="1" applyAlignment="1">
      <alignment horizontal="center"/>
    </xf>
    <xf numFmtId="0" fontId="14" fillId="0" borderId="0" xfId="0" applyFont="1" applyFill="1" applyBorder="1" applyAlignment="1">
      <alignment horizontal="center"/>
    </xf>
    <xf numFmtId="4" fontId="14" fillId="0" borderId="0" xfId="0" applyNumberFormat="1" applyFont="1" applyFill="1" applyBorder="1" applyAlignment="1">
      <alignment horizontal="center"/>
    </xf>
    <xf numFmtId="4" fontId="38" fillId="0" borderId="0" xfId="0" applyNumberFormat="1" applyFont="1" applyFill="1" applyAlignment="1">
      <alignment horizontal="center"/>
    </xf>
    <xf numFmtId="0" fontId="38" fillId="0" borderId="0" xfId="0" applyFont="1" applyFill="1" applyAlignment="1">
      <alignment horizontal="center"/>
    </xf>
    <xf numFmtId="0" fontId="38" fillId="0" borderId="0" xfId="0" applyFont="1" applyFill="1"/>
    <xf numFmtId="4" fontId="12" fillId="0" borderId="0" xfId="0" applyNumberFormat="1" applyFont="1"/>
    <xf numFmtId="0" fontId="14" fillId="25" borderId="10" xfId="0" applyFont="1" applyFill="1" applyBorder="1" applyAlignment="1">
      <alignment horizontal="center"/>
    </xf>
    <xf numFmtId="4" fontId="14" fillId="25" borderId="10" xfId="0" applyNumberFormat="1" applyFont="1" applyFill="1" applyBorder="1" applyAlignment="1">
      <alignment horizontal="center"/>
    </xf>
    <xf numFmtId="173" fontId="38" fillId="0" borderId="10" xfId="0" applyNumberFormat="1" applyFont="1" applyBorder="1"/>
    <xf numFmtId="173" fontId="38" fillId="0" borderId="28" xfId="0" applyNumberFormat="1" applyFont="1" applyBorder="1"/>
    <xf numFmtId="173" fontId="38" fillId="0" borderId="0" xfId="0" applyNumberFormat="1" applyFont="1"/>
    <xf numFmtId="0" fontId="38" fillId="0" borderId="28" xfId="0" applyFont="1" applyBorder="1"/>
    <xf numFmtId="173" fontId="38" fillId="0" borderId="28" xfId="0" applyNumberFormat="1" applyFont="1" applyFill="1" applyBorder="1"/>
    <xf numFmtId="173" fontId="38" fillId="0" borderId="10" xfId="0" applyNumberFormat="1" applyFont="1" applyFill="1" applyBorder="1"/>
    <xf numFmtId="2" fontId="12" fillId="0" borderId="0" xfId="0" applyNumberFormat="1" applyFont="1" applyBorder="1"/>
    <xf numFmtId="4" fontId="12" fillId="0" borderId="0" xfId="0" applyNumberFormat="1" applyFont="1" applyBorder="1"/>
    <xf numFmtId="0" fontId="38" fillId="0" borderId="10" xfId="0" applyFont="1" applyBorder="1" applyAlignment="1">
      <alignment horizontal="right"/>
    </xf>
    <xf numFmtId="176" fontId="12" fillId="26" borderId="10" xfId="0" applyNumberFormat="1" applyFont="1" applyFill="1" applyBorder="1" applyAlignment="1">
      <alignment horizontal="center"/>
    </xf>
    <xf numFmtId="2" fontId="12" fillId="0" borderId="10" xfId="0" applyNumberFormat="1" applyFont="1" applyFill="1" applyBorder="1"/>
    <xf numFmtId="4" fontId="38" fillId="0" borderId="0" xfId="0" applyNumberFormat="1" applyFont="1"/>
    <xf numFmtId="0" fontId="91" fillId="29" borderId="48" xfId="0" applyFont="1" applyFill="1" applyBorder="1"/>
    <xf numFmtId="0" fontId="82" fillId="0" borderId="67" xfId="0" applyFont="1" applyBorder="1" applyAlignment="1">
      <alignment horizontal="center"/>
    </xf>
    <xf numFmtId="2" fontId="38" fillId="0" borderId="10" xfId="0" applyNumberFormat="1" applyFont="1" applyBorder="1" applyAlignment="1"/>
    <xf numFmtId="2" fontId="38" fillId="0" borderId="10" xfId="0" applyNumberFormat="1" applyFont="1" applyFill="1" applyBorder="1" applyAlignment="1"/>
    <xf numFmtId="0" fontId="38" fillId="0" borderId="10" xfId="0" applyFont="1" applyBorder="1" applyAlignment="1"/>
    <xf numFmtId="0" fontId="10" fillId="0" borderId="10" xfId="177" applyFont="1" applyBorder="1" applyAlignment="1">
      <alignment horizontal="center"/>
    </xf>
    <xf numFmtId="0" fontId="10" fillId="24" borderId="10" xfId="177" applyFont="1" applyFill="1" applyBorder="1" applyAlignment="1">
      <alignment horizontal="center"/>
    </xf>
    <xf numFmtId="0" fontId="10" fillId="0" borderId="10" xfId="177" applyFont="1" applyFill="1" applyBorder="1" applyAlignment="1">
      <alignment horizontal="center"/>
    </xf>
    <xf numFmtId="0" fontId="16" fillId="0" borderId="0" xfId="0" applyFont="1"/>
    <xf numFmtId="0" fontId="38" fillId="24" borderId="52" xfId="0" applyFont="1" applyFill="1" applyBorder="1" applyAlignment="1">
      <alignment horizontal="center" vertical="center"/>
    </xf>
    <xf numFmtId="16" fontId="38" fillId="24" borderId="55" xfId="0" applyNumberFormat="1" applyFont="1" applyFill="1" applyBorder="1" applyAlignment="1">
      <alignment horizontal="center" vertical="center"/>
    </xf>
    <xf numFmtId="0" fontId="38" fillId="24" borderId="134" xfId="0" applyFont="1" applyFill="1" applyBorder="1" applyAlignment="1">
      <alignment horizontal="center" vertical="center"/>
    </xf>
    <xf numFmtId="0" fontId="38" fillId="24" borderId="54" xfId="0" applyFont="1" applyFill="1" applyBorder="1" applyAlignment="1">
      <alignment horizontal="center" vertical="center"/>
    </xf>
    <xf numFmtId="0" fontId="38" fillId="24" borderId="55" xfId="0" applyFont="1" applyFill="1" applyBorder="1" applyAlignment="1">
      <alignment horizontal="center" vertical="center"/>
    </xf>
    <xf numFmtId="0" fontId="38" fillId="24" borderId="53" xfId="0" applyFont="1" applyFill="1" applyBorder="1" applyAlignment="1">
      <alignment horizontal="center" vertical="center"/>
    </xf>
    <xf numFmtId="0" fontId="87" fillId="24" borderId="55" xfId="196" applyFont="1" applyFill="1" applyBorder="1" applyAlignment="1">
      <alignment horizontal="center" vertical="center" wrapText="1"/>
    </xf>
    <xf numFmtId="0" fontId="38" fillId="24" borderId="22" xfId="0" applyFont="1" applyFill="1" applyBorder="1" applyAlignment="1">
      <alignment horizontal="center" vertical="center"/>
    </xf>
    <xf numFmtId="0" fontId="82" fillId="24" borderId="34" xfId="0" applyFont="1" applyFill="1" applyBorder="1" applyAlignment="1">
      <alignment horizontal="center"/>
    </xf>
    <xf numFmtId="0" fontId="82" fillId="24" borderId="36" xfId="0" applyFont="1" applyFill="1" applyBorder="1"/>
    <xf numFmtId="0" fontId="82" fillId="24" borderId="10" xfId="0" applyFont="1" applyFill="1" applyBorder="1"/>
    <xf numFmtId="0" fontId="82" fillId="24" borderId="10" xfId="0" applyFont="1" applyFill="1" applyBorder="1" applyAlignment="1">
      <alignment horizontal="center"/>
    </xf>
    <xf numFmtId="0" fontId="82" fillId="24" borderId="35" xfId="0" applyFont="1" applyFill="1" applyBorder="1" applyAlignment="1">
      <alignment horizontal="center"/>
    </xf>
    <xf numFmtId="0" fontId="82" fillId="24" borderId="44" xfId="0" applyFont="1" applyFill="1" applyBorder="1"/>
    <xf numFmtId="0" fontId="82" fillId="24" borderId="46" xfId="0" applyFont="1" applyFill="1" applyBorder="1"/>
    <xf numFmtId="0" fontId="82" fillId="24" borderId="46" xfId="0" applyFont="1" applyFill="1" applyBorder="1" applyAlignment="1">
      <alignment horizontal="center"/>
    </xf>
    <xf numFmtId="179" fontId="89" fillId="24" borderId="47" xfId="0" applyNumberFormat="1" applyFont="1" applyFill="1" applyBorder="1" applyAlignment="1">
      <alignment horizontal="center"/>
    </xf>
    <xf numFmtId="0" fontId="39" fillId="24" borderId="37" xfId="0" applyFont="1" applyFill="1" applyBorder="1"/>
    <xf numFmtId="0" fontId="39" fillId="24" borderId="33" xfId="0" applyFont="1" applyFill="1" applyBorder="1"/>
    <xf numFmtId="165" fontId="0" fillId="0" borderId="0" xfId="0" applyNumberFormat="1" applyFill="1" applyAlignment="1">
      <alignment horizontal="center"/>
    </xf>
    <xf numFmtId="9" fontId="0" fillId="0" borderId="0" xfId="203" applyFont="1" applyAlignment="1">
      <alignment horizontal="center"/>
    </xf>
    <xf numFmtId="0" fontId="10" fillId="0" borderId="0" xfId="177" applyFont="1" applyFill="1"/>
    <xf numFmtId="2" fontId="10" fillId="0" borderId="0" xfId="177" applyNumberFormat="1" applyFont="1" applyFill="1"/>
    <xf numFmtId="0" fontId="10" fillId="0" borderId="0" xfId="177" applyFont="1"/>
    <xf numFmtId="0" fontId="10" fillId="0" borderId="10" xfId="177" applyFont="1" applyFill="1" applyBorder="1"/>
    <xf numFmtId="0" fontId="10" fillId="29" borderId="10" xfId="177" applyFont="1" applyFill="1" applyBorder="1" applyAlignment="1">
      <alignment horizontal="center"/>
    </xf>
    <xf numFmtId="2" fontId="10" fillId="0" borderId="10" xfId="177" applyNumberFormat="1" applyFont="1" applyBorder="1"/>
    <xf numFmtId="173" fontId="10" fillId="0" borderId="10" xfId="177" applyNumberFormat="1" applyFont="1" applyFill="1" applyBorder="1" applyAlignment="1">
      <alignment horizontal="right"/>
    </xf>
    <xf numFmtId="2" fontId="10" fillId="0" borderId="13" xfId="177" applyNumberFormat="1" applyFont="1" applyFill="1" applyBorder="1" applyAlignment="1">
      <alignment horizontal="right"/>
    </xf>
    <xf numFmtId="2" fontId="10" fillId="0" borderId="10" xfId="177" applyNumberFormat="1" applyFont="1" applyFill="1" applyBorder="1"/>
    <xf numFmtId="2" fontId="10" fillId="0" borderId="12" xfId="177" applyNumberFormat="1" applyFont="1" applyFill="1" applyBorder="1" applyAlignment="1">
      <alignment horizontal="right"/>
    </xf>
    <xf numFmtId="173" fontId="42" fillId="0" borderId="10" xfId="177" applyNumberFormat="1" applyFont="1" applyFill="1" applyBorder="1" applyAlignment="1">
      <alignment horizontal="center"/>
    </xf>
    <xf numFmtId="2" fontId="10" fillId="0" borderId="15" xfId="177" applyNumberFormat="1" applyFont="1" applyFill="1" applyBorder="1" applyAlignment="1">
      <alignment horizontal="right"/>
    </xf>
    <xf numFmtId="2" fontId="10" fillId="0" borderId="16" xfId="177" applyNumberFormat="1" applyFont="1" applyFill="1" applyBorder="1" applyAlignment="1">
      <alignment horizontal="right"/>
    </xf>
    <xf numFmtId="2" fontId="9" fillId="25" borderId="10" xfId="177" applyNumberFormat="1" applyFont="1" applyFill="1" applyBorder="1" applyAlignment="1">
      <alignment horizontal="center"/>
    </xf>
    <xf numFmtId="173" fontId="9" fillId="25" borderId="10" xfId="177" applyNumberFormat="1" applyFont="1" applyFill="1" applyBorder="1" applyAlignment="1">
      <alignment horizontal="center"/>
    </xf>
    <xf numFmtId="0" fontId="10" fillId="0" borderId="16" xfId="177" applyFont="1" applyBorder="1" applyAlignment="1">
      <alignment horizontal="center"/>
    </xf>
    <xf numFmtId="0" fontId="10" fillId="0" borderId="16" xfId="177" applyFont="1" applyFill="1" applyBorder="1" applyAlignment="1">
      <alignment horizontal="center"/>
    </xf>
    <xf numFmtId="0" fontId="84" fillId="0" borderId="63" xfId="187" applyFont="1" applyBorder="1" applyAlignment="1">
      <alignment horizontal="center"/>
    </xf>
    <xf numFmtId="2" fontId="14" fillId="0" borderId="0" xfId="0" applyNumberFormat="1" applyFont="1" applyBorder="1" applyAlignment="1">
      <alignment horizontal="center"/>
    </xf>
    <xf numFmtId="2" fontId="14" fillId="24" borderId="0" xfId="0" applyNumberFormat="1" applyFont="1" applyFill="1" applyBorder="1" applyAlignment="1">
      <alignment horizontal="center"/>
    </xf>
    <xf numFmtId="2" fontId="12" fillId="24" borderId="0" xfId="0" applyNumberFormat="1" applyFont="1" applyFill="1" applyBorder="1"/>
    <xf numFmtId="0" fontId="38" fillId="26" borderId="16" xfId="0" applyFont="1" applyFill="1" applyBorder="1" applyAlignment="1">
      <alignment horizontal="center"/>
    </xf>
    <xf numFmtId="4" fontId="93" fillId="35" borderId="138" xfId="197" applyNumberFormat="1" applyFont="1" applyFill="1" applyBorder="1" applyAlignment="1">
      <alignment horizontal="center" vertical="center" wrapText="1"/>
    </xf>
    <xf numFmtId="0" fontId="93" fillId="35" borderId="138" xfId="197" applyFont="1" applyFill="1" applyBorder="1" applyAlignment="1">
      <alignment horizontal="center" vertical="center" wrapText="1"/>
    </xf>
    <xf numFmtId="0" fontId="62" fillId="24" borderId="0" xfId="0" applyFont="1" applyFill="1" applyAlignment="1">
      <alignment horizontal="center"/>
    </xf>
    <xf numFmtId="0" fontId="105" fillId="26" borderId="21" xfId="187" applyFill="1" applyBorder="1" applyAlignment="1">
      <alignment horizontal="center"/>
    </xf>
    <xf numFmtId="2" fontId="9" fillId="26" borderId="10" xfId="177" applyNumberFormat="1" applyFont="1" applyFill="1" applyBorder="1" applyAlignment="1">
      <alignment horizontal="center"/>
    </xf>
    <xf numFmtId="173" fontId="9" fillId="26" borderId="10" xfId="177" applyNumberFormat="1" applyFont="1" applyFill="1" applyBorder="1" applyAlignment="1">
      <alignment horizontal="center"/>
    </xf>
    <xf numFmtId="0" fontId="45" fillId="26" borderId="27" xfId="177" applyFont="1" applyFill="1" applyBorder="1"/>
    <xf numFmtId="0" fontId="45" fillId="26" borderId="134" xfId="177" applyFont="1" applyFill="1" applyBorder="1"/>
    <xf numFmtId="0" fontId="10" fillId="26" borderId="22" xfId="177" applyFont="1" applyFill="1" applyBorder="1"/>
    <xf numFmtId="0" fontId="105" fillId="26" borderId="21" xfId="187" applyFill="1" applyBorder="1" applyAlignment="1">
      <alignment horizontal="center"/>
    </xf>
    <xf numFmtId="0" fontId="0" fillId="0" borderId="45" xfId="0" applyBorder="1" applyAlignment="1">
      <alignment horizontal="center"/>
    </xf>
    <xf numFmtId="0" fontId="83" fillId="26" borderId="21" xfId="187" applyFont="1" applyFill="1" applyBorder="1" applyAlignment="1">
      <alignment horizontal="center"/>
    </xf>
    <xf numFmtId="0" fontId="39" fillId="24" borderId="0" xfId="0" applyFont="1" applyFill="1" applyBorder="1" applyAlignment="1"/>
    <xf numFmtId="0" fontId="38" fillId="0" borderId="0" xfId="0" applyFont="1" applyAlignment="1">
      <alignment horizontal="right"/>
    </xf>
    <xf numFmtId="0" fontId="38" fillId="0" borderId="20" xfId="0" applyFont="1" applyBorder="1" applyAlignment="1">
      <alignment horizontal="right"/>
    </xf>
    <xf numFmtId="0" fontId="38" fillId="0" borderId="10" xfId="0" applyFont="1" applyBorder="1" applyAlignment="1">
      <alignment horizontal="center"/>
    </xf>
    <xf numFmtId="0" fontId="38" fillId="0" borderId="59" xfId="0" applyFont="1" applyBorder="1" applyAlignment="1">
      <alignment horizontal="center"/>
    </xf>
    <xf numFmtId="14" fontId="89" fillId="0" borderId="46" xfId="0" applyNumberFormat="1" applyFont="1" applyBorder="1" applyAlignment="1">
      <alignment horizontal="center"/>
    </xf>
    <xf numFmtId="0" fontId="94" fillId="0" borderId="82" xfId="189" applyFont="1" applyBorder="1" applyAlignment="1">
      <alignment horizontal="center"/>
    </xf>
    <xf numFmtId="0" fontId="94" fillId="0" borderId="83" xfId="189" applyFont="1" applyBorder="1" applyAlignment="1">
      <alignment horizontal="center"/>
    </xf>
    <xf numFmtId="0" fontId="94" fillId="0" borderId="58" xfId="189" applyFont="1" applyBorder="1" applyAlignment="1">
      <alignment horizontal="center"/>
    </xf>
    <xf numFmtId="2" fontId="14" fillId="24" borderId="10" xfId="0" applyNumberFormat="1" applyFont="1" applyFill="1" applyBorder="1" applyAlignment="1">
      <alignment horizontal="center"/>
    </xf>
    <xf numFmtId="2" fontId="58" fillId="24" borderId="10" xfId="0" applyNumberFormat="1" applyFont="1" applyFill="1" applyBorder="1" applyAlignment="1">
      <alignment horizontal="center"/>
    </xf>
    <xf numFmtId="0" fontId="39" fillId="25" borderId="70" xfId="0" applyFont="1" applyFill="1" applyBorder="1"/>
    <xf numFmtId="0" fontId="39" fillId="25" borderId="60" xfId="0" applyFont="1" applyFill="1" applyBorder="1"/>
    <xf numFmtId="0" fontId="39" fillId="25" borderId="71" xfId="0" applyFont="1" applyFill="1" applyBorder="1"/>
    <xf numFmtId="43" fontId="14" fillId="25" borderId="10" xfId="157" applyFont="1" applyFill="1" applyBorder="1" applyAlignment="1">
      <alignment horizontal="left"/>
    </xf>
    <xf numFmtId="43" fontId="58" fillId="25" borderId="10" xfId="157" applyFont="1" applyFill="1" applyBorder="1"/>
    <xf numFmtId="0" fontId="0" fillId="0" borderId="70" xfId="0" applyBorder="1" applyAlignment="1">
      <alignment horizontal="center"/>
    </xf>
    <xf numFmtId="0" fontId="0" fillId="0" borderId="39" xfId="0" applyBorder="1" applyAlignment="1">
      <alignment horizontal="center"/>
    </xf>
    <xf numFmtId="0" fontId="0" fillId="0" borderId="67" xfId="0" applyBorder="1" applyAlignment="1">
      <alignment horizontal="center"/>
    </xf>
    <xf numFmtId="0" fontId="0" fillId="0" borderId="137" xfId="0" applyBorder="1" applyAlignment="1">
      <alignment horizontal="center"/>
    </xf>
    <xf numFmtId="0" fontId="0" fillId="0" borderId="60" xfId="0" applyBorder="1"/>
    <xf numFmtId="0" fontId="0" fillId="0" borderId="71" xfId="0" applyBorder="1"/>
    <xf numFmtId="0" fontId="0" fillId="0" borderId="74" xfId="0" applyBorder="1"/>
    <xf numFmtId="0" fontId="0" fillId="0" borderId="39" xfId="0" applyBorder="1"/>
    <xf numFmtId="0" fontId="0" fillId="0" borderId="84" xfId="0" applyBorder="1"/>
    <xf numFmtId="0" fontId="0" fillId="0" borderId="75" xfId="0" applyBorder="1"/>
    <xf numFmtId="0" fontId="0" fillId="0" borderId="0" xfId="0" applyBorder="1" applyAlignment="1">
      <alignment horizontal="center"/>
    </xf>
    <xf numFmtId="175" fontId="0" fillId="24" borderId="0" xfId="0" applyNumberFormat="1" applyFill="1" applyBorder="1" applyAlignment="1">
      <alignment horizontal="center"/>
    </xf>
    <xf numFmtId="1" fontId="0" fillId="0" borderId="39" xfId="0" applyNumberFormat="1" applyBorder="1" applyAlignment="1">
      <alignment horizontal="center"/>
    </xf>
    <xf numFmtId="1" fontId="0" fillId="0" borderId="67" xfId="0" applyNumberFormat="1" applyBorder="1" applyAlignment="1">
      <alignment horizontal="center"/>
    </xf>
    <xf numFmtId="0" fontId="16" fillId="31" borderId="70" xfId="0" applyFont="1" applyFill="1" applyBorder="1"/>
    <xf numFmtId="0" fontId="16" fillId="31" borderId="60" xfId="0" applyFont="1" applyFill="1" applyBorder="1"/>
    <xf numFmtId="4" fontId="93" fillId="35" borderId="85" xfId="197" applyNumberFormat="1" applyFont="1" applyFill="1" applyBorder="1" applyAlignment="1">
      <alignment horizontal="center" vertical="center" wrapText="1"/>
    </xf>
    <xf numFmtId="0" fontId="16" fillId="31" borderId="67" xfId="0" applyFont="1" applyFill="1" applyBorder="1"/>
    <xf numFmtId="0" fontId="16" fillId="31" borderId="84" xfId="0" applyFont="1" applyFill="1" applyBorder="1"/>
    <xf numFmtId="0" fontId="16" fillId="31" borderId="75" xfId="0" applyFont="1" applyFill="1" applyBorder="1"/>
    <xf numFmtId="0" fontId="0" fillId="31" borderId="71" xfId="0" applyFill="1" applyBorder="1"/>
    <xf numFmtId="0" fontId="0" fillId="31" borderId="60" xfId="0" applyFill="1" applyBorder="1"/>
    <xf numFmtId="4" fontId="95" fillId="31" borderId="85" xfId="197" applyNumberFormat="1" applyFont="1" applyFill="1" applyBorder="1" applyAlignment="1">
      <alignment horizontal="center" vertical="center" wrapText="1"/>
    </xf>
    <xf numFmtId="0" fontId="16" fillId="0" borderId="41" xfId="0" applyFont="1" applyBorder="1"/>
    <xf numFmtId="14" fontId="89" fillId="26" borderId="0" xfId="0" applyNumberFormat="1" applyFont="1" applyFill="1"/>
    <xf numFmtId="0" fontId="87" fillId="0" borderId="45" xfId="195" applyFont="1" applyFill="1" applyBorder="1" applyAlignment="1">
      <alignment horizontal="center" wrapText="1"/>
    </xf>
    <xf numFmtId="0" fontId="87" fillId="0" borderId="76" xfId="195" applyFont="1" applyFill="1" applyBorder="1" applyAlignment="1">
      <alignment horizontal="center" wrapText="1"/>
    </xf>
    <xf numFmtId="0" fontId="38" fillId="24" borderId="70" xfId="0" applyFont="1" applyFill="1" applyBorder="1" applyAlignment="1">
      <alignment horizontal="center" vertical="center"/>
    </xf>
    <xf numFmtId="0" fontId="38" fillId="24" borderId="45" xfId="0" applyFont="1" applyFill="1" applyBorder="1" applyAlignment="1">
      <alignment horizontal="center" vertical="center"/>
    </xf>
    <xf numFmtId="0" fontId="38" fillId="24" borderId="31" xfId="0" applyFont="1" applyFill="1" applyBorder="1" applyAlignment="1">
      <alignment horizontal="center" vertical="center"/>
    </xf>
    <xf numFmtId="3" fontId="38" fillId="24" borderId="0" xfId="0" applyNumberFormat="1" applyFont="1" applyFill="1" applyBorder="1"/>
    <xf numFmtId="3" fontId="89" fillId="0" borderId="63" xfId="0" applyNumberFormat="1" applyFont="1" applyBorder="1" applyAlignment="1">
      <alignment horizontal="center" vertical="center"/>
    </xf>
    <xf numFmtId="3" fontId="38" fillId="0" borderId="80" xfId="0" applyNumberFormat="1" applyFont="1" applyBorder="1" applyAlignment="1">
      <alignment horizontal="center" vertical="center"/>
    </xf>
    <xf numFmtId="3" fontId="38" fillId="0" borderId="62" xfId="0" applyNumberFormat="1" applyFont="1" applyBorder="1" applyAlignment="1">
      <alignment horizontal="center" vertical="center"/>
    </xf>
    <xf numFmtId="3" fontId="38" fillId="0" borderId="139" xfId="0" applyNumberFormat="1" applyFont="1" applyBorder="1" applyAlignment="1">
      <alignment horizontal="center" vertical="center"/>
    </xf>
    <xf numFmtId="0" fontId="87" fillId="0" borderId="0" xfId="196" applyFont="1" applyFill="1" applyBorder="1" applyAlignment="1">
      <alignment horizontal="center" vertical="center" wrapText="1"/>
    </xf>
    <xf numFmtId="9" fontId="10" fillId="24" borderId="0" xfId="203" applyFont="1" applyFill="1" applyBorder="1" applyAlignment="1">
      <alignment horizontal="center"/>
    </xf>
    <xf numFmtId="0" fontId="0" fillId="25" borderId="21" xfId="0" applyFill="1" applyBorder="1"/>
    <xf numFmtId="0" fontId="0" fillId="25" borderId="22" xfId="0" applyFill="1" applyBorder="1"/>
    <xf numFmtId="0" fontId="14" fillId="24" borderId="0" xfId="177" applyFont="1" applyFill="1" applyBorder="1" applyAlignment="1">
      <alignment vertical="center" wrapText="1"/>
    </xf>
    <xf numFmtId="0" fontId="54" fillId="25" borderId="12" xfId="0" applyFont="1" applyFill="1" applyBorder="1"/>
    <xf numFmtId="0" fontId="54" fillId="25" borderId="14" xfId="0" applyFont="1" applyFill="1" applyBorder="1"/>
    <xf numFmtId="0" fontId="54" fillId="25" borderId="15" xfId="0" applyFont="1" applyFill="1" applyBorder="1"/>
    <xf numFmtId="0" fontId="38" fillId="0" borderId="37" xfId="0" applyFont="1" applyBorder="1" applyAlignment="1">
      <alignment horizontal="center" vertical="center"/>
    </xf>
    <xf numFmtId="0" fontId="87" fillId="0" borderId="34" xfId="196" applyFont="1" applyFill="1" applyBorder="1" applyAlignment="1">
      <alignment horizontal="center" vertical="center" wrapText="1"/>
    </xf>
    <xf numFmtId="0" fontId="38" fillId="0" borderId="36" xfId="0" applyFont="1" applyBorder="1" applyAlignment="1">
      <alignment horizontal="center" vertical="center"/>
    </xf>
    <xf numFmtId="16" fontId="38" fillId="0" borderId="10" xfId="0" applyNumberFormat="1" applyFont="1" applyBorder="1" applyAlignment="1">
      <alignment horizontal="center" vertical="center"/>
    </xf>
    <xf numFmtId="16" fontId="38" fillId="0" borderId="33" xfId="0" applyNumberFormat="1" applyFont="1" applyBorder="1" applyAlignment="1">
      <alignment horizontal="center" vertical="center"/>
    </xf>
    <xf numFmtId="0" fontId="38" fillId="0" borderId="63" xfId="0" applyFont="1" applyBorder="1" applyAlignment="1">
      <alignment horizontal="center" vertical="center"/>
    </xf>
    <xf numFmtId="0" fontId="38" fillId="0" borderId="80" xfId="0" applyFont="1" applyBorder="1" applyAlignment="1">
      <alignment horizontal="center" vertical="center"/>
    </xf>
    <xf numFmtId="0" fontId="82" fillId="24" borderId="52" xfId="0" applyFont="1" applyFill="1" applyBorder="1" applyAlignment="1">
      <alignment horizontal="center" vertical="center"/>
    </xf>
    <xf numFmtId="0" fontId="87" fillId="24" borderId="114" xfId="195" applyFont="1" applyFill="1" applyBorder="1" applyAlignment="1">
      <alignment horizontal="center" wrapText="1"/>
    </xf>
    <xf numFmtId="0" fontId="87" fillId="24" borderId="115" xfId="195" applyFont="1" applyFill="1" applyBorder="1" applyAlignment="1">
      <alignment horizontal="center" wrapText="1"/>
    </xf>
    <xf numFmtId="4" fontId="97" fillId="0" borderId="39" xfId="195" applyNumberFormat="1" applyFont="1" applyFill="1" applyBorder="1" applyAlignment="1">
      <alignment horizontal="center" wrapText="1"/>
    </xf>
    <xf numFmtId="4" fontId="97" fillId="24" borderId="39" xfId="195" applyNumberFormat="1" applyFont="1" applyFill="1" applyBorder="1" applyAlignment="1">
      <alignment horizontal="center" wrapText="1"/>
    </xf>
    <xf numFmtId="173" fontId="14" fillId="25" borderId="10" xfId="0" applyNumberFormat="1" applyFont="1" applyFill="1" applyBorder="1" applyAlignment="1">
      <alignment horizontal="center"/>
    </xf>
    <xf numFmtId="2" fontId="10" fillId="24" borderId="10" xfId="0" applyNumberFormat="1" applyFont="1" applyFill="1" applyBorder="1" applyAlignment="1"/>
    <xf numFmtId="0" fontId="0" fillId="0" borderId="10" xfId="0" applyFill="1" applyBorder="1" applyAlignment="1"/>
    <xf numFmtId="0" fontId="0" fillId="0" borderId="13" xfId="0" applyBorder="1" applyAlignment="1"/>
    <xf numFmtId="0" fontId="27" fillId="0" borderId="15" xfId="0" applyFont="1" applyFill="1" applyBorder="1" applyAlignment="1"/>
    <xf numFmtId="2" fontId="50" fillId="26" borderId="10" xfId="0" applyNumberFormat="1" applyFont="1" applyFill="1" applyBorder="1" applyAlignment="1">
      <alignment horizontal="center"/>
    </xf>
    <xf numFmtId="0" fontId="27" fillId="0" borderId="71" xfId="0" applyFont="1" applyBorder="1" applyAlignment="1">
      <alignment horizontal="center"/>
    </xf>
    <xf numFmtId="0" fontId="82" fillId="0" borderId="22" xfId="0" applyFont="1" applyBorder="1" applyAlignment="1">
      <alignment horizontal="center"/>
    </xf>
    <xf numFmtId="0" fontId="91" fillId="29" borderId="140" xfId="0" applyFont="1" applyFill="1" applyBorder="1"/>
    <xf numFmtId="0" fontId="81" fillId="24" borderId="22" xfId="0" applyFont="1" applyFill="1" applyBorder="1" applyAlignment="1">
      <alignment horizontal="center"/>
    </xf>
    <xf numFmtId="0" fontId="82" fillId="0" borderId="45" xfId="0" applyFont="1" applyBorder="1"/>
    <xf numFmtId="0" fontId="81" fillId="0" borderId="70" xfId="0" applyFont="1" applyBorder="1"/>
    <xf numFmtId="2" fontId="82" fillId="24" borderId="33" xfId="0" applyNumberFormat="1" applyFont="1" applyFill="1" applyBorder="1" applyAlignment="1">
      <alignment horizontal="center"/>
    </xf>
    <xf numFmtId="0" fontId="81" fillId="33" borderId="74" xfId="0" applyFont="1" applyFill="1" applyBorder="1" applyAlignment="1">
      <alignment horizontal="center"/>
    </xf>
    <xf numFmtId="0" fontId="81" fillId="33" borderId="0" xfId="0" applyFont="1" applyFill="1" applyBorder="1" applyAlignment="1">
      <alignment horizontal="center"/>
    </xf>
    <xf numFmtId="0" fontId="38" fillId="0" borderId="21" xfId="0" applyFont="1" applyBorder="1" applyAlignment="1">
      <alignment horizontal="center" vertical="center"/>
    </xf>
    <xf numFmtId="0" fontId="38" fillId="0" borderId="27" xfId="0" applyFont="1" applyBorder="1" applyAlignment="1">
      <alignment horizontal="center" vertical="center"/>
    </xf>
    <xf numFmtId="0" fontId="83" fillId="24" borderId="37" xfId="0" applyFont="1" applyFill="1" applyBorder="1" applyAlignment="1">
      <alignment horizontal="center" vertical="center"/>
    </xf>
    <xf numFmtId="0" fontId="83" fillId="24" borderId="33" xfId="0" applyFont="1" applyFill="1" applyBorder="1" applyAlignment="1">
      <alignment horizontal="center" vertical="center"/>
    </xf>
    <xf numFmtId="0" fontId="83" fillId="24" borderId="79" xfId="0" applyFont="1" applyFill="1" applyBorder="1" applyAlignment="1">
      <alignment horizontal="center" vertical="center"/>
    </xf>
    <xf numFmtId="0" fontId="87" fillId="0" borderId="137" xfId="195" applyFont="1" applyFill="1" applyBorder="1" applyAlignment="1">
      <alignment horizontal="center" wrapText="1"/>
    </xf>
    <xf numFmtId="4" fontId="87" fillId="0" borderId="141" xfId="195" applyNumberFormat="1" applyFont="1" applyFill="1" applyBorder="1" applyAlignment="1">
      <alignment horizontal="center" wrapText="1"/>
    </xf>
    <xf numFmtId="0" fontId="87" fillId="0" borderId="41" xfId="195" applyFont="1" applyFill="1" applyBorder="1" applyAlignment="1">
      <alignment horizontal="center" wrapText="1"/>
    </xf>
    <xf numFmtId="4" fontId="87" fillId="0" borderId="142" xfId="195" applyNumberFormat="1" applyFont="1" applyFill="1" applyBorder="1" applyAlignment="1">
      <alignment horizontal="center" wrapText="1"/>
    </xf>
    <xf numFmtId="0" fontId="87" fillId="0" borderId="142" xfId="195" applyFont="1" applyFill="1" applyBorder="1" applyAlignment="1">
      <alignment horizontal="center" wrapText="1"/>
    </xf>
    <xf numFmtId="4" fontId="87" fillId="0" borderId="143" xfId="195" applyNumberFormat="1" applyFont="1" applyFill="1" applyBorder="1" applyAlignment="1">
      <alignment horizontal="center" wrapText="1"/>
    </xf>
    <xf numFmtId="0" fontId="87" fillId="0" borderId="144" xfId="195" applyFont="1" applyFill="1" applyBorder="1" applyAlignment="1">
      <alignment horizontal="center" wrapText="1"/>
    </xf>
    <xf numFmtId="0" fontId="87" fillId="0" borderId="145" xfId="195" applyFont="1" applyFill="1" applyBorder="1" applyAlignment="1">
      <alignment horizontal="center" wrapText="1"/>
    </xf>
    <xf numFmtId="0" fontId="38" fillId="29" borderId="22" xfId="0" applyFont="1" applyFill="1" applyBorder="1"/>
    <xf numFmtId="173" fontId="38" fillId="0" borderId="10" xfId="0" applyNumberFormat="1" applyFont="1" applyBorder="1" applyAlignment="1">
      <alignment horizontal="right"/>
    </xf>
    <xf numFmtId="0" fontId="38" fillId="0" borderId="71" xfId="0" applyFont="1" applyBorder="1" applyAlignment="1">
      <alignment horizontal="center" vertical="center"/>
    </xf>
    <xf numFmtId="0" fontId="38" fillId="0" borderId="74" xfId="0" applyFont="1" applyBorder="1" applyAlignment="1">
      <alignment horizontal="center" vertical="center"/>
    </xf>
    <xf numFmtId="0" fontId="38" fillId="0" borderId="45" xfId="0" applyFont="1" applyBorder="1" applyAlignment="1">
      <alignment horizontal="center" vertical="center"/>
    </xf>
    <xf numFmtId="0" fontId="38" fillId="0" borderId="76" xfId="0" applyFont="1" applyBorder="1" applyAlignment="1">
      <alignment horizontal="center" vertical="center"/>
    </xf>
    <xf numFmtId="0" fontId="38" fillId="0" borderId="48" xfId="0" applyFont="1" applyBorder="1" applyAlignment="1">
      <alignment horizontal="center" vertical="center"/>
    </xf>
    <xf numFmtId="16" fontId="38" fillId="0" borderId="13" xfId="0" applyNumberFormat="1" applyFont="1" applyBorder="1" applyAlignment="1">
      <alignment horizontal="center" vertical="center"/>
    </xf>
    <xf numFmtId="0" fontId="87" fillId="0" borderId="69" xfId="196" applyFont="1" applyFill="1" applyBorder="1" applyAlignment="1">
      <alignment horizontal="center" vertical="center" wrapText="1"/>
    </xf>
    <xf numFmtId="0" fontId="38" fillId="0" borderId="139" xfId="0" applyFont="1" applyBorder="1" applyAlignment="1">
      <alignment horizontal="center" vertical="center"/>
    </xf>
    <xf numFmtId="0" fontId="38" fillId="0" borderId="137" xfId="0" applyFont="1" applyBorder="1" applyAlignment="1">
      <alignment horizontal="center" vertical="center"/>
    </xf>
    <xf numFmtId="16" fontId="38" fillId="0" borderId="84" xfId="0" applyNumberFormat="1" applyFont="1" applyBorder="1" applyAlignment="1">
      <alignment horizontal="center" vertical="center"/>
    </xf>
    <xf numFmtId="0" fontId="38" fillId="0" borderId="75" xfId="0" applyFont="1" applyBorder="1" applyAlignment="1">
      <alignment horizontal="center" vertical="center"/>
    </xf>
    <xf numFmtId="0" fontId="87" fillId="0" borderId="137" xfId="196" applyFont="1" applyFill="1" applyBorder="1" applyAlignment="1">
      <alignment horizontal="center" vertical="center" wrapText="1"/>
    </xf>
    <xf numFmtId="0" fontId="87" fillId="0" borderId="76" xfId="196" applyFont="1" applyFill="1" applyBorder="1" applyAlignment="1">
      <alignment horizontal="center" vertical="center" wrapText="1"/>
    </xf>
    <xf numFmtId="0" fontId="45" fillId="26" borderId="41" xfId="177" applyFont="1" applyFill="1" applyBorder="1" applyAlignment="1"/>
    <xf numFmtId="0" fontId="12" fillId="0" borderId="10" xfId="0" applyFont="1" applyBorder="1"/>
    <xf numFmtId="0" fontId="12" fillId="31" borderId="10" xfId="0" applyFont="1" applyFill="1" applyBorder="1" applyAlignment="1">
      <alignment horizontal="center"/>
    </xf>
    <xf numFmtId="173" fontId="38" fillId="0" borderId="28" xfId="0" applyNumberFormat="1" applyFont="1" applyBorder="1" applyAlignment="1">
      <alignment horizontal="center"/>
    </xf>
    <xf numFmtId="0" fontId="10" fillId="0" borderId="12" xfId="0" applyFont="1" applyBorder="1" applyAlignment="1">
      <alignment horizontal="center"/>
    </xf>
    <xf numFmtId="0" fontId="10" fillId="0" borderId="15" xfId="0" applyFont="1" applyFill="1" applyBorder="1" applyAlignment="1">
      <alignment horizontal="center"/>
    </xf>
    <xf numFmtId="0" fontId="87" fillId="0" borderId="27" xfId="195" applyFont="1" applyFill="1" applyBorder="1" applyAlignment="1">
      <alignment horizontal="center" vertical="center" wrapText="1"/>
    </xf>
    <xf numFmtId="0" fontId="93" fillId="0" borderId="106" xfId="195" applyFont="1" applyFill="1" applyBorder="1" applyAlignment="1">
      <alignment horizontal="center" wrapText="1"/>
    </xf>
    <xf numFmtId="173" fontId="93" fillId="0" borderId="108" xfId="195" applyNumberFormat="1" applyFont="1" applyFill="1" applyBorder="1" applyAlignment="1">
      <alignment horizontal="center" wrapText="1"/>
    </xf>
    <xf numFmtId="0" fontId="93" fillId="0" borderId="112" xfId="195" applyFont="1" applyFill="1" applyBorder="1" applyAlignment="1">
      <alignment horizontal="center" wrapText="1"/>
    </xf>
    <xf numFmtId="173" fontId="93" fillId="0" borderId="113" xfId="195" applyNumberFormat="1" applyFont="1" applyFill="1" applyBorder="1" applyAlignment="1">
      <alignment horizontal="center" wrapText="1"/>
    </xf>
    <xf numFmtId="0" fontId="93" fillId="0" borderId="117" xfId="195" applyFont="1" applyFill="1" applyBorder="1" applyAlignment="1">
      <alignment horizontal="center" wrapText="1"/>
    </xf>
    <xf numFmtId="173" fontId="93" fillId="0" borderId="119" xfId="195" applyNumberFormat="1" applyFont="1" applyFill="1" applyBorder="1" applyAlignment="1">
      <alignment horizontal="center" wrapText="1"/>
    </xf>
    <xf numFmtId="0" fontId="93" fillId="0" borderId="123" xfId="195" applyFont="1" applyFill="1" applyBorder="1" applyAlignment="1">
      <alignment horizontal="center" wrapText="1"/>
    </xf>
    <xf numFmtId="0" fontId="93" fillId="0" borderId="129" xfId="195" applyFont="1" applyFill="1" applyBorder="1" applyAlignment="1">
      <alignment horizontal="center" wrapText="1"/>
    </xf>
    <xf numFmtId="173" fontId="93" fillId="0" borderId="131" xfId="195" applyNumberFormat="1" applyFont="1" applyFill="1" applyBorder="1" applyAlignment="1">
      <alignment horizontal="center" wrapText="1"/>
    </xf>
    <xf numFmtId="0" fontId="93" fillId="0" borderId="108" xfId="195" applyFont="1" applyFill="1" applyBorder="1" applyAlignment="1">
      <alignment horizontal="center" wrapText="1"/>
    </xf>
    <xf numFmtId="0" fontId="93" fillId="0" borderId="113" xfId="195" applyFont="1" applyFill="1" applyBorder="1" applyAlignment="1">
      <alignment horizontal="center" wrapText="1"/>
    </xf>
    <xf numFmtId="0" fontId="93" fillId="0" borderId="119" xfId="195" applyFont="1" applyFill="1" applyBorder="1" applyAlignment="1">
      <alignment horizontal="center" wrapText="1"/>
    </xf>
    <xf numFmtId="0" fontId="93" fillId="0" borderId="125" xfId="195" applyFont="1" applyFill="1" applyBorder="1" applyAlignment="1">
      <alignment horizontal="center" wrapText="1"/>
    </xf>
    <xf numFmtId="0" fontId="93" fillId="24" borderId="112" xfId="195" applyFont="1" applyFill="1" applyBorder="1" applyAlignment="1">
      <alignment horizontal="center" wrapText="1"/>
    </xf>
    <xf numFmtId="173" fontId="93" fillId="24" borderId="113" xfId="195" applyNumberFormat="1" applyFont="1" applyFill="1" applyBorder="1" applyAlignment="1">
      <alignment horizontal="center" wrapText="1"/>
    </xf>
    <xf numFmtId="0" fontId="93" fillId="0" borderId="146" xfId="195" applyFont="1" applyFill="1" applyBorder="1" applyAlignment="1">
      <alignment horizontal="center" wrapText="1"/>
    </xf>
    <xf numFmtId="0" fontId="93" fillId="0" borderId="147" xfId="195" applyFont="1" applyFill="1" applyBorder="1" applyAlignment="1">
      <alignment horizontal="center" wrapText="1"/>
    </xf>
    <xf numFmtId="0" fontId="93" fillId="0" borderId="143" xfId="195" applyFont="1" applyFill="1" applyBorder="1" applyAlignment="1">
      <alignment horizontal="center" wrapText="1"/>
    </xf>
    <xf numFmtId="0" fontId="93" fillId="0" borderId="148" xfId="195" applyFont="1" applyFill="1" applyBorder="1" applyAlignment="1">
      <alignment horizontal="center" wrapText="1"/>
    </xf>
    <xf numFmtId="0" fontId="93" fillId="0" borderId="149" xfId="195" applyFont="1" applyFill="1" applyBorder="1" applyAlignment="1">
      <alignment horizontal="center" wrapText="1"/>
    </xf>
    <xf numFmtId="0" fontId="93" fillId="0" borderId="150" xfId="195" applyFont="1" applyFill="1" applyBorder="1" applyAlignment="1">
      <alignment horizontal="center" wrapText="1"/>
    </xf>
    <xf numFmtId="0" fontId="93" fillId="0" borderId="151" xfId="195" applyFont="1" applyFill="1" applyBorder="1" applyAlignment="1">
      <alignment horizontal="center" wrapText="1"/>
    </xf>
    <xf numFmtId="0" fontId="93" fillId="0" borderId="152" xfId="195" applyFont="1" applyFill="1" applyBorder="1" applyAlignment="1">
      <alignment horizontal="center" wrapText="1"/>
    </xf>
    <xf numFmtId="0" fontId="93" fillId="0" borderId="141" xfId="195" applyFont="1" applyFill="1" applyBorder="1" applyAlignment="1">
      <alignment horizontal="center" wrapText="1"/>
    </xf>
    <xf numFmtId="0" fontId="93" fillId="0" borderId="146" xfId="195" applyFont="1" applyFill="1" applyBorder="1" applyAlignment="1">
      <alignment horizontal="center" vertical="center" wrapText="1"/>
    </xf>
    <xf numFmtId="0" fontId="93" fillId="0" borderId="147" xfId="195" applyFont="1" applyFill="1" applyBorder="1" applyAlignment="1">
      <alignment horizontal="center" vertical="center" wrapText="1"/>
    </xf>
    <xf numFmtId="1" fontId="0" fillId="0" borderId="10" xfId="0" applyNumberFormat="1" applyBorder="1" applyAlignment="1"/>
    <xf numFmtId="1" fontId="27" fillId="0" borderId="10" xfId="0" applyNumberFormat="1" applyFont="1" applyFill="1" applyBorder="1" applyAlignment="1"/>
    <xf numFmtId="1" fontId="0" fillId="0" borderId="10" xfId="0" applyNumberFormat="1" applyFill="1" applyBorder="1" applyAlignment="1"/>
    <xf numFmtId="1" fontId="27" fillId="0" borderId="10" xfId="0" applyNumberFormat="1" applyFont="1" applyBorder="1" applyAlignment="1"/>
    <xf numFmtId="2" fontId="38" fillId="24" borderId="10" xfId="0" applyNumberFormat="1" applyFont="1" applyFill="1" applyBorder="1" applyAlignment="1">
      <alignment horizontal="center"/>
    </xf>
    <xf numFmtId="2" fontId="12" fillId="0" borderId="10" xfId="177" applyNumberFormat="1" applyFont="1" applyFill="1" applyBorder="1" applyAlignment="1">
      <alignment horizontal="right"/>
    </xf>
    <xf numFmtId="2" fontId="12" fillId="0" borderId="10" xfId="177" applyNumberFormat="1" applyFont="1" applyFill="1" applyBorder="1" applyAlignment="1">
      <alignment horizontal="center"/>
    </xf>
    <xf numFmtId="2" fontId="38" fillId="0" borderId="47" xfId="0" applyNumberFormat="1" applyFont="1" applyBorder="1" applyAlignment="1">
      <alignment horizontal="center"/>
    </xf>
    <xf numFmtId="2" fontId="38" fillId="0" borderId="0" xfId="0" applyNumberFormat="1" applyFont="1"/>
    <xf numFmtId="0" fontId="38" fillId="0" borderId="52" xfId="0" applyFont="1" applyBorder="1" applyAlignment="1">
      <alignment horizontal="center"/>
    </xf>
    <xf numFmtId="43" fontId="14" fillId="24" borderId="0" xfId="157" applyFont="1" applyFill="1" applyBorder="1" applyAlignment="1">
      <alignment horizontal="left"/>
    </xf>
    <xf numFmtId="43" fontId="58" fillId="24" borderId="0" xfId="157" applyFont="1" applyFill="1" applyBorder="1"/>
    <xf numFmtId="0" fontId="87" fillId="24" borderId="0" xfId="195" applyFont="1" applyFill="1" applyBorder="1" applyAlignment="1">
      <alignment horizontal="center" vertical="center" wrapText="1"/>
    </xf>
    <xf numFmtId="0" fontId="93" fillId="24" borderId="0" xfId="195" applyFont="1" applyFill="1" applyBorder="1" applyAlignment="1">
      <alignment horizontal="center" vertical="center" wrapText="1"/>
    </xf>
    <xf numFmtId="4" fontId="87" fillId="24" borderId="0" xfId="195" applyNumberFormat="1" applyFont="1" applyFill="1" applyBorder="1" applyAlignment="1">
      <alignment horizontal="center" wrapText="1"/>
    </xf>
    <xf numFmtId="0" fontId="87" fillId="24" borderId="60" xfId="195" applyFont="1" applyFill="1" applyBorder="1" applyAlignment="1">
      <alignment horizontal="center" wrapText="1"/>
    </xf>
    <xf numFmtId="4" fontId="87" fillId="24" borderId="60" xfId="195" applyNumberFormat="1" applyFont="1" applyFill="1" applyBorder="1" applyAlignment="1">
      <alignment horizontal="center" wrapText="1"/>
    </xf>
    <xf numFmtId="4" fontId="87" fillId="24" borderId="71" xfId="195" applyNumberFormat="1" applyFont="1" applyFill="1" applyBorder="1" applyAlignment="1">
      <alignment horizontal="center" wrapText="1"/>
    </xf>
    <xf numFmtId="4" fontId="87" fillId="24" borderId="74" xfId="195" applyNumberFormat="1" applyFont="1" applyFill="1" applyBorder="1" applyAlignment="1">
      <alignment horizontal="center" wrapText="1"/>
    </xf>
    <xf numFmtId="0" fontId="87" fillId="24" borderId="70" xfId="195" applyFont="1" applyFill="1" applyBorder="1" applyAlignment="1">
      <alignment horizontal="center" wrapText="1"/>
    </xf>
    <xf numFmtId="0" fontId="87" fillId="24" borderId="71" xfId="195" applyFont="1" applyFill="1" applyBorder="1" applyAlignment="1">
      <alignment horizontal="center" wrapText="1"/>
    </xf>
    <xf numFmtId="0" fontId="87" fillId="24" borderId="39" xfId="195" applyFont="1" applyFill="1" applyBorder="1" applyAlignment="1">
      <alignment horizontal="center" wrapText="1"/>
    </xf>
    <xf numFmtId="0" fontId="87" fillId="24" borderId="74" xfId="195" applyFont="1" applyFill="1" applyBorder="1" applyAlignment="1">
      <alignment horizontal="center" wrapText="1"/>
    </xf>
    <xf numFmtId="0" fontId="93" fillId="24" borderId="70" xfId="195" applyFont="1" applyFill="1" applyBorder="1" applyAlignment="1">
      <alignment horizontal="center" vertical="center" wrapText="1"/>
    </xf>
    <xf numFmtId="0" fontId="93" fillId="24" borderId="71" xfId="195" applyFont="1" applyFill="1" applyBorder="1" applyAlignment="1">
      <alignment horizontal="center" vertical="center" wrapText="1"/>
    </xf>
    <xf numFmtId="0" fontId="93" fillId="24" borderId="39" xfId="195" applyFont="1" applyFill="1" applyBorder="1" applyAlignment="1">
      <alignment horizontal="center" vertical="center" wrapText="1"/>
    </xf>
    <xf numFmtId="0" fontId="93" fillId="24" borderId="74" xfId="195" applyFont="1" applyFill="1" applyBorder="1" applyAlignment="1">
      <alignment horizontal="center" vertical="center" wrapText="1"/>
    </xf>
    <xf numFmtId="0" fontId="0" fillId="24" borderId="41" xfId="0" applyFill="1" applyBorder="1" applyAlignment="1">
      <alignment horizontal="center"/>
    </xf>
    <xf numFmtId="0" fontId="0" fillId="0" borderId="41" xfId="0" applyBorder="1" applyAlignment="1">
      <alignment horizontal="center"/>
    </xf>
    <xf numFmtId="0" fontId="39" fillId="24" borderId="41" xfId="0" applyFont="1" applyFill="1" applyBorder="1" applyAlignment="1">
      <alignment horizontal="center"/>
    </xf>
    <xf numFmtId="0" fontId="0" fillId="0" borderId="80" xfId="0" applyBorder="1" applyAlignment="1">
      <alignment horizontal="center"/>
    </xf>
    <xf numFmtId="0" fontId="0" fillId="0" borderId="64" xfId="0" applyBorder="1" applyAlignment="1">
      <alignment horizontal="center"/>
    </xf>
    <xf numFmtId="173" fontId="55" fillId="24" borderId="0" xfId="0" applyNumberFormat="1" applyFont="1" applyFill="1" applyBorder="1" applyAlignment="1">
      <alignment horizontal="center"/>
    </xf>
    <xf numFmtId="3" fontId="45" fillId="26" borderId="54" xfId="0" applyNumberFormat="1" applyFont="1" applyFill="1" applyBorder="1" applyAlignment="1">
      <alignment horizontal="center" vertical="center"/>
    </xf>
    <xf numFmtId="170" fontId="9" fillId="26" borderId="54" xfId="0" applyNumberFormat="1" applyFont="1" applyFill="1" applyBorder="1" applyAlignment="1">
      <alignment horizontal="center" vertical="center"/>
    </xf>
    <xf numFmtId="0" fontId="77" fillId="0" borderId="0" xfId="0" applyFont="1"/>
    <xf numFmtId="0" fontId="38" fillId="0" borderId="97" xfId="0" applyFont="1" applyBorder="1" applyAlignment="1">
      <alignment horizontal="center"/>
    </xf>
    <xf numFmtId="0" fontId="38" fillId="0" borderId="50" xfId="0" applyFont="1" applyBorder="1" applyAlignment="1">
      <alignment horizontal="center"/>
    </xf>
    <xf numFmtId="0" fontId="87" fillId="0" borderId="153" xfId="195" applyFont="1" applyFill="1" applyBorder="1" applyAlignment="1">
      <alignment horizontal="center" wrapText="1"/>
    </xf>
    <xf numFmtId="4" fontId="87" fillId="0" borderId="146" xfId="195" applyNumberFormat="1" applyFont="1" applyFill="1" applyBorder="1" applyAlignment="1">
      <alignment horizontal="center" vertical="center" wrapText="1"/>
    </xf>
    <xf numFmtId="4" fontId="87" fillId="0" borderId="147" xfId="195" applyNumberFormat="1" applyFont="1" applyFill="1" applyBorder="1" applyAlignment="1">
      <alignment horizontal="center" vertical="center" wrapText="1"/>
    </xf>
    <xf numFmtId="0" fontId="38" fillId="0" borderId="20" xfId="0" applyFont="1" applyBorder="1"/>
    <xf numFmtId="2" fontId="12" fillId="0" borderId="15" xfId="0" applyNumberFormat="1" applyFont="1" applyBorder="1" applyAlignment="1">
      <alignment horizontal="center"/>
    </xf>
    <xf numFmtId="2" fontId="12" fillId="0" borderId="16" xfId="0" applyNumberFormat="1" applyFont="1" applyBorder="1" applyAlignment="1">
      <alignment horizontal="right"/>
    </xf>
    <xf numFmtId="2" fontId="12" fillId="0" borderId="16" xfId="0" applyNumberFormat="1" applyFont="1" applyFill="1" applyBorder="1" applyAlignment="1">
      <alignment horizontal="right"/>
    </xf>
    <xf numFmtId="0" fontId="87" fillId="24" borderId="45" xfId="195" applyFont="1" applyFill="1" applyBorder="1" applyAlignment="1">
      <alignment horizontal="center" wrapText="1"/>
    </xf>
    <xf numFmtId="0" fontId="87" fillId="24" borderId="137" xfId="195" applyFont="1" applyFill="1" applyBorder="1" applyAlignment="1">
      <alignment horizontal="center" wrapText="1"/>
    </xf>
    <xf numFmtId="0" fontId="87" fillId="0" borderId="41" xfId="195" applyFont="1" applyFill="1" applyBorder="1" applyAlignment="1">
      <alignment horizontal="center" vertical="center" wrapText="1"/>
    </xf>
    <xf numFmtId="0" fontId="39" fillId="0" borderId="67" xfId="0" applyFont="1" applyBorder="1" applyAlignment="1">
      <alignment horizontal="center"/>
    </xf>
    <xf numFmtId="0" fontId="39" fillId="0" borderId="76" xfId="0" applyFont="1" applyBorder="1" applyAlignment="1">
      <alignment horizontal="center"/>
    </xf>
    <xf numFmtId="0" fontId="38" fillId="0" borderId="92" xfId="0" applyFont="1" applyBorder="1"/>
    <xf numFmtId="0" fontId="86" fillId="24" borderId="0" xfId="0" applyFont="1" applyFill="1" applyAlignment="1">
      <alignment horizontal="center"/>
    </xf>
    <xf numFmtId="0" fontId="77" fillId="24" borderId="0" xfId="0" applyFont="1" applyFill="1" applyAlignment="1">
      <alignment horizontal="center"/>
    </xf>
    <xf numFmtId="0" fontId="77" fillId="0" borderId="0" xfId="0" applyFont="1" applyAlignment="1">
      <alignment horizontal="center"/>
    </xf>
    <xf numFmtId="14" fontId="89" fillId="24" borderId="34" xfId="0" applyNumberFormat="1" applyFont="1" applyFill="1" applyBorder="1" applyAlignment="1">
      <alignment horizontal="center"/>
    </xf>
    <xf numFmtId="0" fontId="87" fillId="24" borderId="21" xfId="195" applyFont="1" applyFill="1" applyBorder="1" applyAlignment="1">
      <alignment horizontal="center" wrapText="1"/>
    </xf>
    <xf numFmtId="0" fontId="87" fillId="24" borderId="41" xfId="195" applyFont="1" applyFill="1" applyBorder="1" applyAlignment="1">
      <alignment horizontal="center" wrapText="1"/>
    </xf>
    <xf numFmtId="0" fontId="93" fillId="24" borderId="27" xfId="195" applyFont="1" applyFill="1" applyBorder="1" applyAlignment="1">
      <alignment horizontal="center" vertical="center" wrapText="1"/>
    </xf>
    <xf numFmtId="0" fontId="93" fillId="24" borderId="22" xfId="195" applyFont="1" applyFill="1" applyBorder="1" applyAlignment="1">
      <alignment horizontal="center" vertical="center" wrapText="1"/>
    </xf>
    <xf numFmtId="4" fontId="87" fillId="24" borderId="70" xfId="195" applyNumberFormat="1" applyFont="1" applyFill="1" applyBorder="1" applyAlignment="1">
      <alignment horizontal="center" wrapText="1"/>
    </xf>
    <xf numFmtId="4" fontId="87" fillId="24" borderId="39" xfId="195" applyNumberFormat="1" applyFont="1" applyFill="1" applyBorder="1" applyAlignment="1">
      <alignment horizontal="center" wrapText="1"/>
    </xf>
    <xf numFmtId="0" fontId="38" fillId="24" borderId="39" xfId="0" applyFont="1" applyFill="1" applyBorder="1"/>
    <xf numFmtId="4" fontId="100" fillId="24" borderId="41" xfId="0" applyNumberFormat="1" applyFont="1" applyFill="1" applyBorder="1" applyAlignment="1">
      <alignment horizontal="center" vertical="center"/>
    </xf>
    <xf numFmtId="9" fontId="100" fillId="24" borderId="41" xfId="203" applyFont="1" applyFill="1" applyBorder="1" applyAlignment="1">
      <alignment horizontal="center" vertical="center"/>
    </xf>
    <xf numFmtId="0" fontId="74" fillId="0" borderId="52" xfId="0" applyFont="1" applyBorder="1"/>
    <xf numFmtId="0" fontId="74" fillId="24" borderId="39" xfId="0" applyFont="1" applyFill="1" applyBorder="1"/>
    <xf numFmtId="0" fontId="27" fillId="0" borderId="54" xfId="0" applyFont="1" applyBorder="1" applyAlignment="1">
      <alignment horizontal="center"/>
    </xf>
    <xf numFmtId="175" fontId="27" fillId="24" borderId="54" xfId="0" applyNumberFormat="1" applyFont="1" applyFill="1" applyBorder="1" applyAlignment="1">
      <alignment horizontal="center"/>
    </xf>
    <xf numFmtId="0" fontId="27" fillId="24" borderId="0" xfId="0" applyFont="1" applyFill="1" applyBorder="1" applyAlignment="1">
      <alignment horizontal="center"/>
    </xf>
    <xf numFmtId="175" fontId="27" fillId="24" borderId="0" xfId="0" applyNumberFormat="1" applyFont="1" applyFill="1" applyBorder="1" applyAlignment="1">
      <alignment horizontal="center"/>
    </xf>
    <xf numFmtId="0" fontId="16" fillId="0" borderId="21" xfId="0" applyFont="1" applyBorder="1"/>
    <xf numFmtId="4" fontId="95" fillId="31" borderId="41" xfId="197" applyNumberFormat="1" applyFont="1" applyFill="1" applyBorder="1" applyAlignment="1">
      <alignment horizontal="center" vertical="center" wrapText="1"/>
    </xf>
    <xf numFmtId="0" fontId="89" fillId="0" borderId="39" xfId="0" applyFont="1" applyBorder="1"/>
    <xf numFmtId="0" fontId="89" fillId="0" borderId="41" xfId="0" applyFont="1" applyBorder="1"/>
    <xf numFmtId="2" fontId="10" fillId="26" borderId="10" xfId="0" applyNumberFormat="1" applyFont="1" applyFill="1" applyBorder="1"/>
    <xf numFmtId="173" fontId="12" fillId="0" borderId="10" xfId="177" applyNumberFormat="1" applyFont="1" applyFill="1" applyBorder="1" applyAlignment="1">
      <alignment horizontal="right"/>
    </xf>
    <xf numFmtId="1" fontId="0" fillId="24" borderId="70" xfId="0" applyNumberFormat="1" applyFill="1" applyBorder="1" applyAlignment="1">
      <alignment horizontal="center"/>
    </xf>
    <xf numFmtId="4" fontId="95" fillId="35" borderId="138" xfId="197" applyNumberFormat="1" applyFont="1" applyFill="1" applyBorder="1" applyAlignment="1">
      <alignment horizontal="center" vertical="center" wrapText="1"/>
    </xf>
    <xf numFmtId="0" fontId="27" fillId="26" borderId="41" xfId="0" applyFont="1" applyFill="1" applyBorder="1" applyAlignment="1">
      <alignment horizontal="center"/>
    </xf>
    <xf numFmtId="3" fontId="39" fillId="26" borderId="92" xfId="0" applyNumberFormat="1" applyFont="1" applyFill="1" applyBorder="1" applyAlignment="1">
      <alignment horizontal="center" vertical="center"/>
    </xf>
    <xf numFmtId="4" fontId="87" fillId="24" borderId="21" xfId="195" applyNumberFormat="1" applyFont="1" applyFill="1" applyBorder="1" applyAlignment="1">
      <alignment horizontal="center" wrapText="1"/>
    </xf>
    <xf numFmtId="4" fontId="87" fillId="24" borderId="22" xfId="195" applyNumberFormat="1" applyFont="1" applyFill="1" applyBorder="1" applyAlignment="1">
      <alignment horizontal="center" wrapText="1"/>
    </xf>
    <xf numFmtId="14" fontId="89" fillId="0" borderId="34" xfId="0" applyNumberFormat="1" applyFont="1" applyBorder="1" applyAlignment="1">
      <alignment horizontal="center"/>
    </xf>
    <xf numFmtId="10" fontId="0" fillId="0" borderId="45" xfId="0" applyNumberFormat="1" applyBorder="1" applyAlignment="1">
      <alignment horizontal="center"/>
    </xf>
    <xf numFmtId="10" fontId="0" fillId="0" borderId="76" xfId="0" applyNumberFormat="1" applyBorder="1" applyAlignment="1">
      <alignment horizontal="center"/>
    </xf>
    <xf numFmtId="10" fontId="0" fillId="0" borderId="41" xfId="0" applyNumberFormat="1" applyBorder="1" applyAlignment="1">
      <alignment horizontal="center"/>
    </xf>
    <xf numFmtId="0" fontId="93" fillId="0" borderId="52" xfId="195" applyFont="1" applyFill="1" applyBorder="1" applyAlignment="1">
      <alignment horizontal="center" wrapText="1"/>
    </xf>
    <xf numFmtId="0" fontId="93" fillId="0" borderId="54" xfId="195" applyFont="1" applyFill="1" applyBorder="1" applyAlignment="1">
      <alignment horizontal="center" wrapText="1"/>
    </xf>
    <xf numFmtId="0" fontId="93" fillId="0" borderId="27" xfId="195" applyFont="1" applyFill="1" applyBorder="1" applyAlignment="1">
      <alignment horizontal="center" wrapText="1"/>
    </xf>
    <xf numFmtId="0" fontId="93" fillId="0" borderId="22" xfId="195" applyFont="1" applyFill="1" applyBorder="1" applyAlignment="1">
      <alignment horizontal="center" wrapText="1"/>
    </xf>
    <xf numFmtId="0" fontId="87" fillId="24" borderId="70" xfId="195" applyFont="1" applyFill="1" applyBorder="1" applyAlignment="1">
      <alignment horizontal="center" vertical="center" wrapText="1"/>
    </xf>
    <xf numFmtId="0" fontId="87" fillId="24" borderId="39" xfId="195" applyFont="1" applyFill="1" applyBorder="1" applyAlignment="1">
      <alignment horizontal="center" vertical="center" wrapText="1"/>
    </xf>
    <xf numFmtId="4" fontId="0" fillId="0" borderId="0" xfId="0" applyNumberFormat="1" applyBorder="1"/>
    <xf numFmtId="3" fontId="0" fillId="0" borderId="0" xfId="0" applyNumberFormat="1" applyBorder="1" applyAlignment="1">
      <alignment horizontal="center" vertical="center"/>
    </xf>
    <xf numFmtId="0" fontId="0" fillId="0" borderId="0" xfId="0" applyBorder="1" applyAlignment="1">
      <alignment horizontal="center" vertical="center"/>
    </xf>
    <xf numFmtId="16" fontId="0" fillId="0" borderId="0" xfId="0" applyNumberFormat="1" applyBorder="1" applyAlignment="1">
      <alignment horizontal="center" vertical="center"/>
    </xf>
    <xf numFmtId="3" fontId="47" fillId="0" borderId="0" xfId="196" applyNumberFormat="1" applyFont="1" applyFill="1" applyBorder="1" applyAlignment="1">
      <alignment horizontal="center" vertical="center" wrapText="1"/>
    </xf>
    <xf numFmtId="0" fontId="38" fillId="0" borderId="54" xfId="0" applyFont="1" applyBorder="1" applyAlignment="1">
      <alignment horizontal="center" vertical="center" wrapText="1"/>
    </xf>
    <xf numFmtId="0" fontId="12" fillId="0" borderId="10" xfId="0" applyFont="1" applyFill="1" applyBorder="1" applyAlignment="1">
      <alignment wrapText="1"/>
    </xf>
    <xf numFmtId="3" fontId="12" fillId="0" borderId="0" xfId="0" applyNumberFormat="1" applyFont="1" applyFill="1" applyBorder="1" applyAlignment="1">
      <alignment horizontal="center" vertical="center"/>
    </xf>
    <xf numFmtId="1" fontId="38" fillId="0" borderId="0" xfId="0" applyNumberFormat="1" applyFont="1"/>
    <xf numFmtId="0" fontId="84" fillId="24" borderId="139" xfId="187" applyFont="1" applyFill="1" applyBorder="1" applyAlignment="1">
      <alignment horizontal="center"/>
    </xf>
    <xf numFmtId="0" fontId="0" fillId="24" borderId="74" xfId="0" applyFill="1" applyBorder="1" applyAlignment="1">
      <alignment horizontal="center"/>
    </xf>
    <xf numFmtId="0" fontId="84" fillId="24" borderId="14" xfId="187" applyFont="1" applyFill="1" applyBorder="1" applyAlignment="1">
      <alignment horizontal="center"/>
    </xf>
    <xf numFmtId="0" fontId="84" fillId="24" borderId="65" xfId="187" applyFont="1" applyFill="1" applyBorder="1" applyAlignment="1">
      <alignment horizontal="center"/>
    </xf>
    <xf numFmtId="0" fontId="84" fillId="24" borderId="76" xfId="187" applyFont="1" applyFill="1" applyBorder="1" applyAlignment="1">
      <alignment horizontal="center"/>
    </xf>
    <xf numFmtId="0" fontId="84" fillId="24" borderId="19" xfId="187" applyFont="1" applyFill="1" applyBorder="1" applyAlignment="1">
      <alignment horizontal="center"/>
    </xf>
    <xf numFmtId="0" fontId="67" fillId="24" borderId="158" xfId="179" applyFont="1" applyFill="1" applyBorder="1" applyAlignment="1">
      <alignment horizontal="center" wrapText="1"/>
    </xf>
    <xf numFmtId="2" fontId="38" fillId="0" borderId="0" xfId="0" applyNumberFormat="1" applyFont="1" applyBorder="1" applyAlignment="1">
      <alignment horizontal="center"/>
    </xf>
    <xf numFmtId="1" fontId="0" fillId="24" borderId="27" xfId="0" applyNumberFormat="1" applyFill="1" applyBorder="1" applyAlignment="1">
      <alignment horizontal="center"/>
    </xf>
    <xf numFmtId="0" fontId="39" fillId="24" borderId="70" xfId="179" applyFont="1" applyFill="1" applyBorder="1" applyAlignment="1">
      <alignment horizontal="center" wrapText="1"/>
    </xf>
    <xf numFmtId="0" fontId="105" fillId="0" borderId="83" xfId="189" applyBorder="1" applyAlignment="1">
      <alignment horizontal="center"/>
    </xf>
    <xf numFmtId="0" fontId="105" fillId="0" borderId="58" xfId="189" applyBorder="1" applyAlignment="1">
      <alignment horizontal="center"/>
    </xf>
    <xf numFmtId="0" fontId="105" fillId="0" borderId="82" xfId="189" applyBorder="1" applyAlignment="1">
      <alignment horizontal="center"/>
    </xf>
    <xf numFmtId="0" fontId="105" fillId="0" borderId="92" xfId="193" applyBorder="1" applyAlignment="1">
      <alignment horizontal="center"/>
    </xf>
    <xf numFmtId="0" fontId="105" fillId="0" borderId="98" xfId="193" applyBorder="1" applyAlignment="1">
      <alignment horizontal="center"/>
    </xf>
    <xf numFmtId="0" fontId="105" fillId="0" borderId="68" xfId="193" applyBorder="1" applyAlignment="1">
      <alignment horizontal="center"/>
    </xf>
    <xf numFmtId="0" fontId="105" fillId="0" borderId="63" xfId="191" applyBorder="1" applyAlignment="1">
      <alignment horizontal="center"/>
    </xf>
    <xf numFmtId="0" fontId="105" fillId="0" borderId="80" xfId="191" applyBorder="1" applyAlignment="1">
      <alignment horizontal="center"/>
    </xf>
    <xf numFmtId="0" fontId="105" fillId="0" borderId="64" xfId="191" applyBorder="1" applyAlignment="1">
      <alignment horizontal="center"/>
    </xf>
    <xf numFmtId="0" fontId="39" fillId="30" borderId="22" xfId="0" applyFont="1" applyFill="1" applyBorder="1" applyAlignment="1">
      <alignment horizontal="center"/>
    </xf>
    <xf numFmtId="0" fontId="38" fillId="24" borderId="27" xfId="179" applyFont="1" applyFill="1" applyBorder="1" applyAlignment="1">
      <alignment horizontal="center" wrapText="1"/>
    </xf>
    <xf numFmtId="0" fontId="98" fillId="0" borderId="27" xfId="189" applyFont="1" applyBorder="1" applyAlignment="1">
      <alignment horizontal="center"/>
    </xf>
    <xf numFmtId="0" fontId="105" fillId="0" borderId="41" xfId="191" applyBorder="1" applyAlignment="1">
      <alignment horizontal="center"/>
    </xf>
    <xf numFmtId="0" fontId="105" fillId="0" borderId="22" xfId="193" applyBorder="1" applyAlignment="1">
      <alignment horizontal="center"/>
    </xf>
    <xf numFmtId="0" fontId="84" fillId="24" borderId="41" xfId="187" applyFont="1" applyFill="1" applyBorder="1" applyAlignment="1">
      <alignment horizontal="center"/>
    </xf>
    <xf numFmtId="0" fontId="84" fillId="24" borderId="22" xfId="187" applyFont="1" applyFill="1" applyBorder="1" applyAlignment="1">
      <alignment horizontal="center"/>
    </xf>
    <xf numFmtId="2" fontId="39" fillId="0" borderId="59" xfId="0" applyNumberFormat="1" applyFont="1" applyBorder="1" applyAlignment="1">
      <alignment horizontal="center"/>
    </xf>
    <xf numFmtId="173" fontId="10" fillId="0" borderId="0" xfId="0" applyNumberFormat="1" applyFont="1" applyFill="1"/>
    <xf numFmtId="173" fontId="38" fillId="0" borderId="10" xfId="0" applyNumberFormat="1" applyFont="1" applyFill="1" applyBorder="1" applyAlignment="1">
      <alignment horizontal="right"/>
    </xf>
    <xf numFmtId="173" fontId="55" fillId="0" borderId="10" xfId="0" applyNumberFormat="1" applyFont="1" applyFill="1" applyBorder="1" applyAlignment="1">
      <alignment horizontal="right"/>
    </xf>
    <xf numFmtId="173" fontId="55" fillId="0" borderId="10" xfId="0" applyNumberFormat="1" applyFont="1" applyBorder="1"/>
    <xf numFmtId="0" fontId="0" fillId="0" borderId="45" xfId="0" applyBorder="1"/>
    <xf numFmtId="181" fontId="58" fillId="0" borderId="10" xfId="157" applyNumberFormat="1" applyFont="1" applyBorder="1" applyAlignment="1">
      <alignment horizontal="center"/>
    </xf>
    <xf numFmtId="2" fontId="14" fillId="25" borderId="13" xfId="0" applyNumberFormat="1" applyFont="1" applyFill="1" applyBorder="1" applyAlignment="1">
      <alignment horizontal="center"/>
    </xf>
    <xf numFmtId="2" fontId="58" fillId="25" borderId="13" xfId="0" applyNumberFormat="1" applyFont="1" applyFill="1" applyBorder="1" applyAlignment="1">
      <alignment horizontal="center"/>
    </xf>
    <xf numFmtId="43" fontId="14" fillId="0" borderId="37" xfId="157" applyFont="1" applyFill="1" applyBorder="1" applyAlignment="1">
      <alignment horizontal="left"/>
    </xf>
    <xf numFmtId="181" fontId="58" fillId="0" borderId="34" xfId="157" applyNumberFormat="1" applyFont="1" applyBorder="1" applyAlignment="1">
      <alignment horizontal="center"/>
    </xf>
    <xf numFmtId="43" fontId="14" fillId="0" borderId="44" xfId="157" applyFont="1" applyFill="1" applyBorder="1" applyAlignment="1">
      <alignment horizontal="left"/>
    </xf>
    <xf numFmtId="2" fontId="58" fillId="0" borderId="34" xfId="157" applyNumberFormat="1" applyFont="1" applyBorder="1" applyAlignment="1">
      <alignment horizontal="center"/>
    </xf>
    <xf numFmtId="0" fontId="70" fillId="26" borderId="27" xfId="187" applyFont="1" applyFill="1" applyBorder="1"/>
    <xf numFmtId="0" fontId="84" fillId="24" borderId="21" xfId="187" applyFont="1" applyFill="1" applyBorder="1" applyAlignment="1">
      <alignment horizontal="center"/>
    </xf>
    <xf numFmtId="0" fontId="0" fillId="0" borderId="41" xfId="0" applyBorder="1"/>
    <xf numFmtId="0" fontId="45" fillId="25" borderId="10" xfId="177" applyFont="1" applyFill="1" applyBorder="1"/>
    <xf numFmtId="16" fontId="38" fillId="0" borderId="76" xfId="0" applyNumberFormat="1" applyFont="1" applyBorder="1" applyAlignment="1">
      <alignment horizontal="center" vertical="center"/>
    </xf>
    <xf numFmtId="16" fontId="38" fillId="0" borderId="41" xfId="0" applyNumberFormat="1" applyFont="1" applyBorder="1" applyAlignment="1">
      <alignment horizontal="center" vertical="center"/>
    </xf>
    <xf numFmtId="0" fontId="39" fillId="0" borderId="76" xfId="0" applyFont="1" applyBorder="1" applyAlignment="1">
      <alignment horizontal="center" vertical="center"/>
    </xf>
    <xf numFmtId="0" fontId="0" fillId="0" borderId="0" xfId="0"/>
    <xf numFmtId="0" fontId="83" fillId="40" borderId="27" xfId="187" applyFont="1" applyFill="1" applyBorder="1"/>
    <xf numFmtId="0" fontId="84" fillId="40" borderId="21" xfId="187" applyFont="1" applyFill="1" applyBorder="1"/>
    <xf numFmtId="0" fontId="105" fillId="40" borderId="21" xfId="187" applyFill="1" applyBorder="1" applyAlignment="1">
      <alignment horizontal="center"/>
    </xf>
    <xf numFmtId="0" fontId="0" fillId="40" borderId="22" xfId="0" applyFill="1" applyBorder="1"/>
    <xf numFmtId="0" fontId="55" fillId="40" borderId="22" xfId="0" applyFont="1" applyFill="1" applyBorder="1"/>
    <xf numFmtId="0" fontId="70" fillId="40" borderId="27" xfId="187" applyFont="1" applyFill="1" applyBorder="1"/>
    <xf numFmtId="0" fontId="38" fillId="41" borderId="87" xfId="179" applyFont="1" applyFill="1" applyBorder="1" applyAlignment="1">
      <alignment horizontal="center" wrapText="1"/>
    </xf>
    <xf numFmtId="0" fontId="105" fillId="41" borderId="83" xfId="189" applyFill="1" applyBorder="1" applyAlignment="1">
      <alignment horizontal="center"/>
    </xf>
    <xf numFmtId="0" fontId="105" fillId="41" borderId="63" xfId="191" applyFill="1" applyBorder="1" applyAlignment="1">
      <alignment horizontal="center"/>
    </xf>
    <xf numFmtId="0" fontId="105" fillId="41" borderId="92" xfId="193" applyFill="1" applyBorder="1" applyAlignment="1">
      <alignment horizontal="center"/>
    </xf>
    <xf numFmtId="0" fontId="84" fillId="41" borderId="63" xfId="187" applyFont="1" applyFill="1" applyBorder="1" applyAlignment="1">
      <alignment horizontal="center"/>
    </xf>
    <xf numFmtId="0" fontId="84" fillId="41" borderId="92" xfId="187" applyFont="1" applyFill="1" applyBorder="1" applyAlignment="1">
      <alignment horizontal="center"/>
    </xf>
    <xf numFmtId="0" fontId="84" fillId="41" borderId="65" xfId="187" applyFont="1" applyFill="1" applyBorder="1" applyAlignment="1">
      <alignment horizontal="center"/>
    </xf>
    <xf numFmtId="0" fontId="38" fillId="41" borderId="12" xfId="179" applyFont="1" applyFill="1" applyBorder="1" applyAlignment="1">
      <alignment horizontal="center" wrapText="1"/>
    </xf>
    <xf numFmtId="0" fontId="105" fillId="41" borderId="80" xfId="191" applyFill="1" applyBorder="1" applyAlignment="1">
      <alignment horizontal="center"/>
    </xf>
    <xf numFmtId="0" fontId="105" fillId="41" borderId="98" xfId="193" applyFill="1" applyBorder="1" applyAlignment="1">
      <alignment horizontal="center"/>
    </xf>
    <xf numFmtId="0" fontId="84" fillId="41" borderId="62" xfId="187" applyFont="1" applyFill="1" applyBorder="1" applyAlignment="1">
      <alignment horizontal="center"/>
    </xf>
    <xf numFmtId="0" fontId="84" fillId="41" borderId="93" xfId="187" applyFont="1" applyFill="1" applyBorder="1" applyAlignment="1">
      <alignment horizontal="center"/>
    </xf>
    <xf numFmtId="0" fontId="84" fillId="41" borderId="14" xfId="187" applyFont="1" applyFill="1" applyBorder="1" applyAlignment="1">
      <alignment horizontal="center"/>
    </xf>
    <xf numFmtId="0" fontId="84" fillId="41" borderId="80" xfId="187" applyFont="1" applyFill="1" applyBorder="1" applyAlignment="1">
      <alignment horizontal="center"/>
    </xf>
    <xf numFmtId="0" fontId="6" fillId="41" borderId="83" xfId="189" applyFont="1" applyFill="1" applyBorder="1" applyAlignment="1">
      <alignment horizontal="center"/>
    </xf>
    <xf numFmtId="0" fontId="84" fillId="41" borderId="98" xfId="187" applyFont="1" applyFill="1" applyBorder="1" applyAlignment="1">
      <alignment horizontal="center"/>
    </xf>
    <xf numFmtId="0" fontId="0" fillId="24" borderId="64" xfId="0" applyFill="1" applyBorder="1" applyAlignment="1">
      <alignment horizontal="center"/>
    </xf>
    <xf numFmtId="0" fontId="0" fillId="0" borderId="0" xfId="0"/>
    <xf numFmtId="4" fontId="71" fillId="26" borderId="41" xfId="0" applyNumberFormat="1" applyFont="1" applyFill="1" applyBorder="1" applyAlignment="1">
      <alignment horizontal="center" vertical="center"/>
    </xf>
    <xf numFmtId="3" fontId="38" fillId="0" borderId="40" xfId="0" applyNumberFormat="1" applyFont="1" applyBorder="1" applyAlignment="1">
      <alignment horizontal="center" vertical="center"/>
    </xf>
    <xf numFmtId="3" fontId="38" fillId="0" borderId="42" xfId="0" applyNumberFormat="1" applyFont="1" applyBorder="1" applyAlignment="1">
      <alignment horizontal="center" vertical="center"/>
    </xf>
    <xf numFmtId="3" fontId="38" fillId="0" borderId="88" xfId="0" applyNumberFormat="1" applyFont="1" applyBorder="1" applyAlignment="1">
      <alignment horizontal="center" vertical="center"/>
    </xf>
    <xf numFmtId="3" fontId="72" fillId="0" borderId="43" xfId="196" applyNumberFormat="1" applyFont="1" applyFill="1" applyBorder="1" applyAlignment="1">
      <alignment horizontal="center" vertical="center" wrapText="1"/>
    </xf>
    <xf numFmtId="3" fontId="38" fillId="0" borderId="71" xfId="0" applyNumberFormat="1" applyFont="1" applyBorder="1" applyAlignment="1">
      <alignment horizontal="center" vertical="center"/>
    </xf>
    <xf numFmtId="0" fontId="38" fillId="0" borderId="60" xfId="0" applyFont="1" applyBorder="1" applyAlignment="1">
      <alignment horizontal="center" vertical="center"/>
    </xf>
    <xf numFmtId="167" fontId="38" fillId="0" borderId="70" xfId="0" applyNumberFormat="1" applyFont="1" applyBorder="1" applyAlignment="1">
      <alignment horizontal="center" vertical="center"/>
    </xf>
    <xf numFmtId="4" fontId="38" fillId="0" borderId="71" xfId="0" applyNumberFormat="1" applyFont="1" applyBorder="1" applyAlignment="1">
      <alignment horizontal="center" vertical="center"/>
    </xf>
    <xf numFmtId="3" fontId="38" fillId="0" borderId="60" xfId="0" applyNumberFormat="1" applyFont="1" applyBorder="1" applyAlignment="1">
      <alignment horizontal="center" vertical="center"/>
    </xf>
    <xf numFmtId="3" fontId="38" fillId="0" borderId="70" xfId="0" applyNumberFormat="1" applyFont="1" applyBorder="1" applyAlignment="1">
      <alignment horizontal="center" vertical="center"/>
    </xf>
    <xf numFmtId="3" fontId="72" fillId="0" borderId="71" xfId="196" applyNumberFormat="1" applyFont="1" applyFill="1" applyBorder="1" applyAlignment="1">
      <alignment horizontal="center" vertical="center" wrapText="1"/>
    </xf>
    <xf numFmtId="3" fontId="38" fillId="0" borderId="45" xfId="0" applyNumberFormat="1" applyFont="1" applyBorder="1" applyAlignment="1">
      <alignment horizontal="center" vertical="center"/>
    </xf>
    <xf numFmtId="0" fontId="38" fillId="0" borderId="84" xfId="0" applyFont="1" applyBorder="1" applyAlignment="1">
      <alignment horizontal="center" vertical="center"/>
    </xf>
    <xf numFmtId="167" fontId="38" fillId="0" borderId="67" xfId="0" applyNumberFormat="1" applyFont="1" applyBorder="1" applyAlignment="1">
      <alignment horizontal="center" vertical="center"/>
    </xf>
    <xf numFmtId="4" fontId="38" fillId="0" borderId="75" xfId="0" applyNumberFormat="1" applyFont="1" applyBorder="1" applyAlignment="1">
      <alignment horizontal="center" vertical="center"/>
    </xf>
    <xf numFmtId="3" fontId="38" fillId="0" borderId="84" xfId="0" applyNumberFormat="1" applyFont="1" applyBorder="1" applyAlignment="1">
      <alignment horizontal="center" vertical="center"/>
    </xf>
    <xf numFmtId="3" fontId="38" fillId="0" borderId="67" xfId="0" applyNumberFormat="1" applyFont="1" applyBorder="1" applyAlignment="1">
      <alignment horizontal="center" vertical="center"/>
    </xf>
    <xf numFmtId="3" fontId="72" fillId="0" borderId="75" xfId="196" applyNumberFormat="1" applyFont="1" applyFill="1" applyBorder="1" applyAlignment="1">
      <alignment horizontal="center" vertical="center" wrapText="1"/>
    </xf>
    <xf numFmtId="3" fontId="38" fillId="0" borderId="76" xfId="0" applyNumberFormat="1" applyFont="1" applyBorder="1" applyAlignment="1">
      <alignment horizontal="center" vertical="center"/>
    </xf>
    <xf numFmtId="3" fontId="38" fillId="39" borderId="52" xfId="0" applyNumberFormat="1" applyFont="1" applyFill="1" applyBorder="1" applyAlignment="1">
      <alignment horizontal="center" vertical="center"/>
    </xf>
    <xf numFmtId="167" fontId="76" fillId="24" borderId="10" xfId="0" applyNumberFormat="1" applyFont="1" applyFill="1" applyBorder="1" applyAlignment="1">
      <alignment horizontal="center" vertical="center"/>
    </xf>
    <xf numFmtId="0" fontId="38" fillId="0" borderId="41" xfId="0" applyFont="1" applyBorder="1" applyAlignment="1">
      <alignment horizontal="center" vertical="center"/>
    </xf>
    <xf numFmtId="16" fontId="38" fillId="0" borderId="21" xfId="0" applyNumberFormat="1" applyFont="1" applyBorder="1" applyAlignment="1">
      <alignment horizontal="center" vertical="center"/>
    </xf>
    <xf numFmtId="0" fontId="87" fillId="0" borderId="41" xfId="196" applyFont="1" applyFill="1" applyBorder="1" applyAlignment="1">
      <alignment horizontal="center" vertical="center" wrapText="1"/>
    </xf>
    <xf numFmtId="0" fontId="107" fillId="0" borderId="0" xfId="196" applyFont="1" applyFill="1" applyBorder="1" applyAlignment="1">
      <alignment horizontal="center" vertical="center" wrapText="1"/>
    </xf>
    <xf numFmtId="4" fontId="108" fillId="0" borderId="0" xfId="0" applyNumberFormat="1" applyFont="1"/>
    <xf numFmtId="3" fontId="38" fillId="39" borderId="41" xfId="0" applyNumberFormat="1" applyFont="1" applyFill="1" applyBorder="1" applyAlignment="1">
      <alignment horizontal="center" vertical="center"/>
    </xf>
    <xf numFmtId="0" fontId="0" fillId="0" borderId="0" xfId="0"/>
    <xf numFmtId="0" fontId="38" fillId="24" borderId="45" xfId="0" applyFont="1" applyFill="1" applyBorder="1" applyAlignment="1">
      <alignment horizontal="center" vertical="center"/>
    </xf>
    <xf numFmtId="0" fontId="39" fillId="24" borderId="60" xfId="0" applyFont="1" applyFill="1" applyBorder="1" applyAlignment="1">
      <alignment horizontal="center"/>
    </xf>
    <xf numFmtId="0" fontId="0" fillId="0" borderId="0" xfId="0"/>
    <xf numFmtId="173" fontId="38" fillId="0" borderId="15" xfId="0" applyNumberFormat="1" applyFont="1" applyFill="1" applyBorder="1" applyAlignment="1">
      <alignment horizontal="right"/>
    </xf>
    <xf numFmtId="173" fontId="39" fillId="0" borderId="10" xfId="0" applyNumberFormat="1" applyFont="1" applyFill="1" applyBorder="1" applyAlignment="1">
      <alignment horizontal="right"/>
    </xf>
    <xf numFmtId="173" fontId="12" fillId="0" borderId="10" xfId="0" applyNumberFormat="1" applyFont="1" applyBorder="1"/>
    <xf numFmtId="0" fontId="97" fillId="0" borderId="10" xfId="0" applyFont="1" applyBorder="1"/>
    <xf numFmtId="173" fontId="38" fillId="0" borderId="51" xfId="0" applyNumberFormat="1" applyFont="1" applyFill="1" applyBorder="1"/>
    <xf numFmtId="173" fontId="38" fillId="0" borderId="30" xfId="0" applyNumberFormat="1" applyFont="1" applyFill="1" applyBorder="1"/>
    <xf numFmtId="173" fontId="38" fillId="0" borderId="29" xfId="0" applyNumberFormat="1" applyFont="1" applyFill="1" applyBorder="1"/>
    <xf numFmtId="0" fontId="38" fillId="0" borderId="29" xfId="0" applyFont="1" applyFill="1" applyBorder="1"/>
    <xf numFmtId="0" fontId="38" fillId="0" borderId="135" xfId="0" applyFont="1" applyBorder="1"/>
    <xf numFmtId="0" fontId="38" fillId="0" borderId="51" xfId="0" applyFont="1" applyFill="1" applyBorder="1"/>
    <xf numFmtId="173" fontId="12" fillId="0" borderId="10" xfId="0" applyNumberFormat="1" applyFont="1" applyFill="1" applyBorder="1" applyAlignment="1">
      <alignment horizontal="right"/>
    </xf>
    <xf numFmtId="0" fontId="38" fillId="0" borderId="10" xfId="0" applyFont="1" applyFill="1" applyBorder="1"/>
    <xf numFmtId="0" fontId="10" fillId="39" borderId="10" xfId="0" applyFont="1" applyFill="1" applyBorder="1" applyAlignment="1">
      <alignment horizontal="center"/>
    </xf>
    <xf numFmtId="0" fontId="107" fillId="0" borderId="41" xfId="196" applyFont="1" applyFill="1" applyBorder="1" applyAlignment="1">
      <alignment horizontal="center" vertical="center" wrapText="1"/>
    </xf>
    <xf numFmtId="0" fontId="88" fillId="43" borderId="0" xfId="0" applyFont="1" applyFill="1" applyAlignment="1"/>
    <xf numFmtId="0" fontId="38" fillId="43" borderId="0" xfId="0" applyFont="1" applyFill="1" applyAlignment="1">
      <alignment horizontal="center" vertical="center"/>
    </xf>
    <xf numFmtId="0" fontId="38" fillId="24" borderId="67" xfId="0" applyFont="1" applyFill="1" applyBorder="1" applyAlignment="1">
      <alignment horizontal="center" vertical="center"/>
    </xf>
    <xf numFmtId="0" fontId="38" fillId="24" borderId="84" xfId="0" applyFont="1" applyFill="1" applyBorder="1" applyAlignment="1">
      <alignment horizontal="center" vertical="center"/>
    </xf>
    <xf numFmtId="0" fontId="38" fillId="24" borderId="75" xfId="0" applyFont="1" applyFill="1" applyBorder="1" applyAlignment="1">
      <alignment horizontal="center" vertical="center"/>
    </xf>
    <xf numFmtId="0" fontId="38" fillId="24" borderId="41" xfId="0" applyFont="1" applyFill="1" applyBorder="1" applyAlignment="1">
      <alignment horizontal="center" vertical="center"/>
    </xf>
    <xf numFmtId="0" fontId="82" fillId="24" borderId="41" xfId="0" applyFont="1" applyFill="1" applyBorder="1" applyAlignment="1">
      <alignment horizontal="center" vertical="center"/>
    </xf>
    <xf numFmtId="0" fontId="87" fillId="24" borderId="41" xfId="196" applyFont="1" applyFill="1" applyBorder="1" applyAlignment="1">
      <alignment horizontal="center" vertical="center" wrapText="1"/>
    </xf>
    <xf numFmtId="16" fontId="38" fillId="24" borderId="41" xfId="0" applyNumberFormat="1" applyFont="1" applyFill="1" applyBorder="1" applyAlignment="1">
      <alignment horizontal="center" vertical="center"/>
    </xf>
    <xf numFmtId="14" fontId="89" fillId="41" borderId="47" xfId="0" applyNumberFormat="1" applyFont="1" applyFill="1" applyBorder="1" applyAlignment="1">
      <alignment horizontal="center"/>
    </xf>
    <xf numFmtId="0" fontId="83" fillId="26" borderId="21" xfId="187" applyFont="1" applyFill="1" applyBorder="1" applyAlignment="1">
      <alignment horizontal="center"/>
    </xf>
    <xf numFmtId="0" fontId="0" fillId="0" borderId="0" xfId="0"/>
    <xf numFmtId="0" fontId="0" fillId="0" borderId="0" xfId="0"/>
    <xf numFmtId="0" fontId="10" fillId="41" borderId="10" xfId="0" applyFont="1" applyFill="1" applyBorder="1" applyAlignment="1">
      <alignment horizontal="center"/>
    </xf>
    <xf numFmtId="4" fontId="10" fillId="41" borderId="10" xfId="0" applyNumberFormat="1" applyFont="1" applyFill="1" applyBorder="1" applyAlignment="1">
      <alignment horizontal="center"/>
    </xf>
    <xf numFmtId="0" fontId="0" fillId="41" borderId="10" xfId="0" applyFill="1" applyBorder="1"/>
    <xf numFmtId="14" fontId="0" fillId="41" borderId="0" xfId="0" applyNumberFormat="1" applyFill="1" applyAlignment="1">
      <alignment horizontal="center"/>
    </xf>
    <xf numFmtId="0" fontId="37" fillId="41" borderId="0" xfId="0" applyFont="1" applyFill="1" applyAlignment="1">
      <alignment horizontal="center"/>
    </xf>
    <xf numFmtId="0" fontId="38" fillId="0" borderId="54" xfId="0" applyFont="1" applyBorder="1" applyAlignment="1">
      <alignment horizontal="center"/>
    </xf>
    <xf numFmtId="0" fontId="38" fillId="0" borderId="55" xfId="0" applyFont="1" applyBorder="1" applyAlignment="1">
      <alignment horizontal="center"/>
    </xf>
    <xf numFmtId="0" fontId="38" fillId="0" borderId="36" xfId="0" applyFont="1" applyBorder="1" applyAlignment="1">
      <alignment horizontal="center"/>
    </xf>
    <xf numFmtId="0" fontId="38" fillId="0" borderId="48" xfId="0" applyFont="1" applyBorder="1" applyAlignment="1">
      <alignment horizontal="center"/>
    </xf>
    <xf numFmtId="0" fontId="38" fillId="0" borderId="13" xfId="0" applyFont="1" applyBorder="1" applyAlignment="1">
      <alignment horizontal="center"/>
    </xf>
    <xf numFmtId="2" fontId="62" fillId="24" borderId="0" xfId="0" applyNumberFormat="1" applyFont="1" applyFill="1"/>
    <xf numFmtId="2" fontId="86" fillId="24" borderId="0" xfId="0" applyNumberFormat="1" applyFont="1" applyFill="1"/>
    <xf numFmtId="0" fontId="39" fillId="24" borderId="60" xfId="0" applyFont="1" applyFill="1" applyBorder="1" applyAlignment="1">
      <alignment horizontal="center"/>
    </xf>
    <xf numFmtId="0" fontId="0" fillId="0" borderId="0" xfId="0"/>
    <xf numFmtId="0" fontId="0" fillId="0" borderId="164" xfId="0" applyBorder="1" applyAlignment="1">
      <alignment horizontal="center"/>
    </xf>
    <xf numFmtId="0" fontId="59" fillId="24" borderId="48" xfId="179" applyFont="1" applyFill="1" applyBorder="1" applyAlignment="1">
      <alignment horizontal="center" wrapText="1"/>
    </xf>
    <xf numFmtId="0" fontId="0" fillId="0" borderId="27" xfId="0" applyBorder="1"/>
    <xf numFmtId="0" fontId="67" fillId="24" borderId="52" xfId="179" applyFont="1" applyFill="1" applyBorder="1" applyAlignment="1">
      <alignment horizontal="center" wrapText="1"/>
    </xf>
    <xf numFmtId="0" fontId="67" fillId="24" borderId="53" xfId="179" applyFont="1" applyFill="1" applyBorder="1" applyAlignment="1">
      <alignment horizontal="center" wrapText="1"/>
    </xf>
    <xf numFmtId="0" fontId="12" fillId="39" borderId="10" xfId="0" applyFont="1" applyFill="1" applyBorder="1" applyAlignment="1">
      <alignment horizontal="center"/>
    </xf>
    <xf numFmtId="0" fontId="106" fillId="41" borderId="0" xfId="0" applyFont="1" applyFill="1"/>
    <xf numFmtId="0" fontId="0" fillId="0" borderId="0" xfId="0"/>
    <xf numFmtId="0" fontId="38" fillId="41" borderId="10" xfId="0" applyFont="1" applyFill="1" applyBorder="1" applyAlignment="1">
      <alignment horizontal="center"/>
    </xf>
    <xf numFmtId="0" fontId="53" fillId="43" borderId="0" xfId="0" applyFont="1" applyFill="1" applyBorder="1" applyAlignment="1">
      <alignment vertical="center"/>
    </xf>
    <xf numFmtId="16" fontId="53" fillId="43" borderId="0" xfId="0" applyNumberFormat="1" applyFont="1" applyFill="1" applyBorder="1" applyAlignment="1">
      <alignment vertical="center"/>
    </xf>
    <xf numFmtId="0" fontId="38" fillId="0" borderId="70" xfId="0" applyFont="1" applyBorder="1" applyAlignment="1">
      <alignment horizontal="center" vertical="center"/>
    </xf>
    <xf numFmtId="0" fontId="107" fillId="0" borderId="60" xfId="196" applyFont="1" applyFill="1" applyBorder="1" applyAlignment="1">
      <alignment horizontal="center" vertical="center" wrapText="1"/>
    </xf>
    <xf numFmtId="0" fontId="107" fillId="0" borderId="21" xfId="196" applyFont="1" applyFill="1" applyBorder="1" applyAlignment="1">
      <alignment horizontal="center" vertical="center" wrapText="1"/>
    </xf>
    <xf numFmtId="16" fontId="38" fillId="0" borderId="45" xfId="0" applyNumberFormat="1" applyFont="1" applyBorder="1" applyAlignment="1">
      <alignment horizontal="center" vertical="center"/>
    </xf>
    <xf numFmtId="0" fontId="16" fillId="0" borderId="41" xfId="0" applyFont="1" applyBorder="1" applyAlignment="1">
      <alignment horizontal="center"/>
    </xf>
    <xf numFmtId="2" fontId="10" fillId="39" borderId="10" xfId="0" applyNumberFormat="1" applyFont="1" applyFill="1" applyBorder="1" applyAlignment="1">
      <alignment horizontal="center"/>
    </xf>
    <xf numFmtId="0" fontId="14" fillId="25" borderId="12" xfId="0" applyFont="1" applyFill="1" applyBorder="1" applyAlignment="1"/>
    <xf numFmtId="0" fontId="14" fillId="25" borderId="14" xfId="0" applyFont="1" applyFill="1" applyBorder="1" applyAlignment="1"/>
    <xf numFmtId="0" fontId="14" fillId="25" borderId="15" xfId="0" applyFont="1" applyFill="1" applyBorder="1" applyAlignment="1"/>
    <xf numFmtId="0" fontId="0" fillId="0" borderId="0" xfId="0"/>
    <xf numFmtId="0" fontId="108" fillId="0" borderId="0" xfId="0" applyFont="1"/>
    <xf numFmtId="169" fontId="10" fillId="41" borderId="10" xfId="0" applyNumberFormat="1" applyFont="1" applyFill="1" applyBorder="1" applyAlignment="1">
      <alignment horizontal="center"/>
    </xf>
    <xf numFmtId="2" fontId="10" fillId="41" borderId="10" xfId="0" applyNumberFormat="1" applyFont="1" applyFill="1" applyBorder="1" applyAlignment="1">
      <alignment horizontal="center"/>
    </xf>
    <xf numFmtId="4" fontId="115" fillId="0" borderId="10" xfId="0" applyNumberFormat="1" applyFont="1" applyBorder="1" applyAlignment="1">
      <alignment horizontal="center"/>
    </xf>
    <xf numFmtId="0" fontId="116" fillId="0" borderId="0" xfId="0" applyFont="1"/>
    <xf numFmtId="0" fontId="106" fillId="0" borderId="0" xfId="0" applyFont="1"/>
    <xf numFmtId="4" fontId="0" fillId="0" borderId="10" xfId="0" applyNumberFormat="1" applyBorder="1"/>
    <xf numFmtId="0" fontId="55" fillId="41" borderId="0" xfId="0" applyFont="1" applyFill="1" applyAlignment="1"/>
    <xf numFmtId="14" fontId="55" fillId="41" borderId="0" xfId="0" applyNumberFormat="1" applyFont="1" applyFill="1" applyAlignment="1">
      <alignment horizontal="center"/>
    </xf>
    <xf numFmtId="0" fontId="12" fillId="41" borderId="10" xfId="0" applyFont="1" applyFill="1" applyBorder="1" applyAlignment="1">
      <alignment wrapText="1"/>
    </xf>
    <xf numFmtId="3" fontId="14" fillId="41" borderId="10" xfId="0" applyNumberFormat="1" applyFont="1" applyFill="1" applyBorder="1" applyAlignment="1">
      <alignment horizontal="center" vertical="center"/>
    </xf>
    <xf numFmtId="0" fontId="38" fillId="45" borderId="0" xfId="0" applyFont="1" applyFill="1"/>
    <xf numFmtId="0" fontId="38" fillId="45" borderId="0" xfId="0" applyFont="1" applyFill="1" applyBorder="1" applyAlignment="1">
      <alignment horizontal="center"/>
    </xf>
    <xf numFmtId="2" fontId="38" fillId="45" borderId="0" xfId="0" applyNumberFormat="1" applyFont="1" applyFill="1" applyBorder="1" applyAlignment="1">
      <alignment horizontal="center"/>
    </xf>
    <xf numFmtId="0" fontId="39" fillId="45" borderId="41" xfId="0" applyFont="1" applyFill="1" applyBorder="1" applyAlignment="1">
      <alignment horizontal="center"/>
    </xf>
    <xf numFmtId="0" fontId="39" fillId="45" borderId="22" xfId="0" applyFont="1" applyFill="1" applyBorder="1" applyAlignment="1">
      <alignment horizontal="center"/>
    </xf>
    <xf numFmtId="2" fontId="38" fillId="0" borderId="33" xfId="254" applyNumberFormat="1" applyFont="1" applyBorder="1" applyAlignment="1">
      <alignment horizontal="center"/>
    </xf>
    <xf numFmtId="0" fontId="0" fillId="41" borderId="0" xfId="0" applyFill="1"/>
    <xf numFmtId="0" fontId="12" fillId="41" borderId="10" xfId="0" applyFont="1" applyFill="1" applyBorder="1" applyAlignment="1">
      <alignment horizontal="center" vertical="center" wrapText="1"/>
    </xf>
    <xf numFmtId="1" fontId="12" fillId="41" borderId="10" xfId="0" applyNumberFormat="1" applyFont="1" applyFill="1" applyBorder="1" applyAlignment="1">
      <alignment horizontal="center" vertical="center"/>
    </xf>
    <xf numFmtId="0" fontId="7" fillId="0" borderId="0" xfId="0" applyFont="1"/>
    <xf numFmtId="0" fontId="16" fillId="42" borderId="27" xfId="0" applyFont="1" applyFill="1" applyBorder="1" applyAlignment="1">
      <alignment horizontal="center"/>
    </xf>
    <xf numFmtId="0" fontId="16" fillId="42" borderId="21" xfId="0" applyFont="1" applyFill="1" applyBorder="1" applyAlignment="1">
      <alignment horizontal="center"/>
    </xf>
    <xf numFmtId="0" fontId="16" fillId="42" borderId="22" xfId="0" applyFont="1" applyFill="1" applyBorder="1" applyAlignment="1">
      <alignment horizontal="center"/>
    </xf>
    <xf numFmtId="0" fontId="0" fillId="0" borderId="0" xfId="0"/>
    <xf numFmtId="1" fontId="0" fillId="0" borderId="0" xfId="0" applyNumberFormat="1"/>
    <xf numFmtId="169" fontId="14" fillId="25" borderId="10" xfId="0" applyNumberFormat="1" applyFont="1" applyFill="1" applyBorder="1" applyAlignment="1">
      <alignment horizontal="center"/>
    </xf>
    <xf numFmtId="3" fontId="14" fillId="25" borderId="10" xfId="0" applyNumberFormat="1" applyFont="1" applyFill="1" applyBorder="1" applyAlignment="1">
      <alignment horizontal="center"/>
    </xf>
    <xf numFmtId="2" fontId="12" fillId="0" borderId="16" xfId="0" applyNumberFormat="1" applyFont="1" applyBorder="1" applyAlignment="1">
      <alignment horizontal="center"/>
    </xf>
    <xf numFmtId="2" fontId="12" fillId="0" borderId="13" xfId="177" applyNumberFormat="1" applyFont="1" applyFill="1" applyBorder="1" applyAlignment="1">
      <alignment horizontal="right"/>
    </xf>
    <xf numFmtId="2" fontId="12" fillId="0" borderId="12" xfId="177" applyNumberFormat="1" applyFont="1" applyFill="1" applyBorder="1" applyAlignment="1">
      <alignment horizontal="right"/>
    </xf>
    <xf numFmtId="173" fontId="66" fillId="0" borderId="10" xfId="177" applyNumberFormat="1" applyFont="1" applyFill="1" applyBorder="1" applyAlignment="1">
      <alignment horizontal="center"/>
    </xf>
    <xf numFmtId="2" fontId="12" fillId="0" borderId="15" xfId="177" applyNumberFormat="1" applyFont="1" applyFill="1" applyBorder="1" applyAlignment="1">
      <alignment horizontal="right"/>
    </xf>
    <xf numFmtId="2" fontId="12" fillId="0" borderId="16" xfId="177" applyNumberFormat="1" applyFont="1" applyFill="1" applyBorder="1" applyAlignment="1">
      <alignment horizontal="right"/>
    </xf>
    <xf numFmtId="169" fontId="12" fillId="0" borderId="13" xfId="0" applyNumberFormat="1" applyFont="1" applyFill="1" applyBorder="1" applyAlignment="1">
      <alignment horizontal="center"/>
    </xf>
    <xf numFmtId="2" fontId="12" fillId="0" borderId="0" xfId="0" applyNumberFormat="1" applyFont="1" applyFill="1" applyBorder="1" applyAlignment="1">
      <alignment horizontal="center"/>
    </xf>
    <xf numFmtId="2" fontId="12" fillId="0" borderId="0" xfId="0" applyNumberFormat="1" applyFont="1" applyBorder="1" applyAlignment="1">
      <alignment horizontal="center"/>
    </xf>
    <xf numFmtId="173" fontId="12" fillId="0" borderId="0" xfId="0" applyNumberFormat="1" applyFont="1" applyBorder="1" applyAlignment="1">
      <alignment horizontal="center"/>
    </xf>
    <xf numFmtId="0" fontId="0" fillId="39" borderId="39" xfId="0" applyFont="1" applyFill="1" applyBorder="1" applyAlignment="1">
      <alignment horizontal="center"/>
    </xf>
    <xf numFmtId="4" fontId="0" fillId="39" borderId="0" xfId="0" applyNumberFormat="1" applyFill="1" applyBorder="1" applyAlignment="1">
      <alignment horizontal="center"/>
    </xf>
    <xf numFmtId="4" fontId="100" fillId="39" borderId="41" xfId="0" applyNumberFormat="1" applyFont="1" applyFill="1" applyBorder="1" applyAlignment="1">
      <alignment horizontal="center" vertical="center"/>
    </xf>
    <xf numFmtId="0" fontId="16" fillId="39" borderId="54" xfId="0" applyNumberFormat="1" applyFont="1" applyFill="1" applyBorder="1" applyAlignment="1">
      <alignment horizontal="center"/>
    </xf>
    <xf numFmtId="2" fontId="0" fillId="0" borderId="0" xfId="0" applyNumberFormat="1" applyBorder="1"/>
    <xf numFmtId="0" fontId="0" fillId="0" borderId="0" xfId="0"/>
    <xf numFmtId="0" fontId="38" fillId="0" borderId="16" xfId="0" applyFont="1" applyBorder="1" applyAlignment="1">
      <alignment horizontal="center"/>
    </xf>
    <xf numFmtId="0" fontId="7" fillId="0" borderId="41" xfId="0" applyFont="1" applyBorder="1"/>
    <xf numFmtId="0" fontId="69" fillId="35" borderId="101" xfId="195" applyFont="1" applyFill="1" applyBorder="1" applyAlignment="1">
      <alignment horizontal="center" vertical="center" wrapText="1"/>
    </xf>
    <xf numFmtId="173" fontId="93" fillId="24" borderId="0" xfId="195" applyNumberFormat="1" applyFont="1" applyFill="1" applyBorder="1" applyAlignment="1">
      <alignment horizontal="center" vertical="center" wrapText="1"/>
    </xf>
    <xf numFmtId="0" fontId="0" fillId="0" borderId="52" xfId="0" applyBorder="1" applyAlignment="1">
      <alignment horizontal="center" vertical="center"/>
    </xf>
    <xf numFmtId="16" fontId="0" fillId="0" borderId="55" xfId="0" applyNumberFormat="1" applyBorder="1" applyAlignment="1">
      <alignment horizontal="center" vertical="center"/>
    </xf>
    <xf numFmtId="0" fontId="0" fillId="0" borderId="134"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3" xfId="0" applyBorder="1" applyAlignment="1">
      <alignment horizontal="center" vertical="center"/>
    </xf>
    <xf numFmtId="0" fontId="0" fillId="0" borderId="52" xfId="0" applyFont="1" applyBorder="1" applyAlignment="1">
      <alignment horizontal="center" vertical="center"/>
    </xf>
    <xf numFmtId="0" fontId="119" fillId="0" borderId="55" xfId="196" applyFont="1" applyFill="1" applyBorder="1" applyAlignment="1">
      <alignment horizontal="center" vertical="center" wrapText="1"/>
    </xf>
    <xf numFmtId="0" fontId="0" fillId="0" borderId="22" xfId="0" applyBorder="1" applyAlignment="1">
      <alignment horizontal="center" vertical="center"/>
    </xf>
    <xf numFmtId="0" fontId="7" fillId="0" borderId="0" xfId="0" applyFont="1" applyBorder="1"/>
    <xf numFmtId="4" fontId="0" fillId="0" borderId="84" xfId="0" applyNumberFormat="1" applyBorder="1"/>
    <xf numFmtId="4" fontId="71" fillId="24" borderId="41" xfId="0" applyNumberFormat="1" applyFont="1" applyFill="1" applyBorder="1" applyAlignment="1">
      <alignment horizontal="center" vertical="center"/>
    </xf>
    <xf numFmtId="2" fontId="109" fillId="41" borderId="10" xfId="0" applyNumberFormat="1" applyFont="1" applyFill="1" applyBorder="1" applyAlignment="1">
      <alignment horizontal="right"/>
    </xf>
    <xf numFmtId="0" fontId="0" fillId="0" borderId="0" xfId="0"/>
    <xf numFmtId="0" fontId="87" fillId="24" borderId="39" xfId="195" applyFont="1" applyFill="1" applyBorder="1" applyAlignment="1">
      <alignment horizontal="center" vertical="center" wrapText="1"/>
    </xf>
    <xf numFmtId="0" fontId="119" fillId="0" borderId="107" xfId="195" applyFont="1" applyFill="1" applyBorder="1" applyAlignment="1">
      <alignment horizontal="left" wrapText="1"/>
    </xf>
    <xf numFmtId="0" fontId="119" fillId="0" borderId="4" xfId="195" applyFont="1" applyFill="1" applyBorder="1" applyAlignment="1">
      <alignment horizontal="left" wrapText="1"/>
    </xf>
    <xf numFmtId="0" fontId="119" fillId="0" borderId="130" xfId="195" applyFont="1" applyFill="1" applyBorder="1" applyAlignment="1">
      <alignment horizontal="left" wrapText="1"/>
    </xf>
    <xf numFmtId="0" fontId="119" fillId="0" borderId="118" xfId="195" applyFont="1" applyFill="1" applyBorder="1" applyAlignment="1">
      <alignment horizontal="left" wrapText="1"/>
    </xf>
    <xf numFmtId="0" fontId="119" fillId="0" borderId="124" xfId="195" applyFont="1" applyFill="1" applyBorder="1" applyAlignment="1">
      <alignment horizontal="left" wrapText="1"/>
    </xf>
    <xf numFmtId="0" fontId="120" fillId="0" borderId="4" xfId="195" applyFont="1" applyFill="1" applyBorder="1" applyAlignment="1">
      <alignment horizontal="left" wrapText="1"/>
    </xf>
    <xf numFmtId="0" fontId="119" fillId="0" borderId="165" xfId="195" applyFont="1" applyFill="1" applyBorder="1" applyAlignment="1">
      <alignment horizontal="left" wrapText="1"/>
    </xf>
    <xf numFmtId="0" fontId="119" fillId="0" borderId="145" xfId="195" applyFont="1" applyFill="1" applyBorder="1" applyAlignment="1">
      <alignment horizontal="left" wrapText="1"/>
    </xf>
    <xf numFmtId="0" fontId="119" fillId="0" borderId="166" xfId="195" applyFont="1" applyFill="1" applyBorder="1" applyAlignment="1">
      <alignment horizontal="left" wrapText="1"/>
    </xf>
    <xf numFmtId="0" fontId="119" fillId="0" borderId="167" xfId="195" applyFont="1" applyFill="1" applyBorder="1" applyAlignment="1">
      <alignment horizontal="left" wrapText="1"/>
    </xf>
    <xf numFmtId="0" fontId="107" fillId="0" borderId="107" xfId="195" applyFont="1" applyFill="1" applyBorder="1" applyAlignment="1">
      <alignment horizontal="center" vertical="center" wrapText="1"/>
    </xf>
    <xf numFmtId="0" fontId="107" fillId="0" borderId="118" xfId="195" applyFont="1" applyFill="1" applyBorder="1" applyAlignment="1">
      <alignment horizontal="center" vertical="center" wrapText="1"/>
    </xf>
    <xf numFmtId="0" fontId="107" fillId="0" borderId="165" xfId="195" applyFont="1" applyFill="1" applyBorder="1" applyAlignment="1">
      <alignment horizontal="center" vertical="center" wrapText="1"/>
    </xf>
    <xf numFmtId="0" fontId="87" fillId="0" borderId="39" xfId="195" applyFont="1" applyFill="1" applyBorder="1" applyAlignment="1">
      <alignment horizontal="center" vertical="center" wrapText="1"/>
    </xf>
    <xf numFmtId="0" fontId="87" fillId="0" borderId="137" xfId="195" applyFont="1" applyFill="1" applyBorder="1" applyAlignment="1">
      <alignment horizontal="center" vertical="center" wrapText="1"/>
    </xf>
    <xf numFmtId="0" fontId="93" fillId="0" borderId="153" xfId="195" applyFont="1" applyFill="1" applyBorder="1" applyAlignment="1">
      <alignment horizontal="center" vertical="center" wrapText="1"/>
    </xf>
    <xf numFmtId="0" fontId="93" fillId="0" borderId="141" xfId="195" applyFont="1" applyFill="1" applyBorder="1" applyAlignment="1">
      <alignment horizontal="center" vertical="center" wrapText="1"/>
    </xf>
    <xf numFmtId="4" fontId="87" fillId="0" borderId="125" xfId="195" applyNumberFormat="1" applyFont="1" applyFill="1" applyBorder="1" applyAlignment="1">
      <alignment horizontal="center" vertical="center" wrapText="1"/>
    </xf>
    <xf numFmtId="0" fontId="0" fillId="0" borderId="0" xfId="0"/>
    <xf numFmtId="2" fontId="14" fillId="41" borderId="0" xfId="0" applyNumberFormat="1" applyFont="1" applyFill="1" applyBorder="1" applyAlignment="1">
      <alignment horizontal="center"/>
    </xf>
    <xf numFmtId="0" fontId="0" fillId="0" borderId="0" xfId="0"/>
    <xf numFmtId="173" fontId="0" fillId="0" borderId="41" xfId="0" applyNumberFormat="1" applyBorder="1"/>
    <xf numFmtId="173" fontId="58" fillId="41" borderId="10" xfId="0" applyNumberFormat="1" applyFont="1" applyFill="1" applyBorder="1" applyAlignment="1">
      <alignment horizontal="center"/>
    </xf>
    <xf numFmtId="165" fontId="38" fillId="0" borderId="0" xfId="0" applyNumberFormat="1" applyFont="1"/>
    <xf numFmtId="0" fontId="0" fillId="0" borderId="0" xfId="0"/>
    <xf numFmtId="0" fontId="34" fillId="26" borderId="27" xfId="187" applyFont="1" applyFill="1" applyBorder="1"/>
    <xf numFmtId="0" fontId="69" fillId="24" borderId="0" xfId="187" applyFont="1" applyFill="1" applyBorder="1"/>
    <xf numFmtId="173" fontId="109" fillId="46" borderId="28" xfId="196" applyNumberFormat="1" applyFont="1" applyFill="1" applyBorder="1" applyAlignment="1">
      <alignment horizontal="center"/>
    </xf>
    <xf numFmtId="14" fontId="38" fillId="0" borderId="64" xfId="254" applyNumberFormat="1" applyFont="1" applyBorder="1" applyAlignment="1">
      <alignment horizontal="center"/>
    </xf>
    <xf numFmtId="4" fontId="0" fillId="41" borderId="10" xfId="0" applyNumberFormat="1" applyFill="1" applyBorder="1"/>
    <xf numFmtId="0" fontId="122" fillId="26" borderId="21" xfId="187" applyFont="1" applyFill="1" applyBorder="1"/>
    <xf numFmtId="0" fontId="0" fillId="0" borderId="0" xfId="0"/>
    <xf numFmtId="0" fontId="39" fillId="24" borderId="27" xfId="179" applyFont="1" applyFill="1" applyBorder="1" applyAlignment="1">
      <alignment horizontal="center" wrapText="1"/>
    </xf>
    <xf numFmtId="0" fontId="16" fillId="24" borderId="60" xfId="179" applyFont="1" applyFill="1" applyBorder="1" applyAlignment="1">
      <alignment horizontal="center" wrapText="1"/>
    </xf>
    <xf numFmtId="0" fontId="71" fillId="0" borderId="27" xfId="189" applyFont="1" applyBorder="1" applyAlignment="1">
      <alignment horizontal="center"/>
    </xf>
    <xf numFmtId="0" fontId="0" fillId="0" borderId="0" xfId="0"/>
    <xf numFmtId="4" fontId="125" fillId="41" borderId="10" xfId="0" applyNumberFormat="1" applyFont="1" applyFill="1" applyBorder="1" applyAlignment="1">
      <alignment horizontal="center"/>
    </xf>
    <xf numFmtId="2" fontId="112" fillId="44" borderId="10" xfId="0" applyNumberFormat="1" applyFont="1" applyFill="1" applyBorder="1" applyAlignment="1">
      <alignment horizontal="center"/>
    </xf>
    <xf numFmtId="0" fontId="7" fillId="41" borderId="0" xfId="0" applyFont="1" applyFill="1"/>
    <xf numFmtId="9" fontId="7" fillId="41" borderId="0" xfId="203" applyFont="1" applyFill="1"/>
    <xf numFmtId="2" fontId="126" fillId="41" borderId="10" xfId="0" applyNumberFormat="1" applyFont="1" applyFill="1" applyBorder="1" applyAlignment="1">
      <alignment horizontal="center"/>
    </xf>
    <xf numFmtId="0" fontId="84" fillId="39" borderId="21" xfId="187" applyFont="1" applyFill="1" applyBorder="1"/>
    <xf numFmtId="0" fontId="105" fillId="39" borderId="21" xfId="187" applyFill="1" applyBorder="1" applyAlignment="1">
      <alignment horizontal="center"/>
    </xf>
    <xf numFmtId="0" fontId="0" fillId="39" borderId="22" xfId="0" applyFill="1" applyBorder="1"/>
    <xf numFmtId="0" fontId="34" fillId="39" borderId="27" xfId="187" applyFont="1" applyFill="1" applyBorder="1"/>
    <xf numFmtId="0" fontId="38" fillId="24" borderId="70" xfId="179" applyFont="1" applyFill="1" applyBorder="1" applyAlignment="1">
      <alignment horizontal="center" wrapText="1"/>
    </xf>
    <xf numFmtId="0" fontId="67" fillId="24" borderId="77" xfId="179" applyFont="1" applyFill="1" applyBorder="1" applyAlignment="1">
      <alignment horizontal="center" wrapText="1"/>
    </xf>
    <xf numFmtId="0" fontId="68" fillId="24" borderId="78" xfId="179" applyFont="1" applyFill="1" applyBorder="1" applyAlignment="1">
      <alignment horizontal="center" wrapText="1"/>
    </xf>
    <xf numFmtId="0" fontId="27" fillId="24" borderId="76" xfId="0" applyFont="1" applyFill="1" applyBorder="1"/>
    <xf numFmtId="0" fontId="12" fillId="41" borderId="0" xfId="0" applyFont="1" applyFill="1"/>
    <xf numFmtId="0" fontId="12" fillId="41" borderId="10" xfId="0" applyFont="1" applyFill="1" applyBorder="1" applyAlignment="1">
      <alignment horizontal="center" wrapText="1"/>
    </xf>
    <xf numFmtId="0" fontId="39" fillId="24" borderId="60" xfId="0" applyFont="1" applyFill="1" applyBorder="1" applyAlignment="1">
      <alignment horizontal="center"/>
    </xf>
    <xf numFmtId="0" fontId="0" fillId="0" borderId="0" xfId="0"/>
    <xf numFmtId="2" fontId="12" fillId="39" borderId="10" xfId="0" applyNumberFormat="1" applyFont="1" applyFill="1" applyBorder="1" applyAlignment="1">
      <alignment horizontal="center"/>
    </xf>
    <xf numFmtId="2" fontId="39" fillId="0" borderId="0" xfId="0" applyNumberFormat="1" applyFont="1" applyBorder="1" applyAlignment="1">
      <alignment horizontal="center"/>
    </xf>
    <xf numFmtId="0" fontId="39" fillId="0" borderId="37" xfId="0" applyFont="1" applyBorder="1"/>
    <xf numFmtId="0" fontId="0" fillId="0" borderId="45" xfId="0" applyBorder="1" applyAlignment="1">
      <alignment horizontal="center"/>
    </xf>
    <xf numFmtId="0" fontId="0" fillId="0" borderId="76" xfId="0" applyBorder="1" applyAlignment="1">
      <alignment horizontal="center"/>
    </xf>
    <xf numFmtId="0" fontId="0" fillId="0" borderId="0" xfId="0"/>
    <xf numFmtId="0" fontId="0" fillId="39" borderId="0" xfId="0" applyFill="1"/>
    <xf numFmtId="0" fontId="39" fillId="39" borderId="21" xfId="179" applyFont="1" applyFill="1" applyBorder="1" applyAlignment="1">
      <alignment horizontal="center" wrapText="1"/>
    </xf>
    <xf numFmtId="0" fontId="67" fillId="41" borderId="94" xfId="179" applyFont="1" applyFill="1" applyBorder="1" applyAlignment="1">
      <alignment horizontal="center" wrapText="1"/>
    </xf>
    <xf numFmtId="0" fontId="83" fillId="41" borderId="41" xfId="187" applyFont="1" applyFill="1" applyBorder="1" applyAlignment="1">
      <alignment horizontal="center"/>
    </xf>
    <xf numFmtId="0" fontId="94" fillId="0" borderId="164" xfId="189" applyFont="1" applyBorder="1" applyAlignment="1">
      <alignment horizontal="center"/>
    </xf>
    <xf numFmtId="0" fontId="105" fillId="0" borderId="48" xfId="191" applyBorder="1" applyAlignment="1">
      <alignment horizontal="center"/>
    </xf>
    <xf numFmtId="0" fontId="105" fillId="0" borderId="69" xfId="193" applyBorder="1" applyAlignment="1">
      <alignment horizontal="center"/>
    </xf>
    <xf numFmtId="0" fontId="84" fillId="24" borderId="74" xfId="187" applyFont="1" applyFill="1" applyBorder="1" applyAlignment="1">
      <alignment horizontal="center"/>
    </xf>
    <xf numFmtId="0" fontId="84" fillId="24" borderId="39" xfId="187" applyFont="1" applyFill="1" applyBorder="1" applyAlignment="1">
      <alignment horizontal="center"/>
    </xf>
    <xf numFmtId="0" fontId="84" fillId="24" borderId="164" xfId="187" applyFont="1" applyFill="1" applyBorder="1" applyAlignment="1">
      <alignment horizontal="center"/>
    </xf>
    <xf numFmtId="0" fontId="67" fillId="41" borderId="77" xfId="179" applyFont="1" applyFill="1" applyBorder="1" applyAlignment="1">
      <alignment horizontal="center" wrapText="1"/>
    </xf>
    <xf numFmtId="0" fontId="68" fillId="41" borderId="78" xfId="179" applyFont="1" applyFill="1" applyBorder="1" applyAlignment="1">
      <alignment horizontal="center" wrapText="1"/>
    </xf>
    <xf numFmtId="0" fontId="38" fillId="24" borderId="45" xfId="179" applyFont="1" applyFill="1" applyBorder="1" applyAlignment="1">
      <alignment horizontal="center" wrapText="1"/>
    </xf>
    <xf numFmtId="0" fontId="84" fillId="24" borderId="137" xfId="187" applyFont="1" applyFill="1" applyBorder="1" applyAlignment="1">
      <alignment horizontal="center"/>
    </xf>
    <xf numFmtId="2" fontId="84" fillId="24" borderId="137" xfId="187" applyNumberFormat="1" applyFont="1" applyFill="1" applyBorder="1" applyAlignment="1">
      <alignment horizontal="center"/>
    </xf>
    <xf numFmtId="0" fontId="84" fillId="0" borderId="39" xfId="187" applyFont="1" applyBorder="1" applyAlignment="1">
      <alignment horizontal="center"/>
    </xf>
    <xf numFmtId="0" fontId="105" fillId="0" borderId="45" xfId="187" applyBorder="1" applyAlignment="1">
      <alignment horizontal="center"/>
    </xf>
    <xf numFmtId="0" fontId="105" fillId="0" borderId="41" xfId="187" applyBorder="1" applyAlignment="1">
      <alignment horizontal="center"/>
    </xf>
    <xf numFmtId="0" fontId="10" fillId="41" borderId="0" xfId="0" applyFont="1" applyFill="1"/>
    <xf numFmtId="173" fontId="58" fillId="39" borderId="10" xfId="0" applyNumberFormat="1" applyFont="1" applyFill="1" applyBorder="1" applyAlignment="1">
      <alignment horizontal="center"/>
    </xf>
    <xf numFmtId="0" fontId="16" fillId="39" borderId="10" xfId="0" applyFont="1" applyFill="1" applyBorder="1" applyAlignment="1">
      <alignment horizontal="center"/>
    </xf>
    <xf numFmtId="0" fontId="87" fillId="0" borderId="21" xfId="195" applyFont="1" applyFill="1" applyBorder="1" applyAlignment="1">
      <alignment horizontal="center" wrapText="1"/>
    </xf>
    <xf numFmtId="4" fontId="87" fillId="0" borderId="22" xfId="195" applyNumberFormat="1" applyFont="1" applyFill="1" applyBorder="1" applyAlignment="1">
      <alignment horizontal="center" wrapText="1"/>
    </xf>
    <xf numFmtId="0" fontId="38" fillId="41" borderId="0" xfId="0" applyFont="1" applyFill="1"/>
    <xf numFmtId="0" fontId="0" fillId="0" borderId="0" xfId="0"/>
    <xf numFmtId="165" fontId="10" fillId="41" borderId="10" xfId="0" applyNumberFormat="1" applyFont="1" applyFill="1" applyBorder="1" applyAlignment="1">
      <alignment horizontal="center"/>
    </xf>
    <xf numFmtId="181" fontId="102" fillId="0" borderId="0" xfId="157" applyNumberFormat="1" applyFont="1" applyBorder="1" applyAlignment="1">
      <alignment horizontal="center"/>
    </xf>
    <xf numFmtId="0" fontId="15" fillId="41" borderId="0" xfId="0" applyFont="1" applyFill="1"/>
    <xf numFmtId="0" fontId="14" fillId="48" borderId="12" xfId="0" applyFont="1" applyFill="1" applyBorder="1" applyAlignment="1"/>
    <xf numFmtId="0" fontId="14" fillId="48" borderId="14" xfId="0" applyFont="1" applyFill="1" applyBorder="1" applyAlignment="1"/>
    <xf numFmtId="0" fontId="14" fillId="48" borderId="15" xfId="0" applyFont="1" applyFill="1" applyBorder="1" applyAlignment="1"/>
    <xf numFmtId="0" fontId="55" fillId="41" borderId="0" xfId="0" applyFont="1" applyFill="1"/>
    <xf numFmtId="2" fontId="39" fillId="0" borderId="22" xfId="0" applyNumberFormat="1" applyFont="1" applyBorder="1" applyAlignment="1">
      <alignment horizontal="center"/>
    </xf>
    <xf numFmtId="0" fontId="45" fillId="39" borderId="10" xfId="0" applyFont="1" applyFill="1" applyBorder="1" applyAlignment="1">
      <alignment horizontal="center"/>
    </xf>
    <xf numFmtId="0" fontId="0" fillId="0" borderId="0" xfId="0"/>
    <xf numFmtId="0" fontId="36" fillId="27" borderId="159" xfId="0" applyFont="1" applyFill="1" applyBorder="1" applyAlignment="1">
      <alignment horizontal="center" vertical="center" wrapText="1"/>
    </xf>
    <xf numFmtId="0" fontId="36" fillId="27" borderId="24" xfId="0" applyFont="1" applyFill="1" applyBorder="1" applyAlignment="1">
      <alignment horizontal="center" vertical="center" wrapText="1"/>
    </xf>
    <xf numFmtId="3" fontId="36" fillId="27" borderId="24" xfId="0" applyNumberFormat="1" applyFont="1" applyFill="1" applyBorder="1" applyAlignment="1">
      <alignment horizontal="center" vertical="center" wrapText="1"/>
    </xf>
    <xf numFmtId="3" fontId="36" fillId="27" borderId="26" xfId="0" applyNumberFormat="1" applyFont="1" applyFill="1" applyBorder="1" applyAlignment="1">
      <alignment horizontal="center" vertical="center" wrapText="1"/>
    </xf>
    <xf numFmtId="0" fontId="16" fillId="0" borderId="0" xfId="0" applyFont="1" applyBorder="1" applyAlignment="1">
      <alignment horizontal="left" vertical="center" wrapText="1"/>
    </xf>
    <xf numFmtId="0" fontId="16" fillId="0" borderId="0" xfId="0" applyFont="1" applyFill="1" applyBorder="1" applyAlignment="1">
      <alignment horizontal="left" vertical="center" wrapText="1"/>
    </xf>
    <xf numFmtId="0" fontId="16" fillId="0" borderId="0" xfId="0" applyFont="1" applyBorder="1" applyAlignment="1">
      <alignment horizontal="left"/>
    </xf>
    <xf numFmtId="0" fontId="106" fillId="0" borderId="0" xfId="0" applyFont="1" applyBorder="1" applyAlignment="1">
      <alignment horizontal="left"/>
    </xf>
    <xf numFmtId="179" fontId="56" fillId="41" borderId="10" xfId="0" applyNumberFormat="1" applyFont="1" applyFill="1" applyBorder="1" applyAlignment="1">
      <alignment horizontal="center"/>
    </xf>
    <xf numFmtId="0" fontId="10" fillId="41" borderId="10" xfId="0" applyFont="1" applyFill="1" applyBorder="1" applyAlignment="1">
      <alignment horizontal="center" wrapText="1"/>
    </xf>
    <xf numFmtId="179" fontId="13" fillId="41" borderId="10" xfId="203" applyNumberFormat="1" applyFont="1" applyFill="1" applyBorder="1" applyAlignment="1">
      <alignment horizontal="center"/>
    </xf>
    <xf numFmtId="179" fontId="76" fillId="41" borderId="10" xfId="0" applyNumberFormat="1" applyFont="1" applyFill="1" applyBorder="1" applyAlignment="1">
      <alignment horizontal="center"/>
    </xf>
    <xf numFmtId="0" fontId="10" fillId="41" borderId="12" xfId="0" applyFont="1" applyFill="1" applyBorder="1" applyAlignment="1">
      <alignment horizontal="center" wrapText="1"/>
    </xf>
    <xf numFmtId="0" fontId="9" fillId="41" borderId="10" xfId="0" applyFont="1" applyFill="1" applyBorder="1" applyAlignment="1">
      <alignment horizontal="center"/>
    </xf>
    <xf numFmtId="0" fontId="9" fillId="41" borderId="10" xfId="0" applyFont="1" applyFill="1" applyBorder="1" applyAlignment="1">
      <alignment horizontal="center" wrapText="1"/>
    </xf>
    <xf numFmtId="0" fontId="10" fillId="41" borderId="10" xfId="0" applyFont="1" applyFill="1" applyBorder="1" applyAlignment="1">
      <alignment wrapText="1"/>
    </xf>
    <xf numFmtId="0" fontId="9" fillId="41" borderId="0" xfId="0" applyFont="1" applyFill="1" applyAlignment="1">
      <alignment horizontal="center"/>
    </xf>
    <xf numFmtId="0" fontId="123" fillId="41" borderId="0" xfId="0" applyFont="1" applyFill="1"/>
    <xf numFmtId="0" fontId="124" fillId="41" borderId="0" xfId="0" applyFont="1" applyFill="1"/>
    <xf numFmtId="4" fontId="38" fillId="41" borderId="0" xfId="0" applyNumberFormat="1" applyFont="1" applyFill="1" applyAlignment="1">
      <alignment horizontal="center"/>
    </xf>
    <xf numFmtId="173" fontId="55" fillId="41" borderId="0" xfId="0" applyNumberFormat="1" applyFont="1" applyFill="1"/>
    <xf numFmtId="0" fontId="12" fillId="41" borderId="10" xfId="0" applyFont="1" applyFill="1" applyBorder="1" applyAlignment="1">
      <alignment horizontal="center"/>
    </xf>
    <xf numFmtId="2" fontId="10" fillId="41" borderId="10" xfId="0" applyNumberFormat="1" applyFont="1" applyFill="1" applyBorder="1"/>
    <xf numFmtId="0" fontId="35" fillId="41" borderId="0" xfId="0" applyFont="1" applyFill="1"/>
    <xf numFmtId="0" fontId="27" fillId="41" borderId="0" xfId="0" applyFont="1" applyFill="1"/>
    <xf numFmtId="0" fontId="16" fillId="41" borderId="0" xfId="0" applyFont="1" applyFill="1" applyBorder="1"/>
    <xf numFmtId="14" fontId="7" fillId="41" borderId="0" xfId="0" applyNumberFormat="1" applyFont="1" applyFill="1"/>
    <xf numFmtId="0" fontId="16" fillId="41" borderId="0" xfId="0" applyFont="1" applyFill="1"/>
    <xf numFmtId="0" fontId="10" fillId="41" borderId="13" xfId="0" applyFont="1" applyFill="1" applyBorder="1" applyAlignment="1">
      <alignment horizontal="center"/>
    </xf>
    <xf numFmtId="0" fontId="43" fillId="41" borderId="10" xfId="0" applyFont="1" applyFill="1" applyBorder="1" applyAlignment="1">
      <alignment horizontal="center"/>
    </xf>
    <xf numFmtId="0" fontId="0" fillId="41" borderId="0" xfId="0" applyFill="1" applyAlignment="1">
      <alignment horizontal="center"/>
    </xf>
    <xf numFmtId="0" fontId="101" fillId="41" borderId="0" xfId="0" applyFont="1" applyFill="1" applyAlignment="1">
      <alignment horizontal="center"/>
    </xf>
    <xf numFmtId="173" fontId="84" fillId="41" borderId="0" xfId="187" applyNumberFormat="1" applyFont="1" applyFill="1" applyBorder="1" applyAlignment="1">
      <alignment horizontal="center"/>
    </xf>
    <xf numFmtId="14" fontId="0" fillId="41" borderId="27" xfId="0" applyNumberFormat="1" applyFill="1" applyBorder="1" applyAlignment="1">
      <alignment horizontal="center"/>
    </xf>
    <xf numFmtId="0" fontId="39" fillId="41" borderId="22" xfId="179" applyFont="1" applyFill="1" applyBorder="1" applyAlignment="1">
      <alignment horizontal="center" wrapText="1"/>
    </xf>
    <xf numFmtId="14" fontId="27" fillId="41" borderId="41" xfId="0" applyNumberFormat="1" applyFont="1" applyFill="1" applyBorder="1" applyAlignment="1">
      <alignment horizontal="center"/>
    </xf>
    <xf numFmtId="0" fontId="0" fillId="41" borderId="0" xfId="0" applyFill="1" applyBorder="1" applyAlignment="1">
      <alignment horizontal="center"/>
    </xf>
    <xf numFmtId="14" fontId="27" fillId="41" borderId="0" xfId="0" applyNumberFormat="1" applyFont="1" applyFill="1" applyBorder="1" applyAlignment="1">
      <alignment horizontal="center"/>
    </xf>
    <xf numFmtId="0" fontId="99" fillId="41" borderId="41" xfId="187" applyFont="1" applyFill="1" applyBorder="1" applyAlignment="1">
      <alignment horizontal="center"/>
    </xf>
    <xf numFmtId="0" fontId="107" fillId="41" borderId="0" xfId="196" applyFont="1" applyFill="1" applyBorder="1" applyAlignment="1">
      <alignment horizontal="center" vertical="center" wrapText="1"/>
    </xf>
    <xf numFmtId="0" fontId="38" fillId="41" borderId="0" xfId="0" applyFont="1" applyFill="1" applyBorder="1" applyAlignment="1">
      <alignment horizontal="center" vertical="center"/>
    </xf>
    <xf numFmtId="14" fontId="107" fillId="41" borderId="0" xfId="196" applyNumberFormat="1" applyFont="1" applyFill="1" applyBorder="1" applyAlignment="1">
      <alignment horizontal="center" vertical="center" wrapText="1"/>
    </xf>
    <xf numFmtId="14" fontId="38" fillId="41" borderId="0" xfId="0" applyNumberFormat="1" applyFont="1" applyFill="1" applyAlignment="1">
      <alignment horizontal="center"/>
    </xf>
    <xf numFmtId="0" fontId="38" fillId="41" borderId="0" xfId="0" applyFont="1" applyFill="1" applyAlignment="1">
      <alignment horizontal="center"/>
    </xf>
    <xf numFmtId="0" fontId="38" fillId="41" borderId="41" xfId="0" applyFont="1" applyFill="1" applyBorder="1" applyAlignment="1">
      <alignment horizontal="center"/>
    </xf>
    <xf numFmtId="0" fontId="103" fillId="41" borderId="0" xfId="0" applyFont="1" applyFill="1" applyAlignment="1">
      <alignment horizontal="center"/>
    </xf>
    <xf numFmtId="0" fontId="89" fillId="41" borderId="68" xfId="0" applyFont="1" applyFill="1" applyBorder="1"/>
    <xf numFmtId="0" fontId="62" fillId="41" borderId="0" xfId="0" applyFont="1" applyFill="1" applyAlignment="1">
      <alignment horizontal="center"/>
    </xf>
    <xf numFmtId="14" fontId="62" fillId="41" borderId="0" xfId="0" applyNumberFormat="1" applyFont="1" applyFill="1" applyAlignment="1">
      <alignment horizontal="center"/>
    </xf>
    <xf numFmtId="14" fontId="89" fillId="41" borderId="0" xfId="0" applyNumberFormat="1" applyFont="1" applyFill="1" applyAlignment="1">
      <alignment horizontal="center"/>
    </xf>
    <xf numFmtId="0" fontId="96" fillId="41" borderId="0" xfId="0" applyFont="1" applyFill="1" applyAlignment="1">
      <alignment horizontal="center"/>
    </xf>
    <xf numFmtId="14" fontId="89" fillId="41" borderId="0" xfId="0" applyNumberFormat="1" applyFont="1" applyFill="1" applyBorder="1" applyAlignment="1">
      <alignment horizontal="center"/>
    </xf>
    <xf numFmtId="0" fontId="89" fillId="41" borderId="0" xfId="0" applyFont="1" applyFill="1" applyAlignment="1">
      <alignment horizontal="center"/>
    </xf>
    <xf numFmtId="0" fontId="90" fillId="41" borderId="0" xfId="0" applyFont="1" applyFill="1" applyBorder="1" applyAlignment="1">
      <alignment horizontal="center"/>
    </xf>
    <xf numFmtId="14" fontId="114" fillId="41" borderId="0" xfId="0" applyNumberFormat="1" applyFont="1" applyFill="1" applyAlignment="1">
      <alignment horizontal="center"/>
    </xf>
    <xf numFmtId="0" fontId="86" fillId="41" borderId="0" xfId="0" applyFont="1" applyFill="1" applyAlignment="1">
      <alignment horizontal="center"/>
    </xf>
    <xf numFmtId="0" fontId="113" fillId="41" borderId="0" xfId="0" applyFont="1" applyFill="1" applyAlignment="1">
      <alignment horizontal="center"/>
    </xf>
    <xf numFmtId="0" fontId="55" fillId="41" borderId="0" xfId="0" applyFont="1" applyFill="1" applyAlignment="1">
      <alignment horizontal="center"/>
    </xf>
    <xf numFmtId="14" fontId="109" fillId="41" borderId="80" xfId="254" applyNumberFormat="1" applyFont="1" applyFill="1" applyBorder="1" applyAlignment="1">
      <alignment horizontal="center"/>
    </xf>
    <xf numFmtId="14" fontId="38" fillId="41" borderId="80" xfId="254" applyNumberFormat="1" applyFont="1" applyFill="1" applyBorder="1" applyAlignment="1">
      <alignment horizontal="center"/>
    </xf>
    <xf numFmtId="0" fontId="109" fillId="41" borderId="73" xfId="0" applyFont="1" applyFill="1" applyBorder="1" applyAlignment="1">
      <alignment horizontal="center"/>
    </xf>
    <xf numFmtId="0" fontId="82" fillId="41" borderId="75" xfId="0" applyFont="1" applyFill="1" applyBorder="1" applyAlignment="1">
      <alignment horizontal="center"/>
    </xf>
    <xf numFmtId="2" fontId="38" fillId="41" borderId="33" xfId="0" applyNumberFormat="1" applyFont="1" applyFill="1" applyBorder="1" applyAlignment="1">
      <alignment horizontal="center"/>
    </xf>
    <xf numFmtId="0" fontId="38" fillId="41" borderId="33" xfId="0" applyFont="1" applyFill="1" applyBorder="1" applyAlignment="1">
      <alignment horizontal="center"/>
    </xf>
    <xf numFmtId="179" fontId="38" fillId="41" borderId="0" xfId="0" applyNumberFormat="1" applyFont="1" applyFill="1" applyAlignment="1">
      <alignment horizontal="center"/>
    </xf>
    <xf numFmtId="0" fontId="110" fillId="41" borderId="0" xfId="0" applyFont="1" applyFill="1" applyAlignment="1">
      <alignment horizontal="center"/>
    </xf>
    <xf numFmtId="0" fontId="84" fillId="41" borderId="87" xfId="187" applyFont="1" applyFill="1" applyBorder="1" applyAlignment="1">
      <alignment horizontal="center"/>
    </xf>
    <xf numFmtId="0" fontId="85" fillId="41" borderId="80" xfId="187" applyFont="1" applyFill="1" applyBorder="1" applyAlignment="1">
      <alignment horizontal="center"/>
    </xf>
    <xf numFmtId="0" fontId="105" fillId="41" borderId="80" xfId="187" applyFill="1" applyBorder="1" applyAlignment="1">
      <alignment horizontal="center"/>
    </xf>
    <xf numFmtId="0" fontId="0" fillId="41" borderId="80" xfId="0" applyFill="1" applyBorder="1" applyAlignment="1">
      <alignment horizontal="center"/>
    </xf>
    <xf numFmtId="0" fontId="84" fillId="41" borderId="83" xfId="187" applyFont="1" applyFill="1" applyBorder="1" applyAlignment="1">
      <alignment horizontal="center"/>
    </xf>
    <xf numFmtId="0" fontId="94" fillId="41" borderId="83" xfId="189" applyFont="1" applyFill="1" applyBorder="1" applyAlignment="1">
      <alignment horizontal="center"/>
    </xf>
    <xf numFmtId="0" fontId="38" fillId="41" borderId="10" xfId="179" applyFont="1" applyFill="1" applyBorder="1" applyAlignment="1">
      <alignment horizontal="center" wrapText="1"/>
    </xf>
    <xf numFmtId="0" fontId="38" fillId="41" borderId="80" xfId="179" applyFont="1" applyFill="1" applyBorder="1" applyAlignment="1">
      <alignment horizontal="center" wrapText="1"/>
    </xf>
    <xf numFmtId="0" fontId="66" fillId="41" borderId="83" xfId="179" applyFont="1" applyFill="1" applyBorder="1" applyAlignment="1">
      <alignment horizontal="center" wrapText="1"/>
    </xf>
    <xf numFmtId="0" fontId="66" fillId="41" borderId="10" xfId="179" applyFont="1" applyFill="1" applyBorder="1" applyAlignment="1">
      <alignment horizontal="center" wrapText="1"/>
    </xf>
    <xf numFmtId="0" fontId="59" fillId="41" borderId="12" xfId="179" applyFont="1" applyFill="1" applyBorder="1" applyAlignment="1">
      <alignment horizontal="center" wrapText="1"/>
    </xf>
    <xf numFmtId="0" fontId="59" fillId="41" borderId="80" xfId="179" applyFont="1" applyFill="1" applyBorder="1" applyAlignment="1">
      <alignment horizontal="center" wrapText="1"/>
    </xf>
    <xf numFmtId="0" fontId="38" fillId="41" borderId="83" xfId="179" applyFont="1" applyFill="1" applyBorder="1" applyAlignment="1">
      <alignment horizontal="center" wrapText="1"/>
    </xf>
    <xf numFmtId="0" fontId="97" fillId="41" borderId="80" xfId="187" applyFont="1" applyFill="1" applyBorder="1" applyAlignment="1">
      <alignment horizontal="center"/>
    </xf>
    <xf numFmtId="2" fontId="38" fillId="41" borderId="46" xfId="0" applyNumberFormat="1" applyFont="1" applyFill="1" applyBorder="1" applyAlignment="1">
      <alignment horizontal="center"/>
    </xf>
    <xf numFmtId="0" fontId="38" fillId="24" borderId="33" xfId="0" applyFont="1" applyFill="1" applyBorder="1" applyAlignment="1">
      <alignment horizontal="center"/>
    </xf>
    <xf numFmtId="0" fontId="38" fillId="24" borderId="46" xfId="0" applyFont="1" applyFill="1" applyBorder="1" applyAlignment="1">
      <alignment horizontal="center"/>
    </xf>
    <xf numFmtId="0" fontId="38" fillId="0" borderId="75" xfId="0" applyFont="1" applyBorder="1" applyAlignment="1">
      <alignment horizontal="center"/>
    </xf>
    <xf numFmtId="0" fontId="38" fillId="24" borderId="75" xfId="0" applyFont="1" applyFill="1" applyBorder="1" applyAlignment="1">
      <alignment horizontal="center"/>
    </xf>
    <xf numFmtId="2" fontId="58" fillId="0" borderId="47" xfId="157" applyNumberFormat="1" applyFont="1" applyBorder="1" applyAlignment="1">
      <alignment horizontal="center"/>
    </xf>
    <xf numFmtId="181" fontId="58" fillId="0" borderId="47" xfId="157" applyNumberFormat="1" applyFont="1" applyBorder="1" applyAlignment="1">
      <alignment horizontal="center"/>
    </xf>
    <xf numFmtId="2" fontId="12" fillId="41" borderId="10" xfId="0" applyNumberFormat="1" applyFont="1" applyFill="1" applyBorder="1" applyAlignment="1">
      <alignment horizontal="center"/>
    </xf>
    <xf numFmtId="0" fontId="10" fillId="41" borderId="16" xfId="177" applyFont="1" applyFill="1" applyBorder="1" applyAlignment="1">
      <alignment horizontal="center"/>
    </xf>
    <xf numFmtId="0" fontId="10" fillId="41" borderId="10" xfId="177" applyFont="1" applyFill="1" applyBorder="1" applyAlignment="1">
      <alignment horizontal="center"/>
    </xf>
    <xf numFmtId="0" fontId="45" fillId="41" borderId="41" xfId="177" applyFont="1" applyFill="1" applyBorder="1" applyAlignment="1"/>
    <xf numFmtId="0" fontId="10" fillId="41" borderId="21" xfId="177" applyFont="1" applyFill="1" applyBorder="1" applyAlignment="1"/>
    <xf numFmtId="173" fontId="10" fillId="41" borderId="22" xfId="177" applyNumberFormat="1" applyFont="1" applyFill="1" applyBorder="1" applyAlignment="1"/>
    <xf numFmtId="0" fontId="10" fillId="41" borderId="0" xfId="177" applyFont="1" applyFill="1"/>
    <xf numFmtId="0" fontId="116" fillId="41" borderId="0" xfId="0" applyFont="1" applyFill="1"/>
    <xf numFmtId="14" fontId="0" fillId="41" borderId="41" xfId="0" applyNumberFormat="1" applyFill="1" applyBorder="1" applyAlignment="1">
      <alignment horizontal="center"/>
    </xf>
    <xf numFmtId="0" fontId="27" fillId="41" borderId="0" xfId="0" applyFont="1" applyFill="1" applyBorder="1"/>
    <xf numFmtId="2" fontId="0" fillId="41" borderId="67" xfId="0" applyNumberFormat="1" applyFill="1" applyBorder="1" applyAlignment="1">
      <alignment horizontal="center"/>
    </xf>
    <xf numFmtId="0" fontId="96" fillId="41" borderId="0" xfId="0" applyFont="1" applyFill="1"/>
    <xf numFmtId="0" fontId="38" fillId="41" borderId="52" xfId="0" applyFont="1" applyFill="1" applyBorder="1" applyAlignment="1">
      <alignment horizontal="center" vertical="center"/>
    </xf>
    <xf numFmtId="16" fontId="38" fillId="41" borderId="55" xfId="0" applyNumberFormat="1" applyFont="1" applyFill="1" applyBorder="1" applyAlignment="1">
      <alignment horizontal="center" vertical="center"/>
    </xf>
    <xf numFmtId="0" fontId="38" fillId="41" borderId="134" xfId="0" applyFont="1" applyFill="1" applyBorder="1" applyAlignment="1">
      <alignment horizontal="center" vertical="center"/>
    </xf>
    <xf numFmtId="0" fontId="38" fillId="41" borderId="53" xfId="0" applyFont="1" applyFill="1" applyBorder="1" applyAlignment="1">
      <alignment horizontal="center" vertical="center"/>
    </xf>
    <xf numFmtId="0" fontId="38" fillId="41" borderId="41" xfId="0" applyFont="1" applyFill="1" applyBorder="1" applyAlignment="1">
      <alignment horizontal="center" vertical="center"/>
    </xf>
    <xf numFmtId="0" fontId="87" fillId="41" borderId="41" xfId="196" applyFont="1" applyFill="1" applyBorder="1" applyAlignment="1">
      <alignment horizontal="center" vertical="center" wrapText="1"/>
    </xf>
    <xf numFmtId="0" fontId="38" fillId="41" borderId="22" xfId="0" applyFont="1" applyFill="1" applyBorder="1" applyAlignment="1">
      <alignment horizontal="center" vertical="center"/>
    </xf>
    <xf numFmtId="0" fontId="38" fillId="41" borderId="36" xfId="0" applyFont="1" applyFill="1" applyBorder="1" applyAlignment="1">
      <alignment horizontal="center" vertical="center"/>
    </xf>
    <xf numFmtId="16" fontId="38" fillId="41" borderId="10" xfId="0" applyNumberFormat="1" applyFont="1" applyFill="1" applyBorder="1" applyAlignment="1">
      <alignment horizontal="center" vertical="center"/>
    </xf>
    <xf numFmtId="0" fontId="38" fillId="41" borderId="10" xfId="0" applyFont="1" applyFill="1" applyBorder="1" applyAlignment="1">
      <alignment horizontal="center" vertical="center"/>
    </xf>
    <xf numFmtId="0" fontId="38" fillId="41" borderId="35" xfId="0" applyFont="1" applyFill="1" applyBorder="1" applyAlignment="1">
      <alignment horizontal="center" vertical="center"/>
    </xf>
    <xf numFmtId="0" fontId="38" fillId="41" borderId="15" xfId="0" applyFont="1" applyFill="1" applyBorder="1" applyAlignment="1">
      <alignment horizontal="center" vertical="center"/>
    </xf>
    <xf numFmtId="0" fontId="119" fillId="41" borderId="70" xfId="195" applyFont="1" applyFill="1" applyBorder="1" applyAlignment="1">
      <alignment horizontal="center" wrapText="1"/>
    </xf>
    <xf numFmtId="0" fontId="119" fillId="41" borderId="45" xfId="195" applyFont="1" applyFill="1" applyBorder="1" applyAlignment="1">
      <alignment horizontal="center" wrapText="1"/>
    </xf>
    <xf numFmtId="0" fontId="119" fillId="41" borderId="45" xfId="195" applyFont="1" applyFill="1" applyBorder="1" applyAlignment="1">
      <alignment horizontal="left" wrapText="1"/>
    </xf>
    <xf numFmtId="0" fontId="119" fillId="41" borderId="60" xfId="195" applyFont="1" applyFill="1" applyBorder="1" applyAlignment="1">
      <alignment horizontal="right" wrapText="1"/>
    </xf>
    <xf numFmtId="0" fontId="119" fillId="41" borderId="70" xfId="195" applyFont="1" applyFill="1" applyBorder="1" applyAlignment="1">
      <alignment horizontal="right" wrapText="1"/>
    </xf>
    <xf numFmtId="0" fontId="119" fillId="41" borderId="71" xfId="195" applyFont="1" applyFill="1" applyBorder="1" applyAlignment="1">
      <alignment horizontal="right" wrapText="1"/>
    </xf>
    <xf numFmtId="4" fontId="87" fillId="41" borderId="60" xfId="195" applyNumberFormat="1" applyFont="1" applyFill="1" applyBorder="1" applyAlignment="1">
      <alignment horizontal="center" wrapText="1"/>
    </xf>
    <xf numFmtId="4" fontId="87" fillId="41" borderId="71" xfId="195" applyNumberFormat="1" applyFont="1" applyFill="1" applyBorder="1" applyAlignment="1">
      <alignment horizontal="center" wrapText="1"/>
    </xf>
    <xf numFmtId="0" fontId="119" fillId="41" borderId="39" xfId="195" applyFont="1" applyFill="1" applyBorder="1" applyAlignment="1">
      <alignment horizontal="center" wrapText="1"/>
    </xf>
    <xf numFmtId="0" fontId="119" fillId="41" borderId="137" xfId="195" applyFont="1" applyFill="1" applyBorder="1" applyAlignment="1">
      <alignment horizontal="center" wrapText="1"/>
    </xf>
    <xf numFmtId="0" fontId="119" fillId="41" borderId="137" xfId="195" applyFont="1" applyFill="1" applyBorder="1" applyAlignment="1">
      <alignment horizontal="left" wrapText="1"/>
    </xf>
    <xf numFmtId="0" fontId="119" fillId="41" borderId="0" xfId="195" applyFont="1" applyFill="1" applyBorder="1" applyAlignment="1">
      <alignment horizontal="right" wrapText="1"/>
    </xf>
    <xf numFmtId="0" fontId="119" fillId="41" borderId="39" xfId="195" applyFont="1" applyFill="1" applyBorder="1" applyAlignment="1">
      <alignment horizontal="right" wrapText="1"/>
    </xf>
    <xf numFmtId="0" fontId="119" fillId="41" borderId="74" xfId="195" applyFont="1" applyFill="1" applyBorder="1" applyAlignment="1">
      <alignment horizontal="right" wrapText="1"/>
    </xf>
    <xf numFmtId="4" fontId="87" fillId="41" borderId="0" xfId="195" applyNumberFormat="1" applyFont="1" applyFill="1" applyBorder="1" applyAlignment="1">
      <alignment horizontal="center" wrapText="1"/>
    </xf>
    <xf numFmtId="4" fontId="87" fillId="41" borderId="74" xfId="195" applyNumberFormat="1" applyFont="1" applyFill="1" applyBorder="1" applyAlignment="1">
      <alignment horizontal="center" wrapText="1"/>
    </xf>
    <xf numFmtId="4" fontId="87" fillId="41" borderId="75" xfId="195" applyNumberFormat="1" applyFont="1" applyFill="1" applyBorder="1" applyAlignment="1">
      <alignment horizontal="center" wrapText="1"/>
    </xf>
    <xf numFmtId="0" fontId="87" fillId="41" borderId="0" xfId="195" applyFont="1" applyFill="1" applyBorder="1" applyAlignment="1">
      <alignment horizontal="center" wrapText="1"/>
    </xf>
    <xf numFmtId="0" fontId="87" fillId="41" borderId="137" xfId="195" applyFont="1" applyFill="1" applyBorder="1" applyAlignment="1">
      <alignment horizontal="center" wrapText="1"/>
    </xf>
    <xf numFmtId="0" fontId="87" fillId="41" borderId="39" xfId="195" applyFont="1" applyFill="1" applyBorder="1" applyAlignment="1">
      <alignment horizontal="center" wrapText="1"/>
    </xf>
    <xf numFmtId="0" fontId="93" fillId="41" borderId="39" xfId="195" applyFont="1" applyFill="1" applyBorder="1" applyAlignment="1">
      <alignment horizontal="center" vertical="center" wrapText="1"/>
    </xf>
    <xf numFmtId="0" fontId="93" fillId="41" borderId="0" xfId="195" applyFont="1" applyFill="1" applyBorder="1" applyAlignment="1">
      <alignment horizontal="center" vertical="center" wrapText="1"/>
    </xf>
    <xf numFmtId="4" fontId="87" fillId="41" borderId="39" xfId="195" applyNumberFormat="1" applyFont="1" applyFill="1" applyBorder="1" applyAlignment="1">
      <alignment horizontal="center" wrapText="1"/>
    </xf>
    <xf numFmtId="4" fontId="89" fillId="41" borderId="0" xfId="0" applyNumberFormat="1" applyFont="1" applyFill="1"/>
    <xf numFmtId="0" fontId="87" fillId="41" borderId="144" xfId="195" applyFont="1" applyFill="1" applyBorder="1" applyAlignment="1">
      <alignment horizontal="center" wrapText="1"/>
    </xf>
    <xf numFmtId="0" fontId="87" fillId="41" borderId="45" xfId="195" applyFont="1" applyFill="1" applyBorder="1" applyAlignment="1">
      <alignment horizontal="center" wrapText="1"/>
    </xf>
    <xf numFmtId="0" fontId="87" fillId="41" borderId="142" xfId="195" applyFont="1" applyFill="1" applyBorder="1" applyAlignment="1">
      <alignment horizontal="center" wrapText="1"/>
    </xf>
    <xf numFmtId="0" fontId="87" fillId="41" borderId="71" xfId="195" applyFont="1" applyFill="1" applyBorder="1" applyAlignment="1">
      <alignment horizontal="center" wrapText="1"/>
    </xf>
    <xf numFmtId="0" fontId="93" fillId="41" borderId="70" xfId="195" applyFont="1" applyFill="1" applyBorder="1" applyAlignment="1">
      <alignment horizontal="center" vertical="center" wrapText="1"/>
    </xf>
    <xf numFmtId="0" fontId="93" fillId="41" borderId="60" xfId="195" applyFont="1" applyFill="1" applyBorder="1" applyAlignment="1">
      <alignment horizontal="center" vertical="center" wrapText="1"/>
    </xf>
    <xf numFmtId="4" fontId="87" fillId="41" borderId="70" xfId="195" applyNumberFormat="1" applyFont="1" applyFill="1" applyBorder="1" applyAlignment="1">
      <alignment horizontal="center" wrapText="1"/>
    </xf>
    <xf numFmtId="0" fontId="87" fillId="41" borderId="153" xfId="195" applyFont="1" applyFill="1" applyBorder="1" applyAlignment="1">
      <alignment horizontal="center" wrapText="1"/>
    </xf>
    <xf numFmtId="0" fontId="87" fillId="41" borderId="141" xfId="195" applyFont="1" applyFill="1" applyBorder="1" applyAlignment="1">
      <alignment horizontal="center" wrapText="1"/>
    </xf>
    <xf numFmtId="0" fontId="87" fillId="41" borderId="74" xfId="195" applyFont="1" applyFill="1" applyBorder="1" applyAlignment="1">
      <alignment horizontal="center" wrapText="1"/>
    </xf>
    <xf numFmtId="0" fontId="87" fillId="41" borderId="154" xfId="195" applyFont="1" applyFill="1" applyBorder="1" applyAlignment="1">
      <alignment horizontal="center" wrapText="1"/>
    </xf>
    <xf numFmtId="0" fontId="87" fillId="41" borderId="76" xfId="195" applyFont="1" applyFill="1" applyBorder="1" applyAlignment="1">
      <alignment horizontal="center" wrapText="1"/>
    </xf>
    <xf numFmtId="0" fontId="87" fillId="41" borderId="155" xfId="195" applyFont="1" applyFill="1" applyBorder="1" applyAlignment="1">
      <alignment horizontal="center" wrapText="1"/>
    </xf>
    <xf numFmtId="0" fontId="87" fillId="41" borderId="75" xfId="195" applyFont="1" applyFill="1" applyBorder="1" applyAlignment="1">
      <alignment horizontal="center" wrapText="1"/>
    </xf>
    <xf numFmtId="0" fontId="93" fillId="41" borderId="67" xfId="195" applyFont="1" applyFill="1" applyBorder="1" applyAlignment="1">
      <alignment horizontal="center" vertical="center" wrapText="1"/>
    </xf>
    <xf numFmtId="0" fontId="93" fillId="41" borderId="84" xfId="195" applyFont="1" applyFill="1" applyBorder="1" applyAlignment="1">
      <alignment horizontal="center" vertical="center" wrapText="1"/>
    </xf>
    <xf numFmtId="4" fontId="87" fillId="41" borderId="67" xfId="195" applyNumberFormat="1" applyFont="1" applyFill="1" applyBorder="1" applyAlignment="1">
      <alignment horizontal="center" wrapText="1"/>
    </xf>
    <xf numFmtId="0" fontId="93" fillId="41" borderId="112" xfId="195" applyFont="1" applyFill="1" applyBorder="1" applyAlignment="1">
      <alignment horizontal="center" wrapText="1"/>
    </xf>
    <xf numFmtId="0" fontId="93" fillId="41" borderId="113" xfId="195" applyFont="1" applyFill="1" applyBorder="1" applyAlignment="1">
      <alignment horizontal="center" wrapText="1"/>
    </xf>
    <xf numFmtId="0" fontId="87" fillId="41" borderId="111" xfId="195" applyFont="1" applyFill="1" applyBorder="1" applyAlignment="1">
      <alignment horizontal="center" wrapText="1"/>
    </xf>
    <xf numFmtId="0" fontId="87" fillId="41" borderId="113" xfId="195" applyFont="1" applyFill="1" applyBorder="1" applyAlignment="1">
      <alignment horizontal="center" wrapText="1"/>
    </xf>
    <xf numFmtId="0" fontId="87" fillId="41" borderId="114" xfId="195" applyFont="1" applyFill="1" applyBorder="1" applyAlignment="1">
      <alignment horizontal="center" wrapText="1"/>
    </xf>
    <xf numFmtId="0" fontId="87" fillId="41" borderId="115" xfId="195" applyFont="1" applyFill="1" applyBorder="1" applyAlignment="1">
      <alignment horizontal="center" wrapText="1"/>
    </xf>
    <xf numFmtId="0" fontId="39" fillId="41" borderId="0" xfId="0" applyFont="1" applyFill="1"/>
    <xf numFmtId="0" fontId="97" fillId="0" borderId="39" xfId="195" applyFont="1" applyFill="1" applyBorder="1" applyAlignment="1">
      <alignment horizontal="center" wrapText="1"/>
    </xf>
    <xf numFmtId="0" fontId="97" fillId="0" borderId="0" xfId="195" applyFont="1" applyFill="1" applyBorder="1" applyAlignment="1">
      <alignment horizontal="center" wrapText="1"/>
    </xf>
    <xf numFmtId="0" fontId="97" fillId="0" borderId="74" xfId="195" applyFont="1" applyFill="1" applyBorder="1" applyAlignment="1">
      <alignment horizontal="center" wrapText="1"/>
    </xf>
    <xf numFmtId="0" fontId="63" fillId="0" borderId="112" xfId="195" applyFont="1" applyFill="1" applyBorder="1" applyAlignment="1">
      <alignment horizontal="center" wrapText="1"/>
    </xf>
    <xf numFmtId="0" fontId="63" fillId="0" borderId="113" xfId="195" applyFont="1" applyFill="1" applyBorder="1" applyAlignment="1">
      <alignment horizontal="center" wrapText="1"/>
    </xf>
    <xf numFmtId="4" fontId="97" fillId="0" borderId="74" xfId="195" applyNumberFormat="1" applyFont="1" applyFill="1" applyBorder="1" applyAlignment="1">
      <alignment horizontal="center" wrapText="1"/>
    </xf>
    <xf numFmtId="0" fontId="97" fillId="41" borderId="39" xfId="195" applyFont="1" applyFill="1" applyBorder="1" applyAlignment="1">
      <alignment horizontal="center" wrapText="1"/>
    </xf>
    <xf numFmtId="0" fontId="97" fillId="41" borderId="0" xfId="195" applyFont="1" applyFill="1" applyBorder="1" applyAlignment="1">
      <alignment horizontal="center" wrapText="1"/>
    </xf>
    <xf numFmtId="0" fontId="97" fillId="41" borderId="74" xfId="195" applyFont="1" applyFill="1" applyBorder="1" applyAlignment="1">
      <alignment horizontal="center" wrapText="1"/>
    </xf>
    <xf numFmtId="0" fontId="63" fillId="41" borderId="112" xfId="195" applyFont="1" applyFill="1" applyBorder="1" applyAlignment="1">
      <alignment horizontal="center" wrapText="1"/>
    </xf>
    <xf numFmtId="0" fontId="63" fillId="41" borderId="113" xfId="195" applyFont="1" applyFill="1" applyBorder="1" applyAlignment="1">
      <alignment horizontal="center" wrapText="1"/>
    </xf>
    <xf numFmtId="4" fontId="97" fillId="41" borderId="39" xfId="195" applyNumberFormat="1" applyFont="1" applyFill="1" applyBorder="1" applyAlignment="1">
      <alignment horizontal="center" wrapText="1"/>
    </xf>
    <xf numFmtId="4" fontId="97" fillId="41" borderId="74" xfId="195" applyNumberFormat="1" applyFont="1" applyFill="1" applyBorder="1" applyAlignment="1">
      <alignment horizontal="center" wrapText="1"/>
    </xf>
    <xf numFmtId="0" fontId="97" fillId="41" borderId="111" xfId="195" applyFont="1" applyFill="1" applyBorder="1" applyAlignment="1">
      <alignment horizontal="center" wrapText="1"/>
    </xf>
    <xf numFmtId="0" fontId="97" fillId="41" borderId="112" xfId="195" applyFont="1" applyFill="1" applyBorder="1" applyAlignment="1">
      <alignment horizontal="center" wrapText="1"/>
    </xf>
    <xf numFmtId="0" fontId="97" fillId="41" borderId="4" xfId="195" applyFont="1" applyFill="1" applyBorder="1" applyAlignment="1">
      <alignment horizontal="center" wrapText="1"/>
    </xf>
    <xf numFmtId="0" fontId="97" fillId="41" borderId="113" xfId="195" applyFont="1" applyFill="1" applyBorder="1" applyAlignment="1">
      <alignment horizontal="center" wrapText="1"/>
    </xf>
    <xf numFmtId="0" fontId="97" fillId="41" borderId="114" xfId="195" applyFont="1" applyFill="1" applyBorder="1" applyAlignment="1">
      <alignment horizontal="center" wrapText="1"/>
    </xf>
    <xf numFmtId="0" fontId="97" fillId="41" borderId="115" xfId="195" applyFont="1" applyFill="1" applyBorder="1" applyAlignment="1">
      <alignment horizontal="center" wrapText="1"/>
    </xf>
    <xf numFmtId="0" fontId="87" fillId="41" borderId="112" xfId="195" applyFont="1" applyFill="1" applyBorder="1" applyAlignment="1">
      <alignment horizontal="center" wrapText="1"/>
    </xf>
    <xf numFmtId="0" fontId="87" fillId="41" borderId="4" xfId="195" applyFont="1" applyFill="1" applyBorder="1" applyAlignment="1">
      <alignment horizontal="center" wrapText="1"/>
    </xf>
    <xf numFmtId="173" fontId="93" fillId="41" borderId="113" xfId="195" applyNumberFormat="1" applyFont="1" applyFill="1" applyBorder="1" applyAlignment="1">
      <alignment horizontal="center" wrapText="1"/>
    </xf>
    <xf numFmtId="4" fontId="97" fillId="0" borderId="67" xfId="195" applyNumberFormat="1" applyFont="1" applyFill="1" applyBorder="1" applyAlignment="1">
      <alignment horizontal="center" wrapText="1"/>
    </xf>
    <xf numFmtId="4" fontId="97" fillId="0" borderId="75" xfId="195" applyNumberFormat="1" applyFont="1" applyFill="1" applyBorder="1" applyAlignment="1">
      <alignment horizontal="center" wrapText="1"/>
    </xf>
    <xf numFmtId="4" fontId="97" fillId="0" borderId="70" xfId="195" applyNumberFormat="1" applyFont="1" applyFill="1" applyBorder="1" applyAlignment="1">
      <alignment horizontal="center" wrapText="1"/>
    </xf>
    <xf numFmtId="4" fontId="97" fillId="0" borderId="71" xfId="195" applyNumberFormat="1" applyFont="1" applyFill="1" applyBorder="1" applyAlignment="1">
      <alignment horizontal="center" wrapText="1"/>
    </xf>
    <xf numFmtId="178" fontId="38" fillId="41" borderId="0" xfId="0" applyNumberFormat="1" applyFont="1" applyFill="1" applyBorder="1" applyAlignment="1">
      <alignment horizontal="center"/>
    </xf>
    <xf numFmtId="0" fontId="38" fillId="41" borderId="0" xfId="0" applyFont="1" applyFill="1" applyBorder="1" applyAlignment="1">
      <alignment horizontal="center"/>
    </xf>
    <xf numFmtId="0" fontId="87" fillId="41" borderId="128" xfId="195" applyFont="1" applyFill="1" applyBorder="1" applyAlignment="1">
      <alignment horizontal="center" wrapText="1"/>
    </xf>
    <xf numFmtId="0" fontId="87" fillId="41" borderId="129" xfId="195" applyFont="1" applyFill="1" applyBorder="1" applyAlignment="1">
      <alignment horizontal="center" wrapText="1"/>
    </xf>
    <xf numFmtId="0" fontId="87" fillId="41" borderId="130" xfId="195" applyFont="1" applyFill="1" applyBorder="1" applyAlignment="1">
      <alignment horizontal="center" wrapText="1"/>
    </xf>
    <xf numFmtId="0" fontId="87" fillId="41" borderId="131" xfId="195" applyFont="1" applyFill="1" applyBorder="1" applyAlignment="1">
      <alignment horizontal="center" wrapText="1"/>
    </xf>
    <xf numFmtId="0" fontId="87" fillId="41" borderId="132" xfId="195" applyFont="1" applyFill="1" applyBorder="1" applyAlignment="1">
      <alignment horizontal="center" wrapText="1"/>
    </xf>
    <xf numFmtId="0" fontId="87" fillId="41" borderId="133" xfId="195" applyFont="1" applyFill="1" applyBorder="1" applyAlignment="1">
      <alignment horizontal="center" wrapText="1"/>
    </xf>
    <xf numFmtId="0" fontId="93" fillId="41" borderId="129" xfId="195" applyFont="1" applyFill="1" applyBorder="1" applyAlignment="1">
      <alignment horizontal="center" wrapText="1"/>
    </xf>
    <xf numFmtId="173" fontId="93" fillId="41" borderId="131" xfId="195" applyNumberFormat="1" applyFont="1" applyFill="1" applyBorder="1" applyAlignment="1">
      <alignment horizontal="center" wrapText="1"/>
    </xf>
    <xf numFmtId="0" fontId="87" fillId="41" borderId="116" xfId="195" applyFont="1" applyFill="1" applyBorder="1" applyAlignment="1">
      <alignment horizontal="center" wrapText="1"/>
    </xf>
    <xf numFmtId="0" fontId="87" fillId="41" borderId="117" xfId="195" applyFont="1" applyFill="1" applyBorder="1" applyAlignment="1">
      <alignment horizontal="center" wrapText="1"/>
    </xf>
    <xf numFmtId="0" fontId="87" fillId="41" borderId="118" xfId="195" applyFont="1" applyFill="1" applyBorder="1" applyAlignment="1">
      <alignment horizontal="center" wrapText="1"/>
    </xf>
    <xf numFmtId="0" fontId="87" fillId="41" borderId="119" xfId="195" applyFont="1" applyFill="1" applyBorder="1" applyAlignment="1">
      <alignment horizontal="center" wrapText="1"/>
    </xf>
    <xf numFmtId="0" fontId="87" fillId="41" borderId="120" xfId="195" applyFont="1" applyFill="1" applyBorder="1" applyAlignment="1">
      <alignment horizontal="center" wrapText="1"/>
    </xf>
    <xf numFmtId="0" fontId="87" fillId="41" borderId="121" xfId="195" applyFont="1" applyFill="1" applyBorder="1" applyAlignment="1">
      <alignment horizontal="center" wrapText="1"/>
    </xf>
    <xf numFmtId="0" fontId="93" fillId="41" borderId="117" xfId="195" applyFont="1" applyFill="1" applyBorder="1" applyAlignment="1">
      <alignment horizontal="center" wrapText="1"/>
    </xf>
    <xf numFmtId="173" fontId="93" fillId="41" borderId="119" xfId="195" applyNumberFormat="1" applyFont="1" applyFill="1" applyBorder="1" applyAlignment="1">
      <alignment horizontal="center" wrapText="1"/>
    </xf>
    <xf numFmtId="0" fontId="87" fillId="41" borderId="122" xfId="195" applyFont="1" applyFill="1" applyBorder="1" applyAlignment="1">
      <alignment horizontal="center" wrapText="1"/>
    </xf>
    <xf numFmtId="0" fontId="87" fillId="41" borderId="123" xfId="195" applyFont="1" applyFill="1" applyBorder="1" applyAlignment="1">
      <alignment horizontal="center" wrapText="1"/>
    </xf>
    <xf numFmtId="0" fontId="87" fillId="41" borderId="124" xfId="195" applyFont="1" applyFill="1" applyBorder="1" applyAlignment="1">
      <alignment horizontal="center" wrapText="1"/>
    </xf>
    <xf numFmtId="0" fontId="87" fillId="41" borderId="125" xfId="195" applyFont="1" applyFill="1" applyBorder="1" applyAlignment="1">
      <alignment horizontal="center" wrapText="1"/>
    </xf>
    <xf numFmtId="0" fontId="87" fillId="41" borderId="126" xfId="195" applyFont="1" applyFill="1" applyBorder="1" applyAlignment="1">
      <alignment horizontal="center" wrapText="1"/>
    </xf>
    <xf numFmtId="0" fontId="87" fillId="41" borderId="127" xfId="195" applyFont="1" applyFill="1" applyBorder="1" applyAlignment="1">
      <alignment horizontal="center" wrapText="1"/>
    </xf>
    <xf numFmtId="0" fontId="93" fillId="41" borderId="123" xfId="195" applyFont="1" applyFill="1" applyBorder="1" applyAlignment="1">
      <alignment horizontal="center" wrapText="1"/>
    </xf>
    <xf numFmtId="173" fontId="93" fillId="41" borderId="125" xfId="195" applyNumberFormat="1" applyFont="1" applyFill="1" applyBorder="1" applyAlignment="1">
      <alignment horizontal="center" wrapText="1"/>
    </xf>
    <xf numFmtId="4" fontId="97" fillId="41" borderId="70" xfId="195" applyNumberFormat="1" applyFont="1" applyFill="1" applyBorder="1" applyAlignment="1">
      <alignment horizontal="center" wrapText="1"/>
    </xf>
    <xf numFmtId="4" fontId="97" fillId="41" borderId="71" xfId="195" applyNumberFormat="1" applyFont="1" applyFill="1" applyBorder="1" applyAlignment="1">
      <alignment horizontal="center" wrapText="1"/>
    </xf>
    <xf numFmtId="0" fontId="39" fillId="41" borderId="76" xfId="0" applyFont="1" applyFill="1" applyBorder="1" applyAlignment="1">
      <alignment horizontal="center" vertical="center"/>
    </xf>
    <xf numFmtId="16" fontId="38" fillId="41" borderId="76" xfId="0" applyNumberFormat="1" applyFont="1" applyFill="1" applyBorder="1" applyAlignment="1">
      <alignment horizontal="center" vertical="center"/>
    </xf>
    <xf numFmtId="0" fontId="38" fillId="41" borderId="97" xfId="0" applyFont="1" applyFill="1" applyBorder="1" applyAlignment="1">
      <alignment horizontal="center" vertical="center"/>
    </xf>
    <xf numFmtId="0" fontId="38" fillId="41" borderId="46" xfId="0" applyFont="1" applyFill="1" applyBorder="1" applyAlignment="1">
      <alignment horizontal="center" vertical="center"/>
    </xf>
    <xf numFmtId="0" fontId="38" fillId="41" borderId="47" xfId="0" applyFont="1" applyFill="1" applyBorder="1" applyAlignment="1">
      <alignment horizontal="center" vertical="center"/>
    </xf>
    <xf numFmtId="3" fontId="38" fillId="41" borderId="44" xfId="0" applyNumberFormat="1" applyFont="1" applyFill="1" applyBorder="1" applyAlignment="1">
      <alignment horizontal="center" vertical="center"/>
    </xf>
    <xf numFmtId="3" fontId="38" fillId="41" borderId="46" xfId="0" applyNumberFormat="1" applyFont="1" applyFill="1" applyBorder="1" applyAlignment="1">
      <alignment horizontal="center" vertical="center"/>
    </xf>
    <xf numFmtId="3" fontId="38" fillId="41" borderId="49" xfId="0" applyNumberFormat="1" applyFont="1" applyFill="1" applyBorder="1" applyAlignment="1">
      <alignment horizontal="center" vertical="center"/>
    </xf>
    <xf numFmtId="3" fontId="72" fillId="41" borderId="47" xfId="196" applyNumberFormat="1" applyFont="1" applyFill="1" applyBorder="1" applyAlignment="1">
      <alignment horizontal="center" vertical="center" wrapText="1"/>
    </xf>
    <xf numFmtId="3" fontId="38" fillId="41" borderId="68" xfId="0" applyNumberFormat="1" applyFont="1" applyFill="1" applyBorder="1" applyAlignment="1">
      <alignment horizontal="center" vertical="center"/>
    </xf>
    <xf numFmtId="3" fontId="83" fillId="41" borderId="64" xfId="0" applyNumberFormat="1" applyFont="1" applyFill="1" applyBorder="1" applyAlignment="1">
      <alignment horizontal="center" vertical="center"/>
    </xf>
    <xf numFmtId="3" fontId="109" fillId="41" borderId="64" xfId="0" applyNumberFormat="1" applyFont="1" applyFill="1" applyBorder="1" applyAlignment="1">
      <alignment horizontal="center" vertical="center"/>
    </xf>
    <xf numFmtId="0" fontId="97" fillId="24" borderId="0" xfId="195" applyFont="1" applyFill="1" applyBorder="1" applyAlignment="1">
      <alignment horizontal="center" wrapText="1"/>
    </xf>
    <xf numFmtId="0" fontId="97" fillId="0" borderId="137" xfId="195" applyFont="1" applyFill="1" applyBorder="1" applyAlignment="1">
      <alignment horizontal="center" wrapText="1"/>
    </xf>
    <xf numFmtId="0" fontId="97" fillId="24" borderId="137" xfId="195" applyFont="1" applyFill="1" applyBorder="1" applyAlignment="1">
      <alignment horizontal="center" wrapText="1"/>
    </xf>
    <xf numFmtId="0" fontId="97" fillId="24" borderId="74" xfId="195" applyFont="1" applyFill="1" applyBorder="1" applyAlignment="1">
      <alignment horizontal="center" wrapText="1"/>
    </xf>
    <xf numFmtId="0" fontId="63" fillId="24" borderId="39" xfId="195" applyFont="1" applyFill="1" applyBorder="1" applyAlignment="1">
      <alignment horizontal="center" vertical="center" wrapText="1"/>
    </xf>
    <xf numFmtId="0" fontId="63" fillId="24" borderId="74" xfId="195" applyFont="1" applyFill="1" applyBorder="1" applyAlignment="1">
      <alignment horizontal="center" vertical="center" wrapText="1"/>
    </xf>
    <xf numFmtId="4" fontId="97" fillId="24" borderId="0" xfId="195" applyNumberFormat="1" applyFont="1" applyFill="1" applyBorder="1" applyAlignment="1">
      <alignment horizontal="center" wrapText="1"/>
    </xf>
    <xf numFmtId="4" fontId="97" fillId="24" borderId="74" xfId="195" applyNumberFormat="1" applyFont="1" applyFill="1" applyBorder="1" applyAlignment="1">
      <alignment horizontal="center" wrapText="1"/>
    </xf>
    <xf numFmtId="0" fontId="97" fillId="0" borderId="76" xfId="195" applyFont="1" applyFill="1" applyBorder="1" applyAlignment="1">
      <alignment horizontal="center" wrapText="1"/>
    </xf>
    <xf numFmtId="0" fontId="63" fillId="0" borderId="54" xfId="195" applyFont="1" applyFill="1" applyBorder="1" applyAlignment="1">
      <alignment horizontal="center" wrapText="1"/>
    </xf>
    <xf numFmtId="0" fontId="63" fillId="0" borderId="53" xfId="195" applyFont="1" applyFill="1" applyBorder="1" applyAlignment="1">
      <alignment horizontal="center" wrapText="1"/>
    </xf>
    <xf numFmtId="0" fontId="63" fillId="0" borderId="52" xfId="195" applyFont="1" applyFill="1" applyBorder="1" applyAlignment="1">
      <alignment horizontal="center" wrapText="1"/>
    </xf>
    <xf numFmtId="0" fontId="63" fillId="0" borderId="27" xfId="195" applyFont="1" applyFill="1" applyBorder="1" applyAlignment="1">
      <alignment horizontal="center" wrapText="1"/>
    </xf>
    <xf numFmtId="0" fontId="63" fillId="0" borderId="22" xfId="195" applyFont="1" applyFill="1" applyBorder="1" applyAlignment="1">
      <alignment horizontal="center" wrapText="1"/>
    </xf>
    <xf numFmtId="4" fontId="97" fillId="24" borderId="21" xfId="195" applyNumberFormat="1" applyFont="1" applyFill="1" applyBorder="1" applyAlignment="1">
      <alignment horizontal="center" wrapText="1"/>
    </xf>
    <xf numFmtId="4" fontId="97" fillId="24" borderId="22" xfId="195" applyNumberFormat="1" applyFont="1" applyFill="1" applyBorder="1" applyAlignment="1">
      <alignment horizontal="center" wrapText="1"/>
    </xf>
    <xf numFmtId="0" fontId="97" fillId="24" borderId="39" xfId="195" applyFont="1" applyFill="1" applyBorder="1" applyAlignment="1">
      <alignment horizontal="center" wrapText="1"/>
    </xf>
    <xf numFmtId="0" fontId="63" fillId="24" borderId="0" xfId="195" applyFont="1" applyFill="1" applyBorder="1" applyAlignment="1">
      <alignment horizontal="center" vertical="center" wrapText="1"/>
    </xf>
    <xf numFmtId="0" fontId="97" fillId="0" borderId="84" xfId="195" applyFont="1" applyFill="1" applyBorder="1" applyAlignment="1">
      <alignment horizontal="center" wrapText="1"/>
    </xf>
    <xf numFmtId="0" fontId="97" fillId="24" borderId="67" xfId="195" applyFont="1" applyFill="1" applyBorder="1" applyAlignment="1">
      <alignment horizontal="center" wrapText="1"/>
    </xf>
    <xf numFmtId="0" fontId="97" fillId="24" borderId="76" xfId="195" applyFont="1" applyFill="1" applyBorder="1" applyAlignment="1">
      <alignment horizontal="center" wrapText="1"/>
    </xf>
    <xf numFmtId="0" fontId="63" fillId="24" borderId="84" xfId="195" applyFont="1" applyFill="1" applyBorder="1" applyAlignment="1">
      <alignment horizontal="center" vertical="center" wrapText="1"/>
    </xf>
    <xf numFmtId="0" fontId="63" fillId="24" borderId="75" xfId="195" applyFont="1" applyFill="1" applyBorder="1" applyAlignment="1">
      <alignment horizontal="center" vertical="center" wrapText="1"/>
    </xf>
    <xf numFmtId="4" fontId="97" fillId="24" borderId="84" xfId="195" applyNumberFormat="1" applyFont="1" applyFill="1" applyBorder="1" applyAlignment="1">
      <alignment horizontal="center" wrapText="1"/>
    </xf>
    <xf numFmtId="4" fontId="97" fillId="24" borderId="75" xfId="195" applyNumberFormat="1" applyFont="1" applyFill="1" applyBorder="1" applyAlignment="1">
      <alignment horizontal="center" wrapText="1"/>
    </xf>
    <xf numFmtId="0" fontId="97" fillId="24" borderId="45" xfId="195" applyFont="1" applyFill="1" applyBorder="1" applyAlignment="1">
      <alignment horizontal="center" wrapText="1"/>
    </xf>
    <xf numFmtId="0" fontId="97" fillId="0" borderId="45" xfId="195" applyFont="1" applyFill="1" applyBorder="1" applyAlignment="1">
      <alignment horizontal="center" wrapText="1"/>
    </xf>
    <xf numFmtId="0" fontId="97" fillId="24" borderId="70" xfId="195" applyFont="1" applyFill="1" applyBorder="1" applyAlignment="1">
      <alignment horizontal="center" wrapText="1"/>
    </xf>
    <xf numFmtId="0" fontId="97" fillId="24" borderId="60" xfId="195" applyFont="1" applyFill="1" applyBorder="1" applyAlignment="1">
      <alignment horizontal="center" wrapText="1"/>
    </xf>
    <xf numFmtId="0" fontId="63" fillId="24" borderId="70" xfId="195" applyFont="1" applyFill="1" applyBorder="1" applyAlignment="1">
      <alignment horizontal="center" vertical="center" wrapText="1"/>
    </xf>
    <xf numFmtId="0" fontId="63" fillId="24" borderId="60" xfId="195" applyFont="1" applyFill="1" applyBorder="1" applyAlignment="1">
      <alignment horizontal="center" vertical="center" wrapText="1"/>
    </xf>
    <xf numFmtId="4" fontId="97" fillId="24" borderId="70" xfId="195" applyNumberFormat="1" applyFont="1" applyFill="1" applyBorder="1" applyAlignment="1">
      <alignment horizontal="center" wrapText="1"/>
    </xf>
    <xf numFmtId="4" fontId="97" fillId="24" borderId="71" xfId="195" applyNumberFormat="1" applyFont="1" applyFill="1" applyBorder="1" applyAlignment="1">
      <alignment horizontal="center" wrapText="1"/>
    </xf>
    <xf numFmtId="0" fontId="97" fillId="41" borderId="137" xfId="195" applyFont="1" applyFill="1" applyBorder="1" applyAlignment="1">
      <alignment horizontal="center" wrapText="1"/>
    </xf>
    <xf numFmtId="0" fontId="63" fillId="41" borderId="39" xfId="195" applyFont="1" applyFill="1" applyBorder="1" applyAlignment="1">
      <alignment horizontal="center" vertical="center" wrapText="1"/>
    </xf>
    <xf numFmtId="0" fontId="63" fillId="41" borderId="0" xfId="195" applyFont="1" applyFill="1" applyBorder="1" applyAlignment="1">
      <alignment horizontal="center" vertical="center" wrapText="1"/>
    </xf>
    <xf numFmtId="4" fontId="97" fillId="41" borderId="0" xfId="195" applyNumberFormat="1" applyFont="1" applyFill="1" applyBorder="1" applyAlignment="1">
      <alignment horizontal="center" wrapText="1"/>
    </xf>
    <xf numFmtId="4" fontId="97" fillId="41" borderId="84" xfId="195" applyNumberFormat="1" applyFont="1" applyFill="1" applyBorder="1" applyAlignment="1">
      <alignment horizontal="center" wrapText="1"/>
    </xf>
    <xf numFmtId="4" fontId="97" fillId="0" borderId="123" xfId="195" applyNumberFormat="1" applyFont="1" applyFill="1" applyBorder="1" applyAlignment="1">
      <alignment horizontal="center" vertical="center" wrapText="1"/>
    </xf>
    <xf numFmtId="4" fontId="97" fillId="0" borderId="21" xfId="195" applyNumberFormat="1" applyFont="1" applyFill="1" applyBorder="1" applyAlignment="1">
      <alignment horizontal="center" wrapText="1"/>
    </xf>
    <xf numFmtId="0" fontId="97" fillId="41" borderId="35" xfId="196" applyFont="1" applyFill="1" applyBorder="1" applyAlignment="1">
      <alignment horizontal="center" vertical="center" wrapText="1"/>
    </xf>
    <xf numFmtId="0" fontId="97" fillId="0" borderId="35" xfId="196" applyFont="1" applyFill="1" applyBorder="1" applyAlignment="1">
      <alignment horizontal="center" vertical="center" wrapText="1"/>
    </xf>
    <xf numFmtId="0" fontId="97" fillId="0" borderId="69" xfId="196" applyFont="1" applyFill="1" applyBorder="1" applyAlignment="1">
      <alignment horizontal="center" vertical="center" wrapText="1"/>
    </xf>
    <xf numFmtId="0" fontId="97" fillId="0" borderId="34" xfId="196" applyFont="1" applyFill="1" applyBorder="1" applyAlignment="1">
      <alignment horizontal="center" vertical="center" wrapText="1"/>
    </xf>
    <xf numFmtId="0" fontId="38" fillId="41" borderId="80" xfId="0" applyFont="1" applyFill="1" applyBorder="1" applyAlignment="1">
      <alignment horizontal="center" vertical="center"/>
    </xf>
    <xf numFmtId="0" fontId="9" fillId="41" borderId="0" xfId="0" applyFont="1" applyFill="1" applyBorder="1" applyAlignment="1">
      <alignment horizontal="center"/>
    </xf>
    <xf numFmtId="0" fontId="0" fillId="41" borderId="0" xfId="0" applyFill="1" applyBorder="1"/>
    <xf numFmtId="0" fontId="12" fillId="49" borderId="10" xfId="0" applyFont="1" applyFill="1" applyBorder="1" applyAlignment="1">
      <alignment horizontal="center"/>
    </xf>
    <xf numFmtId="0" fontId="12" fillId="47" borderId="10" xfId="0" applyFont="1" applyFill="1" applyBorder="1" applyAlignment="1">
      <alignment horizontal="center"/>
    </xf>
    <xf numFmtId="0" fontId="0" fillId="0" borderId="0" xfId="0"/>
    <xf numFmtId="0" fontId="0" fillId="41" borderId="0" xfId="0" applyFill="1"/>
    <xf numFmtId="0" fontId="10" fillId="47" borderId="10" xfId="0" applyFont="1" applyFill="1" applyBorder="1" applyAlignment="1">
      <alignment horizontal="center"/>
    </xf>
    <xf numFmtId="0" fontId="10" fillId="49" borderId="10" xfId="0" applyFont="1" applyFill="1" applyBorder="1" applyAlignment="1">
      <alignment horizontal="center"/>
    </xf>
    <xf numFmtId="0" fontId="10" fillId="44" borderId="10" xfId="0" applyFont="1" applyFill="1" applyBorder="1" applyAlignment="1">
      <alignment horizontal="center"/>
    </xf>
    <xf numFmtId="10" fontId="10" fillId="44" borderId="10" xfId="203" applyNumberFormat="1" applyFont="1" applyFill="1" applyBorder="1" applyAlignment="1">
      <alignment horizontal="center"/>
    </xf>
    <xf numFmtId="10" fontId="10" fillId="44" borderId="10" xfId="204" applyNumberFormat="1" applyFont="1" applyFill="1" applyBorder="1" applyAlignment="1">
      <alignment horizontal="center"/>
    </xf>
    <xf numFmtId="2" fontId="10" fillId="44" borderId="10" xfId="0" applyNumberFormat="1" applyFont="1" applyFill="1" applyBorder="1" applyAlignment="1">
      <alignment horizontal="center"/>
    </xf>
    <xf numFmtId="0" fontId="10" fillId="50" borderId="10" xfId="0" applyFont="1" applyFill="1" applyBorder="1" applyAlignment="1">
      <alignment horizontal="center"/>
    </xf>
    <xf numFmtId="2" fontId="10" fillId="50" borderId="10" xfId="0" applyNumberFormat="1" applyFont="1" applyFill="1" applyBorder="1" applyAlignment="1">
      <alignment horizontal="center"/>
    </xf>
    <xf numFmtId="10" fontId="10" fillId="50" borderId="10" xfId="203" applyNumberFormat="1" applyFont="1" applyFill="1" applyBorder="1" applyAlignment="1">
      <alignment horizontal="center"/>
    </xf>
    <xf numFmtId="10" fontId="10" fillId="50" borderId="10" xfId="204" applyNumberFormat="1" applyFont="1" applyFill="1" applyBorder="1" applyAlignment="1">
      <alignment horizontal="center"/>
    </xf>
    <xf numFmtId="0" fontId="10" fillId="42" borderId="10" xfId="0" applyFont="1" applyFill="1" applyBorder="1" applyAlignment="1">
      <alignment horizontal="center"/>
    </xf>
    <xf numFmtId="2" fontId="10" fillId="42" borderId="10" xfId="0" applyNumberFormat="1" applyFont="1" applyFill="1" applyBorder="1" applyAlignment="1">
      <alignment horizontal="center"/>
    </xf>
    <xf numFmtId="10" fontId="10" fillId="42" borderId="10" xfId="203" applyNumberFormat="1" applyFont="1" applyFill="1" applyBorder="1" applyAlignment="1">
      <alignment horizontal="center"/>
    </xf>
    <xf numFmtId="10" fontId="10" fillId="42" borderId="10" xfId="204" applyNumberFormat="1" applyFont="1" applyFill="1" applyBorder="1" applyAlignment="1">
      <alignment horizontal="center"/>
    </xf>
    <xf numFmtId="0" fontId="0" fillId="0" borderId="0" xfId="0"/>
    <xf numFmtId="173" fontId="27" fillId="41" borderId="10" xfId="0" applyNumberFormat="1" applyFont="1" applyFill="1" applyBorder="1" applyAlignment="1">
      <alignment horizontal="right"/>
    </xf>
    <xf numFmtId="173" fontId="0" fillId="41" borderId="10" xfId="0" applyNumberFormat="1" applyFill="1" applyBorder="1" applyAlignment="1">
      <alignment horizontal="right"/>
    </xf>
    <xf numFmtId="2" fontId="10" fillId="41" borderId="10" xfId="0" applyNumberFormat="1" applyFont="1" applyFill="1" applyBorder="1" applyAlignment="1">
      <alignment horizontal="right"/>
    </xf>
    <xf numFmtId="173" fontId="10" fillId="41" borderId="10" xfId="0" applyNumberFormat="1" applyFont="1" applyFill="1" applyBorder="1"/>
    <xf numFmtId="173" fontId="27" fillId="41" borderId="10" xfId="0" applyNumberFormat="1" applyFont="1" applyFill="1" applyBorder="1"/>
    <xf numFmtId="173" fontId="27" fillId="41" borderId="28" xfId="0" applyNumberFormat="1" applyFont="1" applyFill="1" applyBorder="1"/>
    <xf numFmtId="173" fontId="27" fillId="41" borderId="29" xfId="0" applyNumberFormat="1" applyFont="1" applyFill="1" applyBorder="1"/>
    <xf numFmtId="0" fontId="10" fillId="41" borderId="0" xfId="0" applyFont="1" applyFill="1" applyBorder="1" applyAlignment="1">
      <alignment horizontal="center"/>
    </xf>
    <xf numFmtId="165" fontId="10" fillId="41" borderId="0" xfId="0" applyNumberFormat="1" applyFont="1" applyFill="1" applyBorder="1" applyAlignment="1">
      <alignment horizontal="center"/>
    </xf>
    <xf numFmtId="10" fontId="10" fillId="41" borderId="0" xfId="203" applyNumberFormat="1" applyFont="1" applyFill="1" applyBorder="1" applyAlignment="1">
      <alignment horizontal="center"/>
    </xf>
    <xf numFmtId="10" fontId="10" fillId="41" borderId="0" xfId="204" applyNumberFormat="1" applyFont="1" applyFill="1" applyBorder="1" applyAlignment="1">
      <alignment horizontal="center"/>
    </xf>
    <xf numFmtId="0" fontId="10" fillId="52" borderId="10" xfId="0" applyFont="1" applyFill="1" applyBorder="1" applyAlignment="1">
      <alignment horizontal="center"/>
    </xf>
    <xf numFmtId="2" fontId="10" fillId="52" borderId="10" xfId="0" applyNumberFormat="1" applyFont="1" applyFill="1" applyBorder="1" applyAlignment="1">
      <alignment horizontal="center"/>
    </xf>
    <xf numFmtId="10" fontId="10" fillId="52" borderId="10" xfId="203" applyNumberFormat="1" applyFont="1" applyFill="1" applyBorder="1" applyAlignment="1">
      <alignment horizontal="center"/>
    </xf>
    <xf numFmtId="10" fontId="10" fillId="52" borderId="10" xfId="204" applyNumberFormat="1" applyFont="1" applyFill="1" applyBorder="1" applyAlignment="1">
      <alignment horizontal="center"/>
    </xf>
    <xf numFmtId="0" fontId="0" fillId="41" borderId="0" xfId="0" applyFill="1"/>
    <xf numFmtId="3" fontId="35" fillId="41" borderId="0" xfId="0" applyNumberFormat="1" applyFont="1" applyFill="1"/>
    <xf numFmtId="0" fontId="77" fillId="41" borderId="0" xfId="0" applyFont="1" applyFill="1" applyBorder="1"/>
    <xf numFmtId="0" fontId="35" fillId="41" borderId="0" xfId="0" applyFont="1" applyFill="1" applyBorder="1"/>
    <xf numFmtId="165" fontId="35" fillId="41" borderId="0" xfId="0" applyNumberFormat="1" applyFont="1" applyFill="1" applyBorder="1"/>
    <xf numFmtId="0" fontId="10" fillId="39" borderId="10" xfId="0" applyFont="1" applyFill="1" applyBorder="1" applyAlignment="1">
      <alignment wrapText="1"/>
    </xf>
    <xf numFmtId="3" fontId="10" fillId="41" borderId="0" xfId="0" applyNumberFormat="1" applyFont="1" applyFill="1" applyAlignment="1">
      <alignment horizontal="center" vertical="center"/>
    </xf>
    <xf numFmtId="0" fontId="10" fillId="41" borderId="0" xfId="0" applyFont="1" applyFill="1" applyAlignment="1">
      <alignment horizontal="center"/>
    </xf>
    <xf numFmtId="3" fontId="9" fillId="41" borderId="10" xfId="0" applyNumberFormat="1" applyFont="1" applyFill="1" applyBorder="1" applyAlignment="1">
      <alignment horizontal="center" vertical="center"/>
    </xf>
    <xf numFmtId="3" fontId="9" fillId="41" borderId="13" xfId="0" applyNumberFormat="1" applyFont="1" applyFill="1" applyBorder="1" applyAlignment="1">
      <alignment horizontal="center" vertical="center"/>
    </xf>
    <xf numFmtId="3" fontId="10" fillId="41" borderId="10" xfId="0" applyNumberFormat="1" applyFont="1" applyFill="1" applyBorder="1" applyAlignment="1">
      <alignment horizontal="center" vertical="center"/>
    </xf>
    <xf numFmtId="3" fontId="76" fillId="41" borderId="10" xfId="0" applyNumberFormat="1" applyFont="1" applyFill="1" applyBorder="1" applyAlignment="1">
      <alignment horizontal="center" vertical="center"/>
    </xf>
    <xf numFmtId="2" fontId="10" fillId="41" borderId="10" xfId="0" applyNumberFormat="1" applyFont="1" applyFill="1" applyBorder="1" applyAlignment="1">
      <alignment horizontal="center" vertical="center"/>
    </xf>
    <xf numFmtId="16" fontId="13" fillId="41" borderId="10" xfId="0" applyNumberFormat="1" applyFont="1" applyFill="1" applyBorder="1" applyAlignment="1">
      <alignment horizontal="center"/>
    </xf>
    <xf numFmtId="165" fontId="45" fillId="41" borderId="10" xfId="0" applyNumberFormat="1" applyFont="1" applyFill="1" applyBorder="1" applyAlignment="1">
      <alignment horizontal="center"/>
    </xf>
    <xf numFmtId="179" fontId="13" fillId="41" borderId="10" xfId="0" applyNumberFormat="1" applyFont="1" applyFill="1" applyBorder="1" applyAlignment="1">
      <alignment horizontal="center"/>
    </xf>
    <xf numFmtId="0" fontId="45" fillId="41" borderId="10" xfId="0" applyFont="1" applyFill="1" applyBorder="1" applyAlignment="1">
      <alignment horizontal="center" wrapText="1"/>
    </xf>
    <xf numFmtId="4" fontId="9" fillId="41" borderId="10" xfId="0" applyNumberFormat="1" applyFont="1" applyFill="1" applyBorder="1" applyAlignment="1">
      <alignment horizontal="center"/>
    </xf>
    <xf numFmtId="0" fontId="45" fillId="41" borderId="0" xfId="0" applyFont="1" applyFill="1" applyBorder="1" applyAlignment="1">
      <alignment horizontal="center" wrapText="1"/>
    </xf>
    <xf numFmtId="3" fontId="9" fillId="41" borderId="0" xfId="0" applyNumberFormat="1" applyFont="1" applyFill="1" applyBorder="1" applyAlignment="1">
      <alignment horizontal="center" vertical="center"/>
    </xf>
    <xf numFmtId="4" fontId="9" fillId="41" borderId="0" xfId="0" applyNumberFormat="1" applyFont="1" applyFill="1" applyBorder="1" applyAlignment="1">
      <alignment horizontal="center"/>
    </xf>
    <xf numFmtId="165" fontId="45" fillId="41" borderId="0" xfId="0" applyNumberFormat="1" applyFont="1" applyFill="1" applyBorder="1" applyAlignment="1">
      <alignment horizontal="center"/>
    </xf>
    <xf numFmtId="4" fontId="10" fillId="41" borderId="10" xfId="0" applyNumberFormat="1" applyFont="1" applyFill="1" applyBorder="1" applyAlignment="1">
      <alignment horizontal="center" vertical="center"/>
    </xf>
    <xf numFmtId="16" fontId="10" fillId="41" borderId="10" xfId="0" applyNumberFormat="1" applyFont="1" applyFill="1" applyBorder="1" applyAlignment="1">
      <alignment horizontal="center"/>
    </xf>
    <xf numFmtId="3" fontId="45" fillId="41" borderId="10" xfId="0" applyNumberFormat="1" applyFont="1" applyFill="1" applyBorder="1" applyAlignment="1">
      <alignment horizontal="center" vertical="center"/>
    </xf>
    <xf numFmtId="164" fontId="10" fillId="41" borderId="10" xfId="0" applyNumberFormat="1" applyFont="1" applyFill="1" applyBorder="1" applyAlignment="1">
      <alignment horizontal="center"/>
    </xf>
    <xf numFmtId="164" fontId="10" fillId="41" borderId="10" xfId="0" applyNumberFormat="1" applyFont="1" applyFill="1" applyBorder="1" applyAlignment="1">
      <alignment horizontal="center" vertical="center"/>
    </xf>
    <xf numFmtId="178" fontId="13" fillId="41" borderId="10" xfId="0" applyNumberFormat="1" applyFont="1" applyFill="1" applyBorder="1" applyAlignment="1">
      <alignment horizontal="center"/>
    </xf>
    <xf numFmtId="0" fontId="9" fillId="41" borderId="0" xfId="0" applyFont="1" applyFill="1" applyBorder="1" applyAlignment="1">
      <alignment horizontal="center" wrapText="1"/>
    </xf>
    <xf numFmtId="0" fontId="10" fillId="41" borderId="0" xfId="0" applyFont="1" applyFill="1" applyAlignment="1">
      <alignment horizontal="right"/>
    </xf>
    <xf numFmtId="3" fontId="10" fillId="41" borderId="0" xfId="0" applyNumberFormat="1" applyFont="1" applyFill="1" applyBorder="1" applyAlignment="1">
      <alignment horizontal="center" vertical="center"/>
    </xf>
    <xf numFmtId="4" fontId="10" fillId="41" borderId="0" xfId="0" applyNumberFormat="1" applyFont="1" applyFill="1" applyBorder="1" applyAlignment="1">
      <alignment horizontal="center"/>
    </xf>
    <xf numFmtId="172" fontId="10" fillId="41" borderId="10" xfId="0" applyNumberFormat="1" applyFont="1" applyFill="1" applyBorder="1" applyAlignment="1">
      <alignment horizontal="center"/>
    </xf>
    <xf numFmtId="178" fontId="13" fillId="41" borderId="10" xfId="203" applyNumberFormat="1" applyFont="1" applyFill="1" applyBorder="1" applyAlignment="1">
      <alignment horizontal="center"/>
    </xf>
    <xf numFmtId="4" fontId="9" fillId="41" borderId="10" xfId="0" applyNumberFormat="1" applyFont="1" applyFill="1" applyBorder="1" applyAlignment="1">
      <alignment horizontal="center" vertical="center"/>
    </xf>
    <xf numFmtId="164" fontId="9" fillId="41" borderId="10" xfId="0" applyNumberFormat="1" applyFont="1" applyFill="1" applyBorder="1" applyAlignment="1">
      <alignment horizontal="center"/>
    </xf>
    <xf numFmtId="0" fontId="10" fillId="41" borderId="0" xfId="0" applyFont="1" applyFill="1" applyBorder="1" applyAlignment="1">
      <alignment horizontal="center" wrapText="1"/>
    </xf>
    <xf numFmtId="173" fontId="10" fillId="41" borderId="10" xfId="0" applyNumberFormat="1" applyFont="1" applyFill="1" applyBorder="1" applyAlignment="1">
      <alignment horizontal="center" vertical="center"/>
    </xf>
    <xf numFmtId="173" fontId="76" fillId="41" borderId="10" xfId="0" applyNumberFormat="1" applyFont="1" applyFill="1" applyBorder="1" applyAlignment="1">
      <alignment horizontal="center" vertical="center"/>
    </xf>
    <xf numFmtId="173" fontId="10" fillId="41" borderId="10" xfId="0" applyNumberFormat="1" applyFont="1" applyFill="1" applyBorder="1" applyAlignment="1">
      <alignment horizontal="center"/>
    </xf>
    <xf numFmtId="9" fontId="10" fillId="41" borderId="0" xfId="203" applyFont="1" applyFill="1" applyBorder="1" applyAlignment="1">
      <alignment horizontal="center"/>
    </xf>
    <xf numFmtId="173" fontId="0" fillId="41" borderId="0" xfId="0" applyNumberFormat="1" applyFill="1"/>
    <xf numFmtId="173" fontId="50" fillId="41" borderId="10" xfId="0" applyNumberFormat="1" applyFont="1" applyFill="1" applyBorder="1" applyAlignment="1">
      <alignment horizontal="center"/>
    </xf>
    <xf numFmtId="0" fontId="10" fillId="41" borderId="20" xfId="0" applyFont="1" applyFill="1" applyBorder="1" applyAlignment="1">
      <alignment wrapText="1"/>
    </xf>
    <xf numFmtId="0" fontId="10" fillId="41" borderId="10" xfId="0" applyFont="1" applyFill="1" applyBorder="1"/>
    <xf numFmtId="0" fontId="76" fillId="41" borderId="10" xfId="0" applyFont="1" applyFill="1" applyBorder="1" applyAlignment="1">
      <alignment horizontal="center"/>
    </xf>
    <xf numFmtId="2" fontId="50" fillId="41" borderId="10" xfId="0" applyNumberFormat="1" applyFont="1" applyFill="1" applyBorder="1" applyAlignment="1">
      <alignment horizontal="center" vertical="center"/>
    </xf>
    <xf numFmtId="0" fontId="0" fillId="41" borderId="0" xfId="0" applyFill="1"/>
    <xf numFmtId="0" fontId="7" fillId="0" borderId="10" xfId="0" applyFont="1" applyFill="1" applyBorder="1"/>
    <xf numFmtId="2" fontId="55" fillId="41" borderId="10" xfId="0" applyNumberFormat="1" applyFont="1" applyFill="1" applyBorder="1" applyAlignment="1">
      <alignment horizontal="center"/>
    </xf>
    <xf numFmtId="2" fontId="55" fillId="41" borderId="56" xfId="0" applyNumberFormat="1" applyFont="1" applyFill="1" applyBorder="1" applyAlignment="1">
      <alignment horizontal="center"/>
    </xf>
    <xf numFmtId="2" fontId="55" fillId="41" borderId="29" xfId="0" applyNumberFormat="1" applyFont="1" applyFill="1" applyBorder="1" applyAlignment="1">
      <alignment horizontal="center"/>
    </xf>
    <xf numFmtId="2" fontId="55" fillId="41" borderId="51" xfId="0" applyNumberFormat="1" applyFont="1" applyFill="1" applyBorder="1" applyAlignment="1">
      <alignment horizontal="center"/>
    </xf>
    <xf numFmtId="2" fontId="55" fillId="41" borderId="28" xfId="0" applyNumberFormat="1" applyFont="1" applyFill="1" applyBorder="1" applyAlignment="1">
      <alignment horizontal="center"/>
    </xf>
    <xf numFmtId="4" fontId="0" fillId="41" borderId="0" xfId="0" applyNumberFormat="1" applyFill="1"/>
    <xf numFmtId="0" fontId="10" fillId="53" borderId="10" xfId="0" applyFont="1" applyFill="1" applyBorder="1" applyAlignment="1">
      <alignment horizontal="center"/>
    </xf>
    <xf numFmtId="165" fontId="10" fillId="53" borderId="10" xfId="0" applyNumberFormat="1" applyFont="1" applyFill="1" applyBorder="1" applyAlignment="1">
      <alignment horizontal="center"/>
    </xf>
    <xf numFmtId="10" fontId="10" fillId="53" borderId="10" xfId="203" applyNumberFormat="1" applyFont="1" applyFill="1" applyBorder="1" applyAlignment="1">
      <alignment horizontal="center"/>
    </xf>
    <xf numFmtId="10" fontId="10" fillId="53" borderId="10" xfId="204" applyNumberFormat="1" applyFont="1" applyFill="1" applyBorder="1" applyAlignment="1">
      <alignment horizontal="center"/>
    </xf>
    <xf numFmtId="2" fontId="10" fillId="53" borderId="10" xfId="0" applyNumberFormat="1" applyFont="1" applyFill="1" applyBorder="1" applyAlignment="1">
      <alignment horizontal="center"/>
    </xf>
    <xf numFmtId="0" fontId="10" fillId="54" borderId="10" xfId="0" applyFont="1" applyFill="1" applyBorder="1" applyAlignment="1">
      <alignment horizontal="center"/>
    </xf>
    <xf numFmtId="165" fontId="10" fillId="54" borderId="10" xfId="0" applyNumberFormat="1" applyFont="1" applyFill="1" applyBorder="1" applyAlignment="1">
      <alignment horizontal="center"/>
    </xf>
    <xf numFmtId="10" fontId="10" fillId="54" borderId="10" xfId="203" applyNumberFormat="1" applyFont="1" applyFill="1" applyBorder="1" applyAlignment="1">
      <alignment horizontal="center"/>
    </xf>
    <xf numFmtId="10" fontId="10" fillId="54" borderId="10" xfId="204" applyNumberFormat="1" applyFont="1" applyFill="1" applyBorder="1" applyAlignment="1">
      <alignment horizontal="center"/>
    </xf>
    <xf numFmtId="2" fontId="10" fillId="54" borderId="10" xfId="0" applyNumberFormat="1" applyFont="1" applyFill="1" applyBorder="1" applyAlignment="1">
      <alignment horizontal="center"/>
    </xf>
    <xf numFmtId="0" fontId="10" fillId="51" borderId="10" xfId="0" applyFont="1" applyFill="1" applyBorder="1" applyAlignment="1">
      <alignment horizontal="center"/>
    </xf>
    <xf numFmtId="2" fontId="10" fillId="51" borderId="10" xfId="0" applyNumberFormat="1" applyFont="1" applyFill="1" applyBorder="1" applyAlignment="1">
      <alignment horizontal="center"/>
    </xf>
    <xf numFmtId="10" fontId="10" fillId="51" borderId="10" xfId="203" applyNumberFormat="1" applyFont="1" applyFill="1" applyBorder="1" applyAlignment="1">
      <alignment horizontal="center"/>
    </xf>
    <xf numFmtId="10" fontId="10" fillId="51" borderId="10" xfId="204" applyNumberFormat="1" applyFont="1" applyFill="1" applyBorder="1" applyAlignment="1">
      <alignment horizontal="center"/>
    </xf>
    <xf numFmtId="0" fontId="10" fillId="55" borderId="10" xfId="0" applyFont="1" applyFill="1" applyBorder="1" applyAlignment="1">
      <alignment horizontal="center"/>
    </xf>
    <xf numFmtId="2" fontId="10" fillId="55" borderId="10" xfId="0" applyNumberFormat="1" applyFont="1" applyFill="1" applyBorder="1" applyAlignment="1">
      <alignment horizontal="center"/>
    </xf>
    <xf numFmtId="10" fontId="10" fillId="55" borderId="10" xfId="203" applyNumberFormat="1" applyFont="1" applyFill="1" applyBorder="1" applyAlignment="1">
      <alignment horizontal="center"/>
    </xf>
    <xf numFmtId="10" fontId="10" fillId="55" borderId="10" xfId="204" applyNumberFormat="1" applyFont="1" applyFill="1" applyBorder="1" applyAlignment="1">
      <alignment horizontal="center"/>
    </xf>
    <xf numFmtId="0" fontId="10" fillId="44" borderId="33" xfId="0" applyFont="1" applyFill="1" applyBorder="1" applyAlignment="1">
      <alignment horizontal="center"/>
    </xf>
    <xf numFmtId="170" fontId="10" fillId="44" borderId="33" xfId="0" applyNumberFormat="1" applyFont="1" applyFill="1" applyBorder="1" applyAlignment="1">
      <alignment horizontal="center"/>
    </xf>
    <xf numFmtId="166" fontId="10" fillId="44" borderId="33" xfId="203" applyNumberFormat="1" applyFont="1" applyFill="1" applyBorder="1" applyAlignment="1">
      <alignment horizontal="center"/>
    </xf>
    <xf numFmtId="166" fontId="10" fillId="44" borderId="34" xfId="203" applyNumberFormat="1" applyFont="1" applyFill="1" applyBorder="1" applyAlignment="1">
      <alignment horizontal="center"/>
    </xf>
    <xf numFmtId="170" fontId="10" fillId="51" borderId="10" xfId="0" applyNumberFormat="1" applyFont="1" applyFill="1" applyBorder="1" applyAlignment="1">
      <alignment horizontal="center"/>
    </xf>
    <xf numFmtId="166" fontId="10" fillId="51" borderId="10" xfId="203" applyNumberFormat="1" applyFont="1" applyFill="1" applyBorder="1" applyAlignment="1">
      <alignment horizontal="center"/>
    </xf>
    <xf numFmtId="166" fontId="10" fillId="51" borderId="35" xfId="203" applyNumberFormat="1" applyFont="1" applyFill="1" applyBorder="1" applyAlignment="1">
      <alignment horizontal="center"/>
    </xf>
    <xf numFmtId="0" fontId="10" fillId="53" borderId="33" xfId="0" applyFont="1" applyFill="1" applyBorder="1" applyAlignment="1">
      <alignment horizontal="center"/>
    </xf>
    <xf numFmtId="170" fontId="10" fillId="53" borderId="33" xfId="0" applyNumberFormat="1" applyFont="1" applyFill="1" applyBorder="1" applyAlignment="1">
      <alignment horizontal="center"/>
    </xf>
    <xf numFmtId="166" fontId="10" fillId="53" borderId="33" xfId="203" applyNumberFormat="1" applyFont="1" applyFill="1" applyBorder="1" applyAlignment="1">
      <alignment horizontal="center"/>
    </xf>
    <xf numFmtId="166" fontId="10" fillId="53" borderId="34" xfId="203" applyNumberFormat="1" applyFont="1" applyFill="1" applyBorder="1" applyAlignment="1">
      <alignment horizontal="center"/>
    </xf>
    <xf numFmtId="0" fontId="10" fillId="54" borderId="38" xfId="0" applyFont="1" applyFill="1" applyBorder="1" applyAlignment="1">
      <alignment horizontal="center"/>
    </xf>
    <xf numFmtId="170" fontId="10" fillId="54" borderId="0" xfId="0" applyNumberFormat="1" applyFont="1" applyFill="1" applyBorder="1" applyAlignment="1">
      <alignment horizontal="center"/>
    </xf>
    <xf numFmtId="166" fontId="10" fillId="54" borderId="0" xfId="203" applyNumberFormat="1" applyFont="1" applyFill="1" applyBorder="1" applyAlignment="1">
      <alignment horizontal="center"/>
    </xf>
    <xf numFmtId="166" fontId="10" fillId="54" borderId="156" xfId="203" applyNumberFormat="1" applyFont="1" applyFill="1" applyBorder="1" applyAlignment="1">
      <alignment horizontal="center"/>
    </xf>
    <xf numFmtId="166" fontId="10" fillId="54" borderId="74" xfId="203" applyNumberFormat="1" applyFont="1" applyFill="1" applyBorder="1" applyAlignment="1">
      <alignment horizontal="center"/>
    </xf>
    <xf numFmtId="0" fontId="10" fillId="55" borderId="33" xfId="0" applyFont="1" applyFill="1" applyBorder="1" applyAlignment="1">
      <alignment horizontal="center"/>
    </xf>
    <xf numFmtId="170" fontId="10" fillId="55" borderId="33" xfId="0" applyNumberFormat="1" applyFont="1" applyFill="1" applyBorder="1" applyAlignment="1">
      <alignment horizontal="center"/>
    </xf>
    <xf numFmtId="166" fontId="10" fillId="55" borderId="33" xfId="203" applyNumberFormat="1" applyFont="1" applyFill="1" applyBorder="1" applyAlignment="1">
      <alignment horizontal="center"/>
    </xf>
    <xf numFmtId="166" fontId="10" fillId="55" borderId="34" xfId="203" applyNumberFormat="1" applyFont="1" applyFill="1" applyBorder="1" applyAlignment="1">
      <alignment horizontal="center"/>
    </xf>
    <xf numFmtId="0" fontId="10" fillId="50" borderId="38" xfId="0" applyFont="1" applyFill="1" applyBorder="1" applyAlignment="1">
      <alignment horizontal="center"/>
    </xf>
    <xf numFmtId="170" fontId="10" fillId="50" borderId="0" xfId="0" applyNumberFormat="1" applyFont="1" applyFill="1" applyBorder="1" applyAlignment="1">
      <alignment horizontal="center"/>
    </xf>
    <xf numFmtId="166" fontId="10" fillId="50" borderId="0" xfId="203" applyNumberFormat="1" applyFont="1" applyFill="1" applyBorder="1" applyAlignment="1">
      <alignment horizontal="center"/>
    </xf>
    <xf numFmtId="166" fontId="10" fillId="50" borderId="156" xfId="203" applyNumberFormat="1" applyFont="1" applyFill="1" applyBorder="1" applyAlignment="1">
      <alignment horizontal="center"/>
    </xf>
    <xf numFmtId="166" fontId="10" fillId="50" borderId="74" xfId="203" applyNumberFormat="1" applyFont="1" applyFill="1" applyBorder="1" applyAlignment="1">
      <alignment horizontal="center"/>
    </xf>
    <xf numFmtId="0" fontId="10" fillId="42" borderId="33" xfId="0" applyFont="1" applyFill="1" applyBorder="1" applyAlignment="1">
      <alignment horizontal="center"/>
    </xf>
    <xf numFmtId="170" fontId="10" fillId="42" borderId="33" xfId="0" applyNumberFormat="1" applyFont="1" applyFill="1" applyBorder="1" applyAlignment="1">
      <alignment horizontal="center"/>
    </xf>
    <xf numFmtId="166" fontId="10" fillId="42" borderId="33" xfId="203" applyNumberFormat="1" applyFont="1" applyFill="1" applyBorder="1" applyAlignment="1">
      <alignment horizontal="center"/>
    </xf>
    <xf numFmtId="166" fontId="10" fillId="42" borderId="34" xfId="203" applyNumberFormat="1" applyFont="1" applyFill="1" applyBorder="1" applyAlignment="1">
      <alignment horizontal="center"/>
    </xf>
    <xf numFmtId="0" fontId="10" fillId="42" borderId="168" xfId="0" applyFont="1" applyFill="1" applyBorder="1" applyAlignment="1">
      <alignment horizontal="center"/>
    </xf>
    <xf numFmtId="0" fontId="92" fillId="42" borderId="169" xfId="0" applyFont="1" applyFill="1" applyBorder="1" applyAlignment="1">
      <alignment horizontal="center"/>
    </xf>
    <xf numFmtId="0" fontId="75" fillId="42" borderId="169" xfId="0" applyFont="1" applyFill="1" applyBorder="1" applyAlignment="1">
      <alignment horizontal="center"/>
    </xf>
    <xf numFmtId="166" fontId="92" fillId="42" borderId="169" xfId="0" applyNumberFormat="1" applyFont="1" applyFill="1" applyBorder="1" applyAlignment="1">
      <alignment horizontal="center"/>
    </xf>
    <xf numFmtId="0" fontId="0" fillId="42" borderId="170" xfId="0" applyFill="1" applyBorder="1" applyAlignment="1">
      <alignment horizontal="center"/>
    </xf>
    <xf numFmtId="0" fontId="0" fillId="42" borderId="171" xfId="0" applyFill="1" applyBorder="1" applyAlignment="1">
      <alignment horizontal="center"/>
    </xf>
    <xf numFmtId="0" fontId="10" fillId="52" borderId="33" xfId="0" applyFont="1" applyFill="1" applyBorder="1" applyAlignment="1">
      <alignment horizontal="center"/>
    </xf>
    <xf numFmtId="170" fontId="10" fillId="52" borderId="33" xfId="0" applyNumberFormat="1" applyFont="1" applyFill="1" applyBorder="1" applyAlignment="1">
      <alignment horizontal="center"/>
    </xf>
    <xf numFmtId="166" fontId="10" fillId="52" borderId="33" xfId="203" applyNumberFormat="1" applyFont="1" applyFill="1" applyBorder="1" applyAlignment="1">
      <alignment horizontal="center"/>
    </xf>
    <xf numFmtId="166" fontId="10" fillId="52" borderId="34" xfId="203" applyNumberFormat="1" applyFont="1" applyFill="1" applyBorder="1" applyAlignment="1">
      <alignment horizontal="center"/>
    </xf>
    <xf numFmtId="0" fontId="10" fillId="52" borderId="172" xfId="0" applyFont="1" applyFill="1" applyBorder="1" applyAlignment="1">
      <alignment horizontal="center"/>
    </xf>
    <xf numFmtId="0" fontId="92" fillId="52" borderId="173" xfId="0" applyFont="1" applyFill="1" applyBorder="1" applyAlignment="1">
      <alignment horizontal="center"/>
    </xf>
    <xf numFmtId="0" fontId="75" fillId="52" borderId="173" xfId="0" applyFont="1" applyFill="1" applyBorder="1" applyAlignment="1">
      <alignment horizontal="center"/>
    </xf>
    <xf numFmtId="166" fontId="92" fillId="52" borderId="173" xfId="0" applyNumberFormat="1" applyFont="1" applyFill="1" applyBorder="1" applyAlignment="1">
      <alignment horizontal="center"/>
    </xf>
    <xf numFmtId="0" fontId="0" fillId="52" borderId="174" xfId="0" applyFill="1" applyBorder="1" applyAlignment="1">
      <alignment horizontal="center"/>
    </xf>
    <xf numFmtId="0" fontId="0" fillId="52" borderId="175" xfId="0" applyFill="1" applyBorder="1" applyAlignment="1">
      <alignment horizontal="center"/>
    </xf>
    <xf numFmtId="0" fontId="7" fillId="52" borderId="40" xfId="0" applyFont="1" applyFill="1" applyBorder="1" applyAlignment="1">
      <alignment vertical="center" wrapText="1"/>
    </xf>
    <xf numFmtId="0" fontId="0" fillId="52" borderId="67" xfId="0" applyFill="1" applyBorder="1"/>
    <xf numFmtId="0" fontId="10" fillId="42" borderId="40" xfId="0" applyFont="1" applyFill="1" applyBorder="1" applyAlignment="1">
      <alignment vertical="center" wrapText="1"/>
    </xf>
    <xf numFmtId="0" fontId="0" fillId="42" borderId="39" xfId="0" applyFill="1" applyBorder="1"/>
    <xf numFmtId="0" fontId="10" fillId="50" borderId="40" xfId="0" applyFont="1" applyFill="1" applyBorder="1" applyAlignment="1">
      <alignment vertical="center" wrapText="1"/>
    </xf>
    <xf numFmtId="0" fontId="10" fillId="50" borderId="140" xfId="0" applyFont="1" applyFill="1" applyBorder="1" applyAlignment="1">
      <alignment vertical="center" wrapText="1"/>
    </xf>
    <xf numFmtId="0" fontId="10" fillId="54" borderId="40" xfId="0" applyFont="1" applyFill="1" applyBorder="1" applyAlignment="1">
      <alignment vertical="center"/>
    </xf>
    <xf numFmtId="0" fontId="10" fillId="54" borderId="140" xfId="0" applyFont="1" applyFill="1" applyBorder="1" applyAlignment="1">
      <alignment vertical="center"/>
    </xf>
    <xf numFmtId="0" fontId="10" fillId="51" borderId="40" xfId="0" applyFont="1" applyFill="1" applyBorder="1" applyAlignment="1">
      <alignment vertical="center"/>
    </xf>
    <xf numFmtId="0" fontId="10" fillId="51" borderId="140" xfId="0" applyFont="1" applyFill="1" applyBorder="1" applyAlignment="1">
      <alignment vertical="center"/>
    </xf>
    <xf numFmtId="170" fontId="0" fillId="0" borderId="0" xfId="0" applyNumberFormat="1"/>
    <xf numFmtId="165" fontId="10" fillId="54" borderId="0" xfId="0" applyNumberFormat="1" applyFont="1" applyFill="1" applyBorder="1" applyAlignment="1">
      <alignment horizontal="center"/>
    </xf>
    <xf numFmtId="0" fontId="9" fillId="41" borderId="0" xfId="0" applyFont="1" applyFill="1" applyBorder="1" applyAlignment="1">
      <alignment horizontal="center"/>
    </xf>
    <xf numFmtId="0" fontId="0" fillId="41" borderId="0" xfId="0" applyFill="1"/>
    <xf numFmtId="2" fontId="9" fillId="41" borderId="0" xfId="0" applyNumberFormat="1" applyFont="1" applyFill="1" applyBorder="1" applyAlignment="1">
      <alignment horizontal="center"/>
    </xf>
    <xf numFmtId="173" fontId="9" fillId="41" borderId="0" xfId="0" applyNumberFormat="1" applyFont="1" applyFill="1" applyBorder="1" applyAlignment="1">
      <alignment horizontal="center"/>
    </xf>
    <xf numFmtId="2" fontId="10" fillId="41" borderId="0" xfId="0" applyNumberFormat="1" applyFont="1" applyFill="1" applyBorder="1"/>
    <xf numFmtId="169" fontId="9" fillId="41" borderId="0" xfId="0" applyNumberFormat="1" applyFont="1" applyFill="1" applyBorder="1" applyAlignment="1">
      <alignment horizontal="center"/>
    </xf>
    <xf numFmtId="4" fontId="10" fillId="41" borderId="0" xfId="0" applyNumberFormat="1" applyFont="1" applyFill="1" applyAlignment="1">
      <alignment horizontal="center"/>
    </xf>
    <xf numFmtId="176" fontId="10" fillId="41" borderId="10" xfId="0" applyNumberFormat="1" applyFont="1" applyFill="1" applyBorder="1" applyAlignment="1">
      <alignment horizontal="center"/>
    </xf>
    <xf numFmtId="0" fontId="7" fillId="39" borderId="0" xfId="0" applyFont="1" applyFill="1"/>
    <xf numFmtId="0" fontId="9" fillId="41" borderId="0" xfId="0" applyFont="1" applyFill="1" applyBorder="1" applyAlignment="1">
      <alignment horizontal="center"/>
    </xf>
    <xf numFmtId="0" fontId="0" fillId="0" borderId="0" xfId="0"/>
    <xf numFmtId="3" fontId="12" fillId="41" borderId="0" xfId="0" applyNumberFormat="1" applyFont="1" applyFill="1" applyBorder="1" applyAlignment="1">
      <alignment horizontal="center" vertical="center"/>
    </xf>
    <xf numFmtId="4" fontId="12" fillId="41" borderId="0" xfId="0" applyNumberFormat="1" applyFont="1" applyFill="1" applyBorder="1" applyAlignment="1">
      <alignment horizontal="center"/>
    </xf>
    <xf numFmtId="0" fontId="12" fillId="41" borderId="0" xfId="0" applyFont="1" applyFill="1" applyAlignment="1">
      <alignment horizontal="center"/>
    </xf>
    <xf numFmtId="0" fontId="12" fillId="41" borderId="0" xfId="0" applyFont="1" applyFill="1" applyAlignment="1">
      <alignment horizontal="right"/>
    </xf>
    <xf numFmtId="9" fontId="12" fillId="41" borderId="0" xfId="203" applyFont="1" applyFill="1" applyBorder="1" applyAlignment="1">
      <alignment horizontal="center"/>
    </xf>
    <xf numFmtId="0" fontId="14" fillId="41" borderId="10" xfId="0" applyFont="1" applyFill="1" applyBorder="1" applyAlignment="1">
      <alignment horizontal="center"/>
    </xf>
    <xf numFmtId="173" fontId="12" fillId="41" borderId="10" xfId="0" applyNumberFormat="1" applyFont="1" applyFill="1" applyBorder="1" applyAlignment="1">
      <alignment horizontal="center" vertical="center"/>
    </xf>
    <xf numFmtId="173" fontId="12" fillId="41" borderId="10" xfId="0" applyNumberFormat="1" applyFont="1" applyFill="1" applyBorder="1" applyAlignment="1">
      <alignment horizontal="center"/>
    </xf>
    <xf numFmtId="0" fontId="40" fillId="41" borderId="10" xfId="0" applyFont="1" applyFill="1" applyBorder="1" applyAlignment="1">
      <alignment horizontal="center"/>
    </xf>
    <xf numFmtId="0" fontId="12" fillId="39" borderId="10" xfId="0" applyFont="1" applyFill="1" applyBorder="1" applyAlignment="1">
      <alignment wrapText="1"/>
    </xf>
    <xf numFmtId="173" fontId="44" fillId="41" borderId="10" xfId="0" applyNumberFormat="1" applyFont="1" applyFill="1" applyBorder="1" applyAlignment="1">
      <alignment horizontal="center" vertical="center"/>
    </xf>
    <xf numFmtId="2" fontId="14" fillId="41" borderId="10" xfId="0" applyNumberFormat="1" applyFont="1" applyFill="1" applyBorder="1" applyAlignment="1">
      <alignment horizontal="center" vertical="center"/>
    </xf>
    <xf numFmtId="4" fontId="14" fillId="41" borderId="10" xfId="0" applyNumberFormat="1" applyFont="1" applyFill="1" applyBorder="1" applyAlignment="1">
      <alignment horizontal="center" vertical="center"/>
    </xf>
    <xf numFmtId="0" fontId="14" fillId="41" borderId="0" xfId="0" applyFont="1" applyFill="1" applyBorder="1" applyAlignment="1">
      <alignment horizontal="center"/>
    </xf>
    <xf numFmtId="0" fontId="14" fillId="41" borderId="0" xfId="0" applyFont="1" applyFill="1" applyBorder="1" applyAlignment="1">
      <alignment horizontal="center" wrapText="1"/>
    </xf>
    <xf numFmtId="2" fontId="14" fillId="41" borderId="0" xfId="0" applyNumberFormat="1" applyFont="1" applyFill="1" applyBorder="1" applyAlignment="1">
      <alignment horizontal="center" vertical="center"/>
    </xf>
    <xf numFmtId="4" fontId="14" fillId="41" borderId="0" xfId="0" applyNumberFormat="1" applyFont="1" applyFill="1" applyBorder="1" applyAlignment="1">
      <alignment horizontal="center" vertical="center"/>
    </xf>
    <xf numFmtId="171" fontId="12" fillId="41" borderId="0" xfId="0" applyNumberFormat="1" applyFont="1" applyFill="1" applyBorder="1" applyAlignment="1">
      <alignment horizontal="center"/>
    </xf>
    <xf numFmtId="2" fontId="12" fillId="41" borderId="10" xfId="0" applyNumberFormat="1" applyFont="1" applyFill="1" applyBorder="1" applyAlignment="1">
      <alignment horizontal="center" vertical="center"/>
    </xf>
    <xf numFmtId="0" fontId="14" fillId="56" borderId="10" xfId="0" applyFont="1" applyFill="1" applyBorder="1" applyAlignment="1">
      <alignment horizontal="center"/>
    </xf>
    <xf numFmtId="3" fontId="14" fillId="56" borderId="10" xfId="0" applyNumberFormat="1" applyFont="1" applyFill="1" applyBorder="1" applyAlignment="1">
      <alignment horizontal="center" vertical="center"/>
    </xf>
    <xf numFmtId="1" fontId="14" fillId="41" borderId="10" xfId="0" applyNumberFormat="1" applyFont="1" applyFill="1" applyBorder="1" applyAlignment="1">
      <alignment horizontal="center" vertical="center"/>
    </xf>
    <xf numFmtId="1" fontId="14" fillId="41" borderId="0" xfId="0" applyNumberFormat="1" applyFont="1" applyFill="1" applyBorder="1" applyAlignment="1">
      <alignment horizontal="center" vertical="center"/>
    </xf>
    <xf numFmtId="1" fontId="14" fillId="56" borderId="10" xfId="0" applyNumberFormat="1" applyFont="1" applyFill="1" applyBorder="1" applyAlignment="1">
      <alignment horizontal="center" vertical="center"/>
    </xf>
    <xf numFmtId="0" fontId="10" fillId="45" borderId="10" xfId="0" applyFont="1" applyFill="1" applyBorder="1" applyAlignment="1">
      <alignment horizontal="center"/>
    </xf>
    <xf numFmtId="9" fontId="10" fillId="39" borderId="10" xfId="203" applyFont="1" applyFill="1" applyBorder="1" applyAlignment="1">
      <alignment horizontal="right"/>
    </xf>
    <xf numFmtId="0" fontId="10" fillId="43" borderId="10" xfId="0" applyFont="1" applyFill="1" applyBorder="1" applyAlignment="1">
      <alignment horizontal="center"/>
    </xf>
    <xf numFmtId="2" fontId="111" fillId="39" borderId="10" xfId="0" applyNumberFormat="1" applyFont="1" applyFill="1" applyBorder="1" applyAlignment="1">
      <alignment horizontal="center"/>
    </xf>
    <xf numFmtId="0" fontId="7" fillId="0" borderId="10" xfId="0" applyFont="1" applyFill="1" applyBorder="1" applyAlignment="1"/>
    <xf numFmtId="0" fontId="7" fillId="0" borderId="10" xfId="0" applyFont="1" applyBorder="1" applyAlignment="1">
      <alignment horizontal="center"/>
    </xf>
    <xf numFmtId="0" fontId="7" fillId="0" borderId="10" xfId="0" applyFont="1" applyFill="1" applyBorder="1" applyAlignment="1">
      <alignment horizontal="center"/>
    </xf>
    <xf numFmtId="0" fontId="7" fillId="41" borderId="10" xfId="0" applyFont="1" applyFill="1" applyBorder="1" applyAlignment="1">
      <alignment horizontal="center"/>
    </xf>
    <xf numFmtId="3" fontId="9" fillId="25" borderId="10" xfId="0" applyNumberFormat="1" applyFont="1" applyFill="1" applyBorder="1" applyAlignment="1">
      <alignment horizontal="center" vertical="center"/>
    </xf>
    <xf numFmtId="0" fontId="0" fillId="0" borderId="0" xfId="0"/>
    <xf numFmtId="0" fontId="12" fillId="51" borderId="10" xfId="0" applyFont="1" applyFill="1" applyBorder="1" applyAlignment="1">
      <alignment horizontal="center"/>
    </xf>
    <xf numFmtId="0" fontId="12" fillId="53" borderId="10" xfId="0" applyFont="1" applyFill="1" applyBorder="1" applyAlignment="1">
      <alignment horizontal="center"/>
    </xf>
    <xf numFmtId="0" fontId="12" fillId="44" borderId="10" xfId="0" applyFont="1" applyFill="1" applyBorder="1" applyAlignment="1">
      <alignment horizontal="center"/>
    </xf>
    <xf numFmtId="170" fontId="10" fillId="53" borderId="10" xfId="0" applyNumberFormat="1" applyFont="1" applyFill="1" applyBorder="1" applyAlignment="1">
      <alignment horizontal="center"/>
    </xf>
    <xf numFmtId="170" fontId="10" fillId="54" borderId="10" xfId="0" applyNumberFormat="1" applyFont="1" applyFill="1" applyBorder="1" applyAlignment="1">
      <alignment horizontal="center"/>
    </xf>
    <xf numFmtId="170" fontId="10" fillId="44" borderId="10" xfId="0" applyNumberFormat="1" applyFont="1" applyFill="1" applyBorder="1" applyAlignment="1">
      <alignment horizontal="center"/>
    </xf>
    <xf numFmtId="170" fontId="10" fillId="42" borderId="10" xfId="0" applyNumberFormat="1" applyFont="1" applyFill="1" applyBorder="1" applyAlignment="1">
      <alignment horizontal="center"/>
    </xf>
    <xf numFmtId="170" fontId="10" fillId="55" borderId="10" xfId="0" applyNumberFormat="1" applyFont="1" applyFill="1" applyBorder="1" applyAlignment="1">
      <alignment horizontal="center"/>
    </xf>
    <xf numFmtId="170" fontId="10" fillId="50" borderId="10" xfId="0" applyNumberFormat="1" applyFont="1" applyFill="1" applyBorder="1" applyAlignment="1">
      <alignment horizontal="center"/>
    </xf>
    <xf numFmtId="170" fontId="10" fillId="52" borderId="10" xfId="0" applyNumberFormat="1" applyFont="1" applyFill="1" applyBorder="1" applyAlignment="1">
      <alignment horizontal="center"/>
    </xf>
    <xf numFmtId="0" fontId="0" fillId="41" borderId="0" xfId="0" applyFill="1"/>
    <xf numFmtId="165" fontId="10" fillId="44" borderId="10" xfId="0" applyNumberFormat="1" applyFont="1" applyFill="1" applyBorder="1" applyAlignment="1">
      <alignment horizontal="center"/>
    </xf>
    <xf numFmtId="165" fontId="10" fillId="51" borderId="10" xfId="0" applyNumberFormat="1" applyFont="1" applyFill="1" applyBorder="1" applyAlignment="1">
      <alignment horizontal="center"/>
    </xf>
    <xf numFmtId="165" fontId="10" fillId="42" borderId="10" xfId="0" applyNumberFormat="1" applyFont="1" applyFill="1" applyBorder="1" applyAlignment="1">
      <alignment horizontal="center"/>
    </xf>
    <xf numFmtId="165" fontId="10" fillId="50" borderId="10" xfId="0" applyNumberFormat="1" applyFont="1" applyFill="1" applyBorder="1" applyAlignment="1">
      <alignment horizontal="center"/>
    </xf>
    <xf numFmtId="165" fontId="10" fillId="55" borderId="10" xfId="0" applyNumberFormat="1" applyFont="1" applyFill="1" applyBorder="1" applyAlignment="1">
      <alignment horizontal="center"/>
    </xf>
    <xf numFmtId="165" fontId="10" fillId="52" borderId="10" xfId="0" applyNumberFormat="1" applyFont="1" applyFill="1" applyBorder="1" applyAlignment="1">
      <alignment horizontal="center"/>
    </xf>
    <xf numFmtId="169" fontId="10" fillId="41" borderId="10" xfId="0" applyNumberFormat="1" applyFont="1" applyFill="1" applyBorder="1" applyAlignment="1">
      <alignment horizontal="center" vertical="center"/>
    </xf>
    <xf numFmtId="4" fontId="76" fillId="41" borderId="10" xfId="0" applyNumberFormat="1" applyFont="1" applyFill="1" applyBorder="1" applyAlignment="1">
      <alignment horizontal="center" vertical="center"/>
    </xf>
    <xf numFmtId="169" fontId="76" fillId="41" borderId="10" xfId="0" applyNumberFormat="1" applyFont="1" applyFill="1" applyBorder="1" applyAlignment="1">
      <alignment horizontal="center" vertical="center"/>
    </xf>
    <xf numFmtId="16" fontId="10" fillId="41" borderId="10" xfId="0" applyNumberFormat="1" applyFont="1" applyFill="1" applyBorder="1" applyAlignment="1"/>
    <xf numFmtId="166" fontId="10" fillId="53" borderId="10" xfId="203" applyNumberFormat="1" applyFont="1" applyFill="1" applyBorder="1" applyAlignment="1">
      <alignment horizontal="center" vertical="center"/>
    </xf>
    <xf numFmtId="169" fontId="10" fillId="42" borderId="10" xfId="0" applyNumberFormat="1" applyFont="1" applyFill="1" applyBorder="1" applyAlignment="1">
      <alignment horizontal="center" vertical="center"/>
    </xf>
    <xf numFmtId="3" fontId="10" fillId="24" borderId="10" xfId="0" applyNumberFormat="1" applyFont="1" applyFill="1" applyBorder="1" applyAlignment="1">
      <alignment horizontal="center" vertical="center"/>
    </xf>
    <xf numFmtId="0" fontId="9" fillId="25" borderId="12" xfId="0" applyFont="1" applyFill="1" applyBorder="1" applyAlignment="1">
      <alignment horizontal="center"/>
    </xf>
    <xf numFmtId="0" fontId="9" fillId="41" borderId="0" xfId="0" applyFont="1" applyFill="1" applyBorder="1" applyAlignment="1">
      <alignment horizontal="center"/>
    </xf>
    <xf numFmtId="169" fontId="9" fillId="25" borderId="14" xfId="0" applyNumberFormat="1" applyFont="1" applyFill="1" applyBorder="1" applyAlignment="1">
      <alignment horizontal="center"/>
    </xf>
    <xf numFmtId="4" fontId="10" fillId="0" borderId="14" xfId="0" applyNumberFormat="1" applyFont="1" applyBorder="1" applyAlignment="1">
      <alignment horizontal="center"/>
    </xf>
    <xf numFmtId="4" fontId="10" fillId="0" borderId="15" xfId="0" applyNumberFormat="1" applyFont="1" applyBorder="1" applyAlignment="1">
      <alignment horizontal="center"/>
    </xf>
    <xf numFmtId="0" fontId="9" fillId="0" borderId="72" xfId="0" applyFont="1" applyFill="1" applyBorder="1" applyAlignment="1">
      <alignment horizontal="center"/>
    </xf>
    <xf numFmtId="179" fontId="10" fillId="0" borderId="73" xfId="203" applyNumberFormat="1" applyFont="1" applyFill="1" applyBorder="1" applyAlignment="1">
      <alignment horizontal="center"/>
    </xf>
    <xf numFmtId="1" fontId="131" fillId="41" borderId="10" xfId="0" applyNumberFormat="1" applyFont="1" applyFill="1" applyBorder="1" applyAlignment="1">
      <alignment horizontal="center" vertical="center"/>
    </xf>
    <xf numFmtId="4" fontId="131" fillId="41" borderId="10" xfId="0" applyNumberFormat="1" applyFont="1" applyFill="1" applyBorder="1" applyAlignment="1">
      <alignment horizontal="center" vertical="center"/>
    </xf>
    <xf numFmtId="1" fontId="111" fillId="41" borderId="10" xfId="0" applyNumberFormat="1" applyFont="1" applyFill="1" applyBorder="1" applyAlignment="1">
      <alignment horizontal="center" vertical="center"/>
    </xf>
    <xf numFmtId="173" fontId="0" fillId="0" borderId="10" xfId="0" applyNumberFormat="1" applyFill="1" applyBorder="1"/>
    <xf numFmtId="0" fontId="135" fillId="41" borderId="0" xfId="0" applyFont="1" applyFill="1"/>
    <xf numFmtId="0" fontId="0" fillId="0" borderId="0" xfId="0"/>
    <xf numFmtId="3" fontId="9" fillId="25" borderId="13" xfId="0" applyNumberFormat="1" applyFont="1" applyFill="1" applyBorder="1" applyAlignment="1">
      <alignment horizontal="center" vertical="center"/>
    </xf>
    <xf numFmtId="0" fontId="9" fillId="44" borderId="12" xfId="0" applyFont="1" applyFill="1" applyBorder="1" applyAlignment="1">
      <alignment horizontal="center"/>
    </xf>
    <xf numFmtId="0" fontId="0" fillId="0" borderId="0" xfId="0"/>
    <xf numFmtId="0" fontId="45" fillId="24" borderId="12" xfId="0" applyFont="1" applyFill="1" applyBorder="1" applyAlignment="1">
      <alignment horizontal="center"/>
    </xf>
    <xf numFmtId="0" fontId="9" fillId="41" borderId="0" xfId="0" applyFont="1" applyFill="1" applyBorder="1" applyAlignment="1">
      <alignment horizontal="center"/>
    </xf>
    <xf numFmtId="0" fontId="9" fillId="39" borderId="12" xfId="0" applyFont="1" applyFill="1" applyBorder="1" applyAlignment="1">
      <alignment horizontal="center"/>
    </xf>
    <xf numFmtId="0" fontId="0" fillId="41" borderId="0" xfId="0" applyFill="1"/>
    <xf numFmtId="0" fontId="7" fillId="0" borderId="10" xfId="0" applyFont="1" applyBorder="1"/>
    <xf numFmtId="10" fontId="7" fillId="58" borderId="176" xfId="0" applyNumberFormat="1" applyFont="1" applyFill="1" applyBorder="1" applyAlignment="1">
      <alignment horizontal="center"/>
    </xf>
    <xf numFmtId="10" fontId="7" fillId="58" borderId="177" xfId="0" applyNumberFormat="1" applyFont="1" applyFill="1" applyBorder="1" applyAlignment="1">
      <alignment horizontal="center"/>
    </xf>
    <xf numFmtId="0" fontId="7" fillId="58" borderId="177" xfId="0" applyFont="1" applyFill="1" applyBorder="1" applyAlignment="1">
      <alignment horizontal="center"/>
    </xf>
    <xf numFmtId="2" fontId="7" fillId="58" borderId="177" xfId="0" applyNumberFormat="1" applyFont="1" applyFill="1" applyBorder="1" applyAlignment="1">
      <alignment horizontal="center"/>
    </xf>
    <xf numFmtId="3" fontId="10" fillId="58" borderId="177" xfId="0" applyNumberFormat="1" applyFont="1" applyFill="1" applyBorder="1" applyAlignment="1">
      <alignment horizontal="center" vertical="center"/>
    </xf>
    <xf numFmtId="0" fontId="7" fillId="58" borderId="12" xfId="0" applyFont="1" applyFill="1" applyBorder="1" applyAlignment="1">
      <alignment horizontal="center"/>
    </xf>
    <xf numFmtId="178" fontId="16" fillId="41" borderId="15" xfId="0" applyNumberFormat="1" applyFont="1" applyFill="1" applyBorder="1" applyAlignment="1">
      <alignment horizontal="center"/>
    </xf>
    <xf numFmtId="166" fontId="7" fillId="0" borderId="178" xfId="0" applyNumberFormat="1" applyFont="1" applyBorder="1" applyAlignment="1">
      <alignment horizontal="center" vertical="center"/>
    </xf>
    <xf numFmtId="166" fontId="7" fillId="0" borderId="178" xfId="0" applyNumberFormat="1" applyFont="1" applyBorder="1" applyAlignment="1">
      <alignment horizontal="center"/>
    </xf>
    <xf numFmtId="165" fontId="50" fillId="0" borderId="178" xfId="0" applyNumberFormat="1" applyFont="1" applyFill="1" applyBorder="1" applyAlignment="1">
      <alignment horizontal="center" vertical="center"/>
    </xf>
    <xf numFmtId="184" fontId="7" fillId="0" borderId="178" xfId="0" applyNumberFormat="1" applyFont="1" applyBorder="1" applyAlignment="1">
      <alignment horizontal="center" vertical="center"/>
    </xf>
    <xf numFmtId="0" fontId="7" fillId="39" borderId="178" xfId="0" applyFont="1" applyFill="1" applyBorder="1" applyAlignment="1">
      <alignment horizontal="center" vertical="center"/>
    </xf>
    <xf numFmtId="167" fontId="10" fillId="47" borderId="178" xfId="0" applyNumberFormat="1" applyFont="1" applyFill="1" applyBorder="1" applyAlignment="1">
      <alignment horizontal="center" vertical="center"/>
    </xf>
    <xf numFmtId="3" fontId="7" fillId="39" borderId="178" xfId="0" applyNumberFormat="1" applyFont="1" applyFill="1" applyBorder="1" applyAlignment="1">
      <alignment horizontal="center" vertical="center"/>
    </xf>
    <xf numFmtId="3" fontId="10" fillId="0" borderId="178" xfId="0" applyNumberFormat="1" applyFont="1" applyFill="1" applyBorder="1" applyAlignment="1">
      <alignment horizontal="center" vertical="center"/>
    </xf>
    <xf numFmtId="0" fontId="7" fillId="24" borderId="178" xfId="0" applyFont="1" applyFill="1" applyBorder="1" applyAlignment="1">
      <alignment horizontal="center" vertical="center"/>
    </xf>
    <xf numFmtId="3" fontId="7" fillId="0" borderId="178" xfId="0" applyNumberFormat="1" applyFont="1" applyBorder="1" applyAlignment="1">
      <alignment horizontal="center" vertical="center"/>
    </xf>
    <xf numFmtId="0" fontId="7" fillId="0" borderId="178" xfId="0" applyFont="1" applyBorder="1" applyAlignment="1">
      <alignment horizontal="center" vertical="center"/>
    </xf>
    <xf numFmtId="0" fontId="7" fillId="24" borderId="11" xfId="0" applyFont="1" applyFill="1" applyBorder="1" applyAlignment="1">
      <alignment horizontal="center" vertical="center" wrapText="1"/>
    </xf>
    <xf numFmtId="178" fontId="10" fillId="41" borderId="31" xfId="0" applyNumberFormat="1" applyFont="1" applyFill="1" applyBorder="1" applyAlignment="1"/>
    <xf numFmtId="10" fontId="10" fillId="43" borderId="178" xfId="203" applyNumberFormat="1" applyFont="1" applyFill="1" applyBorder="1" applyAlignment="1">
      <alignment horizontal="center" vertical="center"/>
    </xf>
    <xf numFmtId="166" fontId="10" fillId="43" borderId="178" xfId="203" applyNumberFormat="1" applyFont="1" applyFill="1" applyBorder="1" applyAlignment="1">
      <alignment horizontal="center" vertical="center"/>
    </xf>
    <xf numFmtId="165" fontId="10" fillId="43" borderId="178" xfId="0" applyNumberFormat="1" applyFont="1" applyFill="1" applyBorder="1" applyAlignment="1">
      <alignment horizontal="center" vertical="center"/>
    </xf>
    <xf numFmtId="184" fontId="10" fillId="43" borderId="178" xfId="0" applyNumberFormat="1" applyFont="1" applyFill="1" applyBorder="1" applyAlignment="1">
      <alignment horizontal="center" vertical="center"/>
    </xf>
    <xf numFmtId="4" fontId="10" fillId="43" borderId="178" xfId="0" applyNumberFormat="1" applyFont="1" applyFill="1" applyBorder="1" applyAlignment="1">
      <alignment horizontal="center" vertical="center"/>
    </xf>
    <xf numFmtId="167" fontId="10" fillId="43" borderId="179" xfId="0" applyNumberFormat="1" applyFont="1" applyFill="1" applyBorder="1" applyAlignment="1">
      <alignment horizontal="center" vertical="center"/>
    </xf>
    <xf numFmtId="3" fontId="10" fillId="43" borderId="178" xfId="0" applyNumberFormat="1" applyFont="1" applyFill="1" applyBorder="1" applyAlignment="1">
      <alignment horizontal="center" vertical="center"/>
    </xf>
    <xf numFmtId="0" fontId="10" fillId="43" borderId="178" xfId="0" applyFont="1" applyFill="1" applyBorder="1" applyAlignment="1">
      <alignment horizontal="center" vertical="center"/>
    </xf>
    <xf numFmtId="0" fontId="10" fillId="43" borderId="11" xfId="0" applyFont="1" applyFill="1" applyBorder="1" applyAlignment="1">
      <alignment horizontal="center" vertical="center"/>
    </xf>
    <xf numFmtId="2" fontId="9" fillId="39" borderId="13" xfId="0" applyNumberFormat="1" applyFont="1" applyFill="1" applyBorder="1" applyAlignment="1">
      <alignment horizontal="center" vertical="center"/>
    </xf>
    <xf numFmtId="3" fontId="9" fillId="39" borderId="13" xfId="0" applyNumberFormat="1" applyFont="1" applyFill="1" applyBorder="1" applyAlignment="1">
      <alignment horizontal="center" vertical="center"/>
    </xf>
    <xf numFmtId="167" fontId="7" fillId="0" borderId="0" xfId="0" applyNumberFormat="1" applyFont="1"/>
    <xf numFmtId="2" fontId="10" fillId="58" borderId="10" xfId="0" applyNumberFormat="1" applyFont="1" applyFill="1" applyBorder="1"/>
    <xf numFmtId="2" fontId="10" fillId="58" borderId="10" xfId="0" applyNumberFormat="1" applyFont="1" applyFill="1" applyBorder="1" applyAlignment="1">
      <alignment horizontal="right"/>
    </xf>
    <xf numFmtId="2" fontId="9" fillId="58" borderId="10" xfId="0" applyNumberFormat="1" applyFont="1" applyFill="1" applyBorder="1" applyAlignment="1">
      <alignment horizontal="center"/>
    </xf>
    <xf numFmtId="0" fontId="9" fillId="58" borderId="10" xfId="0" applyFont="1" applyFill="1" applyBorder="1" applyAlignment="1">
      <alignment horizontal="center"/>
    </xf>
    <xf numFmtId="2" fontId="10" fillId="58" borderId="10" xfId="0" applyNumberFormat="1" applyFont="1" applyFill="1" applyBorder="1" applyAlignment="1">
      <alignment horizontal="center"/>
    </xf>
    <xf numFmtId="0" fontId="10" fillId="58" borderId="10" xfId="0" applyFont="1" applyFill="1" applyBorder="1" applyAlignment="1">
      <alignment horizontal="center"/>
    </xf>
    <xf numFmtId="0" fontId="10" fillId="58" borderId="10" xfId="0" applyFont="1" applyFill="1" applyBorder="1"/>
    <xf numFmtId="0" fontId="10" fillId="58" borderId="0" xfId="0" applyFont="1" applyFill="1"/>
    <xf numFmtId="2" fontId="10" fillId="58" borderId="0" xfId="0" applyNumberFormat="1" applyFont="1" applyFill="1"/>
    <xf numFmtId="0" fontId="0" fillId="58" borderId="0" xfId="0" applyFill="1"/>
    <xf numFmtId="0" fontId="16" fillId="58" borderId="15" xfId="0" applyFont="1" applyFill="1" applyBorder="1"/>
    <xf numFmtId="0" fontId="16" fillId="58" borderId="14" xfId="0" applyFont="1" applyFill="1" applyBorder="1"/>
    <xf numFmtId="0" fontId="16" fillId="58" borderId="12" xfId="0" applyFont="1" applyFill="1" applyBorder="1"/>
    <xf numFmtId="2" fontId="10" fillId="43" borderId="10" xfId="0" applyNumberFormat="1" applyFont="1" applyFill="1" applyBorder="1"/>
    <xf numFmtId="2" fontId="10" fillId="43" borderId="10" xfId="0" applyNumberFormat="1" applyFont="1" applyFill="1" applyBorder="1" applyAlignment="1">
      <alignment horizontal="right"/>
    </xf>
    <xf numFmtId="2" fontId="9" fillId="43" borderId="10" xfId="0" applyNumberFormat="1" applyFont="1" applyFill="1" applyBorder="1" applyAlignment="1">
      <alignment horizontal="center"/>
    </xf>
    <xf numFmtId="0" fontId="9" fillId="43" borderId="10" xfId="0" applyFont="1" applyFill="1" applyBorder="1" applyAlignment="1">
      <alignment horizontal="center"/>
    </xf>
    <xf numFmtId="2" fontId="10" fillId="43" borderId="10" xfId="0" applyNumberFormat="1" applyFont="1" applyFill="1" applyBorder="1" applyAlignment="1">
      <alignment horizontal="center"/>
    </xf>
    <xf numFmtId="0" fontId="10" fillId="43" borderId="10" xfId="0" applyFont="1" applyFill="1" applyBorder="1"/>
    <xf numFmtId="0" fontId="10" fillId="43" borderId="0" xfId="0" applyFont="1" applyFill="1"/>
    <xf numFmtId="2" fontId="10" fillId="43" borderId="0" xfId="0" applyNumberFormat="1" applyFont="1" applyFill="1"/>
    <xf numFmtId="0" fontId="0" fillId="43" borderId="0" xfId="0" applyFill="1"/>
    <xf numFmtId="2" fontId="10" fillId="55" borderId="10" xfId="0" applyNumberFormat="1" applyFont="1" applyFill="1" applyBorder="1"/>
    <xf numFmtId="2" fontId="10" fillId="55" borderId="10" xfId="0" applyNumberFormat="1" applyFont="1" applyFill="1" applyBorder="1" applyAlignment="1">
      <alignment horizontal="right"/>
    </xf>
    <xf numFmtId="2" fontId="9" fillId="55" borderId="10" xfId="0" applyNumberFormat="1" applyFont="1" applyFill="1" applyBorder="1" applyAlignment="1">
      <alignment horizontal="center"/>
    </xf>
    <xf numFmtId="0" fontId="9" fillId="55" borderId="10" xfId="0" applyFont="1" applyFill="1" applyBorder="1" applyAlignment="1">
      <alignment horizontal="center"/>
    </xf>
    <xf numFmtId="0" fontId="10" fillId="55" borderId="10" xfId="0" applyFont="1" applyFill="1" applyBorder="1"/>
    <xf numFmtId="0" fontId="10" fillId="55" borderId="0" xfId="0" applyFont="1" applyFill="1"/>
    <xf numFmtId="2" fontId="10" fillId="55" borderId="0" xfId="0" applyNumberFormat="1" applyFont="1" applyFill="1"/>
    <xf numFmtId="0" fontId="0" fillId="55" borderId="0" xfId="0" applyFill="1"/>
    <xf numFmtId="2" fontId="10" fillId="44" borderId="10" xfId="0" applyNumberFormat="1" applyFont="1" applyFill="1" applyBorder="1"/>
    <xf numFmtId="2" fontId="10" fillId="44" borderId="10" xfId="0" applyNumberFormat="1" applyFont="1" applyFill="1" applyBorder="1" applyAlignment="1">
      <alignment horizontal="right"/>
    </xf>
    <xf numFmtId="2" fontId="9" fillId="44" borderId="10" xfId="0" applyNumberFormat="1" applyFont="1" applyFill="1" applyBorder="1" applyAlignment="1">
      <alignment horizontal="center"/>
    </xf>
    <xf numFmtId="0" fontId="9" fillId="44" borderId="10" xfId="0" applyFont="1" applyFill="1" applyBorder="1" applyAlignment="1">
      <alignment horizontal="center"/>
    </xf>
    <xf numFmtId="0" fontId="10" fillId="44" borderId="10" xfId="0" applyFont="1" applyFill="1" applyBorder="1"/>
    <xf numFmtId="0" fontId="10" fillId="44" borderId="0" xfId="0" applyFont="1" applyFill="1"/>
    <xf numFmtId="2" fontId="10" fillId="44" borderId="0" xfId="0" applyNumberFormat="1" applyFont="1" applyFill="1"/>
    <xf numFmtId="0" fontId="0" fillId="44" borderId="0" xfId="0" applyFill="1"/>
    <xf numFmtId="2" fontId="10" fillId="59" borderId="10" xfId="0" applyNumberFormat="1" applyFont="1" applyFill="1" applyBorder="1"/>
    <xf numFmtId="2" fontId="10" fillId="59" borderId="10" xfId="0" applyNumberFormat="1" applyFont="1" applyFill="1" applyBorder="1" applyAlignment="1">
      <alignment horizontal="right"/>
    </xf>
    <xf numFmtId="2" fontId="9" fillId="59" borderId="10" xfId="0" applyNumberFormat="1" applyFont="1" applyFill="1" applyBorder="1" applyAlignment="1">
      <alignment horizontal="center"/>
    </xf>
    <xf numFmtId="0" fontId="9" fillId="59" borderId="10" xfId="0" applyFont="1" applyFill="1" applyBorder="1" applyAlignment="1">
      <alignment horizontal="center"/>
    </xf>
    <xf numFmtId="2" fontId="10" fillId="59" borderId="10" xfId="0" applyNumberFormat="1" applyFont="1" applyFill="1" applyBorder="1" applyAlignment="1">
      <alignment horizontal="center"/>
    </xf>
    <xf numFmtId="0" fontId="10" fillId="59" borderId="10" xfId="0" applyFont="1" applyFill="1" applyBorder="1" applyAlignment="1">
      <alignment horizontal="center"/>
    </xf>
    <xf numFmtId="0" fontId="10" fillId="59" borderId="10" xfId="0" applyFont="1" applyFill="1" applyBorder="1"/>
    <xf numFmtId="0" fontId="10" fillId="59" borderId="0" xfId="0" applyFont="1" applyFill="1"/>
    <xf numFmtId="2" fontId="10" fillId="59" borderId="0" xfId="0" applyNumberFormat="1" applyFont="1" applyFill="1"/>
    <xf numFmtId="0" fontId="0" fillId="59" borderId="0" xfId="0" applyFill="1"/>
    <xf numFmtId="173" fontId="10" fillId="43" borderId="10" xfId="0" applyNumberFormat="1" applyFont="1" applyFill="1" applyBorder="1" applyAlignment="1">
      <alignment horizontal="right"/>
    </xf>
    <xf numFmtId="173" fontId="10" fillId="55" borderId="10" xfId="0" applyNumberFormat="1" applyFont="1" applyFill="1" applyBorder="1" applyAlignment="1">
      <alignment horizontal="right"/>
    </xf>
    <xf numFmtId="173" fontId="7" fillId="43" borderId="10" xfId="0" applyNumberFormat="1" applyFont="1" applyFill="1" applyBorder="1"/>
    <xf numFmtId="173" fontId="7" fillId="43" borderId="28" xfId="0" applyNumberFormat="1" applyFont="1" applyFill="1" applyBorder="1"/>
    <xf numFmtId="0" fontId="7" fillId="43" borderId="51" xfId="0" applyFont="1" applyFill="1" applyBorder="1"/>
    <xf numFmtId="0" fontId="7" fillId="43" borderId="10" xfId="0" applyFont="1" applyFill="1" applyBorder="1"/>
    <xf numFmtId="0" fontId="7" fillId="43" borderId="135" xfId="0" applyFont="1" applyFill="1" applyBorder="1"/>
    <xf numFmtId="0" fontId="7" fillId="43" borderId="29" xfId="0" applyFont="1" applyFill="1" applyBorder="1"/>
    <xf numFmtId="0" fontId="7" fillId="43" borderId="0" xfId="0" applyFont="1" applyFill="1"/>
    <xf numFmtId="0" fontId="7" fillId="43" borderId="28" xfId="0" applyFont="1" applyFill="1" applyBorder="1"/>
    <xf numFmtId="173" fontId="7" fillId="55" borderId="10" xfId="0" applyNumberFormat="1" applyFont="1" applyFill="1" applyBorder="1"/>
    <xf numFmtId="173" fontId="7" fillId="55" borderId="28" xfId="0" applyNumberFormat="1" applyFont="1" applyFill="1" applyBorder="1"/>
    <xf numFmtId="173" fontId="7" fillId="43" borderId="29" xfId="0" applyNumberFormat="1" applyFont="1" applyFill="1" applyBorder="1"/>
    <xf numFmtId="173" fontId="7" fillId="43" borderId="30" xfId="0" applyNumberFormat="1" applyFont="1" applyFill="1" applyBorder="1"/>
    <xf numFmtId="173" fontId="7" fillId="43" borderId="51" xfId="0" applyNumberFormat="1" applyFont="1" applyFill="1" applyBorder="1"/>
    <xf numFmtId="0" fontId="136" fillId="43" borderId="10" xfId="0" applyFont="1" applyFill="1" applyBorder="1"/>
    <xf numFmtId="173" fontId="7" fillId="55" borderId="29" xfId="0" applyNumberFormat="1" applyFont="1" applyFill="1" applyBorder="1"/>
    <xf numFmtId="173" fontId="10" fillId="43" borderId="10" xfId="0" applyNumberFormat="1" applyFont="1" applyFill="1" applyBorder="1"/>
    <xf numFmtId="173" fontId="10" fillId="55" borderId="10" xfId="0" applyNumberFormat="1" applyFont="1" applyFill="1" applyBorder="1"/>
    <xf numFmtId="173" fontId="7" fillId="55" borderId="10" xfId="0" applyNumberFormat="1" applyFont="1" applyFill="1" applyBorder="1" applyAlignment="1">
      <alignment horizontal="right"/>
    </xf>
    <xf numFmtId="173" fontId="7" fillId="44" borderId="10" xfId="0" applyNumberFormat="1" applyFont="1" applyFill="1" applyBorder="1" applyAlignment="1">
      <alignment horizontal="right"/>
    </xf>
    <xf numFmtId="173" fontId="10" fillId="44" borderId="10" xfId="0" applyNumberFormat="1" applyFont="1" applyFill="1" applyBorder="1" applyAlignment="1">
      <alignment horizontal="right"/>
    </xf>
    <xf numFmtId="173" fontId="7" fillId="55" borderId="15" xfId="0" applyNumberFormat="1" applyFont="1" applyFill="1" applyBorder="1" applyAlignment="1">
      <alignment horizontal="right"/>
    </xf>
    <xf numFmtId="173" fontId="7" fillId="44" borderId="15" xfId="0" applyNumberFormat="1" applyFont="1" applyFill="1" applyBorder="1" applyAlignment="1">
      <alignment horizontal="right"/>
    </xf>
    <xf numFmtId="173" fontId="0" fillId="55" borderId="10" xfId="0" applyNumberFormat="1" applyFill="1" applyBorder="1" applyAlignment="1">
      <alignment horizontal="right"/>
    </xf>
    <xf numFmtId="173" fontId="0" fillId="44" borderId="10" xfId="0" applyNumberFormat="1" applyFill="1" applyBorder="1" applyAlignment="1">
      <alignment horizontal="right"/>
    </xf>
    <xf numFmtId="173" fontId="7" fillId="44" borderId="10" xfId="0" applyNumberFormat="1" applyFont="1" applyFill="1" applyBorder="1"/>
    <xf numFmtId="173" fontId="7" fillId="44" borderId="28" xfId="0" applyNumberFormat="1" applyFont="1" applyFill="1" applyBorder="1"/>
    <xf numFmtId="0" fontId="7" fillId="44" borderId="51" xfId="0" applyFont="1" applyFill="1" applyBorder="1"/>
    <xf numFmtId="0" fontId="7" fillId="44" borderId="10" xfId="0" applyFont="1" applyFill="1" applyBorder="1"/>
    <xf numFmtId="0" fontId="7" fillId="44" borderId="135" xfId="0" applyFont="1" applyFill="1" applyBorder="1"/>
    <xf numFmtId="0" fontId="7" fillId="44" borderId="29" xfId="0" applyFont="1" applyFill="1" applyBorder="1"/>
    <xf numFmtId="0" fontId="7" fillId="44" borderId="0" xfId="0" applyFont="1" applyFill="1"/>
    <xf numFmtId="0" fontId="7" fillId="44" borderId="28" xfId="0" applyFont="1" applyFill="1" applyBorder="1"/>
    <xf numFmtId="173" fontId="7" fillId="44" borderId="30" xfId="0" applyNumberFormat="1" applyFont="1" applyFill="1" applyBorder="1"/>
    <xf numFmtId="173" fontId="7" fillId="44" borderId="51" xfId="0" applyNumberFormat="1" applyFont="1" applyFill="1" applyBorder="1"/>
    <xf numFmtId="0" fontId="136" fillId="44" borderId="10" xfId="0" applyFont="1" applyFill="1" applyBorder="1"/>
    <xf numFmtId="173" fontId="10" fillId="44" borderId="10" xfId="0" applyNumberFormat="1" applyFont="1" applyFill="1" applyBorder="1"/>
    <xf numFmtId="2" fontId="10" fillId="43" borderId="0" xfId="0" applyNumberFormat="1" applyFont="1" applyFill="1" applyBorder="1"/>
    <xf numFmtId="2" fontId="10" fillId="55" borderId="0" xfId="0" applyNumberFormat="1" applyFont="1" applyFill="1" applyBorder="1"/>
    <xf numFmtId="2" fontId="10" fillId="55" borderId="15" xfId="0" applyNumberFormat="1" applyFont="1" applyFill="1" applyBorder="1"/>
    <xf numFmtId="2" fontId="9" fillId="55" borderId="14" xfId="0" applyNumberFormat="1" applyFont="1" applyFill="1" applyBorder="1" applyAlignment="1">
      <alignment horizontal="center"/>
    </xf>
    <xf numFmtId="0" fontId="9" fillId="55" borderId="12" xfId="0" applyFont="1" applyFill="1" applyBorder="1" applyAlignment="1">
      <alignment horizontal="center"/>
    </xf>
    <xf numFmtId="2" fontId="10" fillId="44" borderId="0" xfId="0" applyNumberFormat="1" applyFont="1" applyFill="1" applyBorder="1"/>
    <xf numFmtId="2" fontId="10" fillId="44" borderId="15" xfId="0" applyNumberFormat="1" applyFont="1" applyFill="1" applyBorder="1"/>
    <xf numFmtId="2" fontId="9" fillId="44" borderId="14" xfId="0" applyNumberFormat="1" applyFont="1" applyFill="1" applyBorder="1" applyAlignment="1">
      <alignment horizontal="center"/>
    </xf>
    <xf numFmtId="173" fontId="9" fillId="43" borderId="0" xfId="0" applyNumberFormat="1" applyFont="1" applyFill="1" applyBorder="1" applyAlignment="1">
      <alignment horizontal="center"/>
    </xf>
    <xf numFmtId="0" fontId="9" fillId="43" borderId="0" xfId="0" applyFont="1" applyFill="1" applyBorder="1" applyAlignment="1">
      <alignment horizontal="center"/>
    </xf>
    <xf numFmtId="173" fontId="9" fillId="55" borderId="0" xfId="0" applyNumberFormat="1" applyFont="1" applyFill="1" applyBorder="1" applyAlignment="1">
      <alignment horizontal="center"/>
    </xf>
    <xf numFmtId="0" fontId="9" fillId="55" borderId="0" xfId="0" applyFont="1" applyFill="1" applyBorder="1" applyAlignment="1">
      <alignment horizontal="center"/>
    </xf>
    <xf numFmtId="173" fontId="9" fillId="44" borderId="0" xfId="0" applyNumberFormat="1" applyFont="1" applyFill="1" applyBorder="1" applyAlignment="1">
      <alignment horizontal="center"/>
    </xf>
    <xf numFmtId="0" fontId="9" fillId="44" borderId="0" xfId="0" applyFont="1" applyFill="1" applyBorder="1" applyAlignment="1">
      <alignment horizontal="center"/>
    </xf>
    <xf numFmtId="173" fontId="9" fillId="43" borderId="10" xfId="0" applyNumberFormat="1" applyFont="1" applyFill="1" applyBorder="1" applyAlignment="1">
      <alignment horizontal="center"/>
    </xf>
    <xf numFmtId="173" fontId="9" fillId="55" borderId="10" xfId="0" applyNumberFormat="1" applyFont="1" applyFill="1" applyBorder="1" applyAlignment="1">
      <alignment horizontal="center"/>
    </xf>
    <xf numFmtId="173" fontId="9" fillId="44" borderId="10" xfId="0" applyNumberFormat="1" applyFont="1" applyFill="1" applyBorder="1" applyAlignment="1">
      <alignment horizontal="center"/>
    </xf>
    <xf numFmtId="173" fontId="7" fillId="43" borderId="10" xfId="0" applyNumberFormat="1" applyFont="1" applyFill="1" applyBorder="1" applyAlignment="1">
      <alignment horizontal="right"/>
    </xf>
    <xf numFmtId="173" fontId="0" fillId="43" borderId="10" xfId="0" applyNumberFormat="1" applyFill="1" applyBorder="1" applyAlignment="1">
      <alignment horizontal="right"/>
    </xf>
    <xf numFmtId="173" fontId="7" fillId="43" borderId="15" xfId="0" applyNumberFormat="1" applyFont="1" applyFill="1" applyBorder="1" applyAlignment="1">
      <alignment horizontal="right"/>
    </xf>
    <xf numFmtId="14" fontId="10" fillId="43" borderId="0" xfId="0" applyNumberFormat="1" applyFont="1" applyFill="1"/>
    <xf numFmtId="0" fontId="51" fillId="43" borderId="0" xfId="0" applyFont="1" applyFill="1"/>
    <xf numFmtId="14" fontId="10" fillId="55" borderId="0" xfId="0" applyNumberFormat="1" applyFont="1" applyFill="1"/>
    <xf numFmtId="0" fontId="51" fillId="55" borderId="0" xfId="0" applyFont="1" applyFill="1"/>
    <xf numFmtId="14" fontId="10" fillId="44" borderId="0" xfId="0" applyNumberFormat="1" applyFont="1" applyFill="1"/>
    <xf numFmtId="0" fontId="51" fillId="44" borderId="0" xfId="0" applyFont="1" applyFill="1"/>
    <xf numFmtId="173" fontId="9" fillId="41" borderId="10" xfId="0" applyNumberFormat="1" applyFont="1" applyFill="1" applyBorder="1" applyAlignment="1">
      <alignment horizontal="center"/>
    </xf>
    <xf numFmtId="173" fontId="7" fillId="41" borderId="10" xfId="0" applyNumberFormat="1" applyFont="1" applyFill="1" applyBorder="1" applyAlignment="1">
      <alignment horizontal="right"/>
    </xf>
    <xf numFmtId="173" fontId="7" fillId="41" borderId="15" xfId="0" applyNumberFormat="1" applyFont="1" applyFill="1" applyBorder="1" applyAlignment="1">
      <alignment horizontal="right"/>
    </xf>
    <xf numFmtId="14" fontId="10" fillId="41" borderId="0" xfId="0" applyNumberFormat="1" applyFont="1" applyFill="1"/>
    <xf numFmtId="2" fontId="10" fillId="41" borderId="0" xfId="0" applyNumberFormat="1" applyFont="1" applyFill="1"/>
    <xf numFmtId="0" fontId="51" fillId="41" borderId="0" xfId="0" applyFont="1" applyFill="1"/>
    <xf numFmtId="0" fontId="9" fillId="41" borderId="12" xfId="0" applyFont="1" applyFill="1" applyBorder="1" applyAlignment="1">
      <alignment horizontal="center"/>
    </xf>
    <xf numFmtId="2" fontId="9" fillId="41" borderId="10" xfId="0" applyNumberFormat="1" applyFont="1" applyFill="1" applyBorder="1" applyAlignment="1">
      <alignment horizontal="center"/>
    </xf>
    <xf numFmtId="173" fontId="10" fillId="41" borderId="10" xfId="0" applyNumberFormat="1" applyFont="1" applyFill="1" applyBorder="1" applyAlignment="1">
      <alignment horizontal="right"/>
    </xf>
    <xf numFmtId="173" fontId="7" fillId="41" borderId="10" xfId="0" applyNumberFormat="1" applyFont="1" applyFill="1" applyBorder="1"/>
    <xf numFmtId="173" fontId="7" fillId="41" borderId="28" xfId="0" applyNumberFormat="1" applyFont="1" applyFill="1" applyBorder="1"/>
    <xf numFmtId="0" fontId="7" fillId="41" borderId="51" xfId="0" applyFont="1" applyFill="1" applyBorder="1"/>
    <xf numFmtId="0" fontId="7" fillId="41" borderId="10" xfId="0" applyFont="1" applyFill="1" applyBorder="1"/>
    <xf numFmtId="0" fontId="7" fillId="41" borderId="135" xfId="0" applyFont="1" applyFill="1" applyBorder="1"/>
    <xf numFmtId="0" fontId="7" fillId="41" borderId="29" xfId="0" applyFont="1" applyFill="1" applyBorder="1"/>
    <xf numFmtId="0" fontId="7" fillId="41" borderId="28" xfId="0" applyFont="1" applyFill="1" applyBorder="1"/>
    <xf numFmtId="173" fontId="7" fillId="44" borderId="29" xfId="0" applyNumberFormat="1" applyFont="1" applyFill="1" applyBorder="1"/>
    <xf numFmtId="173" fontId="7" fillId="41" borderId="29" xfId="0" applyNumberFormat="1" applyFont="1" applyFill="1" applyBorder="1"/>
    <xf numFmtId="173" fontId="7" fillId="41" borderId="30" xfId="0" applyNumberFormat="1" applyFont="1" applyFill="1" applyBorder="1"/>
    <xf numFmtId="173" fontId="7" fillId="41" borderId="51" xfId="0" applyNumberFormat="1" applyFont="1" applyFill="1" applyBorder="1"/>
    <xf numFmtId="0" fontId="136" fillId="41" borderId="10" xfId="0" applyFont="1" applyFill="1" applyBorder="1"/>
    <xf numFmtId="2" fontId="10" fillId="58" borderId="55" xfId="0" applyNumberFormat="1" applyFont="1" applyFill="1" applyBorder="1"/>
    <xf numFmtId="2" fontId="10" fillId="58" borderId="54" xfId="0" applyNumberFormat="1" applyFont="1" applyFill="1" applyBorder="1"/>
    <xf numFmtId="2" fontId="10" fillId="58" borderId="52" xfId="0" applyNumberFormat="1" applyFont="1" applyFill="1" applyBorder="1"/>
    <xf numFmtId="2" fontId="9" fillId="58" borderId="12" xfId="0" applyNumberFormat="1" applyFont="1" applyFill="1" applyBorder="1" applyAlignment="1">
      <alignment horizontal="center"/>
    </xf>
    <xf numFmtId="2" fontId="10" fillId="58" borderId="13" xfId="0" applyNumberFormat="1" applyFont="1" applyFill="1" applyBorder="1"/>
    <xf numFmtId="173" fontId="10" fillId="58" borderId="10" xfId="0" applyNumberFormat="1" applyFont="1" applyFill="1" applyBorder="1" applyAlignment="1">
      <alignment horizontal="right"/>
    </xf>
    <xf numFmtId="173" fontId="7" fillId="58" borderId="10" xfId="0" applyNumberFormat="1" applyFont="1" applyFill="1" applyBorder="1"/>
    <xf numFmtId="173" fontId="7" fillId="58" borderId="28" xfId="0" applyNumberFormat="1" applyFont="1" applyFill="1" applyBorder="1"/>
    <xf numFmtId="0" fontId="7" fillId="58" borderId="51" xfId="0" applyFont="1" applyFill="1" applyBorder="1"/>
    <xf numFmtId="0" fontId="7" fillId="58" borderId="10" xfId="0" applyFont="1" applyFill="1" applyBorder="1"/>
    <xf numFmtId="0" fontId="7" fillId="58" borderId="135" xfId="0" applyFont="1" applyFill="1" applyBorder="1"/>
    <xf numFmtId="0" fontId="7" fillId="58" borderId="29" xfId="0" applyFont="1" applyFill="1" applyBorder="1"/>
    <xf numFmtId="0" fontId="7" fillId="58" borderId="0" xfId="0" applyFont="1" applyFill="1"/>
    <xf numFmtId="0" fontId="7" fillId="58" borderId="28" xfId="0" applyFont="1" applyFill="1" applyBorder="1"/>
    <xf numFmtId="173" fontId="7" fillId="58" borderId="29" xfId="0" applyNumberFormat="1" applyFont="1" applyFill="1" applyBorder="1"/>
    <xf numFmtId="173" fontId="7" fillId="58" borderId="30" xfId="0" applyNumberFormat="1" applyFont="1" applyFill="1" applyBorder="1"/>
    <xf numFmtId="173" fontId="7" fillId="58" borderId="51" xfId="0" applyNumberFormat="1" applyFont="1" applyFill="1" applyBorder="1"/>
    <xf numFmtId="0" fontId="136" fillId="58" borderId="10" xfId="0" applyFont="1" applyFill="1" applyBorder="1"/>
    <xf numFmtId="173" fontId="10" fillId="58" borderId="10" xfId="0" applyNumberFormat="1" applyFont="1" applyFill="1" applyBorder="1"/>
    <xf numFmtId="2" fontId="10" fillId="58" borderId="0" xfId="0" applyNumberFormat="1" applyFont="1" applyFill="1" applyBorder="1"/>
    <xf numFmtId="2" fontId="10" fillId="58" borderId="15" xfId="0" applyNumberFormat="1" applyFont="1" applyFill="1" applyBorder="1"/>
    <xf numFmtId="2" fontId="9" fillId="58" borderId="14" xfId="0" applyNumberFormat="1" applyFont="1" applyFill="1" applyBorder="1" applyAlignment="1">
      <alignment horizontal="center"/>
    </xf>
    <xf numFmtId="0" fontId="9" fillId="58" borderId="12" xfId="0" applyFont="1" applyFill="1" applyBorder="1" applyAlignment="1">
      <alignment horizontal="center"/>
    </xf>
    <xf numFmtId="0" fontId="10" fillId="39" borderId="12" xfId="0" applyFont="1" applyFill="1" applyBorder="1" applyAlignment="1">
      <alignment horizontal="center" vertical="center"/>
    </xf>
    <xf numFmtId="3" fontId="10" fillId="39" borderId="177" xfId="0" applyNumberFormat="1" applyFont="1" applyFill="1" applyBorder="1" applyAlignment="1">
      <alignment horizontal="center" vertical="center"/>
    </xf>
    <xf numFmtId="3" fontId="10" fillId="39" borderId="177" xfId="0" applyNumberFormat="1" applyFont="1" applyFill="1" applyBorder="1" applyAlignment="1">
      <alignment horizontal="center"/>
    </xf>
    <xf numFmtId="4" fontId="10" fillId="39" borderId="177" xfId="0" applyNumberFormat="1" applyFont="1" applyFill="1" applyBorder="1" applyAlignment="1">
      <alignment horizontal="center" vertical="center"/>
    </xf>
    <xf numFmtId="165" fontId="10" fillId="39" borderId="177" xfId="0" applyNumberFormat="1" applyFont="1" applyFill="1" applyBorder="1" applyAlignment="1">
      <alignment horizontal="center" vertical="center"/>
    </xf>
    <xf numFmtId="166" fontId="10" fillId="39" borderId="177" xfId="203" applyNumberFormat="1" applyFont="1" applyFill="1" applyBorder="1" applyAlignment="1">
      <alignment horizontal="center" vertical="center"/>
    </xf>
    <xf numFmtId="10" fontId="10" fillId="39" borderId="177" xfId="203" applyNumberFormat="1" applyFont="1" applyFill="1" applyBorder="1" applyAlignment="1">
      <alignment horizontal="center" vertical="center"/>
    </xf>
    <xf numFmtId="0" fontId="9" fillId="39" borderId="0" xfId="0" applyFont="1" applyFill="1" applyBorder="1" applyAlignment="1">
      <alignment horizontal="center"/>
    </xf>
    <xf numFmtId="173" fontId="9" fillId="39" borderId="0" xfId="0" applyNumberFormat="1" applyFont="1" applyFill="1" applyBorder="1" applyAlignment="1">
      <alignment horizontal="center"/>
    </xf>
    <xf numFmtId="2" fontId="10" fillId="39" borderId="0" xfId="0" applyNumberFormat="1" applyFont="1" applyFill="1" applyBorder="1"/>
    <xf numFmtId="0" fontId="10" fillId="39" borderId="0" xfId="0" applyFont="1" applyFill="1"/>
    <xf numFmtId="2" fontId="10" fillId="39" borderId="0" xfId="0" applyNumberFormat="1" applyFont="1" applyFill="1"/>
    <xf numFmtId="0" fontId="10" fillId="39" borderId="10" xfId="0" applyFont="1" applyFill="1" applyBorder="1"/>
    <xf numFmtId="2" fontId="10" fillId="39" borderId="10" xfId="0" applyNumberFormat="1" applyFont="1" applyFill="1" applyBorder="1" applyAlignment="1">
      <alignment horizontal="right"/>
    </xf>
    <xf numFmtId="2" fontId="10" fillId="39" borderId="10" xfId="0" applyNumberFormat="1" applyFont="1" applyFill="1" applyBorder="1"/>
    <xf numFmtId="173" fontId="10" fillId="39" borderId="10" xfId="0" applyNumberFormat="1" applyFont="1" applyFill="1" applyBorder="1"/>
    <xf numFmtId="173" fontId="7" fillId="39" borderId="10" xfId="0" applyNumberFormat="1" applyFont="1" applyFill="1" applyBorder="1"/>
    <xf numFmtId="0" fontId="136" fillId="39" borderId="10" xfId="0" applyFont="1" applyFill="1" applyBorder="1"/>
    <xf numFmtId="173" fontId="7" fillId="39" borderId="51" xfId="0" applyNumberFormat="1" applyFont="1" applyFill="1" applyBorder="1"/>
    <xf numFmtId="173" fontId="7" fillId="39" borderId="30" xfId="0" applyNumberFormat="1" applyFont="1" applyFill="1" applyBorder="1"/>
    <xf numFmtId="173" fontId="7" fillId="39" borderId="28" xfId="0" applyNumberFormat="1" applyFont="1" applyFill="1" applyBorder="1"/>
    <xf numFmtId="173" fontId="7" fillId="39" borderId="29" xfId="0" applyNumberFormat="1" applyFont="1" applyFill="1" applyBorder="1"/>
    <xf numFmtId="0" fontId="7" fillId="39" borderId="28" xfId="0" applyFont="1" applyFill="1" applyBorder="1"/>
    <xf numFmtId="0" fontId="7" fillId="39" borderId="29" xfId="0" applyFont="1" applyFill="1" applyBorder="1"/>
    <xf numFmtId="0" fontId="7" fillId="39" borderId="135" xfId="0" applyFont="1" applyFill="1" applyBorder="1"/>
    <xf numFmtId="0" fontId="7" fillId="39" borderId="10" xfId="0" applyFont="1" applyFill="1" applyBorder="1"/>
    <xf numFmtId="0" fontId="7" fillId="39" borderId="51" xfId="0" applyFont="1" applyFill="1" applyBorder="1"/>
    <xf numFmtId="173" fontId="10" fillId="39" borderId="10" xfId="0" applyNumberFormat="1" applyFont="1" applyFill="1" applyBorder="1" applyAlignment="1">
      <alignment horizontal="right"/>
    </xf>
    <xf numFmtId="0" fontId="9" fillId="39" borderId="10" xfId="0" applyFont="1" applyFill="1" applyBorder="1" applyAlignment="1">
      <alignment horizontal="center"/>
    </xf>
    <xf numFmtId="2" fontId="9" fillId="39" borderId="10" xfId="0" applyNumberFormat="1" applyFont="1" applyFill="1" applyBorder="1" applyAlignment="1">
      <alignment horizontal="center"/>
    </xf>
    <xf numFmtId="0" fontId="51" fillId="39" borderId="0" xfId="0" applyFont="1" applyFill="1"/>
    <xf numFmtId="14" fontId="10" fillId="39" borderId="0" xfId="0" applyNumberFormat="1" applyFont="1" applyFill="1"/>
    <xf numFmtId="173" fontId="7" fillId="39" borderId="10" xfId="0" applyNumberFormat="1" applyFont="1" applyFill="1" applyBorder="1" applyAlignment="1">
      <alignment horizontal="right"/>
    </xf>
    <xf numFmtId="173" fontId="0" fillId="39" borderId="10" xfId="0" applyNumberFormat="1" applyFill="1" applyBorder="1" applyAlignment="1">
      <alignment horizontal="right"/>
    </xf>
    <xf numFmtId="173" fontId="7" fillId="39" borderId="15" xfId="0" applyNumberFormat="1" applyFont="1" applyFill="1" applyBorder="1" applyAlignment="1">
      <alignment horizontal="right"/>
    </xf>
    <xf numFmtId="173" fontId="9" fillId="39" borderId="10" xfId="0" applyNumberFormat="1" applyFont="1" applyFill="1" applyBorder="1" applyAlignment="1">
      <alignment horizontal="center"/>
    </xf>
    <xf numFmtId="2" fontId="9" fillId="39" borderId="14" xfId="0" applyNumberFormat="1" applyFont="1" applyFill="1" applyBorder="1" applyAlignment="1">
      <alignment horizontal="center"/>
    </xf>
    <xf numFmtId="2" fontId="10" fillId="39" borderId="15" xfId="0" applyNumberFormat="1" applyFont="1" applyFill="1" applyBorder="1"/>
    <xf numFmtId="167" fontId="10" fillId="39" borderId="179" xfId="0" applyNumberFormat="1" applyFont="1" applyFill="1" applyBorder="1" applyAlignment="1">
      <alignment horizontal="center" vertical="center"/>
    </xf>
    <xf numFmtId="0" fontId="10" fillId="39" borderId="177" xfId="0" applyFont="1" applyFill="1" applyBorder="1" applyAlignment="1">
      <alignment horizontal="center" vertical="center" wrapText="1"/>
    </xf>
    <xf numFmtId="184" fontId="10" fillId="39" borderId="177" xfId="0" applyNumberFormat="1" applyFont="1" applyFill="1" applyBorder="1" applyAlignment="1">
      <alignment horizontal="center" vertical="center"/>
    </xf>
    <xf numFmtId="178" fontId="10" fillId="39" borderId="15" xfId="0" applyNumberFormat="1" applyFont="1" applyFill="1" applyBorder="1" applyAlignment="1"/>
    <xf numFmtId="2" fontId="9" fillId="41" borderId="14" xfId="0" applyNumberFormat="1" applyFont="1" applyFill="1" applyBorder="1" applyAlignment="1">
      <alignment horizontal="center"/>
    </xf>
    <xf numFmtId="2" fontId="10" fillId="41" borderId="15" xfId="0" applyNumberFormat="1" applyFont="1" applyFill="1" applyBorder="1"/>
    <xf numFmtId="0" fontId="10" fillId="60" borderId="181" xfId="0" applyFont="1" applyFill="1" applyBorder="1" applyAlignment="1">
      <alignment horizontal="center" vertical="center"/>
    </xf>
    <xf numFmtId="0" fontId="10" fillId="60" borderId="179" xfId="0" applyFont="1" applyFill="1" applyBorder="1" applyAlignment="1">
      <alignment horizontal="center" vertical="center"/>
    </xf>
    <xf numFmtId="3" fontId="10" fillId="60" borderId="179" xfId="0" applyNumberFormat="1" applyFont="1" applyFill="1" applyBorder="1" applyAlignment="1">
      <alignment horizontal="center" vertical="center"/>
    </xf>
    <xf numFmtId="167" fontId="10" fillId="60" borderId="179" xfId="0" applyNumberFormat="1" applyFont="1" applyFill="1" applyBorder="1" applyAlignment="1">
      <alignment horizontal="center" vertical="center"/>
    </xf>
    <xf numFmtId="4" fontId="10" fillId="60" borderId="179" xfId="0" applyNumberFormat="1" applyFont="1" applyFill="1" applyBorder="1" applyAlignment="1">
      <alignment horizontal="center" vertical="center"/>
    </xf>
    <xf numFmtId="183" fontId="10" fillId="60" borderId="179" xfId="0" applyNumberFormat="1" applyFont="1" applyFill="1" applyBorder="1" applyAlignment="1">
      <alignment horizontal="center" vertical="center"/>
    </xf>
    <xf numFmtId="165" fontId="10" fillId="60" borderId="179" xfId="0" applyNumberFormat="1" applyFont="1" applyFill="1" applyBorder="1" applyAlignment="1">
      <alignment horizontal="center" vertical="center"/>
    </xf>
    <xf numFmtId="166" fontId="10" fillId="60" borderId="179" xfId="203" applyNumberFormat="1" applyFont="1" applyFill="1" applyBorder="1" applyAlignment="1">
      <alignment horizontal="center" vertical="center"/>
    </xf>
    <xf numFmtId="10" fontId="10" fillId="60" borderId="179" xfId="203" applyNumberFormat="1" applyFont="1" applyFill="1" applyBorder="1" applyAlignment="1">
      <alignment horizontal="center" vertical="center"/>
    </xf>
    <xf numFmtId="178" fontId="51" fillId="60" borderId="180" xfId="0" applyNumberFormat="1" applyFont="1" applyFill="1" applyBorder="1" applyAlignment="1">
      <alignment horizontal="center" vertical="center"/>
    </xf>
    <xf numFmtId="0" fontId="10" fillId="60" borderId="11" xfId="0" applyFont="1" applyFill="1" applyBorder="1" applyAlignment="1">
      <alignment horizontal="center" vertical="center"/>
    </xf>
    <xf numFmtId="0" fontId="10" fillId="60" borderId="178" xfId="0" applyFont="1" applyFill="1" applyBorder="1" applyAlignment="1">
      <alignment horizontal="center" vertical="center"/>
    </xf>
    <xf numFmtId="3" fontId="10" fillId="60" borderId="178" xfId="0" applyNumberFormat="1" applyFont="1" applyFill="1" applyBorder="1" applyAlignment="1">
      <alignment horizontal="center" vertical="center"/>
    </xf>
    <xf numFmtId="167" fontId="10" fillId="60" borderId="178" xfId="0" applyNumberFormat="1" applyFont="1" applyFill="1" applyBorder="1" applyAlignment="1">
      <alignment horizontal="center" vertical="center"/>
    </xf>
    <xf numFmtId="4" fontId="10" fillId="60" borderId="178" xfId="0" applyNumberFormat="1" applyFont="1" applyFill="1" applyBorder="1" applyAlignment="1">
      <alignment horizontal="center" vertical="center"/>
    </xf>
    <xf numFmtId="183" fontId="10" fillId="60" borderId="178" xfId="0" applyNumberFormat="1" applyFont="1" applyFill="1" applyBorder="1" applyAlignment="1">
      <alignment horizontal="center" vertical="center"/>
    </xf>
    <xf numFmtId="165" fontId="10" fillId="60" borderId="178" xfId="0" applyNumberFormat="1" applyFont="1" applyFill="1" applyBorder="1" applyAlignment="1">
      <alignment horizontal="center" vertical="center"/>
    </xf>
    <xf numFmtId="166" fontId="10" fillId="60" borderId="178" xfId="203" applyNumberFormat="1" applyFont="1" applyFill="1" applyBorder="1" applyAlignment="1">
      <alignment horizontal="center" vertical="center"/>
    </xf>
    <xf numFmtId="10" fontId="10" fillId="60" borderId="178" xfId="203" applyNumberFormat="1" applyFont="1" applyFill="1" applyBorder="1" applyAlignment="1">
      <alignment horizontal="center" vertical="center"/>
    </xf>
    <xf numFmtId="0" fontId="10" fillId="55" borderId="12" xfId="0" applyFont="1" applyFill="1" applyBorder="1" applyAlignment="1">
      <alignment horizontal="center" vertical="center"/>
    </xf>
    <xf numFmtId="0" fontId="10" fillId="55" borderId="177" xfId="0" applyFont="1" applyFill="1" applyBorder="1" applyAlignment="1">
      <alignment horizontal="center" vertical="center"/>
    </xf>
    <xf numFmtId="3" fontId="10" fillId="55" borderId="177" xfId="0" applyNumberFormat="1" applyFont="1" applyFill="1" applyBorder="1" applyAlignment="1">
      <alignment horizontal="center" vertical="center"/>
    </xf>
    <xf numFmtId="3" fontId="10" fillId="55" borderId="177" xfId="0" applyNumberFormat="1" applyFont="1" applyFill="1" applyBorder="1" applyAlignment="1">
      <alignment horizontal="center"/>
    </xf>
    <xf numFmtId="167" fontId="10" fillId="55" borderId="177" xfId="0" applyNumberFormat="1" applyFont="1" applyFill="1" applyBorder="1" applyAlignment="1">
      <alignment horizontal="center" vertical="center"/>
    </xf>
    <xf numFmtId="4" fontId="10" fillId="55" borderId="177" xfId="0" applyNumberFormat="1" applyFont="1" applyFill="1" applyBorder="1" applyAlignment="1">
      <alignment horizontal="center" vertical="center"/>
    </xf>
    <xf numFmtId="183" fontId="50" fillId="55" borderId="177" xfId="0" applyNumberFormat="1" applyFont="1" applyFill="1" applyBorder="1" applyAlignment="1">
      <alignment horizontal="center" vertical="center"/>
    </xf>
    <xf numFmtId="165" fontId="10" fillId="55" borderId="177" xfId="0" applyNumberFormat="1" applyFont="1" applyFill="1" applyBorder="1" applyAlignment="1">
      <alignment horizontal="center" vertical="center"/>
    </xf>
    <xf numFmtId="166" fontId="10" fillId="55" borderId="177" xfId="203" applyNumberFormat="1" applyFont="1" applyFill="1" applyBorder="1" applyAlignment="1">
      <alignment horizontal="center" vertical="center"/>
    </xf>
    <xf numFmtId="10" fontId="10" fillId="55" borderId="177" xfId="203" applyNumberFormat="1" applyFont="1" applyFill="1" applyBorder="1" applyAlignment="1">
      <alignment horizontal="center" vertical="center"/>
    </xf>
    <xf numFmtId="178" fontId="10" fillId="55" borderId="180" xfId="0" applyNumberFormat="1" applyFont="1" applyFill="1" applyBorder="1" applyAlignment="1"/>
    <xf numFmtId="0" fontId="0" fillId="41" borderId="0" xfId="0" applyFill="1"/>
    <xf numFmtId="173" fontId="7" fillId="50" borderId="10" xfId="0" applyNumberFormat="1" applyFont="1" applyFill="1" applyBorder="1" applyAlignment="1">
      <alignment horizontal="right"/>
    </xf>
    <xf numFmtId="0" fontId="10" fillId="39" borderId="12" xfId="0" applyFont="1" applyFill="1" applyBorder="1" applyAlignment="1">
      <alignment horizontal="center"/>
    </xf>
    <xf numFmtId="3" fontId="10" fillId="39" borderId="10" xfId="0" applyNumberFormat="1" applyFont="1" applyFill="1" applyBorder="1" applyAlignment="1">
      <alignment horizontal="center" vertical="center"/>
    </xf>
    <xf numFmtId="4" fontId="41" fillId="39" borderId="16" xfId="184" applyNumberFormat="1" applyFont="1" applyFill="1" applyBorder="1" applyAlignment="1">
      <alignment horizontal="center" vertical="center"/>
    </xf>
    <xf numFmtId="165" fontId="10" fillId="39" borderId="10" xfId="0" applyNumberFormat="1" applyFont="1" applyFill="1" applyBorder="1" applyAlignment="1">
      <alignment horizontal="center"/>
    </xf>
    <xf numFmtId="179" fontId="13" fillId="39" borderId="10" xfId="203" applyNumberFormat="1" applyFont="1" applyFill="1" applyBorder="1" applyAlignment="1">
      <alignment horizontal="center"/>
    </xf>
    <xf numFmtId="0" fontId="27" fillId="39" borderId="0" xfId="0" applyFont="1" applyFill="1"/>
    <xf numFmtId="4" fontId="41" fillId="39" borderId="10" xfId="184" applyNumberFormat="1" applyFont="1" applyFill="1" applyBorder="1" applyAlignment="1">
      <alignment horizontal="center" vertical="center"/>
    </xf>
    <xf numFmtId="0" fontId="10" fillId="39" borderId="10" xfId="0" applyFont="1" applyFill="1" applyBorder="1" applyAlignment="1">
      <alignment horizontal="center" wrapText="1"/>
    </xf>
    <xf numFmtId="4" fontId="10" fillId="39" borderId="10" xfId="0" applyNumberFormat="1" applyFont="1" applyFill="1" applyBorder="1" applyAlignment="1">
      <alignment horizontal="center"/>
    </xf>
    <xf numFmtId="173" fontId="55" fillId="39" borderId="0" xfId="0" applyNumberFormat="1" applyFont="1" applyFill="1"/>
    <xf numFmtId="4" fontId="12" fillId="39" borderId="10" xfId="0" applyNumberFormat="1" applyFont="1" applyFill="1" applyBorder="1" applyAlignment="1">
      <alignment horizontal="center"/>
    </xf>
    <xf numFmtId="0" fontId="10" fillId="41" borderId="12" xfId="0" applyFont="1" applyFill="1" applyBorder="1" applyAlignment="1">
      <alignment horizontal="center"/>
    </xf>
    <xf numFmtId="4" fontId="41" fillId="41" borderId="16" xfId="184" applyNumberFormat="1" applyFont="1" applyFill="1" applyBorder="1" applyAlignment="1">
      <alignment horizontal="center" vertical="center"/>
    </xf>
    <xf numFmtId="0" fontId="75" fillId="41" borderId="0" xfId="0" applyFont="1" applyFill="1"/>
    <xf numFmtId="4" fontId="41" fillId="41" borderId="10" xfId="184" applyNumberFormat="1" applyFont="1" applyFill="1" applyBorder="1" applyAlignment="1">
      <alignment horizontal="center" vertical="center"/>
    </xf>
    <xf numFmtId="0" fontId="52" fillId="41" borderId="10" xfId="0" applyFont="1" applyFill="1" applyBorder="1" applyAlignment="1">
      <alignment horizontal="center" wrapText="1"/>
    </xf>
    <xf numFmtId="4" fontId="0" fillId="0" borderId="0" xfId="0" applyNumberFormat="1" applyAlignment="1">
      <alignment horizontal="center"/>
    </xf>
    <xf numFmtId="0" fontId="12" fillId="41" borderId="20" xfId="0" applyFont="1" applyFill="1" applyBorder="1" applyAlignment="1">
      <alignment horizontal="center" wrapText="1"/>
    </xf>
    <xf numFmtId="2" fontId="50" fillId="0" borderId="10" xfId="0" applyNumberFormat="1" applyFont="1" applyBorder="1" applyAlignment="1">
      <alignment horizontal="center"/>
    </xf>
    <xf numFmtId="169" fontId="12" fillId="0" borderId="10" xfId="0" applyNumberFormat="1" applyFont="1" applyFill="1" applyBorder="1" applyAlignment="1">
      <alignment horizontal="center"/>
    </xf>
    <xf numFmtId="185" fontId="12" fillId="0" borderId="10" xfId="0" applyNumberFormat="1" applyFont="1" applyFill="1" applyBorder="1" applyAlignment="1">
      <alignment horizontal="center"/>
    </xf>
    <xf numFmtId="0" fontId="140" fillId="41" borderId="0" xfId="256" applyFill="1" applyAlignment="1" applyProtection="1"/>
    <xf numFmtId="0" fontId="5" fillId="0" borderId="0" xfId="257" applyAlignment="1">
      <alignment horizontal="center" vertical="center"/>
    </xf>
    <xf numFmtId="0" fontId="5" fillId="0" borderId="0" xfId="257" applyAlignment="1">
      <alignment vertical="center"/>
    </xf>
    <xf numFmtId="0" fontId="142" fillId="0" borderId="0" xfId="257" applyFont="1" applyAlignment="1">
      <alignment horizontal="left" vertical="center"/>
    </xf>
    <xf numFmtId="0" fontId="141" fillId="61" borderId="10" xfId="257" applyFont="1" applyFill="1" applyBorder="1" applyAlignment="1">
      <alignment vertical="center"/>
    </xf>
    <xf numFmtId="0" fontId="5" fillId="0" borderId="10" xfId="257" applyBorder="1" applyAlignment="1">
      <alignment vertical="center"/>
    </xf>
    <xf numFmtId="0" fontId="143" fillId="0" borderId="0" xfId="257" applyFont="1" applyAlignment="1">
      <alignment vertical="center"/>
    </xf>
    <xf numFmtId="43" fontId="9" fillId="25" borderId="32" xfId="157" applyFont="1" applyFill="1" applyBorder="1" applyAlignment="1">
      <alignment horizontal="center"/>
    </xf>
    <xf numFmtId="0" fontId="0" fillId="0" borderId="0" xfId="0"/>
    <xf numFmtId="176" fontId="12" fillId="41" borderId="10" xfId="0" applyNumberFormat="1" applyFont="1" applyFill="1" applyBorder="1" applyAlignment="1">
      <alignment horizontal="center"/>
    </xf>
    <xf numFmtId="2" fontId="10" fillId="41" borderId="10" xfId="177" applyNumberFormat="1" applyFont="1" applyFill="1" applyBorder="1" applyAlignment="1">
      <alignment horizontal="right"/>
    </xf>
    <xf numFmtId="2" fontId="10" fillId="41" borderId="10" xfId="0" applyNumberFormat="1" applyFont="1" applyFill="1" applyBorder="1" applyAlignment="1"/>
    <xf numFmtId="9" fontId="35" fillId="0" borderId="0" xfId="0" applyNumberFormat="1" applyFont="1"/>
    <xf numFmtId="0" fontId="116" fillId="39" borderId="0" xfId="0" applyFont="1" applyFill="1"/>
    <xf numFmtId="0" fontId="10" fillId="61" borderId="0" xfId="0" applyFont="1" applyFill="1"/>
    <xf numFmtId="0" fontId="0" fillId="0" borderId="0" xfId="0"/>
    <xf numFmtId="0" fontId="147" fillId="0" borderId="0" xfId="0" applyFont="1" applyAlignment="1">
      <alignment horizontal="left"/>
    </xf>
    <xf numFmtId="0" fontId="147" fillId="0" borderId="0" xfId="0" applyFont="1" applyAlignment="1">
      <alignment horizontal="center"/>
    </xf>
    <xf numFmtId="0" fontId="142" fillId="0" borderId="0" xfId="0" applyFont="1" applyAlignment="1">
      <alignment horizontal="left"/>
    </xf>
    <xf numFmtId="0" fontId="0" fillId="0" borderId="0" xfId="0" applyAlignment="1">
      <alignment horizontal="center" vertical="center"/>
    </xf>
    <xf numFmtId="0" fontId="119" fillId="35" borderId="70" xfId="195" applyFont="1" applyFill="1" applyBorder="1" applyAlignment="1">
      <alignment horizontal="center" vertical="center" wrapText="1"/>
    </xf>
    <xf numFmtId="0" fontId="119" fillId="35" borderId="101" xfId="195" applyFont="1" applyFill="1" applyBorder="1" applyAlignment="1">
      <alignment horizontal="center" vertical="center" wrapText="1"/>
    </xf>
    <xf numFmtId="0" fontId="119" fillId="35" borderId="61" xfId="195" applyFont="1" applyFill="1" applyBorder="1" applyAlignment="1">
      <alignment horizontal="center" vertical="center" wrapText="1"/>
    </xf>
    <xf numFmtId="0" fontId="119" fillId="35" borderId="102" xfId="195" applyFont="1" applyFill="1" applyBorder="1" applyAlignment="1">
      <alignment horizontal="center" vertical="center" wrapText="1"/>
    </xf>
    <xf numFmtId="0" fontId="119" fillId="35" borderId="103" xfId="195" applyFont="1" applyFill="1" applyBorder="1" applyAlignment="1">
      <alignment horizontal="center" vertical="center" wrapText="1"/>
    </xf>
    <xf numFmtId="0" fontId="119" fillId="35" borderId="104" xfId="195" applyFont="1" applyFill="1" applyBorder="1" applyAlignment="1">
      <alignment horizontal="center" vertical="center" wrapText="1"/>
    </xf>
    <xf numFmtId="0" fontId="147" fillId="35" borderId="103" xfId="195" applyFont="1" applyFill="1" applyBorder="1" applyAlignment="1">
      <alignment horizontal="center" vertical="center" wrapText="1"/>
    </xf>
    <xf numFmtId="0" fontId="0" fillId="0" borderId="0" xfId="0" applyAlignment="1">
      <alignment vertical="center" wrapText="1"/>
    </xf>
    <xf numFmtId="0" fontId="119" fillId="0" borderId="105" xfId="195" applyFont="1" applyFill="1" applyBorder="1" applyAlignment="1">
      <alignment horizontal="center" wrapText="1"/>
    </xf>
    <xf numFmtId="0" fontId="119" fillId="0" borderId="106" xfId="195" applyFont="1" applyFill="1" applyBorder="1" applyAlignment="1">
      <alignment horizontal="center" wrapText="1"/>
    </xf>
    <xf numFmtId="0" fontId="119" fillId="0" borderId="108" xfId="195" applyFont="1" applyFill="1" applyBorder="1" applyAlignment="1">
      <alignment horizontal="center" wrapText="1"/>
    </xf>
    <xf numFmtId="0" fontId="119" fillId="0" borderId="109" xfId="195" applyFont="1" applyFill="1" applyBorder="1" applyAlignment="1">
      <alignment horizontal="right" wrapText="1"/>
    </xf>
    <xf numFmtId="0" fontId="119" fillId="0" borderId="110" xfId="195" applyFont="1" applyFill="1" applyBorder="1" applyAlignment="1">
      <alignment horizontal="right" wrapText="1"/>
    </xf>
    <xf numFmtId="0" fontId="119" fillId="0" borderId="106" xfId="195" applyFont="1" applyFill="1" applyBorder="1" applyAlignment="1">
      <alignment horizontal="right" wrapText="1"/>
    </xf>
    <xf numFmtId="0" fontId="119" fillId="0" borderId="111" xfId="195" applyFont="1" applyFill="1" applyBorder="1" applyAlignment="1">
      <alignment horizontal="center" wrapText="1"/>
    </xf>
    <xf numFmtId="0" fontId="119" fillId="0" borderId="112" xfId="195" applyFont="1" applyFill="1" applyBorder="1" applyAlignment="1">
      <alignment horizontal="center" wrapText="1"/>
    </xf>
    <xf numFmtId="0" fontId="119" fillId="0" borderId="113" xfId="195" applyFont="1" applyFill="1" applyBorder="1" applyAlignment="1">
      <alignment horizontal="center" wrapText="1"/>
    </xf>
    <xf numFmtId="0" fontId="119" fillId="0" borderId="114" xfId="195" applyFont="1" applyFill="1" applyBorder="1" applyAlignment="1">
      <alignment horizontal="right" wrapText="1"/>
    </xf>
    <xf numFmtId="0" fontId="119" fillId="0" borderId="115" xfId="195" applyFont="1" applyFill="1" applyBorder="1" applyAlignment="1">
      <alignment horizontal="right" wrapText="1"/>
    </xf>
    <xf numFmtId="0" fontId="119" fillId="0" borderId="112" xfId="195" applyFont="1" applyFill="1" applyBorder="1" applyAlignment="1">
      <alignment horizontal="right" wrapText="1"/>
    </xf>
    <xf numFmtId="0" fontId="119" fillId="0" borderId="128" xfId="195" applyFont="1" applyFill="1" applyBorder="1" applyAlignment="1">
      <alignment horizontal="center" wrapText="1"/>
    </xf>
    <xf numFmtId="0" fontId="119" fillId="0" borderId="129" xfId="195" applyFont="1" applyFill="1" applyBorder="1" applyAlignment="1">
      <alignment horizontal="center" wrapText="1"/>
    </xf>
    <xf numFmtId="0" fontId="119" fillId="0" borderId="131" xfId="195" applyFont="1" applyFill="1" applyBorder="1" applyAlignment="1">
      <alignment horizontal="center" wrapText="1"/>
    </xf>
    <xf numFmtId="0" fontId="119" fillId="0" borderId="132" xfId="195" applyFont="1" applyFill="1" applyBorder="1" applyAlignment="1">
      <alignment horizontal="right" wrapText="1"/>
    </xf>
    <xf numFmtId="0" fontId="119" fillId="0" borderId="133" xfId="195" applyFont="1" applyFill="1" applyBorder="1" applyAlignment="1">
      <alignment horizontal="right" wrapText="1"/>
    </xf>
    <xf numFmtId="0" fontId="119" fillId="0" borderId="129" xfId="195" applyFont="1" applyFill="1" applyBorder="1" applyAlignment="1">
      <alignment horizontal="right" wrapText="1"/>
    </xf>
    <xf numFmtId="0" fontId="119" fillId="0" borderId="116" xfId="195" applyFont="1" applyFill="1" applyBorder="1" applyAlignment="1">
      <alignment horizontal="center" wrapText="1"/>
    </xf>
    <xf numFmtId="0" fontId="119" fillId="0" borderId="117" xfId="195" applyFont="1" applyFill="1" applyBorder="1" applyAlignment="1">
      <alignment horizontal="center" wrapText="1"/>
    </xf>
    <xf numFmtId="0" fontId="119" fillId="0" borderId="119" xfId="195" applyFont="1" applyFill="1" applyBorder="1" applyAlignment="1">
      <alignment horizontal="center" wrapText="1"/>
    </xf>
    <xf numFmtId="0" fontId="119" fillId="0" borderId="120" xfId="195" applyFont="1" applyFill="1" applyBorder="1" applyAlignment="1">
      <alignment horizontal="right" wrapText="1"/>
    </xf>
    <xf numFmtId="0" fontId="119" fillId="0" borderId="121" xfId="195" applyFont="1" applyFill="1" applyBorder="1" applyAlignment="1">
      <alignment horizontal="right" wrapText="1"/>
    </xf>
    <xf numFmtId="0" fontId="119" fillId="0" borderId="117" xfId="195" applyFont="1" applyFill="1" applyBorder="1" applyAlignment="1">
      <alignment horizontal="right" wrapText="1"/>
    </xf>
    <xf numFmtId="173" fontId="119" fillId="0" borderId="110" xfId="195" applyNumberFormat="1" applyFont="1" applyFill="1" applyBorder="1" applyAlignment="1">
      <alignment horizontal="right" wrapText="1"/>
    </xf>
    <xf numFmtId="173" fontId="119" fillId="0" borderId="115" xfId="195" applyNumberFormat="1" applyFont="1" applyFill="1" applyBorder="1" applyAlignment="1">
      <alignment horizontal="right" wrapText="1"/>
    </xf>
    <xf numFmtId="173" fontId="119" fillId="0" borderId="133" xfId="195" applyNumberFormat="1" applyFont="1" applyFill="1" applyBorder="1" applyAlignment="1">
      <alignment horizontal="right" wrapText="1"/>
    </xf>
    <xf numFmtId="173" fontId="119" fillId="0" borderId="121" xfId="195" applyNumberFormat="1" applyFont="1" applyFill="1" applyBorder="1" applyAlignment="1">
      <alignment horizontal="right" wrapText="1"/>
    </xf>
    <xf numFmtId="4" fontId="147" fillId="0" borderId="70" xfId="195" applyNumberFormat="1" applyFont="1" applyFill="1" applyBorder="1" applyAlignment="1">
      <alignment horizontal="right" wrapText="1"/>
    </xf>
    <xf numFmtId="4" fontId="147" fillId="0" borderId="71" xfId="195" applyNumberFormat="1" applyFont="1" applyFill="1" applyBorder="1" applyAlignment="1">
      <alignment horizontal="right" wrapText="1"/>
    </xf>
    <xf numFmtId="4" fontId="147" fillId="0" borderId="39" xfId="195" applyNumberFormat="1" applyFont="1" applyFill="1" applyBorder="1" applyAlignment="1">
      <alignment horizontal="right" wrapText="1"/>
    </xf>
    <xf numFmtId="4" fontId="147" fillId="0" borderId="74" xfId="195" applyNumberFormat="1" applyFont="1" applyFill="1" applyBorder="1" applyAlignment="1">
      <alignment horizontal="right" wrapText="1"/>
    </xf>
    <xf numFmtId="4" fontId="147" fillId="0" borderId="67" xfId="195" applyNumberFormat="1" applyFont="1" applyFill="1" applyBorder="1" applyAlignment="1">
      <alignment horizontal="right" wrapText="1"/>
    </xf>
    <xf numFmtId="4" fontId="147" fillId="0" borderId="75" xfId="195" applyNumberFormat="1" applyFont="1" applyFill="1" applyBorder="1" applyAlignment="1">
      <alignment horizontal="right" wrapText="1"/>
    </xf>
    <xf numFmtId="173" fontId="113" fillId="39" borderId="0" xfId="0" applyNumberFormat="1" applyFont="1" applyFill="1" applyAlignment="1">
      <alignment vertical="center"/>
    </xf>
    <xf numFmtId="0" fontId="35" fillId="41" borderId="0" xfId="0" applyFont="1" applyFill="1" applyAlignment="1">
      <alignment horizontal="center"/>
    </xf>
    <xf numFmtId="169" fontId="10" fillId="0" borderId="12" xfId="0" applyNumberFormat="1" applyFont="1" applyFill="1" applyBorder="1" applyAlignment="1">
      <alignment horizontal="center"/>
    </xf>
    <xf numFmtId="9" fontId="150" fillId="41" borderId="10" xfId="203" applyFont="1" applyFill="1" applyBorder="1" applyAlignment="1">
      <alignment horizontal="center"/>
    </xf>
    <xf numFmtId="179" fontId="13" fillId="0" borderId="38" xfId="203" applyNumberFormat="1" applyFont="1" applyFill="1" applyBorder="1" applyAlignment="1">
      <alignment horizontal="center"/>
    </xf>
    <xf numFmtId="0" fontId="10" fillId="0" borderId="12" xfId="0" applyFont="1" applyFill="1" applyBorder="1" applyAlignment="1">
      <alignment horizontal="center" vertical="center" wrapText="1"/>
    </xf>
    <xf numFmtId="4" fontId="5" fillId="0" borderId="0" xfId="257" applyNumberFormat="1" applyAlignment="1">
      <alignment horizontal="center" vertical="center"/>
    </xf>
    <xf numFmtId="9" fontId="150" fillId="61" borderId="10" xfId="203" applyFont="1" applyFill="1" applyBorder="1" applyAlignment="1">
      <alignment horizontal="center"/>
    </xf>
    <xf numFmtId="4" fontId="41" fillId="0" borderId="20" xfId="184" applyNumberFormat="1" applyFont="1" applyFill="1" applyBorder="1" applyAlignment="1">
      <alignment horizontal="center" vertical="center"/>
    </xf>
    <xf numFmtId="4" fontId="41" fillId="0" borderId="46" xfId="184" applyNumberFormat="1" applyFont="1" applyFill="1" applyBorder="1" applyAlignment="1">
      <alignment horizontal="center" vertical="center"/>
    </xf>
    <xf numFmtId="165" fontId="10" fillId="0" borderId="46" xfId="0" applyNumberFormat="1" applyFont="1" applyFill="1" applyBorder="1" applyAlignment="1">
      <alignment horizontal="center"/>
    </xf>
    <xf numFmtId="0" fontId="0" fillId="0" borderId="0" xfId="0"/>
    <xf numFmtId="0" fontId="106" fillId="39" borderId="0" xfId="0" applyFont="1" applyFill="1"/>
    <xf numFmtId="0" fontId="35" fillId="39" borderId="0" xfId="0" applyFont="1" applyFill="1"/>
    <xf numFmtId="173" fontId="127" fillId="41" borderId="10" xfId="0" applyNumberFormat="1" applyFont="1" applyFill="1" applyBorder="1" applyAlignment="1">
      <alignment horizontal="center"/>
    </xf>
    <xf numFmtId="0" fontId="10" fillId="40" borderId="10" xfId="0" applyFont="1" applyFill="1" applyBorder="1" applyAlignment="1">
      <alignment horizontal="center"/>
    </xf>
    <xf numFmtId="4" fontId="10" fillId="40" borderId="10" xfId="0" applyNumberFormat="1" applyFont="1" applyFill="1" applyBorder="1" applyAlignment="1">
      <alignment horizontal="center"/>
    </xf>
    <xf numFmtId="0" fontId="10" fillId="60" borderId="10" xfId="0" applyFont="1" applyFill="1" applyBorder="1" applyAlignment="1">
      <alignment wrapText="1"/>
    </xf>
    <xf numFmtId="0" fontId="10" fillId="60" borderId="10" xfId="0" applyFont="1" applyFill="1" applyBorder="1" applyAlignment="1">
      <alignment horizontal="center" wrapText="1"/>
    </xf>
    <xf numFmtId="14" fontId="116" fillId="0" borderId="0" xfId="0" applyNumberFormat="1" applyFont="1"/>
    <xf numFmtId="4" fontId="153" fillId="0" borderId="10" xfId="257" applyNumberFormat="1" applyFont="1" applyBorder="1" applyAlignment="1">
      <alignment horizontal="center" vertical="center"/>
    </xf>
    <xf numFmtId="3" fontId="154" fillId="61" borderId="10" xfId="257" applyNumberFormat="1" applyFont="1" applyFill="1" applyBorder="1" applyAlignment="1">
      <alignment horizontal="center" vertical="center"/>
    </xf>
    <xf numFmtId="167" fontId="153" fillId="0" borderId="10" xfId="257" applyNumberFormat="1" applyFont="1" applyBorder="1" applyAlignment="1">
      <alignment horizontal="center" vertical="center"/>
    </xf>
    <xf numFmtId="4" fontId="153" fillId="0" borderId="0" xfId="257" applyNumberFormat="1" applyFont="1" applyAlignment="1">
      <alignment horizontal="center" vertical="center"/>
    </xf>
    <xf numFmtId="3" fontId="153" fillId="0" borderId="10" xfId="257" applyNumberFormat="1" applyFont="1" applyBorder="1" applyAlignment="1">
      <alignment horizontal="center" vertical="center"/>
    </xf>
    <xf numFmtId="164" fontId="12" fillId="41" borderId="10" xfId="0" applyNumberFormat="1" applyFont="1" applyFill="1" applyBorder="1" applyAlignment="1">
      <alignment horizontal="center"/>
    </xf>
    <xf numFmtId="0" fontId="0" fillId="0" borderId="13" xfId="0" applyFill="1" applyBorder="1" applyAlignment="1"/>
    <xf numFmtId="173" fontId="12" fillId="39" borderId="10" xfId="0" applyNumberFormat="1" applyFont="1" applyFill="1" applyBorder="1" applyAlignment="1">
      <alignment horizontal="center"/>
    </xf>
    <xf numFmtId="0" fontId="0" fillId="45" borderId="0" xfId="0" applyFill="1"/>
    <xf numFmtId="173" fontId="38" fillId="39" borderId="10" xfId="0" applyNumberFormat="1" applyFont="1" applyFill="1" applyBorder="1" applyAlignment="1">
      <alignment horizontal="right"/>
    </xf>
    <xf numFmtId="0" fontId="12" fillId="39" borderId="0" xfId="0" applyFont="1" applyFill="1"/>
    <xf numFmtId="169" fontId="35" fillId="0" borderId="0" xfId="0" applyNumberFormat="1" applyFont="1"/>
    <xf numFmtId="0" fontId="0" fillId="0" borderId="0" xfId="0" applyAlignment="1">
      <alignment horizontal="center"/>
    </xf>
    <xf numFmtId="176" fontId="10" fillId="0" borderId="10" xfId="0" applyNumberFormat="1" applyFont="1" applyFill="1" applyBorder="1" applyAlignment="1">
      <alignment horizontal="center"/>
    </xf>
    <xf numFmtId="173" fontId="10" fillId="58" borderId="10" xfId="0" applyNumberFormat="1" applyFont="1" applyFill="1" applyBorder="1" applyAlignment="1">
      <alignment horizontal="center"/>
    </xf>
    <xf numFmtId="173" fontId="9" fillId="58" borderId="10" xfId="0" applyNumberFormat="1" applyFont="1" applyFill="1" applyBorder="1" applyAlignment="1">
      <alignment horizontal="center"/>
    </xf>
    <xf numFmtId="173" fontId="7" fillId="58" borderId="177" xfId="0" applyNumberFormat="1" applyFont="1" applyFill="1" applyBorder="1" applyAlignment="1">
      <alignment horizontal="center"/>
    </xf>
    <xf numFmtId="173" fontId="111" fillId="41" borderId="10" xfId="0" applyNumberFormat="1" applyFont="1" applyFill="1" applyBorder="1" applyAlignment="1">
      <alignment horizontal="center"/>
    </xf>
    <xf numFmtId="2" fontId="35" fillId="0" borderId="0" xfId="0" applyNumberFormat="1" applyFont="1"/>
    <xf numFmtId="173" fontId="38" fillId="41" borderId="28" xfId="0" applyNumberFormat="1" applyFont="1" applyFill="1" applyBorder="1" applyAlignment="1">
      <alignment horizontal="center" vertical="center"/>
    </xf>
    <xf numFmtId="173" fontId="39" fillId="41" borderId="28" xfId="0" applyNumberFormat="1" applyFont="1" applyFill="1" applyBorder="1" applyAlignment="1">
      <alignment horizontal="center" vertical="center"/>
    </xf>
    <xf numFmtId="173" fontId="38" fillId="41" borderId="157" xfId="0" applyNumberFormat="1" applyFont="1" applyFill="1" applyBorder="1" applyAlignment="1">
      <alignment horizontal="center" vertical="center"/>
    </xf>
    <xf numFmtId="173" fontId="55" fillId="42" borderId="0" xfId="0" applyNumberFormat="1" applyFont="1" applyFill="1"/>
    <xf numFmtId="0" fontId="136" fillId="0" borderId="0" xfId="0" applyFont="1"/>
    <xf numFmtId="176" fontId="12" fillId="39" borderId="10" xfId="0" applyNumberFormat="1" applyFont="1" applyFill="1" applyBorder="1" applyAlignment="1">
      <alignment horizontal="center"/>
    </xf>
    <xf numFmtId="2" fontId="38" fillId="41" borderId="10" xfId="0" applyNumberFormat="1" applyFont="1" applyFill="1" applyBorder="1" applyAlignment="1">
      <alignment horizontal="center" vertical="center"/>
    </xf>
    <xf numFmtId="2" fontId="10" fillId="61" borderId="10" xfId="0" applyNumberFormat="1" applyFont="1" applyFill="1" applyBorder="1" applyAlignment="1">
      <alignment horizontal="center"/>
    </xf>
    <xf numFmtId="0" fontId="10" fillId="61" borderId="10" xfId="0" applyFont="1" applyFill="1" applyBorder="1" applyAlignment="1">
      <alignment horizontal="center"/>
    </xf>
    <xf numFmtId="176" fontId="10" fillId="39" borderId="10" xfId="0" applyNumberFormat="1" applyFont="1" applyFill="1" applyBorder="1" applyAlignment="1">
      <alignment horizontal="center"/>
    </xf>
    <xf numFmtId="2" fontId="127" fillId="26" borderId="10" xfId="0" applyNumberFormat="1" applyFont="1" applyFill="1" applyBorder="1" applyAlignment="1">
      <alignment horizontal="center"/>
    </xf>
    <xf numFmtId="2" fontId="150" fillId="39" borderId="10" xfId="0" applyNumberFormat="1" applyFont="1" applyFill="1" applyBorder="1" applyAlignment="1">
      <alignment horizontal="center"/>
    </xf>
    <xf numFmtId="173" fontId="12" fillId="26" borderId="10" xfId="0" applyNumberFormat="1" applyFont="1" applyFill="1" applyBorder="1" applyAlignment="1">
      <alignment horizontal="center"/>
    </xf>
    <xf numFmtId="0" fontId="9" fillId="39" borderId="0" xfId="0" applyFont="1" applyFill="1" applyAlignment="1">
      <alignment horizontal="center"/>
    </xf>
    <xf numFmtId="2" fontId="111" fillId="0" borderId="10" xfId="0" applyNumberFormat="1" applyFont="1" applyBorder="1" applyAlignment="1">
      <alignment horizontal="center"/>
    </xf>
    <xf numFmtId="2" fontId="127" fillId="26" borderId="10" xfId="0" applyNumberFormat="1" applyFont="1" applyFill="1" applyBorder="1"/>
    <xf numFmtId="173" fontId="7" fillId="41" borderId="0" xfId="0" applyNumberFormat="1" applyFont="1" applyFill="1"/>
    <xf numFmtId="2" fontId="0" fillId="39" borderId="0" xfId="0" applyNumberFormat="1" applyFill="1"/>
    <xf numFmtId="2" fontId="0" fillId="41" borderId="0" xfId="0" applyNumberFormat="1" applyFill="1"/>
    <xf numFmtId="0" fontId="0" fillId="41" borderId="0" xfId="0" applyFill="1"/>
    <xf numFmtId="0" fontId="16" fillId="39" borderId="0" xfId="0" applyFont="1" applyFill="1"/>
    <xf numFmtId="187" fontId="38" fillId="0" borderId="0" xfId="0" applyNumberFormat="1" applyFont="1" applyAlignment="1">
      <alignment horizontal="center"/>
    </xf>
    <xf numFmtId="2" fontId="127" fillId="26" borderId="10" xfId="0" applyNumberFormat="1" applyFont="1" applyFill="1" applyBorder="1" applyAlignment="1">
      <alignment horizontal="right"/>
    </xf>
    <xf numFmtId="169" fontId="16" fillId="39" borderId="0" xfId="0" applyNumberFormat="1" applyFont="1" applyFill="1"/>
    <xf numFmtId="173" fontId="55" fillId="39" borderId="0" xfId="0" applyNumberFormat="1" applyFont="1" applyFill="1" applyAlignment="1">
      <alignment horizontal="center"/>
    </xf>
    <xf numFmtId="2" fontId="127" fillId="41" borderId="10" xfId="0" applyNumberFormat="1" applyFont="1" applyFill="1" applyBorder="1" applyAlignment="1">
      <alignment horizontal="center"/>
    </xf>
    <xf numFmtId="0" fontId="0" fillId="0" borderId="0" xfId="0"/>
    <xf numFmtId="2" fontId="111" fillId="41" borderId="10" xfId="0" applyNumberFormat="1" applyFont="1" applyFill="1" applyBorder="1" applyAlignment="1">
      <alignment horizontal="center" vertical="center"/>
    </xf>
    <xf numFmtId="173" fontId="12" fillId="0" borderId="10" xfId="0" applyNumberFormat="1" applyFont="1" applyFill="1" applyBorder="1" applyAlignment="1">
      <alignment horizontal="center"/>
    </xf>
    <xf numFmtId="2" fontId="35" fillId="39" borderId="0" xfId="0" applyNumberFormat="1" applyFont="1" applyFill="1"/>
    <xf numFmtId="4" fontId="10" fillId="42" borderId="10" xfId="0" applyNumberFormat="1" applyFont="1" applyFill="1" applyBorder="1" applyAlignment="1">
      <alignment horizontal="center" vertical="center"/>
    </xf>
    <xf numFmtId="169" fontId="127" fillId="39" borderId="10" xfId="0" applyNumberFormat="1" applyFont="1" applyFill="1" applyBorder="1" applyAlignment="1">
      <alignment horizontal="center" vertical="center"/>
    </xf>
    <xf numFmtId="173" fontId="10" fillId="42" borderId="10" xfId="0" applyNumberFormat="1" applyFont="1" applyFill="1" applyBorder="1" applyAlignment="1">
      <alignment horizontal="center" vertical="center"/>
    </xf>
    <xf numFmtId="2" fontId="10" fillId="42" borderId="10" xfId="0" applyNumberFormat="1" applyFont="1" applyFill="1" applyBorder="1" applyAlignment="1">
      <alignment horizontal="center" vertical="center"/>
    </xf>
    <xf numFmtId="0" fontId="12" fillId="45" borderId="10" xfId="0" applyFont="1" applyFill="1" applyBorder="1" applyAlignment="1">
      <alignment wrapText="1"/>
    </xf>
    <xf numFmtId="0" fontId="12" fillId="45" borderId="10" xfId="0" applyFont="1" applyFill="1" applyBorder="1" applyAlignment="1">
      <alignment horizontal="center" wrapText="1"/>
    </xf>
    <xf numFmtId="173" fontId="12" fillId="45" borderId="10" xfId="0" applyNumberFormat="1" applyFont="1" applyFill="1" applyBorder="1" applyAlignment="1">
      <alignment horizontal="center" vertical="center"/>
    </xf>
    <xf numFmtId="1" fontId="12" fillId="45" borderId="10" xfId="0" applyNumberFormat="1" applyFont="1" applyFill="1" applyBorder="1" applyAlignment="1">
      <alignment horizontal="center" vertical="center"/>
    </xf>
    <xf numFmtId="173" fontId="12" fillId="45" borderId="10" xfId="0" applyNumberFormat="1" applyFont="1" applyFill="1" applyBorder="1" applyAlignment="1">
      <alignment horizontal="center"/>
    </xf>
    <xf numFmtId="9" fontId="150" fillId="45" borderId="10" xfId="203" applyFont="1" applyFill="1" applyBorder="1" applyAlignment="1">
      <alignment horizontal="center"/>
    </xf>
    <xf numFmtId="0" fontId="40" fillId="45" borderId="10" xfId="0" applyFont="1" applyFill="1" applyBorder="1" applyAlignment="1">
      <alignment horizontal="center"/>
    </xf>
    <xf numFmtId="173" fontId="0" fillId="45" borderId="0" xfId="0" applyNumberFormat="1" applyFill="1"/>
    <xf numFmtId="0" fontId="7" fillId="45" borderId="0" xfId="0" applyFont="1" applyFill="1"/>
    <xf numFmtId="0" fontId="0" fillId="0" borderId="0" xfId="0"/>
    <xf numFmtId="2" fontId="35" fillId="49" borderId="0" xfId="0" applyNumberFormat="1" applyFont="1" applyFill="1"/>
    <xf numFmtId="173" fontId="127" fillId="47" borderId="10" xfId="0" applyNumberFormat="1" applyFont="1" applyFill="1" applyBorder="1" applyAlignment="1">
      <alignment horizontal="right"/>
    </xf>
    <xf numFmtId="0" fontId="112" fillId="41" borderId="10" xfId="0" applyFont="1" applyFill="1" applyBorder="1" applyAlignment="1">
      <alignment horizontal="center"/>
    </xf>
    <xf numFmtId="0" fontId="39" fillId="41" borderId="10" xfId="0" applyFont="1" applyFill="1" applyBorder="1" applyAlignment="1">
      <alignment horizontal="center"/>
    </xf>
    <xf numFmtId="0" fontId="0" fillId="0" borderId="0" xfId="0"/>
    <xf numFmtId="2" fontId="9" fillId="55" borderId="0" xfId="0" applyNumberFormat="1" applyFont="1" applyFill="1" applyBorder="1" applyAlignment="1">
      <alignment horizontal="center"/>
    </xf>
    <xf numFmtId="2" fontId="10" fillId="55" borderId="0" xfId="0" applyNumberFormat="1" applyFont="1" applyFill="1" applyBorder="1" applyAlignment="1">
      <alignment horizontal="right"/>
    </xf>
    <xf numFmtId="0" fontId="10" fillId="55" borderId="11" xfId="0" applyFont="1" applyFill="1" applyBorder="1" applyAlignment="1">
      <alignment horizontal="center" vertical="center"/>
    </xf>
    <xf numFmtId="0" fontId="10" fillId="55" borderId="178" xfId="0" applyFont="1" applyFill="1" applyBorder="1" applyAlignment="1">
      <alignment horizontal="center" vertical="center"/>
    </xf>
    <xf numFmtId="3" fontId="10" fillId="55" borderId="178" xfId="0" applyNumberFormat="1" applyFont="1" applyFill="1" applyBorder="1" applyAlignment="1">
      <alignment horizontal="center"/>
    </xf>
    <xf numFmtId="3" fontId="10" fillId="55" borderId="178" xfId="0" applyNumberFormat="1" applyFont="1" applyFill="1" applyBorder="1" applyAlignment="1">
      <alignment horizontal="center" vertical="center"/>
    </xf>
    <xf numFmtId="178" fontId="10" fillId="55" borderId="31" xfId="0" applyNumberFormat="1" applyFont="1" applyFill="1" applyBorder="1" applyAlignment="1"/>
    <xf numFmtId="0" fontId="0" fillId="41" borderId="0" xfId="0" applyFill="1"/>
    <xf numFmtId="0" fontId="0" fillId="0" borderId="0" xfId="0"/>
    <xf numFmtId="164" fontId="12" fillId="39" borderId="10" xfId="0" applyNumberFormat="1" applyFont="1" applyFill="1" applyBorder="1" applyAlignment="1">
      <alignment horizontal="center"/>
    </xf>
    <xf numFmtId="2" fontId="12" fillId="39" borderId="10" xfId="0" applyNumberFormat="1" applyFont="1" applyFill="1" applyBorder="1" applyAlignment="1">
      <alignment horizontal="center" vertical="center"/>
    </xf>
    <xf numFmtId="2" fontId="0" fillId="39" borderId="0" xfId="0" applyNumberFormat="1" applyFill="1" applyAlignment="1">
      <alignment horizontal="center"/>
    </xf>
    <xf numFmtId="167" fontId="9" fillId="65" borderId="13" xfId="0" applyNumberFormat="1" applyFont="1" applyFill="1" applyBorder="1" applyAlignment="1">
      <alignment horizontal="center" vertical="center"/>
    </xf>
    <xf numFmtId="2" fontId="9" fillId="65" borderId="13" xfId="0" applyNumberFormat="1" applyFont="1" applyFill="1" applyBorder="1" applyAlignment="1">
      <alignment horizontal="center" vertical="center"/>
    </xf>
    <xf numFmtId="3" fontId="9" fillId="65" borderId="13" xfId="0" applyNumberFormat="1" applyFont="1" applyFill="1" applyBorder="1" applyAlignment="1">
      <alignment horizontal="center" vertical="center"/>
    </xf>
    <xf numFmtId="3" fontId="9" fillId="65" borderId="13" xfId="0" applyNumberFormat="1" applyFont="1" applyFill="1" applyBorder="1" applyAlignment="1">
      <alignment horizontal="center" vertical="center" wrapText="1"/>
    </xf>
    <xf numFmtId="167" fontId="9" fillId="42" borderId="13" xfId="0" applyNumberFormat="1" applyFont="1" applyFill="1" applyBorder="1" applyAlignment="1">
      <alignment horizontal="center" vertical="center"/>
    </xf>
    <xf numFmtId="2" fontId="9" fillId="42" borderId="13" xfId="0" applyNumberFormat="1" applyFont="1" applyFill="1" applyBorder="1" applyAlignment="1">
      <alignment horizontal="center" vertical="center"/>
    </xf>
    <xf numFmtId="3" fontId="9" fillId="42" borderId="13" xfId="0" applyNumberFormat="1" applyFont="1" applyFill="1" applyBorder="1" applyAlignment="1">
      <alignment horizontal="center" vertical="center"/>
    </xf>
    <xf numFmtId="3" fontId="9" fillId="42" borderId="13" xfId="0" applyNumberFormat="1" applyFont="1" applyFill="1" applyBorder="1" applyAlignment="1">
      <alignment horizontal="center" vertical="center" wrapText="1"/>
    </xf>
    <xf numFmtId="0" fontId="0" fillId="0" borderId="0" xfId="0"/>
    <xf numFmtId="173" fontId="7" fillId="0" borderId="10" xfId="0" applyNumberFormat="1" applyFont="1" applyBorder="1" applyAlignment="1">
      <alignment horizontal="right"/>
    </xf>
    <xf numFmtId="173" fontId="7" fillId="0" borderId="10" xfId="0" applyNumberFormat="1" applyFont="1" applyBorder="1" applyAlignment="1">
      <alignment horizontal="center"/>
    </xf>
    <xf numFmtId="173" fontId="38" fillId="0" borderId="15" xfId="0" applyNumberFormat="1" applyFont="1" applyBorder="1" applyAlignment="1">
      <alignment horizontal="center"/>
    </xf>
    <xf numFmtId="3" fontId="9" fillId="25" borderId="10" xfId="0" applyNumberFormat="1" applyFont="1" applyFill="1" applyBorder="1" applyAlignment="1">
      <alignment horizontal="center" vertical="center" wrapText="1"/>
    </xf>
    <xf numFmtId="0" fontId="0" fillId="0" borderId="0" xfId="0"/>
    <xf numFmtId="0" fontId="7" fillId="0" borderId="0" xfId="0" applyFont="1" applyBorder="1" applyAlignment="1">
      <alignment horizontal="center"/>
    </xf>
    <xf numFmtId="0" fontId="16" fillId="41" borderId="0" xfId="0" applyFont="1" applyFill="1" applyBorder="1" applyAlignment="1">
      <alignment horizontal="center"/>
    </xf>
    <xf numFmtId="0" fontId="16" fillId="0" borderId="0" xfId="0" applyFont="1" applyBorder="1" applyAlignment="1">
      <alignment horizontal="center"/>
    </xf>
    <xf numFmtId="0" fontId="52" fillId="41" borderId="37" xfId="0" applyFont="1" applyFill="1" applyBorder="1" applyAlignment="1">
      <alignment horizontal="center" wrapText="1"/>
    </xf>
    <xf numFmtId="179" fontId="44" fillId="0" borderId="0" xfId="0" applyNumberFormat="1" applyFont="1" applyFill="1" applyBorder="1" applyAlignment="1">
      <alignment horizontal="center"/>
    </xf>
    <xf numFmtId="0" fontId="12" fillId="41" borderId="36" xfId="0" applyFont="1" applyFill="1" applyBorder="1" applyAlignment="1">
      <alignment horizontal="center" wrapText="1"/>
    </xf>
    <xf numFmtId="0" fontId="12" fillId="41" borderId="48" xfId="0" applyFont="1" applyFill="1" applyBorder="1" applyAlignment="1">
      <alignment horizontal="center" wrapText="1"/>
    </xf>
    <xf numFmtId="0" fontId="16" fillId="0" borderId="11" xfId="0" applyFont="1" applyBorder="1" applyAlignment="1"/>
    <xf numFmtId="0" fontId="16" fillId="0" borderId="19" xfId="0" applyFont="1" applyBorder="1" applyAlignment="1"/>
    <xf numFmtId="0" fontId="16" fillId="0" borderId="31" xfId="0" applyFont="1" applyBorder="1" applyAlignment="1"/>
    <xf numFmtId="0" fontId="12" fillId="41" borderId="33" xfId="0" applyFont="1" applyFill="1" applyBorder="1" applyAlignment="1">
      <alignment horizontal="center" vertical="center" wrapText="1"/>
    </xf>
    <xf numFmtId="0" fontId="12" fillId="41" borderId="44" xfId="0" applyFont="1" applyFill="1" applyBorder="1" applyAlignment="1">
      <alignment horizontal="center" wrapText="1"/>
    </xf>
    <xf numFmtId="0" fontId="12" fillId="41" borderId="46" xfId="0" applyFont="1" applyFill="1" applyBorder="1" applyAlignment="1">
      <alignment horizontal="center" vertical="center" wrapText="1"/>
    </xf>
    <xf numFmtId="0" fontId="52" fillId="41" borderId="100" xfId="0" applyFont="1" applyFill="1" applyBorder="1" applyAlignment="1">
      <alignment horizontal="center" wrapText="1"/>
    </xf>
    <xf numFmtId="0" fontId="46" fillId="0" borderId="34" xfId="0" applyNumberFormat="1" applyFont="1" applyFill="1" applyBorder="1" applyAlignment="1">
      <alignment horizontal="center"/>
    </xf>
    <xf numFmtId="0" fontId="46" fillId="0" borderId="35" xfId="0" applyNumberFormat="1" applyFont="1" applyFill="1" applyBorder="1" applyAlignment="1">
      <alignment horizontal="center"/>
    </xf>
    <xf numFmtId="0" fontId="46" fillId="0" borderId="47" xfId="0" applyNumberFormat="1" applyFont="1" applyFill="1" applyBorder="1" applyAlignment="1">
      <alignment horizontal="center"/>
    </xf>
    <xf numFmtId="0" fontId="14" fillId="51" borderId="37" xfId="0" applyFont="1" applyFill="1" applyBorder="1" applyAlignment="1">
      <alignment horizontal="center"/>
    </xf>
    <xf numFmtId="0" fontId="14" fillId="51" borderId="33" xfId="0" applyFont="1" applyFill="1" applyBorder="1" applyAlignment="1">
      <alignment horizontal="center"/>
    </xf>
    <xf numFmtId="0" fontId="14" fillId="0" borderId="16" xfId="0" applyFont="1" applyFill="1" applyBorder="1" applyAlignment="1">
      <alignment horizontal="center"/>
    </xf>
    <xf numFmtId="0" fontId="158" fillId="41" borderId="10" xfId="0" applyFont="1" applyFill="1" applyBorder="1" applyAlignment="1">
      <alignment horizontal="center"/>
    </xf>
    <xf numFmtId="0" fontId="158" fillId="41" borderId="10" xfId="0" applyFont="1" applyFill="1" applyBorder="1" applyAlignment="1">
      <alignment horizontal="center" vertical="center" wrapText="1"/>
    </xf>
    <xf numFmtId="0" fontId="158" fillId="41" borderId="13" xfId="0" applyFont="1" applyFill="1" applyBorder="1" applyAlignment="1">
      <alignment horizontal="center" vertical="center" wrapText="1"/>
    </xf>
    <xf numFmtId="0" fontId="159" fillId="60" borderId="27" xfId="0" applyFont="1" applyFill="1" applyBorder="1"/>
    <xf numFmtId="0" fontId="160" fillId="51" borderId="52" xfId="0" applyFont="1" applyFill="1" applyBorder="1"/>
    <xf numFmtId="4" fontId="159" fillId="51" borderId="54" xfId="0" applyNumberFormat="1" applyFont="1" applyFill="1" applyBorder="1" applyAlignment="1">
      <alignment horizontal="right"/>
    </xf>
    <xf numFmtId="4" fontId="14" fillId="0" borderId="16" xfId="0" applyNumberFormat="1" applyFont="1" applyFill="1" applyBorder="1" applyAlignment="1">
      <alignment horizontal="center" vertical="center"/>
    </xf>
    <xf numFmtId="0" fontId="15" fillId="39" borderId="0" xfId="0" applyFont="1" applyFill="1"/>
    <xf numFmtId="0" fontId="0" fillId="0" borderId="0" xfId="0"/>
    <xf numFmtId="0" fontId="0" fillId="41" borderId="0" xfId="0" applyFill="1"/>
    <xf numFmtId="0" fontId="10" fillId="41" borderId="0" xfId="0" applyFont="1" applyFill="1" applyBorder="1" applyAlignment="1">
      <alignment wrapText="1"/>
    </xf>
    <xf numFmtId="0" fontId="0" fillId="0" borderId="0" xfId="0"/>
    <xf numFmtId="3" fontId="9" fillId="42" borderId="10" xfId="0" applyNumberFormat="1" applyFont="1" applyFill="1" applyBorder="1" applyAlignment="1">
      <alignment horizontal="center" vertical="center"/>
    </xf>
    <xf numFmtId="0" fontId="7" fillId="0" borderId="0" xfId="0" applyFont="1"/>
    <xf numFmtId="0" fontId="38" fillId="0" borderId="0" xfId="0" applyFont="1"/>
    <xf numFmtId="0" fontId="0" fillId="0" borderId="0" xfId="0"/>
    <xf numFmtId="0" fontId="7" fillId="0" borderId="17" xfId="0" applyFont="1" applyBorder="1"/>
    <xf numFmtId="0" fontId="14" fillId="68" borderId="52" xfId="0" applyFont="1" applyFill="1" applyBorder="1" applyAlignment="1">
      <alignment horizontal="center"/>
    </xf>
    <xf numFmtId="0" fontId="14" fillId="69" borderId="54" xfId="0" applyFont="1" applyFill="1" applyBorder="1" applyAlignment="1">
      <alignment horizontal="center"/>
    </xf>
    <xf numFmtId="3" fontId="14" fillId="69" borderId="54" xfId="0" applyNumberFormat="1" applyFont="1" applyFill="1" applyBorder="1" applyAlignment="1">
      <alignment horizontal="center" vertical="center"/>
    </xf>
    <xf numFmtId="0" fontId="14" fillId="69" borderId="182" xfId="0" applyFont="1" applyFill="1" applyBorder="1" applyAlignment="1">
      <alignment horizontal="center"/>
    </xf>
    <xf numFmtId="3" fontId="14" fillId="69" borderId="55" xfId="0" applyNumberFormat="1" applyFont="1" applyFill="1" applyBorder="1" applyAlignment="1">
      <alignment horizontal="center" vertical="center"/>
    </xf>
    <xf numFmtId="0" fontId="12" fillId="41" borderId="16" xfId="0" applyFont="1" applyFill="1" applyBorder="1" applyAlignment="1">
      <alignment horizontal="center"/>
    </xf>
    <xf numFmtId="173" fontId="12" fillId="41" borderId="17" xfId="0" applyNumberFormat="1" applyFont="1" applyFill="1" applyBorder="1" applyAlignment="1">
      <alignment horizontal="center" vertical="center"/>
    </xf>
    <xf numFmtId="173" fontId="12" fillId="41" borderId="87" xfId="0" applyNumberFormat="1" applyFont="1" applyFill="1" applyBorder="1" applyAlignment="1">
      <alignment horizontal="center" vertical="center"/>
    </xf>
    <xf numFmtId="4" fontId="12" fillId="41" borderId="63" xfId="0" applyNumberFormat="1" applyFont="1" applyFill="1" applyBorder="1" applyAlignment="1">
      <alignment horizontal="center"/>
    </xf>
    <xf numFmtId="4" fontId="12" fillId="41" borderId="92" xfId="0" applyNumberFormat="1" applyFont="1" applyFill="1" applyBorder="1" applyAlignment="1">
      <alignment horizontal="center"/>
    </xf>
    <xf numFmtId="9" fontId="12" fillId="41" borderId="63" xfId="203" applyFont="1" applyFill="1" applyBorder="1" applyAlignment="1">
      <alignment horizontal="center"/>
    </xf>
    <xf numFmtId="179" fontId="44" fillId="0" borderId="45" xfId="0" applyNumberFormat="1" applyFont="1" applyFill="1" applyBorder="1" applyAlignment="1">
      <alignment horizontal="center"/>
    </xf>
    <xf numFmtId="3" fontId="14" fillId="25" borderId="41" xfId="0" applyNumberFormat="1" applyFont="1" applyFill="1" applyBorder="1" applyAlignment="1">
      <alignment horizontal="left" vertical="center"/>
    </xf>
    <xf numFmtId="0" fontId="52" fillId="39" borderId="41" xfId="0" applyNumberFormat="1" applyFont="1" applyFill="1" applyBorder="1" applyAlignment="1">
      <alignment horizontal="center"/>
    </xf>
    <xf numFmtId="0" fontId="52" fillId="0" borderId="41" xfId="0" applyNumberFormat="1" applyFont="1" applyFill="1" applyBorder="1" applyAlignment="1">
      <alignment horizontal="center"/>
    </xf>
    <xf numFmtId="179" fontId="44" fillId="0" borderId="64" xfId="0" applyNumberFormat="1" applyFont="1" applyFill="1" applyBorder="1" applyAlignment="1">
      <alignment horizontal="center"/>
    </xf>
    <xf numFmtId="4" fontId="159" fillId="0" borderId="44" xfId="0" applyNumberFormat="1" applyFont="1" applyFill="1" applyBorder="1" applyAlignment="1">
      <alignment horizontal="right" vertical="center"/>
    </xf>
    <xf numFmtId="4" fontId="159" fillId="0" borderId="46" xfId="0" applyNumberFormat="1" applyFont="1" applyFill="1" applyBorder="1" applyAlignment="1">
      <alignment horizontal="right" vertical="center"/>
    </xf>
    <xf numFmtId="173" fontId="12" fillId="41" borderId="12" xfId="0" applyNumberFormat="1" applyFont="1" applyFill="1" applyBorder="1" applyAlignment="1">
      <alignment horizontal="center" vertical="center"/>
    </xf>
    <xf numFmtId="173" fontId="12" fillId="41" borderId="83" xfId="0" applyNumberFormat="1" applyFont="1" applyFill="1" applyBorder="1" applyAlignment="1">
      <alignment horizontal="center" vertical="center"/>
    </xf>
    <xf numFmtId="4" fontId="12" fillId="41" borderId="80" xfId="0" applyNumberFormat="1" applyFont="1" applyFill="1" applyBorder="1" applyAlignment="1">
      <alignment horizontal="center"/>
    </xf>
    <xf numFmtId="4" fontId="12" fillId="41" borderId="93" xfId="0" applyNumberFormat="1" applyFont="1" applyFill="1" applyBorder="1" applyAlignment="1">
      <alignment horizontal="center"/>
    </xf>
    <xf numFmtId="9" fontId="12" fillId="41" borderId="80" xfId="203" applyFont="1" applyFill="1" applyBorder="1" applyAlignment="1">
      <alignment horizontal="center"/>
    </xf>
    <xf numFmtId="179" fontId="44" fillId="0" borderId="139" xfId="0" applyNumberFormat="1" applyFont="1" applyFill="1" applyBorder="1" applyAlignment="1">
      <alignment horizontal="center"/>
    </xf>
    <xf numFmtId="181" fontId="161" fillId="0" borderId="16" xfId="157" applyNumberFormat="1" applyFont="1" applyBorder="1"/>
    <xf numFmtId="173" fontId="12" fillId="41" borderId="11" xfId="0" applyNumberFormat="1" applyFont="1" applyFill="1" applyBorder="1" applyAlignment="1">
      <alignment horizontal="center" vertical="center"/>
    </xf>
    <xf numFmtId="173" fontId="12" fillId="41" borderId="58" xfId="0" applyNumberFormat="1" applyFont="1" applyFill="1" applyBorder="1" applyAlignment="1">
      <alignment horizontal="center" vertical="center"/>
    </xf>
    <xf numFmtId="4" fontId="12" fillId="41" borderId="64" xfId="0" applyNumberFormat="1" applyFont="1" applyFill="1" applyBorder="1" applyAlignment="1">
      <alignment horizontal="center"/>
    </xf>
    <xf numFmtId="4" fontId="12" fillId="41" borderId="75" xfId="0" applyNumberFormat="1" applyFont="1" applyFill="1" applyBorder="1" applyAlignment="1">
      <alignment horizontal="center"/>
    </xf>
    <xf numFmtId="9" fontId="12" fillId="41" borderId="64" xfId="203" applyFont="1" applyFill="1" applyBorder="1" applyAlignment="1">
      <alignment horizontal="center"/>
    </xf>
    <xf numFmtId="181" fontId="161" fillId="0" borderId="10" xfId="157" applyNumberFormat="1" applyFont="1" applyBorder="1"/>
    <xf numFmtId="173" fontId="12" fillId="41" borderId="33" xfId="0" applyNumberFormat="1" applyFont="1" applyFill="1" applyBorder="1" applyAlignment="1">
      <alignment horizontal="center" vertical="center"/>
    </xf>
    <xf numFmtId="173" fontId="12" fillId="41" borderId="63" xfId="0" applyNumberFormat="1" applyFont="1" applyFill="1" applyBorder="1" applyAlignment="1">
      <alignment horizontal="center" vertical="center"/>
    </xf>
    <xf numFmtId="173" fontId="12" fillId="41" borderId="80" xfId="0" applyNumberFormat="1" applyFont="1" applyFill="1" applyBorder="1" applyAlignment="1">
      <alignment horizontal="center" vertical="center"/>
    </xf>
    <xf numFmtId="4" fontId="12" fillId="41" borderId="62" xfId="0" applyNumberFormat="1" applyFont="1" applyFill="1" applyBorder="1" applyAlignment="1">
      <alignment horizontal="center"/>
    </xf>
    <xf numFmtId="181" fontId="161" fillId="0" borderId="13" xfId="157" applyNumberFormat="1" applyFont="1" applyBorder="1"/>
    <xf numFmtId="173" fontId="12" fillId="41" borderId="46" xfId="0" applyNumberFormat="1" applyFont="1" applyFill="1" applyBorder="1" applyAlignment="1">
      <alignment horizontal="center" vertical="center"/>
    </xf>
    <xf numFmtId="173" fontId="12" fillId="41" borderId="64" xfId="0" applyNumberFormat="1" applyFont="1" applyFill="1" applyBorder="1" applyAlignment="1">
      <alignment horizontal="center" vertical="center"/>
    </xf>
    <xf numFmtId="4" fontId="12" fillId="41" borderId="76" xfId="0" applyNumberFormat="1" applyFont="1" applyFill="1" applyBorder="1" applyAlignment="1">
      <alignment horizontal="center"/>
    </xf>
    <xf numFmtId="4" fontId="159" fillId="60" borderId="54" xfId="0" applyNumberFormat="1" applyFont="1" applyFill="1" applyBorder="1" applyAlignment="1">
      <alignment horizontal="right"/>
    </xf>
    <xf numFmtId="0" fontId="162" fillId="55" borderId="10" xfId="0" applyFont="1" applyFill="1" applyBorder="1" applyAlignment="1">
      <alignment horizontal="left"/>
    </xf>
    <xf numFmtId="9" fontId="162" fillId="55" borderId="10" xfId="211" applyFont="1" applyFill="1" applyBorder="1" applyAlignment="1">
      <alignment horizontal="center"/>
    </xf>
    <xf numFmtId="173" fontId="12" fillId="41" borderId="16" xfId="0" applyNumberFormat="1" applyFont="1" applyFill="1" applyBorder="1" applyAlignment="1">
      <alignment horizontal="center" vertical="center"/>
    </xf>
    <xf numFmtId="0" fontId="46" fillId="0" borderId="92" xfId="0" applyNumberFormat="1" applyFont="1" applyFill="1" applyBorder="1" applyAlignment="1">
      <alignment horizontal="center"/>
    </xf>
    <xf numFmtId="0" fontId="46" fillId="0" borderId="98" xfId="0" applyNumberFormat="1" applyFont="1" applyFill="1" applyBorder="1" applyAlignment="1">
      <alignment horizontal="center"/>
    </xf>
    <xf numFmtId="0" fontId="46" fillId="0" borderId="68" xfId="0" applyNumberFormat="1" applyFont="1" applyFill="1" applyBorder="1" applyAlignment="1">
      <alignment horizontal="center"/>
    </xf>
    <xf numFmtId="43" fontId="14" fillId="0" borderId="16" xfId="157" applyNumberFormat="1" applyFont="1" applyFill="1" applyBorder="1" applyAlignment="1">
      <alignment horizontal="center"/>
    </xf>
    <xf numFmtId="43" fontId="12" fillId="0" borderId="0" xfId="157" applyNumberFormat="1" applyFont="1" applyFill="1" applyBorder="1" applyAlignment="1">
      <alignment horizontal="center"/>
    </xf>
    <xf numFmtId="0" fontId="14" fillId="70" borderId="52" xfId="0" applyFont="1" applyFill="1" applyBorder="1" applyAlignment="1">
      <alignment horizontal="center"/>
    </xf>
    <xf numFmtId="0" fontId="14" fillId="62" borderId="54" xfId="0" applyFont="1" applyFill="1" applyBorder="1" applyAlignment="1">
      <alignment horizontal="center"/>
    </xf>
    <xf numFmtId="3" fontId="14" fillId="62" borderId="54" xfId="0" applyNumberFormat="1" applyFont="1" applyFill="1" applyBorder="1" applyAlignment="1">
      <alignment horizontal="center" vertical="center"/>
    </xf>
    <xf numFmtId="3" fontId="14" fillId="62" borderId="55" xfId="0" applyNumberFormat="1" applyFont="1" applyFill="1" applyBorder="1" applyAlignment="1">
      <alignment horizontal="center" vertical="center"/>
    </xf>
    <xf numFmtId="173" fontId="12" fillId="41" borderId="62" xfId="0" applyNumberFormat="1" applyFont="1" applyFill="1" applyBorder="1" applyAlignment="1">
      <alignment horizontal="center" vertical="center"/>
    </xf>
    <xf numFmtId="0" fontId="52" fillId="41" borderId="16" xfId="0" applyFont="1" applyFill="1" applyBorder="1" applyAlignment="1">
      <alignment horizontal="center" vertical="center" wrapText="1"/>
    </xf>
    <xf numFmtId="0" fontId="14" fillId="71" borderId="52" xfId="0" applyFont="1" applyFill="1" applyBorder="1" applyAlignment="1">
      <alignment horizontal="center"/>
    </xf>
    <xf numFmtId="0" fontId="14" fillId="55" borderId="54" xfId="0" applyFont="1" applyFill="1" applyBorder="1" applyAlignment="1">
      <alignment horizontal="center"/>
    </xf>
    <xf numFmtId="3" fontId="14" fillId="55" borderId="54" xfId="0" applyNumberFormat="1" applyFont="1" applyFill="1" applyBorder="1" applyAlignment="1">
      <alignment horizontal="center" vertical="center"/>
    </xf>
    <xf numFmtId="3" fontId="14" fillId="55" borderId="55" xfId="0" applyNumberFormat="1" applyFont="1" applyFill="1" applyBorder="1" applyAlignment="1">
      <alignment horizontal="center" vertical="center"/>
    </xf>
    <xf numFmtId="0" fontId="53" fillId="51" borderId="27" xfId="0" applyFont="1" applyFill="1" applyBorder="1"/>
    <xf numFmtId="0" fontId="53" fillId="51" borderId="21" xfId="0" applyFont="1" applyFill="1" applyBorder="1"/>
    <xf numFmtId="0" fontId="53" fillId="51" borderId="22" xfId="0" applyFont="1" applyFill="1" applyBorder="1"/>
    <xf numFmtId="0" fontId="38" fillId="72" borderId="18" xfId="0" applyFont="1" applyFill="1" applyBorder="1"/>
    <xf numFmtId="0" fontId="39" fillId="72" borderId="18" xfId="0" applyFont="1" applyFill="1" applyBorder="1" applyAlignment="1">
      <alignment horizontal="right"/>
    </xf>
    <xf numFmtId="43" fontId="59" fillId="0" borderId="10" xfId="157" applyFont="1" applyFill="1" applyBorder="1" applyAlignment="1">
      <alignment horizontal="center"/>
    </xf>
    <xf numFmtId="3" fontId="59" fillId="41" borderId="10" xfId="0" applyNumberFormat="1" applyFont="1" applyFill="1" applyBorder="1" applyAlignment="1">
      <alignment horizontal="right"/>
    </xf>
    <xf numFmtId="43" fontId="59" fillId="0" borderId="10" xfId="157" applyFont="1" applyBorder="1" applyAlignment="1">
      <alignment horizontal="center"/>
    </xf>
    <xf numFmtId="0" fontId="12" fillId="42" borderId="10" xfId="0" applyFont="1" applyFill="1" applyBorder="1" applyAlignment="1">
      <alignment horizontal="center"/>
    </xf>
    <xf numFmtId="0" fontId="12" fillId="52" borderId="10" xfId="0" applyFont="1" applyFill="1" applyBorder="1" applyAlignment="1">
      <alignment horizontal="center"/>
    </xf>
    <xf numFmtId="0" fontId="12" fillId="50" borderId="10" xfId="0" applyFont="1" applyFill="1" applyBorder="1" applyAlignment="1">
      <alignment horizontal="center"/>
    </xf>
    <xf numFmtId="16" fontId="0" fillId="0" borderId="0" xfId="0" applyNumberFormat="1" applyBorder="1"/>
    <xf numFmtId="16" fontId="0" fillId="0" borderId="0" xfId="0" applyNumberFormat="1"/>
    <xf numFmtId="190" fontId="67" fillId="39" borderId="10" xfId="157" applyNumberFormat="1" applyFont="1" applyFill="1" applyBorder="1" applyAlignment="1">
      <alignment horizontal="center"/>
    </xf>
    <xf numFmtId="43" fontId="67" fillId="25" borderId="10" xfId="157" applyFont="1" applyFill="1" applyBorder="1" applyAlignment="1">
      <alignment horizontal="center"/>
    </xf>
    <xf numFmtId="3" fontId="59" fillId="0" borderId="10" xfId="0" applyNumberFormat="1" applyFont="1" applyBorder="1"/>
    <xf numFmtId="43" fontId="67" fillId="0" borderId="10" xfId="157" applyFont="1" applyBorder="1" applyAlignment="1">
      <alignment horizontal="center"/>
    </xf>
    <xf numFmtId="3" fontId="59" fillId="0" borderId="0" xfId="0" applyNumberFormat="1" applyFont="1" applyBorder="1"/>
    <xf numFmtId="43" fontId="67" fillId="0" borderId="0" xfId="157" applyFont="1" applyBorder="1" applyAlignment="1">
      <alignment horizontal="center"/>
    </xf>
    <xf numFmtId="0" fontId="0" fillId="0" borderId="0" xfId="0"/>
    <xf numFmtId="0" fontId="16" fillId="0" borderId="10" xfId="0" applyFont="1" applyBorder="1"/>
    <xf numFmtId="9" fontId="165" fillId="0" borderId="10" xfId="203" applyFont="1" applyBorder="1" applyAlignment="1">
      <alignment horizontal="center"/>
    </xf>
    <xf numFmtId="0" fontId="166" fillId="0" borderId="10" xfId="254" applyFont="1" applyBorder="1" applyAlignment="1">
      <alignment vertical="top"/>
    </xf>
    <xf numFmtId="0" fontId="166" fillId="0" borderId="12" xfId="254" applyFont="1" applyBorder="1" applyAlignment="1">
      <alignment vertical="top"/>
    </xf>
    <xf numFmtId="0" fontId="7" fillId="74" borderId="10" xfId="0" applyFont="1" applyFill="1" applyBorder="1" applyAlignment="1">
      <alignment horizontal="center"/>
    </xf>
    <xf numFmtId="0" fontId="167" fillId="0" borderId="10" xfId="254" applyFont="1" applyBorder="1" applyAlignment="1">
      <alignment vertical="top"/>
    </xf>
    <xf numFmtId="0" fontId="167" fillId="0" borderId="12" xfId="254" applyFont="1" applyBorder="1" applyAlignment="1">
      <alignment vertical="top"/>
    </xf>
    <xf numFmtId="0" fontId="114" fillId="74" borderId="16" xfId="0" applyFont="1" applyFill="1" applyBorder="1" applyAlignment="1">
      <alignment horizontal="center"/>
    </xf>
    <xf numFmtId="173" fontId="127" fillId="0" borderId="10" xfId="0" applyNumberFormat="1" applyFont="1" applyFill="1" applyBorder="1" applyAlignment="1">
      <alignment horizontal="center"/>
    </xf>
    <xf numFmtId="4" fontId="10" fillId="0" borderId="0" xfId="0" applyNumberFormat="1" applyFont="1"/>
    <xf numFmtId="4" fontId="7" fillId="0" borderId="0" xfId="0" applyNumberFormat="1" applyFont="1" applyAlignment="1">
      <alignment horizontal="center"/>
    </xf>
    <xf numFmtId="2" fontId="7" fillId="0" borderId="10" xfId="0" applyNumberFormat="1" applyFont="1" applyBorder="1" applyAlignment="1">
      <alignment horizontal="center" vertical="center"/>
    </xf>
    <xf numFmtId="2" fontId="7" fillId="41" borderId="10" xfId="0" applyNumberFormat="1" applyFont="1" applyFill="1" applyBorder="1" applyAlignment="1">
      <alignment horizontal="center" vertical="center"/>
    </xf>
    <xf numFmtId="173" fontId="7" fillId="36" borderId="29" xfId="196" applyNumberFormat="1" applyFont="1" applyFill="1" applyBorder="1" applyAlignment="1">
      <alignment horizontal="center"/>
    </xf>
    <xf numFmtId="173" fontId="7" fillId="36" borderId="28" xfId="196" applyNumberFormat="1" applyFont="1" applyFill="1" applyBorder="1" applyAlignment="1">
      <alignment horizontal="center"/>
    </xf>
    <xf numFmtId="173" fontId="7" fillId="39" borderId="28" xfId="196" applyNumberFormat="1" applyFont="1" applyFill="1" applyBorder="1" applyAlignment="1">
      <alignment horizontal="center"/>
    </xf>
    <xf numFmtId="173" fontId="7" fillId="46" borderId="28" xfId="196" applyNumberFormat="1" applyFont="1" applyFill="1" applyBorder="1" applyAlignment="1"/>
    <xf numFmtId="0" fontId="63" fillId="41" borderId="10" xfId="0" applyFont="1" applyFill="1" applyBorder="1"/>
    <xf numFmtId="0" fontId="7" fillId="0" borderId="28" xfId="0" applyFont="1" applyFill="1" applyBorder="1" applyAlignment="1">
      <alignment horizontal="center"/>
    </xf>
    <xf numFmtId="173" fontId="7" fillId="0" borderId="10" xfId="0" applyNumberFormat="1" applyFont="1" applyBorder="1"/>
    <xf numFmtId="173" fontId="7" fillId="0" borderId="28" xfId="0" applyNumberFormat="1" applyFont="1" applyBorder="1"/>
    <xf numFmtId="173" fontId="7" fillId="0" borderId="0" xfId="0" applyNumberFormat="1" applyFont="1"/>
    <xf numFmtId="173" fontId="7" fillId="0" borderId="28" xfId="0" applyNumberFormat="1" applyFont="1" applyFill="1" applyBorder="1" applyAlignment="1">
      <alignment horizontal="center"/>
    </xf>
    <xf numFmtId="173" fontId="7" fillId="0" borderId="29" xfId="0" applyNumberFormat="1" applyFont="1" applyFill="1" applyBorder="1" applyAlignment="1">
      <alignment horizontal="center"/>
    </xf>
    <xf numFmtId="0" fontId="7" fillId="0" borderId="136" xfId="0" applyFont="1" applyBorder="1"/>
    <xf numFmtId="0" fontId="7" fillId="0" borderId="28" xfId="0" applyFont="1" applyBorder="1"/>
    <xf numFmtId="173" fontId="7" fillId="0" borderId="10" xfId="0" applyNumberFormat="1" applyFont="1" applyFill="1" applyBorder="1" applyAlignment="1">
      <alignment horizontal="center"/>
    </xf>
    <xf numFmtId="2" fontId="7" fillId="0" borderId="28" xfId="0" applyNumberFormat="1" applyFont="1" applyBorder="1"/>
    <xf numFmtId="173" fontId="7" fillId="0" borderId="28" xfId="0" applyNumberFormat="1" applyFont="1" applyFill="1" applyBorder="1"/>
    <xf numFmtId="173" fontId="7" fillId="0" borderId="0" xfId="0" applyNumberFormat="1" applyFont="1" applyFill="1"/>
    <xf numFmtId="2" fontId="7" fillId="0" borderId="28" xfId="0" applyNumberFormat="1" applyFont="1" applyFill="1" applyBorder="1"/>
    <xf numFmtId="2" fontId="7" fillId="0" borderId="28" xfId="0" applyNumberFormat="1" applyFont="1" applyFill="1" applyBorder="1" applyAlignment="1">
      <alignment horizontal="center"/>
    </xf>
    <xf numFmtId="173" fontId="7" fillId="0" borderId="10" xfId="0" applyNumberFormat="1" applyFont="1" applyFill="1" applyBorder="1"/>
    <xf numFmtId="0" fontId="7" fillId="0" borderId="28" xfId="0" applyFont="1" applyFill="1" applyBorder="1"/>
    <xf numFmtId="173" fontId="116" fillId="0" borderId="28" xfId="0" applyNumberFormat="1" applyFont="1" applyFill="1" applyBorder="1"/>
    <xf numFmtId="0" fontId="16" fillId="0" borderId="28" xfId="0" applyFont="1" applyFill="1" applyBorder="1"/>
    <xf numFmtId="173" fontId="7" fillId="41" borderId="15" xfId="0" applyNumberFormat="1" applyFont="1" applyFill="1" applyBorder="1"/>
    <xf numFmtId="173" fontId="7" fillId="41" borderId="10" xfId="0" applyNumberFormat="1" applyFont="1" applyFill="1" applyBorder="1" applyAlignment="1"/>
    <xf numFmtId="4" fontId="7" fillId="41" borderId="0" xfId="0" applyNumberFormat="1" applyFont="1" applyFill="1" applyAlignment="1">
      <alignment horizontal="center"/>
    </xf>
    <xf numFmtId="173" fontId="7" fillId="41" borderId="28" xfId="196" applyNumberFormat="1" applyFont="1" applyFill="1" applyBorder="1" applyAlignment="1">
      <alignment horizontal="center"/>
    </xf>
    <xf numFmtId="173" fontId="127" fillId="26" borderId="10" xfId="0" applyNumberFormat="1" applyFont="1" applyFill="1" applyBorder="1" applyAlignment="1">
      <alignment horizontal="center"/>
    </xf>
    <xf numFmtId="176" fontId="127" fillId="26" borderId="10" xfId="0" applyNumberFormat="1" applyFont="1" applyFill="1" applyBorder="1" applyAlignment="1">
      <alignment horizontal="center"/>
    </xf>
    <xf numFmtId="4" fontId="10" fillId="0" borderId="0" xfId="0" applyNumberFormat="1" applyFont="1" applyBorder="1"/>
    <xf numFmtId="3" fontId="10" fillId="24" borderId="10" xfId="0" applyNumberFormat="1" applyFont="1" applyFill="1" applyBorder="1" applyAlignment="1">
      <alignment horizontal="center"/>
    </xf>
    <xf numFmtId="0" fontId="7" fillId="0" borderId="10" xfId="0" applyFont="1" applyBorder="1" applyAlignment="1">
      <alignment horizontal="right"/>
    </xf>
    <xf numFmtId="4" fontId="10" fillId="0" borderId="16" xfId="0" applyNumberFormat="1" applyFont="1" applyBorder="1" applyAlignment="1">
      <alignment horizontal="center"/>
    </xf>
    <xf numFmtId="4" fontId="10" fillId="0" borderId="16" xfId="0" applyNumberFormat="1" applyFont="1" applyFill="1" applyBorder="1" applyAlignment="1">
      <alignment horizontal="center"/>
    </xf>
    <xf numFmtId="4" fontId="10" fillId="24" borderId="0" xfId="0" applyNumberFormat="1" applyFont="1" applyFill="1" applyAlignment="1">
      <alignment horizontal="center"/>
    </xf>
    <xf numFmtId="4" fontId="10" fillId="0" borderId="15" xfId="0" applyNumberFormat="1" applyFont="1" applyFill="1" applyBorder="1" applyAlignment="1">
      <alignment horizontal="center"/>
    </xf>
    <xf numFmtId="4" fontId="11" fillId="0" borderId="10" xfId="0" applyNumberFormat="1" applyFont="1" applyFill="1" applyBorder="1" applyAlignment="1">
      <alignment horizontal="center"/>
    </xf>
    <xf numFmtId="4" fontId="10" fillId="26" borderId="10" xfId="0" applyNumberFormat="1" applyFont="1" applyFill="1" applyBorder="1" applyAlignment="1">
      <alignment horizontal="center"/>
    </xf>
    <xf numFmtId="2" fontId="10" fillId="26" borderId="10" xfId="0" applyNumberFormat="1" applyFont="1" applyFill="1" applyBorder="1" applyAlignment="1"/>
    <xf numFmtId="3" fontId="10" fillId="26" borderId="10" xfId="0" applyNumberFormat="1" applyFont="1" applyFill="1" applyBorder="1" applyAlignment="1">
      <alignment horizontal="center"/>
    </xf>
    <xf numFmtId="1" fontId="7" fillId="24" borderId="10" xfId="0" applyNumberFormat="1" applyFont="1" applyFill="1" applyBorder="1" applyAlignment="1">
      <alignment horizontal="center"/>
    </xf>
    <xf numFmtId="1" fontId="7" fillId="41" borderId="10" xfId="0" applyNumberFormat="1" applyFont="1" applyFill="1" applyBorder="1" applyAlignment="1">
      <alignment horizontal="center"/>
    </xf>
    <xf numFmtId="0" fontId="47" fillId="41" borderId="98" xfId="0" applyFont="1" applyFill="1" applyBorder="1" applyAlignment="1">
      <alignment wrapText="1"/>
    </xf>
    <xf numFmtId="176" fontId="10" fillId="41" borderId="16" xfId="0" applyNumberFormat="1" applyFont="1" applyFill="1" applyBorder="1" applyAlignment="1">
      <alignment horizontal="center"/>
    </xf>
    <xf numFmtId="2" fontId="10" fillId="41" borderId="16" xfId="0" applyNumberFormat="1" applyFont="1" applyFill="1" applyBorder="1" applyAlignment="1">
      <alignment horizontal="center"/>
    </xf>
    <xf numFmtId="169" fontId="10" fillId="0" borderId="10" xfId="0" applyNumberFormat="1" applyFont="1" applyBorder="1" applyAlignment="1">
      <alignment horizontal="center"/>
    </xf>
    <xf numFmtId="169" fontId="10" fillId="0" borderId="0" xfId="0" applyNumberFormat="1" applyFont="1" applyBorder="1" applyAlignment="1">
      <alignment horizontal="center"/>
    </xf>
    <xf numFmtId="4" fontId="7" fillId="0" borderId="10" xfId="0" applyNumberFormat="1" applyFont="1" applyBorder="1" applyAlignment="1">
      <alignment horizontal="center"/>
    </xf>
    <xf numFmtId="3" fontId="47" fillId="0" borderId="35" xfId="0" applyNumberFormat="1" applyFont="1" applyBorder="1" applyAlignment="1">
      <alignment wrapText="1"/>
    </xf>
    <xf numFmtId="3" fontId="47" fillId="0" borderId="98" xfId="0" applyNumberFormat="1" applyFont="1" applyBorder="1" applyAlignment="1">
      <alignment wrapText="1"/>
    </xf>
    <xf numFmtId="0" fontId="47" fillId="0" borderId="98" xfId="0" applyFont="1" applyBorder="1" applyAlignment="1">
      <alignment wrapText="1"/>
    </xf>
    <xf numFmtId="176" fontId="10" fillId="26" borderId="16" xfId="0" applyNumberFormat="1" applyFont="1" applyFill="1" applyBorder="1" applyAlignment="1">
      <alignment horizontal="center"/>
    </xf>
    <xf numFmtId="2" fontId="10" fillId="0" borderId="16" xfId="0" applyNumberFormat="1" applyFont="1" applyFill="1" applyBorder="1" applyAlignment="1">
      <alignment horizontal="center"/>
    </xf>
    <xf numFmtId="4" fontId="7" fillId="0" borderId="0" xfId="0" applyNumberFormat="1" applyFont="1"/>
    <xf numFmtId="179" fontId="44" fillId="39" borderId="64" xfId="0" applyNumberFormat="1" applyFont="1" applyFill="1" applyBorder="1" applyAlignment="1">
      <alignment horizontal="center"/>
    </xf>
    <xf numFmtId="2" fontId="10" fillId="0" borderId="12" xfId="0" applyNumberFormat="1" applyFont="1" applyFill="1" applyBorder="1"/>
    <xf numFmtId="0" fontId="106" fillId="0" borderId="70" xfId="0" applyFont="1" applyBorder="1"/>
    <xf numFmtId="0" fontId="106" fillId="0" borderId="71" xfId="0" applyFont="1" applyBorder="1"/>
    <xf numFmtId="4" fontId="106" fillId="0" borderId="67" xfId="0" applyNumberFormat="1" applyFont="1" applyBorder="1"/>
    <xf numFmtId="0" fontId="106" fillId="0" borderId="75" xfId="0" applyFont="1" applyBorder="1"/>
    <xf numFmtId="14" fontId="106" fillId="0" borderId="0" xfId="0" applyNumberFormat="1" applyFont="1"/>
    <xf numFmtId="2" fontId="106" fillId="0" borderId="0" xfId="0" applyNumberFormat="1" applyFont="1"/>
    <xf numFmtId="178" fontId="169" fillId="39" borderId="10" xfId="0" applyNumberFormat="1" applyFont="1" applyFill="1" applyBorder="1" applyAlignment="1">
      <alignment horizontal="center"/>
    </xf>
    <xf numFmtId="173" fontId="116" fillId="55" borderId="10" xfId="0" applyNumberFormat="1" applyFont="1" applyFill="1" applyBorder="1" applyAlignment="1">
      <alignment horizontal="right"/>
    </xf>
    <xf numFmtId="178" fontId="121" fillId="60" borderId="180" xfId="0" applyNumberFormat="1" applyFont="1" applyFill="1" applyBorder="1" applyAlignment="1">
      <alignment horizontal="center" vertical="center"/>
    </xf>
    <xf numFmtId="178" fontId="106" fillId="41" borderId="15" xfId="0" applyNumberFormat="1" applyFont="1" applyFill="1" applyBorder="1" applyAlignment="1">
      <alignment horizontal="center"/>
    </xf>
    <xf numFmtId="178" fontId="127" fillId="55" borderId="31" xfId="0" applyNumberFormat="1" applyFont="1" applyFill="1" applyBorder="1" applyAlignment="1">
      <alignment horizontal="center"/>
    </xf>
    <xf numFmtId="178" fontId="127" fillId="41" borderId="31" xfId="0" applyNumberFormat="1" applyFont="1" applyFill="1" applyBorder="1" applyAlignment="1">
      <alignment horizontal="center"/>
    </xf>
    <xf numFmtId="178" fontId="127" fillId="39" borderId="15" xfId="0" applyNumberFormat="1" applyFont="1" applyFill="1" applyBorder="1" applyAlignment="1">
      <alignment horizontal="center"/>
    </xf>
    <xf numFmtId="0" fontId="0" fillId="0" borderId="0" xfId="0"/>
    <xf numFmtId="4" fontId="141" fillId="0" borderId="12" xfId="257" applyNumberFormat="1" applyFont="1" applyBorder="1" applyAlignment="1">
      <alignment horizontal="center" vertical="center"/>
    </xf>
    <xf numFmtId="4" fontId="141" fillId="0" borderId="14" xfId="257" applyNumberFormat="1" applyFont="1" applyBorder="1" applyAlignment="1">
      <alignment horizontal="center" vertical="center"/>
    </xf>
    <xf numFmtId="4" fontId="141" fillId="0" borderId="15" xfId="257" applyNumberFormat="1" applyFont="1" applyBorder="1" applyAlignment="1">
      <alignment horizontal="center" vertical="center"/>
    </xf>
    <xf numFmtId="0" fontId="170" fillId="35" borderId="28" xfId="196" applyFont="1" applyFill="1" applyBorder="1" applyAlignment="1">
      <alignment horizontal="center"/>
    </xf>
    <xf numFmtId="0" fontId="170" fillId="0" borderId="4" xfId="196" applyFont="1" applyFill="1" applyBorder="1" applyAlignment="1">
      <alignment horizontal="center" wrapText="1"/>
    </xf>
    <xf numFmtId="0" fontId="170" fillId="0" borderId="4" xfId="196" applyFont="1" applyFill="1" applyBorder="1" applyAlignment="1">
      <alignment horizontal="left" wrapText="1"/>
    </xf>
    <xf numFmtId="0" fontId="141" fillId="61" borderId="0" xfId="257" applyFont="1" applyFill="1" applyBorder="1" applyAlignment="1">
      <alignment vertical="center"/>
    </xf>
    <xf numFmtId="3" fontId="154" fillId="61" borderId="0" xfId="257" applyNumberFormat="1" applyFont="1" applyFill="1" applyBorder="1" applyAlignment="1">
      <alignment horizontal="center" vertical="center"/>
    </xf>
    <xf numFmtId="0" fontId="10" fillId="0" borderId="0" xfId="0" applyFont="1" applyFill="1" applyBorder="1" applyAlignment="1">
      <alignment horizontal="center" vertical="center" wrapText="1"/>
    </xf>
    <xf numFmtId="4" fontId="41" fillId="0" borderId="59" xfId="184" applyNumberFormat="1" applyFont="1" applyFill="1" applyBorder="1" applyAlignment="1">
      <alignment horizontal="center" vertical="center"/>
    </xf>
    <xf numFmtId="0" fontId="0" fillId="49" borderId="0" xfId="0" applyFill="1"/>
    <xf numFmtId="0" fontId="142" fillId="49" borderId="0" xfId="0" applyFont="1" applyFill="1" applyAlignment="1">
      <alignment horizontal="left"/>
    </xf>
    <xf numFmtId="0" fontId="0" fillId="49" borderId="0" xfId="0" applyFill="1" applyAlignment="1">
      <alignment horizontal="center" vertical="center"/>
    </xf>
    <xf numFmtId="0" fontId="119" fillId="49" borderId="10" xfId="195" applyFont="1" applyFill="1" applyBorder="1" applyAlignment="1">
      <alignment horizontal="center" vertical="center" wrapText="1"/>
    </xf>
    <xf numFmtId="0" fontId="147" fillId="49" borderId="10" xfId="195" applyFont="1" applyFill="1" applyBorder="1" applyAlignment="1">
      <alignment horizontal="center" vertical="center" wrapText="1"/>
    </xf>
    <xf numFmtId="0" fontId="0" fillId="49" borderId="10" xfId="0" applyFill="1" applyBorder="1"/>
    <xf numFmtId="0" fontId="7" fillId="49" borderId="10" xfId="0" applyFont="1" applyFill="1" applyBorder="1"/>
    <xf numFmtId="0" fontId="0" fillId="49" borderId="10" xfId="0" applyFill="1" applyBorder="1" applyAlignment="1">
      <alignment horizontal="center"/>
    </xf>
    <xf numFmtId="0" fontId="0" fillId="49" borderId="13" xfId="0" applyFill="1" applyBorder="1"/>
    <xf numFmtId="0" fontId="0" fillId="49" borderId="13" xfId="0" applyFill="1" applyBorder="1" applyAlignment="1">
      <alignment horizontal="center"/>
    </xf>
    <xf numFmtId="0" fontId="16" fillId="49" borderId="13" xfId="0" applyFont="1" applyFill="1" applyBorder="1"/>
    <xf numFmtId="0" fontId="171" fillId="49" borderId="0" xfId="0" applyFont="1" applyFill="1"/>
    <xf numFmtId="0" fontId="135" fillId="49" borderId="0" xfId="0" applyFont="1" applyFill="1"/>
    <xf numFmtId="0" fontId="172" fillId="49" borderId="0" xfId="0" applyFont="1" applyFill="1"/>
    <xf numFmtId="0" fontId="146" fillId="41" borderId="0" xfId="0" applyFont="1" applyFill="1"/>
    <xf numFmtId="0" fontId="119" fillId="49" borderId="20" xfId="195" applyFont="1" applyFill="1" applyBorder="1" applyAlignment="1">
      <alignment horizontal="center" vertical="center" wrapText="1"/>
    </xf>
    <xf numFmtId="14" fontId="121" fillId="0" borderId="0" xfId="0" applyNumberFormat="1" applyFont="1" applyFill="1"/>
    <xf numFmtId="2" fontId="127" fillId="39" borderId="10" xfId="0" applyNumberFormat="1" applyFont="1" applyFill="1" applyBorder="1" applyAlignment="1">
      <alignment horizontal="center"/>
    </xf>
    <xf numFmtId="0" fontId="0" fillId="0" borderId="0" xfId="0"/>
    <xf numFmtId="169" fontId="10" fillId="24" borderId="20" xfId="0" applyNumberFormat="1" applyFont="1" applyFill="1" applyBorder="1" applyAlignment="1">
      <alignment horizontal="center" vertical="center"/>
    </xf>
    <xf numFmtId="0" fontId="3" fillId="0" borderId="0" xfId="257" applyFont="1" applyAlignment="1">
      <alignment vertical="center"/>
    </xf>
    <xf numFmtId="0" fontId="79" fillId="41" borderId="10" xfId="0" applyFont="1" applyFill="1" applyBorder="1" applyAlignment="1">
      <alignment horizontal="center"/>
    </xf>
    <xf numFmtId="1" fontId="55" fillId="39" borderId="0" xfId="0" applyNumberFormat="1" applyFont="1" applyFill="1" applyBorder="1" applyAlignment="1">
      <alignment horizontal="center"/>
    </xf>
    <xf numFmtId="1" fontId="55" fillId="39" borderId="0" xfId="0" applyNumberFormat="1" applyFont="1" applyFill="1" applyAlignment="1">
      <alignment horizontal="center"/>
    </xf>
    <xf numFmtId="179" fontId="44" fillId="39" borderId="139" xfId="0" applyNumberFormat="1" applyFont="1" applyFill="1" applyBorder="1" applyAlignment="1">
      <alignment horizontal="center"/>
    </xf>
    <xf numFmtId="169" fontId="10" fillId="75" borderId="10" xfId="0" applyNumberFormat="1" applyFont="1" applyFill="1" applyBorder="1" applyAlignment="1">
      <alignment horizontal="center" vertical="center"/>
    </xf>
    <xf numFmtId="176" fontId="150" fillId="41" borderId="10" xfId="0" applyNumberFormat="1" applyFont="1" applyFill="1" applyBorder="1" applyAlignment="1">
      <alignment horizontal="center"/>
    </xf>
    <xf numFmtId="2" fontId="150" fillId="41" borderId="10" xfId="0" applyNumberFormat="1" applyFont="1" applyFill="1" applyBorder="1" applyAlignment="1">
      <alignment horizontal="center"/>
    </xf>
    <xf numFmtId="2" fontId="150" fillId="41" borderId="10" xfId="0" applyNumberFormat="1" applyFont="1" applyFill="1" applyBorder="1"/>
    <xf numFmtId="2" fontId="150" fillId="41" borderId="10" xfId="0" applyNumberFormat="1" applyFont="1" applyFill="1" applyBorder="1" applyAlignment="1"/>
    <xf numFmtId="176" fontId="117" fillId="41" borderId="10" xfId="0" applyNumberFormat="1" applyFont="1" applyFill="1" applyBorder="1" applyAlignment="1">
      <alignment horizontal="center"/>
    </xf>
    <xf numFmtId="0" fontId="150" fillId="41" borderId="0" xfId="0" applyFont="1" applyFill="1"/>
    <xf numFmtId="173" fontId="0" fillId="49" borderId="10" xfId="0" applyNumberFormat="1" applyFill="1" applyBorder="1"/>
    <xf numFmtId="0" fontId="125" fillId="39" borderId="10" xfId="254" applyFont="1" applyFill="1" applyBorder="1" applyAlignment="1">
      <alignment vertical="top"/>
    </xf>
    <xf numFmtId="176" fontId="111" fillId="41" borderId="10" xfId="0" applyNumberFormat="1" applyFont="1" applyFill="1" applyBorder="1" applyAlignment="1">
      <alignment horizontal="center"/>
    </xf>
    <xf numFmtId="0" fontId="0" fillId="0" borderId="0" xfId="0"/>
    <xf numFmtId="0" fontId="144" fillId="0" borderId="4" xfId="0" applyFont="1" applyBorder="1" applyAlignment="1">
      <alignment horizontal="center"/>
    </xf>
    <xf numFmtId="0" fontId="144" fillId="0" borderId="4" xfId="0" applyFont="1" applyBorder="1" applyAlignment="1"/>
    <xf numFmtId="176" fontId="127" fillId="41" borderId="10" xfId="0" applyNumberFormat="1" applyFont="1" applyFill="1" applyBorder="1" applyAlignment="1">
      <alignment horizontal="center"/>
    </xf>
    <xf numFmtId="176" fontId="10" fillId="41" borderId="10" xfId="254" applyNumberFormat="1" applyFont="1" applyFill="1" applyBorder="1" applyAlignment="1">
      <alignment horizontal="center"/>
    </xf>
    <xf numFmtId="2" fontId="10" fillId="41" borderId="10" xfId="254" applyNumberFormat="1" applyFont="1" applyFill="1" applyBorder="1" applyAlignment="1">
      <alignment horizontal="center"/>
    </xf>
    <xf numFmtId="2" fontId="10" fillId="0" borderId="10" xfId="254" applyNumberFormat="1" applyFont="1" applyFill="1" applyBorder="1"/>
    <xf numFmtId="3" fontId="194" fillId="41" borderId="10" xfId="0" applyNumberFormat="1" applyFont="1" applyFill="1" applyBorder="1" applyAlignment="1">
      <alignment horizontal="right"/>
    </xf>
    <xf numFmtId="0" fontId="9" fillId="41" borderId="12" xfId="0" applyFont="1" applyFill="1" applyBorder="1" applyAlignment="1">
      <alignment horizontal="center"/>
    </xf>
    <xf numFmtId="2" fontId="111" fillId="0" borderId="10" xfId="0" applyNumberFormat="1" applyFont="1" applyFill="1" applyBorder="1" applyAlignment="1">
      <alignment horizontal="center"/>
    </xf>
    <xf numFmtId="3" fontId="9" fillId="41" borderId="15" xfId="0" applyNumberFormat="1" applyFont="1" applyFill="1" applyBorder="1" applyAlignment="1">
      <alignment horizontal="center" vertical="center"/>
    </xf>
    <xf numFmtId="173" fontId="10" fillId="41" borderId="15" xfId="0" applyNumberFormat="1" applyFont="1" applyFill="1" applyBorder="1" applyAlignment="1">
      <alignment horizontal="center" vertical="center"/>
    </xf>
    <xf numFmtId="4" fontId="9" fillId="41" borderId="16" xfId="0" applyNumberFormat="1" applyFont="1" applyFill="1" applyBorder="1" applyAlignment="1">
      <alignment horizontal="center" vertical="center"/>
    </xf>
    <xf numFmtId="0" fontId="0" fillId="0" borderId="10" xfId="0" applyBorder="1" applyAlignment="1">
      <alignment horizontal="center"/>
    </xf>
    <xf numFmtId="0" fontId="0" fillId="62" borderId="0" xfId="0" applyFill="1" applyAlignment="1">
      <alignment horizontal="center"/>
    </xf>
    <xf numFmtId="0" fontId="0" fillId="76" borderId="0" xfId="0" applyFill="1" applyAlignment="1">
      <alignment horizontal="center"/>
    </xf>
    <xf numFmtId="0" fontId="0" fillId="64" borderId="0" xfId="0" applyFill="1" applyAlignment="1">
      <alignment horizontal="center"/>
    </xf>
    <xf numFmtId="0" fontId="0" fillId="64" borderId="0" xfId="0" applyFill="1" applyBorder="1" applyAlignment="1">
      <alignment horizontal="center"/>
    </xf>
    <xf numFmtId="0" fontId="12" fillId="49" borderId="0" xfId="0" applyFont="1" applyFill="1"/>
    <xf numFmtId="0" fontId="0" fillId="0" borderId="0" xfId="0"/>
    <xf numFmtId="173" fontId="38" fillId="41" borderId="28" xfId="0" applyNumberFormat="1" applyFont="1" applyFill="1" applyBorder="1" applyAlignment="1">
      <alignment horizontal="center"/>
    </xf>
    <xf numFmtId="2" fontId="12" fillId="41" borderId="10" xfId="0" applyNumberFormat="1" applyFont="1" applyFill="1" applyBorder="1"/>
    <xf numFmtId="4" fontId="12" fillId="45" borderId="63" xfId="0" applyNumberFormat="1" applyFont="1" applyFill="1" applyBorder="1" applyAlignment="1">
      <alignment horizontal="center"/>
    </xf>
    <xf numFmtId="4" fontId="12" fillId="45" borderId="80" xfId="0" applyNumberFormat="1" applyFont="1" applyFill="1" applyBorder="1" applyAlignment="1">
      <alignment horizontal="center"/>
    </xf>
    <xf numFmtId="4" fontId="12" fillId="45" borderId="64" xfId="0" applyNumberFormat="1" applyFont="1" applyFill="1" applyBorder="1" applyAlignment="1">
      <alignment horizontal="center"/>
    </xf>
    <xf numFmtId="0" fontId="0" fillId="0" borderId="0" xfId="0"/>
    <xf numFmtId="0" fontId="198" fillId="39" borderId="0" xfId="0" applyFont="1" applyFill="1"/>
    <xf numFmtId="0" fontId="199" fillId="39" borderId="0" xfId="0" applyFont="1" applyFill="1"/>
    <xf numFmtId="0" fontId="200" fillId="39" borderId="0" xfId="0" applyFont="1" applyFill="1"/>
    <xf numFmtId="0" fontId="200" fillId="39" borderId="0" xfId="0" applyFont="1" applyFill="1" applyAlignment="1">
      <alignment horizontal="center" vertical="center"/>
    </xf>
    <xf numFmtId="0" fontId="201" fillId="39" borderId="0" xfId="0" applyFont="1" applyFill="1" applyAlignment="1">
      <alignment horizontal="left"/>
    </xf>
    <xf numFmtId="0" fontId="202" fillId="39" borderId="70" xfId="0" applyFont="1" applyFill="1" applyBorder="1" applyAlignment="1">
      <alignment horizontal="center" vertical="center"/>
    </xf>
    <xf numFmtId="0" fontId="202" fillId="39" borderId="71" xfId="0" applyFont="1" applyFill="1" applyBorder="1" applyAlignment="1">
      <alignment horizontal="center" vertical="center"/>
    </xf>
    <xf numFmtId="0" fontId="203" fillId="39" borderId="20" xfId="195" applyFont="1" applyFill="1" applyBorder="1" applyAlignment="1">
      <alignment horizontal="center" vertical="center" wrapText="1"/>
    </xf>
    <xf numFmtId="0" fontId="203" fillId="39" borderId="10" xfId="195" applyFont="1" applyFill="1" applyBorder="1" applyAlignment="1">
      <alignment horizontal="center" vertical="center" wrapText="1"/>
    </xf>
    <xf numFmtId="0" fontId="200" fillId="39" borderId="10" xfId="0" applyFont="1" applyFill="1" applyBorder="1"/>
    <xf numFmtId="0" fontId="200" fillId="39" borderId="10" xfId="0" applyFont="1" applyFill="1" applyBorder="1" applyAlignment="1">
      <alignment horizontal="center"/>
    </xf>
    <xf numFmtId="0" fontId="192" fillId="39" borderId="13" xfId="0" applyFont="1" applyFill="1" applyBorder="1"/>
    <xf numFmtId="0" fontId="192" fillId="39" borderId="13" xfId="0" applyFont="1" applyFill="1" applyBorder="1" applyAlignment="1">
      <alignment horizontal="center"/>
    </xf>
    <xf numFmtId="0" fontId="193" fillId="39" borderId="13" xfId="0" applyFont="1" applyFill="1" applyBorder="1"/>
    <xf numFmtId="0" fontId="192" fillId="39" borderId="0" xfId="0" applyFont="1" applyFill="1"/>
    <xf numFmtId="0" fontId="106" fillId="49" borderId="0" xfId="0" applyFont="1" applyFill="1"/>
    <xf numFmtId="0" fontId="116" fillId="39" borderId="10" xfId="0" applyFont="1" applyFill="1" applyBorder="1"/>
    <xf numFmtId="173" fontId="0" fillId="0" borderId="28" xfId="0" applyNumberFormat="1" applyFont="1" applyBorder="1" applyAlignment="1">
      <alignment horizontal="center"/>
    </xf>
    <xf numFmtId="173" fontId="0" fillId="0" borderId="28" xfId="0" applyNumberFormat="1" applyFont="1" applyFill="1" applyBorder="1" applyAlignment="1">
      <alignment horizontal="center"/>
    </xf>
    <xf numFmtId="2" fontId="127" fillId="41" borderId="10" xfId="0" applyNumberFormat="1" applyFont="1" applyFill="1" applyBorder="1"/>
    <xf numFmtId="0" fontId="202" fillId="39" borderId="70" xfId="0" applyFont="1" applyFill="1" applyBorder="1" applyAlignment="1">
      <alignment horizontal="center" vertical="center"/>
    </xf>
    <xf numFmtId="0" fontId="202" fillId="39" borderId="71" xfId="0" applyFont="1" applyFill="1" applyBorder="1" applyAlignment="1">
      <alignment horizontal="center" vertical="center"/>
    </xf>
    <xf numFmtId="0" fontId="0" fillId="0" borderId="0" xfId="0"/>
    <xf numFmtId="173" fontId="16" fillId="49" borderId="13" xfId="0" applyNumberFormat="1" applyFont="1" applyFill="1" applyBorder="1"/>
    <xf numFmtId="0" fontId="141" fillId="49" borderId="70" xfId="0" applyFont="1" applyFill="1" applyBorder="1" applyAlignment="1">
      <alignment horizontal="center" vertical="center"/>
    </xf>
    <xf numFmtId="0" fontId="141" fillId="49" borderId="71" xfId="0" applyFont="1" applyFill="1" applyBorder="1" applyAlignment="1">
      <alignment horizontal="center" vertical="center"/>
    </xf>
    <xf numFmtId="0" fontId="191" fillId="49" borderId="0" xfId="0" applyFont="1" applyFill="1"/>
    <xf numFmtId="0" fontId="191" fillId="47" borderId="0" xfId="0" applyFont="1" applyFill="1"/>
    <xf numFmtId="0" fontId="171" fillId="47" borderId="0" xfId="0" applyFont="1" applyFill="1"/>
    <xf numFmtId="0" fontId="0" fillId="47" borderId="0" xfId="0" applyFill="1"/>
    <xf numFmtId="0" fontId="135" fillId="47" borderId="0" xfId="0" applyFont="1" applyFill="1"/>
    <xf numFmtId="0" fontId="172" fillId="47" borderId="0" xfId="0" applyFont="1" applyFill="1"/>
    <xf numFmtId="0" fontId="142" fillId="47" borderId="0" xfId="0" applyFont="1" applyFill="1" applyAlignment="1">
      <alignment horizontal="left"/>
    </xf>
    <xf numFmtId="0" fontId="0" fillId="47" borderId="0" xfId="0" applyFill="1" applyAlignment="1">
      <alignment horizontal="center" vertical="center"/>
    </xf>
    <xf numFmtId="0" fontId="141" fillId="47" borderId="70" xfId="0" applyFont="1" applyFill="1" applyBorder="1" applyAlignment="1">
      <alignment horizontal="center" vertical="center"/>
    </xf>
    <xf numFmtId="0" fontId="141" fillId="47" borderId="71" xfId="0" applyFont="1" applyFill="1" applyBorder="1" applyAlignment="1">
      <alignment horizontal="center" vertical="center"/>
    </xf>
    <xf numFmtId="0" fontId="119" fillId="47" borderId="10" xfId="195" applyFont="1" applyFill="1" applyBorder="1" applyAlignment="1">
      <alignment horizontal="center" vertical="center" wrapText="1"/>
    </xf>
    <xf numFmtId="0" fontId="147" fillId="47" borderId="10" xfId="195" applyFont="1" applyFill="1" applyBorder="1" applyAlignment="1">
      <alignment horizontal="center" vertical="center" wrapText="1"/>
    </xf>
    <xf numFmtId="0" fontId="119" fillId="47" borderId="20" xfId="195" applyFont="1" applyFill="1" applyBorder="1" applyAlignment="1">
      <alignment horizontal="center" vertical="center" wrapText="1"/>
    </xf>
    <xf numFmtId="0" fontId="0" fillId="47" borderId="10" xfId="0" applyFill="1" applyBorder="1"/>
    <xf numFmtId="0" fontId="7" fillId="47" borderId="10" xfId="0" applyFont="1" applyFill="1" applyBorder="1"/>
    <xf numFmtId="0" fontId="0" fillId="47" borderId="10" xfId="0" applyFill="1" applyBorder="1" applyAlignment="1">
      <alignment horizontal="center"/>
    </xf>
    <xf numFmtId="0" fontId="0" fillId="47" borderId="13" xfId="0" applyFill="1" applyBorder="1"/>
    <xf numFmtId="0" fontId="0" fillId="47" borderId="13" xfId="0" applyFill="1" applyBorder="1" applyAlignment="1">
      <alignment horizontal="center"/>
    </xf>
    <xf numFmtId="0" fontId="16" fillId="47" borderId="13" xfId="0" applyFont="1" applyFill="1" applyBorder="1"/>
    <xf numFmtId="0" fontId="145" fillId="47" borderId="0" xfId="0" applyFont="1" applyFill="1"/>
    <xf numFmtId="0" fontId="106" fillId="47" borderId="0" xfId="0" applyFont="1" applyFill="1"/>
    <xf numFmtId="0" fontId="0" fillId="47" borderId="10" xfId="0" applyFill="1" applyBorder="1" applyAlignment="1">
      <alignment horizontal="right"/>
    </xf>
    <xf numFmtId="0" fontId="116" fillId="49" borderId="10" xfId="0" applyFont="1" applyFill="1" applyBorder="1"/>
    <xf numFmtId="0" fontId="176" fillId="49" borderId="10" xfId="0" applyFont="1" applyFill="1" applyBorder="1"/>
    <xf numFmtId="173" fontId="176" fillId="49" borderId="10" xfId="0" applyNumberFormat="1" applyFont="1" applyFill="1" applyBorder="1"/>
    <xf numFmtId="0" fontId="177" fillId="49" borderId="0" xfId="0" applyFont="1" applyFill="1"/>
    <xf numFmtId="0" fontId="180" fillId="49" borderId="0" xfId="0" applyFont="1" applyFill="1"/>
    <xf numFmtId="0" fontId="181" fillId="49" borderId="0" xfId="0" applyFont="1" applyFill="1"/>
    <xf numFmtId="0" fontId="182" fillId="49" borderId="0" xfId="0" applyFont="1" applyFill="1"/>
    <xf numFmtId="0" fontId="183" fillId="49" borderId="0" xfId="0" applyFont="1" applyFill="1" applyAlignment="1">
      <alignment horizontal="left"/>
    </xf>
    <xf numFmtId="0" fontId="182" fillId="49" borderId="0" xfId="0" applyFont="1" applyFill="1" applyAlignment="1">
      <alignment horizontal="center" vertical="center"/>
    </xf>
    <xf numFmtId="0" fontId="184" fillId="49" borderId="70" xfId="0" applyFont="1" applyFill="1" applyBorder="1" applyAlignment="1">
      <alignment horizontal="center" vertical="center"/>
    </xf>
    <xf numFmtId="0" fontId="184" fillId="49" borderId="71" xfId="0" applyFont="1" applyFill="1" applyBorder="1" applyAlignment="1">
      <alignment horizontal="center" vertical="center"/>
    </xf>
    <xf numFmtId="0" fontId="185" fillId="49" borderId="20" xfId="195" applyFont="1" applyFill="1" applyBorder="1" applyAlignment="1">
      <alignment horizontal="center" vertical="center" wrapText="1"/>
    </xf>
    <xf numFmtId="0" fontId="185" fillId="49" borderId="10" xfId="195" applyFont="1" applyFill="1" applyBorder="1" applyAlignment="1">
      <alignment horizontal="center" vertical="center" wrapText="1"/>
    </xf>
    <xf numFmtId="0" fontId="182" fillId="49" borderId="10" xfId="0" applyFont="1" applyFill="1" applyBorder="1"/>
    <xf numFmtId="0" fontId="182" fillId="49" borderId="10" xfId="0" applyFont="1" applyFill="1" applyBorder="1" applyAlignment="1">
      <alignment horizontal="center"/>
    </xf>
    <xf numFmtId="0" fontId="182" fillId="49" borderId="13" xfId="0" applyFont="1" applyFill="1" applyBorder="1"/>
    <xf numFmtId="0" fontId="182" fillId="49" borderId="13" xfId="0" applyFont="1" applyFill="1" applyBorder="1" applyAlignment="1">
      <alignment horizontal="center"/>
    </xf>
    <xf numFmtId="0" fontId="186" fillId="49" borderId="13" xfId="0" applyFont="1" applyFill="1" applyBorder="1"/>
    <xf numFmtId="0" fontId="204" fillId="49" borderId="0" xfId="0" applyFont="1" applyFill="1"/>
    <xf numFmtId="0" fontId="205" fillId="49" borderId="0" xfId="0" applyFont="1" applyFill="1"/>
    <xf numFmtId="0" fontId="206" fillId="49" borderId="0" xfId="0" applyFont="1" applyFill="1"/>
    <xf numFmtId="0" fontId="207" fillId="49" borderId="0" xfId="0" applyFont="1" applyFill="1" applyAlignment="1">
      <alignment horizontal="left"/>
    </xf>
    <xf numFmtId="0" fontId="206" fillId="49" borderId="0" xfId="0" applyFont="1" applyFill="1" applyAlignment="1">
      <alignment horizontal="center" vertical="center"/>
    </xf>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209" fillId="49" borderId="20" xfId="195" applyFont="1" applyFill="1" applyBorder="1" applyAlignment="1">
      <alignment horizontal="center" vertical="center" wrapText="1"/>
    </xf>
    <xf numFmtId="0" fontId="209" fillId="49" borderId="10" xfId="195" applyFont="1" applyFill="1" applyBorder="1" applyAlignment="1">
      <alignment horizontal="center" vertical="center" wrapText="1"/>
    </xf>
    <xf numFmtId="0" fontId="206" fillId="49" borderId="10" xfId="0" applyFont="1" applyFill="1" applyBorder="1"/>
    <xf numFmtId="0" fontId="206" fillId="49" borderId="10" xfId="0" applyFont="1" applyFill="1" applyBorder="1" applyAlignment="1">
      <alignment horizontal="center"/>
    </xf>
    <xf numFmtId="0" fontId="206" fillId="49" borderId="13" xfId="0" applyFont="1" applyFill="1" applyBorder="1"/>
    <xf numFmtId="0" fontId="206" fillId="49" borderId="13" xfId="0" applyFont="1" applyFill="1" applyBorder="1" applyAlignment="1">
      <alignment horizontal="center"/>
    </xf>
    <xf numFmtId="0" fontId="210" fillId="49" borderId="13" xfId="0" applyFont="1" applyFill="1" applyBorder="1"/>
    <xf numFmtId="0" fontId="211" fillId="49" borderId="0" xfId="0" applyFont="1" applyFill="1"/>
    <xf numFmtId="0" fontId="206" fillId="49" borderId="10" xfId="0" applyFont="1" applyFill="1" applyBorder="1" applyAlignment="1">
      <alignment horizontal="right"/>
    </xf>
    <xf numFmtId="0" fontId="212" fillId="49" borderId="0" xfId="0" applyFont="1" applyFill="1"/>
    <xf numFmtId="0" fontId="213" fillId="49" borderId="0" xfId="0" applyFont="1" applyFill="1"/>
    <xf numFmtId="0" fontId="214" fillId="47" borderId="0" xfId="0" applyFont="1" applyFill="1"/>
    <xf numFmtId="0" fontId="215" fillId="47" borderId="0" xfId="0" applyFont="1" applyFill="1"/>
    <xf numFmtId="0" fontId="216" fillId="47" borderId="0" xfId="0" applyFont="1" applyFill="1"/>
    <xf numFmtId="0" fontId="216" fillId="47" borderId="0" xfId="0" applyFont="1" applyFill="1" applyAlignment="1">
      <alignment horizontal="center" vertical="center"/>
    </xf>
    <xf numFmtId="0" fontId="217" fillId="47" borderId="0" xfId="0" applyFont="1" applyFill="1" applyAlignment="1">
      <alignment horizontal="left"/>
    </xf>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219" fillId="47" borderId="20" xfId="195" applyFont="1" applyFill="1" applyBorder="1" applyAlignment="1">
      <alignment horizontal="center" vertical="center" wrapText="1"/>
    </xf>
    <xf numFmtId="0" fontId="219" fillId="47" borderId="10" xfId="195" applyFont="1" applyFill="1" applyBorder="1" applyAlignment="1">
      <alignment horizontal="center" vertical="center" wrapText="1"/>
    </xf>
    <xf numFmtId="0" fontId="216" fillId="47" borderId="10" xfId="0" applyFont="1" applyFill="1" applyBorder="1"/>
    <xf numFmtId="0" fontId="216" fillId="47" borderId="10" xfId="0" applyFont="1" applyFill="1" applyBorder="1" applyAlignment="1">
      <alignment horizontal="center"/>
    </xf>
    <xf numFmtId="0" fontId="216" fillId="47" borderId="13" xfId="0" applyFont="1" applyFill="1" applyBorder="1"/>
    <xf numFmtId="0" fontId="216" fillId="47" borderId="13" xfId="0" applyFont="1" applyFill="1" applyBorder="1" applyAlignment="1">
      <alignment horizontal="center"/>
    </xf>
    <xf numFmtId="0" fontId="220" fillId="47" borderId="13" xfId="0" applyFont="1" applyFill="1" applyBorder="1"/>
    <xf numFmtId="0" fontId="221" fillId="47" borderId="0" xfId="0" applyFont="1" applyFill="1"/>
    <xf numFmtId="0" fontId="216" fillId="47" borderId="10" xfId="0" applyFont="1" applyFill="1" applyBorder="1" applyAlignment="1">
      <alignment horizontal="right"/>
    </xf>
    <xf numFmtId="0" fontId="222" fillId="49" borderId="0" xfId="0" applyFont="1" applyFill="1"/>
    <xf numFmtId="0" fontId="223" fillId="49" borderId="0" xfId="0" applyFont="1" applyFill="1"/>
    <xf numFmtId="0" fontId="224" fillId="49" borderId="0" xfId="0" applyFont="1" applyFill="1"/>
    <xf numFmtId="0" fontId="225" fillId="49" borderId="0" xfId="0" applyFont="1" applyFill="1" applyAlignment="1">
      <alignment horizontal="left"/>
    </xf>
    <xf numFmtId="0" fontId="224" fillId="49" borderId="0" xfId="0" applyFont="1" applyFill="1" applyAlignment="1">
      <alignment horizontal="center" vertical="center"/>
    </xf>
    <xf numFmtId="0" fontId="226" fillId="49" borderId="70" xfId="0" applyFont="1" applyFill="1" applyBorder="1" applyAlignment="1">
      <alignment horizontal="center" vertical="center"/>
    </xf>
    <xf numFmtId="0" fontId="226" fillId="49" borderId="71" xfId="0" applyFont="1" applyFill="1" applyBorder="1" applyAlignment="1">
      <alignment horizontal="center" vertical="center"/>
    </xf>
    <xf numFmtId="0" fontId="227" fillId="49" borderId="20" xfId="195" applyFont="1" applyFill="1" applyBorder="1" applyAlignment="1">
      <alignment horizontal="center" vertical="center" wrapText="1"/>
    </xf>
    <xf numFmtId="0" fontId="227" fillId="49" borderId="10" xfId="195" applyFont="1" applyFill="1" applyBorder="1" applyAlignment="1">
      <alignment horizontal="center" vertical="center" wrapText="1"/>
    </xf>
    <xf numFmtId="0" fontId="224" fillId="49" borderId="10" xfId="0" applyFont="1" applyFill="1" applyBorder="1"/>
    <xf numFmtId="0" fontId="224" fillId="49" borderId="10" xfId="0" applyFont="1" applyFill="1" applyBorder="1" applyAlignment="1">
      <alignment horizontal="center"/>
    </xf>
    <xf numFmtId="0" fontId="224" fillId="49" borderId="13" xfId="0" applyFont="1" applyFill="1" applyBorder="1"/>
    <xf numFmtId="0" fontId="224" fillId="49" borderId="13" xfId="0" applyFont="1" applyFill="1" applyBorder="1" applyAlignment="1">
      <alignment horizontal="center"/>
    </xf>
    <xf numFmtId="0" fontId="228" fillId="49" borderId="13" xfId="0" applyFont="1" applyFill="1" applyBorder="1"/>
    <xf numFmtId="173" fontId="110" fillId="41" borderId="45" xfId="0" applyNumberFormat="1" applyFont="1" applyFill="1" applyBorder="1" applyAlignment="1">
      <alignment horizontal="center"/>
    </xf>
    <xf numFmtId="173" fontId="110" fillId="41" borderId="76" xfId="0" applyNumberFormat="1" applyFont="1" applyFill="1" applyBorder="1" applyAlignment="1">
      <alignment horizontal="center"/>
    </xf>
    <xf numFmtId="169" fontId="35" fillId="24" borderId="0" xfId="0" applyNumberFormat="1" applyFont="1" applyFill="1"/>
    <xf numFmtId="2" fontId="12" fillId="42" borderId="10" xfId="0" applyNumberFormat="1" applyFont="1" applyFill="1" applyBorder="1" applyAlignment="1">
      <alignment horizontal="center"/>
    </xf>
    <xf numFmtId="169" fontId="229" fillId="0" borderId="0" xfId="41729" applyNumberFormat="1" applyFont="1" applyBorder="1" applyAlignment="1">
      <alignment horizontal="center" vertical="center"/>
    </xf>
    <xf numFmtId="0" fontId="35" fillId="24" borderId="0" xfId="0" applyFont="1" applyFill="1" applyBorder="1"/>
    <xf numFmtId="2" fontId="12" fillId="49" borderId="10" xfId="0" applyNumberFormat="1" applyFont="1" applyFill="1" applyBorder="1" applyAlignment="1">
      <alignment horizontal="center"/>
    </xf>
    <xf numFmtId="2" fontId="16" fillId="49" borderId="41" xfId="0" applyNumberFormat="1" applyFont="1" applyFill="1" applyBorder="1" applyAlignment="1">
      <alignment horizontal="center"/>
    </xf>
    <xf numFmtId="173" fontId="55" fillId="65" borderId="0" xfId="0" applyNumberFormat="1" applyFont="1" applyFill="1"/>
    <xf numFmtId="43" fontId="12" fillId="0" borderId="0" xfId="0" applyNumberFormat="1" applyFont="1" applyFill="1"/>
    <xf numFmtId="4" fontId="118" fillId="41" borderId="62" xfId="0" applyNumberFormat="1" applyFont="1" applyFill="1" applyBorder="1" applyAlignment="1">
      <alignment horizontal="center"/>
    </xf>
    <xf numFmtId="14" fontId="51" fillId="55" borderId="0" xfId="0" applyNumberFormat="1" applyFont="1" applyFill="1"/>
    <xf numFmtId="0" fontId="0" fillId="0" borderId="0" xfId="0"/>
    <xf numFmtId="0" fontId="0" fillId="0" borderId="0" xfId="0"/>
    <xf numFmtId="165" fontId="10" fillId="0" borderId="59" xfId="0" applyNumberFormat="1" applyFont="1" applyFill="1" applyBorder="1" applyAlignment="1">
      <alignment horizontal="center"/>
    </xf>
    <xf numFmtId="166" fontId="10" fillId="53" borderId="20" xfId="203" applyNumberFormat="1" applyFont="1" applyFill="1" applyBorder="1" applyAlignment="1">
      <alignment horizontal="center" vertical="center"/>
    </xf>
    <xf numFmtId="0" fontId="204" fillId="39" borderId="0" xfId="0" applyFont="1" applyFill="1"/>
    <xf numFmtId="0" fontId="205" fillId="39" borderId="0" xfId="0" applyFont="1" applyFill="1"/>
    <xf numFmtId="0" fontId="206" fillId="39" borderId="0" xfId="0" applyFont="1" applyFill="1"/>
    <xf numFmtId="0" fontId="207" fillId="39" borderId="0" xfId="0" applyFont="1" applyFill="1" applyAlignment="1">
      <alignment horizontal="left"/>
    </xf>
    <xf numFmtId="0" fontId="206" fillId="39" borderId="0" xfId="0" applyFont="1" applyFill="1" applyAlignment="1">
      <alignment horizontal="center" vertic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9" fillId="39" borderId="20" xfId="195" applyFont="1" applyFill="1" applyBorder="1" applyAlignment="1">
      <alignment horizontal="center" vertical="center" wrapText="1"/>
    </xf>
    <xf numFmtId="0" fontId="209" fillId="39" borderId="10" xfId="195" applyFont="1" applyFill="1" applyBorder="1" applyAlignment="1">
      <alignment horizontal="center" vertical="center" wrapText="1"/>
    </xf>
    <xf numFmtId="0" fontId="206" fillId="39" borderId="10" xfId="0" applyFont="1" applyFill="1" applyBorder="1"/>
    <xf numFmtId="0" fontId="206" fillId="39" borderId="10" xfId="0" applyFont="1" applyFill="1" applyBorder="1" applyAlignment="1">
      <alignment horizontal="center"/>
    </xf>
    <xf numFmtId="0" fontId="206" fillId="39" borderId="13" xfId="0" applyFont="1" applyFill="1" applyBorder="1"/>
    <xf numFmtId="0" fontId="206" fillId="39" borderId="13" xfId="0" applyFont="1" applyFill="1" applyBorder="1" applyAlignment="1">
      <alignment horizontal="center"/>
    </xf>
    <xf numFmtId="0" fontId="210" fillId="39" borderId="13" xfId="0" applyFont="1" applyFill="1" applyBorder="1"/>
    <xf numFmtId="2" fontId="10" fillId="60" borderId="10" xfId="0" applyNumberFormat="1" applyFont="1" applyFill="1" applyBorder="1" applyAlignment="1">
      <alignment horizontal="center"/>
    </xf>
    <xf numFmtId="2" fontId="0" fillId="0" borderId="10" xfId="0" applyNumberFormat="1" applyBorder="1"/>
    <xf numFmtId="0" fontId="116" fillId="47" borderId="10" xfId="0" applyFont="1" applyFill="1" applyBorder="1"/>
    <xf numFmtId="0" fontId="116" fillId="49" borderId="10" xfId="0" applyFont="1" applyFill="1" applyBorder="1" applyAlignment="1">
      <alignment horizontal="center"/>
    </xf>
    <xf numFmtId="0" fontId="0" fillId="0" borderId="0" xfId="0"/>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141" fillId="49" borderId="70" xfId="0" applyFont="1" applyFill="1" applyBorder="1" applyAlignment="1">
      <alignment horizontal="center" vertical="center"/>
    </xf>
    <xf numFmtId="0" fontId="141" fillId="49" borderId="71" xfId="0" applyFont="1" applyFill="1" applyBorder="1" applyAlignment="1">
      <alignment horizontal="center" vertical="center"/>
    </xf>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0" fillId="0" borderId="0" xfId="0"/>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141" fillId="47" borderId="70" xfId="0" applyFont="1" applyFill="1" applyBorder="1" applyAlignment="1">
      <alignment horizontal="center" vertical="center"/>
    </xf>
    <xf numFmtId="0" fontId="141" fillId="47" borderId="71" xfId="0" applyFont="1" applyFill="1" applyBorder="1" applyAlignment="1">
      <alignment horizontal="center" vertical="center"/>
    </xf>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231" fillId="49" borderId="0" xfId="0" applyFont="1" applyFill="1"/>
    <xf numFmtId="0" fontId="232" fillId="49" borderId="0" xfId="0" applyFont="1" applyFill="1"/>
    <xf numFmtId="0" fontId="141" fillId="49" borderId="70" xfId="0" applyFont="1" applyFill="1" applyBorder="1" applyAlignment="1">
      <alignment horizontal="center" vertical="center"/>
    </xf>
    <xf numFmtId="0" fontId="141" fillId="49" borderId="71" xfId="0" applyFont="1" applyFill="1" applyBorder="1" applyAlignment="1">
      <alignment horizontal="center" vertical="center"/>
    </xf>
    <xf numFmtId="0" fontId="7" fillId="0" borderId="0" xfId="0" applyFont="1" applyAlignment="1">
      <alignment horizontal="center"/>
    </xf>
    <xf numFmtId="179" fontId="7" fillId="0" borderId="0" xfId="0" applyNumberFormat="1" applyFont="1" applyAlignment="1">
      <alignment horizontal="center"/>
    </xf>
    <xf numFmtId="0" fontId="159" fillId="0" borderId="0" xfId="0" applyFont="1" applyFill="1" applyBorder="1" applyAlignment="1">
      <alignment horizontal="center"/>
    </xf>
    <xf numFmtId="179" fontId="159" fillId="0" borderId="0" xfId="0" applyNumberFormat="1" applyFont="1" applyFill="1" applyBorder="1" applyAlignment="1">
      <alignment horizontal="center"/>
    </xf>
    <xf numFmtId="3" fontId="7" fillId="41" borderId="0" xfId="0" applyNumberFormat="1" applyFont="1" applyFill="1" applyAlignment="1">
      <alignment horizontal="center" vertical="center"/>
    </xf>
    <xf numFmtId="0" fontId="7" fillId="41" borderId="0" xfId="0" applyFont="1" applyFill="1" applyAlignment="1">
      <alignment horizontal="center"/>
    </xf>
    <xf numFmtId="179" fontId="7" fillId="41" borderId="0" xfId="0" applyNumberFormat="1" applyFont="1" applyFill="1" applyAlignment="1">
      <alignment horizontal="center"/>
    </xf>
    <xf numFmtId="0" fontId="16" fillId="48" borderId="10" xfId="0" applyFont="1" applyFill="1" applyBorder="1" applyAlignment="1">
      <alignment horizontal="center"/>
    </xf>
    <xf numFmtId="3" fontId="16" fillId="48" borderId="10" xfId="0" applyNumberFormat="1" applyFont="1" applyFill="1" applyBorder="1" applyAlignment="1">
      <alignment horizontal="center" vertical="center"/>
    </xf>
    <xf numFmtId="179" fontId="16" fillId="48" borderId="10" xfId="0" applyNumberFormat="1" applyFont="1" applyFill="1" applyBorder="1" applyAlignment="1">
      <alignment horizontal="center" vertical="center"/>
    </xf>
    <xf numFmtId="0" fontId="7" fillId="41" borderId="10" xfId="0" applyFont="1" applyFill="1" applyBorder="1" applyAlignment="1">
      <alignment wrapText="1"/>
    </xf>
    <xf numFmtId="0" fontId="7" fillId="41" borderId="10" xfId="0" applyFont="1" applyFill="1" applyBorder="1" applyAlignment="1">
      <alignment horizontal="center" wrapText="1"/>
    </xf>
    <xf numFmtId="4" fontId="7" fillId="41" borderId="10" xfId="0" applyNumberFormat="1" applyFont="1" applyFill="1" applyBorder="1" applyAlignment="1">
      <alignment horizontal="center" vertical="center"/>
    </xf>
    <xf numFmtId="165" fontId="7" fillId="41" borderId="10" xfId="0" applyNumberFormat="1" applyFont="1" applyFill="1" applyBorder="1" applyAlignment="1">
      <alignment horizontal="center"/>
    </xf>
    <xf numFmtId="9" fontId="7" fillId="41" borderId="10" xfId="203" applyFont="1" applyFill="1" applyBorder="1" applyAlignment="1">
      <alignment horizontal="center"/>
    </xf>
    <xf numFmtId="179" fontId="15" fillId="41" borderId="10" xfId="0" applyNumberFormat="1" applyFont="1" applyFill="1" applyBorder="1" applyAlignment="1">
      <alignment horizontal="center"/>
    </xf>
    <xf numFmtId="0" fontId="15" fillId="41" borderId="0" xfId="0" applyFont="1" applyFill="1" applyBorder="1"/>
    <xf numFmtId="9" fontId="47" fillId="41" borderId="10" xfId="203" applyFont="1" applyFill="1" applyBorder="1" applyAlignment="1">
      <alignment horizontal="center"/>
    </xf>
    <xf numFmtId="0" fontId="7" fillId="41" borderId="0" xfId="0" applyFont="1" applyFill="1" applyBorder="1"/>
    <xf numFmtId="0" fontId="7" fillId="42" borderId="0" xfId="0" applyFont="1" applyFill="1"/>
    <xf numFmtId="0" fontId="16" fillId="41" borderId="10" xfId="0" applyFont="1" applyFill="1" applyBorder="1" applyAlignment="1">
      <alignment horizontal="center"/>
    </xf>
    <xf numFmtId="0" fontId="16" fillId="41" borderId="10" xfId="0" applyFont="1" applyFill="1" applyBorder="1" applyAlignment="1">
      <alignment horizontal="center" wrapText="1"/>
    </xf>
    <xf numFmtId="3" fontId="16" fillId="41" borderId="10" xfId="0" applyNumberFormat="1" applyFont="1" applyFill="1" applyBorder="1" applyAlignment="1">
      <alignment horizontal="center" vertical="center"/>
    </xf>
    <xf numFmtId="4" fontId="16" fillId="41" borderId="10" xfId="0" applyNumberFormat="1" applyFont="1" applyFill="1" applyBorder="1" applyAlignment="1">
      <alignment horizontal="center"/>
    </xf>
    <xf numFmtId="165" fontId="16" fillId="41" borderId="10" xfId="0" applyNumberFormat="1" applyFont="1" applyFill="1" applyBorder="1" applyAlignment="1">
      <alignment horizontal="center"/>
    </xf>
    <xf numFmtId="179" fontId="16" fillId="48" borderId="13" xfId="0" applyNumberFormat="1" applyFont="1" applyFill="1" applyBorder="1" applyAlignment="1">
      <alignment horizontal="center" vertical="center"/>
    </xf>
    <xf numFmtId="2" fontId="7" fillId="41" borderId="10" xfId="0" applyNumberFormat="1" applyFont="1" applyFill="1" applyBorder="1" applyAlignment="1">
      <alignment horizontal="center"/>
    </xf>
    <xf numFmtId="179" fontId="7" fillId="41" borderId="10" xfId="0" applyNumberFormat="1" applyFont="1" applyFill="1" applyBorder="1" applyAlignment="1">
      <alignment horizontal="center"/>
    </xf>
    <xf numFmtId="3" fontId="159" fillId="0" borderId="0" xfId="0" applyNumberFormat="1" applyFont="1" applyFill="1" applyBorder="1" applyAlignment="1">
      <alignment horizontal="center"/>
    </xf>
    <xf numFmtId="4" fontId="159" fillId="0" borderId="0" xfId="0" applyNumberFormat="1" applyFont="1" applyFill="1" applyBorder="1" applyAlignment="1">
      <alignment horizontal="center"/>
    </xf>
    <xf numFmtId="3" fontId="7" fillId="41" borderId="10" xfId="0" applyNumberFormat="1" applyFont="1" applyFill="1" applyBorder="1" applyAlignment="1">
      <alignment horizontal="center" vertical="center"/>
    </xf>
    <xf numFmtId="0" fontId="7" fillId="41" borderId="10" xfId="0" applyFont="1" applyFill="1" applyBorder="1" applyAlignment="1">
      <alignment horizontal="center" vertical="center" wrapText="1"/>
    </xf>
    <xf numFmtId="165" fontId="7" fillId="41" borderId="10" xfId="0" applyNumberFormat="1" applyFont="1" applyFill="1" applyBorder="1" applyAlignment="1">
      <alignment horizontal="center" vertical="center"/>
    </xf>
    <xf numFmtId="0" fontId="7" fillId="41" borderId="0" xfId="0" applyFont="1" applyFill="1" applyAlignment="1">
      <alignment horizontal="right"/>
    </xf>
    <xf numFmtId="3" fontId="7" fillId="41" borderId="0" xfId="0" applyNumberFormat="1" applyFont="1" applyFill="1" applyBorder="1" applyAlignment="1">
      <alignment horizontal="center" vertical="center"/>
    </xf>
    <xf numFmtId="4" fontId="7" fillId="41" borderId="0" xfId="0" applyNumberFormat="1" applyFont="1" applyFill="1" applyBorder="1" applyAlignment="1">
      <alignment horizontal="center"/>
    </xf>
    <xf numFmtId="165" fontId="7" fillId="41" borderId="0" xfId="0" applyNumberFormat="1" applyFont="1" applyFill="1" applyBorder="1" applyAlignment="1">
      <alignment horizontal="center"/>
    </xf>
    <xf numFmtId="165" fontId="16" fillId="48" borderId="10" xfId="0" applyNumberFormat="1" applyFont="1" applyFill="1" applyBorder="1" applyAlignment="1">
      <alignment horizontal="center"/>
    </xf>
    <xf numFmtId="0" fontId="7" fillId="41" borderId="0" xfId="0" applyFont="1" applyFill="1" applyBorder="1" applyAlignment="1">
      <alignment horizontal="center"/>
    </xf>
    <xf numFmtId="0" fontId="7" fillId="41" borderId="0" xfId="0" applyFont="1" applyFill="1" applyBorder="1" applyAlignment="1">
      <alignment horizontal="center" wrapText="1"/>
    </xf>
    <xf numFmtId="0" fontId="16" fillId="0" borderId="11" xfId="0" applyFont="1" applyFill="1" applyBorder="1" applyAlignment="1">
      <alignment horizontal="center"/>
    </xf>
    <xf numFmtId="0" fontId="16" fillId="0" borderId="0" xfId="0" applyFont="1" applyFill="1" applyBorder="1" applyAlignment="1">
      <alignment horizontal="center" wrapText="1"/>
    </xf>
    <xf numFmtId="3" fontId="16" fillId="0" borderId="0" xfId="0" applyNumberFormat="1" applyFont="1" applyFill="1" applyBorder="1" applyAlignment="1">
      <alignment horizontal="center" vertical="center"/>
    </xf>
    <xf numFmtId="165" fontId="16" fillId="0" borderId="0" xfId="0" applyNumberFormat="1" applyFont="1" applyFill="1" applyBorder="1" applyAlignment="1">
      <alignment horizontal="center"/>
    </xf>
    <xf numFmtId="0" fontId="7" fillId="0" borderId="0" xfId="0" applyFont="1" applyFill="1"/>
    <xf numFmtId="0" fontId="16" fillId="51" borderId="10" xfId="0" applyFont="1" applyFill="1" applyBorder="1" applyAlignment="1">
      <alignment horizontal="center"/>
    </xf>
    <xf numFmtId="3" fontId="16" fillId="51" borderId="10" xfId="0" applyNumberFormat="1" applyFont="1" applyFill="1" applyBorder="1" applyAlignment="1">
      <alignment horizontal="center" vertical="center"/>
    </xf>
    <xf numFmtId="179" fontId="16" fillId="51" borderId="13" xfId="0" applyNumberFormat="1" applyFont="1" applyFill="1" applyBorder="1" applyAlignment="1">
      <alignment horizontal="center" vertical="center"/>
    </xf>
    <xf numFmtId="169" fontId="7" fillId="41" borderId="10" xfId="0" applyNumberFormat="1" applyFont="1" applyFill="1" applyBorder="1" applyAlignment="1">
      <alignment horizontal="center" vertical="center"/>
    </xf>
    <xf numFmtId="172" fontId="7" fillId="41" borderId="10" xfId="0" applyNumberFormat="1" applyFont="1" applyFill="1" applyBorder="1" applyAlignment="1">
      <alignment horizontal="center"/>
    </xf>
    <xf numFmtId="172" fontId="7" fillId="41" borderId="10" xfId="0" applyNumberFormat="1" applyFont="1" applyFill="1" applyBorder="1" applyAlignment="1">
      <alignment horizontal="center" vertical="center"/>
    </xf>
    <xf numFmtId="179" fontId="16" fillId="41" borderId="13" xfId="0" applyNumberFormat="1" applyFont="1" applyFill="1" applyBorder="1" applyAlignment="1">
      <alignment horizontal="center" vertical="center"/>
    </xf>
    <xf numFmtId="0" fontId="16" fillId="41" borderId="10" xfId="0" applyFont="1" applyFill="1" applyBorder="1" applyAlignment="1">
      <alignment horizontal="center" vertical="center" wrapText="1"/>
    </xf>
    <xf numFmtId="4" fontId="16" fillId="41" borderId="10" xfId="0" applyNumberFormat="1" applyFont="1" applyFill="1" applyBorder="1" applyAlignment="1">
      <alignment horizontal="center" vertical="center"/>
    </xf>
    <xf numFmtId="164" fontId="16" fillId="41" borderId="10" xfId="0" applyNumberFormat="1" applyFont="1" applyFill="1" applyBorder="1" applyAlignment="1">
      <alignment horizontal="center"/>
    </xf>
    <xf numFmtId="0" fontId="16" fillId="41" borderId="11" xfId="0" applyFont="1" applyFill="1" applyBorder="1" applyAlignment="1">
      <alignment horizontal="center"/>
    </xf>
    <xf numFmtId="0" fontId="16" fillId="41" borderId="0" xfId="0" applyFont="1" applyFill="1" applyBorder="1" applyAlignment="1">
      <alignment horizontal="center" wrapText="1"/>
    </xf>
    <xf numFmtId="3" fontId="16" fillId="41" borderId="0" xfId="0" applyNumberFormat="1" applyFont="1" applyFill="1" applyBorder="1" applyAlignment="1">
      <alignment horizontal="center" vertical="center"/>
    </xf>
    <xf numFmtId="4" fontId="16" fillId="41" borderId="0" xfId="0" applyNumberFormat="1" applyFont="1" applyFill="1" applyBorder="1" applyAlignment="1">
      <alignment horizontal="center" vertical="center"/>
    </xf>
    <xf numFmtId="164" fontId="16" fillId="41" borderId="0" xfId="0" applyNumberFormat="1" applyFont="1" applyFill="1" applyBorder="1" applyAlignment="1">
      <alignment horizontal="center"/>
    </xf>
    <xf numFmtId="0" fontId="7" fillId="0" borderId="11" xfId="0" applyFont="1" applyFill="1" applyBorder="1" applyAlignment="1">
      <alignment horizontal="center"/>
    </xf>
    <xf numFmtId="0" fontId="7" fillId="0" borderId="0" xfId="0" applyFont="1" applyFill="1" applyBorder="1" applyAlignment="1">
      <alignment horizontal="center" wrapText="1"/>
    </xf>
    <xf numFmtId="3" fontId="7" fillId="0" borderId="0" xfId="0" applyNumberFormat="1" applyFont="1" applyFill="1" applyBorder="1" applyAlignment="1">
      <alignment horizontal="center" vertical="center"/>
    </xf>
    <xf numFmtId="4" fontId="7" fillId="0" borderId="0" xfId="0" applyNumberFormat="1" applyFont="1" applyFill="1" applyBorder="1" applyAlignment="1">
      <alignment horizontal="center"/>
    </xf>
    <xf numFmtId="0" fontId="7" fillId="0" borderId="0" xfId="0" applyFont="1" applyFill="1" applyAlignment="1">
      <alignment horizontal="center"/>
    </xf>
    <xf numFmtId="0" fontId="16" fillId="25" borderId="10" xfId="0" applyFont="1" applyFill="1" applyBorder="1" applyAlignment="1">
      <alignment horizontal="center"/>
    </xf>
    <xf numFmtId="3" fontId="16" fillId="25" borderId="10" xfId="0" applyNumberFormat="1" applyFont="1" applyFill="1" applyBorder="1" applyAlignment="1">
      <alignment horizontal="center" vertical="center"/>
    </xf>
    <xf numFmtId="179" fontId="16" fillId="25" borderId="13" xfId="0" applyNumberFormat="1" applyFont="1" applyFill="1" applyBorder="1" applyAlignment="1">
      <alignment horizontal="center" vertical="center"/>
    </xf>
    <xf numFmtId="0" fontId="7" fillId="41" borderId="12" xfId="0" applyFont="1" applyFill="1" applyBorder="1" applyAlignment="1">
      <alignment vertical="center" wrapText="1"/>
    </xf>
    <xf numFmtId="0" fontId="7" fillId="24" borderId="12" xfId="0" applyFont="1" applyFill="1" applyBorder="1" applyAlignment="1">
      <alignment horizontal="center"/>
    </xf>
    <xf numFmtId="169" fontId="7" fillId="44" borderId="10" xfId="0" applyNumberFormat="1" applyFont="1" applyFill="1" applyBorder="1" applyAlignment="1">
      <alignment horizontal="center" vertical="center"/>
    </xf>
    <xf numFmtId="167" fontId="15" fillId="24" borderId="10" xfId="0" applyNumberFormat="1" applyFont="1" applyFill="1" applyBorder="1" applyAlignment="1">
      <alignment horizontal="center" vertical="center"/>
    </xf>
    <xf numFmtId="4" fontId="7" fillId="24" borderId="10" xfId="0" applyNumberFormat="1" applyFont="1" applyFill="1" applyBorder="1" applyAlignment="1">
      <alignment horizontal="center" vertical="center"/>
    </xf>
    <xf numFmtId="169" fontId="7" fillId="0" borderId="33" xfId="184" applyNumberFormat="1" applyFont="1" applyFill="1" applyBorder="1" applyAlignment="1">
      <alignment horizontal="center" vertical="center"/>
    </xf>
    <xf numFmtId="165" fontId="7" fillId="24" borderId="10" xfId="0" applyNumberFormat="1" applyFont="1" applyFill="1" applyBorder="1" applyAlignment="1">
      <alignment horizontal="center"/>
    </xf>
    <xf numFmtId="9" fontId="233" fillId="41" borderId="10" xfId="203" applyFont="1" applyFill="1" applyBorder="1" applyAlignment="1">
      <alignment horizontal="center"/>
    </xf>
    <xf numFmtId="179" fontId="15" fillId="24" borderId="10" xfId="203" applyNumberFormat="1" applyFont="1" applyFill="1" applyBorder="1" applyAlignment="1">
      <alignment horizontal="center"/>
    </xf>
    <xf numFmtId="169" fontId="7" fillId="0" borderId="0" xfId="0" applyNumberFormat="1" applyFont="1"/>
    <xf numFmtId="0" fontId="55" fillId="0" borderId="92" xfId="255" applyFont="1" applyBorder="1" applyAlignment="1">
      <alignment horizontal="center" vertical="center" wrapText="1"/>
    </xf>
    <xf numFmtId="3" fontId="7" fillId="24" borderId="10" xfId="0" applyNumberFormat="1" applyFont="1" applyFill="1" applyBorder="1" applyAlignment="1">
      <alignment horizontal="center" vertical="center"/>
    </xf>
    <xf numFmtId="4" fontId="7" fillId="0" borderId="10" xfId="184" applyNumberFormat="1" applyFont="1" applyFill="1" applyBorder="1" applyAlignment="1">
      <alignment horizontal="center" vertical="center"/>
    </xf>
    <xf numFmtId="0" fontId="55" fillId="0" borderId="93" xfId="255" applyFont="1" applyBorder="1" applyAlignment="1">
      <alignment horizontal="center" vertical="center" wrapText="1"/>
    </xf>
    <xf numFmtId="169" fontId="116" fillId="44" borderId="10" xfId="0" applyNumberFormat="1" applyFont="1" applyFill="1" applyBorder="1" applyAlignment="1">
      <alignment horizontal="center" vertical="center"/>
    </xf>
    <xf numFmtId="4" fontId="7" fillId="0" borderId="16" xfId="184" applyNumberFormat="1" applyFont="1" applyFill="1" applyBorder="1" applyAlignment="1">
      <alignment horizontal="center" vertical="center"/>
    </xf>
    <xf numFmtId="165" fontId="7" fillId="0" borderId="10" xfId="0" applyNumberFormat="1" applyFont="1" applyFill="1" applyBorder="1" applyAlignment="1">
      <alignment horizontal="center"/>
    </xf>
    <xf numFmtId="179" fontId="15" fillId="0" borderId="10" xfId="203" applyNumberFormat="1" applyFont="1" applyFill="1" applyBorder="1" applyAlignment="1">
      <alignment horizontal="center"/>
    </xf>
    <xf numFmtId="0" fontId="7" fillId="63" borderId="0" xfId="0" applyFont="1" applyFill="1"/>
    <xf numFmtId="0" fontId="234" fillId="39" borderId="93" xfId="255" applyFont="1" applyFill="1" applyBorder="1" applyAlignment="1">
      <alignment horizontal="center" vertical="center" wrapText="1"/>
    </xf>
    <xf numFmtId="0" fontId="7" fillId="41" borderId="12" xfId="0" applyFont="1" applyFill="1" applyBorder="1" applyAlignment="1">
      <alignment horizontal="center"/>
    </xf>
    <xf numFmtId="4" fontId="7" fillId="41" borderId="16" xfId="184" applyNumberFormat="1" applyFont="1" applyFill="1" applyBorder="1" applyAlignment="1">
      <alignment horizontal="center" vertical="center"/>
    </xf>
    <xf numFmtId="179" fontId="15" fillId="41" borderId="10" xfId="203" applyNumberFormat="1" applyFont="1" applyFill="1" applyBorder="1" applyAlignment="1">
      <alignment horizontal="center"/>
    </xf>
    <xf numFmtId="0" fontId="37" fillId="41" borderId="0" xfId="0" applyFont="1" applyFill="1"/>
    <xf numFmtId="4" fontId="15" fillId="24" borderId="10" xfId="0" applyNumberFormat="1" applyFont="1" applyFill="1" applyBorder="1" applyAlignment="1">
      <alignment horizontal="center" vertical="center"/>
    </xf>
    <xf numFmtId="169" fontId="116" fillId="41" borderId="10" xfId="0" applyNumberFormat="1" applyFont="1" applyFill="1" applyBorder="1" applyAlignment="1">
      <alignment horizontal="center" vertical="center"/>
    </xf>
    <xf numFmtId="167" fontId="7" fillId="24" borderId="10" xfId="0" applyNumberFormat="1" applyFont="1" applyFill="1" applyBorder="1" applyAlignment="1">
      <alignment horizontal="center" vertical="center"/>
    </xf>
    <xf numFmtId="4" fontId="7" fillId="44" borderId="10" xfId="0" applyNumberFormat="1" applyFont="1" applyFill="1" applyBorder="1" applyAlignment="1">
      <alignment horizontal="center" vertical="center"/>
    </xf>
    <xf numFmtId="0" fontId="7" fillId="61" borderId="12" xfId="0" applyFont="1" applyFill="1" applyBorder="1" applyAlignment="1">
      <alignment horizontal="center"/>
    </xf>
    <xf numFmtId="3" fontId="7" fillId="61" borderId="10" xfId="0" applyNumberFormat="1" applyFont="1" applyFill="1" applyBorder="1" applyAlignment="1">
      <alignment horizontal="center" vertical="center"/>
    </xf>
    <xf numFmtId="4" fontId="116" fillId="61" borderId="16" xfId="184" applyNumberFormat="1" applyFont="1" applyFill="1" applyBorder="1" applyAlignment="1">
      <alignment horizontal="center" vertical="center"/>
    </xf>
    <xf numFmtId="165" fontId="7" fillId="61" borderId="10" xfId="0" applyNumberFormat="1" applyFont="1" applyFill="1" applyBorder="1" applyAlignment="1">
      <alignment horizontal="center"/>
    </xf>
    <xf numFmtId="179" fontId="15" fillId="61" borderId="10" xfId="203" applyNumberFormat="1" applyFont="1" applyFill="1" applyBorder="1" applyAlignment="1">
      <alignment horizontal="center"/>
    </xf>
    <xf numFmtId="0" fontId="7" fillId="61" borderId="0" xfId="0" applyFont="1" applyFill="1"/>
    <xf numFmtId="0" fontId="55" fillId="61" borderId="93" xfId="255" applyFont="1" applyFill="1" applyBorder="1" applyAlignment="1">
      <alignment horizontal="center" vertical="center" wrapText="1"/>
    </xf>
    <xf numFmtId="169" fontId="7" fillId="24" borderId="10" xfId="0" applyNumberFormat="1" applyFont="1" applyFill="1" applyBorder="1" applyAlignment="1">
      <alignment horizontal="center" vertical="center"/>
    </xf>
    <xf numFmtId="0" fontId="7" fillId="24" borderId="0" xfId="0" applyFont="1" applyFill="1"/>
    <xf numFmtId="0" fontId="55" fillId="0" borderId="98" xfId="255" applyFont="1" applyBorder="1" applyAlignment="1">
      <alignment horizontal="center" vertical="center" wrapText="1"/>
    </xf>
    <xf numFmtId="4" fontId="7" fillId="41" borderId="10" xfId="184" applyNumberFormat="1" applyFont="1" applyFill="1" applyBorder="1" applyAlignment="1">
      <alignment horizontal="center" vertical="center"/>
    </xf>
    <xf numFmtId="4" fontId="116" fillId="0" borderId="10" xfId="184" applyNumberFormat="1" applyFont="1" applyFill="1" applyBorder="1" applyAlignment="1">
      <alignment horizontal="center" vertical="center"/>
    </xf>
    <xf numFmtId="3" fontId="15" fillId="24" borderId="10" xfId="0" applyNumberFormat="1" applyFont="1" applyFill="1" applyBorder="1" applyAlignment="1">
      <alignment horizontal="center" vertical="center"/>
    </xf>
    <xf numFmtId="179" fontId="89" fillId="24" borderId="13" xfId="0" applyNumberFormat="1" applyFont="1" applyFill="1" applyBorder="1" applyAlignment="1">
      <alignment horizontal="center" vertical="center"/>
    </xf>
    <xf numFmtId="179" fontId="15" fillId="0" borderId="13" xfId="0" applyNumberFormat="1" applyFont="1" applyFill="1" applyBorder="1" applyAlignment="1">
      <alignment horizontal="center" vertical="center"/>
    </xf>
    <xf numFmtId="0" fontId="7" fillId="39" borderId="12" xfId="0" applyFont="1" applyFill="1" applyBorder="1" applyAlignment="1">
      <alignment horizontal="center"/>
    </xf>
    <xf numFmtId="169" fontId="7" fillId="39" borderId="10" xfId="0" applyNumberFormat="1" applyFont="1" applyFill="1" applyBorder="1" applyAlignment="1">
      <alignment horizontal="center" vertical="center"/>
    </xf>
    <xf numFmtId="3" fontId="7" fillId="39" borderId="10" xfId="0" applyNumberFormat="1" applyFont="1" applyFill="1" applyBorder="1" applyAlignment="1">
      <alignment horizontal="center" vertical="center"/>
    </xf>
    <xf numFmtId="4" fontId="7" fillId="39" borderId="10" xfId="0" applyNumberFormat="1" applyFont="1" applyFill="1" applyBorder="1" applyAlignment="1">
      <alignment horizontal="center" vertical="center"/>
    </xf>
    <xf numFmtId="4" fontId="7" fillId="39" borderId="10" xfId="184" applyNumberFormat="1" applyFont="1" applyFill="1" applyBorder="1" applyAlignment="1">
      <alignment horizontal="center" vertical="center"/>
    </xf>
    <xf numFmtId="165" fontId="7" fillId="39" borderId="10" xfId="0" applyNumberFormat="1" applyFont="1" applyFill="1" applyBorder="1" applyAlignment="1">
      <alignment horizontal="center"/>
    </xf>
    <xf numFmtId="9" fontId="233" fillId="39" borderId="10" xfId="203" applyFont="1" applyFill="1" applyBorder="1" applyAlignment="1">
      <alignment horizontal="center"/>
    </xf>
    <xf numFmtId="179" fontId="15" fillId="39" borderId="10" xfId="203" applyNumberFormat="1" applyFont="1" applyFill="1" applyBorder="1" applyAlignment="1">
      <alignment horizontal="center"/>
    </xf>
    <xf numFmtId="0" fontId="55" fillId="61" borderId="98" xfId="255" applyFont="1" applyFill="1" applyBorder="1" applyAlignment="1">
      <alignment horizontal="center" vertical="center" wrapText="1"/>
    </xf>
    <xf numFmtId="4" fontId="7" fillId="61" borderId="10" xfId="184" applyNumberFormat="1" applyFont="1" applyFill="1" applyBorder="1" applyAlignment="1">
      <alignment horizontal="center" vertical="center"/>
    </xf>
    <xf numFmtId="0" fontId="7" fillId="24" borderId="14" xfId="0" applyFont="1" applyFill="1" applyBorder="1" applyAlignment="1">
      <alignment horizontal="center"/>
    </xf>
    <xf numFmtId="179" fontId="80" fillId="41" borderId="10" xfId="0" applyNumberFormat="1" applyFont="1" applyFill="1" applyBorder="1" applyAlignment="1">
      <alignment horizontal="center"/>
    </xf>
    <xf numFmtId="0" fontId="7" fillId="24" borderId="10" xfId="0" applyFont="1" applyFill="1" applyBorder="1" applyAlignment="1">
      <alignment horizontal="center"/>
    </xf>
    <xf numFmtId="0" fontId="55" fillId="0" borderId="75" xfId="255" applyFont="1" applyBorder="1" applyAlignment="1">
      <alignment horizontal="center" vertical="center" wrapText="1"/>
    </xf>
    <xf numFmtId="179" fontId="15" fillId="0" borderId="38" xfId="203" applyNumberFormat="1" applyFont="1" applyFill="1" applyBorder="1" applyAlignment="1">
      <alignment horizontal="center"/>
    </xf>
    <xf numFmtId="0" fontId="55" fillId="0" borderId="0" xfId="255" applyFont="1" applyBorder="1" applyAlignment="1">
      <alignment horizontal="center" vertical="center" wrapText="1"/>
    </xf>
    <xf numFmtId="0" fontId="7" fillId="0" borderId="0" xfId="0" applyFont="1" applyFill="1" applyBorder="1" applyAlignment="1">
      <alignment vertical="center" wrapText="1"/>
    </xf>
    <xf numFmtId="169" fontId="216" fillId="44" borderId="10" xfId="0" applyNumberFormat="1" applyFont="1" applyFill="1" applyBorder="1" applyAlignment="1">
      <alignment horizontal="center" vertical="center"/>
    </xf>
    <xf numFmtId="3" fontId="116" fillId="24" borderId="10" xfId="0" applyNumberFormat="1" applyFont="1" applyFill="1" applyBorder="1" applyAlignment="1">
      <alignment horizontal="center" vertical="center"/>
    </xf>
    <xf numFmtId="4" fontId="7" fillId="0" borderId="20" xfId="184" applyNumberFormat="1" applyFont="1" applyFill="1" applyBorder="1" applyAlignment="1">
      <alignment horizontal="center" vertical="center"/>
    </xf>
    <xf numFmtId="0" fontId="16" fillId="0" borderId="72" xfId="0" applyFont="1" applyFill="1" applyBorder="1" applyAlignment="1">
      <alignment horizontal="center"/>
    </xf>
    <xf numFmtId="0" fontId="16" fillId="0" borderId="91" xfId="0" applyFont="1" applyFill="1" applyBorder="1" applyAlignment="1">
      <alignment horizontal="center"/>
    </xf>
    <xf numFmtId="3" fontId="16" fillId="26" borderId="59" xfId="0" applyNumberFormat="1" applyFont="1" applyFill="1" applyBorder="1" applyAlignment="1">
      <alignment horizontal="center" vertical="center"/>
    </xf>
    <xf numFmtId="4" fontId="16" fillId="26" borderId="59" xfId="0" applyNumberFormat="1" applyFont="1" applyFill="1" applyBorder="1" applyAlignment="1">
      <alignment horizontal="center" vertical="center"/>
    </xf>
    <xf numFmtId="4" fontId="16" fillId="26" borderId="10" xfId="0" applyNumberFormat="1" applyFont="1" applyFill="1" applyBorder="1" applyAlignment="1">
      <alignment horizontal="center"/>
    </xf>
    <xf numFmtId="168" fontId="16" fillId="26" borderId="59" xfId="0" applyNumberFormat="1" applyFont="1" applyFill="1" applyBorder="1" applyAlignment="1">
      <alignment horizontal="center" vertical="center"/>
    </xf>
    <xf numFmtId="179" fontId="7" fillId="0" borderId="73" xfId="203" applyNumberFormat="1" applyFont="1" applyFill="1" applyBorder="1" applyAlignment="1">
      <alignment horizontal="center"/>
    </xf>
    <xf numFmtId="0" fontId="7" fillId="0" borderId="0" xfId="0" applyFont="1" applyFill="1" applyAlignment="1">
      <alignment horizontal="right"/>
    </xf>
    <xf numFmtId="9" fontId="7" fillId="24" borderId="0" xfId="203" applyFont="1" applyFill="1" applyBorder="1" applyAlignment="1">
      <alignment horizontal="center"/>
    </xf>
    <xf numFmtId="0" fontId="16" fillId="25" borderId="38" xfId="0" applyFont="1" applyFill="1" applyBorder="1" applyAlignment="1">
      <alignment horizontal="center"/>
    </xf>
    <xf numFmtId="0" fontId="7" fillId="24" borderId="10" xfId="0" applyFont="1" applyFill="1" applyBorder="1" applyAlignment="1">
      <alignment horizontal="center" wrapText="1"/>
    </xf>
    <xf numFmtId="169" fontId="7" fillId="24" borderId="16" xfId="173" applyNumberFormat="1" applyFont="1" applyFill="1" applyBorder="1" applyAlignment="1">
      <alignment horizontal="center" vertical="center"/>
    </xf>
    <xf numFmtId="3" fontId="7" fillId="0" borderId="16" xfId="173" applyNumberFormat="1" applyFont="1" applyFill="1" applyBorder="1" applyAlignment="1">
      <alignment horizontal="center" vertical="center"/>
    </xf>
    <xf numFmtId="4" fontId="7" fillId="24" borderId="10" xfId="0" applyNumberFormat="1" applyFont="1" applyFill="1" applyBorder="1" applyAlignment="1">
      <alignment horizontal="center"/>
    </xf>
    <xf numFmtId="170" fontId="7" fillId="24" borderId="10" xfId="0" applyNumberFormat="1" applyFont="1" applyFill="1" applyBorder="1" applyAlignment="1">
      <alignment horizontal="center"/>
    </xf>
    <xf numFmtId="179" fontId="7" fillId="24" borderId="13" xfId="0" applyNumberFormat="1" applyFont="1" applyFill="1" applyBorder="1" applyAlignment="1">
      <alignment horizontal="center" vertical="center"/>
    </xf>
    <xf numFmtId="169" fontId="116" fillId="24" borderId="16" xfId="173" applyNumberFormat="1" applyFont="1" applyFill="1" applyBorder="1" applyAlignment="1">
      <alignment horizontal="center" vertical="center"/>
    </xf>
    <xf numFmtId="179" fontId="7" fillId="24" borderId="10" xfId="203" applyNumberFormat="1" applyFont="1" applyFill="1" applyBorder="1" applyAlignment="1">
      <alignment horizontal="center"/>
    </xf>
    <xf numFmtId="3" fontId="7" fillId="41" borderId="16" xfId="173" applyNumberFormat="1" applyFont="1" applyFill="1" applyBorder="1" applyAlignment="1">
      <alignment horizontal="center" vertical="center"/>
    </xf>
    <xf numFmtId="4" fontId="7" fillId="41" borderId="10" xfId="0" applyNumberFormat="1" applyFont="1" applyFill="1" applyBorder="1" applyAlignment="1">
      <alignment horizontal="center"/>
    </xf>
    <xf numFmtId="170" fontId="7" fillId="41" borderId="10" xfId="0" applyNumberFormat="1" applyFont="1" applyFill="1" applyBorder="1" applyAlignment="1">
      <alignment horizontal="center"/>
    </xf>
    <xf numFmtId="179" fontId="7" fillId="0" borderId="10" xfId="203" applyNumberFormat="1" applyFont="1" applyFill="1" applyBorder="1" applyAlignment="1">
      <alignment horizontal="center"/>
    </xf>
    <xf numFmtId="3" fontId="7" fillId="39" borderId="16" xfId="173" applyNumberFormat="1" applyFont="1" applyFill="1" applyBorder="1" applyAlignment="1">
      <alignment horizontal="center" vertical="center"/>
    </xf>
    <xf numFmtId="4" fontId="7" fillId="39" borderId="10" xfId="0" applyNumberFormat="1" applyFont="1" applyFill="1" applyBorder="1" applyAlignment="1">
      <alignment horizontal="center"/>
    </xf>
    <xf numFmtId="170" fontId="7" fillId="39" borderId="10" xfId="0" applyNumberFormat="1" applyFont="1" applyFill="1" applyBorder="1" applyAlignment="1">
      <alignment horizontal="center"/>
    </xf>
    <xf numFmtId="169" fontId="7" fillId="0" borderId="16" xfId="173" applyNumberFormat="1" applyFont="1" applyFill="1" applyBorder="1" applyAlignment="1">
      <alignment horizontal="center" vertical="center"/>
    </xf>
    <xf numFmtId="179" fontId="7" fillId="0" borderId="13" xfId="0" applyNumberFormat="1" applyFont="1" applyFill="1" applyBorder="1" applyAlignment="1">
      <alignment horizontal="center" vertical="center"/>
    </xf>
    <xf numFmtId="179" fontId="15" fillId="0" borderId="10" xfId="0" applyNumberFormat="1" applyFont="1" applyFill="1" applyBorder="1" applyAlignment="1">
      <alignment horizontal="center"/>
    </xf>
    <xf numFmtId="4" fontId="7" fillId="0" borderId="16" xfId="173" applyNumberFormat="1" applyFont="1" applyFill="1" applyBorder="1" applyAlignment="1">
      <alignment horizontal="center" vertical="center"/>
    </xf>
    <xf numFmtId="179" fontId="80" fillId="24" borderId="10" xfId="0" applyNumberFormat="1" applyFont="1" applyFill="1" applyBorder="1" applyAlignment="1">
      <alignment horizontal="center"/>
    </xf>
    <xf numFmtId="179" fontId="7" fillId="41" borderId="13" xfId="0" applyNumberFormat="1" applyFont="1" applyFill="1" applyBorder="1" applyAlignment="1">
      <alignment horizontal="center" vertical="center"/>
    </xf>
    <xf numFmtId="0" fontId="7" fillId="39" borderId="10" xfId="0" applyFont="1" applyFill="1" applyBorder="1" applyAlignment="1">
      <alignment horizontal="center" wrapText="1"/>
    </xf>
    <xf numFmtId="0" fontId="7" fillId="41" borderId="12" xfId="0" applyFont="1" applyFill="1" applyBorder="1" applyAlignment="1">
      <alignment horizontal="center" wrapText="1"/>
    </xf>
    <xf numFmtId="169" fontId="7" fillId="24" borderId="0" xfId="0" applyNumberFormat="1" applyFont="1" applyFill="1"/>
    <xf numFmtId="3" fontId="16" fillId="41" borderId="16" xfId="173" applyNumberFormat="1" applyFont="1" applyFill="1" applyBorder="1" applyAlignment="1">
      <alignment horizontal="center" vertical="center"/>
    </xf>
    <xf numFmtId="3" fontId="16" fillId="41" borderId="10" xfId="0" applyNumberFormat="1" applyFont="1" applyFill="1" applyBorder="1" applyAlignment="1">
      <alignment horizontal="center"/>
    </xf>
    <xf numFmtId="170" fontId="16" fillId="41" borderId="16" xfId="0" applyNumberFormat="1" applyFont="1" applyFill="1" applyBorder="1" applyAlignment="1">
      <alignment horizontal="center" vertical="center"/>
    </xf>
    <xf numFmtId="4" fontId="235" fillId="0" borderId="0" xfId="0" applyNumberFormat="1" applyFont="1" applyFill="1" applyBorder="1" applyAlignment="1">
      <alignment horizontal="center"/>
    </xf>
    <xf numFmtId="9" fontId="7" fillId="0" borderId="0" xfId="203" applyFont="1" applyFill="1" applyBorder="1" applyAlignment="1">
      <alignment horizontal="center"/>
    </xf>
    <xf numFmtId="3" fontId="7" fillId="0" borderId="0" xfId="0" applyNumberFormat="1" applyFont="1" applyFill="1" applyAlignment="1">
      <alignment horizontal="center" vertical="center"/>
    </xf>
    <xf numFmtId="4" fontId="7" fillId="0" borderId="0" xfId="0" applyNumberFormat="1" applyFont="1" applyFill="1" applyAlignment="1">
      <alignment horizontal="center"/>
    </xf>
    <xf numFmtId="0" fontId="16" fillId="0" borderId="0" xfId="0" applyFont="1" applyFill="1" applyBorder="1" applyAlignment="1">
      <alignment horizontal="center"/>
    </xf>
    <xf numFmtId="2" fontId="7" fillId="0" borderId="0" xfId="0" applyNumberFormat="1" applyFont="1" applyBorder="1" applyAlignment="1">
      <alignment horizontal="center"/>
    </xf>
    <xf numFmtId="2" fontId="7" fillId="0" borderId="0" xfId="0" applyNumberFormat="1" applyFont="1" applyBorder="1"/>
    <xf numFmtId="2" fontId="7" fillId="0" borderId="0" xfId="0" applyNumberFormat="1" applyFont="1" applyFill="1" applyBorder="1"/>
    <xf numFmtId="0" fontId="16" fillId="41" borderId="0" xfId="0" applyFont="1" applyFill="1" applyAlignment="1">
      <alignment horizontal="center"/>
    </xf>
    <xf numFmtId="0" fontId="16" fillId="0" borderId="0" xfId="0" applyFont="1" applyFill="1" applyAlignment="1">
      <alignment horizontal="center"/>
    </xf>
    <xf numFmtId="0" fontId="38" fillId="41" borderId="10" xfId="0" applyFont="1" applyFill="1" applyBorder="1" applyAlignment="1">
      <alignment wrapText="1"/>
    </xf>
    <xf numFmtId="169" fontId="37" fillId="24" borderId="10" xfId="0" applyNumberFormat="1" applyFont="1" applyFill="1" applyBorder="1" applyAlignment="1">
      <alignment horizontal="center" vertical="center"/>
    </xf>
    <xf numFmtId="169" fontId="7" fillId="0" borderId="10" xfId="0" applyNumberFormat="1" applyFont="1" applyFill="1" applyBorder="1" applyAlignment="1">
      <alignment horizontal="center" vertical="center"/>
    </xf>
    <xf numFmtId="169" fontId="7" fillId="0" borderId="10" xfId="0" applyNumberFormat="1" applyFont="1" applyFill="1" applyBorder="1" applyAlignment="1">
      <alignment horizontal="center"/>
    </xf>
    <xf numFmtId="179" fontId="7" fillId="0" borderId="10" xfId="0" applyNumberFormat="1" applyFont="1" applyFill="1" applyBorder="1" applyAlignment="1">
      <alignment horizontal="center"/>
    </xf>
    <xf numFmtId="0" fontId="7" fillId="31" borderId="10" xfId="0" applyFont="1" applyFill="1" applyBorder="1" applyAlignment="1">
      <alignment horizontal="center"/>
    </xf>
    <xf numFmtId="2" fontId="7" fillId="24" borderId="10" xfId="0" applyNumberFormat="1" applyFont="1" applyFill="1" applyBorder="1" applyAlignment="1">
      <alignment horizontal="center"/>
    </xf>
    <xf numFmtId="2" fontId="7" fillId="0" borderId="10" xfId="0" applyNumberFormat="1" applyFont="1" applyFill="1" applyBorder="1" applyAlignment="1">
      <alignment horizontal="center"/>
    </xf>
    <xf numFmtId="2" fontId="7" fillId="0" borderId="13" xfId="0" applyNumberFormat="1" applyFont="1" applyFill="1" applyBorder="1" applyAlignment="1">
      <alignment horizontal="center"/>
    </xf>
    <xf numFmtId="2" fontId="7" fillId="0" borderId="10" xfId="0" applyNumberFormat="1" applyFont="1" applyFill="1" applyBorder="1"/>
    <xf numFmtId="2" fontId="7" fillId="0" borderId="16" xfId="0" applyNumberFormat="1" applyFont="1" applyFill="1" applyBorder="1"/>
    <xf numFmtId="0" fontId="7" fillId="30" borderId="10" xfId="0" applyFont="1" applyFill="1" applyBorder="1" applyAlignment="1">
      <alignment horizontal="center"/>
    </xf>
    <xf numFmtId="173" fontId="7" fillId="24" borderId="10" xfId="0" applyNumberFormat="1" applyFont="1" applyFill="1" applyBorder="1" applyAlignment="1">
      <alignment horizontal="center" vertical="center"/>
    </xf>
    <xf numFmtId="2" fontId="7" fillId="0" borderId="10" xfId="0" applyNumberFormat="1" applyFont="1" applyFill="1" applyBorder="1" applyAlignment="1"/>
    <xf numFmtId="0" fontId="7" fillId="29" borderId="10" xfId="0" applyFont="1" applyFill="1" applyBorder="1" applyAlignment="1">
      <alignment horizontal="center"/>
    </xf>
    <xf numFmtId="173" fontId="16" fillId="25" borderId="10" xfId="0" applyNumberFormat="1" applyFont="1" applyFill="1" applyBorder="1" applyAlignment="1">
      <alignment horizontal="center"/>
    </xf>
    <xf numFmtId="2" fontId="7" fillId="0" borderId="10" xfId="0" applyNumberFormat="1" applyFont="1" applyBorder="1"/>
    <xf numFmtId="3" fontId="7" fillId="53" borderId="10" xfId="0" applyNumberFormat="1" applyFont="1" applyFill="1" applyBorder="1" applyAlignment="1">
      <alignment horizontal="center" vertical="center"/>
    </xf>
    <xf numFmtId="2" fontId="7" fillId="0" borderId="0" xfId="0" applyNumberFormat="1" applyFont="1"/>
    <xf numFmtId="0" fontId="38" fillId="24" borderId="10" xfId="0" applyFont="1" applyFill="1" applyBorder="1" applyAlignment="1">
      <alignment wrapText="1"/>
    </xf>
    <xf numFmtId="0" fontId="7" fillId="29" borderId="20" xfId="0" applyFont="1" applyFill="1" applyBorder="1" applyAlignment="1">
      <alignment horizontal="center"/>
    </xf>
    <xf numFmtId="0" fontId="16" fillId="0" borderId="10" xfId="0" applyFont="1" applyFill="1" applyBorder="1" applyAlignment="1">
      <alignment horizontal="center"/>
    </xf>
    <xf numFmtId="3" fontId="16" fillId="24" borderId="10" xfId="0" applyNumberFormat="1" applyFont="1" applyFill="1" applyBorder="1" applyAlignment="1">
      <alignment horizontal="center" vertical="center"/>
    </xf>
    <xf numFmtId="3" fontId="7" fillId="0" borderId="10" xfId="0" applyNumberFormat="1" applyFont="1" applyFill="1" applyBorder="1" applyAlignment="1">
      <alignment horizontal="center" vertical="center"/>
    </xf>
    <xf numFmtId="169" fontId="16" fillId="0" borderId="10" xfId="0" applyNumberFormat="1" applyFont="1" applyFill="1" applyBorder="1" applyAlignment="1">
      <alignment horizontal="center"/>
    </xf>
    <xf numFmtId="3" fontId="16" fillId="0" borderId="10" xfId="0" applyNumberFormat="1" applyFont="1" applyFill="1" applyBorder="1" applyAlignment="1">
      <alignment horizontal="center"/>
    </xf>
    <xf numFmtId="3" fontId="7" fillId="0" borderId="0" xfId="0" applyNumberFormat="1" applyFont="1"/>
    <xf numFmtId="0" fontId="7" fillId="24" borderId="10" xfId="0" applyFont="1" applyFill="1" applyBorder="1" applyAlignment="1">
      <alignment horizontal="center" vertical="center" wrapText="1"/>
    </xf>
    <xf numFmtId="173" fontId="7" fillId="0" borderId="10" xfId="0" applyNumberFormat="1" applyFont="1" applyFill="1" applyBorder="1" applyAlignment="1">
      <alignment horizontal="center" vertical="center"/>
    </xf>
    <xf numFmtId="0" fontId="16" fillId="24" borderId="10" xfId="0" applyFont="1" applyFill="1" applyBorder="1" applyAlignment="1">
      <alignment horizontal="center" vertical="center" wrapText="1"/>
    </xf>
    <xf numFmtId="3" fontId="16" fillId="0" borderId="10" xfId="0" applyNumberFormat="1" applyFont="1" applyFill="1" applyBorder="1" applyAlignment="1">
      <alignment horizontal="center" vertical="center"/>
    </xf>
    <xf numFmtId="0" fontId="7" fillId="0" borderId="0" xfId="0" applyFont="1" applyFill="1" applyBorder="1" applyAlignment="1">
      <alignment horizontal="center"/>
    </xf>
    <xf numFmtId="4" fontId="7" fillId="0" borderId="0" xfId="0" applyNumberFormat="1" applyFont="1" applyFill="1" applyBorder="1" applyAlignment="1">
      <alignment horizontal="center" vertical="center"/>
    </xf>
    <xf numFmtId="0" fontId="16" fillId="0" borderId="10" xfId="0" applyFont="1" applyFill="1" applyBorder="1" applyAlignment="1">
      <alignment horizontal="center" vertical="center" wrapText="1"/>
    </xf>
    <xf numFmtId="0" fontId="7" fillId="0" borderId="10" xfId="0" applyFont="1" applyFill="1" applyBorder="1" applyAlignment="1">
      <alignment wrapText="1"/>
    </xf>
    <xf numFmtId="2" fontId="7" fillId="0" borderId="10" xfId="0" applyNumberFormat="1" applyFont="1" applyFill="1" applyBorder="1" applyAlignment="1">
      <alignment horizontal="center" vertical="center"/>
    </xf>
    <xf numFmtId="174" fontId="7" fillId="39" borderId="10" xfId="0" applyNumberFormat="1" applyFont="1" applyFill="1" applyBorder="1" applyAlignment="1">
      <alignment horizontal="center"/>
    </xf>
    <xf numFmtId="2" fontId="16" fillId="0" borderId="10" xfId="0" applyNumberFormat="1" applyFont="1" applyFill="1" applyBorder="1" applyAlignment="1">
      <alignment horizontal="center" vertical="center"/>
    </xf>
    <xf numFmtId="179" fontId="7" fillId="0" borderId="10" xfId="0" applyNumberFormat="1" applyFont="1" applyBorder="1" applyAlignment="1">
      <alignment horizontal="center"/>
    </xf>
    <xf numFmtId="174" fontId="7" fillId="0" borderId="0" xfId="0" applyNumberFormat="1" applyFont="1"/>
    <xf numFmtId="0" fontId="7" fillId="0" borderId="20" xfId="0" applyFont="1" applyFill="1" applyBorder="1" applyAlignment="1">
      <alignment wrapText="1"/>
    </xf>
    <xf numFmtId="173" fontId="16" fillId="0" borderId="10" xfId="0" applyNumberFormat="1" applyFont="1" applyFill="1" applyBorder="1" applyAlignment="1">
      <alignment horizontal="center" vertical="center"/>
    </xf>
    <xf numFmtId="179" fontId="7" fillId="0" borderId="0" xfId="0" applyNumberFormat="1" applyFont="1" applyFill="1" applyAlignment="1">
      <alignment horizontal="center"/>
    </xf>
    <xf numFmtId="2" fontId="7" fillId="39" borderId="0" xfId="0" applyNumberFormat="1" applyFont="1" applyFill="1"/>
    <xf numFmtId="0" fontId="53" fillId="0" borderId="0" xfId="0" applyFont="1" applyFill="1" applyBorder="1" applyAlignment="1">
      <alignment horizontal="center"/>
    </xf>
    <xf numFmtId="3" fontId="38" fillId="0" borderId="0" xfId="0" applyNumberFormat="1" applyFont="1" applyAlignment="1">
      <alignment horizontal="center" vertical="center"/>
    </xf>
    <xf numFmtId="3" fontId="38" fillId="0" borderId="0" xfId="0" applyNumberFormat="1" applyFont="1" applyFill="1" applyAlignment="1">
      <alignment horizontal="center" vertical="center"/>
    </xf>
    <xf numFmtId="0" fontId="39" fillId="25" borderId="10" xfId="0" applyFont="1" applyFill="1" applyBorder="1" applyAlignment="1">
      <alignment horizontal="center"/>
    </xf>
    <xf numFmtId="3" fontId="39" fillId="25" borderId="10" xfId="0" applyNumberFormat="1" applyFont="1" applyFill="1" applyBorder="1" applyAlignment="1">
      <alignment horizontal="center" vertical="center"/>
    </xf>
    <xf numFmtId="3" fontId="39" fillId="25" borderId="13" xfId="0" applyNumberFormat="1" applyFont="1" applyFill="1" applyBorder="1" applyAlignment="1">
      <alignment horizontal="center" vertical="center"/>
    </xf>
    <xf numFmtId="0" fontId="38" fillId="0" borderId="10" xfId="0" applyFont="1" applyFill="1" applyBorder="1" applyAlignment="1">
      <alignment wrapText="1"/>
    </xf>
    <xf numFmtId="0" fontId="38" fillId="24" borderId="10" xfId="0" applyFont="1" applyFill="1" applyBorder="1" applyAlignment="1">
      <alignment horizontal="center" wrapText="1"/>
    </xf>
    <xf numFmtId="3" fontId="38" fillId="0" borderId="10" xfId="0" applyNumberFormat="1" applyFont="1" applyFill="1" applyBorder="1" applyAlignment="1">
      <alignment horizontal="center" vertical="center"/>
    </xf>
    <xf numFmtId="164" fontId="38" fillId="0" borderId="10" xfId="0" applyNumberFormat="1" applyFont="1" applyFill="1" applyBorder="1" applyAlignment="1">
      <alignment horizontal="center"/>
    </xf>
    <xf numFmtId="9" fontId="38" fillId="39" borderId="10" xfId="203" applyFont="1" applyFill="1" applyBorder="1" applyAlignment="1">
      <alignment horizontal="center"/>
    </xf>
    <xf numFmtId="16" fontId="112" fillId="39" borderId="10" xfId="0" applyNumberFormat="1" applyFont="1" applyFill="1" applyBorder="1" applyAlignment="1">
      <alignment horizontal="center"/>
    </xf>
    <xf numFmtId="0" fontId="38" fillId="24" borderId="10" xfId="0" applyFont="1" applyFill="1" applyBorder="1" applyAlignment="1">
      <alignment horizontal="center" vertical="center" wrapText="1"/>
    </xf>
    <xf numFmtId="9" fontId="38" fillId="24" borderId="10" xfId="203" applyFont="1" applyFill="1" applyBorder="1" applyAlignment="1">
      <alignment horizontal="center"/>
    </xf>
    <xf numFmtId="16" fontId="38" fillId="0" borderId="10" xfId="0" applyNumberFormat="1" applyFont="1" applyBorder="1" applyAlignment="1">
      <alignment horizontal="center"/>
    </xf>
    <xf numFmtId="0" fontId="39" fillId="0" borderId="10" xfId="0" applyFont="1" applyFill="1" applyBorder="1" applyAlignment="1">
      <alignment horizontal="center"/>
    </xf>
    <xf numFmtId="3" fontId="39" fillId="0" borderId="10" xfId="0" applyNumberFormat="1" applyFont="1" applyFill="1" applyBorder="1" applyAlignment="1">
      <alignment horizontal="center" vertical="center"/>
    </xf>
    <xf numFmtId="4" fontId="39" fillId="0" borderId="10" xfId="0" applyNumberFormat="1" applyFont="1" applyFill="1" applyBorder="1" applyAlignment="1">
      <alignment horizontal="center"/>
    </xf>
    <xf numFmtId="0" fontId="38" fillId="0" borderId="0" xfId="0" applyFont="1" applyFill="1" applyAlignment="1">
      <alignment horizontal="right"/>
    </xf>
    <xf numFmtId="3" fontId="38" fillId="0" borderId="0" xfId="0" applyNumberFormat="1" applyFont="1" applyFill="1" applyBorder="1" applyAlignment="1">
      <alignment horizontal="center" vertical="center"/>
    </xf>
    <xf numFmtId="4" fontId="38" fillId="0" borderId="0" xfId="0" applyNumberFormat="1" applyFont="1" applyFill="1" applyBorder="1" applyAlignment="1">
      <alignment horizontal="center"/>
    </xf>
    <xf numFmtId="16" fontId="89" fillId="0" borderId="10" xfId="0" applyNumberFormat="1" applyFont="1" applyFill="1" applyBorder="1" applyAlignment="1">
      <alignment horizontal="center"/>
    </xf>
    <xf numFmtId="179" fontId="89" fillId="0" borderId="10" xfId="203" applyNumberFormat="1" applyFont="1" applyFill="1" applyBorder="1" applyAlignment="1">
      <alignment horizontal="center"/>
    </xf>
    <xf numFmtId="0" fontId="39" fillId="0" borderId="10" xfId="0" applyFont="1" applyFill="1" applyBorder="1" applyAlignment="1">
      <alignment horizontal="center" wrapText="1"/>
    </xf>
    <xf numFmtId="4" fontId="39" fillId="0" borderId="10" xfId="0" applyNumberFormat="1" applyFont="1" applyFill="1" applyBorder="1" applyAlignment="1">
      <alignment horizontal="center" vertical="center"/>
    </xf>
    <xf numFmtId="164" fontId="39" fillId="0" borderId="10" xfId="0" applyNumberFormat="1" applyFont="1" applyFill="1" applyBorder="1" applyAlignment="1">
      <alignment horizontal="center"/>
    </xf>
    <xf numFmtId="0" fontId="38" fillId="0" borderId="0" xfId="0" applyFont="1" applyFill="1" applyBorder="1" applyAlignment="1">
      <alignment horizontal="center"/>
    </xf>
    <xf numFmtId="0" fontId="38" fillId="0" borderId="0" xfId="0" applyFont="1" applyFill="1" applyBorder="1" applyAlignment="1">
      <alignment horizontal="center" wrapText="1"/>
    </xf>
    <xf numFmtId="3" fontId="39" fillId="25" borderId="11" xfId="0" applyNumberFormat="1" applyFont="1" applyFill="1" applyBorder="1" applyAlignment="1">
      <alignment horizontal="center" vertical="center"/>
    </xf>
    <xf numFmtId="9" fontId="126" fillId="24" borderId="10" xfId="203" applyFont="1" applyFill="1" applyBorder="1" applyAlignment="1">
      <alignment horizontal="center"/>
    </xf>
    <xf numFmtId="179" fontId="109" fillId="0" borderId="12" xfId="0" applyNumberFormat="1" applyFont="1" applyFill="1" applyBorder="1" applyAlignment="1">
      <alignment horizontal="center"/>
    </xf>
    <xf numFmtId="177" fontId="89" fillId="0" borderId="10" xfId="0" applyNumberFormat="1" applyFont="1" applyBorder="1" applyAlignment="1">
      <alignment horizontal="center"/>
    </xf>
    <xf numFmtId="0" fontId="39" fillId="0" borderId="0" xfId="0" applyFont="1" applyFill="1" applyBorder="1" applyAlignment="1">
      <alignment horizontal="center"/>
    </xf>
    <xf numFmtId="0" fontId="39" fillId="0" borderId="0" xfId="0" applyFont="1" applyFill="1" applyBorder="1" applyAlignment="1">
      <alignment horizontal="center" wrapText="1"/>
    </xf>
    <xf numFmtId="3" fontId="39" fillId="0" borderId="0" xfId="0" applyNumberFormat="1" applyFont="1" applyFill="1" applyBorder="1" applyAlignment="1">
      <alignment horizontal="center" vertical="center"/>
    </xf>
    <xf numFmtId="4" fontId="39" fillId="0" borderId="0" xfId="0" applyNumberFormat="1" applyFont="1" applyFill="1" applyBorder="1" applyAlignment="1">
      <alignment horizontal="center" vertical="center"/>
    </xf>
    <xf numFmtId="4" fontId="39" fillId="0" borderId="0" xfId="0" applyNumberFormat="1" applyFont="1" applyFill="1" applyBorder="1" applyAlignment="1">
      <alignment horizontal="center"/>
    </xf>
    <xf numFmtId="0" fontId="38" fillId="0" borderId="10" xfId="0" applyFont="1" applyFill="1" applyBorder="1" applyAlignment="1">
      <alignment vertical="center" wrapText="1"/>
    </xf>
    <xf numFmtId="0" fontId="38" fillId="24" borderId="10" xfId="0" applyFont="1" applyFill="1" applyBorder="1" applyAlignment="1">
      <alignment vertical="center" wrapText="1"/>
    </xf>
    <xf numFmtId="169" fontId="38" fillId="54" borderId="10" xfId="0" applyNumberFormat="1" applyFont="1" applyFill="1" applyBorder="1" applyAlignment="1">
      <alignment horizontal="center" vertical="center"/>
    </xf>
    <xf numFmtId="3" fontId="89" fillId="0" borderId="10" xfId="0" applyNumberFormat="1" applyFont="1" applyFill="1" applyBorder="1" applyAlignment="1">
      <alignment horizontal="center" vertical="center"/>
    </xf>
    <xf numFmtId="3" fontId="38" fillId="41" borderId="10" xfId="0" applyNumberFormat="1" applyFont="1" applyFill="1" applyBorder="1" applyAlignment="1">
      <alignment horizontal="center" vertical="center"/>
    </xf>
    <xf numFmtId="2" fontId="38" fillId="0" borderId="10" xfId="0" applyNumberFormat="1" applyFont="1" applyFill="1" applyBorder="1" applyAlignment="1">
      <alignment horizontal="center" vertical="center"/>
    </xf>
    <xf numFmtId="164" fontId="38" fillId="0" borderId="10" xfId="0" applyNumberFormat="1" applyFont="1" applyFill="1" applyBorder="1" applyAlignment="1">
      <alignment horizontal="center" vertical="center"/>
    </xf>
    <xf numFmtId="179" fontId="38" fillId="0" borderId="10" xfId="0" applyNumberFormat="1" applyFont="1" applyFill="1" applyBorder="1" applyAlignment="1">
      <alignment vertical="center"/>
    </xf>
    <xf numFmtId="0" fontId="7" fillId="0" borderId="0" xfId="0" applyFont="1" applyAlignment="1">
      <alignment vertical="center"/>
    </xf>
    <xf numFmtId="179" fontId="89" fillId="0" borderId="10" xfId="0" applyNumberFormat="1" applyFont="1" applyBorder="1" applyAlignment="1">
      <alignment horizontal="center" vertical="center"/>
    </xf>
    <xf numFmtId="179" fontId="38" fillId="0" borderId="0" xfId="0" applyNumberFormat="1" applyFont="1" applyAlignment="1">
      <alignment horizontal="center"/>
    </xf>
    <xf numFmtId="179" fontId="39" fillId="25" borderId="13" xfId="0" applyNumberFormat="1" applyFont="1" applyFill="1" applyBorder="1" applyAlignment="1">
      <alignment horizontal="center" vertical="center"/>
    </xf>
    <xf numFmtId="179" fontId="89" fillId="0" borderId="10" xfId="0" applyNumberFormat="1" applyFont="1" applyFill="1" applyBorder="1" applyAlignment="1">
      <alignment horizontal="center" vertical="center"/>
    </xf>
    <xf numFmtId="179" fontId="38" fillId="0" borderId="10" xfId="0" applyNumberFormat="1" applyFont="1" applyFill="1" applyBorder="1" applyAlignment="1">
      <alignment horizontal="center"/>
    </xf>
    <xf numFmtId="0" fontId="38" fillId="41" borderId="16" xfId="173" applyFont="1" applyFill="1" applyBorder="1" applyAlignment="1">
      <alignment horizontal="left" vertical="center" wrapText="1"/>
    </xf>
    <xf numFmtId="0" fontId="38" fillId="41" borderId="12" xfId="0" applyFont="1" applyFill="1" applyBorder="1" applyAlignment="1">
      <alignment horizontal="center"/>
    </xf>
    <xf numFmtId="3" fontId="72" fillId="41" borderId="10" xfId="0" applyNumberFormat="1" applyFont="1" applyFill="1" applyBorder="1" applyAlignment="1">
      <alignment horizontal="center" vertical="center"/>
    </xf>
    <xf numFmtId="3" fontId="89" fillId="24" borderId="10" xfId="0" applyNumberFormat="1" applyFont="1" applyFill="1" applyBorder="1" applyAlignment="1">
      <alignment horizontal="center" vertical="center"/>
    </xf>
    <xf numFmtId="4" fontId="39" fillId="0" borderId="33" xfId="184" applyNumberFormat="1" applyFont="1" applyFill="1" applyBorder="1" applyAlignment="1">
      <alignment horizontal="center" vertical="center"/>
    </xf>
    <xf numFmtId="165" fontId="38" fillId="0" borderId="10" xfId="0" applyNumberFormat="1" applyFont="1" applyFill="1" applyBorder="1" applyAlignment="1">
      <alignment horizontal="center"/>
    </xf>
    <xf numFmtId="179" fontId="112" fillId="41" borderId="10" xfId="0" applyNumberFormat="1" applyFont="1" applyFill="1" applyBorder="1" applyAlignment="1">
      <alignment horizontal="center"/>
    </xf>
    <xf numFmtId="3" fontId="72" fillId="24" borderId="10" xfId="0" applyNumberFormat="1" applyFont="1" applyFill="1" applyBorder="1" applyAlignment="1">
      <alignment horizontal="center" vertical="center"/>
    </xf>
    <xf numFmtId="169" fontId="39" fillId="0" borderId="16" xfId="184" applyNumberFormat="1" applyFont="1" applyFill="1" applyBorder="1" applyAlignment="1">
      <alignment horizontal="center" vertical="center"/>
    </xf>
    <xf numFmtId="4" fontId="39" fillId="0" borderId="16" xfId="184" applyNumberFormat="1" applyFont="1" applyFill="1" applyBorder="1" applyAlignment="1">
      <alignment horizontal="center" vertical="center"/>
    </xf>
    <xf numFmtId="165" fontId="38" fillId="39" borderId="10" xfId="0" applyNumberFormat="1" applyFont="1" applyFill="1" applyBorder="1" applyAlignment="1">
      <alignment horizontal="center"/>
    </xf>
    <xf numFmtId="0" fontId="7" fillId="41" borderId="12" xfId="0" applyFont="1" applyFill="1" applyBorder="1" applyAlignment="1">
      <alignment horizontal="left" vertical="center" wrapText="1"/>
    </xf>
    <xf numFmtId="4" fontId="39" fillId="41" borderId="16" xfId="184" applyNumberFormat="1" applyFont="1" applyFill="1" applyBorder="1" applyAlignment="1">
      <alignment horizontal="center" vertical="center"/>
    </xf>
    <xf numFmtId="165" fontId="38" fillId="41" borderId="10" xfId="0" applyNumberFormat="1" applyFont="1" applyFill="1" applyBorder="1" applyAlignment="1">
      <alignment horizontal="center"/>
    </xf>
    <xf numFmtId="4" fontId="7" fillId="41" borderId="0" xfId="0" applyNumberFormat="1" applyFont="1" applyFill="1"/>
    <xf numFmtId="3" fontId="89" fillId="41" borderId="10" xfId="0" applyNumberFormat="1" applyFont="1" applyFill="1" applyBorder="1" applyAlignment="1">
      <alignment horizontal="center" vertical="center"/>
    </xf>
    <xf numFmtId="4" fontId="112" fillId="0" borderId="10" xfId="184" applyNumberFormat="1" applyFont="1" applyFill="1" applyBorder="1" applyAlignment="1">
      <alignment horizontal="center" vertical="center"/>
    </xf>
    <xf numFmtId="165" fontId="38" fillId="24" borderId="10" xfId="0" applyNumberFormat="1" applyFont="1" applyFill="1" applyBorder="1" applyAlignment="1">
      <alignment horizontal="center"/>
    </xf>
    <xf numFmtId="4" fontId="39" fillId="0" borderId="10" xfId="184" applyNumberFormat="1" applyFont="1" applyFill="1" applyBorder="1" applyAlignment="1">
      <alignment horizontal="center" vertical="center"/>
    </xf>
    <xf numFmtId="4" fontId="39" fillId="41" borderId="10" xfId="184" applyNumberFormat="1" applyFont="1" applyFill="1" applyBorder="1" applyAlignment="1">
      <alignment horizontal="center" vertical="center"/>
    </xf>
    <xf numFmtId="4" fontId="39" fillId="0" borderId="20" xfId="184" applyNumberFormat="1" applyFont="1" applyFill="1" applyBorder="1" applyAlignment="1">
      <alignment horizontal="center" vertical="center"/>
    </xf>
    <xf numFmtId="3" fontId="112" fillId="61" borderId="0" xfId="257" applyNumberFormat="1" applyFont="1" applyFill="1" applyBorder="1" applyAlignment="1">
      <alignment horizontal="center" vertical="center"/>
    </xf>
    <xf numFmtId="0" fontId="39" fillId="41" borderId="10" xfId="0" applyFont="1" applyFill="1" applyBorder="1" applyAlignment="1">
      <alignment horizontal="left"/>
    </xf>
    <xf numFmtId="0" fontId="39" fillId="0" borderId="12" xfId="0" applyFont="1" applyFill="1" applyBorder="1" applyAlignment="1">
      <alignment horizontal="center"/>
    </xf>
    <xf numFmtId="3" fontId="81" fillId="41" borderId="10" xfId="0" applyNumberFormat="1" applyFont="1" applyFill="1" applyBorder="1" applyAlignment="1">
      <alignment horizontal="center" vertical="center"/>
    </xf>
    <xf numFmtId="170" fontId="39" fillId="39" borderId="10" xfId="0" applyNumberFormat="1" applyFont="1" applyFill="1" applyBorder="1" applyAlignment="1">
      <alignment horizontal="center"/>
    </xf>
    <xf numFmtId="1" fontId="38" fillId="0" borderId="10" xfId="203" applyNumberFormat="1" applyFont="1" applyFill="1" applyBorder="1" applyAlignment="1">
      <alignment horizontal="center"/>
    </xf>
    <xf numFmtId="4" fontId="7" fillId="39" borderId="0" xfId="0" applyNumberFormat="1" applyFont="1" applyFill="1" applyBorder="1" applyAlignment="1">
      <alignment horizontal="center"/>
    </xf>
    <xf numFmtId="0" fontId="7" fillId="24" borderId="0" xfId="0" applyFont="1" applyFill="1" applyBorder="1" applyAlignment="1">
      <alignment horizontal="center"/>
    </xf>
    <xf numFmtId="0" fontId="38" fillId="41" borderId="0" xfId="0" applyFont="1" applyFill="1" applyAlignment="1">
      <alignment horizontal="left"/>
    </xf>
    <xf numFmtId="9" fontId="38" fillId="0" borderId="0" xfId="203" applyFont="1" applyFill="1" applyBorder="1" applyAlignment="1">
      <alignment horizontal="center"/>
    </xf>
    <xf numFmtId="3" fontId="109" fillId="24" borderId="10" xfId="0" applyNumberFormat="1" applyFont="1" applyFill="1" applyBorder="1" applyAlignment="1">
      <alignment horizontal="center" vertical="center"/>
    </xf>
    <xf numFmtId="3" fontId="38" fillId="24" borderId="10" xfId="0" applyNumberFormat="1" applyFont="1" applyFill="1" applyBorder="1" applyAlignment="1">
      <alignment horizontal="center" vertical="center"/>
    </xf>
    <xf numFmtId="4" fontId="38" fillId="0" borderId="10" xfId="0" applyNumberFormat="1" applyFont="1" applyFill="1" applyBorder="1" applyAlignment="1">
      <alignment horizontal="center"/>
    </xf>
    <xf numFmtId="179" fontId="38" fillId="0" borderId="13" xfId="0" applyNumberFormat="1" applyFont="1" applyFill="1" applyBorder="1" applyAlignment="1">
      <alignment horizontal="center" vertical="center"/>
    </xf>
    <xf numFmtId="173" fontId="7" fillId="24" borderId="0" xfId="0" applyNumberFormat="1" applyFont="1" applyFill="1" applyBorder="1"/>
    <xf numFmtId="179" fontId="38" fillId="24" borderId="10" xfId="203" applyNumberFormat="1" applyFont="1" applyFill="1" applyBorder="1" applyAlignment="1">
      <alignment horizontal="center"/>
    </xf>
    <xf numFmtId="179" fontId="38" fillId="24" borderId="10" xfId="0" applyNumberFormat="1" applyFont="1" applyFill="1" applyBorder="1" applyAlignment="1">
      <alignment horizontal="center"/>
    </xf>
    <xf numFmtId="179" fontId="89" fillId="24" borderId="10" xfId="0" applyNumberFormat="1" applyFont="1" applyFill="1" applyBorder="1" applyAlignment="1">
      <alignment horizontal="center"/>
    </xf>
    <xf numFmtId="0" fontId="38" fillId="41" borderId="10" xfId="0" applyFont="1" applyFill="1" applyBorder="1" applyAlignment="1">
      <alignment horizontal="center" wrapText="1"/>
    </xf>
    <xf numFmtId="4" fontId="38" fillId="41" borderId="10" xfId="0" applyNumberFormat="1" applyFont="1" applyFill="1" applyBorder="1" applyAlignment="1">
      <alignment horizontal="center"/>
    </xf>
    <xf numFmtId="179" fontId="38" fillId="41" borderId="13" xfId="203" applyNumberFormat="1" applyFont="1" applyFill="1" applyBorder="1" applyAlignment="1">
      <alignment horizontal="center"/>
    </xf>
    <xf numFmtId="179" fontId="89" fillId="41" borderId="13" xfId="203" applyNumberFormat="1" applyFont="1" applyFill="1" applyBorder="1" applyAlignment="1">
      <alignment horizontal="center"/>
    </xf>
    <xf numFmtId="179" fontId="38" fillId="41" borderId="13" xfId="0" applyNumberFormat="1" applyFont="1" applyFill="1" applyBorder="1" applyAlignment="1">
      <alignment horizontal="center" vertical="center"/>
    </xf>
    <xf numFmtId="179" fontId="89" fillId="41" borderId="10" xfId="203" applyNumberFormat="1" applyFont="1" applyFill="1" applyBorder="1" applyAlignment="1">
      <alignment horizontal="center"/>
    </xf>
    <xf numFmtId="179" fontId="38" fillId="41" borderId="10" xfId="203" applyNumberFormat="1" applyFont="1" applyFill="1" applyBorder="1" applyAlignment="1">
      <alignment horizontal="center"/>
    </xf>
    <xf numFmtId="179" fontId="89" fillId="41" borderId="13" xfId="0" applyNumberFormat="1" applyFont="1" applyFill="1" applyBorder="1" applyAlignment="1">
      <alignment horizontal="center" vertical="center"/>
    </xf>
    <xf numFmtId="179" fontId="38" fillId="41" borderId="10" xfId="0" applyNumberFormat="1" applyFont="1" applyFill="1" applyBorder="1" applyAlignment="1">
      <alignment horizontal="center"/>
    </xf>
    <xf numFmtId="179" fontId="38" fillId="0" borderId="10" xfId="203" applyNumberFormat="1" applyFont="1" applyFill="1" applyBorder="1" applyAlignment="1">
      <alignment horizontal="center"/>
    </xf>
    <xf numFmtId="179" fontId="89" fillId="41" borderId="10" xfId="0" applyNumberFormat="1" applyFont="1" applyFill="1" applyBorder="1" applyAlignment="1">
      <alignment horizontal="center"/>
    </xf>
    <xf numFmtId="179" fontId="112" fillId="41" borderId="10" xfId="203" applyNumberFormat="1" applyFont="1" applyFill="1" applyBorder="1" applyAlignment="1">
      <alignment horizontal="center"/>
    </xf>
    <xf numFmtId="0" fontId="89" fillId="41" borderId="10" xfId="0" applyFont="1" applyFill="1" applyBorder="1" applyAlignment="1">
      <alignment horizontal="center"/>
    </xf>
    <xf numFmtId="0" fontId="38" fillId="0" borderId="16" xfId="173" applyFont="1" applyBorder="1" applyAlignment="1">
      <alignment horizontal="left" vertical="center" wrapText="1"/>
    </xf>
    <xf numFmtId="0" fontId="89" fillId="0" borderId="10" xfId="0" applyFont="1" applyFill="1" applyBorder="1" applyAlignment="1">
      <alignment horizontal="center"/>
    </xf>
    <xf numFmtId="0" fontId="39" fillId="0" borderId="10" xfId="0" applyFont="1" applyFill="1" applyBorder="1" applyAlignment="1">
      <alignment horizontal="left"/>
    </xf>
    <xf numFmtId="3" fontId="39" fillId="41" borderId="10" xfId="0" applyNumberFormat="1" applyFont="1" applyFill="1" applyBorder="1" applyAlignment="1">
      <alignment horizontal="center" vertical="center"/>
    </xf>
    <xf numFmtId="3" fontId="39" fillId="41" borderId="10" xfId="0" applyNumberFormat="1" applyFont="1" applyFill="1" applyBorder="1" applyAlignment="1">
      <alignment horizontal="center"/>
    </xf>
    <xf numFmtId="4" fontId="39" fillId="39" borderId="10" xfId="0" applyNumberFormat="1" applyFont="1" applyFill="1" applyBorder="1" applyAlignment="1">
      <alignment horizontal="center"/>
    </xf>
    <xf numFmtId="170" fontId="39" fillId="41" borderId="10" xfId="0" applyNumberFormat="1" applyFont="1" applyFill="1" applyBorder="1" applyAlignment="1">
      <alignment horizontal="center"/>
    </xf>
    <xf numFmtId="0" fontId="38" fillId="0" borderId="10" xfId="0" applyFont="1" applyFill="1" applyBorder="1" applyAlignment="1">
      <alignment horizontal="center"/>
    </xf>
    <xf numFmtId="4" fontId="7" fillId="0" borderId="0" xfId="0" applyNumberFormat="1" applyFont="1" applyBorder="1"/>
    <xf numFmtId="173" fontId="38" fillId="54" borderId="10" xfId="0" applyNumberFormat="1" applyFont="1" applyFill="1" applyBorder="1" applyAlignment="1">
      <alignment horizontal="center" vertical="center"/>
    </xf>
    <xf numFmtId="1" fontId="38" fillId="24" borderId="10" xfId="0" applyNumberFormat="1" applyFont="1" applyFill="1" applyBorder="1" applyAlignment="1">
      <alignment horizontal="center" vertical="center"/>
    </xf>
    <xf numFmtId="186" fontId="38" fillId="24" borderId="10" xfId="157" applyNumberFormat="1" applyFont="1" applyFill="1" applyBorder="1" applyAlignment="1">
      <alignment horizontal="center" vertical="center"/>
    </xf>
    <xf numFmtId="181" fontId="38" fillId="24" borderId="10" xfId="157" applyNumberFormat="1" applyFont="1" applyFill="1" applyBorder="1" applyAlignment="1">
      <alignment horizontal="center"/>
    </xf>
    <xf numFmtId="186" fontId="38" fillId="0" borderId="10" xfId="157" applyNumberFormat="1" applyFont="1" applyFill="1" applyBorder="1" applyAlignment="1">
      <alignment horizontal="center"/>
    </xf>
    <xf numFmtId="16" fontId="112" fillId="0" borderId="10" xfId="0" applyNumberFormat="1" applyFont="1" applyFill="1" applyBorder="1" applyAlignment="1">
      <alignment horizontal="center"/>
    </xf>
    <xf numFmtId="186" fontId="38" fillId="24" borderId="10" xfId="157" applyNumberFormat="1" applyFont="1" applyFill="1" applyBorder="1" applyAlignment="1">
      <alignment vertical="center"/>
    </xf>
    <xf numFmtId="173" fontId="38" fillId="24" borderId="10" xfId="0" applyNumberFormat="1" applyFont="1" applyFill="1" applyBorder="1" applyAlignment="1">
      <alignment horizontal="center" vertical="center"/>
    </xf>
    <xf numFmtId="2" fontId="116" fillId="39" borderId="10" xfId="0" applyNumberFormat="1" applyFont="1" applyFill="1" applyBorder="1"/>
    <xf numFmtId="43" fontId="38" fillId="24" borderId="10" xfId="157" applyNumberFormat="1" applyFont="1" applyFill="1" applyBorder="1" applyAlignment="1">
      <alignment vertical="center"/>
    </xf>
    <xf numFmtId="1" fontId="39" fillId="0" borderId="10" xfId="0" applyNumberFormat="1" applyFont="1" applyFill="1" applyBorder="1" applyAlignment="1">
      <alignment horizontal="center" vertical="center"/>
    </xf>
    <xf numFmtId="1" fontId="38" fillId="0" borderId="10" xfId="0" applyNumberFormat="1" applyFont="1" applyFill="1" applyBorder="1" applyAlignment="1">
      <alignment horizontal="center" vertical="center"/>
    </xf>
    <xf numFmtId="43" fontId="39" fillId="0" borderId="10" xfId="157" applyNumberFormat="1" applyFont="1" applyFill="1" applyBorder="1" applyAlignment="1">
      <alignment horizontal="center" vertical="center"/>
    </xf>
    <xf numFmtId="181" fontId="39" fillId="0" borderId="10" xfId="157" applyNumberFormat="1" applyFont="1" applyFill="1" applyBorder="1" applyAlignment="1">
      <alignment horizontal="center"/>
    </xf>
    <xf numFmtId="43" fontId="38" fillId="0" borderId="10" xfId="157" applyNumberFormat="1" applyFont="1" applyFill="1" applyBorder="1" applyAlignment="1">
      <alignment horizontal="center"/>
    </xf>
    <xf numFmtId="0" fontId="38" fillId="41" borderId="10" xfId="0" applyFont="1" applyFill="1" applyBorder="1" applyAlignment="1">
      <alignment horizontal="center" vertical="center" wrapText="1"/>
    </xf>
    <xf numFmtId="173" fontId="38" fillId="0" borderId="10" xfId="0" applyNumberFormat="1" applyFont="1" applyFill="1" applyBorder="1" applyAlignment="1">
      <alignment horizontal="center" vertical="center"/>
    </xf>
    <xf numFmtId="173" fontId="38" fillId="0" borderId="10" xfId="0" applyNumberFormat="1" applyFont="1" applyFill="1" applyBorder="1" applyAlignment="1">
      <alignment horizontal="center"/>
    </xf>
    <xf numFmtId="14" fontId="112" fillId="0" borderId="10" xfId="0" applyNumberFormat="1" applyFont="1" applyFill="1" applyBorder="1" applyAlignment="1">
      <alignment horizontal="center"/>
    </xf>
    <xf numFmtId="0" fontId="109" fillId="0" borderId="10" xfId="0" applyFont="1" applyFill="1" applyBorder="1" applyAlignment="1">
      <alignment horizontal="center"/>
    </xf>
    <xf numFmtId="16" fontId="38" fillId="0" borderId="10" xfId="0" applyNumberFormat="1" applyFont="1" applyFill="1" applyBorder="1" applyAlignment="1">
      <alignment horizontal="center"/>
    </xf>
    <xf numFmtId="0" fontId="39" fillId="0" borderId="10" xfId="0" applyFont="1" applyFill="1" applyBorder="1" applyAlignment="1">
      <alignment horizontal="center" vertical="center" wrapText="1"/>
    </xf>
    <xf numFmtId="2" fontId="39" fillId="0" borderId="10" xfId="0" applyNumberFormat="1" applyFont="1" applyFill="1" applyBorder="1" applyAlignment="1">
      <alignment horizontal="center" vertical="center"/>
    </xf>
    <xf numFmtId="4" fontId="38" fillId="0" borderId="0" xfId="0" applyNumberFormat="1" applyFont="1" applyFill="1" applyBorder="1" applyAlignment="1">
      <alignment horizontal="center" vertical="center"/>
    </xf>
    <xf numFmtId="173" fontId="38" fillId="24" borderId="10" xfId="0" applyNumberFormat="1" applyFont="1" applyFill="1" applyBorder="1" applyAlignment="1">
      <alignment horizontal="center"/>
    </xf>
    <xf numFmtId="1" fontId="89" fillId="0" borderId="10" xfId="0" applyNumberFormat="1" applyFont="1" applyFill="1" applyBorder="1" applyAlignment="1">
      <alignment horizontal="center" vertical="center"/>
    </xf>
    <xf numFmtId="3" fontId="39" fillId="0" borderId="10" xfId="0" applyNumberFormat="1" applyFont="1" applyFill="1" applyBorder="1" applyAlignment="1">
      <alignment horizontal="center"/>
    </xf>
    <xf numFmtId="173" fontId="38" fillId="41" borderId="10" xfId="0" applyNumberFormat="1" applyFont="1" applyFill="1" applyBorder="1" applyAlignment="1">
      <alignment horizontal="center" vertical="center"/>
    </xf>
    <xf numFmtId="173" fontId="38" fillId="41" borderId="0" xfId="0" applyNumberFormat="1" applyFont="1" applyFill="1" applyBorder="1" applyAlignment="1">
      <alignment horizontal="center" vertical="center"/>
    </xf>
    <xf numFmtId="173" fontId="38" fillId="0" borderId="0" xfId="0" applyNumberFormat="1" applyFont="1" applyFill="1" applyBorder="1" applyAlignment="1">
      <alignment horizontal="center" vertical="center"/>
    </xf>
    <xf numFmtId="173" fontId="7" fillId="0" borderId="0" xfId="0" applyNumberFormat="1" applyFont="1" applyBorder="1"/>
    <xf numFmtId="2" fontId="89" fillId="41" borderId="10" xfId="0" applyNumberFormat="1" applyFont="1" applyFill="1" applyBorder="1" applyAlignment="1">
      <alignment horizontal="center" vertical="center"/>
    </xf>
    <xf numFmtId="2" fontId="38" fillId="0" borderId="0" xfId="0" applyNumberFormat="1" applyFont="1" applyFill="1" applyBorder="1" applyAlignment="1">
      <alignment horizontal="center" vertical="center"/>
    </xf>
    <xf numFmtId="0" fontId="7" fillId="41" borderId="20" xfId="0" applyFont="1" applyFill="1" applyBorder="1" applyAlignment="1">
      <alignment wrapText="1"/>
    </xf>
    <xf numFmtId="2" fontId="112" fillId="41" borderId="10" xfId="0" applyNumberFormat="1" applyFont="1" applyFill="1" applyBorder="1" applyAlignment="1">
      <alignment horizontal="center" vertical="center"/>
    </xf>
    <xf numFmtId="0" fontId="89" fillId="24" borderId="10" xfId="0" applyFont="1" applyFill="1" applyBorder="1" applyAlignment="1">
      <alignment horizontal="center"/>
    </xf>
    <xf numFmtId="0" fontId="39" fillId="24" borderId="10" xfId="0" applyFont="1" applyFill="1" applyBorder="1" applyAlignment="1">
      <alignment horizontal="center"/>
    </xf>
    <xf numFmtId="173" fontId="39" fillId="0" borderId="10" xfId="0" applyNumberFormat="1" applyFont="1" applyFill="1" applyBorder="1" applyAlignment="1">
      <alignment horizontal="center" vertical="center"/>
    </xf>
    <xf numFmtId="1" fontId="38" fillId="0" borderId="0" xfId="0" applyNumberFormat="1" applyFont="1" applyFill="1" applyBorder="1" applyAlignment="1">
      <alignment horizontal="center" vertical="center"/>
    </xf>
    <xf numFmtId="1" fontId="38" fillId="0" borderId="0" xfId="0" applyNumberFormat="1" applyFont="1" applyFill="1" applyBorder="1" applyAlignment="1">
      <alignment horizontal="center"/>
    </xf>
    <xf numFmtId="173" fontId="39" fillId="25" borderId="10" xfId="0" applyNumberFormat="1" applyFont="1" applyFill="1" applyBorder="1" applyAlignment="1">
      <alignment horizontal="center" vertical="center"/>
    </xf>
    <xf numFmtId="1" fontId="39" fillId="25" borderId="10" xfId="0" applyNumberFormat="1" applyFont="1" applyFill="1" applyBorder="1" applyAlignment="1">
      <alignment horizontal="center" vertical="center"/>
    </xf>
    <xf numFmtId="1" fontId="39" fillId="25" borderId="10" xfId="0" applyNumberFormat="1" applyFont="1" applyFill="1" applyBorder="1" applyAlignment="1">
      <alignment horizontal="center"/>
    </xf>
    <xf numFmtId="0" fontId="119" fillId="49" borderId="13" xfId="195" applyFont="1" applyFill="1" applyBorder="1" applyAlignment="1">
      <alignment horizontal="center" vertical="center" wrapText="1"/>
    </xf>
    <xf numFmtId="0" fontId="147" fillId="49" borderId="13" xfId="195" applyFont="1" applyFill="1" applyBorder="1" applyAlignment="1">
      <alignment horizontal="center" vertical="center" wrapText="1"/>
    </xf>
    <xf numFmtId="0" fontId="7" fillId="49" borderId="16" xfId="0" applyFont="1" applyFill="1" applyBorder="1"/>
    <xf numFmtId="0" fontId="0" fillId="49" borderId="16" xfId="0" applyFill="1" applyBorder="1" applyAlignment="1">
      <alignment horizontal="center"/>
    </xf>
    <xf numFmtId="0" fontId="0" fillId="49" borderId="16" xfId="0" applyFill="1" applyBorder="1"/>
    <xf numFmtId="173" fontId="0" fillId="49" borderId="16" xfId="0" applyNumberFormat="1" applyFill="1" applyBorder="1"/>
    <xf numFmtId="0" fontId="0" fillId="49" borderId="33" xfId="0" applyFill="1" applyBorder="1" applyAlignment="1">
      <alignment horizontal="center"/>
    </xf>
    <xf numFmtId="0" fontId="0" fillId="49" borderId="33" xfId="0" applyFill="1" applyBorder="1"/>
    <xf numFmtId="0" fontId="0" fillId="49" borderId="46" xfId="0" applyFill="1" applyBorder="1" applyAlignment="1">
      <alignment horizontal="center"/>
    </xf>
    <xf numFmtId="0" fontId="0" fillId="49" borderId="46" xfId="0" applyFill="1" applyBorder="1"/>
    <xf numFmtId="0" fontId="0" fillId="49" borderId="54" xfId="0" applyFill="1" applyBorder="1" applyAlignment="1">
      <alignment horizontal="center"/>
    </xf>
    <xf numFmtId="0" fontId="0" fillId="49" borderId="54" xfId="0" applyFill="1" applyBorder="1"/>
    <xf numFmtId="0" fontId="0" fillId="49" borderId="37" xfId="0" applyFill="1" applyBorder="1"/>
    <xf numFmtId="0" fontId="7" fillId="49" borderId="33" xfId="0" applyFont="1" applyFill="1" applyBorder="1"/>
    <xf numFmtId="0" fontId="0" fillId="49" borderId="36" xfId="0" applyFill="1" applyBorder="1"/>
    <xf numFmtId="0" fontId="0" fillId="49" borderId="44" xfId="0" applyFill="1" applyBorder="1"/>
    <xf numFmtId="0" fontId="7" fillId="49" borderId="46" xfId="0" applyFont="1" applyFill="1" applyBorder="1"/>
    <xf numFmtId="0" fontId="0" fillId="49" borderId="52" xfId="0" applyFill="1" applyBorder="1"/>
    <xf numFmtId="0" fontId="7" fillId="49" borderId="54" xfId="0" applyFont="1" applyFill="1" applyBorder="1"/>
    <xf numFmtId="0" fontId="204" fillId="64" borderId="0" xfId="0" applyFont="1" applyFill="1"/>
    <xf numFmtId="0" fontId="205" fillId="64" borderId="0" xfId="0" applyFont="1" applyFill="1"/>
    <xf numFmtId="0" fontId="206" fillId="64" borderId="0" xfId="0" applyFont="1" applyFill="1"/>
    <xf numFmtId="0" fontId="207" fillId="64" borderId="0" xfId="0" applyFont="1" applyFill="1" applyAlignment="1">
      <alignment horizontal="left"/>
    </xf>
    <xf numFmtId="0" fontId="206" fillId="64" borderId="0" xfId="0" applyFont="1" applyFill="1" applyAlignment="1">
      <alignment horizontal="center" vertical="center"/>
    </xf>
    <xf numFmtId="0" fontId="208" fillId="64" borderId="70" xfId="0" applyFont="1" applyFill="1" applyBorder="1" applyAlignment="1">
      <alignment horizontal="center" vertical="center"/>
    </xf>
    <xf numFmtId="0" fontId="208" fillId="64" borderId="71" xfId="0" applyFont="1" applyFill="1" applyBorder="1" applyAlignment="1">
      <alignment horizontal="center" vertical="center"/>
    </xf>
    <xf numFmtId="0" fontId="209" fillId="64" borderId="20" xfId="195" applyFont="1" applyFill="1" applyBorder="1" applyAlignment="1">
      <alignment horizontal="center" vertical="center" wrapText="1"/>
    </xf>
    <xf numFmtId="0" fontId="209" fillId="64" borderId="10" xfId="195" applyFont="1" applyFill="1" applyBorder="1" applyAlignment="1">
      <alignment horizontal="center" vertical="center" wrapText="1"/>
    </xf>
    <xf numFmtId="0" fontId="206" fillId="64" borderId="10" xfId="0" applyFont="1" applyFill="1" applyBorder="1"/>
    <xf numFmtId="0" fontId="206" fillId="64" borderId="10" xfId="0" applyFont="1" applyFill="1" applyBorder="1" applyAlignment="1">
      <alignment horizontal="center"/>
    </xf>
    <xf numFmtId="0" fontId="206" fillId="64" borderId="13" xfId="0" applyFont="1" applyFill="1" applyBorder="1"/>
    <xf numFmtId="0" fontId="206" fillId="64" borderId="13" xfId="0" applyFont="1" applyFill="1" applyBorder="1" applyAlignment="1">
      <alignment horizontal="center"/>
    </xf>
    <xf numFmtId="0" fontId="210" fillId="64" borderId="13" xfId="0" applyFont="1" applyFill="1" applyBorder="1"/>
    <xf numFmtId="0" fontId="10" fillId="39" borderId="176" xfId="0" applyFont="1" applyFill="1" applyBorder="1" applyAlignment="1">
      <alignment horizontal="center" vertical="center" wrapText="1"/>
    </xf>
    <xf numFmtId="3" fontId="10" fillId="39" borderId="183" xfId="0" applyNumberFormat="1" applyFont="1" applyFill="1" applyBorder="1" applyAlignment="1">
      <alignment horizontal="center"/>
    </xf>
    <xf numFmtId="3" fontId="7" fillId="0" borderId="184" xfId="0" applyNumberFormat="1" applyFont="1" applyBorder="1" applyAlignment="1">
      <alignment horizontal="center" vertical="center"/>
    </xf>
    <xf numFmtId="3" fontId="10" fillId="45" borderId="63" xfId="0" applyNumberFormat="1" applyFont="1" applyFill="1" applyBorder="1" applyAlignment="1">
      <alignment horizontal="center" vertical="center"/>
    </xf>
    <xf numFmtId="3" fontId="10" fillId="45" borderId="64" xfId="0" applyNumberFormat="1" applyFont="1" applyFill="1" applyBorder="1" applyAlignment="1">
      <alignment horizontal="center" vertical="center"/>
    </xf>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141" fillId="49" borderId="27" xfId="0" applyFont="1" applyFill="1" applyBorder="1" applyAlignment="1">
      <alignment horizontal="center" vertical="center"/>
    </xf>
    <xf numFmtId="0" fontId="141" fillId="49" borderId="21" xfId="0" applyFont="1" applyFill="1" applyBorder="1" applyAlignment="1">
      <alignment horizontal="center" vertical="center"/>
    </xf>
    <xf numFmtId="0" fontId="141" fillId="49" borderId="22" xfId="0" applyFont="1" applyFill="1" applyBorder="1" applyAlignment="1">
      <alignment horizontal="center" vertical="center"/>
    </xf>
    <xf numFmtId="0" fontId="119" fillId="49" borderId="40" xfId="195" applyFont="1" applyFill="1" applyBorder="1" applyAlignment="1">
      <alignment horizontal="center" vertical="center" wrapText="1"/>
    </xf>
    <xf numFmtId="0" fontId="119" fillId="49" borderId="182" xfId="195" applyFont="1" applyFill="1" applyBorder="1" applyAlignment="1">
      <alignment horizontal="center" vertical="center" wrapText="1"/>
    </xf>
    <xf numFmtId="173" fontId="0" fillId="49" borderId="35" xfId="0" applyNumberFormat="1" applyFill="1" applyBorder="1"/>
    <xf numFmtId="0" fontId="16" fillId="49" borderId="46" xfId="0" applyFont="1" applyFill="1" applyBorder="1"/>
    <xf numFmtId="173" fontId="16" fillId="49" borderId="46" xfId="0" applyNumberFormat="1" applyFont="1" applyFill="1" applyBorder="1"/>
    <xf numFmtId="173" fontId="16" fillId="49" borderId="47" xfId="0" applyNumberFormat="1" applyFont="1" applyFill="1" applyBorder="1"/>
    <xf numFmtId="2" fontId="127" fillId="39" borderId="10" xfId="0" applyNumberFormat="1" applyFont="1" applyFill="1" applyBorder="1"/>
    <xf numFmtId="0" fontId="0" fillId="0" borderId="0" xfId="0"/>
    <xf numFmtId="0" fontId="202" fillId="39" borderId="70" xfId="0" applyFont="1" applyFill="1" applyBorder="1" applyAlignment="1">
      <alignment horizontal="center" vertical="center"/>
    </xf>
    <xf numFmtId="0" fontId="202" fillId="39" borderId="71" xfId="0" applyFont="1" applyFill="1" applyBorder="1" applyAlignment="1">
      <alignment horizontal="center" vertical="center"/>
    </xf>
    <xf numFmtId="173" fontId="0" fillId="49" borderId="55" xfId="0" applyNumberFormat="1" applyFill="1" applyBorder="1" applyAlignment="1">
      <alignment horizontal="center"/>
    </xf>
    <xf numFmtId="0" fontId="202" fillId="39" borderId="70" xfId="0" applyFont="1" applyFill="1" applyBorder="1" applyAlignment="1">
      <alignment horizontal="center" vertical="center"/>
    </xf>
    <xf numFmtId="0" fontId="202" fillId="39" borderId="71" xfId="0" applyFont="1" applyFill="1" applyBorder="1" applyAlignment="1">
      <alignment horizontal="center" vertical="center"/>
    </xf>
    <xf numFmtId="2" fontId="0" fillId="49" borderId="10" xfId="0" applyNumberFormat="1" applyFill="1" applyBorder="1"/>
    <xf numFmtId="2" fontId="116" fillId="49" borderId="10" xfId="0" applyNumberFormat="1" applyFont="1" applyFill="1" applyBorder="1"/>
    <xf numFmtId="0" fontId="202" fillId="39" borderId="70" xfId="0" applyFont="1" applyFill="1" applyBorder="1" applyAlignment="1">
      <alignment horizontal="center" vertical="center"/>
    </xf>
    <xf numFmtId="0" fontId="202" fillId="39" borderId="71" xfId="0" applyFont="1" applyFill="1" applyBorder="1" applyAlignment="1">
      <alignment horizontal="center" vertical="center"/>
    </xf>
    <xf numFmtId="0" fontId="0" fillId="0" borderId="0" xfId="0"/>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10" fillId="41" borderId="12" xfId="0" applyFont="1" applyFill="1" applyBorder="1" applyAlignment="1">
      <alignment horizontal="center" vertical="center" wrapText="1"/>
    </xf>
    <xf numFmtId="0" fontId="127" fillId="41" borderId="12" xfId="0" applyFont="1" applyFill="1" applyBorder="1" applyAlignment="1">
      <alignment horizontal="center" vertical="center" wrapText="1"/>
    </xf>
    <xf numFmtId="0" fontId="0" fillId="39" borderId="10" xfId="0" applyFill="1" applyBorder="1"/>
    <xf numFmtId="4" fontId="12" fillId="0" borderId="12" xfId="0" applyNumberFormat="1" applyFont="1" applyFill="1" applyBorder="1" applyAlignment="1">
      <alignment horizontal="center"/>
    </xf>
    <xf numFmtId="2" fontId="12" fillId="0" borderId="15" xfId="0" applyNumberFormat="1" applyFont="1" applyBorder="1"/>
    <xf numFmtId="0" fontId="12" fillId="0" borderId="13" xfId="0" applyFont="1" applyBorder="1" applyAlignment="1">
      <alignment horizontal="center"/>
    </xf>
    <xf numFmtId="0" fontId="12" fillId="0" borderId="13" xfId="0" applyFont="1" applyFill="1" applyBorder="1" applyAlignment="1">
      <alignment horizontal="center"/>
    </xf>
    <xf numFmtId="2" fontId="12" fillId="0" borderId="16" xfId="0" applyNumberFormat="1" applyFont="1" applyBorder="1"/>
    <xf numFmtId="2" fontId="118" fillId="0" borderId="15" xfId="0" applyNumberFormat="1" applyFont="1" applyBorder="1"/>
    <xf numFmtId="2" fontId="12" fillId="0" borderId="17" xfId="0" applyNumberFormat="1" applyFont="1" applyBorder="1"/>
    <xf numFmtId="2" fontId="12" fillId="0" borderId="31" xfId="0" applyNumberFormat="1" applyFont="1" applyBorder="1"/>
    <xf numFmtId="2" fontId="12" fillId="0" borderId="41" xfId="0" applyNumberFormat="1" applyFont="1" applyBorder="1"/>
    <xf numFmtId="2" fontId="12" fillId="0" borderId="37" xfId="0" applyNumberFormat="1" applyFont="1" applyFill="1" applyBorder="1" applyAlignment="1">
      <alignment horizontal="center"/>
    </xf>
    <xf numFmtId="2" fontId="12" fillId="0" borderId="33" xfId="0" applyNumberFormat="1" applyFont="1" applyFill="1" applyBorder="1" applyAlignment="1">
      <alignment horizontal="center"/>
    </xf>
    <xf numFmtId="2" fontId="12" fillId="0" borderId="34" xfId="0" applyNumberFormat="1" applyFont="1" applyFill="1" applyBorder="1" applyAlignment="1">
      <alignment horizontal="center"/>
    </xf>
    <xf numFmtId="2" fontId="12" fillId="0" borderId="36" xfId="0" applyNumberFormat="1" applyFont="1" applyFill="1" applyBorder="1" applyAlignment="1">
      <alignment horizontal="center"/>
    </xf>
    <xf numFmtId="173" fontId="12" fillId="0" borderId="10" xfId="0" applyNumberFormat="1" applyFont="1" applyBorder="1" applyAlignment="1">
      <alignment horizontal="center"/>
    </xf>
    <xf numFmtId="2" fontId="12" fillId="0" borderId="35" xfId="0" applyNumberFormat="1" applyFont="1" applyFill="1" applyBorder="1" applyAlignment="1">
      <alignment horizontal="center"/>
    </xf>
    <xf numFmtId="2" fontId="12" fillId="0" borderId="13" xfId="0" applyNumberFormat="1" applyFont="1" applyFill="1" applyBorder="1" applyAlignment="1">
      <alignment horizontal="center"/>
    </xf>
    <xf numFmtId="2" fontId="12" fillId="0" borderId="12" xfId="0" applyNumberFormat="1" applyFont="1" applyFill="1" applyBorder="1" applyAlignment="1">
      <alignment horizontal="center"/>
    </xf>
    <xf numFmtId="2" fontId="111" fillId="60" borderId="52" xfId="0" applyNumberFormat="1" applyFont="1" applyFill="1" applyBorder="1" applyAlignment="1">
      <alignment horizontal="center"/>
    </xf>
    <xf numFmtId="2" fontId="111" fillId="60" borderId="54" xfId="0" applyNumberFormat="1" applyFont="1" applyFill="1" applyBorder="1" applyAlignment="1">
      <alignment horizontal="center"/>
    </xf>
    <xf numFmtId="2" fontId="111" fillId="60" borderId="55" xfId="0" applyNumberFormat="1" applyFont="1" applyFill="1" applyBorder="1" applyAlignment="1">
      <alignment horizontal="center"/>
    </xf>
    <xf numFmtId="2" fontId="12" fillId="0" borderId="15" xfId="0" applyNumberFormat="1" applyFont="1" applyFill="1" applyBorder="1" applyAlignment="1">
      <alignment horizontal="center"/>
    </xf>
    <xf numFmtId="2" fontId="12" fillId="0" borderId="16" xfId="0" applyNumberFormat="1" applyFont="1" applyFill="1" applyBorder="1" applyAlignment="1">
      <alignment horizontal="center"/>
    </xf>
    <xf numFmtId="0" fontId="12" fillId="0" borderId="35" xfId="0" applyFont="1" applyBorder="1" applyAlignment="1">
      <alignment horizontal="center"/>
    </xf>
    <xf numFmtId="2" fontId="12" fillId="0" borderId="44" xfId="0" applyNumberFormat="1" applyFont="1" applyFill="1" applyBorder="1" applyAlignment="1">
      <alignment horizontal="center"/>
    </xf>
    <xf numFmtId="173" fontId="12" fillId="0" borderId="46" xfId="0" applyNumberFormat="1" applyFont="1" applyFill="1" applyBorder="1" applyAlignment="1">
      <alignment horizontal="center"/>
    </xf>
    <xf numFmtId="2" fontId="12" fillId="0" borderId="46" xfId="0" applyNumberFormat="1" applyFont="1" applyFill="1" applyBorder="1" applyAlignment="1">
      <alignment horizontal="center"/>
    </xf>
    <xf numFmtId="2" fontId="12" fillId="0" borderId="47" xfId="0" applyNumberFormat="1" applyFont="1" applyFill="1" applyBorder="1" applyAlignment="1">
      <alignment horizontal="center"/>
    </xf>
    <xf numFmtId="0" fontId="0" fillId="0" borderId="0" xfId="0"/>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106" fillId="49" borderId="10" xfId="0" applyFont="1" applyFill="1" applyBorder="1"/>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202" fillId="39" borderId="70" xfId="0" applyFont="1" applyFill="1" applyBorder="1" applyAlignment="1">
      <alignment horizontal="center" vertical="center"/>
    </xf>
    <xf numFmtId="0" fontId="202" fillId="39" borderId="71" xfId="0" applyFont="1" applyFill="1" applyBorder="1" applyAlignment="1">
      <alignment horizontal="center" vertical="center"/>
    </xf>
    <xf numFmtId="0" fontId="116" fillId="64" borderId="10" xfId="0" applyFont="1" applyFill="1" applyBorder="1"/>
    <xf numFmtId="173" fontId="14" fillId="41" borderId="10" xfId="0" applyNumberFormat="1" applyFont="1" applyFill="1" applyBorder="1" applyAlignment="1">
      <alignment horizontal="center" vertical="center"/>
    </xf>
    <xf numFmtId="173" fontId="7" fillId="0" borderId="185" xfId="0" applyNumberFormat="1" applyFont="1" applyBorder="1"/>
    <xf numFmtId="173" fontId="7" fillId="0" borderId="51" xfId="0" applyNumberFormat="1" applyFont="1" applyFill="1" applyBorder="1" applyAlignment="1">
      <alignment horizontal="center"/>
    </xf>
    <xf numFmtId="173" fontId="7" fillId="46" borderId="30" xfId="196" applyNumberFormat="1" applyFont="1" applyFill="1" applyBorder="1" applyAlignment="1"/>
    <xf numFmtId="173" fontId="7" fillId="0" borderId="186" xfId="0" applyNumberFormat="1" applyFont="1" applyFill="1" applyBorder="1" applyAlignment="1">
      <alignment horizontal="center"/>
    </xf>
    <xf numFmtId="0" fontId="7" fillId="0" borderId="187" xfId="0" applyFont="1" applyBorder="1"/>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16" fillId="47" borderId="10" xfId="0" applyFont="1" applyFill="1" applyBorder="1" applyAlignment="1"/>
    <xf numFmtId="0" fontId="0" fillId="0" borderId="0" xfId="0"/>
    <xf numFmtId="0" fontId="238" fillId="0" borderId="0" xfId="0" applyFont="1"/>
    <xf numFmtId="0" fontId="7" fillId="39" borderId="0" xfId="0" applyFont="1" applyFill="1" applyAlignment="1">
      <alignment horizontal="left"/>
    </xf>
    <xf numFmtId="0" fontId="0" fillId="0" borderId="0" xfId="0"/>
    <xf numFmtId="0" fontId="216" fillId="47" borderId="13" xfId="0" applyFont="1" applyFill="1" applyBorder="1" applyAlignment="1">
      <alignment horizontal="center"/>
    </xf>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169" fontId="10" fillId="39" borderId="10" xfId="0" applyNumberFormat="1" applyFont="1" applyFill="1" applyBorder="1" applyAlignment="1">
      <alignment horizontal="center" vertical="center"/>
    </xf>
    <xf numFmtId="166" fontId="10" fillId="39" borderId="10" xfId="203" applyNumberFormat="1" applyFont="1" applyFill="1" applyBorder="1" applyAlignment="1">
      <alignment horizontal="center" vertical="center"/>
    </xf>
    <xf numFmtId="169" fontId="7" fillId="39" borderId="16" xfId="173" applyNumberFormat="1" applyFont="1" applyFill="1" applyBorder="1" applyAlignment="1">
      <alignment horizontal="center" vertical="center"/>
    </xf>
    <xf numFmtId="167" fontId="7" fillId="39" borderId="10" xfId="0" applyNumberFormat="1" applyFont="1" applyFill="1" applyBorder="1" applyAlignment="1">
      <alignment horizontal="center" vertical="center"/>
    </xf>
    <xf numFmtId="179" fontId="7" fillId="39" borderId="10" xfId="203" applyNumberFormat="1" applyFont="1" applyFill="1" applyBorder="1" applyAlignment="1">
      <alignment horizontal="center"/>
    </xf>
    <xf numFmtId="4" fontId="39" fillId="39" borderId="10" xfId="184" applyNumberFormat="1" applyFont="1" applyFill="1" applyBorder="1" applyAlignment="1">
      <alignment horizontal="center" vertical="center"/>
    </xf>
    <xf numFmtId="179" fontId="112" fillId="39" borderId="10" xfId="0" applyNumberFormat="1" applyFont="1" applyFill="1" applyBorder="1" applyAlignment="1">
      <alignment horizontal="center"/>
    </xf>
    <xf numFmtId="173" fontId="55" fillId="39" borderId="0" xfId="0" applyNumberFormat="1"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3" fontId="112" fillId="41" borderId="10" xfId="0" applyNumberFormat="1" applyFont="1" applyFill="1" applyBorder="1" applyAlignment="1">
      <alignment horizontal="center" vertical="center"/>
    </xf>
    <xf numFmtId="173" fontId="38" fillId="77" borderId="10" xfId="0" applyNumberFormat="1" applyFont="1" applyFill="1" applyBorder="1" applyAlignment="1">
      <alignment horizontal="center" vertical="center"/>
    </xf>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6" fillId="39" borderId="10" xfId="0" applyFont="1" applyFill="1" applyBorder="1" applyAlignment="1"/>
    <xf numFmtId="3" fontId="9" fillId="41" borderId="63" xfId="0" applyNumberFormat="1" applyFont="1" applyFill="1" applyBorder="1" applyAlignment="1">
      <alignment horizontal="center" vertical="center"/>
    </xf>
    <xf numFmtId="173" fontId="10" fillId="41" borderId="80" xfId="0" applyNumberFormat="1" applyFont="1" applyFill="1" applyBorder="1" applyAlignment="1">
      <alignment horizontal="center" vertical="center"/>
    </xf>
    <xf numFmtId="173" fontId="127" fillId="41" borderId="80" xfId="0" applyNumberFormat="1" applyFont="1" applyFill="1" applyBorder="1" applyAlignment="1">
      <alignment horizontal="center" vertical="center"/>
    </xf>
    <xf numFmtId="173" fontId="10" fillId="41" borderId="64" xfId="0" applyNumberFormat="1" applyFont="1" applyFill="1" applyBorder="1" applyAlignment="1">
      <alignment horizontal="center" vertical="center"/>
    </xf>
    <xf numFmtId="2" fontId="10" fillId="77" borderId="10" xfId="0" applyNumberFormat="1" applyFont="1" applyFill="1" applyBorder="1"/>
    <xf numFmtId="0" fontId="239" fillId="0" borderId="0" xfId="0" applyFont="1" applyFill="1"/>
    <xf numFmtId="0" fontId="240" fillId="41" borderId="0" xfId="0" applyFont="1" applyFill="1"/>
    <xf numFmtId="4" fontId="241" fillId="0" borderId="0" xfId="0" applyNumberFormat="1" applyFont="1" applyAlignment="1">
      <alignment horizontal="center"/>
    </xf>
    <xf numFmtId="4" fontId="240" fillId="0" borderId="0" xfId="0" applyNumberFormat="1" applyFont="1" applyAlignment="1">
      <alignment horizontal="center"/>
    </xf>
    <xf numFmtId="0" fontId="0" fillId="0" borderId="0" xfId="0"/>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216" fillId="47" borderId="13" xfId="0" applyFont="1" applyFill="1" applyBorder="1" applyAlignment="1">
      <alignment horizontal="center"/>
    </xf>
    <xf numFmtId="0" fontId="9" fillId="41" borderId="12"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6" fillId="39" borderId="13" xfId="0" applyFont="1" applyFill="1" applyBorder="1" applyAlignment="1">
      <alignment horizontal="center"/>
    </xf>
    <xf numFmtId="0" fontId="45" fillId="41" borderId="12" xfId="0" applyFont="1" applyFill="1" applyBorder="1" applyAlignment="1">
      <alignment horizontal="center" wrapText="1"/>
    </xf>
    <xf numFmtId="4" fontId="76" fillId="41" borderId="15" xfId="0" applyNumberFormat="1" applyFont="1" applyFill="1" applyBorder="1" applyAlignment="1">
      <alignment horizontal="center" vertical="center"/>
    </xf>
    <xf numFmtId="4" fontId="10" fillId="41" borderId="15" xfId="0" applyNumberFormat="1" applyFont="1" applyFill="1" applyBorder="1" applyAlignment="1">
      <alignment horizontal="center" vertical="center"/>
    </xf>
    <xf numFmtId="4" fontId="121" fillId="41" borderId="15" xfId="0" applyNumberFormat="1" applyFont="1" applyFill="1" applyBorder="1" applyAlignment="1">
      <alignment horizontal="center" vertical="center"/>
    </xf>
    <xf numFmtId="3" fontId="9" fillId="39" borderId="63" xfId="0" applyNumberFormat="1" applyFont="1" applyFill="1" applyBorder="1" applyAlignment="1">
      <alignment horizontal="center" vertical="center"/>
    </xf>
    <xf numFmtId="4" fontId="10" fillId="39" borderId="80" xfId="0" applyNumberFormat="1" applyFont="1" applyFill="1" applyBorder="1" applyAlignment="1">
      <alignment horizontal="center" vertical="center"/>
    </xf>
    <xf numFmtId="3" fontId="9" fillId="39" borderId="80" xfId="0" applyNumberFormat="1" applyFont="1" applyFill="1" applyBorder="1" applyAlignment="1">
      <alignment horizontal="center" vertical="center"/>
    </xf>
    <xf numFmtId="3" fontId="10" fillId="39" borderId="137" xfId="0" applyNumberFormat="1" applyFont="1" applyFill="1" applyBorder="1" applyAlignment="1">
      <alignment horizontal="center" vertical="center"/>
    </xf>
    <xf numFmtId="3" fontId="9" fillId="39" borderId="64" xfId="0" applyNumberFormat="1" applyFont="1" applyFill="1" applyBorder="1" applyAlignment="1">
      <alignment horizontal="center" vertical="center"/>
    </xf>
    <xf numFmtId="169" fontId="38" fillId="0" borderId="0" xfId="0" applyNumberFormat="1" applyFont="1"/>
    <xf numFmtId="3" fontId="59" fillId="39" borderId="10" xfId="0" applyNumberFormat="1" applyFont="1" applyFill="1" applyBorder="1" applyAlignment="1">
      <alignment horizontal="right"/>
    </xf>
    <xf numFmtId="0" fontId="0" fillId="0" borderId="0" xfId="0"/>
    <xf numFmtId="4" fontId="35" fillId="24" borderId="0" xfId="0" applyNumberFormat="1" applyFont="1" applyFill="1"/>
    <xf numFmtId="173" fontId="116" fillId="24" borderId="0" xfId="0" applyNumberFormat="1" applyFont="1" applyFill="1"/>
    <xf numFmtId="0" fontId="116" fillId="24" borderId="0" xfId="0" applyFont="1" applyFill="1"/>
    <xf numFmtId="4" fontId="127" fillId="0" borderId="0" xfId="0" applyNumberFormat="1" applyFont="1" applyBorder="1" applyAlignment="1">
      <alignment horizontal="center"/>
    </xf>
    <xf numFmtId="0" fontId="116" fillId="0" borderId="0" xfId="0" applyFont="1" applyFill="1"/>
    <xf numFmtId="2" fontId="7" fillId="39" borderId="10" xfId="0" applyNumberFormat="1" applyFont="1" applyFill="1" applyBorder="1" applyAlignment="1">
      <alignment horizontal="center"/>
    </xf>
    <xf numFmtId="173" fontId="38" fillId="39" borderId="10" xfId="0" applyNumberFormat="1"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109" fillId="0" borderId="0" xfId="0" applyFont="1"/>
    <xf numFmtId="0" fontId="119" fillId="35" borderId="27" xfId="195" applyFont="1" applyFill="1" applyBorder="1" applyAlignment="1">
      <alignment horizontal="center" vertical="center" wrapText="1"/>
    </xf>
    <xf numFmtId="0" fontId="119" fillId="35" borderId="54" xfId="195" applyFont="1" applyFill="1" applyBorder="1" applyAlignment="1">
      <alignment horizontal="center" vertical="center" wrapText="1"/>
    </xf>
    <xf numFmtId="4" fontId="119" fillId="35" borderId="22" xfId="195" applyNumberFormat="1" applyFont="1" applyFill="1" applyBorder="1" applyAlignment="1">
      <alignment horizontal="center" vertical="center" wrapText="1"/>
    </xf>
    <xf numFmtId="4" fontId="119" fillId="35" borderId="21" xfId="195" applyNumberFormat="1" applyFont="1" applyFill="1" applyBorder="1" applyAlignment="1">
      <alignment horizontal="center" vertical="center" wrapText="1"/>
    </xf>
    <xf numFmtId="4" fontId="119" fillId="35" borderId="41" xfId="195" applyNumberFormat="1" applyFont="1" applyFill="1" applyBorder="1" applyAlignment="1">
      <alignment horizontal="center" vertical="center" wrapText="1"/>
    </xf>
    <xf numFmtId="0" fontId="119" fillId="0" borderId="188" xfId="195" applyFont="1" applyFill="1" applyBorder="1" applyAlignment="1">
      <alignment horizontal="center"/>
    </xf>
    <xf numFmtId="16" fontId="119" fillId="0" borderId="188" xfId="195" applyNumberFormat="1" applyFont="1" applyFill="1" applyBorder="1" applyAlignment="1">
      <alignment horizontal="center"/>
    </xf>
    <xf numFmtId="0" fontId="119" fillId="0" borderId="189" xfId="195" applyFont="1" applyFill="1" applyBorder="1" applyAlignment="1">
      <alignment horizontal="center"/>
    </xf>
    <xf numFmtId="4" fontId="119" fillId="0" borderId="190" xfId="195" applyNumberFormat="1" applyFont="1" applyFill="1" applyBorder="1" applyAlignment="1">
      <alignment horizontal="center"/>
    </xf>
    <xf numFmtId="4" fontId="119" fillId="0" borderId="191" xfId="195" applyNumberFormat="1" applyFont="1" applyFill="1" applyBorder="1" applyAlignment="1">
      <alignment horizontal="right"/>
    </xf>
    <xf numFmtId="4" fontId="119" fillId="0" borderId="192" xfId="195" applyNumberFormat="1" applyFont="1" applyFill="1" applyBorder="1" applyAlignment="1">
      <alignment horizontal="right"/>
    </xf>
    <xf numFmtId="0" fontId="119" fillId="0" borderId="193" xfId="195" applyFont="1" applyFill="1" applyBorder="1" applyAlignment="1">
      <alignment horizontal="center"/>
    </xf>
    <xf numFmtId="16" fontId="119" fillId="0" borderId="193" xfId="195" applyNumberFormat="1" applyFont="1" applyFill="1" applyBorder="1" applyAlignment="1">
      <alignment horizontal="center"/>
    </xf>
    <xf numFmtId="0" fontId="119" fillId="0" borderId="194" xfId="195" applyFont="1" applyFill="1" applyBorder="1" applyAlignment="1">
      <alignment horizontal="center"/>
    </xf>
    <xf numFmtId="4" fontId="119" fillId="0" borderId="195" xfId="195" applyNumberFormat="1" applyFont="1" applyFill="1" applyBorder="1" applyAlignment="1">
      <alignment horizontal="center"/>
    </xf>
    <xf numFmtId="4" fontId="119" fillId="0" borderId="196" xfId="195" applyNumberFormat="1" applyFont="1" applyFill="1" applyBorder="1" applyAlignment="1">
      <alignment horizontal="right"/>
    </xf>
    <xf numFmtId="0" fontId="119" fillId="0" borderId="198" xfId="195" applyFont="1" applyFill="1" applyBorder="1" applyAlignment="1">
      <alignment horizontal="center"/>
    </xf>
    <xf numFmtId="16" fontId="119" fillId="0" borderId="198" xfId="195" applyNumberFormat="1" applyFont="1" applyFill="1" applyBorder="1" applyAlignment="1">
      <alignment horizontal="center"/>
    </xf>
    <xf numFmtId="0" fontId="119" fillId="0" borderId="199" xfId="195" applyFont="1" applyFill="1" applyBorder="1" applyAlignment="1">
      <alignment horizontal="center"/>
    </xf>
    <xf numFmtId="4" fontId="119" fillId="0" borderId="200" xfId="195" applyNumberFormat="1" applyFont="1" applyFill="1" applyBorder="1" applyAlignment="1">
      <alignment horizontal="center"/>
    </xf>
    <xf numFmtId="4" fontId="119" fillId="0" borderId="201" xfId="195" applyNumberFormat="1" applyFont="1" applyFill="1" applyBorder="1" applyAlignment="1">
      <alignment horizontal="right"/>
    </xf>
    <xf numFmtId="0" fontId="119" fillId="0" borderId="203" xfId="195" applyFont="1" applyFill="1" applyBorder="1" applyAlignment="1">
      <alignment horizontal="center"/>
    </xf>
    <xf numFmtId="16" fontId="119" fillId="0" borderId="203" xfId="195" applyNumberFormat="1" applyFont="1" applyFill="1" applyBorder="1" applyAlignment="1">
      <alignment horizontal="center"/>
    </xf>
    <xf numFmtId="0" fontId="119" fillId="0" borderId="204" xfId="195" applyFont="1" applyFill="1" applyBorder="1" applyAlignment="1">
      <alignment horizontal="center"/>
    </xf>
    <xf numFmtId="4" fontId="119" fillId="0" borderId="205" xfId="195" applyNumberFormat="1" applyFont="1" applyFill="1" applyBorder="1" applyAlignment="1">
      <alignment horizontal="center"/>
    </xf>
    <xf numFmtId="4" fontId="119" fillId="0" borderId="206" xfId="195" applyNumberFormat="1" applyFont="1" applyFill="1" applyBorder="1" applyAlignment="1">
      <alignment horizontal="right"/>
    </xf>
    <xf numFmtId="4" fontId="119" fillId="0" borderId="207" xfId="195" applyNumberFormat="1" applyFont="1" applyFill="1" applyBorder="1" applyAlignment="1">
      <alignment horizontal="right"/>
    </xf>
    <xf numFmtId="0" fontId="119" fillId="0" borderId="208" xfId="195" applyFont="1" applyFill="1" applyBorder="1" applyAlignment="1">
      <alignment horizontal="center"/>
    </xf>
    <xf numFmtId="16" fontId="119" fillId="0" borderId="208" xfId="195" applyNumberFormat="1" applyFont="1" applyFill="1" applyBorder="1" applyAlignment="1">
      <alignment horizontal="center"/>
    </xf>
    <xf numFmtId="0" fontId="119" fillId="0" borderId="209" xfId="195" applyFont="1" applyFill="1" applyBorder="1" applyAlignment="1">
      <alignment horizontal="center"/>
    </xf>
    <xf numFmtId="4" fontId="119" fillId="0" borderId="210" xfId="195" applyNumberFormat="1" applyFont="1" applyFill="1" applyBorder="1" applyAlignment="1">
      <alignment horizontal="center"/>
    </xf>
    <xf numFmtId="4" fontId="119" fillId="0" borderId="211" xfId="195" applyNumberFormat="1" applyFont="1" applyFill="1" applyBorder="1" applyAlignment="1">
      <alignment horizontal="right"/>
    </xf>
    <xf numFmtId="0" fontId="147" fillId="0" borderId="188" xfId="195" applyFont="1" applyFill="1" applyBorder="1" applyAlignment="1">
      <alignment horizontal="center"/>
    </xf>
    <xf numFmtId="0" fontId="147" fillId="0" borderId="192" xfId="195" applyFont="1" applyFill="1" applyBorder="1" applyAlignment="1">
      <alignment horizontal="center"/>
    </xf>
    <xf numFmtId="16" fontId="147" fillId="0" borderId="191" xfId="195" applyNumberFormat="1" applyFont="1" applyFill="1" applyBorder="1" applyAlignment="1">
      <alignment horizontal="center"/>
    </xf>
    <xf numFmtId="0" fontId="147" fillId="0" borderId="189" xfId="195" applyFont="1" applyFill="1" applyBorder="1" applyAlignment="1">
      <alignment horizontal="center"/>
    </xf>
    <xf numFmtId="4" fontId="147" fillId="0" borderId="190" xfId="195" applyNumberFormat="1" applyFont="1" applyFill="1" applyBorder="1" applyAlignment="1">
      <alignment horizontal="center"/>
    </xf>
    <xf numFmtId="4" fontId="147" fillId="0" borderId="191" xfId="195" applyNumberFormat="1" applyFont="1" applyFill="1" applyBorder="1" applyAlignment="1">
      <alignment horizontal="right"/>
    </xf>
    <xf numFmtId="0" fontId="147" fillId="0" borderId="193" xfId="195" applyFont="1" applyFill="1" applyBorder="1" applyAlignment="1">
      <alignment horizontal="center"/>
    </xf>
    <xf numFmtId="0" fontId="147" fillId="0" borderId="197" xfId="195" applyFont="1" applyFill="1" applyBorder="1" applyAlignment="1">
      <alignment horizontal="center"/>
    </xf>
    <xf numFmtId="16" fontId="147" fillId="0" borderId="196" xfId="195" applyNumberFormat="1" applyFont="1" applyFill="1" applyBorder="1" applyAlignment="1">
      <alignment horizontal="center"/>
    </xf>
    <xf numFmtId="0" fontId="147" fillId="0" borderId="194" xfId="195" applyFont="1" applyFill="1" applyBorder="1" applyAlignment="1">
      <alignment horizontal="center"/>
    </xf>
    <xf numFmtId="4" fontId="147" fillId="0" borderId="195" xfId="195" applyNumberFormat="1" applyFont="1" applyFill="1" applyBorder="1" applyAlignment="1">
      <alignment horizontal="center"/>
    </xf>
    <xf numFmtId="4" fontId="147" fillId="0" borderId="196" xfId="195" applyNumberFormat="1" applyFont="1" applyFill="1" applyBorder="1" applyAlignment="1">
      <alignment horizontal="right"/>
    </xf>
    <xf numFmtId="0" fontId="147" fillId="0" borderId="198" xfId="195" applyFont="1" applyFill="1" applyBorder="1" applyAlignment="1">
      <alignment horizontal="center"/>
    </xf>
    <xf numFmtId="0" fontId="147" fillId="0" borderId="202" xfId="195" applyFont="1" applyFill="1" applyBorder="1" applyAlignment="1">
      <alignment horizontal="center"/>
    </xf>
    <xf numFmtId="16" fontId="147" fillId="0" borderId="201" xfId="195" applyNumberFormat="1" applyFont="1" applyFill="1" applyBorder="1" applyAlignment="1">
      <alignment horizontal="center"/>
    </xf>
    <xf numFmtId="0" fontId="147" fillId="0" borderId="199" xfId="195" applyFont="1" applyFill="1" applyBorder="1" applyAlignment="1">
      <alignment horizontal="center"/>
    </xf>
    <xf numFmtId="4" fontId="147" fillId="0" borderId="200" xfId="195" applyNumberFormat="1" applyFont="1" applyFill="1" applyBorder="1" applyAlignment="1">
      <alignment horizontal="center"/>
    </xf>
    <xf numFmtId="4" fontId="147" fillId="0" borderId="201" xfId="195" applyNumberFormat="1" applyFont="1" applyFill="1" applyBorder="1" applyAlignment="1">
      <alignment horizontal="right"/>
    </xf>
    <xf numFmtId="0" fontId="147" fillId="0" borderId="203" xfId="195" applyFont="1" applyFill="1" applyBorder="1" applyAlignment="1">
      <alignment horizontal="center"/>
    </xf>
    <xf numFmtId="0" fontId="147" fillId="0" borderId="207" xfId="195" applyFont="1" applyFill="1" applyBorder="1" applyAlignment="1">
      <alignment horizontal="center"/>
    </xf>
    <xf numFmtId="16" fontId="147" fillId="0" borderId="206" xfId="195" applyNumberFormat="1" applyFont="1" applyFill="1" applyBorder="1" applyAlignment="1">
      <alignment horizontal="center"/>
    </xf>
    <xf numFmtId="0" fontId="147" fillId="0" borderId="204" xfId="195" applyFont="1" applyFill="1" applyBorder="1" applyAlignment="1">
      <alignment horizontal="center"/>
    </xf>
    <xf numFmtId="4" fontId="147" fillId="0" borderId="205" xfId="195" applyNumberFormat="1" applyFont="1" applyFill="1" applyBorder="1" applyAlignment="1">
      <alignment horizontal="center"/>
    </xf>
    <xf numFmtId="4" fontId="147" fillId="0" borderId="206" xfId="195" applyNumberFormat="1" applyFont="1" applyFill="1" applyBorder="1" applyAlignment="1">
      <alignment horizontal="right"/>
    </xf>
    <xf numFmtId="0" fontId="147" fillId="0" borderId="208" xfId="195" applyFont="1" applyFill="1" applyBorder="1" applyAlignment="1">
      <alignment horizontal="center"/>
    </xf>
    <xf numFmtId="0" fontId="147" fillId="0" borderId="212" xfId="195" applyFont="1" applyFill="1" applyBorder="1" applyAlignment="1">
      <alignment horizontal="center"/>
    </xf>
    <xf numFmtId="16" fontId="147" fillId="0" borderId="211" xfId="195" applyNumberFormat="1" applyFont="1" applyFill="1" applyBorder="1" applyAlignment="1">
      <alignment horizontal="center"/>
    </xf>
    <xf numFmtId="0" fontId="147" fillId="0" borderId="209" xfId="195" applyFont="1" applyFill="1" applyBorder="1" applyAlignment="1">
      <alignment horizontal="center"/>
    </xf>
    <xf numFmtId="4" fontId="147" fillId="0" borderId="210" xfId="195" applyNumberFormat="1" applyFont="1" applyFill="1" applyBorder="1" applyAlignment="1">
      <alignment horizontal="center"/>
    </xf>
    <xf numFmtId="4" fontId="147" fillId="0" borderId="211" xfId="195" applyNumberFormat="1" applyFont="1" applyFill="1" applyBorder="1" applyAlignment="1">
      <alignment horizontal="right"/>
    </xf>
    <xf numFmtId="0" fontId="119" fillId="0" borderId="27" xfId="195" applyFont="1" applyFill="1" applyBorder="1" applyAlignment="1">
      <alignment horizontal="center"/>
    </xf>
    <xf numFmtId="0" fontId="119" fillId="0" borderId="41" xfId="195" applyFont="1" applyFill="1" applyBorder="1" applyAlignment="1">
      <alignment horizontal="center"/>
    </xf>
    <xf numFmtId="16" fontId="119" fillId="0" borderId="21" xfId="195" applyNumberFormat="1" applyFont="1" applyFill="1" applyBorder="1" applyAlignment="1">
      <alignment horizontal="center"/>
    </xf>
    <xf numFmtId="0" fontId="119" fillId="0" borderId="54" xfId="195" applyFont="1" applyFill="1" applyBorder="1" applyAlignment="1">
      <alignment horizontal="center"/>
    </xf>
    <xf numFmtId="4" fontId="119" fillId="0" borderId="22" xfId="195" applyNumberFormat="1" applyFont="1" applyFill="1" applyBorder="1" applyAlignment="1">
      <alignment horizontal="center"/>
    </xf>
    <xf numFmtId="4" fontId="119" fillId="0" borderId="21" xfId="195" applyNumberFormat="1" applyFont="1" applyFill="1" applyBorder="1" applyAlignment="1">
      <alignment horizontal="right"/>
    </xf>
    <xf numFmtId="178" fontId="121" fillId="55" borderId="180" xfId="0" applyNumberFormat="1" applyFont="1" applyFill="1" applyBorder="1" applyAlignment="1">
      <alignment horizontal="center"/>
    </xf>
    <xf numFmtId="0" fontId="242" fillId="39" borderId="20" xfId="195" applyFont="1" applyFill="1" applyBorder="1" applyAlignment="1">
      <alignment horizontal="center" vertical="center" wrapText="1"/>
    </xf>
    <xf numFmtId="4" fontId="10" fillId="0" borderId="45" xfId="0" applyNumberFormat="1" applyFont="1" applyBorder="1" applyAlignment="1">
      <alignment horizontal="center"/>
    </xf>
    <xf numFmtId="4" fontId="10" fillId="0" borderId="137" xfId="0" applyNumberFormat="1" applyFont="1" applyBorder="1" applyAlignment="1">
      <alignment horizontal="center"/>
    </xf>
    <xf numFmtId="4" fontId="10" fillId="0" borderId="76" xfId="0" applyNumberFormat="1" applyFont="1" applyBorder="1" applyAlignment="1">
      <alignment horizontal="center"/>
    </xf>
    <xf numFmtId="0" fontId="106" fillId="49" borderId="13" xfId="0" applyFont="1" applyFill="1" applyBorder="1"/>
    <xf numFmtId="0" fontId="243" fillId="39" borderId="0" xfId="0" applyFont="1" applyFill="1" applyAlignment="1">
      <alignment horizontal="left"/>
    </xf>
    <xf numFmtId="0" fontId="210" fillId="49" borderId="10" xfId="0" applyFont="1" applyFill="1" applyBorder="1"/>
    <xf numFmtId="0" fontId="220" fillId="47" borderId="10" xfId="0" applyFont="1" applyFill="1" applyBorder="1"/>
    <xf numFmtId="0" fontId="106" fillId="47" borderId="10" xfId="0" applyFont="1" applyFill="1" applyBorder="1"/>
    <xf numFmtId="0" fontId="244" fillId="47" borderId="0" xfId="0" applyFont="1" applyFill="1" applyAlignment="1">
      <alignment horizontal="left"/>
    </xf>
    <xf numFmtId="0" fontId="245" fillId="39" borderId="0" xfId="0" applyFont="1" applyFill="1" applyAlignment="1">
      <alignment horizontal="left"/>
    </xf>
    <xf numFmtId="0" fontId="216" fillId="39" borderId="0" xfId="0" applyFont="1" applyFill="1" applyAlignment="1">
      <alignment horizontal="center" vertical="center"/>
    </xf>
    <xf numFmtId="0" fontId="116" fillId="47" borderId="10" xfId="0" applyFont="1" applyFill="1" applyBorder="1" applyAlignment="1">
      <alignment horizontal="center"/>
    </xf>
    <xf numFmtId="173" fontId="38" fillId="78" borderId="10" xfId="0" applyNumberFormat="1" applyFont="1" applyFill="1" applyBorder="1" applyAlignment="1">
      <alignment horizontal="center" vertical="center"/>
    </xf>
    <xf numFmtId="2" fontId="39" fillId="78" borderId="10" xfId="0" applyNumberFormat="1" applyFont="1" applyFill="1" applyBorder="1" applyAlignment="1">
      <alignment horizontal="center" vertical="center"/>
    </xf>
    <xf numFmtId="169" fontId="112" fillId="0" borderId="0" xfId="0" applyNumberFormat="1" applyFont="1"/>
    <xf numFmtId="0" fontId="112" fillId="0" borderId="0" xfId="0" applyFont="1"/>
    <xf numFmtId="169" fontId="38" fillId="76" borderId="11" xfId="0" applyNumberFormat="1" applyFont="1" applyFill="1" applyBorder="1"/>
    <xf numFmtId="0" fontId="38" fillId="76" borderId="19" xfId="0" applyFont="1" applyFill="1" applyBorder="1"/>
    <xf numFmtId="0" fontId="38" fillId="76" borderId="31" xfId="0" applyFont="1" applyFill="1" applyBorder="1"/>
    <xf numFmtId="169" fontId="38" fillId="76" borderId="38" xfId="0" applyNumberFormat="1" applyFont="1" applyFill="1" applyBorder="1"/>
    <xf numFmtId="0" fontId="38" fillId="76" borderId="0" xfId="0" applyFont="1" applyFill="1" applyBorder="1"/>
    <xf numFmtId="0" fontId="38" fillId="76" borderId="156" xfId="0" applyFont="1" applyFill="1" applyBorder="1"/>
    <xf numFmtId="169" fontId="112" fillId="76" borderId="38" xfId="0" applyNumberFormat="1" applyFont="1" applyFill="1" applyBorder="1"/>
    <xf numFmtId="169" fontId="112" fillId="76" borderId="17" xfId="0" applyNumberFormat="1" applyFont="1" applyFill="1" applyBorder="1"/>
    <xf numFmtId="0" fontId="38" fillId="76" borderId="18" xfId="0" applyFont="1" applyFill="1" applyBorder="1"/>
    <xf numFmtId="0" fontId="38" fillId="76" borderId="32" xfId="0" applyFont="1" applyFill="1" applyBorder="1"/>
    <xf numFmtId="169" fontId="112" fillId="79" borderId="11" xfId="0" applyNumberFormat="1" applyFont="1" applyFill="1" applyBorder="1"/>
    <xf numFmtId="0" fontId="38" fillId="79" borderId="19" xfId="0" applyFont="1" applyFill="1" applyBorder="1"/>
    <xf numFmtId="0" fontId="38" fillId="79" borderId="31" xfId="0" applyFont="1" applyFill="1" applyBorder="1"/>
    <xf numFmtId="169" fontId="112" fillId="79" borderId="17" xfId="0" applyNumberFormat="1" applyFont="1" applyFill="1" applyBorder="1"/>
    <xf numFmtId="0" fontId="38" fillId="79" borderId="18" xfId="0" applyFont="1" applyFill="1" applyBorder="1"/>
    <xf numFmtId="0" fontId="38" fillId="79" borderId="32" xfId="0" applyFont="1" applyFill="1" applyBorder="1"/>
    <xf numFmtId="173" fontId="7" fillId="79" borderId="177" xfId="0" applyNumberFormat="1" applyFont="1" applyFill="1" applyBorder="1" applyAlignment="1">
      <alignment horizontal="center"/>
    </xf>
    <xf numFmtId="0" fontId="7" fillId="79" borderId="12" xfId="0" applyFont="1" applyFill="1" applyBorder="1" applyAlignment="1">
      <alignment horizontal="center"/>
    </xf>
    <xf numFmtId="0" fontId="7" fillId="79" borderId="177" xfId="0" applyFont="1" applyFill="1" applyBorder="1" applyAlignment="1">
      <alignment horizontal="center"/>
    </xf>
    <xf numFmtId="3" fontId="10" fillId="79" borderId="177" xfId="0" applyNumberFormat="1" applyFont="1" applyFill="1" applyBorder="1" applyAlignment="1">
      <alignment horizontal="center" vertical="center"/>
    </xf>
    <xf numFmtId="2" fontId="7" fillId="79" borderId="177" xfId="0" applyNumberFormat="1" applyFont="1" applyFill="1" applyBorder="1" applyAlignment="1">
      <alignment horizontal="center"/>
    </xf>
    <xf numFmtId="10" fontId="7" fillId="79" borderId="177" xfId="0" applyNumberFormat="1" applyFont="1" applyFill="1" applyBorder="1" applyAlignment="1">
      <alignment horizontal="center"/>
    </xf>
    <xf numFmtId="10" fontId="7" fillId="79" borderId="176" xfId="0" applyNumberFormat="1" applyFont="1" applyFill="1" applyBorder="1" applyAlignment="1">
      <alignment horizontal="center"/>
    </xf>
    <xf numFmtId="0" fontId="116" fillId="79" borderId="10" xfId="0" applyFont="1" applyFill="1" applyBorder="1" applyAlignment="1">
      <alignment horizontal="center"/>
    </xf>
    <xf numFmtId="0" fontId="7" fillId="79" borderId="0" xfId="0" applyFont="1" applyFill="1"/>
    <xf numFmtId="2" fontId="10" fillId="78" borderId="10" xfId="0" applyNumberFormat="1" applyFont="1" applyFill="1" applyBorder="1"/>
    <xf numFmtId="176" fontId="10" fillId="79" borderId="10" xfId="0" applyNumberFormat="1" applyFont="1" applyFill="1" applyBorder="1" applyAlignment="1">
      <alignment horizontal="center"/>
    </xf>
    <xf numFmtId="0" fontId="106" fillId="39" borderId="13" xfId="0" applyFont="1" applyFill="1" applyBorder="1"/>
    <xf numFmtId="179" fontId="119" fillId="78" borderId="0" xfId="195" applyNumberFormat="1" applyFont="1" applyFill="1" applyBorder="1" applyAlignment="1">
      <alignment horizontal="center" vertical="center" wrapText="1"/>
    </xf>
    <xf numFmtId="0" fontId="7" fillId="78" borderId="0" xfId="0" applyFont="1" applyFill="1"/>
    <xf numFmtId="4" fontId="16" fillId="79" borderId="0" xfId="0" applyNumberFormat="1" applyFont="1" applyFill="1"/>
    <xf numFmtId="169" fontId="7" fillId="78" borderId="0" xfId="0" applyNumberFormat="1" applyFont="1" applyFill="1"/>
    <xf numFmtId="9" fontId="106" fillId="39" borderId="10" xfId="203" applyFont="1" applyFill="1" applyBorder="1" applyAlignment="1">
      <alignment horizontal="center"/>
    </xf>
    <xf numFmtId="4" fontId="7" fillId="78" borderId="10" xfId="184" applyNumberFormat="1" applyFont="1" applyFill="1" applyBorder="1" applyAlignment="1">
      <alignment horizontal="center" vertical="center"/>
    </xf>
    <xf numFmtId="9" fontId="233" fillId="78" borderId="10" xfId="203" applyFont="1" applyFill="1" applyBorder="1" applyAlignment="1">
      <alignment horizontal="center"/>
    </xf>
    <xf numFmtId="179" fontId="112" fillId="78" borderId="10" xfId="0" applyNumberFormat="1" applyFont="1" applyFill="1" applyBorder="1" applyAlignment="1">
      <alignment horizontal="center"/>
    </xf>
    <xf numFmtId="3" fontId="39" fillId="78" borderId="10" xfId="0" applyNumberFormat="1" applyFont="1" applyFill="1" applyBorder="1" applyAlignment="1">
      <alignment horizontal="center" vertical="center"/>
    </xf>
    <xf numFmtId="169" fontId="7" fillId="41" borderId="0" xfId="0" applyNumberFormat="1" applyFont="1" applyFill="1"/>
    <xf numFmtId="9" fontId="233" fillId="49" borderId="10" xfId="203" applyFont="1" applyFill="1" applyBorder="1" applyAlignment="1">
      <alignment horizontal="center"/>
    </xf>
    <xf numFmtId="179" fontId="112" fillId="49" borderId="10" xfId="0" applyNumberFormat="1" applyFont="1" applyFill="1" applyBorder="1" applyAlignment="1">
      <alignment horizontal="center"/>
    </xf>
    <xf numFmtId="1" fontId="55" fillId="49" borderId="0" xfId="0" applyNumberFormat="1" applyFont="1" applyFill="1" applyAlignment="1">
      <alignment horizontal="center"/>
    </xf>
    <xf numFmtId="169" fontId="39" fillId="49" borderId="10" xfId="0" applyNumberFormat="1" applyFont="1" applyFill="1" applyBorder="1" applyAlignment="1">
      <alignment horizontal="center" vertical="center"/>
    </xf>
    <xf numFmtId="1" fontId="55" fillId="49" borderId="0" xfId="0" applyNumberFormat="1" applyFont="1" applyFill="1" applyBorder="1" applyAlignment="1">
      <alignment horizontal="center"/>
    </xf>
    <xf numFmtId="3" fontId="109" fillId="41" borderId="10" xfId="0" applyNumberFormat="1" applyFont="1" applyFill="1" applyBorder="1" applyAlignment="1">
      <alignment horizontal="center" vertical="center"/>
    </xf>
    <xf numFmtId="4" fontId="45" fillId="39" borderId="54" xfId="0" applyNumberFormat="1" applyFont="1" applyFill="1" applyBorder="1" applyAlignment="1">
      <alignment horizontal="center"/>
    </xf>
    <xf numFmtId="169" fontId="10" fillId="78" borderId="20" xfId="0" applyNumberFormat="1" applyFont="1" applyFill="1" applyBorder="1" applyAlignment="1">
      <alignment horizontal="center" vertical="center"/>
    </xf>
    <xf numFmtId="3" fontId="5" fillId="78" borderId="0" xfId="257" applyNumberFormat="1" applyFill="1" applyAlignment="1">
      <alignment vertical="center"/>
    </xf>
    <xf numFmtId="0" fontId="1" fillId="0" borderId="0" xfId="257" applyFont="1" applyAlignment="1">
      <alignment vertical="center"/>
    </xf>
    <xf numFmtId="0" fontId="0" fillId="78" borderId="0" xfId="0" applyFill="1"/>
    <xf numFmtId="4" fontId="9" fillId="39" borderId="10" xfId="0" applyNumberFormat="1" applyFont="1" applyFill="1" applyBorder="1" applyAlignment="1">
      <alignment horizontal="center"/>
    </xf>
    <xf numFmtId="169" fontId="9" fillId="39" borderId="10" xfId="0" applyNumberFormat="1" applyFont="1" applyFill="1" applyBorder="1" applyAlignment="1">
      <alignment horizontal="center"/>
    </xf>
    <xf numFmtId="14" fontId="118" fillId="39" borderId="0" xfId="0" applyNumberFormat="1" applyFont="1" applyFill="1"/>
    <xf numFmtId="0" fontId="0" fillId="0" borderId="0" xfId="0"/>
    <xf numFmtId="0" fontId="216" fillId="47" borderId="13" xfId="0" applyFont="1" applyFill="1" applyBorder="1" applyAlignment="1">
      <alignment horizontal="center"/>
    </xf>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4" fontId="246" fillId="0" borderId="0" xfId="0" applyNumberFormat="1" applyFont="1" applyAlignment="1">
      <alignment horizontal="center"/>
    </xf>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206" fillId="49" borderId="13" xfId="0" applyFont="1" applyFill="1" applyBorder="1" applyAlignment="1">
      <alignment horizontal="center"/>
    </xf>
    <xf numFmtId="0" fontId="0" fillId="0" borderId="0" xfId="0"/>
    <xf numFmtId="0" fontId="216" fillId="47" borderId="13" xfId="0" applyFont="1" applyFill="1" applyBorder="1" applyAlignment="1">
      <alignment horizontal="center"/>
    </xf>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0" fillId="0" borderId="0" xfId="0"/>
    <xf numFmtId="2" fontId="127" fillId="79" borderId="10" xfId="0" applyNumberFormat="1" applyFont="1" applyFill="1" applyBorder="1"/>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206" fillId="49" borderId="13" xfId="0" applyFont="1" applyFill="1" applyBorder="1" applyAlignment="1">
      <alignment horizontal="center"/>
    </xf>
    <xf numFmtId="0" fontId="108" fillId="80" borderId="41" xfId="0" applyFont="1" applyFill="1" applyBorder="1" applyAlignment="1">
      <alignment horizontal="center" wrapText="1"/>
    </xf>
    <xf numFmtId="0" fontId="108" fillId="80" borderId="22" xfId="0" applyFont="1" applyFill="1" applyBorder="1" applyAlignment="1">
      <alignment horizontal="center" wrapText="1"/>
    </xf>
    <xf numFmtId="0" fontId="247" fillId="0" borderId="76" xfId="0" applyFont="1" applyBorder="1" applyAlignment="1">
      <alignment horizontal="center"/>
    </xf>
    <xf numFmtId="0" fontId="247" fillId="0" borderId="75" xfId="0" applyFont="1" applyBorder="1" applyAlignment="1">
      <alignment horizontal="center"/>
    </xf>
    <xf numFmtId="0" fontId="108" fillId="0" borderId="75" xfId="0" applyFont="1" applyBorder="1" applyAlignment="1">
      <alignment horizontal="center"/>
    </xf>
    <xf numFmtId="0" fontId="17" fillId="81" borderId="28" xfId="41730" applyFont="1" applyFill="1" applyBorder="1" applyAlignment="1">
      <alignment horizontal="center"/>
    </xf>
    <xf numFmtId="0" fontId="17" fillId="0" borderId="4" xfId="41730" applyFont="1" applyFill="1" applyBorder="1" applyAlignment="1">
      <alignment horizontal="right" wrapText="1"/>
    </xf>
    <xf numFmtId="0" fontId="17" fillId="0" borderId="4" xfId="41730" applyFont="1" applyFill="1" applyBorder="1" applyAlignment="1">
      <alignment wrapText="1"/>
    </xf>
    <xf numFmtId="0" fontId="108" fillId="82" borderId="41" xfId="0" applyFont="1" applyFill="1" applyBorder="1" applyAlignment="1">
      <alignment horizontal="center" wrapText="1"/>
    </xf>
    <xf numFmtId="0" fontId="108" fillId="82" borderId="22" xfId="0" applyFont="1" applyFill="1" applyBorder="1" applyAlignment="1">
      <alignment horizontal="center" wrapText="1"/>
    </xf>
    <xf numFmtId="0" fontId="108" fillId="82" borderId="22" xfId="0" applyFont="1" applyFill="1" applyBorder="1" applyAlignment="1">
      <alignment horizontal="center" vertical="top" wrapText="1"/>
    </xf>
    <xf numFmtId="0" fontId="247" fillId="82" borderId="76" xfId="0" applyFont="1" applyFill="1" applyBorder="1" applyAlignment="1">
      <alignment horizontal="center"/>
    </xf>
    <xf numFmtId="0" fontId="247" fillId="82" borderId="75" xfId="0" applyFont="1" applyFill="1" applyBorder="1" applyAlignment="1">
      <alignment horizontal="center"/>
    </xf>
    <xf numFmtId="0" fontId="247" fillId="82" borderId="75" xfId="0" applyFont="1" applyFill="1" applyBorder="1" applyAlignment="1">
      <alignment horizontal="center" vertical="top" wrapText="1"/>
    </xf>
    <xf numFmtId="0" fontId="108" fillId="82" borderId="75" xfId="0" applyFont="1" applyFill="1" applyBorder="1" applyAlignment="1">
      <alignment horizontal="center"/>
    </xf>
    <xf numFmtId="0" fontId="108" fillId="82" borderId="75" xfId="0" applyFont="1" applyFill="1" applyBorder="1" applyAlignment="1">
      <alignment horizontal="center" vertical="top" wrapText="1"/>
    </xf>
    <xf numFmtId="173" fontId="116" fillId="36" borderId="29" xfId="196" applyNumberFormat="1" applyFont="1" applyFill="1" applyBorder="1" applyAlignment="1">
      <alignment horizontal="center"/>
    </xf>
    <xf numFmtId="0" fontId="116" fillId="0" borderId="10" xfId="0" applyFont="1" applyBorder="1"/>
    <xf numFmtId="0" fontId="106" fillId="39" borderId="17" xfId="0" applyFont="1" applyFill="1" applyBorder="1"/>
    <xf numFmtId="0" fontId="121" fillId="39" borderId="12" xfId="0" applyFont="1" applyFill="1" applyBorder="1" applyAlignment="1">
      <alignment horizontal="center" vertical="center"/>
    </xf>
    <xf numFmtId="2" fontId="45" fillId="26" borderId="10" xfId="0" applyNumberFormat="1" applyFont="1" applyFill="1" applyBorder="1" applyAlignment="1">
      <alignment horizontal="center"/>
    </xf>
    <xf numFmtId="0" fontId="16" fillId="25" borderId="10" xfId="0" applyFont="1" applyFill="1" applyBorder="1" applyAlignment="1">
      <alignment horizontal="center"/>
    </xf>
    <xf numFmtId="169" fontId="7" fillId="41" borderId="16" xfId="173" applyNumberFormat="1" applyFont="1" applyFill="1" applyBorder="1" applyAlignment="1">
      <alignment horizontal="center" vertical="center"/>
    </xf>
    <xf numFmtId="167" fontId="7" fillId="41" borderId="10" xfId="0" applyNumberFormat="1" applyFont="1" applyFill="1" applyBorder="1" applyAlignment="1">
      <alignment horizontal="center" vertical="center"/>
    </xf>
    <xf numFmtId="0" fontId="16" fillId="67" borderId="0" xfId="0" applyFont="1" applyFill="1"/>
    <xf numFmtId="0" fontId="16" fillId="67" borderId="0" xfId="0" applyFont="1" applyFill="1" applyAlignment="1">
      <alignment horizontal="center"/>
    </xf>
    <xf numFmtId="0" fontId="7" fillId="67" borderId="0" xfId="0" applyFont="1" applyFill="1" applyAlignment="1">
      <alignment horizontal="center"/>
    </xf>
    <xf numFmtId="0" fontId="16" fillId="67" borderId="10" xfId="0" applyFont="1" applyFill="1" applyBorder="1" applyAlignment="1">
      <alignment horizontal="center"/>
    </xf>
    <xf numFmtId="0" fontId="7" fillId="67" borderId="10" xfId="0" applyFont="1" applyFill="1" applyBorder="1" applyAlignment="1">
      <alignment horizontal="center"/>
    </xf>
    <xf numFmtId="2" fontId="7" fillId="0" borderId="0" xfId="0" applyNumberFormat="1" applyFont="1" applyFill="1" applyBorder="1" applyAlignment="1">
      <alignment horizontal="center"/>
    </xf>
    <xf numFmtId="2" fontId="7" fillId="0" borderId="0" xfId="0" applyNumberFormat="1" applyFont="1" applyAlignment="1">
      <alignment horizontal="center"/>
    </xf>
    <xf numFmtId="0" fontId="0" fillId="0" borderId="0" xfId="0"/>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216" fillId="47" borderId="13" xfId="0" applyFont="1" applyFill="1" applyBorder="1" applyAlignment="1">
      <alignment horizontal="center"/>
    </xf>
    <xf numFmtId="0" fontId="0" fillId="0" borderId="0" xfId="0"/>
    <xf numFmtId="0" fontId="12" fillId="41" borderId="12" xfId="0" applyFont="1" applyFill="1" applyBorder="1" applyAlignment="1">
      <alignment horizontal="center" wrapText="1"/>
    </xf>
    <xf numFmtId="173" fontId="12" fillId="41" borderId="15" xfId="0" applyNumberFormat="1" applyFont="1" applyFill="1" applyBorder="1" applyAlignment="1">
      <alignment horizontal="center" vertical="center"/>
    </xf>
    <xf numFmtId="3" fontId="14" fillId="56" borderId="13" xfId="0" applyNumberFormat="1" applyFont="1" applyFill="1" applyBorder="1" applyAlignment="1">
      <alignment horizontal="center" vertical="center"/>
    </xf>
    <xf numFmtId="4" fontId="14" fillId="41" borderId="16" xfId="0" applyNumberFormat="1" applyFont="1" applyFill="1" applyBorder="1" applyAlignment="1">
      <alignment horizontal="center" vertical="center"/>
    </xf>
    <xf numFmtId="2" fontId="12" fillId="41" borderId="63" xfId="0" applyNumberFormat="1" applyFont="1" applyFill="1" applyBorder="1" applyAlignment="1">
      <alignment horizontal="center" vertical="center"/>
    </xf>
    <xf numFmtId="2" fontId="12" fillId="41" borderId="80" xfId="0" applyNumberFormat="1" applyFont="1" applyFill="1" applyBorder="1" applyAlignment="1">
      <alignment horizontal="center" vertical="center"/>
    </xf>
    <xf numFmtId="2" fontId="12" fillId="41" borderId="64" xfId="0" applyNumberFormat="1" applyFont="1" applyFill="1" applyBorder="1" applyAlignment="1">
      <alignment horizontal="center" vertical="center"/>
    </xf>
    <xf numFmtId="4" fontId="7" fillId="24" borderId="0" xfId="0" applyNumberFormat="1" applyFont="1" applyFill="1"/>
    <xf numFmtId="4" fontId="109" fillId="41" borderId="10" xfId="0" applyNumberFormat="1" applyFont="1" applyFill="1" applyBorder="1" applyAlignment="1">
      <alignment horizontal="center" vertical="center"/>
    </xf>
    <xf numFmtId="4" fontId="119" fillId="0" borderId="197" xfId="195" applyNumberFormat="1" applyFont="1" applyFill="1" applyBorder="1" applyAlignment="1">
      <alignment horizontal="right"/>
    </xf>
    <xf numFmtId="4" fontId="119" fillId="0" borderId="202" xfId="195" applyNumberFormat="1" applyFont="1" applyFill="1" applyBorder="1" applyAlignment="1">
      <alignment horizontal="right"/>
    </xf>
    <xf numFmtId="4" fontId="119" fillId="0" borderId="197" xfId="195" applyNumberFormat="1" applyFont="1" applyFill="1" applyBorder="1" applyAlignment="1">
      <alignment horizontal="right" vertical="center"/>
    </xf>
    <xf numFmtId="4" fontId="119" fillId="0" borderId="212" xfId="195" applyNumberFormat="1" applyFont="1" applyFill="1" applyBorder="1" applyAlignment="1">
      <alignment horizontal="right" vertical="center"/>
    </xf>
    <xf numFmtId="4" fontId="147" fillId="0" borderId="207" xfId="195" applyNumberFormat="1" applyFont="1" applyFill="1" applyBorder="1" applyAlignment="1">
      <alignment horizontal="right"/>
    </xf>
    <xf numFmtId="4" fontId="147" fillId="0" borderId="197" xfId="195" applyNumberFormat="1" applyFont="1" applyFill="1" applyBorder="1" applyAlignment="1">
      <alignment horizontal="right" vertical="center"/>
    </xf>
    <xf numFmtId="4" fontId="119" fillId="0" borderId="212" xfId="195" applyNumberFormat="1" applyFont="1" applyFill="1" applyBorder="1" applyAlignment="1">
      <alignment horizontal="right"/>
    </xf>
    <xf numFmtId="4" fontId="147" fillId="0" borderId="192" xfId="195" applyNumberFormat="1" applyFont="1" applyFill="1" applyBorder="1" applyAlignment="1">
      <alignment horizontal="right"/>
    </xf>
    <xf numFmtId="4" fontId="147" fillId="0" borderId="202" xfId="195" applyNumberFormat="1" applyFont="1" applyFill="1" applyBorder="1" applyAlignment="1">
      <alignment horizontal="right" vertical="center"/>
    </xf>
    <xf numFmtId="4" fontId="147" fillId="0" borderId="207" xfId="195" applyNumberFormat="1" applyFont="1" applyFill="1" applyBorder="1" applyAlignment="1">
      <alignment horizontal="right" vertical="center"/>
    </xf>
    <xf numFmtId="4" fontId="147" fillId="0" borderId="212" xfId="195" applyNumberFormat="1" applyFont="1" applyFill="1" applyBorder="1" applyAlignment="1">
      <alignment horizontal="right" vertical="center"/>
    </xf>
    <xf numFmtId="4" fontId="119" fillId="0" borderId="41" xfId="195" applyNumberFormat="1" applyFont="1" applyFill="1" applyBorder="1" applyAlignment="1">
      <alignment horizontal="right" vertical="center"/>
    </xf>
    <xf numFmtId="0" fontId="0" fillId="0" borderId="0" xfId="0"/>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216" fillId="41" borderId="0" xfId="0" applyFont="1" applyFill="1" applyBorder="1"/>
    <xf numFmtId="0" fontId="216" fillId="41" borderId="0" xfId="0" applyFont="1" applyFill="1" applyBorder="1" applyAlignment="1">
      <alignment horizontal="center"/>
    </xf>
    <xf numFmtId="0" fontId="220" fillId="41" borderId="0" xfId="0" applyFont="1" applyFill="1" applyBorder="1"/>
    <xf numFmtId="0" fontId="216" fillId="41" borderId="0" xfId="0" applyFont="1" applyFill="1"/>
    <xf numFmtId="0" fontId="16" fillId="25" borderId="10" xfId="0" applyFont="1" applyFill="1" applyBorder="1" applyAlignment="1">
      <alignment horizontal="center"/>
    </xf>
    <xf numFmtId="0" fontId="7" fillId="39" borderId="10" xfId="0" applyFont="1" applyFill="1" applyBorder="1" applyAlignment="1">
      <alignment horizontal="center"/>
    </xf>
    <xf numFmtId="3" fontId="7" fillId="0" borderId="10" xfId="0" applyNumberFormat="1" applyFont="1" applyBorder="1" applyAlignment="1">
      <alignment horizontal="center"/>
    </xf>
    <xf numFmtId="3" fontId="7" fillId="0" borderId="10" xfId="0" applyNumberFormat="1" applyFont="1" applyFill="1" applyBorder="1" applyAlignment="1">
      <alignment horizontal="center"/>
    </xf>
    <xf numFmtId="0" fontId="7" fillId="53" borderId="10" xfId="0" applyFont="1" applyFill="1" applyBorder="1" applyAlignment="1">
      <alignment horizontal="center"/>
    </xf>
    <xf numFmtId="4" fontId="7" fillId="0" borderId="10" xfId="0" applyNumberFormat="1" applyFont="1" applyFill="1" applyBorder="1" applyAlignment="1">
      <alignment horizontal="center"/>
    </xf>
    <xf numFmtId="0" fontId="7" fillId="47" borderId="10" xfId="0" applyFont="1" applyFill="1" applyBorder="1" applyAlignment="1">
      <alignment horizontal="center"/>
    </xf>
    <xf numFmtId="176" fontId="7" fillId="26" borderId="10" xfId="0" applyNumberFormat="1" applyFont="1" applyFill="1" applyBorder="1" applyAlignment="1">
      <alignment horizontal="center"/>
    </xf>
    <xf numFmtId="176" fontId="116" fillId="26" borderId="10" xfId="0" applyNumberFormat="1" applyFont="1" applyFill="1" applyBorder="1" applyAlignment="1">
      <alignment horizontal="center"/>
    </xf>
    <xf numFmtId="4" fontId="16" fillId="25" borderId="10" xfId="0" applyNumberFormat="1" applyFont="1" applyFill="1" applyBorder="1" applyAlignment="1">
      <alignment horizontal="center"/>
    </xf>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216" fillId="41" borderId="0" xfId="0" applyFont="1" applyFill="1" applyBorder="1" applyAlignment="1">
      <alignment horizontal="right"/>
    </xf>
    <xf numFmtId="0" fontId="0" fillId="0" borderId="0" xfId="0"/>
    <xf numFmtId="0" fontId="0" fillId="41" borderId="0" xfId="0" applyFill="1"/>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206" fillId="49" borderId="13" xfId="0" applyFont="1" applyFill="1" applyBorder="1" applyAlignment="1">
      <alignment horizontal="center"/>
    </xf>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198" fillId="83" borderId="0" xfId="0" applyFont="1" applyFill="1"/>
    <xf numFmtId="0" fontId="199" fillId="83" borderId="0" xfId="0" applyFont="1" applyFill="1"/>
    <xf numFmtId="0" fontId="200" fillId="83" borderId="0" xfId="0" applyFont="1" applyFill="1"/>
    <xf numFmtId="0" fontId="200" fillId="83" borderId="0" xfId="0" applyFont="1" applyFill="1" applyAlignment="1">
      <alignment horizontal="center" vertical="center"/>
    </xf>
    <xf numFmtId="0" fontId="201" fillId="83" borderId="0" xfId="0" applyFont="1" applyFill="1" applyAlignment="1">
      <alignment horizontal="left"/>
    </xf>
    <xf numFmtId="0" fontId="202" fillId="83" borderId="70" xfId="0" applyFont="1" applyFill="1" applyBorder="1" applyAlignment="1">
      <alignment horizontal="center" vertical="center"/>
    </xf>
    <xf numFmtId="0" fontId="202" fillId="83" borderId="71" xfId="0" applyFont="1" applyFill="1" applyBorder="1" applyAlignment="1">
      <alignment horizontal="center" vertical="center"/>
    </xf>
    <xf numFmtId="0" fontId="203" fillId="83" borderId="20" xfId="195" applyFont="1" applyFill="1" applyBorder="1" applyAlignment="1">
      <alignment horizontal="center" vertical="center" wrapText="1"/>
    </xf>
    <xf numFmtId="0" fontId="203" fillId="83" borderId="10" xfId="195" applyFont="1" applyFill="1" applyBorder="1" applyAlignment="1">
      <alignment horizontal="center" vertical="center" wrapText="1"/>
    </xf>
    <xf numFmtId="0" fontId="200" fillId="83" borderId="10" xfId="0" applyFont="1" applyFill="1" applyBorder="1"/>
    <xf numFmtId="0" fontId="200" fillId="83" borderId="10" xfId="0" applyFont="1" applyFill="1" applyBorder="1" applyAlignment="1">
      <alignment horizontal="center"/>
    </xf>
    <xf numFmtId="0" fontId="116" fillId="83" borderId="10" xfId="0" applyFont="1" applyFill="1" applyBorder="1"/>
    <xf numFmtId="0" fontId="192" fillId="83" borderId="13" xfId="0" applyFont="1" applyFill="1" applyBorder="1"/>
    <xf numFmtId="0" fontId="192" fillId="83" borderId="13" xfId="0" applyFont="1" applyFill="1" applyBorder="1" applyAlignment="1">
      <alignment horizontal="center"/>
    </xf>
    <xf numFmtId="0" fontId="193" fillId="83" borderId="13" xfId="0" applyFont="1" applyFill="1" applyBorder="1"/>
    <xf numFmtId="0" fontId="192" fillId="83" borderId="0" xfId="0" applyFont="1" applyFill="1"/>
    <xf numFmtId="0" fontId="7" fillId="45" borderId="10" xfId="0" applyFont="1" applyFill="1" applyBorder="1" applyAlignment="1">
      <alignment wrapText="1"/>
    </xf>
    <xf numFmtId="0" fontId="204" fillId="41" borderId="0" xfId="0" applyFont="1" applyFill="1"/>
    <xf numFmtId="0" fontId="231" fillId="41" borderId="0" xfId="0" applyFont="1" applyFill="1"/>
    <xf numFmtId="0" fontId="232" fillId="41" borderId="0" xfId="0" applyFont="1" applyFill="1"/>
    <xf numFmtId="0" fontId="206" fillId="41" borderId="0" xfId="0" applyFont="1" applyFill="1"/>
    <xf numFmtId="0" fontId="106" fillId="68" borderId="13" xfId="0" applyFont="1" applyFill="1" applyBorder="1"/>
    <xf numFmtId="0" fontId="106" fillId="39" borderId="10" xfId="0" applyFont="1" applyFill="1" applyBorder="1"/>
    <xf numFmtId="14" fontId="106" fillId="39" borderId="10" xfId="0" applyNumberFormat="1" applyFont="1" applyFill="1" applyBorder="1"/>
    <xf numFmtId="0" fontId="106" fillId="0" borderId="0" xfId="0" applyFont="1" applyAlignment="1">
      <alignment horizontal="center"/>
    </xf>
    <xf numFmtId="14" fontId="131" fillId="39" borderId="0" xfId="0" applyNumberFormat="1" applyFont="1" applyFill="1" applyAlignment="1">
      <alignment horizontal="center"/>
    </xf>
    <xf numFmtId="4" fontId="12" fillId="39" borderId="63" xfId="0" applyNumberFormat="1" applyFont="1" applyFill="1" applyBorder="1" applyAlignment="1">
      <alignment horizontal="center"/>
    </xf>
    <xf numFmtId="4" fontId="12" fillId="39" borderId="62" xfId="0" applyNumberFormat="1" applyFont="1" applyFill="1" applyBorder="1" applyAlignment="1">
      <alignment horizontal="center"/>
    </xf>
    <xf numFmtId="4" fontId="12" fillId="39" borderId="76" xfId="0" applyNumberFormat="1" applyFont="1" applyFill="1" applyBorder="1" applyAlignment="1">
      <alignment horizontal="center"/>
    </xf>
    <xf numFmtId="14" fontId="106" fillId="39" borderId="0" xfId="0" applyNumberFormat="1" applyFont="1" applyFill="1" applyAlignment="1">
      <alignment horizontal="center"/>
    </xf>
    <xf numFmtId="0" fontId="0" fillId="0" borderId="0" xfId="0"/>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7" fillId="40" borderId="10" xfId="0" applyFont="1" applyFill="1" applyBorder="1"/>
    <xf numFmtId="0" fontId="206" fillId="84" borderId="10" xfId="0" applyFont="1" applyFill="1" applyBorder="1"/>
    <xf numFmtId="0" fontId="249" fillId="53" borderId="213" xfId="196" applyFont="1" applyFill="1" applyBorder="1" applyAlignment="1">
      <alignment horizontal="center" vertical="center"/>
    </xf>
    <xf numFmtId="0" fontId="249" fillId="53" borderId="213" xfId="196" applyFont="1" applyFill="1" applyBorder="1" applyAlignment="1">
      <alignment horizontal="center" vertical="center" wrapText="1"/>
    </xf>
    <xf numFmtId="0" fontId="249" fillId="53" borderId="214" xfId="196" applyFont="1" applyFill="1" applyBorder="1" applyAlignment="1">
      <alignment horizontal="center" vertical="center" wrapText="1"/>
    </xf>
    <xf numFmtId="0" fontId="249" fillId="53" borderId="214" xfId="196" applyFont="1" applyFill="1" applyBorder="1" applyAlignment="1">
      <alignment horizontal="center" vertical="center"/>
    </xf>
    <xf numFmtId="0" fontId="249" fillId="53" borderId="55" xfId="196" applyFont="1" applyFill="1" applyBorder="1" applyAlignment="1">
      <alignment horizontal="center" vertical="center"/>
    </xf>
    <xf numFmtId="0" fontId="144" fillId="0" borderId="124" xfId="0" applyFont="1" applyBorder="1" applyAlignment="1">
      <alignment horizontal="center"/>
    </xf>
    <xf numFmtId="0" fontId="144" fillId="0" borderId="124" xfId="0" applyFont="1" applyBorder="1" applyAlignment="1"/>
    <xf numFmtId="169" fontId="250" fillId="0" borderId="124" xfId="0" applyNumberFormat="1" applyFont="1" applyBorder="1"/>
    <xf numFmtId="169" fontId="250" fillId="0" borderId="4" xfId="196" applyNumberFormat="1" applyFont="1" applyFill="1" applyBorder="1" applyAlignment="1">
      <alignment horizontal="right" wrapText="1"/>
    </xf>
    <xf numFmtId="169" fontId="250" fillId="0" borderId="4" xfId="0" applyNumberFormat="1" applyFont="1" applyBorder="1"/>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206" fillId="49" borderId="13" xfId="0" applyFont="1" applyFill="1" applyBorder="1" applyAlignment="1">
      <alignment horizontal="center"/>
    </xf>
    <xf numFmtId="0" fontId="251" fillId="49" borderId="0" xfId="0" applyFont="1" applyFill="1"/>
    <xf numFmtId="2" fontId="10" fillId="47" borderId="10" xfId="0" applyNumberFormat="1" applyFont="1" applyFill="1" applyBorder="1"/>
    <xf numFmtId="0" fontId="16" fillId="49" borderId="10" xfId="0" applyFont="1" applyFill="1" applyBorder="1"/>
    <xf numFmtId="0" fontId="216" fillId="45" borderId="10" xfId="0" applyFont="1" applyFill="1" applyBorder="1"/>
    <xf numFmtId="4" fontId="7" fillId="0" borderId="41" xfId="0" applyNumberFormat="1" applyFont="1" applyBorder="1"/>
    <xf numFmtId="3" fontId="7" fillId="39" borderId="0" xfId="0" applyNumberFormat="1" applyFont="1" applyFill="1" applyBorder="1" applyAlignment="1">
      <alignment horizontal="center" vertical="center"/>
    </xf>
    <xf numFmtId="4" fontId="16" fillId="39" borderId="0" xfId="0" applyNumberFormat="1" applyFont="1" applyFill="1" applyBorder="1" applyAlignment="1">
      <alignment horizontal="center"/>
    </xf>
    <xf numFmtId="0" fontId="38" fillId="39" borderId="0" xfId="0" applyFont="1" applyFill="1"/>
    <xf numFmtId="3" fontId="89" fillId="39" borderId="41" xfId="0" applyNumberFormat="1" applyFont="1" applyFill="1" applyBorder="1" applyAlignment="1">
      <alignment horizontal="center"/>
    </xf>
    <xf numFmtId="14" fontId="0" fillId="39" borderId="0" xfId="0" applyNumberFormat="1" applyFill="1"/>
    <xf numFmtId="14" fontId="116" fillId="39" borderId="0" xfId="0" applyNumberFormat="1" applyFont="1" applyFill="1"/>
    <xf numFmtId="0" fontId="106" fillId="49" borderId="33" xfId="0" applyFont="1" applyFill="1" applyBorder="1"/>
    <xf numFmtId="0" fontId="106" fillId="49" borderId="46" xfId="0" applyFont="1" applyFill="1" applyBorder="1"/>
    <xf numFmtId="0" fontId="106" fillId="49" borderId="54" xfId="0" applyFont="1" applyFill="1" applyBorder="1"/>
    <xf numFmtId="0" fontId="135" fillId="39" borderId="0" xfId="0" applyFont="1" applyFill="1"/>
    <xf numFmtId="0" fontId="172" fillId="39" borderId="0" xfId="0" applyFont="1" applyFill="1"/>
    <xf numFmtId="0" fontId="38" fillId="39" borderId="10" xfId="0" applyFont="1" applyFill="1" applyBorder="1" applyAlignment="1">
      <alignment wrapText="1"/>
    </xf>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6" fillId="39" borderId="0" xfId="0" applyFont="1" applyFill="1" applyBorder="1"/>
    <xf numFmtId="0" fontId="206" fillId="39" borderId="0" xfId="0" applyFont="1" applyFill="1" applyBorder="1" applyAlignment="1">
      <alignment horizontal="center"/>
    </xf>
    <xf numFmtId="0" fontId="210" fillId="39" borderId="0" xfId="0" applyFont="1" applyFill="1" applyBorder="1"/>
    <xf numFmtId="0" fontId="206" fillId="41" borderId="0" xfId="0" applyFont="1" applyFill="1" applyBorder="1"/>
    <xf numFmtId="0" fontId="206" fillId="41" borderId="0" xfId="0" applyFont="1" applyFill="1" applyBorder="1" applyAlignment="1">
      <alignment horizontal="center"/>
    </xf>
    <xf numFmtId="0" fontId="210" fillId="41" borderId="0" xfId="0" applyFont="1" applyFill="1" applyBorder="1"/>
    <xf numFmtId="0" fontId="106" fillId="39" borderId="0" xfId="0" applyFont="1" applyFill="1" applyBorder="1"/>
    <xf numFmtId="0" fontId="177" fillId="39" borderId="0" xfId="0" applyFont="1" applyFill="1"/>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106" fillId="41" borderId="0" xfId="0" applyFont="1" applyFill="1" applyBorder="1"/>
    <xf numFmtId="185" fontId="7" fillId="0" borderId="0" xfId="0" applyNumberFormat="1" applyFont="1"/>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6" fillId="39" borderId="13" xfId="0" applyFont="1" applyFill="1" applyBorder="1" applyAlignment="1">
      <alignment horizontal="center"/>
    </xf>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6" fillId="39" borderId="13" xfId="0" applyFont="1" applyFill="1" applyBorder="1" applyAlignment="1">
      <alignment horizontal="center"/>
    </xf>
    <xf numFmtId="0" fontId="209" fillId="39" borderId="10" xfId="195" applyFont="1" applyFill="1" applyBorder="1" applyAlignment="1">
      <alignment vertical="center" wrapText="1"/>
    </xf>
    <xf numFmtId="0" fontId="216" fillId="39" borderId="10" xfId="0" applyFont="1" applyFill="1" applyBorder="1"/>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6" fillId="39" borderId="13" xfId="0" applyFont="1" applyFill="1" applyBorder="1" applyAlignment="1">
      <alignment horizontal="center"/>
    </xf>
    <xf numFmtId="2" fontId="127" fillId="66" borderId="10" xfId="0" applyNumberFormat="1" applyFont="1" applyFill="1" applyBorder="1" applyAlignment="1">
      <alignment horizontal="center"/>
    </xf>
    <xf numFmtId="2" fontId="10" fillId="85" borderId="10" xfId="0" applyNumberFormat="1" applyFont="1" applyFill="1" applyBorder="1" applyAlignment="1">
      <alignment horizontal="center"/>
    </xf>
    <xf numFmtId="2" fontId="10" fillId="40" borderId="10" xfId="0" applyNumberFormat="1"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51" fillId="39" borderId="13" xfId="0" applyFont="1" applyFill="1" applyBorder="1" applyAlignment="1">
      <alignment horizontal="center"/>
    </xf>
    <xf numFmtId="14" fontId="106" fillId="39" borderId="0" xfId="0" applyNumberFormat="1" applyFont="1" applyFill="1"/>
    <xf numFmtId="0" fontId="251" fillId="39" borderId="13" xfId="0" applyFont="1" applyFill="1" applyBorder="1"/>
    <xf numFmtId="0" fontId="251" fillId="39" borderId="216" xfId="0" applyFont="1" applyFill="1" applyBorder="1"/>
    <xf numFmtId="0" fontId="251" fillId="39" borderId="0" xfId="0" applyFont="1" applyFill="1" applyBorder="1"/>
    <xf numFmtId="0" fontId="251" fillId="39" borderId="156" xfId="0" applyFont="1" applyFill="1" applyBorder="1"/>
    <xf numFmtId="0" fontId="251" fillId="39" borderId="17" xfId="0" applyFont="1" applyFill="1" applyBorder="1"/>
    <xf numFmtId="0" fontId="251" fillId="39" borderId="18" xfId="0" applyFont="1" applyFill="1" applyBorder="1"/>
    <xf numFmtId="14" fontId="251" fillId="39" borderId="18" xfId="0" applyNumberFormat="1" applyFont="1" applyFill="1" applyBorder="1"/>
    <xf numFmtId="0" fontId="251" fillId="39" borderId="32" xfId="0" applyFont="1" applyFill="1" applyBorder="1"/>
    <xf numFmtId="0" fontId="0" fillId="0" borderId="0" xfId="0"/>
    <xf numFmtId="0" fontId="251"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7" fillId="39" borderId="0" xfId="0" applyFont="1" applyFill="1" applyAlignment="1">
      <alignment horizontal="center"/>
    </xf>
    <xf numFmtId="2" fontId="200" fillId="39" borderId="10" xfId="0" applyNumberFormat="1" applyFont="1" applyFill="1" applyBorder="1"/>
    <xf numFmtId="2" fontId="193" fillId="39" borderId="13" xfId="0" applyNumberFormat="1" applyFont="1" applyFill="1" applyBorder="1"/>
    <xf numFmtId="0" fontId="0" fillId="0" borderId="0" xfId="0"/>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0" fillId="0" borderId="0" xfId="0"/>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254" fillId="39" borderId="10" xfId="0" applyFont="1" applyFill="1" applyBorder="1"/>
    <xf numFmtId="14" fontId="118" fillId="39" borderId="10" xfId="0" applyNumberFormat="1" applyFont="1" applyFill="1" applyBorder="1" applyAlignment="1">
      <alignment horizontal="center"/>
    </xf>
    <xf numFmtId="14" fontId="118" fillId="41" borderId="10" xfId="0" applyNumberFormat="1" applyFont="1" applyFill="1" applyBorder="1" applyAlignment="1">
      <alignment horizontal="center"/>
    </xf>
    <xf numFmtId="0" fontId="106" fillId="39" borderId="10" xfId="0" applyFont="1" applyFill="1" applyBorder="1" applyAlignment="1"/>
    <xf numFmtId="14" fontId="79" fillId="39" borderId="10" xfId="0" applyNumberFormat="1" applyFont="1" applyFill="1" applyBorder="1" applyAlignment="1">
      <alignment horizontal="center"/>
    </xf>
    <xf numFmtId="0" fontId="12" fillId="39" borderId="12" xfId="0" applyFont="1" applyFill="1" applyBorder="1" applyAlignment="1">
      <alignment horizontal="center" wrapText="1"/>
    </xf>
    <xf numFmtId="2" fontId="12" fillId="39" borderId="80" xfId="0" applyNumberFormat="1" applyFont="1" applyFill="1" applyBorder="1" applyAlignment="1">
      <alignment horizontal="center" vertical="center"/>
    </xf>
    <xf numFmtId="173" fontId="12" fillId="39" borderId="15" xfId="0" applyNumberFormat="1" applyFont="1" applyFill="1" applyBorder="1" applyAlignment="1">
      <alignment horizontal="center" vertical="center"/>
    </xf>
    <xf numFmtId="1" fontId="12" fillId="39" borderId="10" xfId="0" applyNumberFormat="1" applyFont="1" applyFill="1" applyBorder="1" applyAlignment="1">
      <alignment horizontal="center" vertical="center"/>
    </xf>
    <xf numFmtId="173" fontId="111" fillId="39" borderId="10" xfId="0" applyNumberFormat="1" applyFont="1" applyFill="1" applyBorder="1" applyAlignment="1">
      <alignment horizontal="center"/>
    </xf>
    <xf numFmtId="9" fontId="150" fillId="39" borderId="10" xfId="203" applyFont="1" applyFill="1" applyBorder="1" applyAlignment="1">
      <alignment horizontal="center"/>
    </xf>
    <xf numFmtId="14" fontId="12" fillId="0" borderId="0" xfId="0" applyNumberFormat="1" applyFont="1" applyFill="1"/>
    <xf numFmtId="176" fontId="106" fillId="39" borderId="10" xfId="0" applyNumberFormat="1" applyFont="1" applyFill="1" applyBorder="1"/>
    <xf numFmtId="2" fontId="206" fillId="39" borderId="10" xfId="0" applyNumberFormat="1" applyFont="1" applyFill="1" applyBorder="1"/>
    <xf numFmtId="0" fontId="251" fillId="39" borderId="45" xfId="0" applyFont="1" applyFill="1" applyBorder="1"/>
    <xf numFmtId="14" fontId="251" fillId="39" borderId="76" xfId="0" applyNumberFormat="1" applyFont="1" applyFill="1" applyBorder="1"/>
    <xf numFmtId="0" fontId="206" fillId="39" borderId="13" xfId="0" applyFont="1" applyFill="1" applyBorder="1" applyAlignment="1">
      <alignment horizont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3" fontId="10" fillId="41" borderId="63" xfId="0" applyNumberFormat="1" applyFont="1" applyFill="1" applyBorder="1" applyAlignment="1">
      <alignment horizontal="center" vertical="center"/>
    </xf>
    <xf numFmtId="3" fontId="10" fillId="41" borderId="15" xfId="0" applyNumberFormat="1" applyFont="1" applyFill="1" applyBorder="1" applyAlignment="1">
      <alignment horizontal="center" vertical="center"/>
    </xf>
    <xf numFmtId="183" fontId="10" fillId="41" borderId="10" xfId="0" applyNumberFormat="1" applyFont="1" applyFill="1" applyBorder="1" applyAlignment="1">
      <alignment horizontal="center" vertical="center"/>
    </xf>
    <xf numFmtId="166" fontId="10" fillId="41" borderId="10" xfId="203" applyNumberFormat="1" applyFont="1" applyFill="1" applyBorder="1" applyAlignment="1">
      <alignment horizontal="center" vertical="center"/>
    </xf>
    <xf numFmtId="178" fontId="76" fillId="41" borderId="10" xfId="0" applyNumberFormat="1" applyFont="1" applyFill="1" applyBorder="1" applyAlignment="1">
      <alignment horizontal="center" vertical="center"/>
    </xf>
    <xf numFmtId="3" fontId="10" fillId="41" borderId="64" xfId="0" applyNumberFormat="1" applyFont="1" applyFill="1" applyBorder="1" applyAlignment="1">
      <alignment horizontal="center" vertical="center"/>
    </xf>
    <xf numFmtId="3" fontId="10" fillId="41" borderId="15" xfId="203" applyNumberFormat="1" applyFont="1" applyFill="1" applyBorder="1" applyAlignment="1">
      <alignment horizontal="center" vertical="center"/>
    </xf>
    <xf numFmtId="178" fontId="76" fillId="41" borderId="10" xfId="0" applyNumberFormat="1" applyFont="1" applyFill="1" applyBorder="1" applyAlignment="1">
      <alignment horizontal="center"/>
    </xf>
    <xf numFmtId="3" fontId="10" fillId="41" borderId="16" xfId="0" applyNumberFormat="1" applyFont="1" applyFill="1" applyBorder="1" applyAlignment="1">
      <alignment horizontal="center" vertical="center"/>
    </xf>
    <xf numFmtId="178" fontId="11" fillId="41" borderId="10" xfId="0" applyNumberFormat="1" applyFont="1" applyFill="1" applyBorder="1" applyAlignment="1">
      <alignment horizontal="center"/>
    </xf>
    <xf numFmtId="3" fontId="10" fillId="41" borderId="10" xfId="203" applyNumberFormat="1" applyFont="1" applyFill="1" applyBorder="1" applyAlignment="1">
      <alignment horizontal="center" vertical="center"/>
    </xf>
    <xf numFmtId="178" fontId="10" fillId="41" borderId="10" xfId="0" applyNumberFormat="1" applyFont="1" applyFill="1" applyBorder="1" applyAlignment="1"/>
    <xf numFmtId="168" fontId="10" fillId="41" borderId="10" xfId="0" applyNumberFormat="1" applyFont="1" applyFill="1" applyBorder="1" applyAlignment="1">
      <alignment horizontal="center" vertical="center"/>
    </xf>
    <xf numFmtId="185" fontId="10" fillId="41" borderId="10" xfId="0" applyNumberFormat="1" applyFont="1" applyFill="1" applyBorder="1" applyAlignment="1">
      <alignment horizontal="center" vertical="center"/>
    </xf>
    <xf numFmtId="167" fontId="10" fillId="41" borderId="10" xfId="0" applyNumberFormat="1" applyFont="1" applyFill="1" applyBorder="1" applyAlignment="1">
      <alignment horizontal="center" vertical="center"/>
    </xf>
    <xf numFmtId="3" fontId="10" fillId="41" borderId="10" xfId="0" applyNumberFormat="1" applyFont="1" applyFill="1" applyBorder="1" applyAlignment="1">
      <alignment horizontal="center"/>
    </xf>
    <xf numFmtId="178" fontId="121" fillId="41" borderId="10" xfId="0" applyNumberFormat="1" applyFont="1" applyFill="1" applyBorder="1" applyAlignment="1">
      <alignment horizontal="center"/>
    </xf>
    <xf numFmtId="183" fontId="50" fillId="41" borderId="10" xfId="0" applyNumberFormat="1" applyFont="1" applyFill="1" applyBorder="1" applyAlignment="1">
      <alignment horizontal="center" vertical="center"/>
    </xf>
    <xf numFmtId="178" fontId="51" fillId="41" borderId="10" xfId="0" applyNumberFormat="1" applyFont="1" applyFill="1" applyBorder="1" applyAlignment="1">
      <alignment horizontal="center"/>
    </xf>
    <xf numFmtId="3" fontId="10" fillId="41" borderId="13" xfId="0" applyNumberFormat="1" applyFont="1" applyFill="1" applyBorder="1" applyAlignment="1">
      <alignment horizontal="center" vertical="center"/>
    </xf>
    <xf numFmtId="3" fontId="10" fillId="41" borderId="12" xfId="0" applyNumberFormat="1" applyFont="1" applyFill="1" applyBorder="1" applyAlignment="1">
      <alignment horizontal="center"/>
    </xf>
    <xf numFmtId="178" fontId="9" fillId="41" borderId="10" xfId="0" applyNumberFormat="1" applyFont="1" applyFill="1" applyBorder="1" applyAlignment="1"/>
    <xf numFmtId="169" fontId="150" fillId="41" borderId="10" xfId="0" applyNumberFormat="1" applyFont="1" applyFill="1" applyBorder="1" applyAlignment="1">
      <alignment horizontal="center" vertical="center"/>
    </xf>
    <xf numFmtId="3" fontId="10" fillId="41" borderId="13" xfId="0" applyNumberFormat="1" applyFont="1" applyFill="1" applyBorder="1" applyAlignment="1">
      <alignment horizontal="center"/>
    </xf>
    <xf numFmtId="3" fontId="10" fillId="41" borderId="63" xfId="0" applyNumberFormat="1" applyFont="1" applyFill="1" applyBorder="1" applyAlignment="1">
      <alignment horizontal="center"/>
    </xf>
    <xf numFmtId="167" fontId="10" fillId="41" borderId="63" xfId="0" applyNumberFormat="1" applyFont="1" applyFill="1" applyBorder="1" applyAlignment="1">
      <alignment horizontal="center" vertical="center"/>
    </xf>
    <xf numFmtId="3" fontId="10" fillId="41" borderId="80" xfId="0" applyNumberFormat="1" applyFont="1" applyFill="1" applyBorder="1" applyAlignment="1">
      <alignment horizontal="center"/>
    </xf>
    <xf numFmtId="167" fontId="10" fillId="41" borderId="80" xfId="0" applyNumberFormat="1" applyFont="1" applyFill="1" applyBorder="1" applyAlignment="1">
      <alignment horizontal="center" vertical="center"/>
    </xf>
    <xf numFmtId="168" fontId="10" fillId="41" borderId="15" xfId="203" applyNumberFormat="1" applyFont="1" applyFill="1" applyBorder="1" applyAlignment="1">
      <alignment horizontal="center" vertical="center"/>
    </xf>
    <xf numFmtId="167" fontId="10" fillId="41" borderId="139" xfId="0" applyNumberFormat="1" applyFont="1" applyFill="1" applyBorder="1" applyAlignment="1">
      <alignment horizontal="center" vertical="center"/>
    </xf>
    <xf numFmtId="167" fontId="10" fillId="41" borderId="64" xfId="0" applyNumberFormat="1" applyFont="1" applyFill="1" applyBorder="1" applyAlignment="1">
      <alignment horizontal="center" vertical="center"/>
    </xf>
    <xf numFmtId="167" fontId="10" fillId="41" borderId="62" xfId="0" applyNumberFormat="1" applyFont="1" applyFill="1" applyBorder="1" applyAlignment="1">
      <alignment horizontal="center" vertical="center"/>
    </xf>
    <xf numFmtId="3" fontId="10" fillId="41" borderId="64" xfId="0" applyNumberFormat="1" applyFont="1" applyFill="1" applyBorder="1" applyAlignment="1">
      <alignment horizontal="center"/>
    </xf>
    <xf numFmtId="184" fontId="10" fillId="41" borderId="10" xfId="0" applyNumberFormat="1" applyFont="1" applyFill="1" applyBorder="1" applyAlignment="1">
      <alignment horizontal="center" vertical="center"/>
    </xf>
    <xf numFmtId="10" fontId="10" fillId="41" borderId="10" xfId="203" applyNumberFormat="1" applyFont="1" applyFill="1" applyBorder="1" applyAlignment="1">
      <alignment horizontal="center" vertical="center"/>
    </xf>
    <xf numFmtId="3" fontId="10" fillId="41" borderId="80" xfId="0" applyNumberFormat="1" applyFont="1" applyFill="1" applyBorder="1" applyAlignment="1">
      <alignment horizontal="center" vertical="center"/>
    </xf>
    <xf numFmtId="184" fontId="50" fillId="41" borderId="10" xfId="0" applyNumberFormat="1" applyFont="1" applyFill="1" applyBorder="1" applyAlignment="1">
      <alignment horizontal="center" vertical="center"/>
    </xf>
    <xf numFmtId="3" fontId="127" fillId="41" borderId="10" xfId="0" applyNumberFormat="1" applyFont="1" applyFill="1" applyBorder="1" applyAlignment="1">
      <alignment horizontal="center" vertical="center"/>
    </xf>
    <xf numFmtId="178" fontId="45" fillId="41" borderId="10" xfId="0" applyNumberFormat="1" applyFont="1" applyFill="1" applyBorder="1" applyAlignment="1">
      <alignment horizontal="center"/>
    </xf>
    <xf numFmtId="3" fontId="148" fillId="41" borderId="12" xfId="0" applyNumberFormat="1" applyFont="1" applyFill="1" applyBorder="1" applyAlignment="1">
      <alignment horizontal="center" vertical="center"/>
    </xf>
    <xf numFmtId="1" fontId="10" fillId="41" borderId="15" xfId="0" applyNumberFormat="1" applyFont="1" applyFill="1" applyBorder="1" applyAlignment="1">
      <alignment horizontal="center" vertical="center"/>
    </xf>
    <xf numFmtId="3" fontId="148" fillId="41" borderId="12" xfId="0" applyNumberFormat="1" applyFont="1" applyFill="1" applyBorder="1" applyAlignment="1">
      <alignment horizontal="center"/>
    </xf>
    <xf numFmtId="3" fontId="148" fillId="41" borderId="10" xfId="0" applyNumberFormat="1" applyFont="1" applyFill="1" applyBorder="1" applyAlignment="1">
      <alignment horizontal="center" vertical="center"/>
    </xf>
    <xf numFmtId="1" fontId="10" fillId="41" borderId="10" xfId="0" applyNumberFormat="1" applyFont="1" applyFill="1" applyBorder="1" applyAlignment="1">
      <alignment horizontal="center" vertical="center"/>
    </xf>
    <xf numFmtId="3" fontId="148" fillId="41" borderId="10" xfId="0" applyNumberFormat="1" applyFont="1" applyFill="1" applyBorder="1" applyAlignment="1">
      <alignment horizontal="center"/>
    </xf>
    <xf numFmtId="3" fontId="10" fillId="41" borderId="16" xfId="0" applyNumberFormat="1" applyFont="1" applyFill="1" applyBorder="1" applyAlignment="1">
      <alignment horizontal="center"/>
    </xf>
    <xf numFmtId="169" fontId="10" fillId="41" borderId="16" xfId="0" applyNumberFormat="1" applyFont="1" applyFill="1" applyBorder="1" applyAlignment="1">
      <alignment horizontal="center" vertical="center"/>
    </xf>
    <xf numFmtId="183" fontId="50" fillId="41" borderId="16" xfId="0" applyNumberFormat="1" applyFont="1" applyFill="1" applyBorder="1" applyAlignment="1">
      <alignment horizontal="center" vertical="center"/>
    </xf>
    <xf numFmtId="166" fontId="10" fillId="41" borderId="16" xfId="203" applyNumberFormat="1" applyFont="1" applyFill="1" applyBorder="1" applyAlignment="1">
      <alignment horizontal="center" vertical="center"/>
    </xf>
    <xf numFmtId="178" fontId="76" fillId="41" borderId="16" xfId="0" applyNumberFormat="1" applyFont="1" applyFill="1" applyBorder="1" applyAlignment="1">
      <alignment horizontal="center"/>
    </xf>
    <xf numFmtId="169" fontId="35" fillId="41" borderId="0" xfId="0" applyNumberFormat="1" applyFont="1" applyFill="1"/>
    <xf numFmtId="4" fontId="35" fillId="41" borderId="0" xfId="0" applyNumberFormat="1" applyFont="1" applyFill="1"/>
    <xf numFmtId="0" fontId="10" fillId="41" borderId="10" xfId="0" applyFont="1" applyFill="1" applyBorder="1" applyAlignment="1">
      <alignment horizontal="center" vertical="center"/>
    </xf>
    <xf numFmtId="0" fontId="10" fillId="39" borderId="12" xfId="0" applyFont="1" applyFill="1" applyBorder="1" applyAlignment="1">
      <alignment horizontal="center" vertical="center" wrapText="1"/>
    </xf>
    <xf numFmtId="0" fontId="10" fillId="49" borderId="12" xfId="0" applyFont="1" applyFill="1" applyBorder="1" applyAlignment="1">
      <alignment horizontal="center" vertical="center" wrapText="1"/>
    </xf>
    <xf numFmtId="179" fontId="15" fillId="41" borderId="13" xfId="0" applyNumberFormat="1" applyFont="1" applyFill="1" applyBorder="1" applyAlignment="1">
      <alignment horizontal="center" vertical="center"/>
    </xf>
    <xf numFmtId="0" fontId="10" fillId="64" borderId="12" xfId="0" applyFont="1" applyFill="1" applyBorder="1" applyAlignment="1">
      <alignment horizontal="center" vertical="center" wrapText="1"/>
    </xf>
    <xf numFmtId="0" fontId="221" fillId="64" borderId="0" xfId="0" applyFont="1" applyFill="1"/>
    <xf numFmtId="0" fontId="214" fillId="64" borderId="0" xfId="0" applyFont="1" applyFill="1"/>
    <xf numFmtId="0" fontId="216" fillId="64" borderId="0" xfId="0" applyFont="1" applyFill="1"/>
    <xf numFmtId="0" fontId="215" fillId="64" borderId="0" xfId="0" applyFont="1" applyFill="1"/>
    <xf numFmtId="0" fontId="217" fillId="64" borderId="0" xfId="0" applyFont="1" applyFill="1" applyAlignment="1">
      <alignment horizontal="left"/>
    </xf>
    <xf numFmtId="0" fontId="216" fillId="64" borderId="0" xfId="0" applyFont="1" applyFill="1" applyAlignment="1">
      <alignment horizontal="center" vertical="center"/>
    </xf>
    <xf numFmtId="0" fontId="218" fillId="64" borderId="70" xfId="0" applyFont="1" applyFill="1" applyBorder="1" applyAlignment="1">
      <alignment horizontal="center" vertical="center"/>
    </xf>
    <xf numFmtId="0" fontId="218" fillId="64" borderId="71" xfId="0" applyFont="1" applyFill="1" applyBorder="1" applyAlignment="1">
      <alignment horizontal="center" vertical="center"/>
    </xf>
    <xf numFmtId="0" fontId="219" fillId="64" borderId="10" xfId="195" applyFont="1" applyFill="1" applyBorder="1" applyAlignment="1">
      <alignment horizontal="center" vertical="center" wrapText="1"/>
    </xf>
    <xf numFmtId="0" fontId="216" fillId="64" borderId="10" xfId="0" applyFont="1" applyFill="1" applyBorder="1"/>
    <xf numFmtId="0" fontId="216" fillId="64" borderId="10" xfId="0" applyFont="1" applyFill="1" applyBorder="1" applyAlignment="1">
      <alignment horizontal="center"/>
    </xf>
    <xf numFmtId="0" fontId="216" fillId="64" borderId="10" xfId="0" applyFont="1" applyFill="1" applyBorder="1" applyAlignment="1">
      <alignment horizontal="right"/>
    </xf>
    <xf numFmtId="0" fontId="7" fillId="39" borderId="12" xfId="0" applyFont="1" applyFill="1" applyBorder="1" applyAlignment="1">
      <alignment vertical="center" wrapText="1"/>
    </xf>
    <xf numFmtId="0" fontId="38" fillId="86" borderId="16" xfId="173" applyFont="1" applyFill="1" applyBorder="1" applyAlignment="1">
      <alignment horizontal="left" vertical="center" wrapText="1"/>
    </xf>
    <xf numFmtId="0" fontId="38" fillId="49" borderId="16" xfId="173" applyFont="1" applyFill="1" applyBorder="1" applyAlignment="1">
      <alignment horizontal="left" vertical="center" wrapText="1"/>
    </xf>
    <xf numFmtId="0" fontId="38" fillId="47" borderId="16" xfId="173" applyFont="1" applyFill="1" applyBorder="1" applyAlignment="1">
      <alignment horizontal="left" vertical="center" wrapText="1"/>
    </xf>
    <xf numFmtId="3" fontId="10" fillId="39" borderId="179" xfId="0" applyNumberFormat="1" applyFont="1" applyFill="1" applyBorder="1" applyAlignment="1">
      <alignment horizontal="center" vertical="center"/>
    </xf>
    <xf numFmtId="4" fontId="119" fillId="41" borderId="206" xfId="195" applyNumberFormat="1" applyFont="1" applyFill="1" applyBorder="1" applyAlignment="1">
      <alignment horizontal="right"/>
    </xf>
    <xf numFmtId="4" fontId="119" fillId="41" borderId="196" xfId="195" applyNumberFormat="1" applyFont="1" applyFill="1" applyBorder="1" applyAlignment="1">
      <alignment horizontal="right"/>
    </xf>
    <xf numFmtId="4" fontId="119" fillId="41" borderId="211" xfId="195" applyNumberFormat="1" applyFont="1" applyFill="1" applyBorder="1" applyAlignment="1">
      <alignment horizontal="right"/>
    </xf>
    <xf numFmtId="16" fontId="119" fillId="0" borderId="27" xfId="195" applyNumberFormat="1" applyFont="1" applyFill="1" applyBorder="1" applyAlignment="1">
      <alignment horizontal="center"/>
    </xf>
    <xf numFmtId="4" fontId="119" fillId="0" borderId="41" xfId="195" applyNumberFormat="1" applyFont="1" applyFill="1" applyBorder="1" applyAlignment="1">
      <alignment horizontal="right"/>
    </xf>
    <xf numFmtId="10" fontId="7" fillId="41" borderId="10" xfId="203" applyNumberFormat="1" applyFont="1" applyFill="1" applyBorder="1" applyAlignment="1">
      <alignment horizontal="center"/>
    </xf>
    <xf numFmtId="0" fontId="119" fillId="39" borderId="198" xfId="195" applyFont="1" applyFill="1" applyBorder="1" applyAlignment="1">
      <alignment horizontal="center"/>
    </xf>
    <xf numFmtId="16" fontId="119" fillId="39" borderId="198" xfId="195" applyNumberFormat="1" applyFont="1" applyFill="1" applyBorder="1" applyAlignment="1">
      <alignment horizontal="center"/>
    </xf>
    <xf numFmtId="0" fontId="119" fillId="39" borderId="199" xfId="195" applyFont="1" applyFill="1" applyBorder="1" applyAlignment="1">
      <alignment horizontal="center"/>
    </xf>
    <xf numFmtId="4" fontId="119" fillId="39" borderId="200" xfId="195" applyNumberFormat="1" applyFont="1" applyFill="1" applyBorder="1" applyAlignment="1">
      <alignment horizontal="center"/>
    </xf>
    <xf numFmtId="4" fontId="119" fillId="39" borderId="201" xfId="195" applyNumberFormat="1" applyFont="1" applyFill="1" applyBorder="1" applyAlignment="1">
      <alignment horizontal="right"/>
    </xf>
    <xf numFmtId="4" fontId="119" fillId="39" borderId="202" xfId="195" applyNumberFormat="1" applyFont="1" applyFill="1" applyBorder="1" applyAlignment="1">
      <alignment horizontal="right"/>
    </xf>
    <xf numFmtId="0" fontId="119" fillId="39" borderId="188" xfId="195" applyFont="1" applyFill="1" applyBorder="1" applyAlignment="1">
      <alignment horizontal="center"/>
    </xf>
    <xf numFmtId="16" fontId="119" fillId="39" borderId="188" xfId="195" applyNumberFormat="1" applyFont="1" applyFill="1" applyBorder="1" applyAlignment="1">
      <alignment horizontal="center"/>
    </xf>
    <xf numFmtId="0" fontId="119" fillId="39" borderId="189" xfId="195" applyFont="1" applyFill="1" applyBorder="1" applyAlignment="1">
      <alignment horizontal="center"/>
    </xf>
    <xf numFmtId="4" fontId="119" fillId="39" borderId="190" xfId="195" applyNumberFormat="1" applyFont="1" applyFill="1" applyBorder="1" applyAlignment="1">
      <alignment horizontal="center"/>
    </xf>
    <xf numFmtId="4" fontId="119" fillId="39" borderId="191" xfId="195" applyNumberFormat="1" applyFont="1" applyFill="1" applyBorder="1" applyAlignment="1">
      <alignment horizontal="right"/>
    </xf>
    <xf numFmtId="4" fontId="119" fillId="39" borderId="192" xfId="195" applyNumberFormat="1" applyFont="1" applyFill="1" applyBorder="1" applyAlignment="1">
      <alignment horizontal="right"/>
    </xf>
    <xf numFmtId="0" fontId="119" fillId="39" borderId="193" xfId="195" applyFont="1" applyFill="1" applyBorder="1" applyAlignment="1">
      <alignment horizontal="center"/>
    </xf>
    <xf numFmtId="16" fontId="119" fillId="39" borderId="193" xfId="195" applyNumberFormat="1" applyFont="1" applyFill="1" applyBorder="1" applyAlignment="1">
      <alignment horizontal="center"/>
    </xf>
    <xf numFmtId="0" fontId="119" fillId="39" borderId="194" xfId="195" applyFont="1" applyFill="1" applyBorder="1" applyAlignment="1">
      <alignment horizontal="center"/>
    </xf>
    <xf numFmtId="4" fontId="119" fillId="39" borderId="195" xfId="195" applyNumberFormat="1" applyFont="1" applyFill="1" applyBorder="1" applyAlignment="1">
      <alignment horizontal="center"/>
    </xf>
    <xf numFmtId="4" fontId="119" fillId="39" borderId="196" xfId="195" applyNumberFormat="1" applyFont="1" applyFill="1" applyBorder="1" applyAlignment="1">
      <alignment horizontal="right"/>
    </xf>
    <xf numFmtId="0" fontId="106" fillId="39" borderId="0" xfId="0" applyFont="1" applyFill="1" applyAlignment="1">
      <alignment horizontal="center"/>
    </xf>
    <xf numFmtId="0" fontId="119" fillId="39" borderId="203" xfId="195" applyFont="1" applyFill="1" applyBorder="1" applyAlignment="1">
      <alignment horizontal="center"/>
    </xf>
    <xf numFmtId="16" fontId="119" fillId="39" borderId="203" xfId="195" applyNumberFormat="1" applyFont="1" applyFill="1" applyBorder="1" applyAlignment="1">
      <alignment horizontal="center"/>
    </xf>
    <xf numFmtId="0" fontId="119" fillId="39" borderId="204" xfId="195" applyFont="1" applyFill="1" applyBorder="1" applyAlignment="1">
      <alignment horizontal="center"/>
    </xf>
    <xf numFmtId="4" fontId="119" fillId="39" borderId="205" xfId="195" applyNumberFormat="1" applyFont="1" applyFill="1" applyBorder="1" applyAlignment="1">
      <alignment horizontal="center"/>
    </xf>
    <xf numFmtId="4" fontId="119" fillId="39" borderId="206" xfId="195" applyNumberFormat="1" applyFont="1" applyFill="1" applyBorder="1" applyAlignment="1">
      <alignment horizontal="right"/>
    </xf>
    <xf numFmtId="4" fontId="147" fillId="39" borderId="207" xfId="195" applyNumberFormat="1" applyFont="1" applyFill="1" applyBorder="1" applyAlignment="1">
      <alignment horizontal="right"/>
    </xf>
    <xf numFmtId="4" fontId="119" fillId="39" borderId="197" xfId="195" applyNumberFormat="1" applyFont="1" applyFill="1" applyBorder="1" applyAlignment="1">
      <alignment horizontal="right"/>
    </xf>
    <xf numFmtId="4" fontId="119" fillId="39" borderId="197" xfId="195" applyNumberFormat="1" applyFont="1" applyFill="1" applyBorder="1" applyAlignment="1">
      <alignment horizontal="right" vertical="center"/>
    </xf>
    <xf numFmtId="4" fontId="147" fillId="39" borderId="197" xfId="195" applyNumberFormat="1" applyFont="1" applyFill="1" applyBorder="1" applyAlignment="1">
      <alignment horizontal="right" vertical="center"/>
    </xf>
    <xf numFmtId="0" fontId="147" fillId="39" borderId="193" xfId="195" applyFont="1" applyFill="1" applyBorder="1" applyAlignment="1">
      <alignment horizontal="center"/>
    </xf>
    <xf numFmtId="0" fontId="147" fillId="39" borderId="197" xfId="195" applyFont="1" applyFill="1" applyBorder="1" applyAlignment="1">
      <alignment horizontal="center"/>
    </xf>
    <xf numFmtId="16" fontId="147" fillId="39" borderId="196" xfId="195" applyNumberFormat="1" applyFont="1" applyFill="1" applyBorder="1" applyAlignment="1">
      <alignment horizontal="center"/>
    </xf>
    <xf numFmtId="0" fontId="147" fillId="39" borderId="194" xfId="195" applyFont="1" applyFill="1" applyBorder="1" applyAlignment="1">
      <alignment horizontal="center"/>
    </xf>
    <xf numFmtId="4" fontId="147" fillId="39" borderId="195" xfId="195" applyNumberFormat="1" applyFont="1" applyFill="1" applyBorder="1" applyAlignment="1">
      <alignment horizontal="center"/>
    </xf>
    <xf numFmtId="4" fontId="147" fillId="39" borderId="196" xfId="195" applyNumberFormat="1" applyFont="1" applyFill="1" applyBorder="1" applyAlignment="1">
      <alignment horizontal="right"/>
    </xf>
    <xf numFmtId="4" fontId="119" fillId="39" borderId="21" xfId="195" applyNumberFormat="1" applyFont="1" applyFill="1" applyBorder="1" applyAlignment="1">
      <alignment horizontal="center" vertical="center" wrapText="1"/>
    </xf>
    <xf numFmtId="14" fontId="16" fillId="41" borderId="0" xfId="0" applyNumberFormat="1" applyFont="1" applyFill="1"/>
    <xf numFmtId="43" fontId="36" fillId="27" borderId="161" xfId="157" applyFont="1" applyFill="1" applyBorder="1" applyAlignment="1">
      <alignment horizontal="center"/>
    </xf>
    <xf numFmtId="43" fontId="36" fillId="27" borderId="162" xfId="157" applyFont="1" applyFill="1" applyBorder="1" applyAlignment="1">
      <alignment horizontal="center"/>
    </xf>
    <xf numFmtId="43" fontId="36" fillId="27" borderId="163" xfId="157" applyFont="1" applyFill="1" applyBorder="1" applyAlignment="1">
      <alignment horizontal="center"/>
    </xf>
    <xf numFmtId="179" fontId="36" fillId="27" borderId="160" xfId="157" applyNumberFormat="1" applyFont="1" applyFill="1" applyBorder="1" applyAlignment="1">
      <alignment horizontal="center"/>
    </xf>
    <xf numFmtId="179" fontId="36" fillId="27" borderId="23" xfId="157" applyNumberFormat="1" applyFont="1" applyFill="1" applyBorder="1" applyAlignment="1">
      <alignment horizontal="center"/>
    </xf>
    <xf numFmtId="179" fontId="36" fillId="27" borderId="25" xfId="157" applyNumberFormat="1" applyFont="1" applyFill="1" applyBorder="1" applyAlignment="1">
      <alignment horizontal="center"/>
    </xf>
    <xf numFmtId="0" fontId="10" fillId="50" borderId="13" xfId="0" applyFont="1" applyFill="1" applyBorder="1" applyAlignment="1">
      <alignment horizontal="center" vertical="center"/>
    </xf>
    <xf numFmtId="0" fontId="10" fillId="50" borderId="215" xfId="0" applyFont="1" applyFill="1" applyBorder="1" applyAlignment="1">
      <alignment horizontal="center" vertical="center"/>
    </xf>
    <xf numFmtId="0" fontId="10" fillId="50" borderId="16" xfId="0" applyFont="1" applyFill="1" applyBorder="1" applyAlignment="1">
      <alignment horizontal="center" vertical="center"/>
    </xf>
    <xf numFmtId="0" fontId="10" fillId="52" borderId="13" xfId="0" applyFont="1" applyFill="1" applyBorder="1" applyAlignment="1">
      <alignment horizontal="center" vertical="center"/>
    </xf>
    <xf numFmtId="0" fontId="10" fillId="52" borderId="16" xfId="0" applyFont="1" applyFill="1" applyBorder="1" applyAlignment="1">
      <alignment horizontal="center" vertical="center"/>
    </xf>
    <xf numFmtId="188" fontId="9" fillId="25" borderId="17" xfId="157" applyNumberFormat="1" applyFont="1" applyFill="1" applyBorder="1" applyAlignment="1">
      <alignment horizontal="center"/>
    </xf>
    <xf numFmtId="188" fontId="9" fillId="25" borderId="18" xfId="157" applyNumberFormat="1" applyFont="1" applyFill="1" applyBorder="1" applyAlignment="1">
      <alignment horizontal="center"/>
    </xf>
    <xf numFmtId="188" fontId="9" fillId="25" borderId="32" xfId="157" applyNumberFormat="1" applyFont="1" applyFill="1" applyBorder="1" applyAlignment="1">
      <alignment horizontal="center"/>
    </xf>
    <xf numFmtId="43" fontId="9" fillId="25" borderId="11" xfId="157" applyFont="1" applyFill="1" applyBorder="1" applyAlignment="1">
      <alignment horizontal="center"/>
    </xf>
    <xf numFmtId="0" fontId="0" fillId="0" borderId="19" xfId="0" applyBorder="1" applyAlignment="1">
      <alignment horizontal="center"/>
    </xf>
    <xf numFmtId="0" fontId="0" fillId="0" borderId="31" xfId="0" applyBorder="1" applyAlignment="1">
      <alignment horizontal="center"/>
    </xf>
    <xf numFmtId="0" fontId="10" fillId="53" borderId="13" xfId="0" applyFont="1" applyFill="1" applyBorder="1" applyAlignment="1">
      <alignment horizontal="center" vertical="center"/>
    </xf>
    <xf numFmtId="0" fontId="10" fillId="53" borderId="215" xfId="0" applyFont="1" applyFill="1" applyBorder="1" applyAlignment="1">
      <alignment horizontal="center" vertical="center"/>
    </xf>
    <xf numFmtId="0" fontId="10" fillId="53" borderId="16" xfId="0" applyFont="1" applyFill="1" applyBorder="1" applyAlignment="1">
      <alignment horizontal="center" vertical="center"/>
    </xf>
    <xf numFmtId="0" fontId="10" fillId="44" borderId="13" xfId="0" applyFont="1" applyFill="1" applyBorder="1" applyAlignment="1">
      <alignment horizontal="center" vertical="center"/>
    </xf>
    <xf numFmtId="0" fontId="10" fillId="44" borderId="215" xfId="0" applyFont="1" applyFill="1" applyBorder="1" applyAlignment="1">
      <alignment horizontal="center" vertical="center"/>
    </xf>
    <xf numFmtId="0" fontId="10" fillId="44" borderId="16" xfId="0" applyFont="1" applyFill="1" applyBorder="1" applyAlignment="1">
      <alignment horizontal="center" vertical="center"/>
    </xf>
    <xf numFmtId="0" fontId="10" fillId="42" borderId="13" xfId="0" applyFont="1" applyFill="1" applyBorder="1" applyAlignment="1">
      <alignment horizontal="center" vertical="center"/>
    </xf>
    <xf numFmtId="0" fontId="10" fillId="42" borderId="215" xfId="0" applyFont="1" applyFill="1" applyBorder="1" applyAlignment="1">
      <alignment horizontal="center" vertical="center"/>
    </xf>
    <xf numFmtId="0" fontId="10" fillId="42" borderId="16" xfId="0" applyFont="1" applyFill="1" applyBorder="1" applyAlignment="1">
      <alignment horizontal="center" vertical="center"/>
    </xf>
    <xf numFmtId="0" fontId="45" fillId="44" borderId="13" xfId="0" applyFont="1" applyFill="1" applyBorder="1" applyAlignment="1">
      <alignment horizontal="center" vertical="center"/>
    </xf>
    <xf numFmtId="0" fontId="45" fillId="44" borderId="215" xfId="0" applyFont="1" applyFill="1" applyBorder="1" applyAlignment="1">
      <alignment horizontal="center" vertical="center"/>
    </xf>
    <xf numFmtId="0" fontId="45" fillId="44" borderId="16" xfId="0" applyFont="1" applyFill="1" applyBorder="1" applyAlignment="1">
      <alignment horizontal="center" vertical="center"/>
    </xf>
    <xf numFmtId="0" fontId="10" fillId="60" borderId="13" xfId="0" applyFont="1" applyFill="1" applyBorder="1" applyAlignment="1">
      <alignment horizontal="center" vertical="center"/>
    </xf>
    <xf numFmtId="0" fontId="10" fillId="60" borderId="215" xfId="0" applyFont="1" applyFill="1" applyBorder="1" applyAlignment="1">
      <alignment horizontal="center" vertical="center"/>
    </xf>
    <xf numFmtId="0" fontId="10" fillId="60" borderId="16" xfId="0" applyFont="1" applyFill="1" applyBorder="1" applyAlignment="1">
      <alignment horizontal="center" vertical="center"/>
    </xf>
    <xf numFmtId="0" fontId="45" fillId="39" borderId="13" xfId="0" applyFont="1" applyFill="1" applyBorder="1" applyAlignment="1">
      <alignment horizontal="center" vertical="center"/>
    </xf>
    <xf numFmtId="0" fontId="45" fillId="39" borderId="215" xfId="0" applyFont="1" applyFill="1" applyBorder="1" applyAlignment="1">
      <alignment horizontal="center" vertical="center"/>
    </xf>
    <xf numFmtId="0" fontId="45" fillId="39" borderId="16" xfId="0" applyFont="1" applyFill="1" applyBorder="1" applyAlignment="1">
      <alignment horizontal="center" vertical="center"/>
    </xf>
    <xf numFmtId="0" fontId="45" fillId="60" borderId="13" xfId="0" applyFont="1" applyFill="1" applyBorder="1" applyAlignment="1">
      <alignment horizontal="center" vertical="center"/>
    </xf>
    <xf numFmtId="0" fontId="45" fillId="60" borderId="215" xfId="0" applyFont="1" applyFill="1" applyBorder="1" applyAlignment="1">
      <alignment horizontal="center" vertical="center"/>
    </xf>
    <xf numFmtId="0" fontId="45" fillId="60" borderId="16" xfId="0" applyFont="1" applyFill="1" applyBorder="1" applyAlignment="1">
      <alignment horizontal="center" vertical="center"/>
    </xf>
    <xf numFmtId="0" fontId="45" fillId="60" borderId="10" xfId="0" applyFont="1" applyFill="1" applyBorder="1" applyAlignment="1">
      <alignment horizontal="center" vertical="center"/>
    </xf>
    <xf numFmtId="0" fontId="10" fillId="41" borderId="10" xfId="0" applyFont="1" applyFill="1" applyBorder="1" applyAlignment="1">
      <alignment horizontal="center" vertical="center" wrapText="1"/>
    </xf>
    <xf numFmtId="3" fontId="148" fillId="41" borderId="10" xfId="0" applyNumberFormat="1" applyFont="1" applyFill="1" applyBorder="1" applyAlignment="1">
      <alignment horizontal="center" vertical="center"/>
    </xf>
    <xf numFmtId="4" fontId="10" fillId="41" borderId="10" xfId="0" applyNumberFormat="1" applyFont="1" applyFill="1" applyBorder="1" applyAlignment="1">
      <alignment horizontal="center" vertical="center"/>
    </xf>
    <xf numFmtId="0" fontId="45" fillId="44" borderId="10" xfId="0" applyFont="1" applyFill="1" applyBorder="1" applyAlignment="1">
      <alignment horizontal="center" vertical="center"/>
    </xf>
    <xf numFmtId="3" fontId="10" fillId="41" borderId="12" xfId="0" applyNumberFormat="1" applyFont="1" applyFill="1" applyBorder="1" applyAlignment="1">
      <alignment horizontal="center" vertical="center"/>
    </xf>
    <xf numFmtId="0" fontId="45" fillId="60" borderId="10" xfId="0" applyFont="1" applyFill="1" applyBorder="1" applyAlignment="1">
      <alignment horizontal="center" vertical="center" wrapText="1"/>
    </xf>
    <xf numFmtId="3" fontId="10" fillId="41" borderId="10" xfId="0" applyNumberFormat="1" applyFont="1" applyFill="1" applyBorder="1" applyAlignment="1">
      <alignment horizontal="center" vertical="center"/>
    </xf>
    <xf numFmtId="165" fontId="50" fillId="41" borderId="10" xfId="0" applyNumberFormat="1" applyFont="1" applyFill="1" applyBorder="1" applyAlignment="1">
      <alignment horizontal="center" vertical="center"/>
    </xf>
    <xf numFmtId="10" fontId="10" fillId="41" borderId="10" xfId="203" applyNumberFormat="1" applyFont="1" applyFill="1" applyBorder="1" applyAlignment="1">
      <alignment horizontal="center" vertical="center"/>
    </xf>
    <xf numFmtId="0" fontId="10" fillId="41" borderId="10" xfId="0" applyFont="1" applyFill="1" applyBorder="1" applyAlignment="1">
      <alignment horizontal="center" vertical="center"/>
    </xf>
    <xf numFmtId="165" fontId="10" fillId="41" borderId="10" xfId="0" applyNumberFormat="1" applyFont="1" applyFill="1" applyBorder="1" applyAlignment="1">
      <alignment horizontal="center" vertical="center"/>
    </xf>
    <xf numFmtId="0" fontId="121" fillId="44" borderId="10" xfId="0" applyFont="1" applyFill="1" applyBorder="1" applyAlignment="1">
      <alignment horizontal="center" vertical="center"/>
    </xf>
    <xf numFmtId="2" fontId="45" fillId="44" borderId="10" xfId="0" applyNumberFormat="1" applyFont="1" applyFill="1" applyBorder="1" applyAlignment="1">
      <alignment horizontal="center" vertical="center" wrapText="1"/>
    </xf>
    <xf numFmtId="0" fontId="0" fillId="41" borderId="10" xfId="0" applyFill="1" applyBorder="1" applyAlignment="1">
      <alignment horizontal="center" vertical="center" wrapText="1"/>
    </xf>
    <xf numFmtId="10" fontId="127" fillId="41" borderId="10" xfId="203" applyNumberFormat="1" applyFont="1" applyFill="1" applyBorder="1" applyAlignment="1">
      <alignment horizontal="center" vertical="center"/>
    </xf>
    <xf numFmtId="169" fontId="10" fillId="41" borderId="10" xfId="0" applyNumberFormat="1" applyFont="1" applyFill="1" applyBorder="1" applyAlignment="1">
      <alignment horizontal="center" vertical="center"/>
    </xf>
    <xf numFmtId="0" fontId="10" fillId="41" borderId="12" xfId="0" applyFont="1" applyFill="1" applyBorder="1" applyAlignment="1">
      <alignment horizontal="center" vertical="center"/>
    </xf>
    <xf numFmtId="10" fontId="50" fillId="41" borderId="16" xfId="203" applyNumberFormat="1" applyFont="1" applyFill="1" applyBorder="1" applyAlignment="1">
      <alignment horizontal="center" vertical="center"/>
    </xf>
    <xf numFmtId="10" fontId="50" fillId="41" borderId="10" xfId="203" applyNumberFormat="1" applyFont="1" applyFill="1" applyBorder="1" applyAlignment="1">
      <alignment horizontal="center" vertical="center"/>
    </xf>
    <xf numFmtId="3" fontId="10" fillId="41" borderId="16" xfId="0" applyNumberFormat="1" applyFont="1" applyFill="1" applyBorder="1" applyAlignment="1">
      <alignment horizontal="center" vertical="center"/>
    </xf>
    <xf numFmtId="0" fontId="45" fillId="60" borderId="16" xfId="0" applyFont="1" applyFill="1" applyBorder="1" applyAlignment="1">
      <alignment horizontal="center" vertical="center" wrapText="1"/>
    </xf>
    <xf numFmtId="167" fontId="10" fillId="41" borderId="12" xfId="0" applyNumberFormat="1" applyFont="1" applyFill="1" applyBorder="1" applyAlignment="1">
      <alignment horizontal="center" vertical="center"/>
    </xf>
    <xf numFmtId="4" fontId="10" fillId="41" borderId="16" xfId="0" applyNumberFormat="1" applyFont="1" applyFill="1" applyBorder="1" applyAlignment="1">
      <alignment horizontal="center" vertical="center"/>
    </xf>
    <xf numFmtId="165" fontId="50" fillId="41" borderId="16" xfId="0" applyNumberFormat="1" applyFont="1" applyFill="1" applyBorder="1" applyAlignment="1">
      <alignment horizontal="center" vertical="center"/>
    </xf>
    <xf numFmtId="4" fontId="0" fillId="41" borderId="10" xfId="0" applyNumberFormat="1" applyFill="1" applyBorder="1" applyAlignment="1">
      <alignment horizontal="center" vertical="center" wrapText="1"/>
    </xf>
    <xf numFmtId="43" fontId="9" fillId="25" borderId="19" xfId="157" applyFont="1" applyFill="1" applyBorder="1" applyAlignment="1">
      <alignment horizontal="center"/>
    </xf>
    <xf numFmtId="43" fontId="9" fillId="25" borderId="31" xfId="157" applyFont="1" applyFill="1" applyBorder="1" applyAlignment="1">
      <alignment horizontal="center"/>
    </xf>
    <xf numFmtId="0" fontId="9" fillId="0" borderId="0" xfId="0" applyFont="1" applyFill="1" applyAlignment="1">
      <alignment horizontal="center"/>
    </xf>
    <xf numFmtId="3" fontId="9" fillId="25" borderId="10" xfId="0" applyNumberFormat="1" applyFont="1" applyFill="1" applyBorder="1" applyAlignment="1">
      <alignment horizontal="center" vertical="center"/>
    </xf>
    <xf numFmtId="3" fontId="9" fillId="25" borderId="10" xfId="0" applyNumberFormat="1" applyFont="1" applyFill="1" applyBorder="1" applyAlignment="1">
      <alignment horizontal="center" vertical="center" wrapText="1"/>
    </xf>
    <xf numFmtId="15" fontId="252" fillId="25" borderId="17" xfId="157" applyNumberFormat="1" applyFont="1" applyFill="1" applyBorder="1" applyAlignment="1">
      <alignment horizontal="center"/>
    </xf>
    <xf numFmtId="0" fontId="9" fillId="25" borderId="18" xfId="157" applyNumberFormat="1" applyFont="1" applyFill="1" applyBorder="1" applyAlignment="1">
      <alignment horizontal="center"/>
    </xf>
    <xf numFmtId="0" fontId="9" fillId="25" borderId="32" xfId="157" applyNumberFormat="1" applyFont="1" applyFill="1" applyBorder="1" applyAlignment="1">
      <alignment horizontal="center"/>
    </xf>
    <xf numFmtId="3" fontId="9" fillId="25" borderId="13" xfId="0" applyNumberFormat="1" applyFont="1" applyFill="1" applyBorder="1" applyAlignment="1">
      <alignment horizontal="center" vertical="center"/>
    </xf>
    <xf numFmtId="10" fontId="10" fillId="41" borderId="10" xfId="0" applyNumberFormat="1" applyFont="1" applyFill="1" applyBorder="1" applyAlignment="1">
      <alignment horizontal="center" vertical="center"/>
    </xf>
    <xf numFmtId="0" fontId="16" fillId="38" borderId="12" xfId="0" applyFont="1" applyFill="1" applyBorder="1" applyAlignment="1">
      <alignment horizontal="center"/>
    </xf>
    <xf numFmtId="0" fontId="16" fillId="38" borderId="14" xfId="0" applyFont="1" applyFill="1" applyBorder="1" applyAlignment="1">
      <alignment horizontal="center"/>
    </xf>
    <xf numFmtId="0" fontId="16" fillId="38" borderId="15" xfId="0" applyFont="1" applyFill="1" applyBorder="1" applyAlignment="1">
      <alignment horizontal="center"/>
    </xf>
    <xf numFmtId="0" fontId="16" fillId="25" borderId="12" xfId="0" applyFont="1" applyFill="1" applyBorder="1" applyAlignment="1">
      <alignment horizontal="center"/>
    </xf>
    <xf numFmtId="0" fontId="16" fillId="25" borderId="14" xfId="0" applyFont="1" applyFill="1" applyBorder="1" applyAlignment="1">
      <alignment horizontal="center"/>
    </xf>
    <xf numFmtId="0" fontId="16" fillId="25" borderId="15" xfId="0" applyFont="1" applyFill="1" applyBorder="1" applyAlignment="1">
      <alignment horizontal="center"/>
    </xf>
    <xf numFmtId="0" fontId="159" fillId="25" borderId="12" xfId="0" applyFont="1" applyFill="1" applyBorder="1" applyAlignment="1">
      <alignment horizontal="center"/>
    </xf>
    <xf numFmtId="0" fontId="159" fillId="25" borderId="15" xfId="0" applyFont="1" applyFill="1" applyBorder="1" applyAlignment="1">
      <alignment horizontal="center"/>
    </xf>
    <xf numFmtId="0" fontId="159" fillId="48" borderId="12" xfId="0" applyFont="1" applyFill="1" applyBorder="1" applyAlignment="1">
      <alignment horizontal="center"/>
    </xf>
    <xf numFmtId="0" fontId="159" fillId="48" borderId="15" xfId="0" applyFont="1" applyFill="1" applyBorder="1" applyAlignment="1">
      <alignment horizontal="center"/>
    </xf>
    <xf numFmtId="0" fontId="159" fillId="25" borderId="10" xfId="0" applyFont="1" applyFill="1" applyBorder="1" applyAlignment="1">
      <alignment horizontal="center"/>
    </xf>
    <xf numFmtId="14" fontId="16" fillId="25" borderId="10" xfId="0" applyNumberFormat="1" applyFont="1" applyFill="1" applyBorder="1" applyAlignment="1">
      <alignment horizontal="center"/>
    </xf>
    <xf numFmtId="0" fontId="16" fillId="25" borderId="10" xfId="0" applyFont="1" applyFill="1" applyBorder="1" applyAlignment="1">
      <alignment horizontal="center"/>
    </xf>
    <xf numFmtId="0" fontId="16" fillId="51" borderId="12" xfId="0" applyFont="1" applyFill="1" applyBorder="1" applyAlignment="1">
      <alignment horizontal="center"/>
    </xf>
    <xf numFmtId="0" fontId="16" fillId="51" borderId="15" xfId="0" applyFont="1" applyFill="1" applyBorder="1" applyAlignment="1">
      <alignment horizontal="center"/>
    </xf>
    <xf numFmtId="0" fontId="9" fillId="25" borderId="12" xfId="0" applyFont="1" applyFill="1" applyBorder="1" applyAlignment="1">
      <alignment horizontal="center"/>
    </xf>
    <xf numFmtId="0" fontId="9" fillId="25" borderId="14" xfId="0" applyFont="1" applyFill="1" applyBorder="1" applyAlignment="1">
      <alignment horizontal="center"/>
    </xf>
    <xf numFmtId="0" fontId="9" fillId="25" borderId="15" xfId="0" applyFont="1" applyFill="1" applyBorder="1" applyAlignment="1">
      <alignment horizontal="center"/>
    </xf>
    <xf numFmtId="0" fontId="9" fillId="41" borderId="0" xfId="0" applyFont="1" applyFill="1" applyBorder="1" applyAlignment="1">
      <alignment horizontal="center"/>
    </xf>
    <xf numFmtId="0" fontId="9" fillId="57" borderId="12" xfId="0" applyFont="1" applyFill="1" applyBorder="1" applyAlignment="1">
      <alignment horizontal="center"/>
    </xf>
    <xf numFmtId="0" fontId="9" fillId="57" borderId="14" xfId="0" applyFont="1" applyFill="1" applyBorder="1" applyAlignment="1">
      <alignment horizontal="center"/>
    </xf>
    <xf numFmtId="0" fontId="9" fillId="57" borderId="15" xfId="0" applyFont="1" applyFill="1" applyBorder="1" applyAlignment="1">
      <alignment horizontal="center"/>
    </xf>
    <xf numFmtId="0" fontId="9" fillId="38" borderId="12" xfId="0" applyFont="1" applyFill="1" applyBorder="1" applyAlignment="1">
      <alignment horizontal="center"/>
    </xf>
    <xf numFmtId="0" fontId="9" fillId="38" borderId="14" xfId="0" applyFont="1" applyFill="1" applyBorder="1" applyAlignment="1">
      <alignment horizontal="center"/>
    </xf>
    <xf numFmtId="0" fontId="9" fillId="38" borderId="15" xfId="0" applyFont="1" applyFill="1" applyBorder="1" applyAlignment="1">
      <alignment horizontal="center"/>
    </xf>
    <xf numFmtId="0" fontId="9" fillId="44" borderId="12" xfId="0" applyFont="1" applyFill="1" applyBorder="1" applyAlignment="1">
      <alignment horizontal="center"/>
    </xf>
    <xf numFmtId="0" fontId="9" fillId="44" borderId="14" xfId="0" applyFont="1" applyFill="1" applyBorder="1" applyAlignment="1">
      <alignment horizontal="center"/>
    </xf>
    <xf numFmtId="0" fontId="9" fillId="44" borderId="15" xfId="0" applyFont="1" applyFill="1" applyBorder="1" applyAlignment="1">
      <alignment horizontal="center"/>
    </xf>
    <xf numFmtId="0" fontId="130" fillId="57" borderId="12" xfId="0" applyFont="1" applyFill="1" applyBorder="1" applyAlignment="1">
      <alignment horizontal="center"/>
    </xf>
    <xf numFmtId="0" fontId="130" fillId="57" borderId="14" xfId="0" applyFont="1" applyFill="1" applyBorder="1" applyAlignment="1">
      <alignment horizontal="center"/>
    </xf>
    <xf numFmtId="0" fontId="130" fillId="57" borderId="15" xfId="0" applyFont="1" applyFill="1" applyBorder="1" applyAlignment="1">
      <alignment horizontal="center"/>
    </xf>
    <xf numFmtId="0" fontId="130" fillId="57" borderId="19" xfId="0" applyFont="1" applyFill="1" applyBorder="1" applyAlignment="1">
      <alignment horizontal="center"/>
    </xf>
    <xf numFmtId="0" fontId="9" fillId="45" borderId="12" xfId="0" applyFont="1" applyFill="1" applyBorder="1" applyAlignment="1">
      <alignment horizontal="center"/>
    </xf>
    <xf numFmtId="0" fontId="9" fillId="45" borderId="14" xfId="0" applyFont="1" applyFill="1" applyBorder="1" applyAlignment="1">
      <alignment horizontal="center"/>
    </xf>
    <xf numFmtId="0" fontId="9" fillId="45" borderId="15" xfId="0" applyFont="1" applyFill="1" applyBorder="1" applyAlignment="1">
      <alignment horizontal="center"/>
    </xf>
    <xf numFmtId="0" fontId="9" fillId="48" borderId="12" xfId="0" applyFont="1" applyFill="1" applyBorder="1" applyAlignment="1">
      <alignment horizontal="center"/>
    </xf>
    <xf numFmtId="0" fontId="9" fillId="48" borderId="14" xfId="0" applyFont="1" applyFill="1" applyBorder="1" applyAlignment="1">
      <alignment horizontal="center"/>
    </xf>
    <xf numFmtId="0" fontId="9" fillId="48" borderId="15" xfId="0" applyFont="1" applyFill="1" applyBorder="1" applyAlignment="1">
      <alignment horizontal="center"/>
    </xf>
    <xf numFmtId="0" fontId="130" fillId="25" borderId="17" xfId="0" applyFont="1" applyFill="1" applyBorder="1" applyAlignment="1">
      <alignment horizontal="center"/>
    </xf>
    <xf numFmtId="0" fontId="130" fillId="25" borderId="18" xfId="0" applyFont="1" applyFill="1" applyBorder="1" applyAlignment="1">
      <alignment horizontal="center"/>
    </xf>
    <xf numFmtId="0" fontId="9" fillId="25" borderId="17" xfId="0" applyFont="1" applyFill="1" applyBorder="1" applyAlignment="1">
      <alignment horizontal="center"/>
    </xf>
    <xf numFmtId="0" fontId="9" fillId="25" borderId="18" xfId="0" applyFont="1" applyFill="1" applyBorder="1" applyAlignment="1">
      <alignment horizontal="center"/>
    </xf>
    <xf numFmtId="0" fontId="9" fillId="37" borderId="11" xfId="0" applyFont="1" applyFill="1" applyBorder="1" applyAlignment="1">
      <alignment horizontal="center"/>
    </xf>
    <xf numFmtId="0" fontId="9" fillId="37" borderId="19" xfId="0" applyFont="1" applyFill="1" applyBorder="1" applyAlignment="1">
      <alignment horizontal="center"/>
    </xf>
    <xf numFmtId="0" fontId="131" fillId="25" borderId="12" xfId="0" applyFont="1" applyFill="1" applyBorder="1" applyAlignment="1">
      <alignment horizontal="center"/>
    </xf>
    <xf numFmtId="0" fontId="131" fillId="25" borderId="14" xfId="0" applyFont="1" applyFill="1" applyBorder="1" applyAlignment="1">
      <alignment horizontal="center"/>
    </xf>
    <xf numFmtId="0" fontId="131" fillId="25" borderId="15" xfId="0" applyFont="1" applyFill="1" applyBorder="1" applyAlignment="1">
      <alignment horizontal="center"/>
    </xf>
    <xf numFmtId="0" fontId="53" fillId="25" borderId="12" xfId="0" applyFont="1" applyFill="1" applyBorder="1" applyAlignment="1">
      <alignment horizontal="center"/>
    </xf>
    <xf numFmtId="0" fontId="53" fillId="25" borderId="15" xfId="0" applyFont="1" applyFill="1" applyBorder="1" applyAlignment="1">
      <alignment horizontal="center"/>
    </xf>
    <xf numFmtId="0" fontId="39" fillId="25" borderId="12" xfId="0" applyFont="1" applyFill="1" applyBorder="1" applyAlignment="1">
      <alignment horizontal="center"/>
    </xf>
    <xf numFmtId="0" fontId="39" fillId="25" borderId="14" xfId="0" applyFont="1" applyFill="1" applyBorder="1" applyAlignment="1">
      <alignment horizontal="center"/>
    </xf>
    <xf numFmtId="0" fontId="39" fillId="25" borderId="15" xfId="0" applyFont="1" applyFill="1" applyBorder="1" applyAlignment="1">
      <alignment horizontal="center"/>
    </xf>
    <xf numFmtId="0" fontId="53" fillId="25" borderId="10" xfId="0" applyFont="1" applyFill="1" applyBorder="1" applyAlignment="1">
      <alignment horizontal="center"/>
    </xf>
    <xf numFmtId="14" fontId="39" fillId="25" borderId="10" xfId="0" applyNumberFormat="1" applyFont="1" applyFill="1" applyBorder="1" applyAlignment="1">
      <alignment horizontal="center"/>
    </xf>
    <xf numFmtId="0" fontId="39" fillId="25" borderId="10" xfId="0" applyFont="1" applyFill="1" applyBorder="1" applyAlignment="1">
      <alignment horizontal="center"/>
    </xf>
    <xf numFmtId="0" fontId="9" fillId="38" borderId="11" xfId="0" applyFont="1" applyFill="1" applyBorder="1" applyAlignment="1">
      <alignment horizontal="center"/>
    </xf>
    <xf numFmtId="0" fontId="9" fillId="38" borderId="19" xfId="0" applyFont="1" applyFill="1" applyBorder="1" applyAlignment="1">
      <alignment horizontal="center"/>
    </xf>
    <xf numFmtId="0" fontId="128" fillId="25" borderId="12" xfId="0" applyFont="1" applyFill="1" applyBorder="1" applyAlignment="1">
      <alignment horizontal="center"/>
    </xf>
    <xf numFmtId="0" fontId="128" fillId="25" borderId="14" xfId="0" applyFont="1" applyFill="1" applyBorder="1" applyAlignment="1">
      <alignment horizontal="center"/>
    </xf>
    <xf numFmtId="0" fontId="128" fillId="25" borderId="15" xfId="0" applyFont="1" applyFill="1" applyBorder="1" applyAlignment="1">
      <alignment horizontal="center"/>
    </xf>
    <xf numFmtId="0" fontId="134" fillId="25" borderId="12" xfId="0" applyFont="1" applyFill="1" applyBorder="1" applyAlignment="1">
      <alignment horizontal="center"/>
    </xf>
    <xf numFmtId="0" fontId="134" fillId="25" borderId="14" xfId="0" applyFont="1" applyFill="1" applyBorder="1" applyAlignment="1">
      <alignment horizontal="center"/>
    </xf>
    <xf numFmtId="0" fontId="134" fillId="25" borderId="15" xfId="0" applyFont="1" applyFill="1" applyBorder="1" applyAlignment="1">
      <alignment horizontal="center"/>
    </xf>
    <xf numFmtId="0" fontId="134" fillId="39" borderId="12" xfId="0" applyFont="1" applyFill="1" applyBorder="1" applyAlignment="1">
      <alignment horizontal="center"/>
    </xf>
    <xf numFmtId="0" fontId="134" fillId="39" borderId="14" xfId="0" applyFont="1" applyFill="1" applyBorder="1" applyAlignment="1">
      <alignment horizontal="center"/>
    </xf>
    <xf numFmtId="0" fontId="134" fillId="39" borderId="15" xfId="0" applyFont="1" applyFill="1" applyBorder="1" applyAlignment="1">
      <alignment horizontal="center"/>
    </xf>
    <xf numFmtId="0" fontId="128" fillId="56" borderId="17" xfId="0" applyFont="1" applyFill="1" applyBorder="1" applyAlignment="1">
      <alignment horizontal="center"/>
    </xf>
    <xf numFmtId="0" fontId="128" fillId="56" borderId="18" xfId="0" applyFont="1" applyFill="1" applyBorder="1" applyAlignment="1">
      <alignment horizontal="center"/>
    </xf>
    <xf numFmtId="0" fontId="10" fillId="39" borderId="17" xfId="0" applyFont="1" applyFill="1" applyBorder="1" applyAlignment="1">
      <alignment horizontal="center"/>
    </xf>
    <xf numFmtId="0" fontId="10" fillId="39" borderId="18" xfId="0" applyFont="1" applyFill="1" applyBorder="1" applyAlignment="1">
      <alignment horizontal="center"/>
    </xf>
    <xf numFmtId="0" fontId="9" fillId="47" borderId="12" xfId="0" applyFont="1" applyFill="1" applyBorder="1" applyAlignment="1">
      <alignment horizontal="center"/>
    </xf>
    <xf numFmtId="0" fontId="9" fillId="47" borderId="14" xfId="0" applyFont="1" applyFill="1" applyBorder="1" applyAlignment="1">
      <alignment horizontal="center"/>
    </xf>
    <xf numFmtId="0" fontId="9" fillId="47" borderId="15" xfId="0" applyFont="1" applyFill="1" applyBorder="1" applyAlignment="1">
      <alignment horizontal="center"/>
    </xf>
    <xf numFmtId="0" fontId="8" fillId="47" borderId="12" xfId="0" applyFont="1" applyFill="1" applyBorder="1" applyAlignment="1">
      <alignment horizontal="center"/>
    </xf>
    <xf numFmtId="0" fontId="8" fillId="47" borderId="15" xfId="0" applyFont="1" applyFill="1" applyBorder="1" applyAlignment="1">
      <alignment horizontal="center"/>
    </xf>
    <xf numFmtId="0" fontId="9" fillId="41" borderId="0" xfId="0" applyFont="1" applyFill="1" applyBorder="1" applyAlignment="1">
      <alignment horizontal="center" wrapText="1"/>
    </xf>
    <xf numFmtId="0" fontId="9" fillId="39" borderId="12" xfId="0" applyFont="1" applyFill="1" applyBorder="1" applyAlignment="1">
      <alignment horizontal="center"/>
    </xf>
    <xf numFmtId="0" fontId="9" fillId="39" borderId="14" xfId="0" applyFont="1" applyFill="1" applyBorder="1" applyAlignment="1">
      <alignment horizontal="center"/>
    </xf>
    <xf numFmtId="0" fontId="9" fillId="39" borderId="15" xfId="0" applyFont="1" applyFill="1" applyBorder="1" applyAlignment="1">
      <alignment horizontal="center"/>
    </xf>
    <xf numFmtId="0" fontId="9" fillId="25" borderId="12" xfId="0" applyFont="1" applyFill="1" applyBorder="1" applyAlignment="1">
      <alignment horizontal="center" wrapText="1"/>
    </xf>
    <xf numFmtId="0" fontId="9" fillId="25" borderId="14" xfId="0" applyFont="1" applyFill="1" applyBorder="1" applyAlignment="1">
      <alignment horizontal="center" wrapText="1"/>
    </xf>
    <xf numFmtId="0" fontId="9" fillId="25" borderId="15" xfId="0" applyFont="1" applyFill="1" applyBorder="1" applyAlignment="1">
      <alignment horizontal="center" wrapText="1"/>
    </xf>
    <xf numFmtId="0" fontId="128" fillId="25" borderId="17" xfId="0" applyFont="1" applyFill="1" applyBorder="1" applyAlignment="1">
      <alignment horizontal="center"/>
    </xf>
    <xf numFmtId="0" fontId="128" fillId="25" borderId="18" xfId="0" applyFont="1" applyFill="1" applyBorder="1" applyAlignment="1">
      <alignment horizontal="center"/>
    </xf>
    <xf numFmtId="0" fontId="9" fillId="39" borderId="17" xfId="0" applyFont="1" applyFill="1" applyBorder="1" applyAlignment="1">
      <alignment horizontal="center"/>
    </xf>
    <xf numFmtId="0" fontId="9" fillId="39" borderId="18" xfId="0" applyFont="1" applyFill="1" applyBorder="1" applyAlignment="1">
      <alignment horizontal="center"/>
    </xf>
    <xf numFmtId="0" fontId="14" fillId="25" borderId="12" xfId="0" applyFont="1" applyFill="1" applyBorder="1" applyAlignment="1">
      <alignment horizontal="center"/>
    </xf>
    <xf numFmtId="0" fontId="14" fillId="25" borderId="14" xfId="0" applyFont="1" applyFill="1" applyBorder="1" applyAlignment="1">
      <alignment horizontal="center"/>
    </xf>
    <xf numFmtId="0" fontId="14" fillId="25" borderId="15" xfId="0" applyFont="1" applyFill="1" applyBorder="1" applyAlignment="1">
      <alignment horizontal="center"/>
    </xf>
    <xf numFmtId="0" fontId="52" fillId="25" borderId="12" xfId="0" applyFont="1" applyFill="1" applyBorder="1" applyAlignment="1">
      <alignment horizontal="center"/>
    </xf>
    <xf numFmtId="0" fontId="52" fillId="56" borderId="12" xfId="0" applyFont="1" applyFill="1" applyBorder="1" applyAlignment="1">
      <alignment horizontal="center"/>
    </xf>
    <xf numFmtId="0" fontId="52" fillId="56" borderId="15" xfId="0" applyFont="1" applyFill="1" applyBorder="1" applyAlignment="1">
      <alignment horizontal="center"/>
    </xf>
    <xf numFmtId="0" fontId="39" fillId="29" borderId="27" xfId="0" applyFont="1" applyFill="1" applyBorder="1" applyAlignment="1">
      <alignment horizontal="center"/>
    </xf>
    <xf numFmtId="0" fontId="39" fillId="29" borderId="21" xfId="0" applyFont="1" applyFill="1" applyBorder="1" applyAlignment="1">
      <alignment horizontal="center"/>
    </xf>
    <xf numFmtId="0" fontId="39" fillId="29" borderId="22" xfId="0" applyFont="1" applyFill="1" applyBorder="1" applyAlignment="1">
      <alignment horizontal="center"/>
    </xf>
    <xf numFmtId="0" fontId="39" fillId="0" borderId="53" xfId="0" applyFont="1" applyBorder="1" applyAlignment="1">
      <alignment horizontal="center"/>
    </xf>
    <xf numFmtId="0" fontId="39" fillId="0" borderId="134" xfId="0" applyFont="1" applyBorder="1" applyAlignment="1">
      <alignment horizontal="center"/>
    </xf>
    <xf numFmtId="0" fontId="38" fillId="0" borderId="53" xfId="0" applyFont="1" applyBorder="1" applyAlignment="1">
      <alignment horizontal="center"/>
    </xf>
    <xf numFmtId="0" fontId="38" fillId="0" borderId="134" xfId="0" applyFont="1" applyBorder="1" applyAlignment="1">
      <alignment horizontal="center"/>
    </xf>
    <xf numFmtId="0" fontId="39" fillId="25" borderId="27" xfId="0" applyFont="1" applyFill="1" applyBorder="1" applyAlignment="1">
      <alignment horizontal="center"/>
    </xf>
    <xf numFmtId="0" fontId="39" fillId="25" borderId="21" xfId="0" applyFont="1" applyFill="1" applyBorder="1" applyAlignment="1">
      <alignment horizontal="center"/>
    </xf>
    <xf numFmtId="0" fontId="39" fillId="24" borderId="60" xfId="0" applyFont="1" applyFill="1" applyBorder="1" applyAlignment="1">
      <alignment horizontal="center"/>
    </xf>
    <xf numFmtId="0" fontId="39" fillId="24" borderId="57" xfId="0" applyFont="1" applyFill="1" applyBorder="1" applyAlignment="1">
      <alignment horizontal="center"/>
    </xf>
    <xf numFmtId="0" fontId="39" fillId="26" borderId="27" xfId="0" applyFont="1" applyFill="1" applyBorder="1" applyAlignment="1">
      <alignment horizontal="center"/>
    </xf>
    <xf numFmtId="0" fontId="39" fillId="26" borderId="21" xfId="0" applyFont="1" applyFill="1" applyBorder="1" applyAlignment="1">
      <alignment horizontal="center"/>
    </xf>
    <xf numFmtId="0" fontId="82" fillId="0" borderId="27" xfId="0" applyFont="1" applyBorder="1" applyAlignment="1">
      <alignment horizontal="center"/>
    </xf>
    <xf numFmtId="0" fontId="82" fillId="0" borderId="22" xfId="0" applyFont="1" applyBorder="1" applyAlignment="1">
      <alignment horizontal="center"/>
    </xf>
    <xf numFmtId="0" fontId="81" fillId="24" borderId="27" xfId="0" applyFont="1" applyFill="1" applyBorder="1" applyAlignment="1">
      <alignment horizontal="center"/>
    </xf>
    <xf numFmtId="0" fontId="81" fillId="24" borderId="22" xfId="0" applyFont="1" applyFill="1" applyBorder="1" applyAlignment="1">
      <alignment horizontal="center"/>
    </xf>
    <xf numFmtId="0" fontId="39" fillId="0" borderId="27" xfId="0" applyFont="1" applyBorder="1" applyAlignment="1">
      <alignment horizontal="center"/>
    </xf>
    <xf numFmtId="0" fontId="39" fillId="0" borderId="22" xfId="0" applyFont="1" applyBorder="1" applyAlignment="1">
      <alignment horizontal="center"/>
    </xf>
    <xf numFmtId="0" fontId="81" fillId="24" borderId="12" xfId="0" applyFont="1" applyFill="1" applyBorder="1" applyAlignment="1">
      <alignment horizontal="center"/>
    </xf>
    <xf numFmtId="0" fontId="81" fillId="24" borderId="15" xfId="0" applyFont="1" applyFill="1" applyBorder="1" applyAlignment="1">
      <alignment horizontal="center"/>
    </xf>
    <xf numFmtId="0" fontId="39" fillId="41" borderId="27" xfId="0" applyFont="1" applyFill="1" applyBorder="1" applyAlignment="1">
      <alignment horizontal="center"/>
    </xf>
    <xf numFmtId="0" fontId="39" fillId="41" borderId="22" xfId="0" applyFont="1" applyFill="1" applyBorder="1" applyAlignment="1">
      <alignment horizontal="center"/>
    </xf>
    <xf numFmtId="0" fontId="38" fillId="0" borderId="79" xfId="0" applyFont="1" applyBorder="1" applyAlignment="1">
      <alignment horizontal="center"/>
    </xf>
    <xf numFmtId="0" fontId="38" fillId="0" borderId="50" xfId="0" applyFont="1" applyBorder="1" applyAlignment="1">
      <alignment horizontal="center"/>
    </xf>
    <xf numFmtId="0" fontId="81" fillId="29" borderId="27" xfId="0" applyFont="1" applyFill="1" applyBorder="1" applyAlignment="1">
      <alignment horizontal="center"/>
    </xf>
    <xf numFmtId="0" fontId="81" fillId="29" borderId="21" xfId="0" applyFont="1" applyFill="1" applyBorder="1" applyAlignment="1">
      <alignment horizontal="center"/>
    </xf>
    <xf numFmtId="0" fontId="81" fillId="29" borderId="22" xfId="0" applyFont="1" applyFill="1" applyBorder="1" applyAlignment="1">
      <alignment horizontal="center"/>
    </xf>
    <xf numFmtId="0" fontId="82" fillId="24" borderId="79" xfId="0" applyFont="1" applyFill="1" applyBorder="1" applyAlignment="1">
      <alignment horizontal="center"/>
    </xf>
    <xf numFmtId="0" fontId="82" fillId="24" borderId="50" xfId="0" applyFont="1" applyFill="1" applyBorder="1" applyAlignment="1">
      <alignment horizontal="center"/>
    </xf>
    <xf numFmtId="0" fontId="38" fillId="0" borderId="12" xfId="0" applyFont="1" applyBorder="1" applyAlignment="1">
      <alignment horizontal="center"/>
    </xf>
    <xf numFmtId="0" fontId="38" fillId="0" borderId="15" xfId="0" applyFont="1" applyBorder="1" applyAlignment="1">
      <alignment horizontal="center"/>
    </xf>
    <xf numFmtId="0" fontId="82" fillId="24" borderId="49" xfId="0" applyFont="1" applyFill="1" applyBorder="1" applyAlignment="1">
      <alignment horizontal="center"/>
    </xf>
    <xf numFmtId="0" fontId="82" fillId="24" borderId="97" xfId="0" applyFont="1" applyFill="1" applyBorder="1" applyAlignment="1">
      <alignment horizontal="center"/>
    </xf>
    <xf numFmtId="0" fontId="39" fillId="39" borderId="27" xfId="0" applyFont="1" applyFill="1" applyBorder="1" applyAlignment="1">
      <alignment horizontal="center"/>
    </xf>
    <xf numFmtId="0" fontId="39" fillId="39" borderId="22" xfId="0" applyFont="1" applyFill="1" applyBorder="1" applyAlignment="1">
      <alignment horizontal="center"/>
    </xf>
    <xf numFmtId="0" fontId="39" fillId="41" borderId="21" xfId="0" applyFont="1" applyFill="1" applyBorder="1" applyAlignment="1">
      <alignment horizontal="center"/>
    </xf>
    <xf numFmtId="0" fontId="38" fillId="0" borderId="49" xfId="0" applyFont="1" applyBorder="1" applyAlignment="1">
      <alignment horizontal="center"/>
    </xf>
    <xf numFmtId="0" fontId="38" fillId="0" borderId="97" xfId="0" applyFont="1" applyBorder="1" applyAlignment="1">
      <alignment horizontal="center"/>
    </xf>
    <xf numFmtId="0" fontId="16" fillId="42" borderId="27" xfId="0" applyFont="1" applyFill="1" applyBorder="1" applyAlignment="1">
      <alignment horizontal="center"/>
    </xf>
    <xf numFmtId="0" fontId="16" fillId="42" borderId="21" xfId="0" applyFont="1" applyFill="1" applyBorder="1" applyAlignment="1">
      <alignment horizontal="center"/>
    </xf>
    <xf numFmtId="0" fontId="16" fillId="42" borderId="22" xfId="0" applyFont="1" applyFill="1" applyBorder="1" applyAlignment="1">
      <alignment horizontal="center"/>
    </xf>
    <xf numFmtId="0" fontId="83" fillId="24" borderId="27" xfId="187" applyFont="1" applyFill="1" applyBorder="1" applyAlignment="1">
      <alignment horizontal="center"/>
    </xf>
    <xf numFmtId="0" fontId="83" fillId="24" borderId="22" xfId="187" applyFont="1" applyFill="1" applyBorder="1" applyAlignment="1">
      <alignment horizontal="center"/>
    </xf>
    <xf numFmtId="0" fontId="83" fillId="24" borderId="21" xfId="187" applyFont="1" applyFill="1" applyBorder="1" applyAlignment="1">
      <alignment horizontal="center"/>
    </xf>
    <xf numFmtId="0" fontId="83" fillId="40" borderId="21" xfId="187" applyFont="1" applyFill="1" applyBorder="1" applyAlignment="1">
      <alignment horizontal="center"/>
    </xf>
    <xf numFmtId="0" fontId="83" fillId="24" borderId="67" xfId="187" applyFont="1" applyFill="1" applyBorder="1" applyAlignment="1">
      <alignment horizontal="center"/>
    </xf>
    <xf numFmtId="0" fontId="83" fillId="24" borderId="84" xfId="187" applyFont="1" applyFill="1" applyBorder="1" applyAlignment="1">
      <alignment horizontal="center"/>
    </xf>
    <xf numFmtId="0" fontId="83" fillId="24" borderId="75" xfId="187" applyFont="1" applyFill="1" applyBorder="1" applyAlignment="1">
      <alignment horizontal="center"/>
    </xf>
    <xf numFmtId="0" fontId="83" fillId="39" borderId="21" xfId="187" applyFont="1" applyFill="1" applyBorder="1" applyAlignment="1">
      <alignment horizontal="center"/>
    </xf>
    <xf numFmtId="0" fontId="83" fillId="26" borderId="21" xfId="187" applyFont="1" applyFill="1" applyBorder="1" applyAlignment="1">
      <alignment horizontal="center"/>
    </xf>
    <xf numFmtId="0" fontId="9" fillId="25" borderId="10" xfId="177" applyFont="1" applyFill="1" applyBorder="1" applyAlignment="1">
      <alignment horizontal="center" vertical="center" wrapText="1"/>
    </xf>
    <xf numFmtId="0" fontId="39" fillId="25" borderId="67" xfId="0" applyFont="1" applyFill="1" applyBorder="1" applyAlignment="1">
      <alignment horizontal="center"/>
    </xf>
    <xf numFmtId="0" fontId="39" fillId="25" borderId="84" xfId="0" applyFont="1" applyFill="1" applyBorder="1" applyAlignment="1">
      <alignment horizontal="center"/>
    </xf>
    <xf numFmtId="0" fontId="39" fillId="25" borderId="75" xfId="0" applyFont="1" applyFill="1" applyBorder="1" applyAlignment="1">
      <alignment horizontal="center"/>
    </xf>
    <xf numFmtId="0" fontId="16" fillId="30" borderId="27" xfId="0" applyFont="1" applyFill="1" applyBorder="1" applyAlignment="1">
      <alignment horizontal="center"/>
    </xf>
    <xf numFmtId="0" fontId="16" fillId="30" borderId="21" xfId="0" applyFont="1" applyFill="1" applyBorder="1" applyAlignment="1">
      <alignment horizontal="center"/>
    </xf>
    <xf numFmtId="0" fontId="16" fillId="30" borderId="22" xfId="0" applyFont="1" applyFill="1" applyBorder="1" applyAlignment="1">
      <alignment horizontal="center"/>
    </xf>
    <xf numFmtId="0" fontId="14" fillId="25" borderId="12" xfId="0" applyFont="1" applyFill="1" applyBorder="1" applyAlignment="1"/>
    <xf numFmtId="0" fontId="14" fillId="25" borderId="14" xfId="0" applyFont="1" applyFill="1" applyBorder="1" applyAlignment="1"/>
    <xf numFmtId="0" fontId="14" fillId="25" borderId="15" xfId="0" applyFont="1" applyFill="1" applyBorder="1" applyAlignment="1"/>
    <xf numFmtId="0" fontId="14" fillId="26" borderId="27" xfId="177" applyFont="1" applyFill="1" applyBorder="1" applyAlignment="1">
      <alignment horizontal="center" wrapText="1"/>
    </xf>
    <xf numFmtId="0" fontId="14" fillId="26" borderId="21" xfId="177" applyFont="1" applyFill="1" applyBorder="1" applyAlignment="1">
      <alignment horizontal="center" wrapText="1"/>
    </xf>
    <xf numFmtId="0" fontId="14" fillId="26" borderId="22" xfId="177" applyFont="1" applyFill="1" applyBorder="1" applyAlignment="1">
      <alignment horizontal="center" wrapText="1"/>
    </xf>
    <xf numFmtId="0" fontId="14" fillId="30" borderId="17" xfId="0" applyFont="1" applyFill="1" applyBorder="1" applyAlignment="1">
      <alignment horizontal="center"/>
    </xf>
    <xf numFmtId="0" fontId="14" fillId="30" borderId="18" xfId="0" applyFont="1" applyFill="1" applyBorder="1" applyAlignment="1">
      <alignment horizontal="center"/>
    </xf>
    <xf numFmtId="0" fontId="14" fillId="30" borderId="12" xfId="0" applyFont="1" applyFill="1" applyBorder="1" applyAlignment="1">
      <alignment horizontal="center"/>
    </xf>
    <xf numFmtId="0" fontId="14" fillId="30" borderId="14" xfId="0" applyFont="1" applyFill="1" applyBorder="1" applyAlignment="1">
      <alignment horizontal="center"/>
    </xf>
    <xf numFmtId="0" fontId="14" fillId="25" borderId="27" xfId="177" applyFont="1" applyFill="1" applyBorder="1" applyAlignment="1">
      <alignment vertical="center" wrapText="1"/>
    </xf>
    <xf numFmtId="0" fontId="14" fillId="25" borderId="21" xfId="177" applyFont="1" applyFill="1" applyBorder="1" applyAlignment="1">
      <alignment vertical="center" wrapText="1"/>
    </xf>
    <xf numFmtId="0" fontId="14" fillId="25" borderId="22" xfId="177" applyFont="1" applyFill="1" applyBorder="1" applyAlignment="1">
      <alignment vertical="center" wrapText="1"/>
    </xf>
    <xf numFmtId="0" fontId="14" fillId="25" borderId="27" xfId="0" applyFont="1" applyFill="1" applyBorder="1" applyAlignment="1">
      <alignment horizontal="center"/>
    </xf>
    <xf numFmtId="0" fontId="14" fillId="25" borderId="21" xfId="0" applyFont="1" applyFill="1" applyBorder="1" applyAlignment="1">
      <alignment horizontal="center"/>
    </xf>
    <xf numFmtId="0" fontId="14" fillId="25" borderId="27" xfId="177" applyFont="1" applyFill="1" applyBorder="1" applyAlignment="1">
      <alignment horizontal="center" wrapText="1"/>
    </xf>
    <xf numFmtId="0" fontId="14" fillId="25" borderId="21" xfId="177" applyFont="1" applyFill="1" applyBorder="1" applyAlignment="1">
      <alignment horizontal="center" wrapText="1"/>
    </xf>
    <xf numFmtId="0" fontId="14" fillId="25" borderId="22" xfId="177" applyFont="1" applyFill="1" applyBorder="1" applyAlignment="1">
      <alignment horizontal="center" wrapText="1"/>
    </xf>
    <xf numFmtId="0" fontId="14" fillId="25" borderId="12" xfId="177" applyFont="1" applyFill="1" applyBorder="1" applyAlignment="1">
      <alignment horizontal="center" wrapText="1"/>
    </xf>
    <xf numFmtId="0" fontId="14" fillId="25" borderId="14" xfId="177" applyFont="1" applyFill="1" applyBorder="1" applyAlignment="1">
      <alignment horizontal="center" wrapText="1"/>
    </xf>
    <xf numFmtId="0" fontId="14" fillId="25" borderId="15" xfId="177" applyFont="1" applyFill="1" applyBorder="1" applyAlignment="1">
      <alignment horizontal="center" wrapText="1"/>
    </xf>
    <xf numFmtId="0" fontId="14" fillId="30" borderId="98" xfId="0" applyFont="1" applyFill="1" applyBorder="1" applyAlignment="1">
      <alignment horizontal="center"/>
    </xf>
    <xf numFmtId="0" fontId="141" fillId="0" borderId="0" xfId="0" applyFont="1" applyAlignment="1">
      <alignment horizontal="center"/>
    </xf>
    <xf numFmtId="0" fontId="0" fillId="0" borderId="0" xfId="0" applyAlignment="1">
      <alignment horizontal="right"/>
    </xf>
    <xf numFmtId="182" fontId="144" fillId="0" borderId="0" xfId="0" applyNumberFormat="1" applyFont="1" applyAlignment="1">
      <alignment horizontal="center"/>
    </xf>
    <xf numFmtId="0" fontId="141" fillId="61" borderId="27" xfId="0" applyFont="1" applyFill="1" applyBorder="1" applyAlignment="1">
      <alignment horizontal="center" vertical="center"/>
    </xf>
    <xf numFmtId="0" fontId="141" fillId="61" borderId="22" xfId="0" applyFont="1" applyFill="1" applyBorder="1" applyAlignment="1">
      <alignment horizontal="center" vertical="center"/>
    </xf>
    <xf numFmtId="0" fontId="16" fillId="26" borderId="27" xfId="0" applyFont="1" applyFill="1" applyBorder="1" applyAlignment="1">
      <alignment horizontal="center"/>
    </xf>
    <xf numFmtId="0" fontId="16" fillId="26" borderId="21" xfId="0" applyFont="1" applyFill="1" applyBorder="1" applyAlignment="1">
      <alignment horizontal="center"/>
    </xf>
    <xf numFmtId="0" fontId="16" fillId="26" borderId="22" xfId="0" applyFont="1" applyFill="1" applyBorder="1" applyAlignment="1">
      <alignment horizontal="center"/>
    </xf>
    <xf numFmtId="0" fontId="83" fillId="24" borderId="40" xfId="0" applyFont="1" applyFill="1" applyBorder="1" applyAlignment="1">
      <alignment horizontal="center" vertical="center"/>
    </xf>
    <xf numFmtId="0" fontId="83" fillId="24" borderId="33" xfId="0" applyFont="1" applyFill="1" applyBorder="1" applyAlignment="1">
      <alignment horizontal="center" vertical="center"/>
    </xf>
    <xf numFmtId="0" fontId="83" fillId="24" borderId="79" xfId="0" applyFont="1" applyFill="1" applyBorder="1" applyAlignment="1">
      <alignment horizontal="center" vertical="center"/>
    </xf>
    <xf numFmtId="0" fontId="83" fillId="24" borderId="37" xfId="0" applyFont="1" applyFill="1" applyBorder="1" applyAlignment="1">
      <alignment horizontal="center" vertical="center"/>
    </xf>
    <xf numFmtId="0" fontId="83" fillId="24" borderId="34" xfId="0" applyFont="1" applyFill="1" applyBorder="1" applyAlignment="1">
      <alignment horizontal="center" vertical="center"/>
    </xf>
    <xf numFmtId="0" fontId="87" fillId="41" borderId="45" xfId="195" applyFont="1" applyFill="1" applyBorder="1" applyAlignment="1">
      <alignment horizontal="center" vertical="center" wrapText="1"/>
    </xf>
    <xf numFmtId="0" fontId="87" fillId="41" borderId="137" xfId="195" applyFont="1" applyFill="1" applyBorder="1" applyAlignment="1">
      <alignment horizontal="center" vertical="center" wrapText="1"/>
    </xf>
    <xf numFmtId="0" fontId="87" fillId="41" borderId="76" xfId="195" applyFont="1" applyFill="1" applyBorder="1" applyAlignment="1">
      <alignment horizontal="center" vertical="center" wrapText="1"/>
    </xf>
    <xf numFmtId="0" fontId="87" fillId="24" borderId="70" xfId="195" applyFont="1" applyFill="1" applyBorder="1" applyAlignment="1">
      <alignment horizontal="center" vertical="center" wrapText="1"/>
    </xf>
    <xf numFmtId="0" fontId="87" fillId="24" borderId="39" xfId="195" applyFont="1" applyFill="1" applyBorder="1" applyAlignment="1">
      <alignment horizontal="center" vertical="center" wrapText="1"/>
    </xf>
    <xf numFmtId="0" fontId="38" fillId="24" borderId="45" xfId="0" applyFont="1" applyFill="1" applyBorder="1" applyAlignment="1">
      <alignment horizontal="center" vertical="center"/>
    </xf>
    <xf numFmtId="0" fontId="0" fillId="0" borderId="76" xfId="0" applyBorder="1"/>
    <xf numFmtId="0" fontId="98" fillId="0" borderId="0" xfId="0" applyFont="1" applyAlignment="1">
      <alignment horizontal="center"/>
    </xf>
    <xf numFmtId="0" fontId="38" fillId="24" borderId="76" xfId="0" applyFont="1" applyFill="1" applyBorder="1" applyAlignment="1">
      <alignment horizontal="center" vertical="center"/>
    </xf>
    <xf numFmtId="0" fontId="83" fillId="24" borderId="82" xfId="0" applyFont="1" applyFill="1" applyBorder="1" applyAlignment="1">
      <alignment horizontal="center" vertical="center"/>
    </xf>
    <xf numFmtId="0" fontId="83" fillId="24" borderId="92" xfId="0" applyFont="1" applyFill="1" applyBorder="1" applyAlignment="1">
      <alignment horizontal="center" vertical="center"/>
    </xf>
    <xf numFmtId="0" fontId="0" fillId="0" borderId="45" xfId="0" applyBorder="1" applyAlignment="1">
      <alignment horizontal="center"/>
    </xf>
    <xf numFmtId="0" fontId="0" fillId="0" borderId="76" xfId="0" applyBorder="1" applyAlignment="1">
      <alignment horizontal="center"/>
    </xf>
    <xf numFmtId="0" fontId="0" fillId="0" borderId="137" xfId="0" applyBorder="1" applyAlignment="1">
      <alignment horizontal="center"/>
    </xf>
    <xf numFmtId="0" fontId="38" fillId="0" borderId="45" xfId="161" applyNumberFormat="1" applyFont="1" applyBorder="1" applyAlignment="1">
      <alignment horizontal="center" vertical="center"/>
    </xf>
    <xf numFmtId="0" fontId="38" fillId="0" borderId="76" xfId="161" applyNumberFormat="1" applyFont="1" applyBorder="1" applyAlignment="1">
      <alignment horizontal="center" vertical="center"/>
    </xf>
    <xf numFmtId="0" fontId="0" fillId="41" borderId="0" xfId="0" applyFill="1"/>
    <xf numFmtId="0" fontId="83" fillId="24" borderId="65" xfId="0" applyFont="1" applyFill="1" applyBorder="1" applyAlignment="1">
      <alignment horizontal="center" vertical="center"/>
    </xf>
    <xf numFmtId="0" fontId="38" fillId="0" borderId="27" xfId="0" applyFont="1" applyBorder="1"/>
    <xf numFmtId="0" fontId="38" fillId="0" borderId="22" xfId="0" applyFont="1" applyBorder="1"/>
    <xf numFmtId="0" fontId="0" fillId="0" borderId="0" xfId="0"/>
    <xf numFmtId="0" fontId="38" fillId="0" borderId="45" xfId="0" applyFont="1" applyBorder="1" applyAlignment="1">
      <alignment horizontal="center"/>
    </xf>
    <xf numFmtId="0" fontId="38" fillId="0" borderId="76" xfId="0" applyFont="1" applyBorder="1" applyAlignment="1">
      <alignment horizontal="center"/>
    </xf>
    <xf numFmtId="0" fontId="83" fillId="0" borderId="27" xfId="0" applyFont="1" applyBorder="1" applyAlignment="1">
      <alignment horizontal="center" vertical="center"/>
    </xf>
    <xf numFmtId="0" fontId="83" fillId="0" borderId="22" xfId="0" applyFont="1" applyBorder="1" applyAlignment="1">
      <alignment horizontal="center" vertical="center"/>
    </xf>
    <xf numFmtId="0" fontId="8" fillId="25" borderId="10" xfId="0" applyFont="1" applyFill="1" applyBorder="1" applyAlignment="1">
      <alignment horizontal="center"/>
    </xf>
    <xf numFmtId="14" fontId="45" fillId="25" borderId="10" xfId="0" applyNumberFormat="1" applyFont="1" applyFill="1" applyBorder="1" applyAlignment="1">
      <alignment horizontal="center"/>
    </xf>
    <xf numFmtId="0" fontId="45" fillId="25" borderId="10" xfId="0" applyFont="1" applyFill="1" applyBorder="1" applyAlignment="1">
      <alignment horizontal="center"/>
    </xf>
    <xf numFmtId="43" fontId="9" fillId="65" borderId="11" xfId="157" applyFont="1" applyFill="1" applyBorder="1" applyAlignment="1">
      <alignment horizontal="center"/>
    </xf>
    <xf numFmtId="43" fontId="9" fillId="65" borderId="19" xfId="157" applyFont="1" applyFill="1" applyBorder="1" applyAlignment="1">
      <alignment horizontal="center"/>
    </xf>
    <xf numFmtId="43" fontId="169" fillId="65" borderId="91" xfId="157" applyFont="1" applyFill="1" applyBorder="1" applyAlignment="1">
      <alignment horizontal="center"/>
    </xf>
    <xf numFmtId="43" fontId="169" fillId="65" borderId="84" xfId="157" applyFont="1" applyFill="1" applyBorder="1" applyAlignment="1">
      <alignment horizontal="center"/>
    </xf>
    <xf numFmtId="43" fontId="9" fillId="42" borderId="11" xfId="157" applyFont="1" applyFill="1" applyBorder="1" applyAlignment="1">
      <alignment horizontal="center"/>
    </xf>
    <xf numFmtId="43" fontId="9" fillId="42" borderId="19" xfId="157" applyFont="1" applyFill="1" applyBorder="1" applyAlignment="1">
      <alignment horizontal="center"/>
    </xf>
    <xf numFmtId="43" fontId="9" fillId="42" borderId="31" xfId="157" applyFont="1" applyFill="1" applyBorder="1" applyAlignment="1">
      <alignment horizontal="center"/>
    </xf>
    <xf numFmtId="43" fontId="9" fillId="42" borderId="17" xfId="157" applyFont="1" applyFill="1" applyBorder="1" applyAlignment="1">
      <alignment horizontal="center"/>
    </xf>
    <xf numFmtId="43" fontId="9" fillId="42" borderId="18" xfId="157" applyFont="1" applyFill="1" applyBorder="1" applyAlignment="1">
      <alignment horizontal="center"/>
    </xf>
    <xf numFmtId="43" fontId="9" fillId="42" borderId="32" xfId="157" applyFont="1" applyFill="1" applyBorder="1" applyAlignment="1">
      <alignment horizontal="center"/>
    </xf>
    <xf numFmtId="43" fontId="9" fillId="65" borderId="31" xfId="157" applyFont="1" applyFill="1" applyBorder="1" applyAlignment="1">
      <alignment horizontal="center"/>
    </xf>
    <xf numFmtId="43" fontId="134" fillId="65" borderId="17" xfId="157" applyFont="1" applyFill="1" applyBorder="1" applyAlignment="1">
      <alignment horizontal="center"/>
    </xf>
    <xf numFmtId="43" fontId="134" fillId="65" borderId="18" xfId="157" applyFont="1" applyFill="1" applyBorder="1" applyAlignment="1">
      <alignment horizontal="center"/>
    </xf>
    <xf numFmtId="43" fontId="134" fillId="65" borderId="32" xfId="157" applyFont="1" applyFill="1" applyBorder="1" applyAlignment="1">
      <alignment horizontal="center"/>
    </xf>
    <xf numFmtId="3" fontId="9" fillId="65" borderId="10" xfId="0" applyNumberFormat="1" applyFont="1" applyFill="1" applyBorder="1" applyAlignment="1">
      <alignment horizontal="center" vertical="center"/>
    </xf>
    <xf numFmtId="3" fontId="9" fillId="65" borderId="10" xfId="0" applyNumberFormat="1" applyFont="1" applyFill="1" applyBorder="1" applyAlignment="1">
      <alignment horizontal="center" vertical="center" wrapText="1"/>
    </xf>
    <xf numFmtId="3" fontId="9" fillId="65" borderId="13" xfId="0" applyNumberFormat="1" applyFont="1" applyFill="1" applyBorder="1" applyAlignment="1">
      <alignment horizontal="center" vertical="center"/>
    </xf>
    <xf numFmtId="3" fontId="9" fillId="42" borderId="10" xfId="0" applyNumberFormat="1" applyFont="1" applyFill="1" applyBorder="1" applyAlignment="1">
      <alignment horizontal="center" vertical="center"/>
    </xf>
    <xf numFmtId="3" fontId="9" fillId="42" borderId="10" xfId="0" applyNumberFormat="1" applyFont="1" applyFill="1" applyBorder="1" applyAlignment="1">
      <alignment horizontal="center" vertical="center" wrapText="1"/>
    </xf>
    <xf numFmtId="3" fontId="9" fillId="42" borderId="13" xfId="0" applyNumberFormat="1" applyFont="1" applyFill="1" applyBorder="1" applyAlignment="1">
      <alignment horizontal="center" vertical="center"/>
    </xf>
    <xf numFmtId="43" fontId="9" fillId="25" borderId="17" xfId="157" applyFont="1" applyFill="1" applyBorder="1" applyAlignment="1">
      <alignment horizontal="center"/>
    </xf>
    <xf numFmtId="43" fontId="9" fillId="25" borderId="18" xfId="157" applyFont="1" applyFill="1" applyBorder="1" applyAlignment="1">
      <alignment horizontal="center"/>
    </xf>
    <xf numFmtId="43" fontId="9" fillId="25" borderId="32" xfId="157" applyFont="1" applyFill="1" applyBorder="1" applyAlignment="1">
      <alignment horizontal="center"/>
    </xf>
    <xf numFmtId="0" fontId="9" fillId="59" borderId="12" xfId="0" applyFont="1" applyFill="1" applyBorder="1" applyAlignment="1">
      <alignment horizontal="center"/>
    </xf>
    <xf numFmtId="0" fontId="9" fillId="59" borderId="14" xfId="0" applyFont="1" applyFill="1" applyBorder="1" applyAlignment="1">
      <alignment horizontal="center"/>
    </xf>
    <xf numFmtId="0" fontId="9" fillId="59" borderId="15" xfId="0" applyFont="1" applyFill="1" applyBorder="1" applyAlignment="1">
      <alignment horizontal="center"/>
    </xf>
    <xf numFmtId="0" fontId="9" fillId="55" borderId="12" xfId="0" applyFont="1" applyFill="1" applyBorder="1" applyAlignment="1">
      <alignment horizontal="center"/>
    </xf>
    <xf numFmtId="0" fontId="9" fillId="55" borderId="14" xfId="0" applyFont="1" applyFill="1" applyBorder="1" applyAlignment="1">
      <alignment horizontal="center"/>
    </xf>
    <xf numFmtId="0" fontId="9" fillId="55" borderId="15" xfId="0" applyFont="1" applyFill="1" applyBorder="1" applyAlignment="1">
      <alignment horizontal="center"/>
    </xf>
    <xf numFmtId="0" fontId="9" fillId="43" borderId="12" xfId="0" applyFont="1" applyFill="1" applyBorder="1" applyAlignment="1">
      <alignment horizontal="center"/>
    </xf>
    <xf numFmtId="0" fontId="9" fillId="43" borderId="14" xfId="0" applyFont="1" applyFill="1" applyBorder="1" applyAlignment="1">
      <alignment horizontal="center"/>
    </xf>
    <xf numFmtId="0" fontId="9" fillId="43" borderId="15" xfId="0" applyFont="1" applyFill="1" applyBorder="1" applyAlignment="1">
      <alignment horizontal="center"/>
    </xf>
    <xf numFmtId="0" fontId="9" fillId="58" borderId="12" xfId="0" applyFont="1" applyFill="1" applyBorder="1" applyAlignment="1">
      <alignment horizontal="center"/>
    </xf>
    <xf numFmtId="0" fontId="9" fillId="58" borderId="14" xfId="0" applyFont="1" applyFill="1" applyBorder="1" applyAlignment="1">
      <alignment horizontal="center"/>
    </xf>
    <xf numFmtId="0" fontId="9" fillId="58" borderId="15" xfId="0" applyFont="1" applyFill="1" applyBorder="1" applyAlignment="1">
      <alignment horizontal="center"/>
    </xf>
    <xf numFmtId="0" fontId="9" fillId="41" borderId="12" xfId="0" applyFont="1" applyFill="1" applyBorder="1" applyAlignment="1">
      <alignment horizontal="center"/>
    </xf>
    <xf numFmtId="0" fontId="9" fillId="41" borderId="14" xfId="0" applyFont="1" applyFill="1" applyBorder="1" applyAlignment="1">
      <alignment horizontal="center"/>
    </xf>
    <xf numFmtId="0" fontId="9" fillId="41" borderId="15" xfId="0" applyFont="1" applyFill="1" applyBorder="1" applyAlignment="1">
      <alignment horizontal="center"/>
    </xf>
    <xf numFmtId="0" fontId="0" fillId="0" borderId="10" xfId="0" applyBorder="1" applyAlignment="1">
      <alignment horizontal="center"/>
    </xf>
    <xf numFmtId="0" fontId="208" fillId="49" borderId="70" xfId="0" applyFont="1" applyFill="1" applyBorder="1" applyAlignment="1">
      <alignment horizontal="center" vertical="center"/>
    </xf>
    <xf numFmtId="0" fontId="208" fillId="49" borderId="71" xfId="0" applyFont="1" applyFill="1" applyBorder="1" applyAlignment="1">
      <alignment horizontal="center" vertical="center"/>
    </xf>
    <xf numFmtId="0" fontId="0" fillId="49" borderId="13" xfId="0" applyFill="1" applyBorder="1" applyAlignment="1">
      <alignment horizontal="center"/>
    </xf>
    <xf numFmtId="0" fontId="0" fillId="49" borderId="20" xfId="0" applyFill="1" applyBorder="1" applyAlignment="1">
      <alignment horizontal="center"/>
    </xf>
    <xf numFmtId="0" fontId="0" fillId="49" borderId="16" xfId="0" applyFill="1" applyBorder="1" applyAlignment="1">
      <alignment horizontal="center"/>
    </xf>
    <xf numFmtId="0" fontId="208" fillId="39" borderId="82" xfId="0" applyFont="1" applyFill="1" applyBorder="1" applyAlignment="1">
      <alignment horizontal="center" vertical="center"/>
    </xf>
    <xf numFmtId="0" fontId="208" fillId="39" borderId="92" xfId="0" applyFont="1" applyFill="1" applyBorder="1" applyAlignment="1">
      <alignment horizontal="center" vertical="center"/>
    </xf>
    <xf numFmtId="0" fontId="209" fillId="39" borderId="13" xfId="195" applyFont="1" applyFill="1" applyBorder="1" applyAlignment="1">
      <alignment horizontal="center" vertical="center" wrapText="1"/>
    </xf>
    <xf numFmtId="0" fontId="209" fillId="39" borderId="215" xfId="195" applyFont="1" applyFill="1" applyBorder="1" applyAlignment="1">
      <alignment horizontal="center" vertical="center" wrapText="1"/>
    </xf>
    <xf numFmtId="0" fontId="209" fillId="39" borderId="16" xfId="195" applyFont="1" applyFill="1" applyBorder="1" applyAlignment="1">
      <alignment horizontal="center" vertical="center" wrapText="1"/>
    </xf>
    <xf numFmtId="0" fontId="206" fillId="39" borderId="13" xfId="0" applyFont="1" applyFill="1" applyBorder="1" applyAlignment="1">
      <alignment horizontal="center"/>
    </xf>
    <xf numFmtId="0" fontId="206" fillId="39" borderId="215" xfId="0" applyFont="1" applyFill="1" applyBorder="1" applyAlignment="1">
      <alignment horizontal="center"/>
    </xf>
    <xf numFmtId="0" fontId="206" fillId="39" borderId="16" xfId="0" applyFont="1" applyFill="1" applyBorder="1" applyAlignment="1">
      <alignment horizontal="center"/>
    </xf>
    <xf numFmtId="0" fontId="0" fillId="49" borderId="182" xfId="0" applyFill="1" applyBorder="1" applyAlignment="1">
      <alignment horizontal="center"/>
    </xf>
    <xf numFmtId="0" fontId="0" fillId="49" borderId="59" xfId="0" applyFill="1" applyBorder="1" applyAlignment="1">
      <alignment horizontal="center"/>
    </xf>
    <xf numFmtId="0" fontId="106" fillId="39" borderId="13" xfId="0" applyFont="1" applyFill="1" applyBorder="1" applyAlignment="1">
      <alignment horizontal="center"/>
    </xf>
    <xf numFmtId="0" fontId="106" fillId="39" borderId="20" xfId="0" applyFont="1" applyFill="1" applyBorder="1" applyAlignment="1">
      <alignment horizontal="center"/>
    </xf>
    <xf numFmtId="0" fontId="106" fillId="39" borderId="16" xfId="0" applyFont="1" applyFill="1" applyBorder="1" applyAlignment="1">
      <alignment horizontal="center"/>
    </xf>
    <xf numFmtId="0" fontId="141" fillId="49" borderId="70" xfId="0" applyFont="1" applyFill="1" applyBorder="1" applyAlignment="1">
      <alignment horizontal="center" vertical="center"/>
    </xf>
    <xf numFmtId="0" fontId="141" fillId="49" borderId="60" xfId="0" applyFont="1" applyFill="1" applyBorder="1" applyAlignment="1">
      <alignment horizontal="center" vertical="center"/>
    </xf>
    <xf numFmtId="0" fontId="141" fillId="49" borderId="71" xfId="0" applyFont="1" applyFill="1" applyBorder="1" applyAlignment="1">
      <alignment horizontal="center" vertical="center"/>
    </xf>
    <xf numFmtId="0" fontId="206" fillId="39" borderId="20" xfId="0" applyFont="1" applyFill="1" applyBorder="1" applyAlignment="1">
      <alignment horizontal="center"/>
    </xf>
    <xf numFmtId="0" fontId="202" fillId="39" borderId="70" xfId="0" applyFont="1" applyFill="1" applyBorder="1" applyAlignment="1">
      <alignment horizontal="center" vertical="center"/>
    </xf>
    <xf numFmtId="0" fontId="202" fillId="39" borderId="71" xfId="0" applyFont="1" applyFill="1" applyBorder="1" applyAlignment="1">
      <alignment horizontal="center" vertical="center"/>
    </xf>
    <xf numFmtId="0" fontId="202" fillId="83" borderId="70" xfId="0" applyFont="1" applyFill="1" applyBorder="1" applyAlignment="1">
      <alignment horizontal="center" vertical="center"/>
    </xf>
    <xf numFmtId="0" fontId="202" fillId="83" borderId="71" xfId="0" applyFont="1" applyFill="1" applyBorder="1" applyAlignment="1">
      <alignment horizontal="center" vertical="center"/>
    </xf>
    <xf numFmtId="0" fontId="218" fillId="47" borderId="82" xfId="0" applyFont="1" applyFill="1" applyBorder="1" applyAlignment="1">
      <alignment horizontal="center" vertical="center"/>
    </xf>
    <xf numFmtId="0" fontId="218" fillId="47" borderId="92" xfId="0" applyFont="1" applyFill="1" applyBorder="1" applyAlignment="1">
      <alignment horizontal="center" vertical="center"/>
    </xf>
    <xf numFmtId="0" fontId="218" fillId="47" borderId="70" xfId="0" applyFont="1" applyFill="1" applyBorder="1" applyAlignment="1">
      <alignment horizontal="center" vertical="center"/>
    </xf>
    <xf numFmtId="0" fontId="218" fillId="47" borderId="71" xfId="0" applyFont="1" applyFill="1" applyBorder="1" applyAlignment="1">
      <alignment horizontal="center" vertical="center"/>
    </xf>
    <xf numFmtId="0" fontId="141" fillId="47" borderId="70" xfId="0" applyFont="1" applyFill="1" applyBorder="1" applyAlignment="1">
      <alignment horizontal="center" vertical="center"/>
    </xf>
    <xf numFmtId="0" fontId="141" fillId="47" borderId="71" xfId="0" applyFont="1" applyFill="1" applyBorder="1" applyAlignment="1">
      <alignment horizontal="center" vertical="center"/>
    </xf>
    <xf numFmtId="0" fontId="216" fillId="47" borderId="13" xfId="0" applyFont="1" applyFill="1" applyBorder="1" applyAlignment="1">
      <alignment horizontal="center"/>
    </xf>
    <xf numFmtId="0" fontId="216" fillId="47" borderId="20" xfId="0" applyFont="1" applyFill="1" applyBorder="1" applyAlignment="1">
      <alignment horizontal="center"/>
    </xf>
    <xf numFmtId="0" fontId="216" fillId="47" borderId="16" xfId="0" applyFont="1" applyFill="1" applyBorder="1" applyAlignment="1">
      <alignment horizontal="center"/>
    </xf>
    <xf numFmtId="0" fontId="206" fillId="49" borderId="13" xfId="0" applyFont="1" applyFill="1" applyBorder="1" applyAlignment="1">
      <alignment horizontal="center"/>
    </xf>
    <xf numFmtId="0" fontId="206" fillId="49" borderId="20" xfId="0" applyFont="1" applyFill="1" applyBorder="1" applyAlignment="1">
      <alignment horizontal="center"/>
    </xf>
    <xf numFmtId="0" fontId="206" fillId="49" borderId="16" xfId="0" applyFont="1" applyFill="1" applyBorder="1" applyAlignment="1">
      <alignment horizontal="center"/>
    </xf>
    <xf numFmtId="0" fontId="106" fillId="49" borderId="13" xfId="0" applyFont="1" applyFill="1" applyBorder="1" applyAlignment="1">
      <alignment horizontal="center"/>
    </xf>
    <xf numFmtId="0" fontId="106" fillId="49" borderId="20" xfId="0" applyFont="1" applyFill="1" applyBorder="1" applyAlignment="1">
      <alignment horizontal="center"/>
    </xf>
    <xf numFmtId="0" fontId="106" fillId="49" borderId="16" xfId="0" applyFont="1" applyFill="1" applyBorder="1" applyAlignment="1">
      <alignment horizontal="center"/>
    </xf>
    <xf numFmtId="0" fontId="208" fillId="64" borderId="70" xfId="0" applyFont="1" applyFill="1" applyBorder="1" applyAlignment="1">
      <alignment horizontal="center" vertical="center"/>
    </xf>
    <xf numFmtId="0" fontId="208" fillId="64" borderId="71" xfId="0" applyFont="1" applyFill="1" applyBorder="1" applyAlignment="1">
      <alignment horizontal="center" vertical="center"/>
    </xf>
    <xf numFmtId="0" fontId="184" fillId="49" borderId="70" xfId="0" applyFont="1" applyFill="1" applyBorder="1" applyAlignment="1">
      <alignment horizontal="center" vertical="center"/>
    </xf>
    <xf numFmtId="0" fontId="184" fillId="49" borderId="71" xfId="0" applyFont="1" applyFill="1" applyBorder="1" applyAlignment="1">
      <alignment horizontal="center" vertical="center"/>
    </xf>
    <xf numFmtId="0" fontId="206" fillId="64" borderId="13" xfId="0" applyFont="1" applyFill="1" applyBorder="1" applyAlignment="1">
      <alignment horizontal="center"/>
    </xf>
    <xf numFmtId="0" fontId="206" fillId="64" borderId="20" xfId="0" applyFont="1" applyFill="1" applyBorder="1" applyAlignment="1">
      <alignment horizontal="center"/>
    </xf>
    <xf numFmtId="0" fontId="206" fillId="64" borderId="16" xfId="0" applyFont="1" applyFill="1" applyBorder="1" applyAlignment="1">
      <alignment horizontal="center"/>
    </xf>
    <xf numFmtId="2" fontId="206" fillId="64" borderId="13" xfId="0" applyNumberFormat="1" applyFont="1" applyFill="1" applyBorder="1" applyAlignment="1">
      <alignment horizontal="center"/>
    </xf>
    <xf numFmtId="2" fontId="206" fillId="64" borderId="20" xfId="0" applyNumberFormat="1" applyFont="1" applyFill="1" applyBorder="1" applyAlignment="1">
      <alignment horizontal="center"/>
    </xf>
    <xf numFmtId="2" fontId="206" fillId="64" borderId="16" xfId="0" applyNumberFormat="1" applyFont="1" applyFill="1" applyBorder="1" applyAlignment="1">
      <alignment horizontal="center"/>
    </xf>
    <xf numFmtId="0" fontId="218" fillId="64" borderId="70" xfId="0" applyFont="1" applyFill="1" applyBorder="1" applyAlignment="1">
      <alignment horizontal="center" vertical="center"/>
    </xf>
    <xf numFmtId="0" fontId="218" fillId="64" borderId="71" xfId="0" applyFont="1" applyFill="1" applyBorder="1" applyAlignment="1">
      <alignment horizontal="center" vertical="center"/>
    </xf>
    <xf numFmtId="0" fontId="226" fillId="49" borderId="70" xfId="0" applyFont="1" applyFill="1" applyBorder="1" applyAlignment="1">
      <alignment horizontal="center" vertical="center"/>
    </xf>
    <xf numFmtId="0" fontId="226" fillId="49" borderId="71" xfId="0" applyFont="1" applyFill="1" applyBorder="1" applyAlignment="1">
      <alignment horizontal="center" vertical="center"/>
    </xf>
    <xf numFmtId="0" fontId="208" fillId="39" borderId="70" xfId="0" applyFont="1" applyFill="1" applyBorder="1" applyAlignment="1">
      <alignment horizontal="center" vertical="center"/>
    </xf>
    <xf numFmtId="0" fontId="208" fillId="39" borderId="71" xfId="0" applyFont="1" applyFill="1" applyBorder="1" applyAlignment="1">
      <alignment horizontal="center" vertical="center"/>
    </xf>
    <xf numFmtId="0" fontId="106" fillId="78" borderId="13" xfId="0" applyFont="1" applyFill="1" applyBorder="1" applyAlignment="1">
      <alignment horizontal="center"/>
    </xf>
    <xf numFmtId="0" fontId="106" fillId="78" borderId="20" xfId="0" applyFont="1" applyFill="1" applyBorder="1" applyAlignment="1">
      <alignment horizontal="center"/>
    </xf>
    <xf numFmtId="0" fontId="106" fillId="78" borderId="16" xfId="0" applyFont="1" applyFill="1" applyBorder="1" applyAlignment="1">
      <alignment horizontal="center"/>
    </xf>
    <xf numFmtId="0" fontId="251" fillId="39" borderId="13" xfId="0" applyFont="1" applyFill="1" applyBorder="1" applyAlignment="1">
      <alignment horizontal="center"/>
    </xf>
    <xf numFmtId="0" fontId="251" fillId="39" borderId="20" xfId="0" applyFont="1" applyFill="1" applyBorder="1" applyAlignment="1">
      <alignment horizontal="center"/>
    </xf>
    <xf numFmtId="0" fontId="251" fillId="39" borderId="16" xfId="0" applyFont="1" applyFill="1" applyBorder="1" applyAlignment="1">
      <alignment horizontal="center"/>
    </xf>
    <xf numFmtId="0" fontId="16" fillId="0" borderId="49" xfId="0" applyFont="1" applyBorder="1" applyAlignment="1">
      <alignment horizontal="center"/>
    </xf>
    <xf numFmtId="0" fontId="16" fillId="0" borderId="66" xfId="0" applyFont="1" applyBorder="1" applyAlignment="1">
      <alignment horizontal="center"/>
    </xf>
    <xf numFmtId="0" fontId="16" fillId="0" borderId="97" xfId="0" applyFont="1" applyBorder="1" applyAlignment="1">
      <alignment horizontal="center"/>
    </xf>
    <xf numFmtId="0" fontId="52" fillId="25" borderId="15" xfId="0" applyFont="1" applyFill="1" applyBorder="1" applyAlignment="1">
      <alignment horizontal="center"/>
    </xf>
    <xf numFmtId="3" fontId="14" fillId="25" borderId="45" xfId="0" applyNumberFormat="1" applyFont="1" applyFill="1" applyBorder="1" applyAlignment="1">
      <alignment horizontal="center" vertical="center" wrapText="1"/>
    </xf>
    <xf numFmtId="3" fontId="14" fillId="25" borderId="76" xfId="0" applyNumberFormat="1" applyFont="1" applyFill="1" applyBorder="1" applyAlignment="1">
      <alignment horizontal="center" vertical="center" wrapText="1"/>
    </xf>
    <xf numFmtId="0" fontId="14" fillId="25" borderId="45" xfId="0" applyFont="1" applyFill="1" applyBorder="1" applyAlignment="1">
      <alignment horizontal="center" vertical="center" wrapText="1"/>
    </xf>
    <xf numFmtId="0" fontId="14" fillId="25" borderId="76" xfId="0" applyFont="1" applyFill="1" applyBorder="1" applyAlignment="1">
      <alignment horizontal="center" vertical="center" wrapText="1"/>
    </xf>
    <xf numFmtId="0" fontId="14" fillId="73" borderId="12" xfId="0" applyFont="1" applyFill="1" applyBorder="1" applyAlignment="1">
      <alignment horizontal="center"/>
    </xf>
    <xf numFmtId="0" fontId="14" fillId="73" borderId="14" xfId="0" applyFont="1" applyFill="1" applyBorder="1" applyAlignment="1">
      <alignment horizontal="center"/>
    </xf>
    <xf numFmtId="0" fontId="14" fillId="73" borderId="15" xfId="0" applyFont="1" applyFill="1" applyBorder="1" applyAlignment="1">
      <alignment horizontal="center"/>
    </xf>
    <xf numFmtId="0" fontId="14" fillId="43" borderId="12" xfId="0" applyFont="1" applyFill="1" applyBorder="1" applyAlignment="1">
      <alignment horizontal="center"/>
    </xf>
    <xf numFmtId="0" fontId="14" fillId="43" borderId="14" xfId="0" applyFont="1" applyFill="1" applyBorder="1" applyAlignment="1">
      <alignment horizontal="center"/>
    </xf>
    <xf numFmtId="0" fontId="14" fillId="43" borderId="15" xfId="0" applyFont="1" applyFill="1" applyBorder="1" applyAlignment="1">
      <alignment horizontal="center"/>
    </xf>
    <xf numFmtId="178" fontId="39" fillId="72" borderId="18" xfId="0" applyNumberFormat="1" applyFont="1" applyFill="1" applyBorder="1" applyAlignment="1">
      <alignment horizontal="left"/>
    </xf>
    <xf numFmtId="0" fontId="14" fillId="44" borderId="12" xfId="0" applyFont="1" applyFill="1" applyBorder="1" applyAlignment="1">
      <alignment horizontal="center"/>
    </xf>
    <xf numFmtId="0" fontId="14" fillId="44" borderId="14" xfId="0" applyFont="1" applyFill="1" applyBorder="1" applyAlignment="1">
      <alignment horizontal="center"/>
    </xf>
    <xf numFmtId="0" fontId="14" fillId="44" borderId="15" xfId="0" applyFont="1" applyFill="1" applyBorder="1" applyAlignment="1">
      <alignment horizontal="center"/>
    </xf>
  </cellXfs>
  <cellStyles count="41731">
    <cellStyle name="20% - Énfasis1" xfId="1" builtinId="30" customBuiltin="1"/>
    <cellStyle name="20% - Énfasis1 2" xfId="2"/>
    <cellStyle name="20% - Énfasis1 2 2" xfId="3"/>
    <cellStyle name="20% - Énfasis1 2 3" xfId="4"/>
    <cellStyle name="20% - Énfasis1 2 4" xfId="265"/>
    <cellStyle name="20% - Énfasis1 3" xfId="5"/>
    <cellStyle name="20% - Énfasis1 4" xfId="266"/>
    <cellStyle name="20% - Énfasis1 5" xfId="267"/>
    <cellStyle name="20% - Énfasis1 6" xfId="268"/>
    <cellStyle name="20% - Énfasis1 7" xfId="269"/>
    <cellStyle name="20% - Énfasis2" xfId="6" builtinId="34" customBuiltin="1"/>
    <cellStyle name="20% - Énfasis2 2" xfId="7"/>
    <cellStyle name="20% - Énfasis2 2 2" xfId="8"/>
    <cellStyle name="20% - Énfasis2 2 3" xfId="9"/>
    <cellStyle name="20% - Énfasis2 2 4" xfId="270"/>
    <cellStyle name="20% - Énfasis2 3" xfId="10"/>
    <cellStyle name="20% - Énfasis2 4" xfId="271"/>
    <cellStyle name="20% - Énfasis2 5" xfId="272"/>
    <cellStyle name="20% - Énfasis2 6" xfId="273"/>
    <cellStyle name="20% - Énfasis2 7" xfId="274"/>
    <cellStyle name="20% - Énfasis3" xfId="11" builtinId="38" customBuiltin="1"/>
    <cellStyle name="20% - Énfasis3 2" xfId="12"/>
    <cellStyle name="20% - Énfasis3 2 2" xfId="13"/>
    <cellStyle name="20% - Énfasis3 2 3" xfId="14"/>
    <cellStyle name="20% - Énfasis3 2 4" xfId="275"/>
    <cellStyle name="20% - Énfasis3 3" xfId="15"/>
    <cellStyle name="20% - Énfasis3 4" xfId="276"/>
    <cellStyle name="20% - Énfasis3 5" xfId="277"/>
    <cellStyle name="20% - Énfasis3 6" xfId="278"/>
    <cellStyle name="20% - Énfasis3 7" xfId="279"/>
    <cellStyle name="20% - Énfasis4" xfId="16" builtinId="42" customBuiltin="1"/>
    <cellStyle name="20% - Énfasis4 2" xfId="17"/>
    <cellStyle name="20% - Énfasis4 2 2" xfId="18"/>
    <cellStyle name="20% - Énfasis4 2 3" xfId="19"/>
    <cellStyle name="20% - Énfasis4 2 4" xfId="280"/>
    <cellStyle name="20% - Énfasis4 3" xfId="20"/>
    <cellStyle name="20% - Énfasis4 4" xfId="281"/>
    <cellStyle name="20% - Énfasis4 5" xfId="282"/>
    <cellStyle name="20% - Énfasis4 6" xfId="283"/>
    <cellStyle name="20% - Énfasis4 7" xfId="284"/>
    <cellStyle name="20% - Énfasis5" xfId="21" builtinId="46" customBuiltin="1"/>
    <cellStyle name="20% - Énfasis5 2" xfId="22"/>
    <cellStyle name="20% - Énfasis5 2 2" xfId="23"/>
    <cellStyle name="20% - Énfasis5 2 3" xfId="24"/>
    <cellStyle name="20% - Énfasis5 2 4" xfId="285"/>
    <cellStyle name="20% - Énfasis5 3" xfId="25"/>
    <cellStyle name="20% - Énfasis5 4" xfId="286"/>
    <cellStyle name="20% - Énfasis5 5" xfId="287"/>
    <cellStyle name="20% - Énfasis5 6" xfId="288"/>
    <cellStyle name="20% - Énfasis5 7" xfId="289"/>
    <cellStyle name="20% - Énfasis6" xfId="26" builtinId="50" customBuiltin="1"/>
    <cellStyle name="20% - Énfasis6 2" xfId="27"/>
    <cellStyle name="20% - Énfasis6 2 2" xfId="28"/>
    <cellStyle name="20% - Énfasis6 2 3" xfId="29"/>
    <cellStyle name="20% - Énfasis6 2 4" xfId="290"/>
    <cellStyle name="20% - Énfasis6 3" xfId="30"/>
    <cellStyle name="20% - Énfasis6 4" xfId="291"/>
    <cellStyle name="20% - Énfasis6 5" xfId="292"/>
    <cellStyle name="20% - Énfasis6 6" xfId="293"/>
    <cellStyle name="20% - Énfasis6 7" xfId="294"/>
    <cellStyle name="40% - Énfasis1" xfId="31" builtinId="31" customBuiltin="1"/>
    <cellStyle name="40% - Énfasis1 2" xfId="32"/>
    <cellStyle name="40% - Énfasis1 2 2" xfId="33"/>
    <cellStyle name="40% - Énfasis1 2 3" xfId="34"/>
    <cellStyle name="40% - Énfasis1 2 4" xfId="295"/>
    <cellStyle name="40% - Énfasis1 3" xfId="35"/>
    <cellStyle name="40% - Énfasis1 4" xfId="296"/>
    <cellStyle name="40% - Énfasis1 5" xfId="297"/>
    <cellStyle name="40% - Énfasis1 6" xfId="298"/>
    <cellStyle name="40% - Énfasis1 7" xfId="299"/>
    <cellStyle name="40% - Énfasis2" xfId="36" builtinId="35" customBuiltin="1"/>
    <cellStyle name="40% - Énfasis2 2" xfId="37"/>
    <cellStyle name="40% - Énfasis2 2 2" xfId="38"/>
    <cellStyle name="40% - Énfasis2 2 3" xfId="39"/>
    <cellStyle name="40% - Énfasis2 2 4" xfId="300"/>
    <cellStyle name="40% - Énfasis2 3" xfId="40"/>
    <cellStyle name="40% - Énfasis2 4" xfId="301"/>
    <cellStyle name="40% - Énfasis2 5" xfId="302"/>
    <cellStyle name="40% - Énfasis2 6" xfId="303"/>
    <cellStyle name="40% - Énfasis2 7" xfId="304"/>
    <cellStyle name="40% - Énfasis3" xfId="41" builtinId="39" customBuiltin="1"/>
    <cellStyle name="40% - Énfasis3 2" xfId="42"/>
    <cellStyle name="40% - Énfasis3 2 2" xfId="43"/>
    <cellStyle name="40% - Énfasis3 2 3" xfId="44"/>
    <cellStyle name="40% - Énfasis3 2 4" xfId="305"/>
    <cellStyle name="40% - Énfasis3 3" xfId="45"/>
    <cellStyle name="40% - Énfasis3 4" xfId="306"/>
    <cellStyle name="40% - Énfasis3 5" xfId="307"/>
    <cellStyle name="40% - Énfasis3 6" xfId="308"/>
    <cellStyle name="40% - Énfasis3 7" xfId="309"/>
    <cellStyle name="40% - Énfasis4" xfId="46" builtinId="43" customBuiltin="1"/>
    <cellStyle name="40% - Énfasis4 2" xfId="47"/>
    <cellStyle name="40% - Énfasis4 2 2" xfId="48"/>
    <cellStyle name="40% - Énfasis4 2 3" xfId="49"/>
    <cellStyle name="40% - Énfasis4 2 4" xfId="310"/>
    <cellStyle name="40% - Énfasis4 3" xfId="50"/>
    <cellStyle name="40% - Énfasis4 4" xfId="311"/>
    <cellStyle name="40% - Énfasis4 5" xfId="312"/>
    <cellStyle name="40% - Énfasis4 6" xfId="313"/>
    <cellStyle name="40% - Énfasis4 7" xfId="314"/>
    <cellStyle name="40% - Énfasis5" xfId="51" builtinId="47" customBuiltin="1"/>
    <cellStyle name="40% - Énfasis5 2" xfId="52"/>
    <cellStyle name="40% - Énfasis5 2 2" xfId="53"/>
    <cellStyle name="40% - Énfasis5 2 3" xfId="54"/>
    <cellStyle name="40% - Énfasis5 2 4" xfId="315"/>
    <cellStyle name="40% - Énfasis5 3" xfId="55"/>
    <cellStyle name="40% - Énfasis5 4" xfId="316"/>
    <cellStyle name="40% - Énfasis5 5" xfId="317"/>
    <cellStyle name="40% - Énfasis5 6" xfId="318"/>
    <cellStyle name="40% - Énfasis5 7" xfId="319"/>
    <cellStyle name="40% - Énfasis6" xfId="56" builtinId="51" customBuiltin="1"/>
    <cellStyle name="40% - Énfasis6 2" xfId="57"/>
    <cellStyle name="40% - Énfasis6 2 2" xfId="58"/>
    <cellStyle name="40% - Énfasis6 2 3" xfId="59"/>
    <cellStyle name="40% - Énfasis6 2 4" xfId="320"/>
    <cellStyle name="40% - Énfasis6 3" xfId="60"/>
    <cellStyle name="40% - Énfasis6 4" xfId="321"/>
    <cellStyle name="40% - Énfasis6 5" xfId="322"/>
    <cellStyle name="40% - Énfasis6 6" xfId="323"/>
    <cellStyle name="40% - Énfasis6 7" xfId="324"/>
    <cellStyle name="60% - Énfasis1" xfId="61" builtinId="32" customBuiltin="1"/>
    <cellStyle name="60% - Énfasis1 2" xfId="62"/>
    <cellStyle name="60% - Énfasis1 2 2" xfId="63"/>
    <cellStyle name="60% - Énfasis1 2 3" xfId="64"/>
    <cellStyle name="60% - Énfasis1 2 4" xfId="325"/>
    <cellStyle name="60% - Énfasis1 3" xfId="65"/>
    <cellStyle name="60% - Énfasis1 4" xfId="326"/>
    <cellStyle name="60% - Énfasis1 5" xfId="327"/>
    <cellStyle name="60% - Énfasis1 6" xfId="328"/>
    <cellStyle name="60% - Énfasis1 7" xfId="329"/>
    <cellStyle name="60% - Énfasis2" xfId="66" builtinId="36" customBuiltin="1"/>
    <cellStyle name="60% - Énfasis2 2" xfId="67"/>
    <cellStyle name="60% - Énfasis2 2 2" xfId="68"/>
    <cellStyle name="60% - Énfasis2 2 3" xfId="69"/>
    <cellStyle name="60% - Énfasis2 2 4" xfId="330"/>
    <cellStyle name="60% - Énfasis2 3" xfId="70"/>
    <cellStyle name="60% - Énfasis2 4" xfId="331"/>
    <cellStyle name="60% - Énfasis2 5" xfId="332"/>
    <cellStyle name="60% - Énfasis2 6" xfId="333"/>
    <cellStyle name="60% - Énfasis2 7" xfId="334"/>
    <cellStyle name="60% - Énfasis3" xfId="71" builtinId="40" customBuiltin="1"/>
    <cellStyle name="60% - Énfasis3 2" xfId="72"/>
    <cellStyle name="60% - Énfasis3 2 2" xfId="73"/>
    <cellStyle name="60% - Énfasis3 2 3" xfId="74"/>
    <cellStyle name="60% - Énfasis3 2 4" xfId="335"/>
    <cellStyle name="60% - Énfasis3 3" xfId="75"/>
    <cellStyle name="60% - Énfasis3 4" xfId="336"/>
    <cellStyle name="60% - Énfasis3 5" xfId="337"/>
    <cellStyle name="60% - Énfasis3 6" xfId="338"/>
    <cellStyle name="60% - Énfasis3 7" xfId="339"/>
    <cellStyle name="60% - Énfasis4" xfId="76" builtinId="44" customBuiltin="1"/>
    <cellStyle name="60% - Énfasis4 2" xfId="77"/>
    <cellStyle name="60% - Énfasis4 2 2" xfId="78"/>
    <cellStyle name="60% - Énfasis4 2 3" xfId="79"/>
    <cellStyle name="60% - Énfasis4 2 4" xfId="340"/>
    <cellStyle name="60% - Énfasis4 3" xfId="80"/>
    <cellStyle name="60% - Énfasis4 4" xfId="341"/>
    <cellStyle name="60% - Énfasis4 5" xfId="342"/>
    <cellStyle name="60% - Énfasis4 6" xfId="343"/>
    <cellStyle name="60% - Énfasis4 7" xfId="344"/>
    <cellStyle name="60% - Énfasis5" xfId="81" builtinId="48" customBuiltin="1"/>
    <cellStyle name="60% - Énfasis5 2" xfId="82"/>
    <cellStyle name="60% - Énfasis5 2 2" xfId="83"/>
    <cellStyle name="60% - Énfasis5 2 3" xfId="84"/>
    <cellStyle name="60% - Énfasis5 2 4" xfId="345"/>
    <cellStyle name="60% - Énfasis5 3" xfId="85"/>
    <cellStyle name="60% - Énfasis5 4" xfId="346"/>
    <cellStyle name="60% - Énfasis5 5" xfId="347"/>
    <cellStyle name="60% - Énfasis5 6" xfId="348"/>
    <cellStyle name="60% - Énfasis5 7" xfId="349"/>
    <cellStyle name="60% - Énfasis6" xfId="86" builtinId="52" customBuiltin="1"/>
    <cellStyle name="60% - Énfasis6 2" xfId="87"/>
    <cellStyle name="60% - Énfasis6 2 2" xfId="88"/>
    <cellStyle name="60% - Énfasis6 2 3" xfId="89"/>
    <cellStyle name="60% - Énfasis6 2 4" xfId="350"/>
    <cellStyle name="60% - Énfasis6 3" xfId="90"/>
    <cellStyle name="60% - Énfasis6 4" xfId="351"/>
    <cellStyle name="60% - Énfasis6 5" xfId="352"/>
    <cellStyle name="60% - Énfasis6 6" xfId="353"/>
    <cellStyle name="60% - Énfasis6 7" xfId="354"/>
    <cellStyle name="Buena" xfId="91" builtinId="26" customBuiltin="1"/>
    <cellStyle name="Buena 2" xfId="92"/>
    <cellStyle name="Buena 2 2" xfId="93"/>
    <cellStyle name="Buena 2 3" xfId="94"/>
    <cellStyle name="Buena 2 4" xfId="355"/>
    <cellStyle name="Buena 3" xfId="95"/>
    <cellStyle name="Buena 4" xfId="356"/>
    <cellStyle name="Buena 5" xfId="357"/>
    <cellStyle name="Buena 6" xfId="358"/>
    <cellStyle name="Buena 7" xfId="359"/>
    <cellStyle name="Cálculo" xfId="96" builtinId="22" customBuiltin="1"/>
    <cellStyle name="Cálculo 2" xfId="97"/>
    <cellStyle name="Cálculo 2 10" xfId="360"/>
    <cellStyle name="Cálculo 2 10 2" xfId="361"/>
    <cellStyle name="Cálculo 2 11" xfId="362"/>
    <cellStyle name="Cálculo 2 11 2" xfId="363"/>
    <cellStyle name="Cálculo 2 12" xfId="364"/>
    <cellStyle name="Cálculo 2 12 2" xfId="365"/>
    <cellStyle name="Cálculo 2 13" xfId="366"/>
    <cellStyle name="Cálculo 2 13 2" xfId="367"/>
    <cellStyle name="Cálculo 2 14" xfId="368"/>
    <cellStyle name="Cálculo 2 14 2" xfId="369"/>
    <cellStyle name="Cálculo 2 15" xfId="370"/>
    <cellStyle name="Cálculo 2 15 2" xfId="371"/>
    <cellStyle name="Cálculo 2 16" xfId="372"/>
    <cellStyle name="Cálculo 2 16 2" xfId="373"/>
    <cellStyle name="Cálculo 2 17" xfId="374"/>
    <cellStyle name="Cálculo 2 17 2" xfId="375"/>
    <cellStyle name="Cálculo 2 18" xfId="376"/>
    <cellStyle name="Cálculo 2 18 2" xfId="377"/>
    <cellStyle name="Cálculo 2 19" xfId="378"/>
    <cellStyle name="Cálculo 2 2" xfId="98"/>
    <cellStyle name="Cálculo 2 2 10" xfId="379"/>
    <cellStyle name="Cálculo 2 2 10 2" xfId="380"/>
    <cellStyle name="Cálculo 2 2 11" xfId="381"/>
    <cellStyle name="Cálculo 2 2 11 2" xfId="382"/>
    <cellStyle name="Cálculo 2 2 12" xfId="383"/>
    <cellStyle name="Cálculo 2 2 12 2" xfId="384"/>
    <cellStyle name="Cálculo 2 2 13" xfId="385"/>
    <cellStyle name="Cálculo 2 2 13 2" xfId="386"/>
    <cellStyle name="Cálculo 2 2 14" xfId="387"/>
    <cellStyle name="Cálculo 2 2 14 2" xfId="388"/>
    <cellStyle name="Cálculo 2 2 15" xfId="389"/>
    <cellStyle name="Cálculo 2 2 15 2" xfId="390"/>
    <cellStyle name="Cálculo 2 2 16" xfId="391"/>
    <cellStyle name="Cálculo 2 2 17" xfId="392"/>
    <cellStyle name="Cálculo 2 2 18" xfId="393"/>
    <cellStyle name="Cálculo 2 2 2" xfId="394"/>
    <cellStyle name="Cálculo 2 2 2 10" xfId="395"/>
    <cellStyle name="Cálculo 2 2 2 10 2" xfId="396"/>
    <cellStyle name="Cálculo 2 2 2 11" xfId="397"/>
    <cellStyle name="Cálculo 2 2 2 11 2" xfId="398"/>
    <cellStyle name="Cálculo 2 2 2 12" xfId="399"/>
    <cellStyle name="Cálculo 2 2 2 12 2" xfId="400"/>
    <cellStyle name="Cálculo 2 2 2 13" xfId="401"/>
    <cellStyle name="Cálculo 2 2 2 13 2" xfId="402"/>
    <cellStyle name="Cálculo 2 2 2 14" xfId="403"/>
    <cellStyle name="Cálculo 2 2 2 14 2" xfId="404"/>
    <cellStyle name="Cálculo 2 2 2 15" xfId="405"/>
    <cellStyle name="Cálculo 2 2 2 2" xfId="406"/>
    <cellStyle name="Cálculo 2 2 2 2 10" xfId="407"/>
    <cellStyle name="Cálculo 2 2 2 2 10 2" xfId="408"/>
    <cellStyle name="Cálculo 2 2 2 2 11" xfId="409"/>
    <cellStyle name="Cálculo 2 2 2 2 11 2" xfId="410"/>
    <cellStyle name="Cálculo 2 2 2 2 12" xfId="411"/>
    <cellStyle name="Cálculo 2 2 2 2 12 2" xfId="412"/>
    <cellStyle name="Cálculo 2 2 2 2 13" xfId="413"/>
    <cellStyle name="Cálculo 2 2 2 2 2" xfId="414"/>
    <cellStyle name="Cálculo 2 2 2 2 2 10" xfId="415"/>
    <cellStyle name="Cálculo 2 2 2 2 2 10 2" xfId="416"/>
    <cellStyle name="Cálculo 2 2 2 2 2 11" xfId="417"/>
    <cellStyle name="Cálculo 2 2 2 2 2 2" xfId="418"/>
    <cellStyle name="Cálculo 2 2 2 2 2 2 2" xfId="419"/>
    <cellStyle name="Cálculo 2 2 2 2 2 3" xfId="420"/>
    <cellStyle name="Cálculo 2 2 2 2 2 3 2" xfId="421"/>
    <cellStyle name="Cálculo 2 2 2 2 2 4" xfId="422"/>
    <cellStyle name="Cálculo 2 2 2 2 2 4 2" xfId="423"/>
    <cellStyle name="Cálculo 2 2 2 2 2 5" xfId="424"/>
    <cellStyle name="Cálculo 2 2 2 2 2 5 2" xfId="425"/>
    <cellStyle name="Cálculo 2 2 2 2 2 6" xfId="426"/>
    <cellStyle name="Cálculo 2 2 2 2 2 6 2" xfId="427"/>
    <cellStyle name="Cálculo 2 2 2 2 2 7" xfId="428"/>
    <cellStyle name="Cálculo 2 2 2 2 2 7 2" xfId="429"/>
    <cellStyle name="Cálculo 2 2 2 2 2 8" xfId="430"/>
    <cellStyle name="Cálculo 2 2 2 2 2 8 2" xfId="431"/>
    <cellStyle name="Cálculo 2 2 2 2 2 9" xfId="432"/>
    <cellStyle name="Cálculo 2 2 2 2 2 9 2" xfId="433"/>
    <cellStyle name="Cálculo 2 2 2 2 3" xfId="434"/>
    <cellStyle name="Cálculo 2 2 2 2 3 10" xfId="435"/>
    <cellStyle name="Cálculo 2 2 2 2 3 10 2" xfId="436"/>
    <cellStyle name="Cálculo 2 2 2 2 3 11" xfId="437"/>
    <cellStyle name="Cálculo 2 2 2 2 3 2" xfId="438"/>
    <cellStyle name="Cálculo 2 2 2 2 3 2 2" xfId="439"/>
    <cellStyle name="Cálculo 2 2 2 2 3 3" xfId="440"/>
    <cellStyle name="Cálculo 2 2 2 2 3 3 2" xfId="441"/>
    <cellStyle name="Cálculo 2 2 2 2 3 4" xfId="442"/>
    <cellStyle name="Cálculo 2 2 2 2 3 4 2" xfId="443"/>
    <cellStyle name="Cálculo 2 2 2 2 3 5" xfId="444"/>
    <cellStyle name="Cálculo 2 2 2 2 3 5 2" xfId="445"/>
    <cellStyle name="Cálculo 2 2 2 2 3 6" xfId="446"/>
    <cellStyle name="Cálculo 2 2 2 2 3 6 2" xfId="447"/>
    <cellStyle name="Cálculo 2 2 2 2 3 7" xfId="448"/>
    <cellStyle name="Cálculo 2 2 2 2 3 7 2" xfId="449"/>
    <cellStyle name="Cálculo 2 2 2 2 3 8" xfId="450"/>
    <cellStyle name="Cálculo 2 2 2 2 3 8 2" xfId="451"/>
    <cellStyle name="Cálculo 2 2 2 2 3 9" xfId="452"/>
    <cellStyle name="Cálculo 2 2 2 2 3 9 2" xfId="453"/>
    <cellStyle name="Cálculo 2 2 2 2 4" xfId="454"/>
    <cellStyle name="Cálculo 2 2 2 2 4 2" xfId="455"/>
    <cellStyle name="Cálculo 2 2 2 2 5" xfId="456"/>
    <cellStyle name="Cálculo 2 2 2 2 5 2" xfId="457"/>
    <cellStyle name="Cálculo 2 2 2 2 6" xfId="458"/>
    <cellStyle name="Cálculo 2 2 2 2 6 2" xfId="459"/>
    <cellStyle name="Cálculo 2 2 2 2 7" xfId="460"/>
    <cellStyle name="Cálculo 2 2 2 2 7 2" xfId="461"/>
    <cellStyle name="Cálculo 2 2 2 2 8" xfId="462"/>
    <cellStyle name="Cálculo 2 2 2 2 8 2" xfId="463"/>
    <cellStyle name="Cálculo 2 2 2 2 9" xfId="464"/>
    <cellStyle name="Cálculo 2 2 2 2 9 2" xfId="465"/>
    <cellStyle name="Cálculo 2 2 2 3" xfId="466"/>
    <cellStyle name="Cálculo 2 2 2 3 10" xfId="467"/>
    <cellStyle name="Cálculo 2 2 2 3 10 2" xfId="468"/>
    <cellStyle name="Cálculo 2 2 2 3 11" xfId="469"/>
    <cellStyle name="Cálculo 2 2 2 3 11 2" xfId="470"/>
    <cellStyle name="Cálculo 2 2 2 3 12" xfId="471"/>
    <cellStyle name="Cálculo 2 2 2 3 12 2" xfId="472"/>
    <cellStyle name="Cálculo 2 2 2 3 13" xfId="473"/>
    <cellStyle name="Cálculo 2 2 2 3 2" xfId="474"/>
    <cellStyle name="Cálculo 2 2 2 3 2 10" xfId="475"/>
    <cellStyle name="Cálculo 2 2 2 3 2 10 2" xfId="476"/>
    <cellStyle name="Cálculo 2 2 2 3 2 11" xfId="477"/>
    <cellStyle name="Cálculo 2 2 2 3 2 2" xfId="478"/>
    <cellStyle name="Cálculo 2 2 2 3 2 2 2" xfId="479"/>
    <cellStyle name="Cálculo 2 2 2 3 2 3" xfId="480"/>
    <cellStyle name="Cálculo 2 2 2 3 2 3 2" xfId="481"/>
    <cellStyle name="Cálculo 2 2 2 3 2 4" xfId="482"/>
    <cellStyle name="Cálculo 2 2 2 3 2 4 2" xfId="483"/>
    <cellStyle name="Cálculo 2 2 2 3 2 5" xfId="484"/>
    <cellStyle name="Cálculo 2 2 2 3 2 5 2" xfId="485"/>
    <cellStyle name="Cálculo 2 2 2 3 2 6" xfId="486"/>
    <cellStyle name="Cálculo 2 2 2 3 2 6 2" xfId="487"/>
    <cellStyle name="Cálculo 2 2 2 3 2 7" xfId="488"/>
    <cellStyle name="Cálculo 2 2 2 3 2 7 2" xfId="489"/>
    <cellStyle name="Cálculo 2 2 2 3 2 8" xfId="490"/>
    <cellStyle name="Cálculo 2 2 2 3 2 8 2" xfId="491"/>
    <cellStyle name="Cálculo 2 2 2 3 2 9" xfId="492"/>
    <cellStyle name="Cálculo 2 2 2 3 2 9 2" xfId="493"/>
    <cellStyle name="Cálculo 2 2 2 3 3" xfId="494"/>
    <cellStyle name="Cálculo 2 2 2 3 3 10" xfId="495"/>
    <cellStyle name="Cálculo 2 2 2 3 3 10 2" xfId="496"/>
    <cellStyle name="Cálculo 2 2 2 3 3 11" xfId="497"/>
    <cellStyle name="Cálculo 2 2 2 3 3 2" xfId="498"/>
    <cellStyle name="Cálculo 2 2 2 3 3 2 2" xfId="499"/>
    <cellStyle name="Cálculo 2 2 2 3 3 3" xfId="500"/>
    <cellStyle name="Cálculo 2 2 2 3 3 3 2" xfId="501"/>
    <cellStyle name="Cálculo 2 2 2 3 3 4" xfId="502"/>
    <cellStyle name="Cálculo 2 2 2 3 3 4 2" xfId="503"/>
    <cellStyle name="Cálculo 2 2 2 3 3 5" xfId="504"/>
    <cellStyle name="Cálculo 2 2 2 3 3 5 2" xfId="505"/>
    <cellStyle name="Cálculo 2 2 2 3 3 6" xfId="506"/>
    <cellStyle name="Cálculo 2 2 2 3 3 6 2" xfId="507"/>
    <cellStyle name="Cálculo 2 2 2 3 3 7" xfId="508"/>
    <cellStyle name="Cálculo 2 2 2 3 3 7 2" xfId="509"/>
    <cellStyle name="Cálculo 2 2 2 3 3 8" xfId="510"/>
    <cellStyle name="Cálculo 2 2 2 3 3 8 2" xfId="511"/>
    <cellStyle name="Cálculo 2 2 2 3 3 9" xfId="512"/>
    <cellStyle name="Cálculo 2 2 2 3 3 9 2" xfId="513"/>
    <cellStyle name="Cálculo 2 2 2 3 4" xfId="514"/>
    <cellStyle name="Cálculo 2 2 2 3 4 2" xfId="515"/>
    <cellStyle name="Cálculo 2 2 2 3 5" xfId="516"/>
    <cellStyle name="Cálculo 2 2 2 3 5 2" xfId="517"/>
    <cellStyle name="Cálculo 2 2 2 3 6" xfId="518"/>
    <cellStyle name="Cálculo 2 2 2 3 6 2" xfId="519"/>
    <cellStyle name="Cálculo 2 2 2 3 7" xfId="520"/>
    <cellStyle name="Cálculo 2 2 2 3 7 2" xfId="521"/>
    <cellStyle name="Cálculo 2 2 2 3 8" xfId="522"/>
    <cellStyle name="Cálculo 2 2 2 3 8 2" xfId="523"/>
    <cellStyle name="Cálculo 2 2 2 3 9" xfId="524"/>
    <cellStyle name="Cálculo 2 2 2 3 9 2" xfId="525"/>
    <cellStyle name="Cálculo 2 2 2 4" xfId="526"/>
    <cellStyle name="Cálculo 2 2 2 4 10" xfId="527"/>
    <cellStyle name="Cálculo 2 2 2 4 10 2" xfId="528"/>
    <cellStyle name="Cálculo 2 2 2 4 11" xfId="529"/>
    <cellStyle name="Cálculo 2 2 2 4 2" xfId="530"/>
    <cellStyle name="Cálculo 2 2 2 4 2 2" xfId="531"/>
    <cellStyle name="Cálculo 2 2 2 4 3" xfId="532"/>
    <cellStyle name="Cálculo 2 2 2 4 3 2" xfId="533"/>
    <cellStyle name="Cálculo 2 2 2 4 4" xfId="534"/>
    <cellStyle name="Cálculo 2 2 2 4 4 2" xfId="535"/>
    <cellStyle name="Cálculo 2 2 2 4 5" xfId="536"/>
    <cellStyle name="Cálculo 2 2 2 4 5 2" xfId="537"/>
    <cellStyle name="Cálculo 2 2 2 4 6" xfId="538"/>
    <cellStyle name="Cálculo 2 2 2 4 6 2" xfId="539"/>
    <cellStyle name="Cálculo 2 2 2 4 7" xfId="540"/>
    <cellStyle name="Cálculo 2 2 2 4 7 2" xfId="541"/>
    <cellStyle name="Cálculo 2 2 2 4 8" xfId="542"/>
    <cellStyle name="Cálculo 2 2 2 4 8 2" xfId="543"/>
    <cellStyle name="Cálculo 2 2 2 4 9" xfId="544"/>
    <cellStyle name="Cálculo 2 2 2 4 9 2" xfId="545"/>
    <cellStyle name="Cálculo 2 2 2 5" xfId="546"/>
    <cellStyle name="Cálculo 2 2 2 5 10" xfId="547"/>
    <cellStyle name="Cálculo 2 2 2 5 10 2" xfId="548"/>
    <cellStyle name="Cálculo 2 2 2 5 11" xfId="549"/>
    <cellStyle name="Cálculo 2 2 2 5 2" xfId="550"/>
    <cellStyle name="Cálculo 2 2 2 5 2 2" xfId="551"/>
    <cellStyle name="Cálculo 2 2 2 5 3" xfId="552"/>
    <cellStyle name="Cálculo 2 2 2 5 3 2" xfId="553"/>
    <cellStyle name="Cálculo 2 2 2 5 4" xfId="554"/>
    <cellStyle name="Cálculo 2 2 2 5 4 2" xfId="555"/>
    <cellStyle name="Cálculo 2 2 2 5 5" xfId="556"/>
    <cellStyle name="Cálculo 2 2 2 5 5 2" xfId="557"/>
    <cellStyle name="Cálculo 2 2 2 5 6" xfId="558"/>
    <cellStyle name="Cálculo 2 2 2 5 6 2" xfId="559"/>
    <cellStyle name="Cálculo 2 2 2 5 7" xfId="560"/>
    <cellStyle name="Cálculo 2 2 2 5 7 2" xfId="561"/>
    <cellStyle name="Cálculo 2 2 2 5 8" xfId="562"/>
    <cellStyle name="Cálculo 2 2 2 5 8 2" xfId="563"/>
    <cellStyle name="Cálculo 2 2 2 5 9" xfId="564"/>
    <cellStyle name="Cálculo 2 2 2 5 9 2" xfId="565"/>
    <cellStyle name="Cálculo 2 2 2 6" xfId="566"/>
    <cellStyle name="Cálculo 2 2 2 6 2" xfId="567"/>
    <cellStyle name="Cálculo 2 2 2 7" xfId="568"/>
    <cellStyle name="Cálculo 2 2 2 7 2" xfId="569"/>
    <cellStyle name="Cálculo 2 2 2 8" xfId="570"/>
    <cellStyle name="Cálculo 2 2 2 8 2" xfId="571"/>
    <cellStyle name="Cálculo 2 2 2 9" xfId="572"/>
    <cellStyle name="Cálculo 2 2 2 9 2" xfId="573"/>
    <cellStyle name="Cálculo 2 2 3" xfId="574"/>
    <cellStyle name="Cálculo 2 2 3 10" xfId="575"/>
    <cellStyle name="Cálculo 2 2 3 10 2" xfId="576"/>
    <cellStyle name="Cálculo 2 2 3 11" xfId="577"/>
    <cellStyle name="Cálculo 2 2 3 11 2" xfId="578"/>
    <cellStyle name="Cálculo 2 2 3 12" xfId="579"/>
    <cellStyle name="Cálculo 2 2 3 12 2" xfId="580"/>
    <cellStyle name="Cálculo 2 2 3 13" xfId="581"/>
    <cellStyle name="Cálculo 2 2 3 13 2" xfId="582"/>
    <cellStyle name="Cálculo 2 2 3 14" xfId="583"/>
    <cellStyle name="Cálculo 2 2 3 14 2" xfId="584"/>
    <cellStyle name="Cálculo 2 2 3 15" xfId="585"/>
    <cellStyle name="Cálculo 2 2 3 2" xfId="586"/>
    <cellStyle name="Cálculo 2 2 3 2 10" xfId="587"/>
    <cellStyle name="Cálculo 2 2 3 2 10 2" xfId="588"/>
    <cellStyle name="Cálculo 2 2 3 2 11" xfId="589"/>
    <cellStyle name="Cálculo 2 2 3 2 11 2" xfId="590"/>
    <cellStyle name="Cálculo 2 2 3 2 12" xfId="591"/>
    <cellStyle name="Cálculo 2 2 3 2 12 2" xfId="592"/>
    <cellStyle name="Cálculo 2 2 3 2 13" xfId="593"/>
    <cellStyle name="Cálculo 2 2 3 2 2" xfId="594"/>
    <cellStyle name="Cálculo 2 2 3 2 2 10" xfId="595"/>
    <cellStyle name="Cálculo 2 2 3 2 2 10 2" xfId="596"/>
    <cellStyle name="Cálculo 2 2 3 2 2 11" xfId="597"/>
    <cellStyle name="Cálculo 2 2 3 2 2 2" xfId="598"/>
    <cellStyle name="Cálculo 2 2 3 2 2 2 2" xfId="599"/>
    <cellStyle name="Cálculo 2 2 3 2 2 3" xfId="600"/>
    <cellStyle name="Cálculo 2 2 3 2 2 3 2" xfId="601"/>
    <cellStyle name="Cálculo 2 2 3 2 2 4" xfId="602"/>
    <cellStyle name="Cálculo 2 2 3 2 2 4 2" xfId="603"/>
    <cellStyle name="Cálculo 2 2 3 2 2 5" xfId="604"/>
    <cellStyle name="Cálculo 2 2 3 2 2 5 2" xfId="605"/>
    <cellStyle name="Cálculo 2 2 3 2 2 6" xfId="606"/>
    <cellStyle name="Cálculo 2 2 3 2 2 6 2" xfId="607"/>
    <cellStyle name="Cálculo 2 2 3 2 2 7" xfId="608"/>
    <cellStyle name="Cálculo 2 2 3 2 2 7 2" xfId="609"/>
    <cellStyle name="Cálculo 2 2 3 2 2 8" xfId="610"/>
    <cellStyle name="Cálculo 2 2 3 2 2 8 2" xfId="611"/>
    <cellStyle name="Cálculo 2 2 3 2 2 9" xfId="612"/>
    <cellStyle name="Cálculo 2 2 3 2 2 9 2" xfId="613"/>
    <cellStyle name="Cálculo 2 2 3 2 3" xfId="614"/>
    <cellStyle name="Cálculo 2 2 3 2 3 10" xfId="615"/>
    <cellStyle name="Cálculo 2 2 3 2 3 10 2" xfId="616"/>
    <cellStyle name="Cálculo 2 2 3 2 3 11" xfId="617"/>
    <cellStyle name="Cálculo 2 2 3 2 3 2" xfId="618"/>
    <cellStyle name="Cálculo 2 2 3 2 3 2 2" xfId="619"/>
    <cellStyle name="Cálculo 2 2 3 2 3 3" xfId="620"/>
    <cellStyle name="Cálculo 2 2 3 2 3 3 2" xfId="621"/>
    <cellStyle name="Cálculo 2 2 3 2 3 4" xfId="622"/>
    <cellStyle name="Cálculo 2 2 3 2 3 4 2" xfId="623"/>
    <cellStyle name="Cálculo 2 2 3 2 3 5" xfId="624"/>
    <cellStyle name="Cálculo 2 2 3 2 3 5 2" xfId="625"/>
    <cellStyle name="Cálculo 2 2 3 2 3 6" xfId="626"/>
    <cellStyle name="Cálculo 2 2 3 2 3 6 2" xfId="627"/>
    <cellStyle name="Cálculo 2 2 3 2 3 7" xfId="628"/>
    <cellStyle name="Cálculo 2 2 3 2 3 7 2" xfId="629"/>
    <cellStyle name="Cálculo 2 2 3 2 3 8" xfId="630"/>
    <cellStyle name="Cálculo 2 2 3 2 3 8 2" xfId="631"/>
    <cellStyle name="Cálculo 2 2 3 2 3 9" xfId="632"/>
    <cellStyle name="Cálculo 2 2 3 2 3 9 2" xfId="633"/>
    <cellStyle name="Cálculo 2 2 3 2 4" xfId="634"/>
    <cellStyle name="Cálculo 2 2 3 2 4 2" xfId="635"/>
    <cellStyle name="Cálculo 2 2 3 2 5" xfId="636"/>
    <cellStyle name="Cálculo 2 2 3 2 5 2" xfId="637"/>
    <cellStyle name="Cálculo 2 2 3 2 6" xfId="638"/>
    <cellStyle name="Cálculo 2 2 3 2 6 2" xfId="639"/>
    <cellStyle name="Cálculo 2 2 3 2 7" xfId="640"/>
    <cellStyle name="Cálculo 2 2 3 2 7 2" xfId="641"/>
    <cellStyle name="Cálculo 2 2 3 2 8" xfId="642"/>
    <cellStyle name="Cálculo 2 2 3 2 8 2" xfId="643"/>
    <cellStyle name="Cálculo 2 2 3 2 9" xfId="644"/>
    <cellStyle name="Cálculo 2 2 3 2 9 2" xfId="645"/>
    <cellStyle name="Cálculo 2 2 3 3" xfId="646"/>
    <cellStyle name="Cálculo 2 2 3 3 10" xfId="647"/>
    <cellStyle name="Cálculo 2 2 3 3 10 2" xfId="648"/>
    <cellStyle name="Cálculo 2 2 3 3 11" xfId="649"/>
    <cellStyle name="Cálculo 2 2 3 3 11 2" xfId="650"/>
    <cellStyle name="Cálculo 2 2 3 3 12" xfId="651"/>
    <cellStyle name="Cálculo 2 2 3 3 12 2" xfId="652"/>
    <cellStyle name="Cálculo 2 2 3 3 13" xfId="653"/>
    <cellStyle name="Cálculo 2 2 3 3 2" xfId="654"/>
    <cellStyle name="Cálculo 2 2 3 3 2 10" xfId="655"/>
    <cellStyle name="Cálculo 2 2 3 3 2 10 2" xfId="656"/>
    <cellStyle name="Cálculo 2 2 3 3 2 11" xfId="657"/>
    <cellStyle name="Cálculo 2 2 3 3 2 2" xfId="658"/>
    <cellStyle name="Cálculo 2 2 3 3 2 2 2" xfId="659"/>
    <cellStyle name="Cálculo 2 2 3 3 2 3" xfId="660"/>
    <cellStyle name="Cálculo 2 2 3 3 2 3 2" xfId="661"/>
    <cellStyle name="Cálculo 2 2 3 3 2 4" xfId="662"/>
    <cellStyle name="Cálculo 2 2 3 3 2 4 2" xfId="663"/>
    <cellStyle name="Cálculo 2 2 3 3 2 5" xfId="664"/>
    <cellStyle name="Cálculo 2 2 3 3 2 5 2" xfId="665"/>
    <cellStyle name="Cálculo 2 2 3 3 2 6" xfId="666"/>
    <cellStyle name="Cálculo 2 2 3 3 2 6 2" xfId="667"/>
    <cellStyle name="Cálculo 2 2 3 3 2 7" xfId="668"/>
    <cellStyle name="Cálculo 2 2 3 3 2 7 2" xfId="669"/>
    <cellStyle name="Cálculo 2 2 3 3 2 8" xfId="670"/>
    <cellStyle name="Cálculo 2 2 3 3 2 8 2" xfId="671"/>
    <cellStyle name="Cálculo 2 2 3 3 2 9" xfId="672"/>
    <cellStyle name="Cálculo 2 2 3 3 2 9 2" xfId="673"/>
    <cellStyle name="Cálculo 2 2 3 3 3" xfId="674"/>
    <cellStyle name="Cálculo 2 2 3 3 3 10" xfId="675"/>
    <cellStyle name="Cálculo 2 2 3 3 3 10 2" xfId="676"/>
    <cellStyle name="Cálculo 2 2 3 3 3 11" xfId="677"/>
    <cellStyle name="Cálculo 2 2 3 3 3 2" xfId="678"/>
    <cellStyle name="Cálculo 2 2 3 3 3 2 2" xfId="679"/>
    <cellStyle name="Cálculo 2 2 3 3 3 3" xfId="680"/>
    <cellStyle name="Cálculo 2 2 3 3 3 3 2" xfId="681"/>
    <cellStyle name="Cálculo 2 2 3 3 3 4" xfId="682"/>
    <cellStyle name="Cálculo 2 2 3 3 3 4 2" xfId="683"/>
    <cellStyle name="Cálculo 2 2 3 3 3 5" xfId="684"/>
    <cellStyle name="Cálculo 2 2 3 3 3 5 2" xfId="685"/>
    <cellStyle name="Cálculo 2 2 3 3 3 6" xfId="686"/>
    <cellStyle name="Cálculo 2 2 3 3 3 6 2" xfId="687"/>
    <cellStyle name="Cálculo 2 2 3 3 3 7" xfId="688"/>
    <cellStyle name="Cálculo 2 2 3 3 3 7 2" xfId="689"/>
    <cellStyle name="Cálculo 2 2 3 3 3 8" xfId="690"/>
    <cellStyle name="Cálculo 2 2 3 3 3 8 2" xfId="691"/>
    <cellStyle name="Cálculo 2 2 3 3 3 9" xfId="692"/>
    <cellStyle name="Cálculo 2 2 3 3 3 9 2" xfId="693"/>
    <cellStyle name="Cálculo 2 2 3 3 4" xfId="694"/>
    <cellStyle name="Cálculo 2 2 3 3 4 2" xfId="695"/>
    <cellStyle name="Cálculo 2 2 3 3 5" xfId="696"/>
    <cellStyle name="Cálculo 2 2 3 3 5 2" xfId="697"/>
    <cellStyle name="Cálculo 2 2 3 3 6" xfId="698"/>
    <cellStyle name="Cálculo 2 2 3 3 6 2" xfId="699"/>
    <cellStyle name="Cálculo 2 2 3 3 7" xfId="700"/>
    <cellStyle name="Cálculo 2 2 3 3 7 2" xfId="701"/>
    <cellStyle name="Cálculo 2 2 3 3 8" xfId="702"/>
    <cellStyle name="Cálculo 2 2 3 3 8 2" xfId="703"/>
    <cellStyle name="Cálculo 2 2 3 3 9" xfId="704"/>
    <cellStyle name="Cálculo 2 2 3 3 9 2" xfId="705"/>
    <cellStyle name="Cálculo 2 2 3 4" xfId="706"/>
    <cellStyle name="Cálculo 2 2 3 4 10" xfId="707"/>
    <cellStyle name="Cálculo 2 2 3 4 10 2" xfId="708"/>
    <cellStyle name="Cálculo 2 2 3 4 11" xfId="709"/>
    <cellStyle name="Cálculo 2 2 3 4 2" xfId="710"/>
    <cellStyle name="Cálculo 2 2 3 4 2 2" xfId="711"/>
    <cellStyle name="Cálculo 2 2 3 4 3" xfId="712"/>
    <cellStyle name="Cálculo 2 2 3 4 3 2" xfId="713"/>
    <cellStyle name="Cálculo 2 2 3 4 4" xfId="714"/>
    <cellStyle name="Cálculo 2 2 3 4 4 2" xfId="715"/>
    <cellStyle name="Cálculo 2 2 3 4 5" xfId="716"/>
    <cellStyle name="Cálculo 2 2 3 4 5 2" xfId="717"/>
    <cellStyle name="Cálculo 2 2 3 4 6" xfId="718"/>
    <cellStyle name="Cálculo 2 2 3 4 6 2" xfId="719"/>
    <cellStyle name="Cálculo 2 2 3 4 7" xfId="720"/>
    <cellStyle name="Cálculo 2 2 3 4 7 2" xfId="721"/>
    <cellStyle name="Cálculo 2 2 3 4 8" xfId="722"/>
    <cellStyle name="Cálculo 2 2 3 4 8 2" xfId="723"/>
    <cellStyle name="Cálculo 2 2 3 4 9" xfId="724"/>
    <cellStyle name="Cálculo 2 2 3 4 9 2" xfId="725"/>
    <cellStyle name="Cálculo 2 2 3 5" xfId="726"/>
    <cellStyle name="Cálculo 2 2 3 5 10" xfId="727"/>
    <cellStyle name="Cálculo 2 2 3 5 10 2" xfId="728"/>
    <cellStyle name="Cálculo 2 2 3 5 11" xfId="729"/>
    <cellStyle name="Cálculo 2 2 3 5 2" xfId="730"/>
    <cellStyle name="Cálculo 2 2 3 5 2 2" xfId="731"/>
    <cellStyle name="Cálculo 2 2 3 5 3" xfId="732"/>
    <cellStyle name="Cálculo 2 2 3 5 3 2" xfId="733"/>
    <cellStyle name="Cálculo 2 2 3 5 4" xfId="734"/>
    <cellStyle name="Cálculo 2 2 3 5 4 2" xfId="735"/>
    <cellStyle name="Cálculo 2 2 3 5 5" xfId="736"/>
    <cellStyle name="Cálculo 2 2 3 5 5 2" xfId="737"/>
    <cellStyle name="Cálculo 2 2 3 5 6" xfId="738"/>
    <cellStyle name="Cálculo 2 2 3 5 6 2" xfId="739"/>
    <cellStyle name="Cálculo 2 2 3 5 7" xfId="740"/>
    <cellStyle name="Cálculo 2 2 3 5 7 2" xfId="741"/>
    <cellStyle name="Cálculo 2 2 3 5 8" xfId="742"/>
    <cellStyle name="Cálculo 2 2 3 5 8 2" xfId="743"/>
    <cellStyle name="Cálculo 2 2 3 5 9" xfId="744"/>
    <cellStyle name="Cálculo 2 2 3 5 9 2" xfId="745"/>
    <cellStyle name="Cálculo 2 2 3 6" xfId="746"/>
    <cellStyle name="Cálculo 2 2 3 6 2" xfId="747"/>
    <cellStyle name="Cálculo 2 2 3 7" xfId="748"/>
    <cellStyle name="Cálculo 2 2 3 7 2" xfId="749"/>
    <cellStyle name="Cálculo 2 2 3 8" xfId="750"/>
    <cellStyle name="Cálculo 2 2 3 8 2" xfId="751"/>
    <cellStyle name="Cálculo 2 2 3 9" xfId="752"/>
    <cellStyle name="Cálculo 2 2 3 9 2" xfId="753"/>
    <cellStyle name="Cálculo 2 2 4" xfId="754"/>
    <cellStyle name="Cálculo 2 2 4 10" xfId="755"/>
    <cellStyle name="Cálculo 2 2 4 10 2" xfId="756"/>
    <cellStyle name="Cálculo 2 2 4 11" xfId="757"/>
    <cellStyle name="Cálculo 2 2 4 11 2" xfId="758"/>
    <cellStyle name="Cálculo 2 2 4 12" xfId="759"/>
    <cellStyle name="Cálculo 2 2 4 12 2" xfId="760"/>
    <cellStyle name="Cálculo 2 2 4 13" xfId="761"/>
    <cellStyle name="Cálculo 2 2 4 2" xfId="762"/>
    <cellStyle name="Cálculo 2 2 4 2 10" xfId="763"/>
    <cellStyle name="Cálculo 2 2 4 2 10 2" xfId="764"/>
    <cellStyle name="Cálculo 2 2 4 2 11" xfId="765"/>
    <cellStyle name="Cálculo 2 2 4 2 2" xfId="766"/>
    <cellStyle name="Cálculo 2 2 4 2 2 2" xfId="767"/>
    <cellStyle name="Cálculo 2 2 4 2 3" xfId="768"/>
    <cellStyle name="Cálculo 2 2 4 2 3 2" xfId="769"/>
    <cellStyle name="Cálculo 2 2 4 2 4" xfId="770"/>
    <cellStyle name="Cálculo 2 2 4 2 4 2" xfId="771"/>
    <cellStyle name="Cálculo 2 2 4 2 5" xfId="772"/>
    <cellStyle name="Cálculo 2 2 4 2 5 2" xfId="773"/>
    <cellStyle name="Cálculo 2 2 4 2 6" xfId="774"/>
    <cellStyle name="Cálculo 2 2 4 2 6 2" xfId="775"/>
    <cellStyle name="Cálculo 2 2 4 2 7" xfId="776"/>
    <cellStyle name="Cálculo 2 2 4 2 7 2" xfId="777"/>
    <cellStyle name="Cálculo 2 2 4 2 8" xfId="778"/>
    <cellStyle name="Cálculo 2 2 4 2 8 2" xfId="779"/>
    <cellStyle name="Cálculo 2 2 4 2 9" xfId="780"/>
    <cellStyle name="Cálculo 2 2 4 2 9 2" xfId="781"/>
    <cellStyle name="Cálculo 2 2 4 3" xfId="782"/>
    <cellStyle name="Cálculo 2 2 4 3 10" xfId="783"/>
    <cellStyle name="Cálculo 2 2 4 3 10 2" xfId="784"/>
    <cellStyle name="Cálculo 2 2 4 3 11" xfId="785"/>
    <cellStyle name="Cálculo 2 2 4 3 2" xfId="786"/>
    <cellStyle name="Cálculo 2 2 4 3 2 2" xfId="787"/>
    <cellStyle name="Cálculo 2 2 4 3 3" xfId="788"/>
    <cellStyle name="Cálculo 2 2 4 3 3 2" xfId="789"/>
    <cellStyle name="Cálculo 2 2 4 3 4" xfId="790"/>
    <cellStyle name="Cálculo 2 2 4 3 4 2" xfId="791"/>
    <cellStyle name="Cálculo 2 2 4 3 5" xfId="792"/>
    <cellStyle name="Cálculo 2 2 4 3 5 2" xfId="793"/>
    <cellStyle name="Cálculo 2 2 4 3 6" xfId="794"/>
    <cellStyle name="Cálculo 2 2 4 3 6 2" xfId="795"/>
    <cellStyle name="Cálculo 2 2 4 3 7" xfId="796"/>
    <cellStyle name="Cálculo 2 2 4 3 7 2" xfId="797"/>
    <cellStyle name="Cálculo 2 2 4 3 8" xfId="798"/>
    <cellStyle name="Cálculo 2 2 4 3 8 2" xfId="799"/>
    <cellStyle name="Cálculo 2 2 4 3 9" xfId="800"/>
    <cellStyle name="Cálculo 2 2 4 3 9 2" xfId="801"/>
    <cellStyle name="Cálculo 2 2 4 4" xfId="802"/>
    <cellStyle name="Cálculo 2 2 4 4 2" xfId="803"/>
    <cellStyle name="Cálculo 2 2 4 5" xfId="804"/>
    <cellStyle name="Cálculo 2 2 4 5 2" xfId="805"/>
    <cellStyle name="Cálculo 2 2 4 6" xfId="806"/>
    <cellStyle name="Cálculo 2 2 4 6 2" xfId="807"/>
    <cellStyle name="Cálculo 2 2 4 7" xfId="808"/>
    <cellStyle name="Cálculo 2 2 4 7 2" xfId="809"/>
    <cellStyle name="Cálculo 2 2 4 8" xfId="810"/>
    <cellStyle name="Cálculo 2 2 4 8 2" xfId="811"/>
    <cellStyle name="Cálculo 2 2 4 9" xfId="812"/>
    <cellStyle name="Cálculo 2 2 4 9 2" xfId="813"/>
    <cellStyle name="Cálculo 2 2 5" xfId="814"/>
    <cellStyle name="Cálculo 2 2 5 10" xfId="815"/>
    <cellStyle name="Cálculo 2 2 5 10 2" xfId="816"/>
    <cellStyle name="Cálculo 2 2 5 11" xfId="817"/>
    <cellStyle name="Cálculo 2 2 5 11 2" xfId="818"/>
    <cellStyle name="Cálculo 2 2 5 12" xfId="819"/>
    <cellStyle name="Cálculo 2 2 5 12 2" xfId="820"/>
    <cellStyle name="Cálculo 2 2 5 13" xfId="821"/>
    <cellStyle name="Cálculo 2 2 5 2" xfId="822"/>
    <cellStyle name="Cálculo 2 2 5 2 10" xfId="823"/>
    <cellStyle name="Cálculo 2 2 5 2 10 2" xfId="824"/>
    <cellStyle name="Cálculo 2 2 5 2 11" xfId="825"/>
    <cellStyle name="Cálculo 2 2 5 2 2" xfId="826"/>
    <cellStyle name="Cálculo 2 2 5 2 2 2" xfId="827"/>
    <cellStyle name="Cálculo 2 2 5 2 3" xfId="828"/>
    <cellStyle name="Cálculo 2 2 5 2 3 2" xfId="829"/>
    <cellStyle name="Cálculo 2 2 5 2 4" xfId="830"/>
    <cellStyle name="Cálculo 2 2 5 2 4 2" xfId="831"/>
    <cellStyle name="Cálculo 2 2 5 2 5" xfId="832"/>
    <cellStyle name="Cálculo 2 2 5 2 5 2" xfId="833"/>
    <cellStyle name="Cálculo 2 2 5 2 6" xfId="834"/>
    <cellStyle name="Cálculo 2 2 5 2 6 2" xfId="835"/>
    <cellStyle name="Cálculo 2 2 5 2 7" xfId="836"/>
    <cellStyle name="Cálculo 2 2 5 2 7 2" xfId="837"/>
    <cellStyle name="Cálculo 2 2 5 2 8" xfId="838"/>
    <cellStyle name="Cálculo 2 2 5 2 8 2" xfId="839"/>
    <cellStyle name="Cálculo 2 2 5 2 9" xfId="840"/>
    <cellStyle name="Cálculo 2 2 5 2 9 2" xfId="841"/>
    <cellStyle name="Cálculo 2 2 5 3" xfId="842"/>
    <cellStyle name="Cálculo 2 2 5 3 10" xfId="843"/>
    <cellStyle name="Cálculo 2 2 5 3 10 2" xfId="844"/>
    <cellStyle name="Cálculo 2 2 5 3 11" xfId="845"/>
    <cellStyle name="Cálculo 2 2 5 3 2" xfId="846"/>
    <cellStyle name="Cálculo 2 2 5 3 2 2" xfId="847"/>
    <cellStyle name="Cálculo 2 2 5 3 3" xfId="848"/>
    <cellStyle name="Cálculo 2 2 5 3 3 2" xfId="849"/>
    <cellStyle name="Cálculo 2 2 5 3 4" xfId="850"/>
    <cellStyle name="Cálculo 2 2 5 3 4 2" xfId="851"/>
    <cellStyle name="Cálculo 2 2 5 3 5" xfId="852"/>
    <cellStyle name="Cálculo 2 2 5 3 5 2" xfId="853"/>
    <cellStyle name="Cálculo 2 2 5 3 6" xfId="854"/>
    <cellStyle name="Cálculo 2 2 5 3 6 2" xfId="855"/>
    <cellStyle name="Cálculo 2 2 5 3 7" xfId="856"/>
    <cellStyle name="Cálculo 2 2 5 3 7 2" xfId="857"/>
    <cellStyle name="Cálculo 2 2 5 3 8" xfId="858"/>
    <cellStyle name="Cálculo 2 2 5 3 8 2" xfId="859"/>
    <cellStyle name="Cálculo 2 2 5 3 9" xfId="860"/>
    <cellStyle name="Cálculo 2 2 5 3 9 2" xfId="861"/>
    <cellStyle name="Cálculo 2 2 5 4" xfId="862"/>
    <cellStyle name="Cálculo 2 2 5 4 2" xfId="863"/>
    <cellStyle name="Cálculo 2 2 5 5" xfId="864"/>
    <cellStyle name="Cálculo 2 2 5 5 2" xfId="865"/>
    <cellStyle name="Cálculo 2 2 5 6" xfId="866"/>
    <cellStyle name="Cálculo 2 2 5 6 2" xfId="867"/>
    <cellStyle name="Cálculo 2 2 5 7" xfId="868"/>
    <cellStyle name="Cálculo 2 2 5 7 2" xfId="869"/>
    <cellStyle name="Cálculo 2 2 5 8" xfId="870"/>
    <cellStyle name="Cálculo 2 2 5 8 2" xfId="871"/>
    <cellStyle name="Cálculo 2 2 5 9" xfId="872"/>
    <cellStyle name="Cálculo 2 2 5 9 2" xfId="873"/>
    <cellStyle name="Cálculo 2 2 6" xfId="874"/>
    <cellStyle name="Cálculo 2 2 6 2" xfId="875"/>
    <cellStyle name="Cálculo 2 2 7" xfId="876"/>
    <cellStyle name="Cálculo 2 2 7 2" xfId="877"/>
    <cellStyle name="Cálculo 2 2 8" xfId="878"/>
    <cellStyle name="Cálculo 2 2 8 2" xfId="879"/>
    <cellStyle name="Cálculo 2 2 9" xfId="880"/>
    <cellStyle name="Cálculo 2 2 9 2" xfId="881"/>
    <cellStyle name="Cálculo 2 20" xfId="882"/>
    <cellStyle name="Cálculo 2 21" xfId="883"/>
    <cellStyle name="Cálculo 2 3" xfId="99"/>
    <cellStyle name="Cálculo 2 3 10" xfId="884"/>
    <cellStyle name="Cálculo 2 3 10 2" xfId="885"/>
    <cellStyle name="Cálculo 2 3 11" xfId="886"/>
    <cellStyle name="Cálculo 2 3 11 2" xfId="887"/>
    <cellStyle name="Cálculo 2 3 12" xfId="888"/>
    <cellStyle name="Cálculo 2 3 12 2" xfId="889"/>
    <cellStyle name="Cálculo 2 3 13" xfId="890"/>
    <cellStyle name="Cálculo 2 3 13 2" xfId="891"/>
    <cellStyle name="Cálculo 2 3 14" xfId="892"/>
    <cellStyle name="Cálculo 2 3 14 2" xfId="893"/>
    <cellStyle name="Cálculo 2 3 15" xfId="894"/>
    <cellStyle name="Cálculo 2 3 16" xfId="895"/>
    <cellStyle name="Cálculo 2 3 17" xfId="896"/>
    <cellStyle name="Cálculo 2 3 2" xfId="897"/>
    <cellStyle name="Cálculo 2 3 2 10" xfId="898"/>
    <cellStyle name="Cálculo 2 3 2 10 2" xfId="899"/>
    <cellStyle name="Cálculo 2 3 2 11" xfId="900"/>
    <cellStyle name="Cálculo 2 3 2 11 2" xfId="901"/>
    <cellStyle name="Cálculo 2 3 2 12" xfId="902"/>
    <cellStyle name="Cálculo 2 3 2 12 2" xfId="903"/>
    <cellStyle name="Cálculo 2 3 2 13" xfId="904"/>
    <cellStyle name="Cálculo 2 3 2 13 2" xfId="905"/>
    <cellStyle name="Cálculo 2 3 2 14" xfId="906"/>
    <cellStyle name="Cálculo 2 3 2 14 2" xfId="907"/>
    <cellStyle name="Cálculo 2 3 2 15" xfId="908"/>
    <cellStyle name="Cálculo 2 3 2 2" xfId="909"/>
    <cellStyle name="Cálculo 2 3 2 2 10" xfId="910"/>
    <cellStyle name="Cálculo 2 3 2 2 10 2" xfId="911"/>
    <cellStyle name="Cálculo 2 3 2 2 11" xfId="912"/>
    <cellStyle name="Cálculo 2 3 2 2 11 2" xfId="913"/>
    <cellStyle name="Cálculo 2 3 2 2 12" xfId="914"/>
    <cellStyle name="Cálculo 2 3 2 2 12 2" xfId="915"/>
    <cellStyle name="Cálculo 2 3 2 2 13" xfId="916"/>
    <cellStyle name="Cálculo 2 3 2 2 2" xfId="917"/>
    <cellStyle name="Cálculo 2 3 2 2 2 10" xfId="918"/>
    <cellStyle name="Cálculo 2 3 2 2 2 10 2" xfId="919"/>
    <cellStyle name="Cálculo 2 3 2 2 2 11" xfId="920"/>
    <cellStyle name="Cálculo 2 3 2 2 2 2" xfId="921"/>
    <cellStyle name="Cálculo 2 3 2 2 2 2 2" xfId="922"/>
    <cellStyle name="Cálculo 2 3 2 2 2 3" xfId="923"/>
    <cellStyle name="Cálculo 2 3 2 2 2 3 2" xfId="924"/>
    <cellStyle name="Cálculo 2 3 2 2 2 4" xfId="925"/>
    <cellStyle name="Cálculo 2 3 2 2 2 4 2" xfId="926"/>
    <cellStyle name="Cálculo 2 3 2 2 2 5" xfId="927"/>
    <cellStyle name="Cálculo 2 3 2 2 2 5 2" xfId="928"/>
    <cellStyle name="Cálculo 2 3 2 2 2 6" xfId="929"/>
    <cellStyle name="Cálculo 2 3 2 2 2 6 2" xfId="930"/>
    <cellStyle name="Cálculo 2 3 2 2 2 7" xfId="931"/>
    <cellStyle name="Cálculo 2 3 2 2 2 7 2" xfId="932"/>
    <cellStyle name="Cálculo 2 3 2 2 2 8" xfId="933"/>
    <cellStyle name="Cálculo 2 3 2 2 2 8 2" xfId="934"/>
    <cellStyle name="Cálculo 2 3 2 2 2 9" xfId="935"/>
    <cellStyle name="Cálculo 2 3 2 2 2 9 2" xfId="936"/>
    <cellStyle name="Cálculo 2 3 2 2 3" xfId="937"/>
    <cellStyle name="Cálculo 2 3 2 2 3 10" xfId="938"/>
    <cellStyle name="Cálculo 2 3 2 2 3 10 2" xfId="939"/>
    <cellStyle name="Cálculo 2 3 2 2 3 11" xfId="940"/>
    <cellStyle name="Cálculo 2 3 2 2 3 2" xfId="941"/>
    <cellStyle name="Cálculo 2 3 2 2 3 2 2" xfId="942"/>
    <cellStyle name="Cálculo 2 3 2 2 3 3" xfId="943"/>
    <cellStyle name="Cálculo 2 3 2 2 3 3 2" xfId="944"/>
    <cellStyle name="Cálculo 2 3 2 2 3 4" xfId="945"/>
    <cellStyle name="Cálculo 2 3 2 2 3 4 2" xfId="946"/>
    <cellStyle name="Cálculo 2 3 2 2 3 5" xfId="947"/>
    <cellStyle name="Cálculo 2 3 2 2 3 5 2" xfId="948"/>
    <cellStyle name="Cálculo 2 3 2 2 3 6" xfId="949"/>
    <cellStyle name="Cálculo 2 3 2 2 3 6 2" xfId="950"/>
    <cellStyle name="Cálculo 2 3 2 2 3 7" xfId="951"/>
    <cellStyle name="Cálculo 2 3 2 2 3 7 2" xfId="952"/>
    <cellStyle name="Cálculo 2 3 2 2 3 8" xfId="953"/>
    <cellStyle name="Cálculo 2 3 2 2 3 8 2" xfId="954"/>
    <cellStyle name="Cálculo 2 3 2 2 3 9" xfId="955"/>
    <cellStyle name="Cálculo 2 3 2 2 3 9 2" xfId="956"/>
    <cellStyle name="Cálculo 2 3 2 2 4" xfId="957"/>
    <cellStyle name="Cálculo 2 3 2 2 4 2" xfId="958"/>
    <cellStyle name="Cálculo 2 3 2 2 5" xfId="959"/>
    <cellStyle name="Cálculo 2 3 2 2 5 2" xfId="960"/>
    <cellStyle name="Cálculo 2 3 2 2 6" xfId="961"/>
    <cellStyle name="Cálculo 2 3 2 2 6 2" xfId="962"/>
    <cellStyle name="Cálculo 2 3 2 2 7" xfId="963"/>
    <cellStyle name="Cálculo 2 3 2 2 7 2" xfId="964"/>
    <cellStyle name="Cálculo 2 3 2 2 8" xfId="965"/>
    <cellStyle name="Cálculo 2 3 2 2 8 2" xfId="966"/>
    <cellStyle name="Cálculo 2 3 2 2 9" xfId="967"/>
    <cellStyle name="Cálculo 2 3 2 2 9 2" xfId="968"/>
    <cellStyle name="Cálculo 2 3 2 3" xfId="969"/>
    <cellStyle name="Cálculo 2 3 2 3 10" xfId="970"/>
    <cellStyle name="Cálculo 2 3 2 3 10 2" xfId="971"/>
    <cellStyle name="Cálculo 2 3 2 3 11" xfId="972"/>
    <cellStyle name="Cálculo 2 3 2 3 11 2" xfId="973"/>
    <cellStyle name="Cálculo 2 3 2 3 12" xfId="974"/>
    <cellStyle name="Cálculo 2 3 2 3 12 2" xfId="975"/>
    <cellStyle name="Cálculo 2 3 2 3 13" xfId="976"/>
    <cellStyle name="Cálculo 2 3 2 3 2" xfId="977"/>
    <cellStyle name="Cálculo 2 3 2 3 2 10" xfId="978"/>
    <cellStyle name="Cálculo 2 3 2 3 2 10 2" xfId="979"/>
    <cellStyle name="Cálculo 2 3 2 3 2 11" xfId="980"/>
    <cellStyle name="Cálculo 2 3 2 3 2 2" xfId="981"/>
    <cellStyle name="Cálculo 2 3 2 3 2 2 2" xfId="982"/>
    <cellStyle name="Cálculo 2 3 2 3 2 3" xfId="983"/>
    <cellStyle name="Cálculo 2 3 2 3 2 3 2" xfId="984"/>
    <cellStyle name="Cálculo 2 3 2 3 2 4" xfId="985"/>
    <cellStyle name="Cálculo 2 3 2 3 2 4 2" xfId="986"/>
    <cellStyle name="Cálculo 2 3 2 3 2 5" xfId="987"/>
    <cellStyle name="Cálculo 2 3 2 3 2 5 2" xfId="988"/>
    <cellStyle name="Cálculo 2 3 2 3 2 6" xfId="989"/>
    <cellStyle name="Cálculo 2 3 2 3 2 6 2" xfId="990"/>
    <cellStyle name="Cálculo 2 3 2 3 2 7" xfId="991"/>
    <cellStyle name="Cálculo 2 3 2 3 2 7 2" xfId="992"/>
    <cellStyle name="Cálculo 2 3 2 3 2 8" xfId="993"/>
    <cellStyle name="Cálculo 2 3 2 3 2 8 2" xfId="994"/>
    <cellStyle name="Cálculo 2 3 2 3 2 9" xfId="995"/>
    <cellStyle name="Cálculo 2 3 2 3 2 9 2" xfId="996"/>
    <cellStyle name="Cálculo 2 3 2 3 3" xfId="997"/>
    <cellStyle name="Cálculo 2 3 2 3 3 10" xfId="998"/>
    <cellStyle name="Cálculo 2 3 2 3 3 10 2" xfId="999"/>
    <cellStyle name="Cálculo 2 3 2 3 3 11" xfId="1000"/>
    <cellStyle name="Cálculo 2 3 2 3 3 2" xfId="1001"/>
    <cellStyle name="Cálculo 2 3 2 3 3 2 2" xfId="1002"/>
    <cellStyle name="Cálculo 2 3 2 3 3 3" xfId="1003"/>
    <cellStyle name="Cálculo 2 3 2 3 3 3 2" xfId="1004"/>
    <cellStyle name="Cálculo 2 3 2 3 3 4" xfId="1005"/>
    <cellStyle name="Cálculo 2 3 2 3 3 4 2" xfId="1006"/>
    <cellStyle name="Cálculo 2 3 2 3 3 5" xfId="1007"/>
    <cellStyle name="Cálculo 2 3 2 3 3 5 2" xfId="1008"/>
    <cellStyle name="Cálculo 2 3 2 3 3 6" xfId="1009"/>
    <cellStyle name="Cálculo 2 3 2 3 3 6 2" xfId="1010"/>
    <cellStyle name="Cálculo 2 3 2 3 3 7" xfId="1011"/>
    <cellStyle name="Cálculo 2 3 2 3 3 7 2" xfId="1012"/>
    <cellStyle name="Cálculo 2 3 2 3 3 8" xfId="1013"/>
    <cellStyle name="Cálculo 2 3 2 3 3 8 2" xfId="1014"/>
    <cellStyle name="Cálculo 2 3 2 3 3 9" xfId="1015"/>
    <cellStyle name="Cálculo 2 3 2 3 3 9 2" xfId="1016"/>
    <cellStyle name="Cálculo 2 3 2 3 4" xfId="1017"/>
    <cellStyle name="Cálculo 2 3 2 3 4 2" xfId="1018"/>
    <cellStyle name="Cálculo 2 3 2 3 5" xfId="1019"/>
    <cellStyle name="Cálculo 2 3 2 3 5 2" xfId="1020"/>
    <cellStyle name="Cálculo 2 3 2 3 6" xfId="1021"/>
    <cellStyle name="Cálculo 2 3 2 3 6 2" xfId="1022"/>
    <cellStyle name="Cálculo 2 3 2 3 7" xfId="1023"/>
    <cellStyle name="Cálculo 2 3 2 3 7 2" xfId="1024"/>
    <cellStyle name="Cálculo 2 3 2 3 8" xfId="1025"/>
    <cellStyle name="Cálculo 2 3 2 3 8 2" xfId="1026"/>
    <cellStyle name="Cálculo 2 3 2 3 9" xfId="1027"/>
    <cellStyle name="Cálculo 2 3 2 3 9 2" xfId="1028"/>
    <cellStyle name="Cálculo 2 3 2 4" xfId="1029"/>
    <cellStyle name="Cálculo 2 3 2 4 10" xfId="1030"/>
    <cellStyle name="Cálculo 2 3 2 4 10 2" xfId="1031"/>
    <cellStyle name="Cálculo 2 3 2 4 11" xfId="1032"/>
    <cellStyle name="Cálculo 2 3 2 4 2" xfId="1033"/>
    <cellStyle name="Cálculo 2 3 2 4 2 2" xfId="1034"/>
    <cellStyle name="Cálculo 2 3 2 4 3" xfId="1035"/>
    <cellStyle name="Cálculo 2 3 2 4 3 2" xfId="1036"/>
    <cellStyle name="Cálculo 2 3 2 4 4" xfId="1037"/>
    <cellStyle name="Cálculo 2 3 2 4 4 2" xfId="1038"/>
    <cellStyle name="Cálculo 2 3 2 4 5" xfId="1039"/>
    <cellStyle name="Cálculo 2 3 2 4 5 2" xfId="1040"/>
    <cellStyle name="Cálculo 2 3 2 4 6" xfId="1041"/>
    <cellStyle name="Cálculo 2 3 2 4 6 2" xfId="1042"/>
    <cellStyle name="Cálculo 2 3 2 4 7" xfId="1043"/>
    <cellStyle name="Cálculo 2 3 2 4 7 2" xfId="1044"/>
    <cellStyle name="Cálculo 2 3 2 4 8" xfId="1045"/>
    <cellStyle name="Cálculo 2 3 2 4 8 2" xfId="1046"/>
    <cellStyle name="Cálculo 2 3 2 4 9" xfId="1047"/>
    <cellStyle name="Cálculo 2 3 2 4 9 2" xfId="1048"/>
    <cellStyle name="Cálculo 2 3 2 5" xfId="1049"/>
    <cellStyle name="Cálculo 2 3 2 5 10" xfId="1050"/>
    <cellStyle name="Cálculo 2 3 2 5 10 2" xfId="1051"/>
    <cellStyle name="Cálculo 2 3 2 5 11" xfId="1052"/>
    <cellStyle name="Cálculo 2 3 2 5 2" xfId="1053"/>
    <cellStyle name="Cálculo 2 3 2 5 2 2" xfId="1054"/>
    <cellStyle name="Cálculo 2 3 2 5 3" xfId="1055"/>
    <cellStyle name="Cálculo 2 3 2 5 3 2" xfId="1056"/>
    <cellStyle name="Cálculo 2 3 2 5 4" xfId="1057"/>
    <cellStyle name="Cálculo 2 3 2 5 4 2" xfId="1058"/>
    <cellStyle name="Cálculo 2 3 2 5 5" xfId="1059"/>
    <cellStyle name="Cálculo 2 3 2 5 5 2" xfId="1060"/>
    <cellStyle name="Cálculo 2 3 2 5 6" xfId="1061"/>
    <cellStyle name="Cálculo 2 3 2 5 6 2" xfId="1062"/>
    <cellStyle name="Cálculo 2 3 2 5 7" xfId="1063"/>
    <cellStyle name="Cálculo 2 3 2 5 7 2" xfId="1064"/>
    <cellStyle name="Cálculo 2 3 2 5 8" xfId="1065"/>
    <cellStyle name="Cálculo 2 3 2 5 8 2" xfId="1066"/>
    <cellStyle name="Cálculo 2 3 2 5 9" xfId="1067"/>
    <cellStyle name="Cálculo 2 3 2 5 9 2" xfId="1068"/>
    <cellStyle name="Cálculo 2 3 2 6" xfId="1069"/>
    <cellStyle name="Cálculo 2 3 2 6 2" xfId="1070"/>
    <cellStyle name="Cálculo 2 3 2 7" xfId="1071"/>
    <cellStyle name="Cálculo 2 3 2 7 2" xfId="1072"/>
    <cellStyle name="Cálculo 2 3 2 8" xfId="1073"/>
    <cellStyle name="Cálculo 2 3 2 8 2" xfId="1074"/>
    <cellStyle name="Cálculo 2 3 2 9" xfId="1075"/>
    <cellStyle name="Cálculo 2 3 2 9 2" xfId="1076"/>
    <cellStyle name="Cálculo 2 3 3" xfId="1077"/>
    <cellStyle name="Cálculo 2 3 3 10" xfId="1078"/>
    <cellStyle name="Cálculo 2 3 3 10 2" xfId="1079"/>
    <cellStyle name="Cálculo 2 3 3 11" xfId="1080"/>
    <cellStyle name="Cálculo 2 3 3 11 2" xfId="1081"/>
    <cellStyle name="Cálculo 2 3 3 12" xfId="1082"/>
    <cellStyle name="Cálculo 2 3 3 12 2" xfId="1083"/>
    <cellStyle name="Cálculo 2 3 3 13" xfId="1084"/>
    <cellStyle name="Cálculo 2 3 3 13 2" xfId="1085"/>
    <cellStyle name="Cálculo 2 3 3 14" xfId="1086"/>
    <cellStyle name="Cálculo 2 3 3 14 2" xfId="1087"/>
    <cellStyle name="Cálculo 2 3 3 15" xfId="1088"/>
    <cellStyle name="Cálculo 2 3 3 2" xfId="1089"/>
    <cellStyle name="Cálculo 2 3 3 2 10" xfId="1090"/>
    <cellStyle name="Cálculo 2 3 3 2 10 2" xfId="1091"/>
    <cellStyle name="Cálculo 2 3 3 2 11" xfId="1092"/>
    <cellStyle name="Cálculo 2 3 3 2 11 2" xfId="1093"/>
    <cellStyle name="Cálculo 2 3 3 2 12" xfId="1094"/>
    <cellStyle name="Cálculo 2 3 3 2 12 2" xfId="1095"/>
    <cellStyle name="Cálculo 2 3 3 2 13" xfId="1096"/>
    <cellStyle name="Cálculo 2 3 3 2 2" xfId="1097"/>
    <cellStyle name="Cálculo 2 3 3 2 2 10" xfId="1098"/>
    <cellStyle name="Cálculo 2 3 3 2 2 10 2" xfId="1099"/>
    <cellStyle name="Cálculo 2 3 3 2 2 11" xfId="1100"/>
    <cellStyle name="Cálculo 2 3 3 2 2 2" xfId="1101"/>
    <cellStyle name="Cálculo 2 3 3 2 2 2 2" xfId="1102"/>
    <cellStyle name="Cálculo 2 3 3 2 2 3" xfId="1103"/>
    <cellStyle name="Cálculo 2 3 3 2 2 3 2" xfId="1104"/>
    <cellStyle name="Cálculo 2 3 3 2 2 4" xfId="1105"/>
    <cellStyle name="Cálculo 2 3 3 2 2 4 2" xfId="1106"/>
    <cellStyle name="Cálculo 2 3 3 2 2 5" xfId="1107"/>
    <cellStyle name="Cálculo 2 3 3 2 2 5 2" xfId="1108"/>
    <cellStyle name="Cálculo 2 3 3 2 2 6" xfId="1109"/>
    <cellStyle name="Cálculo 2 3 3 2 2 6 2" xfId="1110"/>
    <cellStyle name="Cálculo 2 3 3 2 2 7" xfId="1111"/>
    <cellStyle name="Cálculo 2 3 3 2 2 7 2" xfId="1112"/>
    <cellStyle name="Cálculo 2 3 3 2 2 8" xfId="1113"/>
    <cellStyle name="Cálculo 2 3 3 2 2 8 2" xfId="1114"/>
    <cellStyle name="Cálculo 2 3 3 2 2 9" xfId="1115"/>
    <cellStyle name="Cálculo 2 3 3 2 2 9 2" xfId="1116"/>
    <cellStyle name="Cálculo 2 3 3 2 3" xfId="1117"/>
    <cellStyle name="Cálculo 2 3 3 2 3 10" xfId="1118"/>
    <cellStyle name="Cálculo 2 3 3 2 3 10 2" xfId="1119"/>
    <cellStyle name="Cálculo 2 3 3 2 3 11" xfId="1120"/>
    <cellStyle name="Cálculo 2 3 3 2 3 2" xfId="1121"/>
    <cellStyle name="Cálculo 2 3 3 2 3 2 2" xfId="1122"/>
    <cellStyle name="Cálculo 2 3 3 2 3 3" xfId="1123"/>
    <cellStyle name="Cálculo 2 3 3 2 3 3 2" xfId="1124"/>
    <cellStyle name="Cálculo 2 3 3 2 3 4" xfId="1125"/>
    <cellStyle name="Cálculo 2 3 3 2 3 4 2" xfId="1126"/>
    <cellStyle name="Cálculo 2 3 3 2 3 5" xfId="1127"/>
    <cellStyle name="Cálculo 2 3 3 2 3 5 2" xfId="1128"/>
    <cellStyle name="Cálculo 2 3 3 2 3 6" xfId="1129"/>
    <cellStyle name="Cálculo 2 3 3 2 3 6 2" xfId="1130"/>
    <cellStyle name="Cálculo 2 3 3 2 3 7" xfId="1131"/>
    <cellStyle name="Cálculo 2 3 3 2 3 7 2" xfId="1132"/>
    <cellStyle name="Cálculo 2 3 3 2 3 8" xfId="1133"/>
    <cellStyle name="Cálculo 2 3 3 2 3 8 2" xfId="1134"/>
    <cellStyle name="Cálculo 2 3 3 2 3 9" xfId="1135"/>
    <cellStyle name="Cálculo 2 3 3 2 3 9 2" xfId="1136"/>
    <cellStyle name="Cálculo 2 3 3 2 4" xfId="1137"/>
    <cellStyle name="Cálculo 2 3 3 2 4 2" xfId="1138"/>
    <cellStyle name="Cálculo 2 3 3 2 5" xfId="1139"/>
    <cellStyle name="Cálculo 2 3 3 2 5 2" xfId="1140"/>
    <cellStyle name="Cálculo 2 3 3 2 6" xfId="1141"/>
    <cellStyle name="Cálculo 2 3 3 2 6 2" xfId="1142"/>
    <cellStyle name="Cálculo 2 3 3 2 7" xfId="1143"/>
    <cellStyle name="Cálculo 2 3 3 2 7 2" xfId="1144"/>
    <cellStyle name="Cálculo 2 3 3 2 8" xfId="1145"/>
    <cellStyle name="Cálculo 2 3 3 2 8 2" xfId="1146"/>
    <cellStyle name="Cálculo 2 3 3 2 9" xfId="1147"/>
    <cellStyle name="Cálculo 2 3 3 2 9 2" xfId="1148"/>
    <cellStyle name="Cálculo 2 3 3 3" xfId="1149"/>
    <cellStyle name="Cálculo 2 3 3 3 10" xfId="1150"/>
    <cellStyle name="Cálculo 2 3 3 3 10 2" xfId="1151"/>
    <cellStyle name="Cálculo 2 3 3 3 11" xfId="1152"/>
    <cellStyle name="Cálculo 2 3 3 3 11 2" xfId="1153"/>
    <cellStyle name="Cálculo 2 3 3 3 12" xfId="1154"/>
    <cellStyle name="Cálculo 2 3 3 3 12 2" xfId="1155"/>
    <cellStyle name="Cálculo 2 3 3 3 13" xfId="1156"/>
    <cellStyle name="Cálculo 2 3 3 3 2" xfId="1157"/>
    <cellStyle name="Cálculo 2 3 3 3 2 10" xfId="1158"/>
    <cellStyle name="Cálculo 2 3 3 3 2 10 2" xfId="1159"/>
    <cellStyle name="Cálculo 2 3 3 3 2 11" xfId="1160"/>
    <cellStyle name="Cálculo 2 3 3 3 2 2" xfId="1161"/>
    <cellStyle name="Cálculo 2 3 3 3 2 2 2" xfId="1162"/>
    <cellStyle name="Cálculo 2 3 3 3 2 3" xfId="1163"/>
    <cellStyle name="Cálculo 2 3 3 3 2 3 2" xfId="1164"/>
    <cellStyle name="Cálculo 2 3 3 3 2 4" xfId="1165"/>
    <cellStyle name="Cálculo 2 3 3 3 2 4 2" xfId="1166"/>
    <cellStyle name="Cálculo 2 3 3 3 2 5" xfId="1167"/>
    <cellStyle name="Cálculo 2 3 3 3 2 5 2" xfId="1168"/>
    <cellStyle name="Cálculo 2 3 3 3 2 6" xfId="1169"/>
    <cellStyle name="Cálculo 2 3 3 3 2 6 2" xfId="1170"/>
    <cellStyle name="Cálculo 2 3 3 3 2 7" xfId="1171"/>
    <cellStyle name="Cálculo 2 3 3 3 2 7 2" xfId="1172"/>
    <cellStyle name="Cálculo 2 3 3 3 2 8" xfId="1173"/>
    <cellStyle name="Cálculo 2 3 3 3 2 8 2" xfId="1174"/>
    <cellStyle name="Cálculo 2 3 3 3 2 9" xfId="1175"/>
    <cellStyle name="Cálculo 2 3 3 3 2 9 2" xfId="1176"/>
    <cellStyle name="Cálculo 2 3 3 3 3" xfId="1177"/>
    <cellStyle name="Cálculo 2 3 3 3 3 10" xfId="1178"/>
    <cellStyle name="Cálculo 2 3 3 3 3 10 2" xfId="1179"/>
    <cellStyle name="Cálculo 2 3 3 3 3 11" xfId="1180"/>
    <cellStyle name="Cálculo 2 3 3 3 3 2" xfId="1181"/>
    <cellStyle name="Cálculo 2 3 3 3 3 2 2" xfId="1182"/>
    <cellStyle name="Cálculo 2 3 3 3 3 3" xfId="1183"/>
    <cellStyle name="Cálculo 2 3 3 3 3 3 2" xfId="1184"/>
    <cellStyle name="Cálculo 2 3 3 3 3 4" xfId="1185"/>
    <cellStyle name="Cálculo 2 3 3 3 3 4 2" xfId="1186"/>
    <cellStyle name="Cálculo 2 3 3 3 3 5" xfId="1187"/>
    <cellStyle name="Cálculo 2 3 3 3 3 5 2" xfId="1188"/>
    <cellStyle name="Cálculo 2 3 3 3 3 6" xfId="1189"/>
    <cellStyle name="Cálculo 2 3 3 3 3 6 2" xfId="1190"/>
    <cellStyle name="Cálculo 2 3 3 3 3 7" xfId="1191"/>
    <cellStyle name="Cálculo 2 3 3 3 3 7 2" xfId="1192"/>
    <cellStyle name="Cálculo 2 3 3 3 3 8" xfId="1193"/>
    <cellStyle name="Cálculo 2 3 3 3 3 8 2" xfId="1194"/>
    <cellStyle name="Cálculo 2 3 3 3 3 9" xfId="1195"/>
    <cellStyle name="Cálculo 2 3 3 3 3 9 2" xfId="1196"/>
    <cellStyle name="Cálculo 2 3 3 3 4" xfId="1197"/>
    <cellStyle name="Cálculo 2 3 3 3 4 2" xfId="1198"/>
    <cellStyle name="Cálculo 2 3 3 3 5" xfId="1199"/>
    <cellStyle name="Cálculo 2 3 3 3 5 2" xfId="1200"/>
    <cellStyle name="Cálculo 2 3 3 3 6" xfId="1201"/>
    <cellStyle name="Cálculo 2 3 3 3 6 2" xfId="1202"/>
    <cellStyle name="Cálculo 2 3 3 3 7" xfId="1203"/>
    <cellStyle name="Cálculo 2 3 3 3 7 2" xfId="1204"/>
    <cellStyle name="Cálculo 2 3 3 3 8" xfId="1205"/>
    <cellStyle name="Cálculo 2 3 3 3 8 2" xfId="1206"/>
    <cellStyle name="Cálculo 2 3 3 3 9" xfId="1207"/>
    <cellStyle name="Cálculo 2 3 3 3 9 2" xfId="1208"/>
    <cellStyle name="Cálculo 2 3 3 4" xfId="1209"/>
    <cellStyle name="Cálculo 2 3 3 4 10" xfId="1210"/>
    <cellStyle name="Cálculo 2 3 3 4 10 2" xfId="1211"/>
    <cellStyle name="Cálculo 2 3 3 4 11" xfId="1212"/>
    <cellStyle name="Cálculo 2 3 3 4 2" xfId="1213"/>
    <cellStyle name="Cálculo 2 3 3 4 2 2" xfId="1214"/>
    <cellStyle name="Cálculo 2 3 3 4 3" xfId="1215"/>
    <cellStyle name="Cálculo 2 3 3 4 3 2" xfId="1216"/>
    <cellStyle name="Cálculo 2 3 3 4 4" xfId="1217"/>
    <cellStyle name="Cálculo 2 3 3 4 4 2" xfId="1218"/>
    <cellStyle name="Cálculo 2 3 3 4 5" xfId="1219"/>
    <cellStyle name="Cálculo 2 3 3 4 5 2" xfId="1220"/>
    <cellStyle name="Cálculo 2 3 3 4 6" xfId="1221"/>
    <cellStyle name="Cálculo 2 3 3 4 6 2" xfId="1222"/>
    <cellStyle name="Cálculo 2 3 3 4 7" xfId="1223"/>
    <cellStyle name="Cálculo 2 3 3 4 7 2" xfId="1224"/>
    <cellStyle name="Cálculo 2 3 3 4 8" xfId="1225"/>
    <cellStyle name="Cálculo 2 3 3 4 8 2" xfId="1226"/>
    <cellStyle name="Cálculo 2 3 3 4 9" xfId="1227"/>
    <cellStyle name="Cálculo 2 3 3 4 9 2" xfId="1228"/>
    <cellStyle name="Cálculo 2 3 3 5" xfId="1229"/>
    <cellStyle name="Cálculo 2 3 3 5 10" xfId="1230"/>
    <cellStyle name="Cálculo 2 3 3 5 10 2" xfId="1231"/>
    <cellStyle name="Cálculo 2 3 3 5 11" xfId="1232"/>
    <cellStyle name="Cálculo 2 3 3 5 2" xfId="1233"/>
    <cellStyle name="Cálculo 2 3 3 5 2 2" xfId="1234"/>
    <cellStyle name="Cálculo 2 3 3 5 3" xfId="1235"/>
    <cellStyle name="Cálculo 2 3 3 5 3 2" xfId="1236"/>
    <cellStyle name="Cálculo 2 3 3 5 4" xfId="1237"/>
    <cellStyle name="Cálculo 2 3 3 5 4 2" xfId="1238"/>
    <cellStyle name="Cálculo 2 3 3 5 5" xfId="1239"/>
    <cellStyle name="Cálculo 2 3 3 5 5 2" xfId="1240"/>
    <cellStyle name="Cálculo 2 3 3 5 6" xfId="1241"/>
    <cellStyle name="Cálculo 2 3 3 5 6 2" xfId="1242"/>
    <cellStyle name="Cálculo 2 3 3 5 7" xfId="1243"/>
    <cellStyle name="Cálculo 2 3 3 5 7 2" xfId="1244"/>
    <cellStyle name="Cálculo 2 3 3 5 8" xfId="1245"/>
    <cellStyle name="Cálculo 2 3 3 5 8 2" xfId="1246"/>
    <cellStyle name="Cálculo 2 3 3 5 9" xfId="1247"/>
    <cellStyle name="Cálculo 2 3 3 5 9 2" xfId="1248"/>
    <cellStyle name="Cálculo 2 3 3 6" xfId="1249"/>
    <cellStyle name="Cálculo 2 3 3 6 2" xfId="1250"/>
    <cellStyle name="Cálculo 2 3 3 7" xfId="1251"/>
    <cellStyle name="Cálculo 2 3 3 7 2" xfId="1252"/>
    <cellStyle name="Cálculo 2 3 3 8" xfId="1253"/>
    <cellStyle name="Cálculo 2 3 3 8 2" xfId="1254"/>
    <cellStyle name="Cálculo 2 3 3 9" xfId="1255"/>
    <cellStyle name="Cálculo 2 3 3 9 2" xfId="1256"/>
    <cellStyle name="Cálculo 2 3 4" xfId="1257"/>
    <cellStyle name="Cálculo 2 3 4 10" xfId="1258"/>
    <cellStyle name="Cálculo 2 3 4 10 2" xfId="1259"/>
    <cellStyle name="Cálculo 2 3 4 11" xfId="1260"/>
    <cellStyle name="Cálculo 2 3 4 11 2" xfId="1261"/>
    <cellStyle name="Cálculo 2 3 4 12" xfId="1262"/>
    <cellStyle name="Cálculo 2 3 4 12 2" xfId="1263"/>
    <cellStyle name="Cálculo 2 3 4 13" xfId="1264"/>
    <cellStyle name="Cálculo 2 3 4 2" xfId="1265"/>
    <cellStyle name="Cálculo 2 3 4 2 10" xfId="1266"/>
    <cellStyle name="Cálculo 2 3 4 2 10 2" xfId="1267"/>
    <cellStyle name="Cálculo 2 3 4 2 11" xfId="1268"/>
    <cellStyle name="Cálculo 2 3 4 2 2" xfId="1269"/>
    <cellStyle name="Cálculo 2 3 4 2 2 2" xfId="1270"/>
    <cellStyle name="Cálculo 2 3 4 2 3" xfId="1271"/>
    <cellStyle name="Cálculo 2 3 4 2 3 2" xfId="1272"/>
    <cellStyle name="Cálculo 2 3 4 2 4" xfId="1273"/>
    <cellStyle name="Cálculo 2 3 4 2 4 2" xfId="1274"/>
    <cellStyle name="Cálculo 2 3 4 2 5" xfId="1275"/>
    <cellStyle name="Cálculo 2 3 4 2 5 2" xfId="1276"/>
    <cellStyle name="Cálculo 2 3 4 2 6" xfId="1277"/>
    <cellStyle name="Cálculo 2 3 4 2 6 2" xfId="1278"/>
    <cellStyle name="Cálculo 2 3 4 2 7" xfId="1279"/>
    <cellStyle name="Cálculo 2 3 4 2 7 2" xfId="1280"/>
    <cellStyle name="Cálculo 2 3 4 2 8" xfId="1281"/>
    <cellStyle name="Cálculo 2 3 4 2 8 2" xfId="1282"/>
    <cellStyle name="Cálculo 2 3 4 2 9" xfId="1283"/>
    <cellStyle name="Cálculo 2 3 4 2 9 2" xfId="1284"/>
    <cellStyle name="Cálculo 2 3 4 3" xfId="1285"/>
    <cellStyle name="Cálculo 2 3 4 3 10" xfId="1286"/>
    <cellStyle name="Cálculo 2 3 4 3 10 2" xfId="1287"/>
    <cellStyle name="Cálculo 2 3 4 3 11" xfId="1288"/>
    <cellStyle name="Cálculo 2 3 4 3 2" xfId="1289"/>
    <cellStyle name="Cálculo 2 3 4 3 2 2" xfId="1290"/>
    <cellStyle name="Cálculo 2 3 4 3 3" xfId="1291"/>
    <cellStyle name="Cálculo 2 3 4 3 3 2" xfId="1292"/>
    <cellStyle name="Cálculo 2 3 4 3 4" xfId="1293"/>
    <cellStyle name="Cálculo 2 3 4 3 4 2" xfId="1294"/>
    <cellStyle name="Cálculo 2 3 4 3 5" xfId="1295"/>
    <cellStyle name="Cálculo 2 3 4 3 5 2" xfId="1296"/>
    <cellStyle name="Cálculo 2 3 4 3 6" xfId="1297"/>
    <cellStyle name="Cálculo 2 3 4 3 6 2" xfId="1298"/>
    <cellStyle name="Cálculo 2 3 4 3 7" xfId="1299"/>
    <cellStyle name="Cálculo 2 3 4 3 7 2" xfId="1300"/>
    <cellStyle name="Cálculo 2 3 4 3 8" xfId="1301"/>
    <cellStyle name="Cálculo 2 3 4 3 8 2" xfId="1302"/>
    <cellStyle name="Cálculo 2 3 4 3 9" xfId="1303"/>
    <cellStyle name="Cálculo 2 3 4 3 9 2" xfId="1304"/>
    <cellStyle name="Cálculo 2 3 4 4" xfId="1305"/>
    <cellStyle name="Cálculo 2 3 4 4 2" xfId="1306"/>
    <cellStyle name="Cálculo 2 3 4 5" xfId="1307"/>
    <cellStyle name="Cálculo 2 3 4 5 2" xfId="1308"/>
    <cellStyle name="Cálculo 2 3 4 6" xfId="1309"/>
    <cellStyle name="Cálculo 2 3 4 6 2" xfId="1310"/>
    <cellStyle name="Cálculo 2 3 4 7" xfId="1311"/>
    <cellStyle name="Cálculo 2 3 4 7 2" xfId="1312"/>
    <cellStyle name="Cálculo 2 3 4 8" xfId="1313"/>
    <cellStyle name="Cálculo 2 3 4 8 2" xfId="1314"/>
    <cellStyle name="Cálculo 2 3 4 9" xfId="1315"/>
    <cellStyle name="Cálculo 2 3 4 9 2" xfId="1316"/>
    <cellStyle name="Cálculo 2 3 5" xfId="1317"/>
    <cellStyle name="Cálculo 2 3 5 10" xfId="1318"/>
    <cellStyle name="Cálculo 2 3 5 10 2" xfId="1319"/>
    <cellStyle name="Cálculo 2 3 5 11" xfId="1320"/>
    <cellStyle name="Cálculo 2 3 5 11 2" xfId="1321"/>
    <cellStyle name="Cálculo 2 3 5 12" xfId="1322"/>
    <cellStyle name="Cálculo 2 3 5 12 2" xfId="1323"/>
    <cellStyle name="Cálculo 2 3 5 13" xfId="1324"/>
    <cellStyle name="Cálculo 2 3 5 2" xfId="1325"/>
    <cellStyle name="Cálculo 2 3 5 2 10" xfId="1326"/>
    <cellStyle name="Cálculo 2 3 5 2 10 2" xfId="1327"/>
    <cellStyle name="Cálculo 2 3 5 2 11" xfId="1328"/>
    <cellStyle name="Cálculo 2 3 5 2 2" xfId="1329"/>
    <cellStyle name="Cálculo 2 3 5 2 2 2" xfId="1330"/>
    <cellStyle name="Cálculo 2 3 5 2 3" xfId="1331"/>
    <cellStyle name="Cálculo 2 3 5 2 3 2" xfId="1332"/>
    <cellStyle name="Cálculo 2 3 5 2 4" xfId="1333"/>
    <cellStyle name="Cálculo 2 3 5 2 4 2" xfId="1334"/>
    <cellStyle name="Cálculo 2 3 5 2 5" xfId="1335"/>
    <cellStyle name="Cálculo 2 3 5 2 5 2" xfId="1336"/>
    <cellStyle name="Cálculo 2 3 5 2 6" xfId="1337"/>
    <cellStyle name="Cálculo 2 3 5 2 6 2" xfId="1338"/>
    <cellStyle name="Cálculo 2 3 5 2 7" xfId="1339"/>
    <cellStyle name="Cálculo 2 3 5 2 7 2" xfId="1340"/>
    <cellStyle name="Cálculo 2 3 5 2 8" xfId="1341"/>
    <cellStyle name="Cálculo 2 3 5 2 8 2" xfId="1342"/>
    <cellStyle name="Cálculo 2 3 5 2 9" xfId="1343"/>
    <cellStyle name="Cálculo 2 3 5 2 9 2" xfId="1344"/>
    <cellStyle name="Cálculo 2 3 5 3" xfId="1345"/>
    <cellStyle name="Cálculo 2 3 5 3 10" xfId="1346"/>
    <cellStyle name="Cálculo 2 3 5 3 10 2" xfId="1347"/>
    <cellStyle name="Cálculo 2 3 5 3 11" xfId="1348"/>
    <cellStyle name="Cálculo 2 3 5 3 2" xfId="1349"/>
    <cellStyle name="Cálculo 2 3 5 3 2 2" xfId="1350"/>
    <cellStyle name="Cálculo 2 3 5 3 3" xfId="1351"/>
    <cellStyle name="Cálculo 2 3 5 3 3 2" xfId="1352"/>
    <cellStyle name="Cálculo 2 3 5 3 4" xfId="1353"/>
    <cellStyle name="Cálculo 2 3 5 3 4 2" xfId="1354"/>
    <cellStyle name="Cálculo 2 3 5 3 5" xfId="1355"/>
    <cellStyle name="Cálculo 2 3 5 3 5 2" xfId="1356"/>
    <cellStyle name="Cálculo 2 3 5 3 6" xfId="1357"/>
    <cellStyle name="Cálculo 2 3 5 3 6 2" xfId="1358"/>
    <cellStyle name="Cálculo 2 3 5 3 7" xfId="1359"/>
    <cellStyle name="Cálculo 2 3 5 3 7 2" xfId="1360"/>
    <cellStyle name="Cálculo 2 3 5 3 8" xfId="1361"/>
    <cellStyle name="Cálculo 2 3 5 3 8 2" xfId="1362"/>
    <cellStyle name="Cálculo 2 3 5 3 9" xfId="1363"/>
    <cellStyle name="Cálculo 2 3 5 3 9 2" xfId="1364"/>
    <cellStyle name="Cálculo 2 3 5 4" xfId="1365"/>
    <cellStyle name="Cálculo 2 3 5 4 2" xfId="1366"/>
    <cellStyle name="Cálculo 2 3 5 5" xfId="1367"/>
    <cellStyle name="Cálculo 2 3 5 5 2" xfId="1368"/>
    <cellStyle name="Cálculo 2 3 5 6" xfId="1369"/>
    <cellStyle name="Cálculo 2 3 5 6 2" xfId="1370"/>
    <cellStyle name="Cálculo 2 3 5 7" xfId="1371"/>
    <cellStyle name="Cálculo 2 3 5 7 2" xfId="1372"/>
    <cellStyle name="Cálculo 2 3 5 8" xfId="1373"/>
    <cellStyle name="Cálculo 2 3 5 8 2" xfId="1374"/>
    <cellStyle name="Cálculo 2 3 5 9" xfId="1375"/>
    <cellStyle name="Cálculo 2 3 5 9 2" xfId="1376"/>
    <cellStyle name="Cálculo 2 3 6" xfId="1377"/>
    <cellStyle name="Cálculo 2 3 6 2" xfId="1378"/>
    <cellStyle name="Cálculo 2 3 7" xfId="1379"/>
    <cellStyle name="Cálculo 2 3 7 2" xfId="1380"/>
    <cellStyle name="Cálculo 2 3 8" xfId="1381"/>
    <cellStyle name="Cálculo 2 3 8 2" xfId="1382"/>
    <cellStyle name="Cálculo 2 3 9" xfId="1383"/>
    <cellStyle name="Cálculo 2 3 9 2" xfId="1384"/>
    <cellStyle name="Cálculo 2 4" xfId="1385"/>
    <cellStyle name="Cálculo 2 4 10" xfId="1386"/>
    <cellStyle name="Cálculo 2 4 10 2" xfId="1387"/>
    <cellStyle name="Cálculo 2 4 11" xfId="1388"/>
    <cellStyle name="Cálculo 2 4 11 2" xfId="1389"/>
    <cellStyle name="Cálculo 2 4 12" xfId="1390"/>
    <cellStyle name="Cálculo 2 4 12 2" xfId="1391"/>
    <cellStyle name="Cálculo 2 4 13" xfId="1392"/>
    <cellStyle name="Cálculo 2 4 13 2" xfId="1393"/>
    <cellStyle name="Cálculo 2 4 14" xfId="1394"/>
    <cellStyle name="Cálculo 2 4 14 2" xfId="1395"/>
    <cellStyle name="Cálculo 2 4 15" xfId="1396"/>
    <cellStyle name="Cálculo 2 4 2" xfId="1397"/>
    <cellStyle name="Cálculo 2 4 2 10" xfId="1398"/>
    <cellStyle name="Cálculo 2 4 2 10 2" xfId="1399"/>
    <cellStyle name="Cálculo 2 4 2 11" xfId="1400"/>
    <cellStyle name="Cálculo 2 4 2 11 2" xfId="1401"/>
    <cellStyle name="Cálculo 2 4 2 12" xfId="1402"/>
    <cellStyle name="Cálculo 2 4 2 12 2" xfId="1403"/>
    <cellStyle name="Cálculo 2 4 2 13" xfId="1404"/>
    <cellStyle name="Cálculo 2 4 2 2" xfId="1405"/>
    <cellStyle name="Cálculo 2 4 2 2 10" xfId="1406"/>
    <cellStyle name="Cálculo 2 4 2 2 10 2" xfId="1407"/>
    <cellStyle name="Cálculo 2 4 2 2 11" xfId="1408"/>
    <cellStyle name="Cálculo 2 4 2 2 2" xfId="1409"/>
    <cellStyle name="Cálculo 2 4 2 2 2 2" xfId="1410"/>
    <cellStyle name="Cálculo 2 4 2 2 3" xfId="1411"/>
    <cellStyle name="Cálculo 2 4 2 2 3 2" xfId="1412"/>
    <cellStyle name="Cálculo 2 4 2 2 4" xfId="1413"/>
    <cellStyle name="Cálculo 2 4 2 2 4 2" xfId="1414"/>
    <cellStyle name="Cálculo 2 4 2 2 5" xfId="1415"/>
    <cellStyle name="Cálculo 2 4 2 2 5 2" xfId="1416"/>
    <cellStyle name="Cálculo 2 4 2 2 6" xfId="1417"/>
    <cellStyle name="Cálculo 2 4 2 2 6 2" xfId="1418"/>
    <cellStyle name="Cálculo 2 4 2 2 7" xfId="1419"/>
    <cellStyle name="Cálculo 2 4 2 2 7 2" xfId="1420"/>
    <cellStyle name="Cálculo 2 4 2 2 8" xfId="1421"/>
    <cellStyle name="Cálculo 2 4 2 2 8 2" xfId="1422"/>
    <cellStyle name="Cálculo 2 4 2 2 9" xfId="1423"/>
    <cellStyle name="Cálculo 2 4 2 2 9 2" xfId="1424"/>
    <cellStyle name="Cálculo 2 4 2 3" xfId="1425"/>
    <cellStyle name="Cálculo 2 4 2 3 10" xfId="1426"/>
    <cellStyle name="Cálculo 2 4 2 3 10 2" xfId="1427"/>
    <cellStyle name="Cálculo 2 4 2 3 11" xfId="1428"/>
    <cellStyle name="Cálculo 2 4 2 3 2" xfId="1429"/>
    <cellStyle name="Cálculo 2 4 2 3 2 2" xfId="1430"/>
    <cellStyle name="Cálculo 2 4 2 3 3" xfId="1431"/>
    <cellStyle name="Cálculo 2 4 2 3 3 2" xfId="1432"/>
    <cellStyle name="Cálculo 2 4 2 3 4" xfId="1433"/>
    <cellStyle name="Cálculo 2 4 2 3 4 2" xfId="1434"/>
    <cellStyle name="Cálculo 2 4 2 3 5" xfId="1435"/>
    <cellStyle name="Cálculo 2 4 2 3 5 2" xfId="1436"/>
    <cellStyle name="Cálculo 2 4 2 3 6" xfId="1437"/>
    <cellStyle name="Cálculo 2 4 2 3 6 2" xfId="1438"/>
    <cellStyle name="Cálculo 2 4 2 3 7" xfId="1439"/>
    <cellStyle name="Cálculo 2 4 2 3 7 2" xfId="1440"/>
    <cellStyle name="Cálculo 2 4 2 3 8" xfId="1441"/>
    <cellStyle name="Cálculo 2 4 2 3 8 2" xfId="1442"/>
    <cellStyle name="Cálculo 2 4 2 3 9" xfId="1443"/>
    <cellStyle name="Cálculo 2 4 2 3 9 2" xfId="1444"/>
    <cellStyle name="Cálculo 2 4 2 4" xfId="1445"/>
    <cellStyle name="Cálculo 2 4 2 4 2" xfId="1446"/>
    <cellStyle name="Cálculo 2 4 2 5" xfId="1447"/>
    <cellStyle name="Cálculo 2 4 2 5 2" xfId="1448"/>
    <cellStyle name="Cálculo 2 4 2 6" xfId="1449"/>
    <cellStyle name="Cálculo 2 4 2 6 2" xfId="1450"/>
    <cellStyle name="Cálculo 2 4 2 7" xfId="1451"/>
    <cellStyle name="Cálculo 2 4 2 7 2" xfId="1452"/>
    <cellStyle name="Cálculo 2 4 2 8" xfId="1453"/>
    <cellStyle name="Cálculo 2 4 2 8 2" xfId="1454"/>
    <cellStyle name="Cálculo 2 4 2 9" xfId="1455"/>
    <cellStyle name="Cálculo 2 4 2 9 2" xfId="1456"/>
    <cellStyle name="Cálculo 2 4 3" xfId="1457"/>
    <cellStyle name="Cálculo 2 4 3 10" xfId="1458"/>
    <cellStyle name="Cálculo 2 4 3 10 2" xfId="1459"/>
    <cellStyle name="Cálculo 2 4 3 11" xfId="1460"/>
    <cellStyle name="Cálculo 2 4 3 11 2" xfId="1461"/>
    <cellStyle name="Cálculo 2 4 3 12" xfId="1462"/>
    <cellStyle name="Cálculo 2 4 3 12 2" xfId="1463"/>
    <cellStyle name="Cálculo 2 4 3 13" xfId="1464"/>
    <cellStyle name="Cálculo 2 4 3 2" xfId="1465"/>
    <cellStyle name="Cálculo 2 4 3 2 10" xfId="1466"/>
    <cellStyle name="Cálculo 2 4 3 2 10 2" xfId="1467"/>
    <cellStyle name="Cálculo 2 4 3 2 11" xfId="1468"/>
    <cellStyle name="Cálculo 2 4 3 2 2" xfId="1469"/>
    <cellStyle name="Cálculo 2 4 3 2 2 2" xfId="1470"/>
    <cellStyle name="Cálculo 2 4 3 2 3" xfId="1471"/>
    <cellStyle name="Cálculo 2 4 3 2 3 2" xfId="1472"/>
    <cellStyle name="Cálculo 2 4 3 2 4" xfId="1473"/>
    <cellStyle name="Cálculo 2 4 3 2 4 2" xfId="1474"/>
    <cellStyle name="Cálculo 2 4 3 2 5" xfId="1475"/>
    <cellStyle name="Cálculo 2 4 3 2 5 2" xfId="1476"/>
    <cellStyle name="Cálculo 2 4 3 2 6" xfId="1477"/>
    <cellStyle name="Cálculo 2 4 3 2 6 2" xfId="1478"/>
    <cellStyle name="Cálculo 2 4 3 2 7" xfId="1479"/>
    <cellStyle name="Cálculo 2 4 3 2 7 2" xfId="1480"/>
    <cellStyle name="Cálculo 2 4 3 2 8" xfId="1481"/>
    <cellStyle name="Cálculo 2 4 3 2 8 2" xfId="1482"/>
    <cellStyle name="Cálculo 2 4 3 2 9" xfId="1483"/>
    <cellStyle name="Cálculo 2 4 3 2 9 2" xfId="1484"/>
    <cellStyle name="Cálculo 2 4 3 3" xfId="1485"/>
    <cellStyle name="Cálculo 2 4 3 3 10" xfId="1486"/>
    <cellStyle name="Cálculo 2 4 3 3 10 2" xfId="1487"/>
    <cellStyle name="Cálculo 2 4 3 3 11" xfId="1488"/>
    <cellStyle name="Cálculo 2 4 3 3 2" xfId="1489"/>
    <cellStyle name="Cálculo 2 4 3 3 2 2" xfId="1490"/>
    <cellStyle name="Cálculo 2 4 3 3 3" xfId="1491"/>
    <cellStyle name="Cálculo 2 4 3 3 3 2" xfId="1492"/>
    <cellStyle name="Cálculo 2 4 3 3 4" xfId="1493"/>
    <cellStyle name="Cálculo 2 4 3 3 4 2" xfId="1494"/>
    <cellStyle name="Cálculo 2 4 3 3 5" xfId="1495"/>
    <cellStyle name="Cálculo 2 4 3 3 5 2" xfId="1496"/>
    <cellStyle name="Cálculo 2 4 3 3 6" xfId="1497"/>
    <cellStyle name="Cálculo 2 4 3 3 6 2" xfId="1498"/>
    <cellStyle name="Cálculo 2 4 3 3 7" xfId="1499"/>
    <cellStyle name="Cálculo 2 4 3 3 7 2" xfId="1500"/>
    <cellStyle name="Cálculo 2 4 3 3 8" xfId="1501"/>
    <cellStyle name="Cálculo 2 4 3 3 8 2" xfId="1502"/>
    <cellStyle name="Cálculo 2 4 3 3 9" xfId="1503"/>
    <cellStyle name="Cálculo 2 4 3 3 9 2" xfId="1504"/>
    <cellStyle name="Cálculo 2 4 3 4" xfId="1505"/>
    <cellStyle name="Cálculo 2 4 3 4 2" xfId="1506"/>
    <cellStyle name="Cálculo 2 4 3 5" xfId="1507"/>
    <cellStyle name="Cálculo 2 4 3 5 2" xfId="1508"/>
    <cellStyle name="Cálculo 2 4 3 6" xfId="1509"/>
    <cellStyle name="Cálculo 2 4 3 6 2" xfId="1510"/>
    <cellStyle name="Cálculo 2 4 3 7" xfId="1511"/>
    <cellStyle name="Cálculo 2 4 3 7 2" xfId="1512"/>
    <cellStyle name="Cálculo 2 4 3 8" xfId="1513"/>
    <cellStyle name="Cálculo 2 4 3 8 2" xfId="1514"/>
    <cellStyle name="Cálculo 2 4 3 9" xfId="1515"/>
    <cellStyle name="Cálculo 2 4 3 9 2" xfId="1516"/>
    <cellStyle name="Cálculo 2 4 4" xfId="1517"/>
    <cellStyle name="Cálculo 2 4 4 10" xfId="1518"/>
    <cellStyle name="Cálculo 2 4 4 10 2" xfId="1519"/>
    <cellStyle name="Cálculo 2 4 4 11" xfId="1520"/>
    <cellStyle name="Cálculo 2 4 4 2" xfId="1521"/>
    <cellStyle name="Cálculo 2 4 4 2 2" xfId="1522"/>
    <cellStyle name="Cálculo 2 4 4 3" xfId="1523"/>
    <cellStyle name="Cálculo 2 4 4 3 2" xfId="1524"/>
    <cellStyle name="Cálculo 2 4 4 4" xfId="1525"/>
    <cellStyle name="Cálculo 2 4 4 4 2" xfId="1526"/>
    <cellStyle name="Cálculo 2 4 4 5" xfId="1527"/>
    <cellStyle name="Cálculo 2 4 4 5 2" xfId="1528"/>
    <cellStyle name="Cálculo 2 4 4 6" xfId="1529"/>
    <cellStyle name="Cálculo 2 4 4 6 2" xfId="1530"/>
    <cellStyle name="Cálculo 2 4 4 7" xfId="1531"/>
    <cellStyle name="Cálculo 2 4 4 7 2" xfId="1532"/>
    <cellStyle name="Cálculo 2 4 4 8" xfId="1533"/>
    <cellStyle name="Cálculo 2 4 4 8 2" xfId="1534"/>
    <cellStyle name="Cálculo 2 4 4 9" xfId="1535"/>
    <cellStyle name="Cálculo 2 4 4 9 2" xfId="1536"/>
    <cellStyle name="Cálculo 2 4 5" xfId="1537"/>
    <cellStyle name="Cálculo 2 4 5 10" xfId="1538"/>
    <cellStyle name="Cálculo 2 4 5 10 2" xfId="1539"/>
    <cellStyle name="Cálculo 2 4 5 11" xfId="1540"/>
    <cellStyle name="Cálculo 2 4 5 2" xfId="1541"/>
    <cellStyle name="Cálculo 2 4 5 2 2" xfId="1542"/>
    <cellStyle name="Cálculo 2 4 5 3" xfId="1543"/>
    <cellStyle name="Cálculo 2 4 5 3 2" xfId="1544"/>
    <cellStyle name="Cálculo 2 4 5 4" xfId="1545"/>
    <cellStyle name="Cálculo 2 4 5 4 2" xfId="1546"/>
    <cellStyle name="Cálculo 2 4 5 5" xfId="1547"/>
    <cellStyle name="Cálculo 2 4 5 5 2" xfId="1548"/>
    <cellStyle name="Cálculo 2 4 5 6" xfId="1549"/>
    <cellStyle name="Cálculo 2 4 5 6 2" xfId="1550"/>
    <cellStyle name="Cálculo 2 4 5 7" xfId="1551"/>
    <cellStyle name="Cálculo 2 4 5 7 2" xfId="1552"/>
    <cellStyle name="Cálculo 2 4 5 8" xfId="1553"/>
    <cellStyle name="Cálculo 2 4 5 8 2" xfId="1554"/>
    <cellStyle name="Cálculo 2 4 5 9" xfId="1555"/>
    <cellStyle name="Cálculo 2 4 5 9 2" xfId="1556"/>
    <cellStyle name="Cálculo 2 4 6" xfId="1557"/>
    <cellStyle name="Cálculo 2 4 6 2" xfId="1558"/>
    <cellStyle name="Cálculo 2 4 7" xfId="1559"/>
    <cellStyle name="Cálculo 2 4 7 2" xfId="1560"/>
    <cellStyle name="Cálculo 2 4 8" xfId="1561"/>
    <cellStyle name="Cálculo 2 4 8 2" xfId="1562"/>
    <cellStyle name="Cálculo 2 4 9" xfId="1563"/>
    <cellStyle name="Cálculo 2 4 9 2" xfId="1564"/>
    <cellStyle name="Cálculo 2 5" xfId="1565"/>
    <cellStyle name="Cálculo 2 5 10" xfId="1566"/>
    <cellStyle name="Cálculo 2 5 10 2" xfId="1567"/>
    <cellStyle name="Cálculo 2 5 11" xfId="1568"/>
    <cellStyle name="Cálculo 2 5 11 2" xfId="1569"/>
    <cellStyle name="Cálculo 2 5 12" xfId="1570"/>
    <cellStyle name="Cálculo 2 5 12 2" xfId="1571"/>
    <cellStyle name="Cálculo 2 5 13" xfId="1572"/>
    <cellStyle name="Cálculo 2 5 13 2" xfId="1573"/>
    <cellStyle name="Cálculo 2 5 14" xfId="1574"/>
    <cellStyle name="Cálculo 2 5 14 2" xfId="1575"/>
    <cellStyle name="Cálculo 2 5 15" xfId="1576"/>
    <cellStyle name="Cálculo 2 5 2" xfId="1577"/>
    <cellStyle name="Cálculo 2 5 2 10" xfId="1578"/>
    <cellStyle name="Cálculo 2 5 2 10 2" xfId="1579"/>
    <cellStyle name="Cálculo 2 5 2 11" xfId="1580"/>
    <cellStyle name="Cálculo 2 5 2 11 2" xfId="1581"/>
    <cellStyle name="Cálculo 2 5 2 12" xfId="1582"/>
    <cellStyle name="Cálculo 2 5 2 12 2" xfId="1583"/>
    <cellStyle name="Cálculo 2 5 2 13" xfId="1584"/>
    <cellStyle name="Cálculo 2 5 2 2" xfId="1585"/>
    <cellStyle name="Cálculo 2 5 2 2 10" xfId="1586"/>
    <cellStyle name="Cálculo 2 5 2 2 10 2" xfId="1587"/>
    <cellStyle name="Cálculo 2 5 2 2 11" xfId="1588"/>
    <cellStyle name="Cálculo 2 5 2 2 2" xfId="1589"/>
    <cellStyle name="Cálculo 2 5 2 2 2 2" xfId="1590"/>
    <cellStyle name="Cálculo 2 5 2 2 3" xfId="1591"/>
    <cellStyle name="Cálculo 2 5 2 2 3 2" xfId="1592"/>
    <cellStyle name="Cálculo 2 5 2 2 4" xfId="1593"/>
    <cellStyle name="Cálculo 2 5 2 2 4 2" xfId="1594"/>
    <cellStyle name="Cálculo 2 5 2 2 5" xfId="1595"/>
    <cellStyle name="Cálculo 2 5 2 2 5 2" xfId="1596"/>
    <cellStyle name="Cálculo 2 5 2 2 6" xfId="1597"/>
    <cellStyle name="Cálculo 2 5 2 2 6 2" xfId="1598"/>
    <cellStyle name="Cálculo 2 5 2 2 7" xfId="1599"/>
    <cellStyle name="Cálculo 2 5 2 2 7 2" xfId="1600"/>
    <cellStyle name="Cálculo 2 5 2 2 8" xfId="1601"/>
    <cellStyle name="Cálculo 2 5 2 2 8 2" xfId="1602"/>
    <cellStyle name="Cálculo 2 5 2 2 9" xfId="1603"/>
    <cellStyle name="Cálculo 2 5 2 2 9 2" xfId="1604"/>
    <cellStyle name="Cálculo 2 5 2 3" xfId="1605"/>
    <cellStyle name="Cálculo 2 5 2 3 10" xfId="1606"/>
    <cellStyle name="Cálculo 2 5 2 3 10 2" xfId="1607"/>
    <cellStyle name="Cálculo 2 5 2 3 11" xfId="1608"/>
    <cellStyle name="Cálculo 2 5 2 3 2" xfId="1609"/>
    <cellStyle name="Cálculo 2 5 2 3 2 2" xfId="1610"/>
    <cellStyle name="Cálculo 2 5 2 3 3" xfId="1611"/>
    <cellStyle name="Cálculo 2 5 2 3 3 2" xfId="1612"/>
    <cellStyle name="Cálculo 2 5 2 3 4" xfId="1613"/>
    <cellStyle name="Cálculo 2 5 2 3 4 2" xfId="1614"/>
    <cellStyle name="Cálculo 2 5 2 3 5" xfId="1615"/>
    <cellStyle name="Cálculo 2 5 2 3 5 2" xfId="1616"/>
    <cellStyle name="Cálculo 2 5 2 3 6" xfId="1617"/>
    <cellStyle name="Cálculo 2 5 2 3 6 2" xfId="1618"/>
    <cellStyle name="Cálculo 2 5 2 3 7" xfId="1619"/>
    <cellStyle name="Cálculo 2 5 2 3 7 2" xfId="1620"/>
    <cellStyle name="Cálculo 2 5 2 3 8" xfId="1621"/>
    <cellStyle name="Cálculo 2 5 2 3 8 2" xfId="1622"/>
    <cellStyle name="Cálculo 2 5 2 3 9" xfId="1623"/>
    <cellStyle name="Cálculo 2 5 2 3 9 2" xfId="1624"/>
    <cellStyle name="Cálculo 2 5 2 4" xfId="1625"/>
    <cellStyle name="Cálculo 2 5 2 4 2" xfId="1626"/>
    <cellStyle name="Cálculo 2 5 2 5" xfId="1627"/>
    <cellStyle name="Cálculo 2 5 2 5 2" xfId="1628"/>
    <cellStyle name="Cálculo 2 5 2 6" xfId="1629"/>
    <cellStyle name="Cálculo 2 5 2 6 2" xfId="1630"/>
    <cellStyle name="Cálculo 2 5 2 7" xfId="1631"/>
    <cellStyle name="Cálculo 2 5 2 7 2" xfId="1632"/>
    <cellStyle name="Cálculo 2 5 2 8" xfId="1633"/>
    <cellStyle name="Cálculo 2 5 2 8 2" xfId="1634"/>
    <cellStyle name="Cálculo 2 5 2 9" xfId="1635"/>
    <cellStyle name="Cálculo 2 5 2 9 2" xfId="1636"/>
    <cellStyle name="Cálculo 2 5 3" xfId="1637"/>
    <cellStyle name="Cálculo 2 5 3 10" xfId="1638"/>
    <cellStyle name="Cálculo 2 5 3 10 2" xfId="1639"/>
    <cellStyle name="Cálculo 2 5 3 11" xfId="1640"/>
    <cellStyle name="Cálculo 2 5 3 11 2" xfId="1641"/>
    <cellStyle name="Cálculo 2 5 3 12" xfId="1642"/>
    <cellStyle name="Cálculo 2 5 3 12 2" xfId="1643"/>
    <cellStyle name="Cálculo 2 5 3 13" xfId="1644"/>
    <cellStyle name="Cálculo 2 5 3 2" xfId="1645"/>
    <cellStyle name="Cálculo 2 5 3 2 10" xfId="1646"/>
    <cellStyle name="Cálculo 2 5 3 2 10 2" xfId="1647"/>
    <cellStyle name="Cálculo 2 5 3 2 11" xfId="1648"/>
    <cellStyle name="Cálculo 2 5 3 2 2" xfId="1649"/>
    <cellStyle name="Cálculo 2 5 3 2 2 2" xfId="1650"/>
    <cellStyle name="Cálculo 2 5 3 2 3" xfId="1651"/>
    <cellStyle name="Cálculo 2 5 3 2 3 2" xfId="1652"/>
    <cellStyle name="Cálculo 2 5 3 2 4" xfId="1653"/>
    <cellStyle name="Cálculo 2 5 3 2 4 2" xfId="1654"/>
    <cellStyle name="Cálculo 2 5 3 2 5" xfId="1655"/>
    <cellStyle name="Cálculo 2 5 3 2 5 2" xfId="1656"/>
    <cellStyle name="Cálculo 2 5 3 2 6" xfId="1657"/>
    <cellStyle name="Cálculo 2 5 3 2 6 2" xfId="1658"/>
    <cellStyle name="Cálculo 2 5 3 2 7" xfId="1659"/>
    <cellStyle name="Cálculo 2 5 3 2 7 2" xfId="1660"/>
    <cellStyle name="Cálculo 2 5 3 2 8" xfId="1661"/>
    <cellStyle name="Cálculo 2 5 3 2 8 2" xfId="1662"/>
    <cellStyle name="Cálculo 2 5 3 2 9" xfId="1663"/>
    <cellStyle name="Cálculo 2 5 3 2 9 2" xfId="1664"/>
    <cellStyle name="Cálculo 2 5 3 3" xfId="1665"/>
    <cellStyle name="Cálculo 2 5 3 3 10" xfId="1666"/>
    <cellStyle name="Cálculo 2 5 3 3 10 2" xfId="1667"/>
    <cellStyle name="Cálculo 2 5 3 3 11" xfId="1668"/>
    <cellStyle name="Cálculo 2 5 3 3 2" xfId="1669"/>
    <cellStyle name="Cálculo 2 5 3 3 2 2" xfId="1670"/>
    <cellStyle name="Cálculo 2 5 3 3 3" xfId="1671"/>
    <cellStyle name="Cálculo 2 5 3 3 3 2" xfId="1672"/>
    <cellStyle name="Cálculo 2 5 3 3 4" xfId="1673"/>
    <cellStyle name="Cálculo 2 5 3 3 4 2" xfId="1674"/>
    <cellStyle name="Cálculo 2 5 3 3 5" xfId="1675"/>
    <cellStyle name="Cálculo 2 5 3 3 5 2" xfId="1676"/>
    <cellStyle name="Cálculo 2 5 3 3 6" xfId="1677"/>
    <cellStyle name="Cálculo 2 5 3 3 6 2" xfId="1678"/>
    <cellStyle name="Cálculo 2 5 3 3 7" xfId="1679"/>
    <cellStyle name="Cálculo 2 5 3 3 7 2" xfId="1680"/>
    <cellStyle name="Cálculo 2 5 3 3 8" xfId="1681"/>
    <cellStyle name="Cálculo 2 5 3 3 8 2" xfId="1682"/>
    <cellStyle name="Cálculo 2 5 3 3 9" xfId="1683"/>
    <cellStyle name="Cálculo 2 5 3 3 9 2" xfId="1684"/>
    <cellStyle name="Cálculo 2 5 3 4" xfId="1685"/>
    <cellStyle name="Cálculo 2 5 3 4 2" xfId="1686"/>
    <cellStyle name="Cálculo 2 5 3 5" xfId="1687"/>
    <cellStyle name="Cálculo 2 5 3 5 2" xfId="1688"/>
    <cellStyle name="Cálculo 2 5 3 6" xfId="1689"/>
    <cellStyle name="Cálculo 2 5 3 6 2" xfId="1690"/>
    <cellStyle name="Cálculo 2 5 3 7" xfId="1691"/>
    <cellStyle name="Cálculo 2 5 3 7 2" xfId="1692"/>
    <cellStyle name="Cálculo 2 5 3 8" xfId="1693"/>
    <cellStyle name="Cálculo 2 5 3 8 2" xfId="1694"/>
    <cellStyle name="Cálculo 2 5 3 9" xfId="1695"/>
    <cellStyle name="Cálculo 2 5 3 9 2" xfId="1696"/>
    <cellStyle name="Cálculo 2 5 4" xfId="1697"/>
    <cellStyle name="Cálculo 2 5 4 10" xfId="1698"/>
    <cellStyle name="Cálculo 2 5 4 10 2" xfId="1699"/>
    <cellStyle name="Cálculo 2 5 4 11" xfId="1700"/>
    <cellStyle name="Cálculo 2 5 4 2" xfId="1701"/>
    <cellStyle name="Cálculo 2 5 4 2 2" xfId="1702"/>
    <cellStyle name="Cálculo 2 5 4 3" xfId="1703"/>
    <cellStyle name="Cálculo 2 5 4 3 2" xfId="1704"/>
    <cellStyle name="Cálculo 2 5 4 4" xfId="1705"/>
    <cellStyle name="Cálculo 2 5 4 4 2" xfId="1706"/>
    <cellStyle name="Cálculo 2 5 4 5" xfId="1707"/>
    <cellStyle name="Cálculo 2 5 4 5 2" xfId="1708"/>
    <cellStyle name="Cálculo 2 5 4 6" xfId="1709"/>
    <cellStyle name="Cálculo 2 5 4 6 2" xfId="1710"/>
    <cellStyle name="Cálculo 2 5 4 7" xfId="1711"/>
    <cellStyle name="Cálculo 2 5 4 7 2" xfId="1712"/>
    <cellStyle name="Cálculo 2 5 4 8" xfId="1713"/>
    <cellStyle name="Cálculo 2 5 4 8 2" xfId="1714"/>
    <cellStyle name="Cálculo 2 5 4 9" xfId="1715"/>
    <cellStyle name="Cálculo 2 5 4 9 2" xfId="1716"/>
    <cellStyle name="Cálculo 2 5 5" xfId="1717"/>
    <cellStyle name="Cálculo 2 5 5 10" xfId="1718"/>
    <cellStyle name="Cálculo 2 5 5 10 2" xfId="1719"/>
    <cellStyle name="Cálculo 2 5 5 11" xfId="1720"/>
    <cellStyle name="Cálculo 2 5 5 2" xfId="1721"/>
    <cellStyle name="Cálculo 2 5 5 2 2" xfId="1722"/>
    <cellStyle name="Cálculo 2 5 5 3" xfId="1723"/>
    <cellStyle name="Cálculo 2 5 5 3 2" xfId="1724"/>
    <cellStyle name="Cálculo 2 5 5 4" xfId="1725"/>
    <cellStyle name="Cálculo 2 5 5 4 2" xfId="1726"/>
    <cellStyle name="Cálculo 2 5 5 5" xfId="1727"/>
    <cellStyle name="Cálculo 2 5 5 5 2" xfId="1728"/>
    <cellStyle name="Cálculo 2 5 5 6" xfId="1729"/>
    <cellStyle name="Cálculo 2 5 5 6 2" xfId="1730"/>
    <cellStyle name="Cálculo 2 5 5 7" xfId="1731"/>
    <cellStyle name="Cálculo 2 5 5 7 2" xfId="1732"/>
    <cellStyle name="Cálculo 2 5 5 8" xfId="1733"/>
    <cellStyle name="Cálculo 2 5 5 8 2" xfId="1734"/>
    <cellStyle name="Cálculo 2 5 5 9" xfId="1735"/>
    <cellStyle name="Cálculo 2 5 5 9 2" xfId="1736"/>
    <cellStyle name="Cálculo 2 5 6" xfId="1737"/>
    <cellStyle name="Cálculo 2 5 6 2" xfId="1738"/>
    <cellStyle name="Cálculo 2 5 7" xfId="1739"/>
    <cellStyle name="Cálculo 2 5 7 2" xfId="1740"/>
    <cellStyle name="Cálculo 2 5 8" xfId="1741"/>
    <cellStyle name="Cálculo 2 5 8 2" xfId="1742"/>
    <cellStyle name="Cálculo 2 5 9" xfId="1743"/>
    <cellStyle name="Cálculo 2 5 9 2" xfId="1744"/>
    <cellStyle name="Cálculo 2 6" xfId="1745"/>
    <cellStyle name="Cálculo 2 6 10" xfId="1746"/>
    <cellStyle name="Cálculo 2 6 10 2" xfId="1747"/>
    <cellStyle name="Cálculo 2 6 11" xfId="1748"/>
    <cellStyle name="Cálculo 2 6 11 2" xfId="1749"/>
    <cellStyle name="Cálculo 2 6 12" xfId="1750"/>
    <cellStyle name="Cálculo 2 6 12 2" xfId="1751"/>
    <cellStyle name="Cálculo 2 6 13" xfId="1752"/>
    <cellStyle name="Cálculo 2 6 13 2" xfId="1753"/>
    <cellStyle name="Cálculo 2 6 14" xfId="1754"/>
    <cellStyle name="Cálculo 2 6 14 2" xfId="1755"/>
    <cellStyle name="Cálculo 2 6 15" xfId="1756"/>
    <cellStyle name="Cálculo 2 6 2" xfId="1757"/>
    <cellStyle name="Cálculo 2 6 2 10" xfId="1758"/>
    <cellStyle name="Cálculo 2 6 2 10 2" xfId="1759"/>
    <cellStyle name="Cálculo 2 6 2 11" xfId="1760"/>
    <cellStyle name="Cálculo 2 6 2 11 2" xfId="1761"/>
    <cellStyle name="Cálculo 2 6 2 12" xfId="1762"/>
    <cellStyle name="Cálculo 2 6 2 12 2" xfId="1763"/>
    <cellStyle name="Cálculo 2 6 2 13" xfId="1764"/>
    <cellStyle name="Cálculo 2 6 2 2" xfId="1765"/>
    <cellStyle name="Cálculo 2 6 2 2 10" xfId="1766"/>
    <cellStyle name="Cálculo 2 6 2 2 10 2" xfId="1767"/>
    <cellStyle name="Cálculo 2 6 2 2 11" xfId="1768"/>
    <cellStyle name="Cálculo 2 6 2 2 2" xfId="1769"/>
    <cellStyle name="Cálculo 2 6 2 2 2 2" xfId="1770"/>
    <cellStyle name="Cálculo 2 6 2 2 3" xfId="1771"/>
    <cellStyle name="Cálculo 2 6 2 2 3 2" xfId="1772"/>
    <cellStyle name="Cálculo 2 6 2 2 4" xfId="1773"/>
    <cellStyle name="Cálculo 2 6 2 2 4 2" xfId="1774"/>
    <cellStyle name="Cálculo 2 6 2 2 5" xfId="1775"/>
    <cellStyle name="Cálculo 2 6 2 2 5 2" xfId="1776"/>
    <cellStyle name="Cálculo 2 6 2 2 6" xfId="1777"/>
    <cellStyle name="Cálculo 2 6 2 2 6 2" xfId="1778"/>
    <cellStyle name="Cálculo 2 6 2 2 7" xfId="1779"/>
    <cellStyle name="Cálculo 2 6 2 2 7 2" xfId="1780"/>
    <cellStyle name="Cálculo 2 6 2 2 8" xfId="1781"/>
    <cellStyle name="Cálculo 2 6 2 2 8 2" xfId="1782"/>
    <cellStyle name="Cálculo 2 6 2 2 9" xfId="1783"/>
    <cellStyle name="Cálculo 2 6 2 2 9 2" xfId="1784"/>
    <cellStyle name="Cálculo 2 6 2 3" xfId="1785"/>
    <cellStyle name="Cálculo 2 6 2 3 10" xfId="1786"/>
    <cellStyle name="Cálculo 2 6 2 3 10 2" xfId="1787"/>
    <cellStyle name="Cálculo 2 6 2 3 11" xfId="1788"/>
    <cellStyle name="Cálculo 2 6 2 3 2" xfId="1789"/>
    <cellStyle name="Cálculo 2 6 2 3 2 2" xfId="1790"/>
    <cellStyle name="Cálculo 2 6 2 3 3" xfId="1791"/>
    <cellStyle name="Cálculo 2 6 2 3 3 2" xfId="1792"/>
    <cellStyle name="Cálculo 2 6 2 3 4" xfId="1793"/>
    <cellStyle name="Cálculo 2 6 2 3 4 2" xfId="1794"/>
    <cellStyle name="Cálculo 2 6 2 3 5" xfId="1795"/>
    <cellStyle name="Cálculo 2 6 2 3 5 2" xfId="1796"/>
    <cellStyle name="Cálculo 2 6 2 3 6" xfId="1797"/>
    <cellStyle name="Cálculo 2 6 2 3 6 2" xfId="1798"/>
    <cellStyle name="Cálculo 2 6 2 3 7" xfId="1799"/>
    <cellStyle name="Cálculo 2 6 2 3 7 2" xfId="1800"/>
    <cellStyle name="Cálculo 2 6 2 3 8" xfId="1801"/>
    <cellStyle name="Cálculo 2 6 2 3 8 2" xfId="1802"/>
    <cellStyle name="Cálculo 2 6 2 3 9" xfId="1803"/>
    <cellStyle name="Cálculo 2 6 2 3 9 2" xfId="1804"/>
    <cellStyle name="Cálculo 2 6 2 4" xfId="1805"/>
    <cellStyle name="Cálculo 2 6 2 4 2" xfId="1806"/>
    <cellStyle name="Cálculo 2 6 2 5" xfId="1807"/>
    <cellStyle name="Cálculo 2 6 2 5 2" xfId="1808"/>
    <cellStyle name="Cálculo 2 6 2 6" xfId="1809"/>
    <cellStyle name="Cálculo 2 6 2 6 2" xfId="1810"/>
    <cellStyle name="Cálculo 2 6 2 7" xfId="1811"/>
    <cellStyle name="Cálculo 2 6 2 7 2" xfId="1812"/>
    <cellStyle name="Cálculo 2 6 2 8" xfId="1813"/>
    <cellStyle name="Cálculo 2 6 2 8 2" xfId="1814"/>
    <cellStyle name="Cálculo 2 6 2 9" xfId="1815"/>
    <cellStyle name="Cálculo 2 6 2 9 2" xfId="1816"/>
    <cellStyle name="Cálculo 2 6 3" xfId="1817"/>
    <cellStyle name="Cálculo 2 6 3 10" xfId="1818"/>
    <cellStyle name="Cálculo 2 6 3 10 2" xfId="1819"/>
    <cellStyle name="Cálculo 2 6 3 11" xfId="1820"/>
    <cellStyle name="Cálculo 2 6 3 11 2" xfId="1821"/>
    <cellStyle name="Cálculo 2 6 3 12" xfId="1822"/>
    <cellStyle name="Cálculo 2 6 3 12 2" xfId="1823"/>
    <cellStyle name="Cálculo 2 6 3 13" xfId="1824"/>
    <cellStyle name="Cálculo 2 6 3 2" xfId="1825"/>
    <cellStyle name="Cálculo 2 6 3 2 10" xfId="1826"/>
    <cellStyle name="Cálculo 2 6 3 2 10 2" xfId="1827"/>
    <cellStyle name="Cálculo 2 6 3 2 11" xfId="1828"/>
    <cellStyle name="Cálculo 2 6 3 2 2" xfId="1829"/>
    <cellStyle name="Cálculo 2 6 3 2 2 2" xfId="1830"/>
    <cellStyle name="Cálculo 2 6 3 2 3" xfId="1831"/>
    <cellStyle name="Cálculo 2 6 3 2 3 2" xfId="1832"/>
    <cellStyle name="Cálculo 2 6 3 2 4" xfId="1833"/>
    <cellStyle name="Cálculo 2 6 3 2 4 2" xfId="1834"/>
    <cellStyle name="Cálculo 2 6 3 2 5" xfId="1835"/>
    <cellStyle name="Cálculo 2 6 3 2 5 2" xfId="1836"/>
    <cellStyle name="Cálculo 2 6 3 2 6" xfId="1837"/>
    <cellStyle name="Cálculo 2 6 3 2 6 2" xfId="1838"/>
    <cellStyle name="Cálculo 2 6 3 2 7" xfId="1839"/>
    <cellStyle name="Cálculo 2 6 3 2 7 2" xfId="1840"/>
    <cellStyle name="Cálculo 2 6 3 2 8" xfId="1841"/>
    <cellStyle name="Cálculo 2 6 3 2 8 2" xfId="1842"/>
    <cellStyle name="Cálculo 2 6 3 2 9" xfId="1843"/>
    <cellStyle name="Cálculo 2 6 3 2 9 2" xfId="1844"/>
    <cellStyle name="Cálculo 2 6 3 3" xfId="1845"/>
    <cellStyle name="Cálculo 2 6 3 3 10" xfId="1846"/>
    <cellStyle name="Cálculo 2 6 3 3 10 2" xfId="1847"/>
    <cellStyle name="Cálculo 2 6 3 3 11" xfId="1848"/>
    <cellStyle name="Cálculo 2 6 3 3 2" xfId="1849"/>
    <cellStyle name="Cálculo 2 6 3 3 2 2" xfId="1850"/>
    <cellStyle name="Cálculo 2 6 3 3 3" xfId="1851"/>
    <cellStyle name="Cálculo 2 6 3 3 3 2" xfId="1852"/>
    <cellStyle name="Cálculo 2 6 3 3 4" xfId="1853"/>
    <cellStyle name="Cálculo 2 6 3 3 4 2" xfId="1854"/>
    <cellStyle name="Cálculo 2 6 3 3 5" xfId="1855"/>
    <cellStyle name="Cálculo 2 6 3 3 5 2" xfId="1856"/>
    <cellStyle name="Cálculo 2 6 3 3 6" xfId="1857"/>
    <cellStyle name="Cálculo 2 6 3 3 6 2" xfId="1858"/>
    <cellStyle name="Cálculo 2 6 3 3 7" xfId="1859"/>
    <cellStyle name="Cálculo 2 6 3 3 7 2" xfId="1860"/>
    <cellStyle name="Cálculo 2 6 3 3 8" xfId="1861"/>
    <cellStyle name="Cálculo 2 6 3 3 8 2" xfId="1862"/>
    <cellStyle name="Cálculo 2 6 3 3 9" xfId="1863"/>
    <cellStyle name="Cálculo 2 6 3 3 9 2" xfId="1864"/>
    <cellStyle name="Cálculo 2 6 3 4" xfId="1865"/>
    <cellStyle name="Cálculo 2 6 3 4 2" xfId="1866"/>
    <cellStyle name="Cálculo 2 6 3 5" xfId="1867"/>
    <cellStyle name="Cálculo 2 6 3 5 2" xfId="1868"/>
    <cellStyle name="Cálculo 2 6 3 6" xfId="1869"/>
    <cellStyle name="Cálculo 2 6 3 6 2" xfId="1870"/>
    <cellStyle name="Cálculo 2 6 3 7" xfId="1871"/>
    <cellStyle name="Cálculo 2 6 3 7 2" xfId="1872"/>
    <cellStyle name="Cálculo 2 6 3 8" xfId="1873"/>
    <cellStyle name="Cálculo 2 6 3 8 2" xfId="1874"/>
    <cellStyle name="Cálculo 2 6 3 9" xfId="1875"/>
    <cellStyle name="Cálculo 2 6 3 9 2" xfId="1876"/>
    <cellStyle name="Cálculo 2 6 4" xfId="1877"/>
    <cellStyle name="Cálculo 2 6 4 10" xfId="1878"/>
    <cellStyle name="Cálculo 2 6 4 10 2" xfId="1879"/>
    <cellStyle name="Cálculo 2 6 4 11" xfId="1880"/>
    <cellStyle name="Cálculo 2 6 4 2" xfId="1881"/>
    <cellStyle name="Cálculo 2 6 4 2 2" xfId="1882"/>
    <cellStyle name="Cálculo 2 6 4 3" xfId="1883"/>
    <cellStyle name="Cálculo 2 6 4 3 2" xfId="1884"/>
    <cellStyle name="Cálculo 2 6 4 4" xfId="1885"/>
    <cellStyle name="Cálculo 2 6 4 4 2" xfId="1886"/>
    <cellStyle name="Cálculo 2 6 4 5" xfId="1887"/>
    <cellStyle name="Cálculo 2 6 4 5 2" xfId="1888"/>
    <cellStyle name="Cálculo 2 6 4 6" xfId="1889"/>
    <cellStyle name="Cálculo 2 6 4 6 2" xfId="1890"/>
    <cellStyle name="Cálculo 2 6 4 7" xfId="1891"/>
    <cellStyle name="Cálculo 2 6 4 7 2" xfId="1892"/>
    <cellStyle name="Cálculo 2 6 4 8" xfId="1893"/>
    <cellStyle name="Cálculo 2 6 4 8 2" xfId="1894"/>
    <cellStyle name="Cálculo 2 6 4 9" xfId="1895"/>
    <cellStyle name="Cálculo 2 6 4 9 2" xfId="1896"/>
    <cellStyle name="Cálculo 2 6 5" xfId="1897"/>
    <cellStyle name="Cálculo 2 6 5 10" xfId="1898"/>
    <cellStyle name="Cálculo 2 6 5 10 2" xfId="1899"/>
    <cellStyle name="Cálculo 2 6 5 11" xfId="1900"/>
    <cellStyle name="Cálculo 2 6 5 2" xfId="1901"/>
    <cellStyle name="Cálculo 2 6 5 2 2" xfId="1902"/>
    <cellStyle name="Cálculo 2 6 5 3" xfId="1903"/>
    <cellStyle name="Cálculo 2 6 5 3 2" xfId="1904"/>
    <cellStyle name="Cálculo 2 6 5 4" xfId="1905"/>
    <cellStyle name="Cálculo 2 6 5 4 2" xfId="1906"/>
    <cellStyle name="Cálculo 2 6 5 5" xfId="1907"/>
    <cellStyle name="Cálculo 2 6 5 5 2" xfId="1908"/>
    <cellStyle name="Cálculo 2 6 5 6" xfId="1909"/>
    <cellStyle name="Cálculo 2 6 5 6 2" xfId="1910"/>
    <cellStyle name="Cálculo 2 6 5 7" xfId="1911"/>
    <cellStyle name="Cálculo 2 6 5 7 2" xfId="1912"/>
    <cellStyle name="Cálculo 2 6 5 8" xfId="1913"/>
    <cellStyle name="Cálculo 2 6 5 8 2" xfId="1914"/>
    <cellStyle name="Cálculo 2 6 5 9" xfId="1915"/>
    <cellStyle name="Cálculo 2 6 5 9 2" xfId="1916"/>
    <cellStyle name="Cálculo 2 6 6" xfId="1917"/>
    <cellStyle name="Cálculo 2 6 6 2" xfId="1918"/>
    <cellStyle name="Cálculo 2 6 7" xfId="1919"/>
    <cellStyle name="Cálculo 2 6 7 2" xfId="1920"/>
    <cellStyle name="Cálculo 2 6 8" xfId="1921"/>
    <cellStyle name="Cálculo 2 6 8 2" xfId="1922"/>
    <cellStyle name="Cálculo 2 6 9" xfId="1923"/>
    <cellStyle name="Cálculo 2 6 9 2" xfId="1924"/>
    <cellStyle name="Cálculo 2 7" xfId="1925"/>
    <cellStyle name="Cálculo 2 7 10" xfId="1926"/>
    <cellStyle name="Cálculo 2 7 10 2" xfId="1927"/>
    <cellStyle name="Cálculo 2 7 11" xfId="1928"/>
    <cellStyle name="Cálculo 2 7 11 2" xfId="1929"/>
    <cellStyle name="Cálculo 2 7 12" xfId="1930"/>
    <cellStyle name="Cálculo 2 7 12 2" xfId="1931"/>
    <cellStyle name="Cálculo 2 7 13" xfId="1932"/>
    <cellStyle name="Cálculo 2 7 2" xfId="1933"/>
    <cellStyle name="Cálculo 2 7 2 10" xfId="1934"/>
    <cellStyle name="Cálculo 2 7 2 10 2" xfId="1935"/>
    <cellStyle name="Cálculo 2 7 2 11" xfId="1936"/>
    <cellStyle name="Cálculo 2 7 2 2" xfId="1937"/>
    <cellStyle name="Cálculo 2 7 2 2 2" xfId="1938"/>
    <cellStyle name="Cálculo 2 7 2 3" xfId="1939"/>
    <cellStyle name="Cálculo 2 7 2 3 2" xfId="1940"/>
    <cellStyle name="Cálculo 2 7 2 4" xfId="1941"/>
    <cellStyle name="Cálculo 2 7 2 4 2" xfId="1942"/>
    <cellStyle name="Cálculo 2 7 2 5" xfId="1943"/>
    <cellStyle name="Cálculo 2 7 2 5 2" xfId="1944"/>
    <cellStyle name="Cálculo 2 7 2 6" xfId="1945"/>
    <cellStyle name="Cálculo 2 7 2 6 2" xfId="1946"/>
    <cellStyle name="Cálculo 2 7 2 7" xfId="1947"/>
    <cellStyle name="Cálculo 2 7 2 7 2" xfId="1948"/>
    <cellStyle name="Cálculo 2 7 2 8" xfId="1949"/>
    <cellStyle name="Cálculo 2 7 2 8 2" xfId="1950"/>
    <cellStyle name="Cálculo 2 7 2 9" xfId="1951"/>
    <cellStyle name="Cálculo 2 7 2 9 2" xfId="1952"/>
    <cellStyle name="Cálculo 2 7 3" xfId="1953"/>
    <cellStyle name="Cálculo 2 7 3 10" xfId="1954"/>
    <cellStyle name="Cálculo 2 7 3 10 2" xfId="1955"/>
    <cellStyle name="Cálculo 2 7 3 11" xfId="1956"/>
    <cellStyle name="Cálculo 2 7 3 2" xfId="1957"/>
    <cellStyle name="Cálculo 2 7 3 2 2" xfId="1958"/>
    <cellStyle name="Cálculo 2 7 3 3" xfId="1959"/>
    <cellStyle name="Cálculo 2 7 3 3 2" xfId="1960"/>
    <cellStyle name="Cálculo 2 7 3 4" xfId="1961"/>
    <cellStyle name="Cálculo 2 7 3 4 2" xfId="1962"/>
    <cellStyle name="Cálculo 2 7 3 5" xfId="1963"/>
    <cellStyle name="Cálculo 2 7 3 5 2" xfId="1964"/>
    <cellStyle name="Cálculo 2 7 3 6" xfId="1965"/>
    <cellStyle name="Cálculo 2 7 3 6 2" xfId="1966"/>
    <cellStyle name="Cálculo 2 7 3 7" xfId="1967"/>
    <cellStyle name="Cálculo 2 7 3 7 2" xfId="1968"/>
    <cellStyle name="Cálculo 2 7 3 8" xfId="1969"/>
    <cellStyle name="Cálculo 2 7 3 8 2" xfId="1970"/>
    <cellStyle name="Cálculo 2 7 3 9" xfId="1971"/>
    <cellStyle name="Cálculo 2 7 3 9 2" xfId="1972"/>
    <cellStyle name="Cálculo 2 7 4" xfId="1973"/>
    <cellStyle name="Cálculo 2 7 4 2" xfId="1974"/>
    <cellStyle name="Cálculo 2 7 5" xfId="1975"/>
    <cellStyle name="Cálculo 2 7 5 2" xfId="1976"/>
    <cellStyle name="Cálculo 2 7 6" xfId="1977"/>
    <cellStyle name="Cálculo 2 7 6 2" xfId="1978"/>
    <cellStyle name="Cálculo 2 7 7" xfId="1979"/>
    <cellStyle name="Cálculo 2 7 7 2" xfId="1980"/>
    <cellStyle name="Cálculo 2 7 8" xfId="1981"/>
    <cellStyle name="Cálculo 2 7 8 2" xfId="1982"/>
    <cellStyle name="Cálculo 2 7 9" xfId="1983"/>
    <cellStyle name="Cálculo 2 7 9 2" xfId="1984"/>
    <cellStyle name="Cálculo 2 8" xfId="1985"/>
    <cellStyle name="Cálculo 2 8 10" xfId="1986"/>
    <cellStyle name="Cálculo 2 8 10 2" xfId="1987"/>
    <cellStyle name="Cálculo 2 8 11" xfId="1988"/>
    <cellStyle name="Cálculo 2 8 11 2" xfId="1989"/>
    <cellStyle name="Cálculo 2 8 12" xfId="1990"/>
    <cellStyle name="Cálculo 2 8 12 2" xfId="1991"/>
    <cellStyle name="Cálculo 2 8 13" xfId="1992"/>
    <cellStyle name="Cálculo 2 8 2" xfId="1993"/>
    <cellStyle name="Cálculo 2 8 2 10" xfId="1994"/>
    <cellStyle name="Cálculo 2 8 2 10 2" xfId="1995"/>
    <cellStyle name="Cálculo 2 8 2 11" xfId="1996"/>
    <cellStyle name="Cálculo 2 8 2 2" xfId="1997"/>
    <cellStyle name="Cálculo 2 8 2 2 2" xfId="1998"/>
    <cellStyle name="Cálculo 2 8 2 3" xfId="1999"/>
    <cellStyle name="Cálculo 2 8 2 3 2" xfId="2000"/>
    <cellStyle name="Cálculo 2 8 2 4" xfId="2001"/>
    <cellStyle name="Cálculo 2 8 2 4 2" xfId="2002"/>
    <cellStyle name="Cálculo 2 8 2 5" xfId="2003"/>
    <cellStyle name="Cálculo 2 8 2 5 2" xfId="2004"/>
    <cellStyle name="Cálculo 2 8 2 6" xfId="2005"/>
    <cellStyle name="Cálculo 2 8 2 6 2" xfId="2006"/>
    <cellStyle name="Cálculo 2 8 2 7" xfId="2007"/>
    <cellStyle name="Cálculo 2 8 2 7 2" xfId="2008"/>
    <cellStyle name="Cálculo 2 8 2 8" xfId="2009"/>
    <cellStyle name="Cálculo 2 8 2 8 2" xfId="2010"/>
    <cellStyle name="Cálculo 2 8 2 9" xfId="2011"/>
    <cellStyle name="Cálculo 2 8 2 9 2" xfId="2012"/>
    <cellStyle name="Cálculo 2 8 3" xfId="2013"/>
    <cellStyle name="Cálculo 2 8 3 10" xfId="2014"/>
    <cellStyle name="Cálculo 2 8 3 10 2" xfId="2015"/>
    <cellStyle name="Cálculo 2 8 3 11" xfId="2016"/>
    <cellStyle name="Cálculo 2 8 3 2" xfId="2017"/>
    <cellStyle name="Cálculo 2 8 3 2 2" xfId="2018"/>
    <cellStyle name="Cálculo 2 8 3 3" xfId="2019"/>
    <cellStyle name="Cálculo 2 8 3 3 2" xfId="2020"/>
    <cellStyle name="Cálculo 2 8 3 4" xfId="2021"/>
    <cellStyle name="Cálculo 2 8 3 4 2" xfId="2022"/>
    <cellStyle name="Cálculo 2 8 3 5" xfId="2023"/>
    <cellStyle name="Cálculo 2 8 3 5 2" xfId="2024"/>
    <cellStyle name="Cálculo 2 8 3 6" xfId="2025"/>
    <cellStyle name="Cálculo 2 8 3 6 2" xfId="2026"/>
    <cellStyle name="Cálculo 2 8 3 7" xfId="2027"/>
    <cellStyle name="Cálculo 2 8 3 7 2" xfId="2028"/>
    <cellStyle name="Cálculo 2 8 3 8" xfId="2029"/>
    <cellStyle name="Cálculo 2 8 3 8 2" xfId="2030"/>
    <cellStyle name="Cálculo 2 8 3 9" xfId="2031"/>
    <cellStyle name="Cálculo 2 8 3 9 2" xfId="2032"/>
    <cellStyle name="Cálculo 2 8 4" xfId="2033"/>
    <cellStyle name="Cálculo 2 8 4 2" xfId="2034"/>
    <cellStyle name="Cálculo 2 8 5" xfId="2035"/>
    <cellStyle name="Cálculo 2 8 5 2" xfId="2036"/>
    <cellStyle name="Cálculo 2 8 6" xfId="2037"/>
    <cellStyle name="Cálculo 2 8 6 2" xfId="2038"/>
    <cellStyle name="Cálculo 2 8 7" xfId="2039"/>
    <cellStyle name="Cálculo 2 8 7 2" xfId="2040"/>
    <cellStyle name="Cálculo 2 8 8" xfId="2041"/>
    <cellStyle name="Cálculo 2 8 8 2" xfId="2042"/>
    <cellStyle name="Cálculo 2 8 9" xfId="2043"/>
    <cellStyle name="Cálculo 2 8 9 2" xfId="2044"/>
    <cellStyle name="Cálculo 2 9" xfId="2045"/>
    <cellStyle name="Cálculo 2 9 2" xfId="2046"/>
    <cellStyle name="Cálculo 3" xfId="100"/>
    <cellStyle name="Cálculo 3 10" xfId="2047"/>
    <cellStyle name="Cálculo 3 10 2" xfId="2048"/>
    <cellStyle name="Cálculo 3 11" xfId="2049"/>
    <cellStyle name="Cálculo 3 11 2" xfId="2050"/>
    <cellStyle name="Cálculo 3 12" xfId="2051"/>
    <cellStyle name="Cálculo 3 12 2" xfId="2052"/>
    <cellStyle name="Cálculo 3 13" xfId="2053"/>
    <cellStyle name="Cálculo 3 13 2" xfId="2054"/>
    <cellStyle name="Cálculo 3 14" xfId="2055"/>
    <cellStyle name="Cálculo 3 14 2" xfId="2056"/>
    <cellStyle name="Cálculo 3 15" xfId="2057"/>
    <cellStyle name="Cálculo 3 16" xfId="2058"/>
    <cellStyle name="Cálculo 3 17" xfId="2059"/>
    <cellStyle name="Cálculo 3 2" xfId="2060"/>
    <cellStyle name="Cálculo 3 2 10" xfId="2061"/>
    <cellStyle name="Cálculo 3 2 10 2" xfId="2062"/>
    <cellStyle name="Cálculo 3 2 11" xfId="2063"/>
    <cellStyle name="Cálculo 3 2 11 2" xfId="2064"/>
    <cellStyle name="Cálculo 3 2 12" xfId="2065"/>
    <cellStyle name="Cálculo 3 2 12 2" xfId="2066"/>
    <cellStyle name="Cálculo 3 2 13" xfId="2067"/>
    <cellStyle name="Cálculo 3 2 13 2" xfId="2068"/>
    <cellStyle name="Cálculo 3 2 14" xfId="2069"/>
    <cellStyle name="Cálculo 3 2 14 2" xfId="2070"/>
    <cellStyle name="Cálculo 3 2 15" xfId="2071"/>
    <cellStyle name="Cálculo 3 2 2" xfId="2072"/>
    <cellStyle name="Cálculo 3 2 2 10" xfId="2073"/>
    <cellStyle name="Cálculo 3 2 2 10 2" xfId="2074"/>
    <cellStyle name="Cálculo 3 2 2 11" xfId="2075"/>
    <cellStyle name="Cálculo 3 2 2 11 2" xfId="2076"/>
    <cellStyle name="Cálculo 3 2 2 12" xfId="2077"/>
    <cellStyle name="Cálculo 3 2 2 12 2" xfId="2078"/>
    <cellStyle name="Cálculo 3 2 2 13" xfId="2079"/>
    <cellStyle name="Cálculo 3 2 2 2" xfId="2080"/>
    <cellStyle name="Cálculo 3 2 2 2 10" xfId="2081"/>
    <cellStyle name="Cálculo 3 2 2 2 10 2" xfId="2082"/>
    <cellStyle name="Cálculo 3 2 2 2 11" xfId="2083"/>
    <cellStyle name="Cálculo 3 2 2 2 2" xfId="2084"/>
    <cellStyle name="Cálculo 3 2 2 2 2 2" xfId="2085"/>
    <cellStyle name="Cálculo 3 2 2 2 3" xfId="2086"/>
    <cellStyle name="Cálculo 3 2 2 2 3 2" xfId="2087"/>
    <cellStyle name="Cálculo 3 2 2 2 4" xfId="2088"/>
    <cellStyle name="Cálculo 3 2 2 2 4 2" xfId="2089"/>
    <cellStyle name="Cálculo 3 2 2 2 5" xfId="2090"/>
    <cellStyle name="Cálculo 3 2 2 2 5 2" xfId="2091"/>
    <cellStyle name="Cálculo 3 2 2 2 6" xfId="2092"/>
    <cellStyle name="Cálculo 3 2 2 2 6 2" xfId="2093"/>
    <cellStyle name="Cálculo 3 2 2 2 7" xfId="2094"/>
    <cellStyle name="Cálculo 3 2 2 2 7 2" xfId="2095"/>
    <cellStyle name="Cálculo 3 2 2 2 8" xfId="2096"/>
    <cellStyle name="Cálculo 3 2 2 2 8 2" xfId="2097"/>
    <cellStyle name="Cálculo 3 2 2 2 9" xfId="2098"/>
    <cellStyle name="Cálculo 3 2 2 2 9 2" xfId="2099"/>
    <cellStyle name="Cálculo 3 2 2 3" xfId="2100"/>
    <cellStyle name="Cálculo 3 2 2 3 10" xfId="2101"/>
    <cellStyle name="Cálculo 3 2 2 3 10 2" xfId="2102"/>
    <cellStyle name="Cálculo 3 2 2 3 11" xfId="2103"/>
    <cellStyle name="Cálculo 3 2 2 3 2" xfId="2104"/>
    <cellStyle name="Cálculo 3 2 2 3 2 2" xfId="2105"/>
    <cellStyle name="Cálculo 3 2 2 3 3" xfId="2106"/>
    <cellStyle name="Cálculo 3 2 2 3 3 2" xfId="2107"/>
    <cellStyle name="Cálculo 3 2 2 3 4" xfId="2108"/>
    <cellStyle name="Cálculo 3 2 2 3 4 2" xfId="2109"/>
    <cellStyle name="Cálculo 3 2 2 3 5" xfId="2110"/>
    <cellStyle name="Cálculo 3 2 2 3 5 2" xfId="2111"/>
    <cellStyle name="Cálculo 3 2 2 3 6" xfId="2112"/>
    <cellStyle name="Cálculo 3 2 2 3 6 2" xfId="2113"/>
    <cellStyle name="Cálculo 3 2 2 3 7" xfId="2114"/>
    <cellStyle name="Cálculo 3 2 2 3 7 2" xfId="2115"/>
    <cellStyle name="Cálculo 3 2 2 3 8" xfId="2116"/>
    <cellStyle name="Cálculo 3 2 2 3 8 2" xfId="2117"/>
    <cellStyle name="Cálculo 3 2 2 3 9" xfId="2118"/>
    <cellStyle name="Cálculo 3 2 2 3 9 2" xfId="2119"/>
    <cellStyle name="Cálculo 3 2 2 4" xfId="2120"/>
    <cellStyle name="Cálculo 3 2 2 4 2" xfId="2121"/>
    <cellStyle name="Cálculo 3 2 2 5" xfId="2122"/>
    <cellStyle name="Cálculo 3 2 2 5 2" xfId="2123"/>
    <cellStyle name="Cálculo 3 2 2 6" xfId="2124"/>
    <cellStyle name="Cálculo 3 2 2 6 2" xfId="2125"/>
    <cellStyle name="Cálculo 3 2 2 7" xfId="2126"/>
    <cellStyle name="Cálculo 3 2 2 7 2" xfId="2127"/>
    <cellStyle name="Cálculo 3 2 2 8" xfId="2128"/>
    <cellStyle name="Cálculo 3 2 2 8 2" xfId="2129"/>
    <cellStyle name="Cálculo 3 2 2 9" xfId="2130"/>
    <cellStyle name="Cálculo 3 2 2 9 2" xfId="2131"/>
    <cellStyle name="Cálculo 3 2 3" xfId="2132"/>
    <cellStyle name="Cálculo 3 2 3 10" xfId="2133"/>
    <cellStyle name="Cálculo 3 2 3 10 2" xfId="2134"/>
    <cellStyle name="Cálculo 3 2 3 11" xfId="2135"/>
    <cellStyle name="Cálculo 3 2 3 11 2" xfId="2136"/>
    <cellStyle name="Cálculo 3 2 3 12" xfId="2137"/>
    <cellStyle name="Cálculo 3 2 3 12 2" xfId="2138"/>
    <cellStyle name="Cálculo 3 2 3 13" xfId="2139"/>
    <cellStyle name="Cálculo 3 2 3 2" xfId="2140"/>
    <cellStyle name="Cálculo 3 2 3 2 10" xfId="2141"/>
    <cellStyle name="Cálculo 3 2 3 2 10 2" xfId="2142"/>
    <cellStyle name="Cálculo 3 2 3 2 11" xfId="2143"/>
    <cellStyle name="Cálculo 3 2 3 2 2" xfId="2144"/>
    <cellStyle name="Cálculo 3 2 3 2 2 2" xfId="2145"/>
    <cellStyle name="Cálculo 3 2 3 2 3" xfId="2146"/>
    <cellStyle name="Cálculo 3 2 3 2 3 2" xfId="2147"/>
    <cellStyle name="Cálculo 3 2 3 2 4" xfId="2148"/>
    <cellStyle name="Cálculo 3 2 3 2 4 2" xfId="2149"/>
    <cellStyle name="Cálculo 3 2 3 2 5" xfId="2150"/>
    <cellStyle name="Cálculo 3 2 3 2 5 2" xfId="2151"/>
    <cellStyle name="Cálculo 3 2 3 2 6" xfId="2152"/>
    <cellStyle name="Cálculo 3 2 3 2 6 2" xfId="2153"/>
    <cellStyle name="Cálculo 3 2 3 2 7" xfId="2154"/>
    <cellStyle name="Cálculo 3 2 3 2 7 2" xfId="2155"/>
    <cellStyle name="Cálculo 3 2 3 2 8" xfId="2156"/>
    <cellStyle name="Cálculo 3 2 3 2 8 2" xfId="2157"/>
    <cellStyle name="Cálculo 3 2 3 2 9" xfId="2158"/>
    <cellStyle name="Cálculo 3 2 3 2 9 2" xfId="2159"/>
    <cellStyle name="Cálculo 3 2 3 3" xfId="2160"/>
    <cellStyle name="Cálculo 3 2 3 3 10" xfId="2161"/>
    <cellStyle name="Cálculo 3 2 3 3 10 2" xfId="2162"/>
    <cellStyle name="Cálculo 3 2 3 3 11" xfId="2163"/>
    <cellStyle name="Cálculo 3 2 3 3 2" xfId="2164"/>
    <cellStyle name="Cálculo 3 2 3 3 2 2" xfId="2165"/>
    <cellStyle name="Cálculo 3 2 3 3 3" xfId="2166"/>
    <cellStyle name="Cálculo 3 2 3 3 3 2" xfId="2167"/>
    <cellStyle name="Cálculo 3 2 3 3 4" xfId="2168"/>
    <cellStyle name="Cálculo 3 2 3 3 4 2" xfId="2169"/>
    <cellStyle name="Cálculo 3 2 3 3 5" xfId="2170"/>
    <cellStyle name="Cálculo 3 2 3 3 5 2" xfId="2171"/>
    <cellStyle name="Cálculo 3 2 3 3 6" xfId="2172"/>
    <cellStyle name="Cálculo 3 2 3 3 6 2" xfId="2173"/>
    <cellStyle name="Cálculo 3 2 3 3 7" xfId="2174"/>
    <cellStyle name="Cálculo 3 2 3 3 7 2" xfId="2175"/>
    <cellStyle name="Cálculo 3 2 3 3 8" xfId="2176"/>
    <cellStyle name="Cálculo 3 2 3 3 8 2" xfId="2177"/>
    <cellStyle name="Cálculo 3 2 3 3 9" xfId="2178"/>
    <cellStyle name="Cálculo 3 2 3 3 9 2" xfId="2179"/>
    <cellStyle name="Cálculo 3 2 3 4" xfId="2180"/>
    <cellStyle name="Cálculo 3 2 3 4 2" xfId="2181"/>
    <cellStyle name="Cálculo 3 2 3 5" xfId="2182"/>
    <cellStyle name="Cálculo 3 2 3 5 2" xfId="2183"/>
    <cellStyle name="Cálculo 3 2 3 6" xfId="2184"/>
    <cellStyle name="Cálculo 3 2 3 6 2" xfId="2185"/>
    <cellStyle name="Cálculo 3 2 3 7" xfId="2186"/>
    <cellStyle name="Cálculo 3 2 3 7 2" xfId="2187"/>
    <cellStyle name="Cálculo 3 2 3 8" xfId="2188"/>
    <cellStyle name="Cálculo 3 2 3 8 2" xfId="2189"/>
    <cellStyle name="Cálculo 3 2 3 9" xfId="2190"/>
    <cellStyle name="Cálculo 3 2 3 9 2" xfId="2191"/>
    <cellStyle name="Cálculo 3 2 4" xfId="2192"/>
    <cellStyle name="Cálculo 3 2 4 10" xfId="2193"/>
    <cellStyle name="Cálculo 3 2 4 10 2" xfId="2194"/>
    <cellStyle name="Cálculo 3 2 4 11" xfId="2195"/>
    <cellStyle name="Cálculo 3 2 4 2" xfId="2196"/>
    <cellStyle name="Cálculo 3 2 4 2 2" xfId="2197"/>
    <cellStyle name="Cálculo 3 2 4 3" xfId="2198"/>
    <cellStyle name="Cálculo 3 2 4 3 2" xfId="2199"/>
    <cellStyle name="Cálculo 3 2 4 4" xfId="2200"/>
    <cellStyle name="Cálculo 3 2 4 4 2" xfId="2201"/>
    <cellStyle name="Cálculo 3 2 4 5" xfId="2202"/>
    <cellStyle name="Cálculo 3 2 4 5 2" xfId="2203"/>
    <cellStyle name="Cálculo 3 2 4 6" xfId="2204"/>
    <cellStyle name="Cálculo 3 2 4 6 2" xfId="2205"/>
    <cellStyle name="Cálculo 3 2 4 7" xfId="2206"/>
    <cellStyle name="Cálculo 3 2 4 7 2" xfId="2207"/>
    <cellStyle name="Cálculo 3 2 4 8" xfId="2208"/>
    <cellStyle name="Cálculo 3 2 4 8 2" xfId="2209"/>
    <cellStyle name="Cálculo 3 2 4 9" xfId="2210"/>
    <cellStyle name="Cálculo 3 2 4 9 2" xfId="2211"/>
    <cellStyle name="Cálculo 3 2 5" xfId="2212"/>
    <cellStyle name="Cálculo 3 2 5 10" xfId="2213"/>
    <cellStyle name="Cálculo 3 2 5 10 2" xfId="2214"/>
    <cellStyle name="Cálculo 3 2 5 11" xfId="2215"/>
    <cellStyle name="Cálculo 3 2 5 2" xfId="2216"/>
    <cellStyle name="Cálculo 3 2 5 2 2" xfId="2217"/>
    <cellStyle name="Cálculo 3 2 5 3" xfId="2218"/>
    <cellStyle name="Cálculo 3 2 5 3 2" xfId="2219"/>
    <cellStyle name="Cálculo 3 2 5 4" xfId="2220"/>
    <cellStyle name="Cálculo 3 2 5 4 2" xfId="2221"/>
    <cellStyle name="Cálculo 3 2 5 5" xfId="2222"/>
    <cellStyle name="Cálculo 3 2 5 5 2" xfId="2223"/>
    <cellStyle name="Cálculo 3 2 5 6" xfId="2224"/>
    <cellStyle name="Cálculo 3 2 5 6 2" xfId="2225"/>
    <cellStyle name="Cálculo 3 2 5 7" xfId="2226"/>
    <cellStyle name="Cálculo 3 2 5 7 2" xfId="2227"/>
    <cellStyle name="Cálculo 3 2 5 8" xfId="2228"/>
    <cellStyle name="Cálculo 3 2 5 8 2" xfId="2229"/>
    <cellStyle name="Cálculo 3 2 5 9" xfId="2230"/>
    <cellStyle name="Cálculo 3 2 5 9 2" xfId="2231"/>
    <cellStyle name="Cálculo 3 2 6" xfId="2232"/>
    <cellStyle name="Cálculo 3 2 6 2" xfId="2233"/>
    <cellStyle name="Cálculo 3 2 7" xfId="2234"/>
    <cellStyle name="Cálculo 3 2 7 2" xfId="2235"/>
    <cellStyle name="Cálculo 3 2 8" xfId="2236"/>
    <cellStyle name="Cálculo 3 2 8 2" xfId="2237"/>
    <cellStyle name="Cálculo 3 2 9" xfId="2238"/>
    <cellStyle name="Cálculo 3 2 9 2" xfId="2239"/>
    <cellStyle name="Cálculo 3 3" xfId="2240"/>
    <cellStyle name="Cálculo 3 3 10" xfId="2241"/>
    <cellStyle name="Cálculo 3 3 10 2" xfId="2242"/>
    <cellStyle name="Cálculo 3 3 11" xfId="2243"/>
    <cellStyle name="Cálculo 3 3 11 2" xfId="2244"/>
    <cellStyle name="Cálculo 3 3 12" xfId="2245"/>
    <cellStyle name="Cálculo 3 3 12 2" xfId="2246"/>
    <cellStyle name="Cálculo 3 3 13" xfId="2247"/>
    <cellStyle name="Cálculo 3 3 13 2" xfId="2248"/>
    <cellStyle name="Cálculo 3 3 14" xfId="2249"/>
    <cellStyle name="Cálculo 3 3 14 2" xfId="2250"/>
    <cellStyle name="Cálculo 3 3 15" xfId="2251"/>
    <cellStyle name="Cálculo 3 3 2" xfId="2252"/>
    <cellStyle name="Cálculo 3 3 2 10" xfId="2253"/>
    <cellStyle name="Cálculo 3 3 2 10 2" xfId="2254"/>
    <cellStyle name="Cálculo 3 3 2 11" xfId="2255"/>
    <cellStyle name="Cálculo 3 3 2 11 2" xfId="2256"/>
    <cellStyle name="Cálculo 3 3 2 12" xfId="2257"/>
    <cellStyle name="Cálculo 3 3 2 12 2" xfId="2258"/>
    <cellStyle name="Cálculo 3 3 2 13" xfId="2259"/>
    <cellStyle name="Cálculo 3 3 2 2" xfId="2260"/>
    <cellStyle name="Cálculo 3 3 2 2 10" xfId="2261"/>
    <cellStyle name="Cálculo 3 3 2 2 10 2" xfId="2262"/>
    <cellStyle name="Cálculo 3 3 2 2 11" xfId="2263"/>
    <cellStyle name="Cálculo 3 3 2 2 2" xfId="2264"/>
    <cellStyle name="Cálculo 3 3 2 2 2 2" xfId="2265"/>
    <cellStyle name="Cálculo 3 3 2 2 3" xfId="2266"/>
    <cellStyle name="Cálculo 3 3 2 2 3 2" xfId="2267"/>
    <cellStyle name="Cálculo 3 3 2 2 4" xfId="2268"/>
    <cellStyle name="Cálculo 3 3 2 2 4 2" xfId="2269"/>
    <cellStyle name="Cálculo 3 3 2 2 5" xfId="2270"/>
    <cellStyle name="Cálculo 3 3 2 2 5 2" xfId="2271"/>
    <cellStyle name="Cálculo 3 3 2 2 6" xfId="2272"/>
    <cellStyle name="Cálculo 3 3 2 2 6 2" xfId="2273"/>
    <cellStyle name="Cálculo 3 3 2 2 7" xfId="2274"/>
    <cellStyle name="Cálculo 3 3 2 2 7 2" xfId="2275"/>
    <cellStyle name="Cálculo 3 3 2 2 8" xfId="2276"/>
    <cellStyle name="Cálculo 3 3 2 2 8 2" xfId="2277"/>
    <cellStyle name="Cálculo 3 3 2 2 9" xfId="2278"/>
    <cellStyle name="Cálculo 3 3 2 2 9 2" xfId="2279"/>
    <cellStyle name="Cálculo 3 3 2 3" xfId="2280"/>
    <cellStyle name="Cálculo 3 3 2 3 10" xfId="2281"/>
    <cellStyle name="Cálculo 3 3 2 3 10 2" xfId="2282"/>
    <cellStyle name="Cálculo 3 3 2 3 11" xfId="2283"/>
    <cellStyle name="Cálculo 3 3 2 3 2" xfId="2284"/>
    <cellStyle name="Cálculo 3 3 2 3 2 2" xfId="2285"/>
    <cellStyle name="Cálculo 3 3 2 3 3" xfId="2286"/>
    <cellStyle name="Cálculo 3 3 2 3 3 2" xfId="2287"/>
    <cellStyle name="Cálculo 3 3 2 3 4" xfId="2288"/>
    <cellStyle name="Cálculo 3 3 2 3 4 2" xfId="2289"/>
    <cellStyle name="Cálculo 3 3 2 3 5" xfId="2290"/>
    <cellStyle name="Cálculo 3 3 2 3 5 2" xfId="2291"/>
    <cellStyle name="Cálculo 3 3 2 3 6" xfId="2292"/>
    <cellStyle name="Cálculo 3 3 2 3 6 2" xfId="2293"/>
    <cellStyle name="Cálculo 3 3 2 3 7" xfId="2294"/>
    <cellStyle name="Cálculo 3 3 2 3 7 2" xfId="2295"/>
    <cellStyle name="Cálculo 3 3 2 3 8" xfId="2296"/>
    <cellStyle name="Cálculo 3 3 2 3 8 2" xfId="2297"/>
    <cellStyle name="Cálculo 3 3 2 3 9" xfId="2298"/>
    <cellStyle name="Cálculo 3 3 2 3 9 2" xfId="2299"/>
    <cellStyle name="Cálculo 3 3 2 4" xfId="2300"/>
    <cellStyle name="Cálculo 3 3 2 4 2" xfId="2301"/>
    <cellStyle name="Cálculo 3 3 2 5" xfId="2302"/>
    <cellStyle name="Cálculo 3 3 2 5 2" xfId="2303"/>
    <cellStyle name="Cálculo 3 3 2 6" xfId="2304"/>
    <cellStyle name="Cálculo 3 3 2 6 2" xfId="2305"/>
    <cellStyle name="Cálculo 3 3 2 7" xfId="2306"/>
    <cellStyle name="Cálculo 3 3 2 7 2" xfId="2307"/>
    <cellStyle name="Cálculo 3 3 2 8" xfId="2308"/>
    <cellStyle name="Cálculo 3 3 2 8 2" xfId="2309"/>
    <cellStyle name="Cálculo 3 3 2 9" xfId="2310"/>
    <cellStyle name="Cálculo 3 3 2 9 2" xfId="2311"/>
    <cellStyle name="Cálculo 3 3 3" xfId="2312"/>
    <cellStyle name="Cálculo 3 3 3 10" xfId="2313"/>
    <cellStyle name="Cálculo 3 3 3 10 2" xfId="2314"/>
    <cellStyle name="Cálculo 3 3 3 11" xfId="2315"/>
    <cellStyle name="Cálculo 3 3 3 11 2" xfId="2316"/>
    <cellStyle name="Cálculo 3 3 3 12" xfId="2317"/>
    <cellStyle name="Cálculo 3 3 3 12 2" xfId="2318"/>
    <cellStyle name="Cálculo 3 3 3 13" xfId="2319"/>
    <cellStyle name="Cálculo 3 3 3 2" xfId="2320"/>
    <cellStyle name="Cálculo 3 3 3 2 10" xfId="2321"/>
    <cellStyle name="Cálculo 3 3 3 2 10 2" xfId="2322"/>
    <cellStyle name="Cálculo 3 3 3 2 11" xfId="2323"/>
    <cellStyle name="Cálculo 3 3 3 2 2" xfId="2324"/>
    <cellStyle name="Cálculo 3 3 3 2 2 2" xfId="2325"/>
    <cellStyle name="Cálculo 3 3 3 2 3" xfId="2326"/>
    <cellStyle name="Cálculo 3 3 3 2 3 2" xfId="2327"/>
    <cellStyle name="Cálculo 3 3 3 2 4" xfId="2328"/>
    <cellStyle name="Cálculo 3 3 3 2 4 2" xfId="2329"/>
    <cellStyle name="Cálculo 3 3 3 2 5" xfId="2330"/>
    <cellStyle name="Cálculo 3 3 3 2 5 2" xfId="2331"/>
    <cellStyle name="Cálculo 3 3 3 2 6" xfId="2332"/>
    <cellStyle name="Cálculo 3 3 3 2 6 2" xfId="2333"/>
    <cellStyle name="Cálculo 3 3 3 2 7" xfId="2334"/>
    <cellStyle name="Cálculo 3 3 3 2 7 2" xfId="2335"/>
    <cellStyle name="Cálculo 3 3 3 2 8" xfId="2336"/>
    <cellStyle name="Cálculo 3 3 3 2 8 2" xfId="2337"/>
    <cellStyle name="Cálculo 3 3 3 2 9" xfId="2338"/>
    <cellStyle name="Cálculo 3 3 3 2 9 2" xfId="2339"/>
    <cellStyle name="Cálculo 3 3 3 3" xfId="2340"/>
    <cellStyle name="Cálculo 3 3 3 3 10" xfId="2341"/>
    <cellStyle name="Cálculo 3 3 3 3 10 2" xfId="2342"/>
    <cellStyle name="Cálculo 3 3 3 3 11" xfId="2343"/>
    <cellStyle name="Cálculo 3 3 3 3 2" xfId="2344"/>
    <cellStyle name="Cálculo 3 3 3 3 2 2" xfId="2345"/>
    <cellStyle name="Cálculo 3 3 3 3 3" xfId="2346"/>
    <cellStyle name="Cálculo 3 3 3 3 3 2" xfId="2347"/>
    <cellStyle name="Cálculo 3 3 3 3 4" xfId="2348"/>
    <cellStyle name="Cálculo 3 3 3 3 4 2" xfId="2349"/>
    <cellStyle name="Cálculo 3 3 3 3 5" xfId="2350"/>
    <cellStyle name="Cálculo 3 3 3 3 5 2" xfId="2351"/>
    <cellStyle name="Cálculo 3 3 3 3 6" xfId="2352"/>
    <cellStyle name="Cálculo 3 3 3 3 6 2" xfId="2353"/>
    <cellStyle name="Cálculo 3 3 3 3 7" xfId="2354"/>
    <cellStyle name="Cálculo 3 3 3 3 7 2" xfId="2355"/>
    <cellStyle name="Cálculo 3 3 3 3 8" xfId="2356"/>
    <cellStyle name="Cálculo 3 3 3 3 8 2" xfId="2357"/>
    <cellStyle name="Cálculo 3 3 3 3 9" xfId="2358"/>
    <cellStyle name="Cálculo 3 3 3 3 9 2" xfId="2359"/>
    <cellStyle name="Cálculo 3 3 3 4" xfId="2360"/>
    <cellStyle name="Cálculo 3 3 3 4 2" xfId="2361"/>
    <cellStyle name="Cálculo 3 3 3 5" xfId="2362"/>
    <cellStyle name="Cálculo 3 3 3 5 2" xfId="2363"/>
    <cellStyle name="Cálculo 3 3 3 6" xfId="2364"/>
    <cellStyle name="Cálculo 3 3 3 6 2" xfId="2365"/>
    <cellStyle name="Cálculo 3 3 3 7" xfId="2366"/>
    <cellStyle name="Cálculo 3 3 3 7 2" xfId="2367"/>
    <cellStyle name="Cálculo 3 3 3 8" xfId="2368"/>
    <cellStyle name="Cálculo 3 3 3 8 2" xfId="2369"/>
    <cellStyle name="Cálculo 3 3 3 9" xfId="2370"/>
    <cellStyle name="Cálculo 3 3 3 9 2" xfId="2371"/>
    <cellStyle name="Cálculo 3 3 4" xfId="2372"/>
    <cellStyle name="Cálculo 3 3 4 10" xfId="2373"/>
    <cellStyle name="Cálculo 3 3 4 10 2" xfId="2374"/>
    <cellStyle name="Cálculo 3 3 4 11" xfId="2375"/>
    <cellStyle name="Cálculo 3 3 4 2" xfId="2376"/>
    <cellStyle name="Cálculo 3 3 4 2 2" xfId="2377"/>
    <cellStyle name="Cálculo 3 3 4 3" xfId="2378"/>
    <cellStyle name="Cálculo 3 3 4 3 2" xfId="2379"/>
    <cellStyle name="Cálculo 3 3 4 4" xfId="2380"/>
    <cellStyle name="Cálculo 3 3 4 4 2" xfId="2381"/>
    <cellStyle name="Cálculo 3 3 4 5" xfId="2382"/>
    <cellStyle name="Cálculo 3 3 4 5 2" xfId="2383"/>
    <cellStyle name="Cálculo 3 3 4 6" xfId="2384"/>
    <cellStyle name="Cálculo 3 3 4 6 2" xfId="2385"/>
    <cellStyle name="Cálculo 3 3 4 7" xfId="2386"/>
    <cellStyle name="Cálculo 3 3 4 7 2" xfId="2387"/>
    <cellStyle name="Cálculo 3 3 4 8" xfId="2388"/>
    <cellStyle name="Cálculo 3 3 4 8 2" xfId="2389"/>
    <cellStyle name="Cálculo 3 3 4 9" xfId="2390"/>
    <cellStyle name="Cálculo 3 3 4 9 2" xfId="2391"/>
    <cellStyle name="Cálculo 3 3 5" xfId="2392"/>
    <cellStyle name="Cálculo 3 3 5 10" xfId="2393"/>
    <cellStyle name="Cálculo 3 3 5 10 2" xfId="2394"/>
    <cellStyle name="Cálculo 3 3 5 11" xfId="2395"/>
    <cellStyle name="Cálculo 3 3 5 2" xfId="2396"/>
    <cellStyle name="Cálculo 3 3 5 2 2" xfId="2397"/>
    <cellStyle name="Cálculo 3 3 5 3" xfId="2398"/>
    <cellStyle name="Cálculo 3 3 5 3 2" xfId="2399"/>
    <cellStyle name="Cálculo 3 3 5 4" xfId="2400"/>
    <cellStyle name="Cálculo 3 3 5 4 2" xfId="2401"/>
    <cellStyle name="Cálculo 3 3 5 5" xfId="2402"/>
    <cellStyle name="Cálculo 3 3 5 5 2" xfId="2403"/>
    <cellStyle name="Cálculo 3 3 5 6" xfId="2404"/>
    <cellStyle name="Cálculo 3 3 5 6 2" xfId="2405"/>
    <cellStyle name="Cálculo 3 3 5 7" xfId="2406"/>
    <cellStyle name="Cálculo 3 3 5 7 2" xfId="2407"/>
    <cellStyle name="Cálculo 3 3 5 8" xfId="2408"/>
    <cellStyle name="Cálculo 3 3 5 8 2" xfId="2409"/>
    <cellStyle name="Cálculo 3 3 5 9" xfId="2410"/>
    <cellStyle name="Cálculo 3 3 5 9 2" xfId="2411"/>
    <cellStyle name="Cálculo 3 3 6" xfId="2412"/>
    <cellStyle name="Cálculo 3 3 6 2" xfId="2413"/>
    <cellStyle name="Cálculo 3 3 7" xfId="2414"/>
    <cellStyle name="Cálculo 3 3 7 2" xfId="2415"/>
    <cellStyle name="Cálculo 3 3 8" xfId="2416"/>
    <cellStyle name="Cálculo 3 3 8 2" xfId="2417"/>
    <cellStyle name="Cálculo 3 3 9" xfId="2418"/>
    <cellStyle name="Cálculo 3 3 9 2" xfId="2419"/>
    <cellStyle name="Cálculo 3 4" xfId="2420"/>
    <cellStyle name="Cálculo 3 4 10" xfId="2421"/>
    <cellStyle name="Cálculo 3 4 10 2" xfId="2422"/>
    <cellStyle name="Cálculo 3 4 11" xfId="2423"/>
    <cellStyle name="Cálculo 3 4 11 2" xfId="2424"/>
    <cellStyle name="Cálculo 3 4 12" xfId="2425"/>
    <cellStyle name="Cálculo 3 4 12 2" xfId="2426"/>
    <cellStyle name="Cálculo 3 4 13" xfId="2427"/>
    <cellStyle name="Cálculo 3 4 2" xfId="2428"/>
    <cellStyle name="Cálculo 3 4 2 10" xfId="2429"/>
    <cellStyle name="Cálculo 3 4 2 10 2" xfId="2430"/>
    <cellStyle name="Cálculo 3 4 2 11" xfId="2431"/>
    <cellStyle name="Cálculo 3 4 2 2" xfId="2432"/>
    <cellStyle name="Cálculo 3 4 2 2 2" xfId="2433"/>
    <cellStyle name="Cálculo 3 4 2 3" xfId="2434"/>
    <cellStyle name="Cálculo 3 4 2 3 2" xfId="2435"/>
    <cellStyle name="Cálculo 3 4 2 4" xfId="2436"/>
    <cellStyle name="Cálculo 3 4 2 4 2" xfId="2437"/>
    <cellStyle name="Cálculo 3 4 2 5" xfId="2438"/>
    <cellStyle name="Cálculo 3 4 2 5 2" xfId="2439"/>
    <cellStyle name="Cálculo 3 4 2 6" xfId="2440"/>
    <cellStyle name="Cálculo 3 4 2 6 2" xfId="2441"/>
    <cellStyle name="Cálculo 3 4 2 7" xfId="2442"/>
    <cellStyle name="Cálculo 3 4 2 7 2" xfId="2443"/>
    <cellStyle name="Cálculo 3 4 2 8" xfId="2444"/>
    <cellStyle name="Cálculo 3 4 2 8 2" xfId="2445"/>
    <cellStyle name="Cálculo 3 4 2 9" xfId="2446"/>
    <cellStyle name="Cálculo 3 4 2 9 2" xfId="2447"/>
    <cellStyle name="Cálculo 3 4 3" xfId="2448"/>
    <cellStyle name="Cálculo 3 4 3 10" xfId="2449"/>
    <cellStyle name="Cálculo 3 4 3 10 2" xfId="2450"/>
    <cellStyle name="Cálculo 3 4 3 11" xfId="2451"/>
    <cellStyle name="Cálculo 3 4 3 2" xfId="2452"/>
    <cellStyle name="Cálculo 3 4 3 2 2" xfId="2453"/>
    <cellStyle name="Cálculo 3 4 3 3" xfId="2454"/>
    <cellStyle name="Cálculo 3 4 3 3 2" xfId="2455"/>
    <cellStyle name="Cálculo 3 4 3 4" xfId="2456"/>
    <cellStyle name="Cálculo 3 4 3 4 2" xfId="2457"/>
    <cellStyle name="Cálculo 3 4 3 5" xfId="2458"/>
    <cellStyle name="Cálculo 3 4 3 5 2" xfId="2459"/>
    <cellStyle name="Cálculo 3 4 3 6" xfId="2460"/>
    <cellStyle name="Cálculo 3 4 3 6 2" xfId="2461"/>
    <cellStyle name="Cálculo 3 4 3 7" xfId="2462"/>
    <cellStyle name="Cálculo 3 4 3 7 2" xfId="2463"/>
    <cellStyle name="Cálculo 3 4 3 8" xfId="2464"/>
    <cellStyle name="Cálculo 3 4 3 8 2" xfId="2465"/>
    <cellStyle name="Cálculo 3 4 3 9" xfId="2466"/>
    <cellStyle name="Cálculo 3 4 3 9 2" xfId="2467"/>
    <cellStyle name="Cálculo 3 4 4" xfId="2468"/>
    <cellStyle name="Cálculo 3 4 4 2" xfId="2469"/>
    <cellStyle name="Cálculo 3 4 5" xfId="2470"/>
    <cellStyle name="Cálculo 3 4 5 2" xfId="2471"/>
    <cellStyle name="Cálculo 3 4 6" xfId="2472"/>
    <cellStyle name="Cálculo 3 4 6 2" xfId="2473"/>
    <cellStyle name="Cálculo 3 4 7" xfId="2474"/>
    <cellStyle name="Cálculo 3 4 7 2" xfId="2475"/>
    <cellStyle name="Cálculo 3 4 8" xfId="2476"/>
    <cellStyle name="Cálculo 3 4 8 2" xfId="2477"/>
    <cellStyle name="Cálculo 3 4 9" xfId="2478"/>
    <cellStyle name="Cálculo 3 4 9 2" xfId="2479"/>
    <cellStyle name="Cálculo 3 5" xfId="2480"/>
    <cellStyle name="Cálculo 3 5 10" xfId="2481"/>
    <cellStyle name="Cálculo 3 5 10 2" xfId="2482"/>
    <cellStyle name="Cálculo 3 5 11" xfId="2483"/>
    <cellStyle name="Cálculo 3 5 11 2" xfId="2484"/>
    <cellStyle name="Cálculo 3 5 12" xfId="2485"/>
    <cellStyle name="Cálculo 3 5 12 2" xfId="2486"/>
    <cellStyle name="Cálculo 3 5 13" xfId="2487"/>
    <cellStyle name="Cálculo 3 5 2" xfId="2488"/>
    <cellStyle name="Cálculo 3 5 2 10" xfId="2489"/>
    <cellStyle name="Cálculo 3 5 2 10 2" xfId="2490"/>
    <cellStyle name="Cálculo 3 5 2 11" xfId="2491"/>
    <cellStyle name="Cálculo 3 5 2 2" xfId="2492"/>
    <cellStyle name="Cálculo 3 5 2 2 2" xfId="2493"/>
    <cellStyle name="Cálculo 3 5 2 3" xfId="2494"/>
    <cellStyle name="Cálculo 3 5 2 3 2" xfId="2495"/>
    <cellStyle name="Cálculo 3 5 2 4" xfId="2496"/>
    <cellStyle name="Cálculo 3 5 2 4 2" xfId="2497"/>
    <cellStyle name="Cálculo 3 5 2 5" xfId="2498"/>
    <cellStyle name="Cálculo 3 5 2 5 2" xfId="2499"/>
    <cellStyle name="Cálculo 3 5 2 6" xfId="2500"/>
    <cellStyle name="Cálculo 3 5 2 6 2" xfId="2501"/>
    <cellStyle name="Cálculo 3 5 2 7" xfId="2502"/>
    <cellStyle name="Cálculo 3 5 2 7 2" xfId="2503"/>
    <cellStyle name="Cálculo 3 5 2 8" xfId="2504"/>
    <cellStyle name="Cálculo 3 5 2 8 2" xfId="2505"/>
    <cellStyle name="Cálculo 3 5 2 9" xfId="2506"/>
    <cellStyle name="Cálculo 3 5 2 9 2" xfId="2507"/>
    <cellStyle name="Cálculo 3 5 3" xfId="2508"/>
    <cellStyle name="Cálculo 3 5 3 10" xfId="2509"/>
    <cellStyle name="Cálculo 3 5 3 10 2" xfId="2510"/>
    <cellStyle name="Cálculo 3 5 3 11" xfId="2511"/>
    <cellStyle name="Cálculo 3 5 3 2" xfId="2512"/>
    <cellStyle name="Cálculo 3 5 3 2 2" xfId="2513"/>
    <cellStyle name="Cálculo 3 5 3 3" xfId="2514"/>
    <cellStyle name="Cálculo 3 5 3 3 2" xfId="2515"/>
    <cellStyle name="Cálculo 3 5 3 4" xfId="2516"/>
    <cellStyle name="Cálculo 3 5 3 4 2" xfId="2517"/>
    <cellStyle name="Cálculo 3 5 3 5" xfId="2518"/>
    <cellStyle name="Cálculo 3 5 3 5 2" xfId="2519"/>
    <cellStyle name="Cálculo 3 5 3 6" xfId="2520"/>
    <cellStyle name="Cálculo 3 5 3 6 2" xfId="2521"/>
    <cellStyle name="Cálculo 3 5 3 7" xfId="2522"/>
    <cellStyle name="Cálculo 3 5 3 7 2" xfId="2523"/>
    <cellStyle name="Cálculo 3 5 3 8" xfId="2524"/>
    <cellStyle name="Cálculo 3 5 3 8 2" xfId="2525"/>
    <cellStyle name="Cálculo 3 5 3 9" xfId="2526"/>
    <cellStyle name="Cálculo 3 5 3 9 2" xfId="2527"/>
    <cellStyle name="Cálculo 3 5 4" xfId="2528"/>
    <cellStyle name="Cálculo 3 5 4 2" xfId="2529"/>
    <cellStyle name="Cálculo 3 5 5" xfId="2530"/>
    <cellStyle name="Cálculo 3 5 5 2" xfId="2531"/>
    <cellStyle name="Cálculo 3 5 6" xfId="2532"/>
    <cellStyle name="Cálculo 3 5 6 2" xfId="2533"/>
    <cellStyle name="Cálculo 3 5 7" xfId="2534"/>
    <cellStyle name="Cálculo 3 5 7 2" xfId="2535"/>
    <cellStyle name="Cálculo 3 5 8" xfId="2536"/>
    <cellStyle name="Cálculo 3 5 8 2" xfId="2537"/>
    <cellStyle name="Cálculo 3 5 9" xfId="2538"/>
    <cellStyle name="Cálculo 3 5 9 2" xfId="2539"/>
    <cellStyle name="Cálculo 3 6" xfId="2540"/>
    <cellStyle name="Cálculo 3 6 2" xfId="2541"/>
    <cellStyle name="Cálculo 3 7" xfId="2542"/>
    <cellStyle name="Cálculo 3 7 2" xfId="2543"/>
    <cellStyle name="Cálculo 3 8" xfId="2544"/>
    <cellStyle name="Cálculo 3 8 2" xfId="2545"/>
    <cellStyle name="Cálculo 3 9" xfId="2546"/>
    <cellStyle name="Cálculo 3 9 2" xfId="2547"/>
    <cellStyle name="Cálculo 4" xfId="2548"/>
    <cellStyle name="Cálculo 4 10" xfId="2549"/>
    <cellStyle name="Cálculo 4 10 2" xfId="2550"/>
    <cellStyle name="Cálculo 4 11" xfId="2551"/>
    <cellStyle name="Cálculo 4 11 2" xfId="2552"/>
    <cellStyle name="Cálculo 4 12" xfId="2553"/>
    <cellStyle name="Cálculo 4 12 2" xfId="2554"/>
    <cellStyle name="Cálculo 4 13" xfId="2555"/>
    <cellStyle name="Cálculo 4 13 2" xfId="2556"/>
    <cellStyle name="Cálculo 4 14" xfId="2557"/>
    <cellStyle name="Cálculo 4 14 2" xfId="2558"/>
    <cellStyle name="Cálculo 4 15" xfId="2559"/>
    <cellStyle name="Cálculo 4 15 2" xfId="2560"/>
    <cellStyle name="Cálculo 4 16" xfId="2561"/>
    <cellStyle name="Cálculo 4 17" xfId="2562"/>
    <cellStyle name="Cálculo 4 18" xfId="2563"/>
    <cellStyle name="Cálculo 4 2" xfId="2564"/>
    <cellStyle name="Cálculo 4 2 10" xfId="2565"/>
    <cellStyle name="Cálculo 4 2 10 2" xfId="2566"/>
    <cellStyle name="Cálculo 4 2 11" xfId="2567"/>
    <cellStyle name="Cálculo 4 2 11 2" xfId="2568"/>
    <cellStyle name="Cálculo 4 2 12" xfId="2569"/>
    <cellStyle name="Cálculo 4 2 12 2" xfId="2570"/>
    <cellStyle name="Cálculo 4 2 13" xfId="2571"/>
    <cellStyle name="Cálculo 4 2 13 2" xfId="2572"/>
    <cellStyle name="Cálculo 4 2 14" xfId="2573"/>
    <cellStyle name="Cálculo 4 2 14 2" xfId="2574"/>
    <cellStyle name="Cálculo 4 2 15" xfId="2575"/>
    <cellStyle name="Cálculo 4 2 2" xfId="2576"/>
    <cellStyle name="Cálculo 4 2 2 10" xfId="2577"/>
    <cellStyle name="Cálculo 4 2 2 10 2" xfId="2578"/>
    <cellStyle name="Cálculo 4 2 2 11" xfId="2579"/>
    <cellStyle name="Cálculo 4 2 2 11 2" xfId="2580"/>
    <cellStyle name="Cálculo 4 2 2 12" xfId="2581"/>
    <cellStyle name="Cálculo 4 2 2 12 2" xfId="2582"/>
    <cellStyle name="Cálculo 4 2 2 13" xfId="2583"/>
    <cellStyle name="Cálculo 4 2 2 2" xfId="2584"/>
    <cellStyle name="Cálculo 4 2 2 2 10" xfId="2585"/>
    <cellStyle name="Cálculo 4 2 2 2 10 2" xfId="2586"/>
    <cellStyle name="Cálculo 4 2 2 2 11" xfId="2587"/>
    <cellStyle name="Cálculo 4 2 2 2 2" xfId="2588"/>
    <cellStyle name="Cálculo 4 2 2 2 2 2" xfId="2589"/>
    <cellStyle name="Cálculo 4 2 2 2 3" xfId="2590"/>
    <cellStyle name="Cálculo 4 2 2 2 3 2" xfId="2591"/>
    <cellStyle name="Cálculo 4 2 2 2 4" xfId="2592"/>
    <cellStyle name="Cálculo 4 2 2 2 4 2" xfId="2593"/>
    <cellStyle name="Cálculo 4 2 2 2 5" xfId="2594"/>
    <cellStyle name="Cálculo 4 2 2 2 5 2" xfId="2595"/>
    <cellStyle name="Cálculo 4 2 2 2 6" xfId="2596"/>
    <cellStyle name="Cálculo 4 2 2 2 6 2" xfId="2597"/>
    <cellStyle name="Cálculo 4 2 2 2 7" xfId="2598"/>
    <cellStyle name="Cálculo 4 2 2 2 7 2" xfId="2599"/>
    <cellStyle name="Cálculo 4 2 2 2 8" xfId="2600"/>
    <cellStyle name="Cálculo 4 2 2 2 8 2" xfId="2601"/>
    <cellStyle name="Cálculo 4 2 2 2 9" xfId="2602"/>
    <cellStyle name="Cálculo 4 2 2 2 9 2" xfId="2603"/>
    <cellStyle name="Cálculo 4 2 2 3" xfId="2604"/>
    <cellStyle name="Cálculo 4 2 2 3 10" xfId="2605"/>
    <cellStyle name="Cálculo 4 2 2 3 10 2" xfId="2606"/>
    <cellStyle name="Cálculo 4 2 2 3 11" xfId="2607"/>
    <cellStyle name="Cálculo 4 2 2 3 2" xfId="2608"/>
    <cellStyle name="Cálculo 4 2 2 3 2 2" xfId="2609"/>
    <cellStyle name="Cálculo 4 2 2 3 3" xfId="2610"/>
    <cellStyle name="Cálculo 4 2 2 3 3 2" xfId="2611"/>
    <cellStyle name="Cálculo 4 2 2 3 4" xfId="2612"/>
    <cellStyle name="Cálculo 4 2 2 3 4 2" xfId="2613"/>
    <cellStyle name="Cálculo 4 2 2 3 5" xfId="2614"/>
    <cellStyle name="Cálculo 4 2 2 3 5 2" xfId="2615"/>
    <cellStyle name="Cálculo 4 2 2 3 6" xfId="2616"/>
    <cellStyle name="Cálculo 4 2 2 3 6 2" xfId="2617"/>
    <cellStyle name="Cálculo 4 2 2 3 7" xfId="2618"/>
    <cellStyle name="Cálculo 4 2 2 3 7 2" xfId="2619"/>
    <cellStyle name="Cálculo 4 2 2 3 8" xfId="2620"/>
    <cellStyle name="Cálculo 4 2 2 3 8 2" xfId="2621"/>
    <cellStyle name="Cálculo 4 2 2 3 9" xfId="2622"/>
    <cellStyle name="Cálculo 4 2 2 3 9 2" xfId="2623"/>
    <cellStyle name="Cálculo 4 2 2 4" xfId="2624"/>
    <cellStyle name="Cálculo 4 2 2 4 2" xfId="2625"/>
    <cellStyle name="Cálculo 4 2 2 5" xfId="2626"/>
    <cellStyle name="Cálculo 4 2 2 5 2" xfId="2627"/>
    <cellStyle name="Cálculo 4 2 2 6" xfId="2628"/>
    <cellStyle name="Cálculo 4 2 2 6 2" xfId="2629"/>
    <cellStyle name="Cálculo 4 2 2 7" xfId="2630"/>
    <cellStyle name="Cálculo 4 2 2 7 2" xfId="2631"/>
    <cellStyle name="Cálculo 4 2 2 8" xfId="2632"/>
    <cellStyle name="Cálculo 4 2 2 8 2" xfId="2633"/>
    <cellStyle name="Cálculo 4 2 2 9" xfId="2634"/>
    <cellStyle name="Cálculo 4 2 2 9 2" xfId="2635"/>
    <cellStyle name="Cálculo 4 2 3" xfId="2636"/>
    <cellStyle name="Cálculo 4 2 3 10" xfId="2637"/>
    <cellStyle name="Cálculo 4 2 3 10 2" xfId="2638"/>
    <cellStyle name="Cálculo 4 2 3 11" xfId="2639"/>
    <cellStyle name="Cálculo 4 2 3 11 2" xfId="2640"/>
    <cellStyle name="Cálculo 4 2 3 12" xfId="2641"/>
    <cellStyle name="Cálculo 4 2 3 12 2" xfId="2642"/>
    <cellStyle name="Cálculo 4 2 3 13" xfId="2643"/>
    <cellStyle name="Cálculo 4 2 3 2" xfId="2644"/>
    <cellStyle name="Cálculo 4 2 3 2 10" xfId="2645"/>
    <cellStyle name="Cálculo 4 2 3 2 10 2" xfId="2646"/>
    <cellStyle name="Cálculo 4 2 3 2 11" xfId="2647"/>
    <cellStyle name="Cálculo 4 2 3 2 2" xfId="2648"/>
    <cellStyle name="Cálculo 4 2 3 2 2 2" xfId="2649"/>
    <cellStyle name="Cálculo 4 2 3 2 3" xfId="2650"/>
    <cellStyle name="Cálculo 4 2 3 2 3 2" xfId="2651"/>
    <cellStyle name="Cálculo 4 2 3 2 4" xfId="2652"/>
    <cellStyle name="Cálculo 4 2 3 2 4 2" xfId="2653"/>
    <cellStyle name="Cálculo 4 2 3 2 5" xfId="2654"/>
    <cellStyle name="Cálculo 4 2 3 2 5 2" xfId="2655"/>
    <cellStyle name="Cálculo 4 2 3 2 6" xfId="2656"/>
    <cellStyle name="Cálculo 4 2 3 2 6 2" xfId="2657"/>
    <cellStyle name="Cálculo 4 2 3 2 7" xfId="2658"/>
    <cellStyle name="Cálculo 4 2 3 2 7 2" xfId="2659"/>
    <cellStyle name="Cálculo 4 2 3 2 8" xfId="2660"/>
    <cellStyle name="Cálculo 4 2 3 2 8 2" xfId="2661"/>
    <cellStyle name="Cálculo 4 2 3 2 9" xfId="2662"/>
    <cellStyle name="Cálculo 4 2 3 2 9 2" xfId="2663"/>
    <cellStyle name="Cálculo 4 2 3 3" xfId="2664"/>
    <cellStyle name="Cálculo 4 2 3 3 10" xfId="2665"/>
    <cellStyle name="Cálculo 4 2 3 3 10 2" xfId="2666"/>
    <cellStyle name="Cálculo 4 2 3 3 11" xfId="2667"/>
    <cellStyle name="Cálculo 4 2 3 3 2" xfId="2668"/>
    <cellStyle name="Cálculo 4 2 3 3 2 2" xfId="2669"/>
    <cellStyle name="Cálculo 4 2 3 3 3" xfId="2670"/>
    <cellStyle name="Cálculo 4 2 3 3 3 2" xfId="2671"/>
    <cellStyle name="Cálculo 4 2 3 3 4" xfId="2672"/>
    <cellStyle name="Cálculo 4 2 3 3 4 2" xfId="2673"/>
    <cellStyle name="Cálculo 4 2 3 3 5" xfId="2674"/>
    <cellStyle name="Cálculo 4 2 3 3 5 2" xfId="2675"/>
    <cellStyle name="Cálculo 4 2 3 3 6" xfId="2676"/>
    <cellStyle name="Cálculo 4 2 3 3 6 2" xfId="2677"/>
    <cellStyle name="Cálculo 4 2 3 3 7" xfId="2678"/>
    <cellStyle name="Cálculo 4 2 3 3 7 2" xfId="2679"/>
    <cellStyle name="Cálculo 4 2 3 3 8" xfId="2680"/>
    <cellStyle name="Cálculo 4 2 3 3 8 2" xfId="2681"/>
    <cellStyle name="Cálculo 4 2 3 3 9" xfId="2682"/>
    <cellStyle name="Cálculo 4 2 3 3 9 2" xfId="2683"/>
    <cellStyle name="Cálculo 4 2 3 4" xfId="2684"/>
    <cellStyle name="Cálculo 4 2 3 4 2" xfId="2685"/>
    <cellStyle name="Cálculo 4 2 3 5" xfId="2686"/>
    <cellStyle name="Cálculo 4 2 3 5 2" xfId="2687"/>
    <cellStyle name="Cálculo 4 2 3 6" xfId="2688"/>
    <cellStyle name="Cálculo 4 2 3 6 2" xfId="2689"/>
    <cellStyle name="Cálculo 4 2 3 7" xfId="2690"/>
    <cellStyle name="Cálculo 4 2 3 7 2" xfId="2691"/>
    <cellStyle name="Cálculo 4 2 3 8" xfId="2692"/>
    <cellStyle name="Cálculo 4 2 3 8 2" xfId="2693"/>
    <cellStyle name="Cálculo 4 2 3 9" xfId="2694"/>
    <cellStyle name="Cálculo 4 2 3 9 2" xfId="2695"/>
    <cellStyle name="Cálculo 4 2 4" xfId="2696"/>
    <cellStyle name="Cálculo 4 2 4 10" xfId="2697"/>
    <cellStyle name="Cálculo 4 2 4 10 2" xfId="2698"/>
    <cellStyle name="Cálculo 4 2 4 11" xfId="2699"/>
    <cellStyle name="Cálculo 4 2 4 2" xfId="2700"/>
    <cellStyle name="Cálculo 4 2 4 2 2" xfId="2701"/>
    <cellStyle name="Cálculo 4 2 4 3" xfId="2702"/>
    <cellStyle name="Cálculo 4 2 4 3 2" xfId="2703"/>
    <cellStyle name="Cálculo 4 2 4 4" xfId="2704"/>
    <cellStyle name="Cálculo 4 2 4 4 2" xfId="2705"/>
    <cellStyle name="Cálculo 4 2 4 5" xfId="2706"/>
    <cellStyle name="Cálculo 4 2 4 5 2" xfId="2707"/>
    <cellStyle name="Cálculo 4 2 4 6" xfId="2708"/>
    <cellStyle name="Cálculo 4 2 4 6 2" xfId="2709"/>
    <cellStyle name="Cálculo 4 2 4 7" xfId="2710"/>
    <cellStyle name="Cálculo 4 2 4 7 2" xfId="2711"/>
    <cellStyle name="Cálculo 4 2 4 8" xfId="2712"/>
    <cellStyle name="Cálculo 4 2 4 8 2" xfId="2713"/>
    <cellStyle name="Cálculo 4 2 4 9" xfId="2714"/>
    <cellStyle name="Cálculo 4 2 4 9 2" xfId="2715"/>
    <cellStyle name="Cálculo 4 2 5" xfId="2716"/>
    <cellStyle name="Cálculo 4 2 5 10" xfId="2717"/>
    <cellStyle name="Cálculo 4 2 5 10 2" xfId="2718"/>
    <cellStyle name="Cálculo 4 2 5 11" xfId="2719"/>
    <cellStyle name="Cálculo 4 2 5 2" xfId="2720"/>
    <cellStyle name="Cálculo 4 2 5 2 2" xfId="2721"/>
    <cellStyle name="Cálculo 4 2 5 3" xfId="2722"/>
    <cellStyle name="Cálculo 4 2 5 3 2" xfId="2723"/>
    <cellStyle name="Cálculo 4 2 5 4" xfId="2724"/>
    <cellStyle name="Cálculo 4 2 5 4 2" xfId="2725"/>
    <cellStyle name="Cálculo 4 2 5 5" xfId="2726"/>
    <cellStyle name="Cálculo 4 2 5 5 2" xfId="2727"/>
    <cellStyle name="Cálculo 4 2 5 6" xfId="2728"/>
    <cellStyle name="Cálculo 4 2 5 6 2" xfId="2729"/>
    <cellStyle name="Cálculo 4 2 5 7" xfId="2730"/>
    <cellStyle name="Cálculo 4 2 5 7 2" xfId="2731"/>
    <cellStyle name="Cálculo 4 2 5 8" xfId="2732"/>
    <cellStyle name="Cálculo 4 2 5 8 2" xfId="2733"/>
    <cellStyle name="Cálculo 4 2 5 9" xfId="2734"/>
    <cellStyle name="Cálculo 4 2 5 9 2" xfId="2735"/>
    <cellStyle name="Cálculo 4 2 6" xfId="2736"/>
    <cellStyle name="Cálculo 4 2 6 2" xfId="2737"/>
    <cellStyle name="Cálculo 4 2 7" xfId="2738"/>
    <cellStyle name="Cálculo 4 2 7 2" xfId="2739"/>
    <cellStyle name="Cálculo 4 2 8" xfId="2740"/>
    <cellStyle name="Cálculo 4 2 8 2" xfId="2741"/>
    <cellStyle name="Cálculo 4 2 9" xfId="2742"/>
    <cellStyle name="Cálculo 4 2 9 2" xfId="2743"/>
    <cellStyle name="Cálculo 4 3" xfId="2744"/>
    <cellStyle name="Cálculo 4 3 10" xfId="2745"/>
    <cellStyle name="Cálculo 4 3 10 2" xfId="2746"/>
    <cellStyle name="Cálculo 4 3 11" xfId="2747"/>
    <cellStyle name="Cálculo 4 3 11 2" xfId="2748"/>
    <cellStyle name="Cálculo 4 3 12" xfId="2749"/>
    <cellStyle name="Cálculo 4 3 12 2" xfId="2750"/>
    <cellStyle name="Cálculo 4 3 13" xfId="2751"/>
    <cellStyle name="Cálculo 4 3 2" xfId="2752"/>
    <cellStyle name="Cálculo 4 3 2 10" xfId="2753"/>
    <cellStyle name="Cálculo 4 3 2 10 2" xfId="2754"/>
    <cellStyle name="Cálculo 4 3 2 11" xfId="2755"/>
    <cellStyle name="Cálculo 4 3 2 2" xfId="2756"/>
    <cellStyle name="Cálculo 4 3 2 2 2" xfId="2757"/>
    <cellStyle name="Cálculo 4 3 2 3" xfId="2758"/>
    <cellStyle name="Cálculo 4 3 2 3 2" xfId="2759"/>
    <cellStyle name="Cálculo 4 3 2 4" xfId="2760"/>
    <cellStyle name="Cálculo 4 3 2 4 2" xfId="2761"/>
    <cellStyle name="Cálculo 4 3 2 5" xfId="2762"/>
    <cellStyle name="Cálculo 4 3 2 5 2" xfId="2763"/>
    <cellStyle name="Cálculo 4 3 2 6" xfId="2764"/>
    <cellStyle name="Cálculo 4 3 2 6 2" xfId="2765"/>
    <cellStyle name="Cálculo 4 3 2 7" xfId="2766"/>
    <cellStyle name="Cálculo 4 3 2 7 2" xfId="2767"/>
    <cellStyle name="Cálculo 4 3 2 8" xfId="2768"/>
    <cellStyle name="Cálculo 4 3 2 8 2" xfId="2769"/>
    <cellStyle name="Cálculo 4 3 2 9" xfId="2770"/>
    <cellStyle name="Cálculo 4 3 2 9 2" xfId="2771"/>
    <cellStyle name="Cálculo 4 3 3" xfId="2772"/>
    <cellStyle name="Cálculo 4 3 3 10" xfId="2773"/>
    <cellStyle name="Cálculo 4 3 3 10 2" xfId="2774"/>
    <cellStyle name="Cálculo 4 3 3 11" xfId="2775"/>
    <cellStyle name="Cálculo 4 3 3 2" xfId="2776"/>
    <cellStyle name="Cálculo 4 3 3 2 2" xfId="2777"/>
    <cellStyle name="Cálculo 4 3 3 3" xfId="2778"/>
    <cellStyle name="Cálculo 4 3 3 3 2" xfId="2779"/>
    <cellStyle name="Cálculo 4 3 3 4" xfId="2780"/>
    <cellStyle name="Cálculo 4 3 3 4 2" xfId="2781"/>
    <cellStyle name="Cálculo 4 3 3 5" xfId="2782"/>
    <cellStyle name="Cálculo 4 3 3 5 2" xfId="2783"/>
    <cellStyle name="Cálculo 4 3 3 6" xfId="2784"/>
    <cellStyle name="Cálculo 4 3 3 6 2" xfId="2785"/>
    <cellStyle name="Cálculo 4 3 3 7" xfId="2786"/>
    <cellStyle name="Cálculo 4 3 3 7 2" xfId="2787"/>
    <cellStyle name="Cálculo 4 3 3 8" xfId="2788"/>
    <cellStyle name="Cálculo 4 3 3 8 2" xfId="2789"/>
    <cellStyle name="Cálculo 4 3 3 9" xfId="2790"/>
    <cellStyle name="Cálculo 4 3 3 9 2" xfId="2791"/>
    <cellStyle name="Cálculo 4 3 4" xfId="2792"/>
    <cellStyle name="Cálculo 4 3 4 2" xfId="2793"/>
    <cellStyle name="Cálculo 4 3 5" xfId="2794"/>
    <cellStyle name="Cálculo 4 3 5 2" xfId="2795"/>
    <cellStyle name="Cálculo 4 3 6" xfId="2796"/>
    <cellStyle name="Cálculo 4 3 6 2" xfId="2797"/>
    <cellStyle name="Cálculo 4 3 7" xfId="2798"/>
    <cellStyle name="Cálculo 4 3 7 2" xfId="2799"/>
    <cellStyle name="Cálculo 4 3 8" xfId="2800"/>
    <cellStyle name="Cálculo 4 3 8 2" xfId="2801"/>
    <cellStyle name="Cálculo 4 3 9" xfId="2802"/>
    <cellStyle name="Cálculo 4 3 9 2" xfId="2803"/>
    <cellStyle name="Cálculo 4 4" xfId="2804"/>
    <cellStyle name="Cálculo 4 4 10" xfId="2805"/>
    <cellStyle name="Cálculo 4 4 10 2" xfId="2806"/>
    <cellStyle name="Cálculo 4 4 11" xfId="2807"/>
    <cellStyle name="Cálculo 4 4 11 2" xfId="2808"/>
    <cellStyle name="Cálculo 4 4 12" xfId="2809"/>
    <cellStyle name="Cálculo 4 4 12 2" xfId="2810"/>
    <cellStyle name="Cálculo 4 4 13" xfId="2811"/>
    <cellStyle name="Cálculo 4 4 2" xfId="2812"/>
    <cellStyle name="Cálculo 4 4 2 10" xfId="2813"/>
    <cellStyle name="Cálculo 4 4 2 10 2" xfId="2814"/>
    <cellStyle name="Cálculo 4 4 2 11" xfId="2815"/>
    <cellStyle name="Cálculo 4 4 2 2" xfId="2816"/>
    <cellStyle name="Cálculo 4 4 2 2 2" xfId="2817"/>
    <cellStyle name="Cálculo 4 4 2 3" xfId="2818"/>
    <cellStyle name="Cálculo 4 4 2 3 2" xfId="2819"/>
    <cellStyle name="Cálculo 4 4 2 4" xfId="2820"/>
    <cellStyle name="Cálculo 4 4 2 4 2" xfId="2821"/>
    <cellStyle name="Cálculo 4 4 2 5" xfId="2822"/>
    <cellStyle name="Cálculo 4 4 2 5 2" xfId="2823"/>
    <cellStyle name="Cálculo 4 4 2 6" xfId="2824"/>
    <cellStyle name="Cálculo 4 4 2 6 2" xfId="2825"/>
    <cellStyle name="Cálculo 4 4 2 7" xfId="2826"/>
    <cellStyle name="Cálculo 4 4 2 7 2" xfId="2827"/>
    <cellStyle name="Cálculo 4 4 2 8" xfId="2828"/>
    <cellStyle name="Cálculo 4 4 2 8 2" xfId="2829"/>
    <cellStyle name="Cálculo 4 4 2 9" xfId="2830"/>
    <cellStyle name="Cálculo 4 4 2 9 2" xfId="2831"/>
    <cellStyle name="Cálculo 4 4 3" xfId="2832"/>
    <cellStyle name="Cálculo 4 4 3 10" xfId="2833"/>
    <cellStyle name="Cálculo 4 4 3 10 2" xfId="2834"/>
    <cellStyle name="Cálculo 4 4 3 11" xfId="2835"/>
    <cellStyle name="Cálculo 4 4 3 2" xfId="2836"/>
    <cellStyle name="Cálculo 4 4 3 2 2" xfId="2837"/>
    <cellStyle name="Cálculo 4 4 3 3" xfId="2838"/>
    <cellStyle name="Cálculo 4 4 3 3 2" xfId="2839"/>
    <cellStyle name="Cálculo 4 4 3 4" xfId="2840"/>
    <cellStyle name="Cálculo 4 4 3 4 2" xfId="2841"/>
    <cellStyle name="Cálculo 4 4 3 5" xfId="2842"/>
    <cellStyle name="Cálculo 4 4 3 5 2" xfId="2843"/>
    <cellStyle name="Cálculo 4 4 3 6" xfId="2844"/>
    <cellStyle name="Cálculo 4 4 3 6 2" xfId="2845"/>
    <cellStyle name="Cálculo 4 4 3 7" xfId="2846"/>
    <cellStyle name="Cálculo 4 4 3 7 2" xfId="2847"/>
    <cellStyle name="Cálculo 4 4 3 8" xfId="2848"/>
    <cellStyle name="Cálculo 4 4 3 8 2" xfId="2849"/>
    <cellStyle name="Cálculo 4 4 3 9" xfId="2850"/>
    <cellStyle name="Cálculo 4 4 3 9 2" xfId="2851"/>
    <cellStyle name="Cálculo 4 4 4" xfId="2852"/>
    <cellStyle name="Cálculo 4 4 4 2" xfId="2853"/>
    <cellStyle name="Cálculo 4 4 5" xfId="2854"/>
    <cellStyle name="Cálculo 4 4 5 2" xfId="2855"/>
    <cellStyle name="Cálculo 4 4 6" xfId="2856"/>
    <cellStyle name="Cálculo 4 4 6 2" xfId="2857"/>
    <cellStyle name="Cálculo 4 4 7" xfId="2858"/>
    <cellStyle name="Cálculo 4 4 7 2" xfId="2859"/>
    <cellStyle name="Cálculo 4 4 8" xfId="2860"/>
    <cellStyle name="Cálculo 4 4 8 2" xfId="2861"/>
    <cellStyle name="Cálculo 4 4 9" xfId="2862"/>
    <cellStyle name="Cálculo 4 4 9 2" xfId="2863"/>
    <cellStyle name="Cálculo 4 5" xfId="2864"/>
    <cellStyle name="Cálculo 4 5 10" xfId="2865"/>
    <cellStyle name="Cálculo 4 5 10 2" xfId="2866"/>
    <cellStyle name="Cálculo 4 5 11" xfId="2867"/>
    <cellStyle name="Cálculo 4 5 2" xfId="2868"/>
    <cellStyle name="Cálculo 4 5 2 2" xfId="2869"/>
    <cellStyle name="Cálculo 4 5 3" xfId="2870"/>
    <cellStyle name="Cálculo 4 5 3 2" xfId="2871"/>
    <cellStyle name="Cálculo 4 5 4" xfId="2872"/>
    <cellStyle name="Cálculo 4 5 4 2" xfId="2873"/>
    <cellStyle name="Cálculo 4 5 5" xfId="2874"/>
    <cellStyle name="Cálculo 4 5 5 2" xfId="2875"/>
    <cellStyle name="Cálculo 4 5 6" xfId="2876"/>
    <cellStyle name="Cálculo 4 5 6 2" xfId="2877"/>
    <cellStyle name="Cálculo 4 5 7" xfId="2878"/>
    <cellStyle name="Cálculo 4 5 7 2" xfId="2879"/>
    <cellStyle name="Cálculo 4 5 8" xfId="2880"/>
    <cellStyle name="Cálculo 4 5 8 2" xfId="2881"/>
    <cellStyle name="Cálculo 4 5 9" xfId="2882"/>
    <cellStyle name="Cálculo 4 5 9 2" xfId="2883"/>
    <cellStyle name="Cálculo 4 6" xfId="2884"/>
    <cellStyle name="Cálculo 4 6 10" xfId="2885"/>
    <cellStyle name="Cálculo 4 6 10 2" xfId="2886"/>
    <cellStyle name="Cálculo 4 6 11" xfId="2887"/>
    <cellStyle name="Cálculo 4 6 2" xfId="2888"/>
    <cellStyle name="Cálculo 4 6 2 2" xfId="2889"/>
    <cellStyle name="Cálculo 4 6 3" xfId="2890"/>
    <cellStyle name="Cálculo 4 6 3 2" xfId="2891"/>
    <cellStyle name="Cálculo 4 6 4" xfId="2892"/>
    <cellStyle name="Cálculo 4 6 4 2" xfId="2893"/>
    <cellStyle name="Cálculo 4 6 5" xfId="2894"/>
    <cellStyle name="Cálculo 4 6 5 2" xfId="2895"/>
    <cellStyle name="Cálculo 4 6 6" xfId="2896"/>
    <cellStyle name="Cálculo 4 6 6 2" xfId="2897"/>
    <cellStyle name="Cálculo 4 6 7" xfId="2898"/>
    <cellStyle name="Cálculo 4 6 7 2" xfId="2899"/>
    <cellStyle name="Cálculo 4 6 8" xfId="2900"/>
    <cellStyle name="Cálculo 4 6 8 2" xfId="2901"/>
    <cellStyle name="Cálculo 4 6 9" xfId="2902"/>
    <cellStyle name="Cálculo 4 6 9 2" xfId="2903"/>
    <cellStyle name="Cálculo 4 7" xfId="2904"/>
    <cellStyle name="Cálculo 4 7 2" xfId="2905"/>
    <cellStyle name="Cálculo 4 8" xfId="2906"/>
    <cellStyle name="Cálculo 4 8 2" xfId="2907"/>
    <cellStyle name="Cálculo 4 9" xfId="2908"/>
    <cellStyle name="Cálculo 4 9 2" xfId="2909"/>
    <cellStyle name="Cálculo 5" xfId="2910"/>
    <cellStyle name="Cálculo 5 10" xfId="2911"/>
    <cellStyle name="Cálculo 5 10 2" xfId="2912"/>
    <cellStyle name="Cálculo 5 11" xfId="2913"/>
    <cellStyle name="Cálculo 5 11 2" xfId="2914"/>
    <cellStyle name="Cálculo 5 12" xfId="2915"/>
    <cellStyle name="Cálculo 5 12 2" xfId="2916"/>
    <cellStyle name="Cálculo 5 13" xfId="2917"/>
    <cellStyle name="Cálculo 5 2" xfId="2918"/>
    <cellStyle name="Cálculo 5 2 10" xfId="2919"/>
    <cellStyle name="Cálculo 5 2 10 2" xfId="2920"/>
    <cellStyle name="Cálculo 5 2 11" xfId="2921"/>
    <cellStyle name="Cálculo 5 2 2" xfId="2922"/>
    <cellStyle name="Cálculo 5 2 2 2" xfId="2923"/>
    <cellStyle name="Cálculo 5 2 3" xfId="2924"/>
    <cellStyle name="Cálculo 5 2 3 2" xfId="2925"/>
    <cellStyle name="Cálculo 5 2 4" xfId="2926"/>
    <cellStyle name="Cálculo 5 2 4 2" xfId="2927"/>
    <cellStyle name="Cálculo 5 2 5" xfId="2928"/>
    <cellStyle name="Cálculo 5 2 5 2" xfId="2929"/>
    <cellStyle name="Cálculo 5 2 6" xfId="2930"/>
    <cellStyle name="Cálculo 5 2 6 2" xfId="2931"/>
    <cellStyle name="Cálculo 5 2 7" xfId="2932"/>
    <cellStyle name="Cálculo 5 2 7 2" xfId="2933"/>
    <cellStyle name="Cálculo 5 2 8" xfId="2934"/>
    <cellStyle name="Cálculo 5 2 8 2" xfId="2935"/>
    <cellStyle name="Cálculo 5 2 9" xfId="2936"/>
    <cellStyle name="Cálculo 5 2 9 2" xfId="2937"/>
    <cellStyle name="Cálculo 5 3" xfId="2938"/>
    <cellStyle name="Cálculo 5 3 10" xfId="2939"/>
    <cellStyle name="Cálculo 5 3 10 2" xfId="2940"/>
    <cellStyle name="Cálculo 5 3 11" xfId="2941"/>
    <cellStyle name="Cálculo 5 3 2" xfId="2942"/>
    <cellStyle name="Cálculo 5 3 2 2" xfId="2943"/>
    <cellStyle name="Cálculo 5 3 3" xfId="2944"/>
    <cellStyle name="Cálculo 5 3 3 2" xfId="2945"/>
    <cellStyle name="Cálculo 5 3 4" xfId="2946"/>
    <cellStyle name="Cálculo 5 3 4 2" xfId="2947"/>
    <cellStyle name="Cálculo 5 3 5" xfId="2948"/>
    <cellStyle name="Cálculo 5 3 5 2" xfId="2949"/>
    <cellStyle name="Cálculo 5 3 6" xfId="2950"/>
    <cellStyle name="Cálculo 5 3 6 2" xfId="2951"/>
    <cellStyle name="Cálculo 5 3 7" xfId="2952"/>
    <cellStyle name="Cálculo 5 3 7 2" xfId="2953"/>
    <cellStyle name="Cálculo 5 3 8" xfId="2954"/>
    <cellStyle name="Cálculo 5 3 8 2" xfId="2955"/>
    <cellStyle name="Cálculo 5 3 9" xfId="2956"/>
    <cellStyle name="Cálculo 5 3 9 2" xfId="2957"/>
    <cellStyle name="Cálculo 5 4" xfId="2958"/>
    <cellStyle name="Cálculo 5 4 2" xfId="2959"/>
    <cellStyle name="Cálculo 5 5" xfId="2960"/>
    <cellStyle name="Cálculo 5 5 2" xfId="2961"/>
    <cellStyle name="Cálculo 5 6" xfId="2962"/>
    <cellStyle name="Cálculo 5 6 2" xfId="2963"/>
    <cellStyle name="Cálculo 5 7" xfId="2964"/>
    <cellStyle name="Cálculo 5 7 2" xfId="2965"/>
    <cellStyle name="Cálculo 5 8" xfId="2966"/>
    <cellStyle name="Cálculo 5 8 2" xfId="2967"/>
    <cellStyle name="Cálculo 5 9" xfId="2968"/>
    <cellStyle name="Cálculo 5 9 2" xfId="2969"/>
    <cellStyle name="Cálculo 6" xfId="2970"/>
    <cellStyle name="Cálculo 6 10" xfId="2971"/>
    <cellStyle name="Cálculo 6 10 2" xfId="2972"/>
    <cellStyle name="Cálculo 6 11" xfId="2973"/>
    <cellStyle name="Cálculo 6 11 2" xfId="2974"/>
    <cellStyle name="Cálculo 6 12" xfId="2975"/>
    <cellStyle name="Cálculo 6 12 2" xfId="2976"/>
    <cellStyle name="Cálculo 6 13" xfId="2977"/>
    <cellStyle name="Cálculo 6 2" xfId="2978"/>
    <cellStyle name="Cálculo 6 2 10" xfId="2979"/>
    <cellStyle name="Cálculo 6 2 10 2" xfId="2980"/>
    <cellStyle name="Cálculo 6 2 11" xfId="2981"/>
    <cellStyle name="Cálculo 6 2 2" xfId="2982"/>
    <cellStyle name="Cálculo 6 2 2 2" xfId="2983"/>
    <cellStyle name="Cálculo 6 2 3" xfId="2984"/>
    <cellStyle name="Cálculo 6 2 3 2" xfId="2985"/>
    <cellStyle name="Cálculo 6 2 4" xfId="2986"/>
    <cellStyle name="Cálculo 6 2 4 2" xfId="2987"/>
    <cellStyle name="Cálculo 6 2 5" xfId="2988"/>
    <cellStyle name="Cálculo 6 2 5 2" xfId="2989"/>
    <cellStyle name="Cálculo 6 2 6" xfId="2990"/>
    <cellStyle name="Cálculo 6 2 6 2" xfId="2991"/>
    <cellStyle name="Cálculo 6 2 7" xfId="2992"/>
    <cellStyle name="Cálculo 6 2 7 2" xfId="2993"/>
    <cellStyle name="Cálculo 6 2 8" xfId="2994"/>
    <cellStyle name="Cálculo 6 2 8 2" xfId="2995"/>
    <cellStyle name="Cálculo 6 2 9" xfId="2996"/>
    <cellStyle name="Cálculo 6 2 9 2" xfId="2997"/>
    <cellStyle name="Cálculo 6 3" xfId="2998"/>
    <cellStyle name="Cálculo 6 3 10" xfId="2999"/>
    <cellStyle name="Cálculo 6 3 10 2" xfId="3000"/>
    <cellStyle name="Cálculo 6 3 11" xfId="3001"/>
    <cellStyle name="Cálculo 6 3 2" xfId="3002"/>
    <cellStyle name="Cálculo 6 3 2 2" xfId="3003"/>
    <cellStyle name="Cálculo 6 3 3" xfId="3004"/>
    <cellStyle name="Cálculo 6 3 3 2" xfId="3005"/>
    <cellStyle name="Cálculo 6 3 4" xfId="3006"/>
    <cellStyle name="Cálculo 6 3 4 2" xfId="3007"/>
    <cellStyle name="Cálculo 6 3 5" xfId="3008"/>
    <cellStyle name="Cálculo 6 3 5 2" xfId="3009"/>
    <cellStyle name="Cálculo 6 3 6" xfId="3010"/>
    <cellStyle name="Cálculo 6 3 6 2" xfId="3011"/>
    <cellStyle name="Cálculo 6 3 7" xfId="3012"/>
    <cellStyle name="Cálculo 6 3 7 2" xfId="3013"/>
    <cellStyle name="Cálculo 6 3 8" xfId="3014"/>
    <cellStyle name="Cálculo 6 3 8 2" xfId="3015"/>
    <cellStyle name="Cálculo 6 3 9" xfId="3016"/>
    <cellStyle name="Cálculo 6 3 9 2" xfId="3017"/>
    <cellStyle name="Cálculo 6 4" xfId="3018"/>
    <cellStyle name="Cálculo 6 4 2" xfId="3019"/>
    <cellStyle name="Cálculo 6 5" xfId="3020"/>
    <cellStyle name="Cálculo 6 5 2" xfId="3021"/>
    <cellStyle name="Cálculo 6 6" xfId="3022"/>
    <cellStyle name="Cálculo 6 6 2" xfId="3023"/>
    <cellStyle name="Cálculo 6 7" xfId="3024"/>
    <cellStyle name="Cálculo 6 7 2" xfId="3025"/>
    <cellStyle name="Cálculo 6 8" xfId="3026"/>
    <cellStyle name="Cálculo 6 8 2" xfId="3027"/>
    <cellStyle name="Cálculo 6 9" xfId="3028"/>
    <cellStyle name="Cálculo 6 9 2" xfId="3029"/>
    <cellStyle name="Cálculo 7" xfId="3030"/>
    <cellStyle name="Cálculo 7 10" xfId="3031"/>
    <cellStyle name="Cálculo 7 10 2" xfId="3032"/>
    <cellStyle name="Cálculo 7 11" xfId="3033"/>
    <cellStyle name="Cálculo 7 11 2" xfId="3034"/>
    <cellStyle name="Cálculo 7 12" xfId="3035"/>
    <cellStyle name="Cálculo 7 12 2" xfId="3036"/>
    <cellStyle name="Cálculo 7 13" xfId="3037"/>
    <cellStyle name="Cálculo 7 2" xfId="3038"/>
    <cellStyle name="Cálculo 7 2 10" xfId="3039"/>
    <cellStyle name="Cálculo 7 2 10 2" xfId="3040"/>
    <cellStyle name="Cálculo 7 2 11" xfId="3041"/>
    <cellStyle name="Cálculo 7 2 2" xfId="3042"/>
    <cellStyle name="Cálculo 7 2 2 2" xfId="3043"/>
    <cellStyle name="Cálculo 7 2 3" xfId="3044"/>
    <cellStyle name="Cálculo 7 2 3 2" xfId="3045"/>
    <cellStyle name="Cálculo 7 2 4" xfId="3046"/>
    <cellStyle name="Cálculo 7 2 4 2" xfId="3047"/>
    <cellStyle name="Cálculo 7 2 5" xfId="3048"/>
    <cellStyle name="Cálculo 7 2 5 2" xfId="3049"/>
    <cellStyle name="Cálculo 7 2 6" xfId="3050"/>
    <cellStyle name="Cálculo 7 2 6 2" xfId="3051"/>
    <cellStyle name="Cálculo 7 2 7" xfId="3052"/>
    <cellStyle name="Cálculo 7 2 7 2" xfId="3053"/>
    <cellStyle name="Cálculo 7 2 8" xfId="3054"/>
    <cellStyle name="Cálculo 7 2 8 2" xfId="3055"/>
    <cellStyle name="Cálculo 7 2 9" xfId="3056"/>
    <cellStyle name="Cálculo 7 2 9 2" xfId="3057"/>
    <cellStyle name="Cálculo 7 3" xfId="3058"/>
    <cellStyle name="Cálculo 7 3 10" xfId="3059"/>
    <cellStyle name="Cálculo 7 3 10 2" xfId="3060"/>
    <cellStyle name="Cálculo 7 3 11" xfId="3061"/>
    <cellStyle name="Cálculo 7 3 2" xfId="3062"/>
    <cellStyle name="Cálculo 7 3 2 2" xfId="3063"/>
    <cellStyle name="Cálculo 7 3 3" xfId="3064"/>
    <cellStyle name="Cálculo 7 3 3 2" xfId="3065"/>
    <cellStyle name="Cálculo 7 3 4" xfId="3066"/>
    <cellStyle name="Cálculo 7 3 4 2" xfId="3067"/>
    <cellStyle name="Cálculo 7 3 5" xfId="3068"/>
    <cellStyle name="Cálculo 7 3 5 2" xfId="3069"/>
    <cellStyle name="Cálculo 7 3 6" xfId="3070"/>
    <cellStyle name="Cálculo 7 3 6 2" xfId="3071"/>
    <cellStyle name="Cálculo 7 3 7" xfId="3072"/>
    <cellStyle name="Cálculo 7 3 7 2" xfId="3073"/>
    <cellStyle name="Cálculo 7 3 8" xfId="3074"/>
    <cellStyle name="Cálculo 7 3 8 2" xfId="3075"/>
    <cellStyle name="Cálculo 7 3 9" xfId="3076"/>
    <cellStyle name="Cálculo 7 3 9 2" xfId="3077"/>
    <cellStyle name="Cálculo 7 4" xfId="3078"/>
    <cellStyle name="Cálculo 7 4 2" xfId="3079"/>
    <cellStyle name="Cálculo 7 5" xfId="3080"/>
    <cellStyle name="Cálculo 7 5 2" xfId="3081"/>
    <cellStyle name="Cálculo 7 6" xfId="3082"/>
    <cellStyle name="Cálculo 7 6 2" xfId="3083"/>
    <cellStyle name="Cálculo 7 7" xfId="3084"/>
    <cellStyle name="Cálculo 7 7 2" xfId="3085"/>
    <cellStyle name="Cálculo 7 8" xfId="3086"/>
    <cellStyle name="Cálculo 7 8 2" xfId="3087"/>
    <cellStyle name="Cálculo 7 9" xfId="3088"/>
    <cellStyle name="Cálculo 7 9 2" xfId="3089"/>
    <cellStyle name="Cálculo 8" xfId="3090"/>
    <cellStyle name="Celda de comprobación" xfId="101" builtinId="23" customBuiltin="1"/>
    <cellStyle name="Celda de comprobación 2" xfId="102"/>
    <cellStyle name="Celda de comprobación 2 2" xfId="103"/>
    <cellStyle name="Celda de comprobación 2 3" xfId="104"/>
    <cellStyle name="Celda de comprobación 2 4" xfId="3091"/>
    <cellStyle name="Celda de comprobación 3" xfId="105"/>
    <cellStyle name="Celda de comprobación 4" xfId="3092"/>
    <cellStyle name="Celda de comprobación 5" xfId="3093"/>
    <cellStyle name="Celda de comprobación 6" xfId="3094"/>
    <cellStyle name="Celda de comprobación 7" xfId="3095"/>
    <cellStyle name="Celda vinculada" xfId="106" builtinId="24" customBuiltin="1"/>
    <cellStyle name="Celda vinculada 2" xfId="107"/>
    <cellStyle name="Celda vinculada 2 2" xfId="108"/>
    <cellStyle name="Celda vinculada 2 3" xfId="109"/>
    <cellStyle name="Celda vinculada 2 4" xfId="3096"/>
    <cellStyle name="Celda vinculada 3" xfId="110"/>
    <cellStyle name="Celda vinculada 4" xfId="3097"/>
    <cellStyle name="Celda vinculada 5" xfId="3098"/>
    <cellStyle name="Celda vinculada 6" xfId="3099"/>
    <cellStyle name="Celda vinculada 7" xfId="3100"/>
    <cellStyle name="Encabezado 4" xfId="111" builtinId="19" customBuiltin="1"/>
    <cellStyle name="Encabezado 4 2" xfId="112"/>
    <cellStyle name="Encabezado 4 2 2" xfId="113"/>
    <cellStyle name="Encabezado 4 2 3" xfId="114"/>
    <cellStyle name="Encabezado 4 2 4" xfId="3101"/>
    <cellStyle name="Encabezado 4 3" xfId="115"/>
    <cellStyle name="Encabezado 4 4" xfId="3102"/>
    <cellStyle name="Encabezado 4 5" xfId="3103"/>
    <cellStyle name="Encabezado 4 6" xfId="3104"/>
    <cellStyle name="Encabezado 4 7" xfId="3105"/>
    <cellStyle name="Énfasis1" xfId="116" builtinId="29" customBuiltin="1"/>
    <cellStyle name="Énfasis1 2" xfId="117"/>
    <cellStyle name="Énfasis1 2 2" xfId="118"/>
    <cellStyle name="Énfasis1 2 3" xfId="119"/>
    <cellStyle name="Énfasis1 2 4" xfId="3106"/>
    <cellStyle name="Énfasis1 3" xfId="120"/>
    <cellStyle name="Énfasis1 4" xfId="3107"/>
    <cellStyle name="Énfasis1 5" xfId="3108"/>
    <cellStyle name="Énfasis1 6" xfId="3109"/>
    <cellStyle name="Énfasis1 7" xfId="3110"/>
    <cellStyle name="Énfasis2" xfId="121" builtinId="33" customBuiltin="1"/>
    <cellStyle name="Énfasis2 2" xfId="122"/>
    <cellStyle name="Énfasis2 2 2" xfId="123"/>
    <cellStyle name="Énfasis2 2 3" xfId="124"/>
    <cellStyle name="Énfasis2 2 4" xfId="3111"/>
    <cellStyle name="Énfasis2 3" xfId="125"/>
    <cellStyle name="Énfasis2 4" xfId="3112"/>
    <cellStyle name="Énfasis2 5" xfId="3113"/>
    <cellStyle name="Énfasis2 6" xfId="3114"/>
    <cellStyle name="Énfasis2 7" xfId="3115"/>
    <cellStyle name="Énfasis3" xfId="126" builtinId="37" customBuiltin="1"/>
    <cellStyle name="Énfasis3 2" xfId="127"/>
    <cellStyle name="Énfasis3 2 2" xfId="128"/>
    <cellStyle name="Énfasis3 2 3" xfId="129"/>
    <cellStyle name="Énfasis3 2 4" xfId="3116"/>
    <cellStyle name="Énfasis3 3" xfId="130"/>
    <cellStyle name="Énfasis3 4" xfId="3117"/>
    <cellStyle name="Énfasis3 5" xfId="3118"/>
    <cellStyle name="Énfasis3 6" xfId="3119"/>
    <cellStyle name="Énfasis3 7" xfId="3120"/>
    <cellStyle name="Énfasis4" xfId="131" builtinId="41" customBuiltin="1"/>
    <cellStyle name="Énfasis4 2" xfId="132"/>
    <cellStyle name="Énfasis4 2 2" xfId="133"/>
    <cellStyle name="Énfasis4 2 3" xfId="134"/>
    <cellStyle name="Énfasis4 2 4" xfId="3121"/>
    <cellStyle name="Énfasis4 3" xfId="135"/>
    <cellStyle name="Énfasis4 4" xfId="3122"/>
    <cellStyle name="Énfasis4 5" xfId="3123"/>
    <cellStyle name="Énfasis4 6" xfId="3124"/>
    <cellStyle name="Énfasis4 7" xfId="3125"/>
    <cellStyle name="Énfasis5" xfId="136" builtinId="45" customBuiltin="1"/>
    <cellStyle name="Énfasis5 2" xfId="137"/>
    <cellStyle name="Énfasis5 2 2" xfId="138"/>
    <cellStyle name="Énfasis5 2 3" xfId="139"/>
    <cellStyle name="Énfasis5 2 4" xfId="3126"/>
    <cellStyle name="Énfasis5 3" xfId="140"/>
    <cellStyle name="Énfasis5 4" xfId="3127"/>
    <cellStyle name="Énfasis5 5" xfId="3128"/>
    <cellStyle name="Énfasis5 6" xfId="3129"/>
    <cellStyle name="Énfasis5 7" xfId="3130"/>
    <cellStyle name="Énfasis6" xfId="141" builtinId="49" customBuiltin="1"/>
    <cellStyle name="Énfasis6 2" xfId="142"/>
    <cellStyle name="Énfasis6 2 2" xfId="143"/>
    <cellStyle name="Énfasis6 2 3" xfId="144"/>
    <cellStyle name="Énfasis6 2 4" xfId="3131"/>
    <cellStyle name="Énfasis6 3" xfId="145"/>
    <cellStyle name="Énfasis6 4" xfId="3132"/>
    <cellStyle name="Énfasis6 5" xfId="3133"/>
    <cellStyle name="Énfasis6 6" xfId="3134"/>
    <cellStyle name="Énfasis6 7" xfId="3135"/>
    <cellStyle name="Entrada" xfId="146" builtinId="20" customBuiltin="1"/>
    <cellStyle name="Entrada 2" xfId="147"/>
    <cellStyle name="Entrada 2 10" xfId="3136"/>
    <cellStyle name="Entrada 2 10 2" xfId="3137"/>
    <cellStyle name="Entrada 2 11" xfId="3138"/>
    <cellStyle name="Entrada 2 11 2" xfId="3139"/>
    <cellStyle name="Entrada 2 12" xfId="3140"/>
    <cellStyle name="Entrada 2 12 2" xfId="3141"/>
    <cellStyle name="Entrada 2 13" xfId="3142"/>
    <cellStyle name="Entrada 2 13 2" xfId="3143"/>
    <cellStyle name="Entrada 2 14" xfId="3144"/>
    <cellStyle name="Entrada 2 14 2" xfId="3145"/>
    <cellStyle name="Entrada 2 15" xfId="3146"/>
    <cellStyle name="Entrada 2 15 2" xfId="3147"/>
    <cellStyle name="Entrada 2 16" xfId="3148"/>
    <cellStyle name="Entrada 2 16 2" xfId="3149"/>
    <cellStyle name="Entrada 2 17" xfId="3150"/>
    <cellStyle name="Entrada 2 17 2" xfId="3151"/>
    <cellStyle name="Entrada 2 18" xfId="3152"/>
    <cellStyle name="Entrada 2 18 2" xfId="3153"/>
    <cellStyle name="Entrada 2 19" xfId="3154"/>
    <cellStyle name="Entrada 2 2" xfId="148"/>
    <cellStyle name="Entrada 2 2 10" xfId="3155"/>
    <cellStyle name="Entrada 2 2 10 2" xfId="3156"/>
    <cellStyle name="Entrada 2 2 11" xfId="3157"/>
    <cellStyle name="Entrada 2 2 11 2" xfId="3158"/>
    <cellStyle name="Entrada 2 2 12" xfId="3159"/>
    <cellStyle name="Entrada 2 2 12 2" xfId="3160"/>
    <cellStyle name="Entrada 2 2 13" xfId="3161"/>
    <cellStyle name="Entrada 2 2 13 2" xfId="3162"/>
    <cellStyle name="Entrada 2 2 14" xfId="3163"/>
    <cellStyle name="Entrada 2 2 14 2" xfId="3164"/>
    <cellStyle name="Entrada 2 2 15" xfId="3165"/>
    <cellStyle name="Entrada 2 2 15 2" xfId="3166"/>
    <cellStyle name="Entrada 2 2 16" xfId="3167"/>
    <cellStyle name="Entrada 2 2 17" xfId="3168"/>
    <cellStyle name="Entrada 2 2 18" xfId="3169"/>
    <cellStyle name="Entrada 2 2 2" xfId="3170"/>
    <cellStyle name="Entrada 2 2 2 10" xfId="3171"/>
    <cellStyle name="Entrada 2 2 2 10 2" xfId="3172"/>
    <cellStyle name="Entrada 2 2 2 11" xfId="3173"/>
    <cellStyle name="Entrada 2 2 2 11 2" xfId="3174"/>
    <cellStyle name="Entrada 2 2 2 12" xfId="3175"/>
    <cellStyle name="Entrada 2 2 2 12 2" xfId="3176"/>
    <cellStyle name="Entrada 2 2 2 13" xfId="3177"/>
    <cellStyle name="Entrada 2 2 2 13 2" xfId="3178"/>
    <cellStyle name="Entrada 2 2 2 14" xfId="3179"/>
    <cellStyle name="Entrada 2 2 2 14 2" xfId="3180"/>
    <cellStyle name="Entrada 2 2 2 15" xfId="3181"/>
    <cellStyle name="Entrada 2 2 2 2" xfId="3182"/>
    <cellStyle name="Entrada 2 2 2 2 10" xfId="3183"/>
    <cellStyle name="Entrada 2 2 2 2 10 2" xfId="3184"/>
    <cellStyle name="Entrada 2 2 2 2 11" xfId="3185"/>
    <cellStyle name="Entrada 2 2 2 2 11 2" xfId="3186"/>
    <cellStyle name="Entrada 2 2 2 2 12" xfId="3187"/>
    <cellStyle name="Entrada 2 2 2 2 12 2" xfId="3188"/>
    <cellStyle name="Entrada 2 2 2 2 13" xfId="3189"/>
    <cellStyle name="Entrada 2 2 2 2 2" xfId="3190"/>
    <cellStyle name="Entrada 2 2 2 2 2 10" xfId="3191"/>
    <cellStyle name="Entrada 2 2 2 2 2 10 2" xfId="3192"/>
    <cellStyle name="Entrada 2 2 2 2 2 11" xfId="3193"/>
    <cellStyle name="Entrada 2 2 2 2 2 2" xfId="3194"/>
    <cellStyle name="Entrada 2 2 2 2 2 2 2" xfId="3195"/>
    <cellStyle name="Entrada 2 2 2 2 2 3" xfId="3196"/>
    <cellStyle name="Entrada 2 2 2 2 2 3 2" xfId="3197"/>
    <cellStyle name="Entrada 2 2 2 2 2 4" xfId="3198"/>
    <cellStyle name="Entrada 2 2 2 2 2 4 2" xfId="3199"/>
    <cellStyle name="Entrada 2 2 2 2 2 5" xfId="3200"/>
    <cellStyle name="Entrada 2 2 2 2 2 5 2" xfId="3201"/>
    <cellStyle name="Entrada 2 2 2 2 2 6" xfId="3202"/>
    <cellStyle name="Entrada 2 2 2 2 2 6 2" xfId="3203"/>
    <cellStyle name="Entrada 2 2 2 2 2 7" xfId="3204"/>
    <cellStyle name="Entrada 2 2 2 2 2 7 2" xfId="3205"/>
    <cellStyle name="Entrada 2 2 2 2 2 8" xfId="3206"/>
    <cellStyle name="Entrada 2 2 2 2 2 8 2" xfId="3207"/>
    <cellStyle name="Entrada 2 2 2 2 2 9" xfId="3208"/>
    <cellStyle name="Entrada 2 2 2 2 2 9 2" xfId="3209"/>
    <cellStyle name="Entrada 2 2 2 2 3" xfId="3210"/>
    <cellStyle name="Entrada 2 2 2 2 3 10" xfId="3211"/>
    <cellStyle name="Entrada 2 2 2 2 3 10 2" xfId="3212"/>
    <cellStyle name="Entrada 2 2 2 2 3 11" xfId="3213"/>
    <cellStyle name="Entrada 2 2 2 2 3 2" xfId="3214"/>
    <cellStyle name="Entrada 2 2 2 2 3 2 2" xfId="3215"/>
    <cellStyle name="Entrada 2 2 2 2 3 3" xfId="3216"/>
    <cellStyle name="Entrada 2 2 2 2 3 3 2" xfId="3217"/>
    <cellStyle name="Entrada 2 2 2 2 3 4" xfId="3218"/>
    <cellStyle name="Entrada 2 2 2 2 3 4 2" xfId="3219"/>
    <cellStyle name="Entrada 2 2 2 2 3 5" xfId="3220"/>
    <cellStyle name="Entrada 2 2 2 2 3 5 2" xfId="3221"/>
    <cellStyle name="Entrada 2 2 2 2 3 6" xfId="3222"/>
    <cellStyle name="Entrada 2 2 2 2 3 6 2" xfId="3223"/>
    <cellStyle name="Entrada 2 2 2 2 3 7" xfId="3224"/>
    <cellStyle name="Entrada 2 2 2 2 3 7 2" xfId="3225"/>
    <cellStyle name="Entrada 2 2 2 2 3 8" xfId="3226"/>
    <cellStyle name="Entrada 2 2 2 2 3 8 2" xfId="3227"/>
    <cellStyle name="Entrada 2 2 2 2 3 9" xfId="3228"/>
    <cellStyle name="Entrada 2 2 2 2 3 9 2" xfId="3229"/>
    <cellStyle name="Entrada 2 2 2 2 4" xfId="3230"/>
    <cellStyle name="Entrada 2 2 2 2 4 2" xfId="3231"/>
    <cellStyle name="Entrada 2 2 2 2 5" xfId="3232"/>
    <cellStyle name="Entrada 2 2 2 2 5 2" xfId="3233"/>
    <cellStyle name="Entrada 2 2 2 2 6" xfId="3234"/>
    <cellStyle name="Entrada 2 2 2 2 6 2" xfId="3235"/>
    <cellStyle name="Entrada 2 2 2 2 7" xfId="3236"/>
    <cellStyle name="Entrada 2 2 2 2 7 2" xfId="3237"/>
    <cellStyle name="Entrada 2 2 2 2 8" xfId="3238"/>
    <cellStyle name="Entrada 2 2 2 2 8 2" xfId="3239"/>
    <cellStyle name="Entrada 2 2 2 2 9" xfId="3240"/>
    <cellStyle name="Entrada 2 2 2 2 9 2" xfId="3241"/>
    <cellStyle name="Entrada 2 2 2 3" xfId="3242"/>
    <cellStyle name="Entrada 2 2 2 3 10" xfId="3243"/>
    <cellStyle name="Entrada 2 2 2 3 10 2" xfId="3244"/>
    <cellStyle name="Entrada 2 2 2 3 11" xfId="3245"/>
    <cellStyle name="Entrada 2 2 2 3 11 2" xfId="3246"/>
    <cellStyle name="Entrada 2 2 2 3 12" xfId="3247"/>
    <cellStyle name="Entrada 2 2 2 3 12 2" xfId="3248"/>
    <cellStyle name="Entrada 2 2 2 3 13" xfId="3249"/>
    <cellStyle name="Entrada 2 2 2 3 2" xfId="3250"/>
    <cellStyle name="Entrada 2 2 2 3 2 10" xfId="3251"/>
    <cellStyle name="Entrada 2 2 2 3 2 10 2" xfId="3252"/>
    <cellStyle name="Entrada 2 2 2 3 2 11" xfId="3253"/>
    <cellStyle name="Entrada 2 2 2 3 2 2" xfId="3254"/>
    <cellStyle name="Entrada 2 2 2 3 2 2 2" xfId="3255"/>
    <cellStyle name="Entrada 2 2 2 3 2 3" xfId="3256"/>
    <cellStyle name="Entrada 2 2 2 3 2 3 2" xfId="3257"/>
    <cellStyle name="Entrada 2 2 2 3 2 4" xfId="3258"/>
    <cellStyle name="Entrada 2 2 2 3 2 4 2" xfId="3259"/>
    <cellStyle name="Entrada 2 2 2 3 2 5" xfId="3260"/>
    <cellStyle name="Entrada 2 2 2 3 2 5 2" xfId="3261"/>
    <cellStyle name="Entrada 2 2 2 3 2 6" xfId="3262"/>
    <cellStyle name="Entrada 2 2 2 3 2 6 2" xfId="3263"/>
    <cellStyle name="Entrada 2 2 2 3 2 7" xfId="3264"/>
    <cellStyle name="Entrada 2 2 2 3 2 7 2" xfId="3265"/>
    <cellStyle name="Entrada 2 2 2 3 2 8" xfId="3266"/>
    <cellStyle name="Entrada 2 2 2 3 2 8 2" xfId="3267"/>
    <cellStyle name="Entrada 2 2 2 3 2 9" xfId="3268"/>
    <cellStyle name="Entrada 2 2 2 3 2 9 2" xfId="3269"/>
    <cellStyle name="Entrada 2 2 2 3 3" xfId="3270"/>
    <cellStyle name="Entrada 2 2 2 3 3 10" xfId="3271"/>
    <cellStyle name="Entrada 2 2 2 3 3 10 2" xfId="3272"/>
    <cellStyle name="Entrada 2 2 2 3 3 11" xfId="3273"/>
    <cellStyle name="Entrada 2 2 2 3 3 2" xfId="3274"/>
    <cellStyle name="Entrada 2 2 2 3 3 2 2" xfId="3275"/>
    <cellStyle name="Entrada 2 2 2 3 3 3" xfId="3276"/>
    <cellStyle name="Entrada 2 2 2 3 3 3 2" xfId="3277"/>
    <cellStyle name="Entrada 2 2 2 3 3 4" xfId="3278"/>
    <cellStyle name="Entrada 2 2 2 3 3 4 2" xfId="3279"/>
    <cellStyle name="Entrada 2 2 2 3 3 5" xfId="3280"/>
    <cellStyle name="Entrada 2 2 2 3 3 5 2" xfId="3281"/>
    <cellStyle name="Entrada 2 2 2 3 3 6" xfId="3282"/>
    <cellStyle name="Entrada 2 2 2 3 3 6 2" xfId="3283"/>
    <cellStyle name="Entrada 2 2 2 3 3 7" xfId="3284"/>
    <cellStyle name="Entrada 2 2 2 3 3 7 2" xfId="3285"/>
    <cellStyle name="Entrada 2 2 2 3 3 8" xfId="3286"/>
    <cellStyle name="Entrada 2 2 2 3 3 8 2" xfId="3287"/>
    <cellStyle name="Entrada 2 2 2 3 3 9" xfId="3288"/>
    <cellStyle name="Entrada 2 2 2 3 3 9 2" xfId="3289"/>
    <cellStyle name="Entrada 2 2 2 3 4" xfId="3290"/>
    <cellStyle name="Entrada 2 2 2 3 4 2" xfId="3291"/>
    <cellStyle name="Entrada 2 2 2 3 5" xfId="3292"/>
    <cellStyle name="Entrada 2 2 2 3 5 2" xfId="3293"/>
    <cellStyle name="Entrada 2 2 2 3 6" xfId="3294"/>
    <cellStyle name="Entrada 2 2 2 3 6 2" xfId="3295"/>
    <cellStyle name="Entrada 2 2 2 3 7" xfId="3296"/>
    <cellStyle name="Entrada 2 2 2 3 7 2" xfId="3297"/>
    <cellStyle name="Entrada 2 2 2 3 8" xfId="3298"/>
    <cellStyle name="Entrada 2 2 2 3 8 2" xfId="3299"/>
    <cellStyle name="Entrada 2 2 2 3 9" xfId="3300"/>
    <cellStyle name="Entrada 2 2 2 3 9 2" xfId="3301"/>
    <cellStyle name="Entrada 2 2 2 4" xfId="3302"/>
    <cellStyle name="Entrada 2 2 2 4 10" xfId="3303"/>
    <cellStyle name="Entrada 2 2 2 4 10 2" xfId="3304"/>
    <cellStyle name="Entrada 2 2 2 4 11" xfId="3305"/>
    <cellStyle name="Entrada 2 2 2 4 2" xfId="3306"/>
    <cellStyle name="Entrada 2 2 2 4 2 2" xfId="3307"/>
    <cellStyle name="Entrada 2 2 2 4 3" xfId="3308"/>
    <cellStyle name="Entrada 2 2 2 4 3 2" xfId="3309"/>
    <cellStyle name="Entrada 2 2 2 4 4" xfId="3310"/>
    <cellStyle name="Entrada 2 2 2 4 4 2" xfId="3311"/>
    <cellStyle name="Entrada 2 2 2 4 5" xfId="3312"/>
    <cellStyle name="Entrada 2 2 2 4 5 2" xfId="3313"/>
    <cellStyle name="Entrada 2 2 2 4 6" xfId="3314"/>
    <cellStyle name="Entrada 2 2 2 4 6 2" xfId="3315"/>
    <cellStyle name="Entrada 2 2 2 4 7" xfId="3316"/>
    <cellStyle name="Entrada 2 2 2 4 7 2" xfId="3317"/>
    <cellStyle name="Entrada 2 2 2 4 8" xfId="3318"/>
    <cellStyle name="Entrada 2 2 2 4 8 2" xfId="3319"/>
    <cellStyle name="Entrada 2 2 2 4 9" xfId="3320"/>
    <cellStyle name="Entrada 2 2 2 4 9 2" xfId="3321"/>
    <cellStyle name="Entrada 2 2 2 5" xfId="3322"/>
    <cellStyle name="Entrada 2 2 2 5 10" xfId="3323"/>
    <cellStyle name="Entrada 2 2 2 5 10 2" xfId="3324"/>
    <cellStyle name="Entrada 2 2 2 5 11" xfId="3325"/>
    <cellStyle name="Entrada 2 2 2 5 2" xfId="3326"/>
    <cellStyle name="Entrada 2 2 2 5 2 2" xfId="3327"/>
    <cellStyle name="Entrada 2 2 2 5 3" xfId="3328"/>
    <cellStyle name="Entrada 2 2 2 5 3 2" xfId="3329"/>
    <cellStyle name="Entrada 2 2 2 5 4" xfId="3330"/>
    <cellStyle name="Entrada 2 2 2 5 4 2" xfId="3331"/>
    <cellStyle name="Entrada 2 2 2 5 5" xfId="3332"/>
    <cellStyle name="Entrada 2 2 2 5 5 2" xfId="3333"/>
    <cellStyle name="Entrada 2 2 2 5 6" xfId="3334"/>
    <cellStyle name="Entrada 2 2 2 5 6 2" xfId="3335"/>
    <cellStyle name="Entrada 2 2 2 5 7" xfId="3336"/>
    <cellStyle name="Entrada 2 2 2 5 7 2" xfId="3337"/>
    <cellStyle name="Entrada 2 2 2 5 8" xfId="3338"/>
    <cellStyle name="Entrada 2 2 2 5 8 2" xfId="3339"/>
    <cellStyle name="Entrada 2 2 2 5 9" xfId="3340"/>
    <cellStyle name="Entrada 2 2 2 5 9 2" xfId="3341"/>
    <cellStyle name="Entrada 2 2 2 6" xfId="3342"/>
    <cellStyle name="Entrada 2 2 2 6 2" xfId="3343"/>
    <cellStyle name="Entrada 2 2 2 7" xfId="3344"/>
    <cellStyle name="Entrada 2 2 2 7 2" xfId="3345"/>
    <cellStyle name="Entrada 2 2 2 8" xfId="3346"/>
    <cellStyle name="Entrada 2 2 2 8 2" xfId="3347"/>
    <cellStyle name="Entrada 2 2 2 9" xfId="3348"/>
    <cellStyle name="Entrada 2 2 2 9 2" xfId="3349"/>
    <cellStyle name="Entrada 2 2 3" xfId="3350"/>
    <cellStyle name="Entrada 2 2 3 10" xfId="3351"/>
    <cellStyle name="Entrada 2 2 3 10 2" xfId="3352"/>
    <cellStyle name="Entrada 2 2 3 11" xfId="3353"/>
    <cellStyle name="Entrada 2 2 3 11 2" xfId="3354"/>
    <cellStyle name="Entrada 2 2 3 12" xfId="3355"/>
    <cellStyle name="Entrada 2 2 3 12 2" xfId="3356"/>
    <cellStyle name="Entrada 2 2 3 13" xfId="3357"/>
    <cellStyle name="Entrada 2 2 3 13 2" xfId="3358"/>
    <cellStyle name="Entrada 2 2 3 14" xfId="3359"/>
    <cellStyle name="Entrada 2 2 3 14 2" xfId="3360"/>
    <cellStyle name="Entrada 2 2 3 15" xfId="3361"/>
    <cellStyle name="Entrada 2 2 3 2" xfId="3362"/>
    <cellStyle name="Entrada 2 2 3 2 10" xfId="3363"/>
    <cellStyle name="Entrada 2 2 3 2 10 2" xfId="3364"/>
    <cellStyle name="Entrada 2 2 3 2 11" xfId="3365"/>
    <cellStyle name="Entrada 2 2 3 2 11 2" xfId="3366"/>
    <cellStyle name="Entrada 2 2 3 2 12" xfId="3367"/>
    <cellStyle name="Entrada 2 2 3 2 12 2" xfId="3368"/>
    <cellStyle name="Entrada 2 2 3 2 13" xfId="3369"/>
    <cellStyle name="Entrada 2 2 3 2 2" xfId="3370"/>
    <cellStyle name="Entrada 2 2 3 2 2 10" xfId="3371"/>
    <cellStyle name="Entrada 2 2 3 2 2 10 2" xfId="3372"/>
    <cellStyle name="Entrada 2 2 3 2 2 11" xfId="3373"/>
    <cellStyle name="Entrada 2 2 3 2 2 2" xfId="3374"/>
    <cellStyle name="Entrada 2 2 3 2 2 2 2" xfId="3375"/>
    <cellStyle name="Entrada 2 2 3 2 2 3" xfId="3376"/>
    <cellStyle name="Entrada 2 2 3 2 2 3 2" xfId="3377"/>
    <cellStyle name="Entrada 2 2 3 2 2 4" xfId="3378"/>
    <cellStyle name="Entrada 2 2 3 2 2 4 2" xfId="3379"/>
    <cellStyle name="Entrada 2 2 3 2 2 5" xfId="3380"/>
    <cellStyle name="Entrada 2 2 3 2 2 5 2" xfId="3381"/>
    <cellStyle name="Entrada 2 2 3 2 2 6" xfId="3382"/>
    <cellStyle name="Entrada 2 2 3 2 2 6 2" xfId="3383"/>
    <cellStyle name="Entrada 2 2 3 2 2 7" xfId="3384"/>
    <cellStyle name="Entrada 2 2 3 2 2 7 2" xfId="3385"/>
    <cellStyle name="Entrada 2 2 3 2 2 8" xfId="3386"/>
    <cellStyle name="Entrada 2 2 3 2 2 8 2" xfId="3387"/>
    <cellStyle name="Entrada 2 2 3 2 2 9" xfId="3388"/>
    <cellStyle name="Entrada 2 2 3 2 2 9 2" xfId="3389"/>
    <cellStyle name="Entrada 2 2 3 2 3" xfId="3390"/>
    <cellStyle name="Entrada 2 2 3 2 3 10" xfId="3391"/>
    <cellStyle name="Entrada 2 2 3 2 3 10 2" xfId="3392"/>
    <cellStyle name="Entrada 2 2 3 2 3 11" xfId="3393"/>
    <cellStyle name="Entrada 2 2 3 2 3 2" xfId="3394"/>
    <cellStyle name="Entrada 2 2 3 2 3 2 2" xfId="3395"/>
    <cellStyle name="Entrada 2 2 3 2 3 3" xfId="3396"/>
    <cellStyle name="Entrada 2 2 3 2 3 3 2" xfId="3397"/>
    <cellStyle name="Entrada 2 2 3 2 3 4" xfId="3398"/>
    <cellStyle name="Entrada 2 2 3 2 3 4 2" xfId="3399"/>
    <cellStyle name="Entrada 2 2 3 2 3 5" xfId="3400"/>
    <cellStyle name="Entrada 2 2 3 2 3 5 2" xfId="3401"/>
    <cellStyle name="Entrada 2 2 3 2 3 6" xfId="3402"/>
    <cellStyle name="Entrada 2 2 3 2 3 6 2" xfId="3403"/>
    <cellStyle name="Entrada 2 2 3 2 3 7" xfId="3404"/>
    <cellStyle name="Entrada 2 2 3 2 3 7 2" xfId="3405"/>
    <cellStyle name="Entrada 2 2 3 2 3 8" xfId="3406"/>
    <cellStyle name="Entrada 2 2 3 2 3 8 2" xfId="3407"/>
    <cellStyle name="Entrada 2 2 3 2 3 9" xfId="3408"/>
    <cellStyle name="Entrada 2 2 3 2 3 9 2" xfId="3409"/>
    <cellStyle name="Entrada 2 2 3 2 4" xfId="3410"/>
    <cellStyle name="Entrada 2 2 3 2 4 2" xfId="3411"/>
    <cellStyle name="Entrada 2 2 3 2 5" xfId="3412"/>
    <cellStyle name="Entrada 2 2 3 2 5 2" xfId="3413"/>
    <cellStyle name="Entrada 2 2 3 2 6" xfId="3414"/>
    <cellStyle name="Entrada 2 2 3 2 6 2" xfId="3415"/>
    <cellStyle name="Entrada 2 2 3 2 7" xfId="3416"/>
    <cellStyle name="Entrada 2 2 3 2 7 2" xfId="3417"/>
    <cellStyle name="Entrada 2 2 3 2 8" xfId="3418"/>
    <cellStyle name="Entrada 2 2 3 2 8 2" xfId="3419"/>
    <cellStyle name="Entrada 2 2 3 2 9" xfId="3420"/>
    <cellStyle name="Entrada 2 2 3 2 9 2" xfId="3421"/>
    <cellStyle name="Entrada 2 2 3 3" xfId="3422"/>
    <cellStyle name="Entrada 2 2 3 3 10" xfId="3423"/>
    <cellStyle name="Entrada 2 2 3 3 10 2" xfId="3424"/>
    <cellStyle name="Entrada 2 2 3 3 11" xfId="3425"/>
    <cellStyle name="Entrada 2 2 3 3 11 2" xfId="3426"/>
    <cellStyle name="Entrada 2 2 3 3 12" xfId="3427"/>
    <cellStyle name="Entrada 2 2 3 3 12 2" xfId="3428"/>
    <cellStyle name="Entrada 2 2 3 3 13" xfId="3429"/>
    <cellStyle name="Entrada 2 2 3 3 2" xfId="3430"/>
    <cellStyle name="Entrada 2 2 3 3 2 10" xfId="3431"/>
    <cellStyle name="Entrada 2 2 3 3 2 10 2" xfId="3432"/>
    <cellStyle name="Entrada 2 2 3 3 2 11" xfId="3433"/>
    <cellStyle name="Entrada 2 2 3 3 2 2" xfId="3434"/>
    <cellStyle name="Entrada 2 2 3 3 2 2 2" xfId="3435"/>
    <cellStyle name="Entrada 2 2 3 3 2 3" xfId="3436"/>
    <cellStyle name="Entrada 2 2 3 3 2 3 2" xfId="3437"/>
    <cellStyle name="Entrada 2 2 3 3 2 4" xfId="3438"/>
    <cellStyle name="Entrada 2 2 3 3 2 4 2" xfId="3439"/>
    <cellStyle name="Entrada 2 2 3 3 2 5" xfId="3440"/>
    <cellStyle name="Entrada 2 2 3 3 2 5 2" xfId="3441"/>
    <cellStyle name="Entrada 2 2 3 3 2 6" xfId="3442"/>
    <cellStyle name="Entrada 2 2 3 3 2 6 2" xfId="3443"/>
    <cellStyle name="Entrada 2 2 3 3 2 7" xfId="3444"/>
    <cellStyle name="Entrada 2 2 3 3 2 7 2" xfId="3445"/>
    <cellStyle name="Entrada 2 2 3 3 2 8" xfId="3446"/>
    <cellStyle name="Entrada 2 2 3 3 2 8 2" xfId="3447"/>
    <cellStyle name="Entrada 2 2 3 3 2 9" xfId="3448"/>
    <cellStyle name="Entrada 2 2 3 3 2 9 2" xfId="3449"/>
    <cellStyle name="Entrada 2 2 3 3 3" xfId="3450"/>
    <cellStyle name="Entrada 2 2 3 3 3 10" xfId="3451"/>
    <cellStyle name="Entrada 2 2 3 3 3 10 2" xfId="3452"/>
    <cellStyle name="Entrada 2 2 3 3 3 11" xfId="3453"/>
    <cellStyle name="Entrada 2 2 3 3 3 2" xfId="3454"/>
    <cellStyle name="Entrada 2 2 3 3 3 2 2" xfId="3455"/>
    <cellStyle name="Entrada 2 2 3 3 3 3" xfId="3456"/>
    <cellStyle name="Entrada 2 2 3 3 3 3 2" xfId="3457"/>
    <cellStyle name="Entrada 2 2 3 3 3 4" xfId="3458"/>
    <cellStyle name="Entrada 2 2 3 3 3 4 2" xfId="3459"/>
    <cellStyle name="Entrada 2 2 3 3 3 5" xfId="3460"/>
    <cellStyle name="Entrada 2 2 3 3 3 5 2" xfId="3461"/>
    <cellStyle name="Entrada 2 2 3 3 3 6" xfId="3462"/>
    <cellStyle name="Entrada 2 2 3 3 3 6 2" xfId="3463"/>
    <cellStyle name="Entrada 2 2 3 3 3 7" xfId="3464"/>
    <cellStyle name="Entrada 2 2 3 3 3 7 2" xfId="3465"/>
    <cellStyle name="Entrada 2 2 3 3 3 8" xfId="3466"/>
    <cellStyle name="Entrada 2 2 3 3 3 8 2" xfId="3467"/>
    <cellStyle name="Entrada 2 2 3 3 3 9" xfId="3468"/>
    <cellStyle name="Entrada 2 2 3 3 3 9 2" xfId="3469"/>
    <cellStyle name="Entrada 2 2 3 3 4" xfId="3470"/>
    <cellStyle name="Entrada 2 2 3 3 4 2" xfId="3471"/>
    <cellStyle name="Entrada 2 2 3 3 5" xfId="3472"/>
    <cellStyle name="Entrada 2 2 3 3 5 2" xfId="3473"/>
    <cellStyle name="Entrada 2 2 3 3 6" xfId="3474"/>
    <cellStyle name="Entrada 2 2 3 3 6 2" xfId="3475"/>
    <cellStyle name="Entrada 2 2 3 3 7" xfId="3476"/>
    <cellStyle name="Entrada 2 2 3 3 7 2" xfId="3477"/>
    <cellStyle name="Entrada 2 2 3 3 8" xfId="3478"/>
    <cellStyle name="Entrada 2 2 3 3 8 2" xfId="3479"/>
    <cellStyle name="Entrada 2 2 3 3 9" xfId="3480"/>
    <cellStyle name="Entrada 2 2 3 3 9 2" xfId="3481"/>
    <cellStyle name="Entrada 2 2 3 4" xfId="3482"/>
    <cellStyle name="Entrada 2 2 3 4 10" xfId="3483"/>
    <cellStyle name="Entrada 2 2 3 4 10 2" xfId="3484"/>
    <cellStyle name="Entrada 2 2 3 4 11" xfId="3485"/>
    <cellStyle name="Entrada 2 2 3 4 2" xfId="3486"/>
    <cellStyle name="Entrada 2 2 3 4 2 2" xfId="3487"/>
    <cellStyle name="Entrada 2 2 3 4 3" xfId="3488"/>
    <cellStyle name="Entrada 2 2 3 4 3 2" xfId="3489"/>
    <cellStyle name="Entrada 2 2 3 4 4" xfId="3490"/>
    <cellStyle name="Entrada 2 2 3 4 4 2" xfId="3491"/>
    <cellStyle name="Entrada 2 2 3 4 5" xfId="3492"/>
    <cellStyle name="Entrada 2 2 3 4 5 2" xfId="3493"/>
    <cellStyle name="Entrada 2 2 3 4 6" xfId="3494"/>
    <cellStyle name="Entrada 2 2 3 4 6 2" xfId="3495"/>
    <cellStyle name="Entrada 2 2 3 4 7" xfId="3496"/>
    <cellStyle name="Entrada 2 2 3 4 7 2" xfId="3497"/>
    <cellStyle name="Entrada 2 2 3 4 8" xfId="3498"/>
    <cellStyle name="Entrada 2 2 3 4 8 2" xfId="3499"/>
    <cellStyle name="Entrada 2 2 3 4 9" xfId="3500"/>
    <cellStyle name="Entrada 2 2 3 4 9 2" xfId="3501"/>
    <cellStyle name="Entrada 2 2 3 5" xfId="3502"/>
    <cellStyle name="Entrada 2 2 3 5 10" xfId="3503"/>
    <cellStyle name="Entrada 2 2 3 5 10 2" xfId="3504"/>
    <cellStyle name="Entrada 2 2 3 5 11" xfId="3505"/>
    <cellStyle name="Entrada 2 2 3 5 2" xfId="3506"/>
    <cellStyle name="Entrada 2 2 3 5 2 2" xfId="3507"/>
    <cellStyle name="Entrada 2 2 3 5 3" xfId="3508"/>
    <cellStyle name="Entrada 2 2 3 5 3 2" xfId="3509"/>
    <cellStyle name="Entrada 2 2 3 5 4" xfId="3510"/>
    <cellStyle name="Entrada 2 2 3 5 4 2" xfId="3511"/>
    <cellStyle name="Entrada 2 2 3 5 5" xfId="3512"/>
    <cellStyle name="Entrada 2 2 3 5 5 2" xfId="3513"/>
    <cellStyle name="Entrada 2 2 3 5 6" xfId="3514"/>
    <cellStyle name="Entrada 2 2 3 5 6 2" xfId="3515"/>
    <cellStyle name="Entrada 2 2 3 5 7" xfId="3516"/>
    <cellStyle name="Entrada 2 2 3 5 7 2" xfId="3517"/>
    <cellStyle name="Entrada 2 2 3 5 8" xfId="3518"/>
    <cellStyle name="Entrada 2 2 3 5 8 2" xfId="3519"/>
    <cellStyle name="Entrada 2 2 3 5 9" xfId="3520"/>
    <cellStyle name="Entrada 2 2 3 5 9 2" xfId="3521"/>
    <cellStyle name="Entrada 2 2 3 6" xfId="3522"/>
    <cellStyle name="Entrada 2 2 3 6 2" xfId="3523"/>
    <cellStyle name="Entrada 2 2 3 7" xfId="3524"/>
    <cellStyle name="Entrada 2 2 3 7 2" xfId="3525"/>
    <cellStyle name="Entrada 2 2 3 8" xfId="3526"/>
    <cellStyle name="Entrada 2 2 3 8 2" xfId="3527"/>
    <cellStyle name="Entrada 2 2 3 9" xfId="3528"/>
    <cellStyle name="Entrada 2 2 3 9 2" xfId="3529"/>
    <cellStyle name="Entrada 2 2 4" xfId="3530"/>
    <cellStyle name="Entrada 2 2 4 10" xfId="3531"/>
    <cellStyle name="Entrada 2 2 4 10 2" xfId="3532"/>
    <cellStyle name="Entrada 2 2 4 11" xfId="3533"/>
    <cellStyle name="Entrada 2 2 4 11 2" xfId="3534"/>
    <cellStyle name="Entrada 2 2 4 12" xfId="3535"/>
    <cellStyle name="Entrada 2 2 4 12 2" xfId="3536"/>
    <cellStyle name="Entrada 2 2 4 13" xfId="3537"/>
    <cellStyle name="Entrada 2 2 4 2" xfId="3538"/>
    <cellStyle name="Entrada 2 2 4 2 10" xfId="3539"/>
    <cellStyle name="Entrada 2 2 4 2 10 2" xfId="3540"/>
    <cellStyle name="Entrada 2 2 4 2 11" xfId="3541"/>
    <cellStyle name="Entrada 2 2 4 2 2" xfId="3542"/>
    <cellStyle name="Entrada 2 2 4 2 2 2" xfId="3543"/>
    <cellStyle name="Entrada 2 2 4 2 3" xfId="3544"/>
    <cellStyle name="Entrada 2 2 4 2 3 2" xfId="3545"/>
    <cellStyle name="Entrada 2 2 4 2 4" xfId="3546"/>
    <cellStyle name="Entrada 2 2 4 2 4 2" xfId="3547"/>
    <cellStyle name="Entrada 2 2 4 2 5" xfId="3548"/>
    <cellStyle name="Entrada 2 2 4 2 5 2" xfId="3549"/>
    <cellStyle name="Entrada 2 2 4 2 6" xfId="3550"/>
    <cellStyle name="Entrada 2 2 4 2 6 2" xfId="3551"/>
    <cellStyle name="Entrada 2 2 4 2 7" xfId="3552"/>
    <cellStyle name="Entrada 2 2 4 2 7 2" xfId="3553"/>
    <cellStyle name="Entrada 2 2 4 2 8" xfId="3554"/>
    <cellStyle name="Entrada 2 2 4 2 8 2" xfId="3555"/>
    <cellStyle name="Entrada 2 2 4 2 9" xfId="3556"/>
    <cellStyle name="Entrada 2 2 4 2 9 2" xfId="3557"/>
    <cellStyle name="Entrada 2 2 4 3" xfId="3558"/>
    <cellStyle name="Entrada 2 2 4 3 10" xfId="3559"/>
    <cellStyle name="Entrada 2 2 4 3 10 2" xfId="3560"/>
    <cellStyle name="Entrada 2 2 4 3 11" xfId="3561"/>
    <cellStyle name="Entrada 2 2 4 3 2" xfId="3562"/>
    <cellStyle name="Entrada 2 2 4 3 2 2" xfId="3563"/>
    <cellStyle name="Entrada 2 2 4 3 3" xfId="3564"/>
    <cellStyle name="Entrada 2 2 4 3 3 2" xfId="3565"/>
    <cellStyle name="Entrada 2 2 4 3 4" xfId="3566"/>
    <cellStyle name="Entrada 2 2 4 3 4 2" xfId="3567"/>
    <cellStyle name="Entrada 2 2 4 3 5" xfId="3568"/>
    <cellStyle name="Entrada 2 2 4 3 5 2" xfId="3569"/>
    <cellStyle name="Entrada 2 2 4 3 6" xfId="3570"/>
    <cellStyle name="Entrada 2 2 4 3 6 2" xfId="3571"/>
    <cellStyle name="Entrada 2 2 4 3 7" xfId="3572"/>
    <cellStyle name="Entrada 2 2 4 3 7 2" xfId="3573"/>
    <cellStyle name="Entrada 2 2 4 3 8" xfId="3574"/>
    <cellStyle name="Entrada 2 2 4 3 8 2" xfId="3575"/>
    <cellStyle name="Entrada 2 2 4 3 9" xfId="3576"/>
    <cellStyle name="Entrada 2 2 4 3 9 2" xfId="3577"/>
    <cellStyle name="Entrada 2 2 4 4" xfId="3578"/>
    <cellStyle name="Entrada 2 2 4 4 2" xfId="3579"/>
    <cellStyle name="Entrada 2 2 4 5" xfId="3580"/>
    <cellStyle name="Entrada 2 2 4 5 2" xfId="3581"/>
    <cellStyle name="Entrada 2 2 4 6" xfId="3582"/>
    <cellStyle name="Entrada 2 2 4 6 2" xfId="3583"/>
    <cellStyle name="Entrada 2 2 4 7" xfId="3584"/>
    <cellStyle name="Entrada 2 2 4 7 2" xfId="3585"/>
    <cellStyle name="Entrada 2 2 4 8" xfId="3586"/>
    <cellStyle name="Entrada 2 2 4 8 2" xfId="3587"/>
    <cellStyle name="Entrada 2 2 4 9" xfId="3588"/>
    <cellStyle name="Entrada 2 2 4 9 2" xfId="3589"/>
    <cellStyle name="Entrada 2 2 5" xfId="3590"/>
    <cellStyle name="Entrada 2 2 5 10" xfId="3591"/>
    <cellStyle name="Entrada 2 2 5 10 2" xfId="3592"/>
    <cellStyle name="Entrada 2 2 5 11" xfId="3593"/>
    <cellStyle name="Entrada 2 2 5 11 2" xfId="3594"/>
    <cellStyle name="Entrada 2 2 5 12" xfId="3595"/>
    <cellStyle name="Entrada 2 2 5 12 2" xfId="3596"/>
    <cellStyle name="Entrada 2 2 5 13" xfId="3597"/>
    <cellStyle name="Entrada 2 2 5 2" xfId="3598"/>
    <cellStyle name="Entrada 2 2 5 2 10" xfId="3599"/>
    <cellStyle name="Entrada 2 2 5 2 10 2" xfId="3600"/>
    <cellStyle name="Entrada 2 2 5 2 11" xfId="3601"/>
    <cellStyle name="Entrada 2 2 5 2 2" xfId="3602"/>
    <cellStyle name="Entrada 2 2 5 2 2 2" xfId="3603"/>
    <cellStyle name="Entrada 2 2 5 2 3" xfId="3604"/>
    <cellStyle name="Entrada 2 2 5 2 3 2" xfId="3605"/>
    <cellStyle name="Entrada 2 2 5 2 4" xfId="3606"/>
    <cellStyle name="Entrada 2 2 5 2 4 2" xfId="3607"/>
    <cellStyle name="Entrada 2 2 5 2 5" xfId="3608"/>
    <cellStyle name="Entrada 2 2 5 2 5 2" xfId="3609"/>
    <cellStyle name="Entrada 2 2 5 2 6" xfId="3610"/>
    <cellStyle name="Entrada 2 2 5 2 6 2" xfId="3611"/>
    <cellStyle name="Entrada 2 2 5 2 7" xfId="3612"/>
    <cellStyle name="Entrada 2 2 5 2 7 2" xfId="3613"/>
    <cellStyle name="Entrada 2 2 5 2 8" xfId="3614"/>
    <cellStyle name="Entrada 2 2 5 2 8 2" xfId="3615"/>
    <cellStyle name="Entrada 2 2 5 2 9" xfId="3616"/>
    <cellStyle name="Entrada 2 2 5 2 9 2" xfId="3617"/>
    <cellStyle name="Entrada 2 2 5 3" xfId="3618"/>
    <cellStyle name="Entrada 2 2 5 3 10" xfId="3619"/>
    <cellStyle name="Entrada 2 2 5 3 10 2" xfId="3620"/>
    <cellStyle name="Entrada 2 2 5 3 11" xfId="3621"/>
    <cellStyle name="Entrada 2 2 5 3 2" xfId="3622"/>
    <cellStyle name="Entrada 2 2 5 3 2 2" xfId="3623"/>
    <cellStyle name="Entrada 2 2 5 3 3" xfId="3624"/>
    <cellStyle name="Entrada 2 2 5 3 3 2" xfId="3625"/>
    <cellStyle name="Entrada 2 2 5 3 4" xfId="3626"/>
    <cellStyle name="Entrada 2 2 5 3 4 2" xfId="3627"/>
    <cellStyle name="Entrada 2 2 5 3 5" xfId="3628"/>
    <cellStyle name="Entrada 2 2 5 3 5 2" xfId="3629"/>
    <cellStyle name="Entrada 2 2 5 3 6" xfId="3630"/>
    <cellStyle name="Entrada 2 2 5 3 6 2" xfId="3631"/>
    <cellStyle name="Entrada 2 2 5 3 7" xfId="3632"/>
    <cellStyle name="Entrada 2 2 5 3 7 2" xfId="3633"/>
    <cellStyle name="Entrada 2 2 5 3 8" xfId="3634"/>
    <cellStyle name="Entrada 2 2 5 3 8 2" xfId="3635"/>
    <cellStyle name="Entrada 2 2 5 3 9" xfId="3636"/>
    <cellStyle name="Entrada 2 2 5 3 9 2" xfId="3637"/>
    <cellStyle name="Entrada 2 2 5 4" xfId="3638"/>
    <cellStyle name="Entrada 2 2 5 4 2" xfId="3639"/>
    <cellStyle name="Entrada 2 2 5 5" xfId="3640"/>
    <cellStyle name="Entrada 2 2 5 5 2" xfId="3641"/>
    <cellStyle name="Entrada 2 2 5 6" xfId="3642"/>
    <cellStyle name="Entrada 2 2 5 6 2" xfId="3643"/>
    <cellStyle name="Entrada 2 2 5 7" xfId="3644"/>
    <cellStyle name="Entrada 2 2 5 7 2" xfId="3645"/>
    <cellStyle name="Entrada 2 2 5 8" xfId="3646"/>
    <cellStyle name="Entrada 2 2 5 8 2" xfId="3647"/>
    <cellStyle name="Entrada 2 2 5 9" xfId="3648"/>
    <cellStyle name="Entrada 2 2 5 9 2" xfId="3649"/>
    <cellStyle name="Entrada 2 2 6" xfId="3650"/>
    <cellStyle name="Entrada 2 2 6 2" xfId="3651"/>
    <cellStyle name="Entrada 2 2 7" xfId="3652"/>
    <cellStyle name="Entrada 2 2 7 2" xfId="3653"/>
    <cellStyle name="Entrada 2 2 8" xfId="3654"/>
    <cellStyle name="Entrada 2 2 8 2" xfId="3655"/>
    <cellStyle name="Entrada 2 2 9" xfId="3656"/>
    <cellStyle name="Entrada 2 2 9 2" xfId="3657"/>
    <cellStyle name="Entrada 2 20" xfId="3658"/>
    <cellStyle name="Entrada 2 21" xfId="3659"/>
    <cellStyle name="Entrada 2 3" xfId="149"/>
    <cellStyle name="Entrada 2 3 10" xfId="3660"/>
    <cellStyle name="Entrada 2 3 10 2" xfId="3661"/>
    <cellStyle name="Entrada 2 3 11" xfId="3662"/>
    <cellStyle name="Entrada 2 3 11 2" xfId="3663"/>
    <cellStyle name="Entrada 2 3 12" xfId="3664"/>
    <cellStyle name="Entrada 2 3 12 2" xfId="3665"/>
    <cellStyle name="Entrada 2 3 13" xfId="3666"/>
    <cellStyle name="Entrada 2 3 13 2" xfId="3667"/>
    <cellStyle name="Entrada 2 3 14" xfId="3668"/>
    <cellStyle name="Entrada 2 3 14 2" xfId="3669"/>
    <cellStyle name="Entrada 2 3 15" xfId="3670"/>
    <cellStyle name="Entrada 2 3 16" xfId="3671"/>
    <cellStyle name="Entrada 2 3 17" xfId="3672"/>
    <cellStyle name="Entrada 2 3 2" xfId="3673"/>
    <cellStyle name="Entrada 2 3 2 10" xfId="3674"/>
    <cellStyle name="Entrada 2 3 2 10 2" xfId="3675"/>
    <cellStyle name="Entrada 2 3 2 11" xfId="3676"/>
    <cellStyle name="Entrada 2 3 2 11 2" xfId="3677"/>
    <cellStyle name="Entrada 2 3 2 12" xfId="3678"/>
    <cellStyle name="Entrada 2 3 2 12 2" xfId="3679"/>
    <cellStyle name="Entrada 2 3 2 13" xfId="3680"/>
    <cellStyle name="Entrada 2 3 2 13 2" xfId="3681"/>
    <cellStyle name="Entrada 2 3 2 14" xfId="3682"/>
    <cellStyle name="Entrada 2 3 2 14 2" xfId="3683"/>
    <cellStyle name="Entrada 2 3 2 15" xfId="3684"/>
    <cellStyle name="Entrada 2 3 2 2" xfId="3685"/>
    <cellStyle name="Entrada 2 3 2 2 10" xfId="3686"/>
    <cellStyle name="Entrada 2 3 2 2 10 2" xfId="3687"/>
    <cellStyle name="Entrada 2 3 2 2 11" xfId="3688"/>
    <cellStyle name="Entrada 2 3 2 2 11 2" xfId="3689"/>
    <cellStyle name="Entrada 2 3 2 2 12" xfId="3690"/>
    <cellStyle name="Entrada 2 3 2 2 12 2" xfId="3691"/>
    <cellStyle name="Entrada 2 3 2 2 13" xfId="3692"/>
    <cellStyle name="Entrada 2 3 2 2 2" xfId="3693"/>
    <cellStyle name="Entrada 2 3 2 2 2 10" xfId="3694"/>
    <cellStyle name="Entrada 2 3 2 2 2 10 2" xfId="3695"/>
    <cellStyle name="Entrada 2 3 2 2 2 11" xfId="3696"/>
    <cellStyle name="Entrada 2 3 2 2 2 2" xfId="3697"/>
    <cellStyle name="Entrada 2 3 2 2 2 2 2" xfId="3698"/>
    <cellStyle name="Entrada 2 3 2 2 2 3" xfId="3699"/>
    <cellStyle name="Entrada 2 3 2 2 2 3 2" xfId="3700"/>
    <cellStyle name="Entrada 2 3 2 2 2 4" xfId="3701"/>
    <cellStyle name="Entrada 2 3 2 2 2 4 2" xfId="3702"/>
    <cellStyle name="Entrada 2 3 2 2 2 5" xfId="3703"/>
    <cellStyle name="Entrada 2 3 2 2 2 5 2" xfId="3704"/>
    <cellStyle name="Entrada 2 3 2 2 2 6" xfId="3705"/>
    <cellStyle name="Entrada 2 3 2 2 2 6 2" xfId="3706"/>
    <cellStyle name="Entrada 2 3 2 2 2 7" xfId="3707"/>
    <cellStyle name="Entrada 2 3 2 2 2 7 2" xfId="3708"/>
    <cellStyle name="Entrada 2 3 2 2 2 8" xfId="3709"/>
    <cellStyle name="Entrada 2 3 2 2 2 8 2" xfId="3710"/>
    <cellStyle name="Entrada 2 3 2 2 2 9" xfId="3711"/>
    <cellStyle name="Entrada 2 3 2 2 2 9 2" xfId="3712"/>
    <cellStyle name="Entrada 2 3 2 2 3" xfId="3713"/>
    <cellStyle name="Entrada 2 3 2 2 3 10" xfId="3714"/>
    <cellStyle name="Entrada 2 3 2 2 3 10 2" xfId="3715"/>
    <cellStyle name="Entrada 2 3 2 2 3 11" xfId="3716"/>
    <cellStyle name="Entrada 2 3 2 2 3 2" xfId="3717"/>
    <cellStyle name="Entrada 2 3 2 2 3 2 2" xfId="3718"/>
    <cellStyle name="Entrada 2 3 2 2 3 3" xfId="3719"/>
    <cellStyle name="Entrada 2 3 2 2 3 3 2" xfId="3720"/>
    <cellStyle name="Entrada 2 3 2 2 3 4" xfId="3721"/>
    <cellStyle name="Entrada 2 3 2 2 3 4 2" xfId="3722"/>
    <cellStyle name="Entrada 2 3 2 2 3 5" xfId="3723"/>
    <cellStyle name="Entrada 2 3 2 2 3 5 2" xfId="3724"/>
    <cellStyle name="Entrada 2 3 2 2 3 6" xfId="3725"/>
    <cellStyle name="Entrada 2 3 2 2 3 6 2" xfId="3726"/>
    <cellStyle name="Entrada 2 3 2 2 3 7" xfId="3727"/>
    <cellStyle name="Entrada 2 3 2 2 3 7 2" xfId="3728"/>
    <cellStyle name="Entrada 2 3 2 2 3 8" xfId="3729"/>
    <cellStyle name="Entrada 2 3 2 2 3 8 2" xfId="3730"/>
    <cellStyle name="Entrada 2 3 2 2 3 9" xfId="3731"/>
    <cellStyle name="Entrada 2 3 2 2 3 9 2" xfId="3732"/>
    <cellStyle name="Entrada 2 3 2 2 4" xfId="3733"/>
    <cellStyle name="Entrada 2 3 2 2 4 2" xfId="3734"/>
    <cellStyle name="Entrada 2 3 2 2 5" xfId="3735"/>
    <cellStyle name="Entrada 2 3 2 2 5 2" xfId="3736"/>
    <cellStyle name="Entrada 2 3 2 2 6" xfId="3737"/>
    <cellStyle name="Entrada 2 3 2 2 6 2" xfId="3738"/>
    <cellStyle name="Entrada 2 3 2 2 7" xfId="3739"/>
    <cellStyle name="Entrada 2 3 2 2 7 2" xfId="3740"/>
    <cellStyle name="Entrada 2 3 2 2 8" xfId="3741"/>
    <cellStyle name="Entrada 2 3 2 2 8 2" xfId="3742"/>
    <cellStyle name="Entrada 2 3 2 2 9" xfId="3743"/>
    <cellStyle name="Entrada 2 3 2 2 9 2" xfId="3744"/>
    <cellStyle name="Entrada 2 3 2 3" xfId="3745"/>
    <cellStyle name="Entrada 2 3 2 3 10" xfId="3746"/>
    <cellStyle name="Entrada 2 3 2 3 10 2" xfId="3747"/>
    <cellStyle name="Entrada 2 3 2 3 11" xfId="3748"/>
    <cellStyle name="Entrada 2 3 2 3 11 2" xfId="3749"/>
    <cellStyle name="Entrada 2 3 2 3 12" xfId="3750"/>
    <cellStyle name="Entrada 2 3 2 3 12 2" xfId="3751"/>
    <cellStyle name="Entrada 2 3 2 3 13" xfId="3752"/>
    <cellStyle name="Entrada 2 3 2 3 2" xfId="3753"/>
    <cellStyle name="Entrada 2 3 2 3 2 10" xfId="3754"/>
    <cellStyle name="Entrada 2 3 2 3 2 10 2" xfId="3755"/>
    <cellStyle name="Entrada 2 3 2 3 2 11" xfId="3756"/>
    <cellStyle name="Entrada 2 3 2 3 2 2" xfId="3757"/>
    <cellStyle name="Entrada 2 3 2 3 2 2 2" xfId="3758"/>
    <cellStyle name="Entrada 2 3 2 3 2 3" xfId="3759"/>
    <cellStyle name="Entrada 2 3 2 3 2 3 2" xfId="3760"/>
    <cellStyle name="Entrada 2 3 2 3 2 4" xfId="3761"/>
    <cellStyle name="Entrada 2 3 2 3 2 4 2" xfId="3762"/>
    <cellStyle name="Entrada 2 3 2 3 2 5" xfId="3763"/>
    <cellStyle name="Entrada 2 3 2 3 2 5 2" xfId="3764"/>
    <cellStyle name="Entrada 2 3 2 3 2 6" xfId="3765"/>
    <cellStyle name="Entrada 2 3 2 3 2 6 2" xfId="3766"/>
    <cellStyle name="Entrada 2 3 2 3 2 7" xfId="3767"/>
    <cellStyle name="Entrada 2 3 2 3 2 7 2" xfId="3768"/>
    <cellStyle name="Entrada 2 3 2 3 2 8" xfId="3769"/>
    <cellStyle name="Entrada 2 3 2 3 2 8 2" xfId="3770"/>
    <cellStyle name="Entrada 2 3 2 3 2 9" xfId="3771"/>
    <cellStyle name="Entrada 2 3 2 3 2 9 2" xfId="3772"/>
    <cellStyle name="Entrada 2 3 2 3 3" xfId="3773"/>
    <cellStyle name="Entrada 2 3 2 3 3 10" xfId="3774"/>
    <cellStyle name="Entrada 2 3 2 3 3 10 2" xfId="3775"/>
    <cellStyle name="Entrada 2 3 2 3 3 11" xfId="3776"/>
    <cellStyle name="Entrada 2 3 2 3 3 2" xfId="3777"/>
    <cellStyle name="Entrada 2 3 2 3 3 2 2" xfId="3778"/>
    <cellStyle name="Entrada 2 3 2 3 3 3" xfId="3779"/>
    <cellStyle name="Entrada 2 3 2 3 3 3 2" xfId="3780"/>
    <cellStyle name="Entrada 2 3 2 3 3 4" xfId="3781"/>
    <cellStyle name="Entrada 2 3 2 3 3 4 2" xfId="3782"/>
    <cellStyle name="Entrada 2 3 2 3 3 5" xfId="3783"/>
    <cellStyle name="Entrada 2 3 2 3 3 5 2" xfId="3784"/>
    <cellStyle name="Entrada 2 3 2 3 3 6" xfId="3785"/>
    <cellStyle name="Entrada 2 3 2 3 3 6 2" xfId="3786"/>
    <cellStyle name="Entrada 2 3 2 3 3 7" xfId="3787"/>
    <cellStyle name="Entrada 2 3 2 3 3 7 2" xfId="3788"/>
    <cellStyle name="Entrada 2 3 2 3 3 8" xfId="3789"/>
    <cellStyle name="Entrada 2 3 2 3 3 8 2" xfId="3790"/>
    <cellStyle name="Entrada 2 3 2 3 3 9" xfId="3791"/>
    <cellStyle name="Entrada 2 3 2 3 3 9 2" xfId="3792"/>
    <cellStyle name="Entrada 2 3 2 3 4" xfId="3793"/>
    <cellStyle name="Entrada 2 3 2 3 4 2" xfId="3794"/>
    <cellStyle name="Entrada 2 3 2 3 5" xfId="3795"/>
    <cellStyle name="Entrada 2 3 2 3 5 2" xfId="3796"/>
    <cellStyle name="Entrada 2 3 2 3 6" xfId="3797"/>
    <cellStyle name="Entrada 2 3 2 3 6 2" xfId="3798"/>
    <cellStyle name="Entrada 2 3 2 3 7" xfId="3799"/>
    <cellStyle name="Entrada 2 3 2 3 7 2" xfId="3800"/>
    <cellStyle name="Entrada 2 3 2 3 8" xfId="3801"/>
    <cellStyle name="Entrada 2 3 2 3 8 2" xfId="3802"/>
    <cellStyle name="Entrada 2 3 2 3 9" xfId="3803"/>
    <cellStyle name="Entrada 2 3 2 3 9 2" xfId="3804"/>
    <cellStyle name="Entrada 2 3 2 4" xfId="3805"/>
    <cellStyle name="Entrada 2 3 2 4 10" xfId="3806"/>
    <cellStyle name="Entrada 2 3 2 4 10 2" xfId="3807"/>
    <cellStyle name="Entrada 2 3 2 4 11" xfId="3808"/>
    <cellStyle name="Entrada 2 3 2 4 2" xfId="3809"/>
    <cellStyle name="Entrada 2 3 2 4 2 2" xfId="3810"/>
    <cellStyle name="Entrada 2 3 2 4 3" xfId="3811"/>
    <cellStyle name="Entrada 2 3 2 4 3 2" xfId="3812"/>
    <cellStyle name="Entrada 2 3 2 4 4" xfId="3813"/>
    <cellStyle name="Entrada 2 3 2 4 4 2" xfId="3814"/>
    <cellStyle name="Entrada 2 3 2 4 5" xfId="3815"/>
    <cellStyle name="Entrada 2 3 2 4 5 2" xfId="3816"/>
    <cellStyle name="Entrada 2 3 2 4 6" xfId="3817"/>
    <cellStyle name="Entrada 2 3 2 4 6 2" xfId="3818"/>
    <cellStyle name="Entrada 2 3 2 4 7" xfId="3819"/>
    <cellStyle name="Entrada 2 3 2 4 7 2" xfId="3820"/>
    <cellStyle name="Entrada 2 3 2 4 8" xfId="3821"/>
    <cellStyle name="Entrada 2 3 2 4 8 2" xfId="3822"/>
    <cellStyle name="Entrada 2 3 2 4 9" xfId="3823"/>
    <cellStyle name="Entrada 2 3 2 4 9 2" xfId="3824"/>
    <cellStyle name="Entrada 2 3 2 5" xfId="3825"/>
    <cellStyle name="Entrada 2 3 2 5 10" xfId="3826"/>
    <cellStyle name="Entrada 2 3 2 5 10 2" xfId="3827"/>
    <cellStyle name="Entrada 2 3 2 5 11" xfId="3828"/>
    <cellStyle name="Entrada 2 3 2 5 2" xfId="3829"/>
    <cellStyle name="Entrada 2 3 2 5 2 2" xfId="3830"/>
    <cellStyle name="Entrada 2 3 2 5 3" xfId="3831"/>
    <cellStyle name="Entrada 2 3 2 5 3 2" xfId="3832"/>
    <cellStyle name="Entrada 2 3 2 5 4" xfId="3833"/>
    <cellStyle name="Entrada 2 3 2 5 4 2" xfId="3834"/>
    <cellStyle name="Entrada 2 3 2 5 5" xfId="3835"/>
    <cellStyle name="Entrada 2 3 2 5 5 2" xfId="3836"/>
    <cellStyle name="Entrada 2 3 2 5 6" xfId="3837"/>
    <cellStyle name="Entrada 2 3 2 5 6 2" xfId="3838"/>
    <cellStyle name="Entrada 2 3 2 5 7" xfId="3839"/>
    <cellStyle name="Entrada 2 3 2 5 7 2" xfId="3840"/>
    <cellStyle name="Entrada 2 3 2 5 8" xfId="3841"/>
    <cellStyle name="Entrada 2 3 2 5 8 2" xfId="3842"/>
    <cellStyle name="Entrada 2 3 2 5 9" xfId="3843"/>
    <cellStyle name="Entrada 2 3 2 5 9 2" xfId="3844"/>
    <cellStyle name="Entrada 2 3 2 6" xfId="3845"/>
    <cellStyle name="Entrada 2 3 2 6 2" xfId="3846"/>
    <cellStyle name="Entrada 2 3 2 7" xfId="3847"/>
    <cellStyle name="Entrada 2 3 2 7 2" xfId="3848"/>
    <cellStyle name="Entrada 2 3 2 8" xfId="3849"/>
    <cellStyle name="Entrada 2 3 2 8 2" xfId="3850"/>
    <cellStyle name="Entrada 2 3 2 9" xfId="3851"/>
    <cellStyle name="Entrada 2 3 2 9 2" xfId="3852"/>
    <cellStyle name="Entrada 2 3 3" xfId="3853"/>
    <cellStyle name="Entrada 2 3 3 10" xfId="3854"/>
    <cellStyle name="Entrada 2 3 3 10 2" xfId="3855"/>
    <cellStyle name="Entrada 2 3 3 11" xfId="3856"/>
    <cellStyle name="Entrada 2 3 3 11 2" xfId="3857"/>
    <cellStyle name="Entrada 2 3 3 12" xfId="3858"/>
    <cellStyle name="Entrada 2 3 3 12 2" xfId="3859"/>
    <cellStyle name="Entrada 2 3 3 13" xfId="3860"/>
    <cellStyle name="Entrada 2 3 3 13 2" xfId="3861"/>
    <cellStyle name="Entrada 2 3 3 14" xfId="3862"/>
    <cellStyle name="Entrada 2 3 3 14 2" xfId="3863"/>
    <cellStyle name="Entrada 2 3 3 15" xfId="3864"/>
    <cellStyle name="Entrada 2 3 3 2" xfId="3865"/>
    <cellStyle name="Entrada 2 3 3 2 10" xfId="3866"/>
    <cellStyle name="Entrada 2 3 3 2 10 2" xfId="3867"/>
    <cellStyle name="Entrada 2 3 3 2 11" xfId="3868"/>
    <cellStyle name="Entrada 2 3 3 2 11 2" xfId="3869"/>
    <cellStyle name="Entrada 2 3 3 2 12" xfId="3870"/>
    <cellStyle name="Entrada 2 3 3 2 12 2" xfId="3871"/>
    <cellStyle name="Entrada 2 3 3 2 13" xfId="3872"/>
    <cellStyle name="Entrada 2 3 3 2 2" xfId="3873"/>
    <cellStyle name="Entrada 2 3 3 2 2 10" xfId="3874"/>
    <cellStyle name="Entrada 2 3 3 2 2 10 2" xfId="3875"/>
    <cellStyle name="Entrada 2 3 3 2 2 11" xfId="3876"/>
    <cellStyle name="Entrada 2 3 3 2 2 2" xfId="3877"/>
    <cellStyle name="Entrada 2 3 3 2 2 2 2" xfId="3878"/>
    <cellStyle name="Entrada 2 3 3 2 2 3" xfId="3879"/>
    <cellStyle name="Entrada 2 3 3 2 2 3 2" xfId="3880"/>
    <cellStyle name="Entrada 2 3 3 2 2 4" xfId="3881"/>
    <cellStyle name="Entrada 2 3 3 2 2 4 2" xfId="3882"/>
    <cellStyle name="Entrada 2 3 3 2 2 5" xfId="3883"/>
    <cellStyle name="Entrada 2 3 3 2 2 5 2" xfId="3884"/>
    <cellStyle name="Entrada 2 3 3 2 2 6" xfId="3885"/>
    <cellStyle name="Entrada 2 3 3 2 2 6 2" xfId="3886"/>
    <cellStyle name="Entrada 2 3 3 2 2 7" xfId="3887"/>
    <cellStyle name="Entrada 2 3 3 2 2 7 2" xfId="3888"/>
    <cellStyle name="Entrada 2 3 3 2 2 8" xfId="3889"/>
    <cellStyle name="Entrada 2 3 3 2 2 8 2" xfId="3890"/>
    <cellStyle name="Entrada 2 3 3 2 2 9" xfId="3891"/>
    <cellStyle name="Entrada 2 3 3 2 2 9 2" xfId="3892"/>
    <cellStyle name="Entrada 2 3 3 2 3" xfId="3893"/>
    <cellStyle name="Entrada 2 3 3 2 3 10" xfId="3894"/>
    <cellStyle name="Entrada 2 3 3 2 3 10 2" xfId="3895"/>
    <cellStyle name="Entrada 2 3 3 2 3 11" xfId="3896"/>
    <cellStyle name="Entrada 2 3 3 2 3 2" xfId="3897"/>
    <cellStyle name="Entrada 2 3 3 2 3 2 2" xfId="3898"/>
    <cellStyle name="Entrada 2 3 3 2 3 3" xfId="3899"/>
    <cellStyle name="Entrada 2 3 3 2 3 3 2" xfId="3900"/>
    <cellStyle name="Entrada 2 3 3 2 3 4" xfId="3901"/>
    <cellStyle name="Entrada 2 3 3 2 3 4 2" xfId="3902"/>
    <cellStyle name="Entrada 2 3 3 2 3 5" xfId="3903"/>
    <cellStyle name="Entrada 2 3 3 2 3 5 2" xfId="3904"/>
    <cellStyle name="Entrada 2 3 3 2 3 6" xfId="3905"/>
    <cellStyle name="Entrada 2 3 3 2 3 6 2" xfId="3906"/>
    <cellStyle name="Entrada 2 3 3 2 3 7" xfId="3907"/>
    <cellStyle name="Entrada 2 3 3 2 3 7 2" xfId="3908"/>
    <cellStyle name="Entrada 2 3 3 2 3 8" xfId="3909"/>
    <cellStyle name="Entrada 2 3 3 2 3 8 2" xfId="3910"/>
    <cellStyle name="Entrada 2 3 3 2 3 9" xfId="3911"/>
    <cellStyle name="Entrada 2 3 3 2 3 9 2" xfId="3912"/>
    <cellStyle name="Entrada 2 3 3 2 4" xfId="3913"/>
    <cellStyle name="Entrada 2 3 3 2 4 2" xfId="3914"/>
    <cellStyle name="Entrada 2 3 3 2 5" xfId="3915"/>
    <cellStyle name="Entrada 2 3 3 2 5 2" xfId="3916"/>
    <cellStyle name="Entrada 2 3 3 2 6" xfId="3917"/>
    <cellStyle name="Entrada 2 3 3 2 6 2" xfId="3918"/>
    <cellStyle name="Entrada 2 3 3 2 7" xfId="3919"/>
    <cellStyle name="Entrada 2 3 3 2 7 2" xfId="3920"/>
    <cellStyle name="Entrada 2 3 3 2 8" xfId="3921"/>
    <cellStyle name="Entrada 2 3 3 2 8 2" xfId="3922"/>
    <cellStyle name="Entrada 2 3 3 2 9" xfId="3923"/>
    <cellStyle name="Entrada 2 3 3 2 9 2" xfId="3924"/>
    <cellStyle name="Entrada 2 3 3 3" xfId="3925"/>
    <cellStyle name="Entrada 2 3 3 3 10" xfId="3926"/>
    <cellStyle name="Entrada 2 3 3 3 10 2" xfId="3927"/>
    <cellStyle name="Entrada 2 3 3 3 11" xfId="3928"/>
    <cellStyle name="Entrada 2 3 3 3 11 2" xfId="3929"/>
    <cellStyle name="Entrada 2 3 3 3 12" xfId="3930"/>
    <cellStyle name="Entrada 2 3 3 3 12 2" xfId="3931"/>
    <cellStyle name="Entrada 2 3 3 3 13" xfId="3932"/>
    <cellStyle name="Entrada 2 3 3 3 2" xfId="3933"/>
    <cellStyle name="Entrada 2 3 3 3 2 10" xfId="3934"/>
    <cellStyle name="Entrada 2 3 3 3 2 10 2" xfId="3935"/>
    <cellStyle name="Entrada 2 3 3 3 2 11" xfId="3936"/>
    <cellStyle name="Entrada 2 3 3 3 2 2" xfId="3937"/>
    <cellStyle name="Entrada 2 3 3 3 2 2 2" xfId="3938"/>
    <cellStyle name="Entrada 2 3 3 3 2 3" xfId="3939"/>
    <cellStyle name="Entrada 2 3 3 3 2 3 2" xfId="3940"/>
    <cellStyle name="Entrada 2 3 3 3 2 4" xfId="3941"/>
    <cellStyle name="Entrada 2 3 3 3 2 4 2" xfId="3942"/>
    <cellStyle name="Entrada 2 3 3 3 2 5" xfId="3943"/>
    <cellStyle name="Entrada 2 3 3 3 2 5 2" xfId="3944"/>
    <cellStyle name="Entrada 2 3 3 3 2 6" xfId="3945"/>
    <cellStyle name="Entrada 2 3 3 3 2 6 2" xfId="3946"/>
    <cellStyle name="Entrada 2 3 3 3 2 7" xfId="3947"/>
    <cellStyle name="Entrada 2 3 3 3 2 7 2" xfId="3948"/>
    <cellStyle name="Entrada 2 3 3 3 2 8" xfId="3949"/>
    <cellStyle name="Entrada 2 3 3 3 2 8 2" xfId="3950"/>
    <cellStyle name="Entrada 2 3 3 3 2 9" xfId="3951"/>
    <cellStyle name="Entrada 2 3 3 3 2 9 2" xfId="3952"/>
    <cellStyle name="Entrada 2 3 3 3 3" xfId="3953"/>
    <cellStyle name="Entrada 2 3 3 3 3 10" xfId="3954"/>
    <cellStyle name="Entrada 2 3 3 3 3 10 2" xfId="3955"/>
    <cellStyle name="Entrada 2 3 3 3 3 11" xfId="3956"/>
    <cellStyle name="Entrada 2 3 3 3 3 2" xfId="3957"/>
    <cellStyle name="Entrada 2 3 3 3 3 2 2" xfId="3958"/>
    <cellStyle name="Entrada 2 3 3 3 3 3" xfId="3959"/>
    <cellStyle name="Entrada 2 3 3 3 3 3 2" xfId="3960"/>
    <cellStyle name="Entrada 2 3 3 3 3 4" xfId="3961"/>
    <cellStyle name="Entrada 2 3 3 3 3 4 2" xfId="3962"/>
    <cellStyle name="Entrada 2 3 3 3 3 5" xfId="3963"/>
    <cellStyle name="Entrada 2 3 3 3 3 5 2" xfId="3964"/>
    <cellStyle name="Entrada 2 3 3 3 3 6" xfId="3965"/>
    <cellStyle name="Entrada 2 3 3 3 3 6 2" xfId="3966"/>
    <cellStyle name="Entrada 2 3 3 3 3 7" xfId="3967"/>
    <cellStyle name="Entrada 2 3 3 3 3 7 2" xfId="3968"/>
    <cellStyle name="Entrada 2 3 3 3 3 8" xfId="3969"/>
    <cellStyle name="Entrada 2 3 3 3 3 8 2" xfId="3970"/>
    <cellStyle name="Entrada 2 3 3 3 3 9" xfId="3971"/>
    <cellStyle name="Entrada 2 3 3 3 3 9 2" xfId="3972"/>
    <cellStyle name="Entrada 2 3 3 3 4" xfId="3973"/>
    <cellStyle name="Entrada 2 3 3 3 4 2" xfId="3974"/>
    <cellStyle name="Entrada 2 3 3 3 5" xfId="3975"/>
    <cellStyle name="Entrada 2 3 3 3 5 2" xfId="3976"/>
    <cellStyle name="Entrada 2 3 3 3 6" xfId="3977"/>
    <cellStyle name="Entrada 2 3 3 3 6 2" xfId="3978"/>
    <cellStyle name="Entrada 2 3 3 3 7" xfId="3979"/>
    <cellStyle name="Entrada 2 3 3 3 7 2" xfId="3980"/>
    <cellStyle name="Entrada 2 3 3 3 8" xfId="3981"/>
    <cellStyle name="Entrada 2 3 3 3 8 2" xfId="3982"/>
    <cellStyle name="Entrada 2 3 3 3 9" xfId="3983"/>
    <cellStyle name="Entrada 2 3 3 3 9 2" xfId="3984"/>
    <cellStyle name="Entrada 2 3 3 4" xfId="3985"/>
    <cellStyle name="Entrada 2 3 3 4 10" xfId="3986"/>
    <cellStyle name="Entrada 2 3 3 4 10 2" xfId="3987"/>
    <cellStyle name="Entrada 2 3 3 4 11" xfId="3988"/>
    <cellStyle name="Entrada 2 3 3 4 2" xfId="3989"/>
    <cellStyle name="Entrada 2 3 3 4 2 2" xfId="3990"/>
    <cellStyle name="Entrada 2 3 3 4 3" xfId="3991"/>
    <cellStyle name="Entrada 2 3 3 4 3 2" xfId="3992"/>
    <cellStyle name="Entrada 2 3 3 4 4" xfId="3993"/>
    <cellStyle name="Entrada 2 3 3 4 4 2" xfId="3994"/>
    <cellStyle name="Entrada 2 3 3 4 5" xfId="3995"/>
    <cellStyle name="Entrada 2 3 3 4 5 2" xfId="3996"/>
    <cellStyle name="Entrada 2 3 3 4 6" xfId="3997"/>
    <cellStyle name="Entrada 2 3 3 4 6 2" xfId="3998"/>
    <cellStyle name="Entrada 2 3 3 4 7" xfId="3999"/>
    <cellStyle name="Entrada 2 3 3 4 7 2" xfId="4000"/>
    <cellStyle name="Entrada 2 3 3 4 8" xfId="4001"/>
    <cellStyle name="Entrada 2 3 3 4 8 2" xfId="4002"/>
    <cellStyle name="Entrada 2 3 3 4 9" xfId="4003"/>
    <cellStyle name="Entrada 2 3 3 4 9 2" xfId="4004"/>
    <cellStyle name="Entrada 2 3 3 5" xfId="4005"/>
    <cellStyle name="Entrada 2 3 3 5 10" xfId="4006"/>
    <cellStyle name="Entrada 2 3 3 5 10 2" xfId="4007"/>
    <cellStyle name="Entrada 2 3 3 5 11" xfId="4008"/>
    <cellStyle name="Entrada 2 3 3 5 2" xfId="4009"/>
    <cellStyle name="Entrada 2 3 3 5 2 2" xfId="4010"/>
    <cellStyle name="Entrada 2 3 3 5 3" xfId="4011"/>
    <cellStyle name="Entrada 2 3 3 5 3 2" xfId="4012"/>
    <cellStyle name="Entrada 2 3 3 5 4" xfId="4013"/>
    <cellStyle name="Entrada 2 3 3 5 4 2" xfId="4014"/>
    <cellStyle name="Entrada 2 3 3 5 5" xfId="4015"/>
    <cellStyle name="Entrada 2 3 3 5 5 2" xfId="4016"/>
    <cellStyle name="Entrada 2 3 3 5 6" xfId="4017"/>
    <cellStyle name="Entrada 2 3 3 5 6 2" xfId="4018"/>
    <cellStyle name="Entrada 2 3 3 5 7" xfId="4019"/>
    <cellStyle name="Entrada 2 3 3 5 7 2" xfId="4020"/>
    <cellStyle name="Entrada 2 3 3 5 8" xfId="4021"/>
    <cellStyle name="Entrada 2 3 3 5 8 2" xfId="4022"/>
    <cellStyle name="Entrada 2 3 3 5 9" xfId="4023"/>
    <cellStyle name="Entrada 2 3 3 5 9 2" xfId="4024"/>
    <cellStyle name="Entrada 2 3 3 6" xfId="4025"/>
    <cellStyle name="Entrada 2 3 3 6 2" xfId="4026"/>
    <cellStyle name="Entrada 2 3 3 7" xfId="4027"/>
    <cellStyle name="Entrada 2 3 3 7 2" xfId="4028"/>
    <cellStyle name="Entrada 2 3 3 8" xfId="4029"/>
    <cellStyle name="Entrada 2 3 3 8 2" xfId="4030"/>
    <cellStyle name="Entrada 2 3 3 9" xfId="4031"/>
    <cellStyle name="Entrada 2 3 3 9 2" xfId="4032"/>
    <cellStyle name="Entrada 2 3 4" xfId="4033"/>
    <cellStyle name="Entrada 2 3 4 10" xfId="4034"/>
    <cellStyle name="Entrada 2 3 4 10 2" xfId="4035"/>
    <cellStyle name="Entrada 2 3 4 11" xfId="4036"/>
    <cellStyle name="Entrada 2 3 4 11 2" xfId="4037"/>
    <cellStyle name="Entrada 2 3 4 12" xfId="4038"/>
    <cellStyle name="Entrada 2 3 4 12 2" xfId="4039"/>
    <cellStyle name="Entrada 2 3 4 13" xfId="4040"/>
    <cellStyle name="Entrada 2 3 4 2" xfId="4041"/>
    <cellStyle name="Entrada 2 3 4 2 10" xfId="4042"/>
    <cellStyle name="Entrada 2 3 4 2 10 2" xfId="4043"/>
    <cellStyle name="Entrada 2 3 4 2 11" xfId="4044"/>
    <cellStyle name="Entrada 2 3 4 2 2" xfId="4045"/>
    <cellStyle name="Entrada 2 3 4 2 2 2" xfId="4046"/>
    <cellStyle name="Entrada 2 3 4 2 3" xfId="4047"/>
    <cellStyle name="Entrada 2 3 4 2 3 2" xfId="4048"/>
    <cellStyle name="Entrada 2 3 4 2 4" xfId="4049"/>
    <cellStyle name="Entrada 2 3 4 2 4 2" xfId="4050"/>
    <cellStyle name="Entrada 2 3 4 2 5" xfId="4051"/>
    <cellStyle name="Entrada 2 3 4 2 5 2" xfId="4052"/>
    <cellStyle name="Entrada 2 3 4 2 6" xfId="4053"/>
    <cellStyle name="Entrada 2 3 4 2 6 2" xfId="4054"/>
    <cellStyle name="Entrada 2 3 4 2 7" xfId="4055"/>
    <cellStyle name="Entrada 2 3 4 2 7 2" xfId="4056"/>
    <cellStyle name="Entrada 2 3 4 2 8" xfId="4057"/>
    <cellStyle name="Entrada 2 3 4 2 8 2" xfId="4058"/>
    <cellStyle name="Entrada 2 3 4 2 9" xfId="4059"/>
    <cellStyle name="Entrada 2 3 4 2 9 2" xfId="4060"/>
    <cellStyle name="Entrada 2 3 4 3" xfId="4061"/>
    <cellStyle name="Entrada 2 3 4 3 10" xfId="4062"/>
    <cellStyle name="Entrada 2 3 4 3 10 2" xfId="4063"/>
    <cellStyle name="Entrada 2 3 4 3 11" xfId="4064"/>
    <cellStyle name="Entrada 2 3 4 3 2" xfId="4065"/>
    <cellStyle name="Entrada 2 3 4 3 2 2" xfId="4066"/>
    <cellStyle name="Entrada 2 3 4 3 3" xfId="4067"/>
    <cellStyle name="Entrada 2 3 4 3 3 2" xfId="4068"/>
    <cellStyle name="Entrada 2 3 4 3 4" xfId="4069"/>
    <cellStyle name="Entrada 2 3 4 3 4 2" xfId="4070"/>
    <cellStyle name="Entrada 2 3 4 3 5" xfId="4071"/>
    <cellStyle name="Entrada 2 3 4 3 5 2" xfId="4072"/>
    <cellStyle name="Entrada 2 3 4 3 6" xfId="4073"/>
    <cellStyle name="Entrada 2 3 4 3 6 2" xfId="4074"/>
    <cellStyle name="Entrada 2 3 4 3 7" xfId="4075"/>
    <cellStyle name="Entrada 2 3 4 3 7 2" xfId="4076"/>
    <cellStyle name="Entrada 2 3 4 3 8" xfId="4077"/>
    <cellStyle name="Entrada 2 3 4 3 8 2" xfId="4078"/>
    <cellStyle name="Entrada 2 3 4 3 9" xfId="4079"/>
    <cellStyle name="Entrada 2 3 4 3 9 2" xfId="4080"/>
    <cellStyle name="Entrada 2 3 4 4" xfId="4081"/>
    <cellStyle name="Entrada 2 3 4 4 2" xfId="4082"/>
    <cellStyle name="Entrada 2 3 4 5" xfId="4083"/>
    <cellStyle name="Entrada 2 3 4 5 2" xfId="4084"/>
    <cellStyle name="Entrada 2 3 4 6" xfId="4085"/>
    <cellStyle name="Entrada 2 3 4 6 2" xfId="4086"/>
    <cellStyle name="Entrada 2 3 4 7" xfId="4087"/>
    <cellStyle name="Entrada 2 3 4 7 2" xfId="4088"/>
    <cellStyle name="Entrada 2 3 4 8" xfId="4089"/>
    <cellStyle name="Entrada 2 3 4 8 2" xfId="4090"/>
    <cellStyle name="Entrada 2 3 4 9" xfId="4091"/>
    <cellStyle name="Entrada 2 3 4 9 2" xfId="4092"/>
    <cellStyle name="Entrada 2 3 5" xfId="4093"/>
    <cellStyle name="Entrada 2 3 5 10" xfId="4094"/>
    <cellStyle name="Entrada 2 3 5 10 2" xfId="4095"/>
    <cellStyle name="Entrada 2 3 5 11" xfId="4096"/>
    <cellStyle name="Entrada 2 3 5 11 2" xfId="4097"/>
    <cellStyle name="Entrada 2 3 5 12" xfId="4098"/>
    <cellStyle name="Entrada 2 3 5 12 2" xfId="4099"/>
    <cellStyle name="Entrada 2 3 5 13" xfId="4100"/>
    <cellStyle name="Entrada 2 3 5 2" xfId="4101"/>
    <cellStyle name="Entrada 2 3 5 2 10" xfId="4102"/>
    <cellStyle name="Entrada 2 3 5 2 10 2" xfId="4103"/>
    <cellStyle name="Entrada 2 3 5 2 11" xfId="4104"/>
    <cellStyle name="Entrada 2 3 5 2 2" xfId="4105"/>
    <cellStyle name="Entrada 2 3 5 2 2 2" xfId="4106"/>
    <cellStyle name="Entrada 2 3 5 2 3" xfId="4107"/>
    <cellStyle name="Entrada 2 3 5 2 3 2" xfId="4108"/>
    <cellStyle name="Entrada 2 3 5 2 4" xfId="4109"/>
    <cellStyle name="Entrada 2 3 5 2 4 2" xfId="4110"/>
    <cellStyle name="Entrada 2 3 5 2 5" xfId="4111"/>
    <cellStyle name="Entrada 2 3 5 2 5 2" xfId="4112"/>
    <cellStyle name="Entrada 2 3 5 2 6" xfId="4113"/>
    <cellStyle name="Entrada 2 3 5 2 6 2" xfId="4114"/>
    <cellStyle name="Entrada 2 3 5 2 7" xfId="4115"/>
    <cellStyle name="Entrada 2 3 5 2 7 2" xfId="4116"/>
    <cellStyle name="Entrada 2 3 5 2 8" xfId="4117"/>
    <cellStyle name="Entrada 2 3 5 2 8 2" xfId="4118"/>
    <cellStyle name="Entrada 2 3 5 2 9" xfId="4119"/>
    <cellStyle name="Entrada 2 3 5 2 9 2" xfId="4120"/>
    <cellStyle name="Entrada 2 3 5 3" xfId="4121"/>
    <cellStyle name="Entrada 2 3 5 3 10" xfId="4122"/>
    <cellStyle name="Entrada 2 3 5 3 10 2" xfId="4123"/>
    <cellStyle name="Entrada 2 3 5 3 11" xfId="4124"/>
    <cellStyle name="Entrada 2 3 5 3 2" xfId="4125"/>
    <cellStyle name="Entrada 2 3 5 3 2 2" xfId="4126"/>
    <cellStyle name="Entrada 2 3 5 3 3" xfId="4127"/>
    <cellStyle name="Entrada 2 3 5 3 3 2" xfId="4128"/>
    <cellStyle name="Entrada 2 3 5 3 4" xfId="4129"/>
    <cellStyle name="Entrada 2 3 5 3 4 2" xfId="4130"/>
    <cellStyle name="Entrada 2 3 5 3 5" xfId="4131"/>
    <cellStyle name="Entrada 2 3 5 3 5 2" xfId="4132"/>
    <cellStyle name="Entrada 2 3 5 3 6" xfId="4133"/>
    <cellStyle name="Entrada 2 3 5 3 6 2" xfId="4134"/>
    <cellStyle name="Entrada 2 3 5 3 7" xfId="4135"/>
    <cellStyle name="Entrada 2 3 5 3 7 2" xfId="4136"/>
    <cellStyle name="Entrada 2 3 5 3 8" xfId="4137"/>
    <cellStyle name="Entrada 2 3 5 3 8 2" xfId="4138"/>
    <cellStyle name="Entrada 2 3 5 3 9" xfId="4139"/>
    <cellStyle name="Entrada 2 3 5 3 9 2" xfId="4140"/>
    <cellStyle name="Entrada 2 3 5 4" xfId="4141"/>
    <cellStyle name="Entrada 2 3 5 4 2" xfId="4142"/>
    <cellStyle name="Entrada 2 3 5 5" xfId="4143"/>
    <cellStyle name="Entrada 2 3 5 5 2" xfId="4144"/>
    <cellStyle name="Entrada 2 3 5 6" xfId="4145"/>
    <cellStyle name="Entrada 2 3 5 6 2" xfId="4146"/>
    <cellStyle name="Entrada 2 3 5 7" xfId="4147"/>
    <cellStyle name="Entrada 2 3 5 7 2" xfId="4148"/>
    <cellStyle name="Entrada 2 3 5 8" xfId="4149"/>
    <cellStyle name="Entrada 2 3 5 8 2" xfId="4150"/>
    <cellStyle name="Entrada 2 3 5 9" xfId="4151"/>
    <cellStyle name="Entrada 2 3 5 9 2" xfId="4152"/>
    <cellStyle name="Entrada 2 3 6" xfId="4153"/>
    <cellStyle name="Entrada 2 3 6 2" xfId="4154"/>
    <cellStyle name="Entrada 2 3 7" xfId="4155"/>
    <cellStyle name="Entrada 2 3 7 2" xfId="4156"/>
    <cellStyle name="Entrada 2 3 8" xfId="4157"/>
    <cellStyle name="Entrada 2 3 8 2" xfId="4158"/>
    <cellStyle name="Entrada 2 3 9" xfId="4159"/>
    <cellStyle name="Entrada 2 3 9 2" xfId="4160"/>
    <cellStyle name="Entrada 2 4" xfId="4161"/>
    <cellStyle name="Entrada 2 4 10" xfId="4162"/>
    <cellStyle name="Entrada 2 4 10 2" xfId="4163"/>
    <cellStyle name="Entrada 2 4 11" xfId="4164"/>
    <cellStyle name="Entrada 2 4 11 2" xfId="4165"/>
    <cellStyle name="Entrada 2 4 12" xfId="4166"/>
    <cellStyle name="Entrada 2 4 12 2" xfId="4167"/>
    <cellStyle name="Entrada 2 4 13" xfId="4168"/>
    <cellStyle name="Entrada 2 4 13 2" xfId="4169"/>
    <cellStyle name="Entrada 2 4 14" xfId="4170"/>
    <cellStyle name="Entrada 2 4 14 2" xfId="4171"/>
    <cellStyle name="Entrada 2 4 15" xfId="4172"/>
    <cellStyle name="Entrada 2 4 2" xfId="4173"/>
    <cellStyle name="Entrada 2 4 2 10" xfId="4174"/>
    <cellStyle name="Entrada 2 4 2 10 2" xfId="4175"/>
    <cellStyle name="Entrada 2 4 2 11" xfId="4176"/>
    <cellStyle name="Entrada 2 4 2 11 2" xfId="4177"/>
    <cellStyle name="Entrada 2 4 2 12" xfId="4178"/>
    <cellStyle name="Entrada 2 4 2 12 2" xfId="4179"/>
    <cellStyle name="Entrada 2 4 2 13" xfId="4180"/>
    <cellStyle name="Entrada 2 4 2 2" xfId="4181"/>
    <cellStyle name="Entrada 2 4 2 2 10" xfId="4182"/>
    <cellStyle name="Entrada 2 4 2 2 10 2" xfId="4183"/>
    <cellStyle name="Entrada 2 4 2 2 11" xfId="4184"/>
    <cellStyle name="Entrada 2 4 2 2 2" xfId="4185"/>
    <cellStyle name="Entrada 2 4 2 2 2 2" xfId="4186"/>
    <cellStyle name="Entrada 2 4 2 2 3" xfId="4187"/>
    <cellStyle name="Entrada 2 4 2 2 3 2" xfId="4188"/>
    <cellStyle name="Entrada 2 4 2 2 4" xfId="4189"/>
    <cellStyle name="Entrada 2 4 2 2 4 2" xfId="4190"/>
    <cellStyle name="Entrada 2 4 2 2 5" xfId="4191"/>
    <cellStyle name="Entrada 2 4 2 2 5 2" xfId="4192"/>
    <cellStyle name="Entrada 2 4 2 2 6" xfId="4193"/>
    <cellStyle name="Entrada 2 4 2 2 6 2" xfId="4194"/>
    <cellStyle name="Entrada 2 4 2 2 7" xfId="4195"/>
    <cellStyle name="Entrada 2 4 2 2 7 2" xfId="4196"/>
    <cellStyle name="Entrada 2 4 2 2 8" xfId="4197"/>
    <cellStyle name="Entrada 2 4 2 2 8 2" xfId="4198"/>
    <cellStyle name="Entrada 2 4 2 2 9" xfId="4199"/>
    <cellStyle name="Entrada 2 4 2 2 9 2" xfId="4200"/>
    <cellStyle name="Entrada 2 4 2 3" xfId="4201"/>
    <cellStyle name="Entrada 2 4 2 3 10" xfId="4202"/>
    <cellStyle name="Entrada 2 4 2 3 10 2" xfId="4203"/>
    <cellStyle name="Entrada 2 4 2 3 11" xfId="4204"/>
    <cellStyle name="Entrada 2 4 2 3 2" xfId="4205"/>
    <cellStyle name="Entrada 2 4 2 3 2 2" xfId="4206"/>
    <cellStyle name="Entrada 2 4 2 3 3" xfId="4207"/>
    <cellStyle name="Entrada 2 4 2 3 3 2" xfId="4208"/>
    <cellStyle name="Entrada 2 4 2 3 4" xfId="4209"/>
    <cellStyle name="Entrada 2 4 2 3 4 2" xfId="4210"/>
    <cellStyle name="Entrada 2 4 2 3 5" xfId="4211"/>
    <cellStyle name="Entrada 2 4 2 3 5 2" xfId="4212"/>
    <cellStyle name="Entrada 2 4 2 3 6" xfId="4213"/>
    <cellStyle name="Entrada 2 4 2 3 6 2" xfId="4214"/>
    <cellStyle name="Entrada 2 4 2 3 7" xfId="4215"/>
    <cellStyle name="Entrada 2 4 2 3 7 2" xfId="4216"/>
    <cellStyle name="Entrada 2 4 2 3 8" xfId="4217"/>
    <cellStyle name="Entrada 2 4 2 3 8 2" xfId="4218"/>
    <cellStyle name="Entrada 2 4 2 3 9" xfId="4219"/>
    <cellStyle name="Entrada 2 4 2 3 9 2" xfId="4220"/>
    <cellStyle name="Entrada 2 4 2 4" xfId="4221"/>
    <cellStyle name="Entrada 2 4 2 4 2" xfId="4222"/>
    <cellStyle name="Entrada 2 4 2 5" xfId="4223"/>
    <cellStyle name="Entrada 2 4 2 5 2" xfId="4224"/>
    <cellStyle name="Entrada 2 4 2 6" xfId="4225"/>
    <cellStyle name="Entrada 2 4 2 6 2" xfId="4226"/>
    <cellStyle name="Entrada 2 4 2 7" xfId="4227"/>
    <cellStyle name="Entrada 2 4 2 7 2" xfId="4228"/>
    <cellStyle name="Entrada 2 4 2 8" xfId="4229"/>
    <cellStyle name="Entrada 2 4 2 8 2" xfId="4230"/>
    <cellStyle name="Entrada 2 4 2 9" xfId="4231"/>
    <cellStyle name="Entrada 2 4 2 9 2" xfId="4232"/>
    <cellStyle name="Entrada 2 4 3" xfId="4233"/>
    <cellStyle name="Entrada 2 4 3 10" xfId="4234"/>
    <cellStyle name="Entrada 2 4 3 10 2" xfId="4235"/>
    <cellStyle name="Entrada 2 4 3 11" xfId="4236"/>
    <cellStyle name="Entrada 2 4 3 11 2" xfId="4237"/>
    <cellStyle name="Entrada 2 4 3 12" xfId="4238"/>
    <cellStyle name="Entrada 2 4 3 12 2" xfId="4239"/>
    <cellStyle name="Entrada 2 4 3 13" xfId="4240"/>
    <cellStyle name="Entrada 2 4 3 2" xfId="4241"/>
    <cellStyle name="Entrada 2 4 3 2 10" xfId="4242"/>
    <cellStyle name="Entrada 2 4 3 2 10 2" xfId="4243"/>
    <cellStyle name="Entrada 2 4 3 2 11" xfId="4244"/>
    <cellStyle name="Entrada 2 4 3 2 2" xfId="4245"/>
    <cellStyle name="Entrada 2 4 3 2 2 2" xfId="4246"/>
    <cellStyle name="Entrada 2 4 3 2 3" xfId="4247"/>
    <cellStyle name="Entrada 2 4 3 2 3 2" xfId="4248"/>
    <cellStyle name="Entrada 2 4 3 2 4" xfId="4249"/>
    <cellStyle name="Entrada 2 4 3 2 4 2" xfId="4250"/>
    <cellStyle name="Entrada 2 4 3 2 5" xfId="4251"/>
    <cellStyle name="Entrada 2 4 3 2 5 2" xfId="4252"/>
    <cellStyle name="Entrada 2 4 3 2 6" xfId="4253"/>
    <cellStyle name="Entrada 2 4 3 2 6 2" xfId="4254"/>
    <cellStyle name="Entrada 2 4 3 2 7" xfId="4255"/>
    <cellStyle name="Entrada 2 4 3 2 7 2" xfId="4256"/>
    <cellStyle name="Entrada 2 4 3 2 8" xfId="4257"/>
    <cellStyle name="Entrada 2 4 3 2 8 2" xfId="4258"/>
    <cellStyle name="Entrada 2 4 3 2 9" xfId="4259"/>
    <cellStyle name="Entrada 2 4 3 2 9 2" xfId="4260"/>
    <cellStyle name="Entrada 2 4 3 3" xfId="4261"/>
    <cellStyle name="Entrada 2 4 3 3 10" xfId="4262"/>
    <cellStyle name="Entrada 2 4 3 3 10 2" xfId="4263"/>
    <cellStyle name="Entrada 2 4 3 3 11" xfId="4264"/>
    <cellStyle name="Entrada 2 4 3 3 2" xfId="4265"/>
    <cellStyle name="Entrada 2 4 3 3 2 2" xfId="4266"/>
    <cellStyle name="Entrada 2 4 3 3 3" xfId="4267"/>
    <cellStyle name="Entrada 2 4 3 3 3 2" xfId="4268"/>
    <cellStyle name="Entrada 2 4 3 3 4" xfId="4269"/>
    <cellStyle name="Entrada 2 4 3 3 4 2" xfId="4270"/>
    <cellStyle name="Entrada 2 4 3 3 5" xfId="4271"/>
    <cellStyle name="Entrada 2 4 3 3 5 2" xfId="4272"/>
    <cellStyle name="Entrada 2 4 3 3 6" xfId="4273"/>
    <cellStyle name="Entrada 2 4 3 3 6 2" xfId="4274"/>
    <cellStyle name="Entrada 2 4 3 3 7" xfId="4275"/>
    <cellStyle name="Entrada 2 4 3 3 7 2" xfId="4276"/>
    <cellStyle name="Entrada 2 4 3 3 8" xfId="4277"/>
    <cellStyle name="Entrada 2 4 3 3 8 2" xfId="4278"/>
    <cellStyle name="Entrada 2 4 3 3 9" xfId="4279"/>
    <cellStyle name="Entrada 2 4 3 3 9 2" xfId="4280"/>
    <cellStyle name="Entrada 2 4 3 4" xfId="4281"/>
    <cellStyle name="Entrada 2 4 3 4 2" xfId="4282"/>
    <cellStyle name="Entrada 2 4 3 5" xfId="4283"/>
    <cellStyle name="Entrada 2 4 3 5 2" xfId="4284"/>
    <cellStyle name="Entrada 2 4 3 6" xfId="4285"/>
    <cellStyle name="Entrada 2 4 3 6 2" xfId="4286"/>
    <cellStyle name="Entrada 2 4 3 7" xfId="4287"/>
    <cellStyle name="Entrada 2 4 3 7 2" xfId="4288"/>
    <cellStyle name="Entrada 2 4 3 8" xfId="4289"/>
    <cellStyle name="Entrada 2 4 3 8 2" xfId="4290"/>
    <cellStyle name="Entrada 2 4 3 9" xfId="4291"/>
    <cellStyle name="Entrada 2 4 3 9 2" xfId="4292"/>
    <cellStyle name="Entrada 2 4 4" xfId="4293"/>
    <cellStyle name="Entrada 2 4 4 10" xfId="4294"/>
    <cellStyle name="Entrada 2 4 4 10 2" xfId="4295"/>
    <cellStyle name="Entrada 2 4 4 11" xfId="4296"/>
    <cellStyle name="Entrada 2 4 4 2" xfId="4297"/>
    <cellStyle name="Entrada 2 4 4 2 2" xfId="4298"/>
    <cellStyle name="Entrada 2 4 4 3" xfId="4299"/>
    <cellStyle name="Entrada 2 4 4 3 2" xfId="4300"/>
    <cellStyle name="Entrada 2 4 4 4" xfId="4301"/>
    <cellStyle name="Entrada 2 4 4 4 2" xfId="4302"/>
    <cellStyle name="Entrada 2 4 4 5" xfId="4303"/>
    <cellStyle name="Entrada 2 4 4 5 2" xfId="4304"/>
    <cellStyle name="Entrada 2 4 4 6" xfId="4305"/>
    <cellStyle name="Entrada 2 4 4 6 2" xfId="4306"/>
    <cellStyle name="Entrada 2 4 4 7" xfId="4307"/>
    <cellStyle name="Entrada 2 4 4 7 2" xfId="4308"/>
    <cellStyle name="Entrada 2 4 4 8" xfId="4309"/>
    <cellStyle name="Entrada 2 4 4 8 2" xfId="4310"/>
    <cellStyle name="Entrada 2 4 4 9" xfId="4311"/>
    <cellStyle name="Entrada 2 4 4 9 2" xfId="4312"/>
    <cellStyle name="Entrada 2 4 5" xfId="4313"/>
    <cellStyle name="Entrada 2 4 5 10" xfId="4314"/>
    <cellStyle name="Entrada 2 4 5 10 2" xfId="4315"/>
    <cellStyle name="Entrada 2 4 5 11" xfId="4316"/>
    <cellStyle name="Entrada 2 4 5 2" xfId="4317"/>
    <cellStyle name="Entrada 2 4 5 2 2" xfId="4318"/>
    <cellStyle name="Entrada 2 4 5 3" xfId="4319"/>
    <cellStyle name="Entrada 2 4 5 3 2" xfId="4320"/>
    <cellStyle name="Entrada 2 4 5 4" xfId="4321"/>
    <cellStyle name="Entrada 2 4 5 4 2" xfId="4322"/>
    <cellStyle name="Entrada 2 4 5 5" xfId="4323"/>
    <cellStyle name="Entrada 2 4 5 5 2" xfId="4324"/>
    <cellStyle name="Entrada 2 4 5 6" xfId="4325"/>
    <cellStyle name="Entrada 2 4 5 6 2" xfId="4326"/>
    <cellStyle name="Entrada 2 4 5 7" xfId="4327"/>
    <cellStyle name="Entrada 2 4 5 7 2" xfId="4328"/>
    <cellStyle name="Entrada 2 4 5 8" xfId="4329"/>
    <cellStyle name="Entrada 2 4 5 8 2" xfId="4330"/>
    <cellStyle name="Entrada 2 4 5 9" xfId="4331"/>
    <cellStyle name="Entrada 2 4 5 9 2" xfId="4332"/>
    <cellStyle name="Entrada 2 4 6" xfId="4333"/>
    <cellStyle name="Entrada 2 4 6 2" xfId="4334"/>
    <cellStyle name="Entrada 2 4 7" xfId="4335"/>
    <cellStyle name="Entrada 2 4 7 2" xfId="4336"/>
    <cellStyle name="Entrada 2 4 8" xfId="4337"/>
    <cellStyle name="Entrada 2 4 8 2" xfId="4338"/>
    <cellStyle name="Entrada 2 4 9" xfId="4339"/>
    <cellStyle name="Entrada 2 4 9 2" xfId="4340"/>
    <cellStyle name="Entrada 2 5" xfId="4341"/>
    <cellStyle name="Entrada 2 5 10" xfId="4342"/>
    <cellStyle name="Entrada 2 5 10 2" xfId="4343"/>
    <cellStyle name="Entrada 2 5 11" xfId="4344"/>
    <cellStyle name="Entrada 2 5 11 2" xfId="4345"/>
    <cellStyle name="Entrada 2 5 12" xfId="4346"/>
    <cellStyle name="Entrada 2 5 12 2" xfId="4347"/>
    <cellStyle name="Entrada 2 5 13" xfId="4348"/>
    <cellStyle name="Entrada 2 5 13 2" xfId="4349"/>
    <cellStyle name="Entrada 2 5 14" xfId="4350"/>
    <cellStyle name="Entrada 2 5 14 2" xfId="4351"/>
    <cellStyle name="Entrada 2 5 15" xfId="4352"/>
    <cellStyle name="Entrada 2 5 2" xfId="4353"/>
    <cellStyle name="Entrada 2 5 2 10" xfId="4354"/>
    <cellStyle name="Entrada 2 5 2 10 2" xfId="4355"/>
    <cellStyle name="Entrada 2 5 2 11" xfId="4356"/>
    <cellStyle name="Entrada 2 5 2 11 2" xfId="4357"/>
    <cellStyle name="Entrada 2 5 2 12" xfId="4358"/>
    <cellStyle name="Entrada 2 5 2 12 2" xfId="4359"/>
    <cellStyle name="Entrada 2 5 2 13" xfId="4360"/>
    <cellStyle name="Entrada 2 5 2 2" xfId="4361"/>
    <cellStyle name="Entrada 2 5 2 2 10" xfId="4362"/>
    <cellStyle name="Entrada 2 5 2 2 10 2" xfId="4363"/>
    <cellStyle name="Entrada 2 5 2 2 11" xfId="4364"/>
    <cellStyle name="Entrada 2 5 2 2 2" xfId="4365"/>
    <cellStyle name="Entrada 2 5 2 2 2 2" xfId="4366"/>
    <cellStyle name="Entrada 2 5 2 2 3" xfId="4367"/>
    <cellStyle name="Entrada 2 5 2 2 3 2" xfId="4368"/>
    <cellStyle name="Entrada 2 5 2 2 4" xfId="4369"/>
    <cellStyle name="Entrada 2 5 2 2 4 2" xfId="4370"/>
    <cellStyle name="Entrada 2 5 2 2 5" xfId="4371"/>
    <cellStyle name="Entrada 2 5 2 2 5 2" xfId="4372"/>
    <cellStyle name="Entrada 2 5 2 2 6" xfId="4373"/>
    <cellStyle name="Entrada 2 5 2 2 6 2" xfId="4374"/>
    <cellStyle name="Entrada 2 5 2 2 7" xfId="4375"/>
    <cellStyle name="Entrada 2 5 2 2 7 2" xfId="4376"/>
    <cellStyle name="Entrada 2 5 2 2 8" xfId="4377"/>
    <cellStyle name="Entrada 2 5 2 2 8 2" xfId="4378"/>
    <cellStyle name="Entrada 2 5 2 2 9" xfId="4379"/>
    <cellStyle name="Entrada 2 5 2 2 9 2" xfId="4380"/>
    <cellStyle name="Entrada 2 5 2 3" xfId="4381"/>
    <cellStyle name="Entrada 2 5 2 3 10" xfId="4382"/>
    <cellStyle name="Entrada 2 5 2 3 10 2" xfId="4383"/>
    <cellStyle name="Entrada 2 5 2 3 11" xfId="4384"/>
    <cellStyle name="Entrada 2 5 2 3 2" xfId="4385"/>
    <cellStyle name="Entrada 2 5 2 3 2 2" xfId="4386"/>
    <cellStyle name="Entrada 2 5 2 3 3" xfId="4387"/>
    <cellStyle name="Entrada 2 5 2 3 3 2" xfId="4388"/>
    <cellStyle name="Entrada 2 5 2 3 4" xfId="4389"/>
    <cellStyle name="Entrada 2 5 2 3 4 2" xfId="4390"/>
    <cellStyle name="Entrada 2 5 2 3 5" xfId="4391"/>
    <cellStyle name="Entrada 2 5 2 3 5 2" xfId="4392"/>
    <cellStyle name="Entrada 2 5 2 3 6" xfId="4393"/>
    <cellStyle name="Entrada 2 5 2 3 6 2" xfId="4394"/>
    <cellStyle name="Entrada 2 5 2 3 7" xfId="4395"/>
    <cellStyle name="Entrada 2 5 2 3 7 2" xfId="4396"/>
    <cellStyle name="Entrada 2 5 2 3 8" xfId="4397"/>
    <cellStyle name="Entrada 2 5 2 3 8 2" xfId="4398"/>
    <cellStyle name="Entrada 2 5 2 3 9" xfId="4399"/>
    <cellStyle name="Entrada 2 5 2 3 9 2" xfId="4400"/>
    <cellStyle name="Entrada 2 5 2 4" xfId="4401"/>
    <cellStyle name="Entrada 2 5 2 4 2" xfId="4402"/>
    <cellStyle name="Entrada 2 5 2 5" xfId="4403"/>
    <cellStyle name="Entrada 2 5 2 5 2" xfId="4404"/>
    <cellStyle name="Entrada 2 5 2 6" xfId="4405"/>
    <cellStyle name="Entrada 2 5 2 6 2" xfId="4406"/>
    <cellStyle name="Entrada 2 5 2 7" xfId="4407"/>
    <cellStyle name="Entrada 2 5 2 7 2" xfId="4408"/>
    <cellStyle name="Entrada 2 5 2 8" xfId="4409"/>
    <cellStyle name="Entrada 2 5 2 8 2" xfId="4410"/>
    <cellStyle name="Entrada 2 5 2 9" xfId="4411"/>
    <cellStyle name="Entrada 2 5 2 9 2" xfId="4412"/>
    <cellStyle name="Entrada 2 5 3" xfId="4413"/>
    <cellStyle name="Entrada 2 5 3 10" xfId="4414"/>
    <cellStyle name="Entrada 2 5 3 10 2" xfId="4415"/>
    <cellStyle name="Entrada 2 5 3 11" xfId="4416"/>
    <cellStyle name="Entrada 2 5 3 11 2" xfId="4417"/>
    <cellStyle name="Entrada 2 5 3 12" xfId="4418"/>
    <cellStyle name="Entrada 2 5 3 12 2" xfId="4419"/>
    <cellStyle name="Entrada 2 5 3 13" xfId="4420"/>
    <cellStyle name="Entrada 2 5 3 2" xfId="4421"/>
    <cellStyle name="Entrada 2 5 3 2 10" xfId="4422"/>
    <cellStyle name="Entrada 2 5 3 2 10 2" xfId="4423"/>
    <cellStyle name="Entrada 2 5 3 2 11" xfId="4424"/>
    <cellStyle name="Entrada 2 5 3 2 2" xfId="4425"/>
    <cellStyle name="Entrada 2 5 3 2 2 2" xfId="4426"/>
    <cellStyle name="Entrada 2 5 3 2 3" xfId="4427"/>
    <cellStyle name="Entrada 2 5 3 2 3 2" xfId="4428"/>
    <cellStyle name="Entrada 2 5 3 2 4" xfId="4429"/>
    <cellStyle name="Entrada 2 5 3 2 4 2" xfId="4430"/>
    <cellStyle name="Entrada 2 5 3 2 5" xfId="4431"/>
    <cellStyle name="Entrada 2 5 3 2 5 2" xfId="4432"/>
    <cellStyle name="Entrada 2 5 3 2 6" xfId="4433"/>
    <cellStyle name="Entrada 2 5 3 2 6 2" xfId="4434"/>
    <cellStyle name="Entrada 2 5 3 2 7" xfId="4435"/>
    <cellStyle name="Entrada 2 5 3 2 7 2" xfId="4436"/>
    <cellStyle name="Entrada 2 5 3 2 8" xfId="4437"/>
    <cellStyle name="Entrada 2 5 3 2 8 2" xfId="4438"/>
    <cellStyle name="Entrada 2 5 3 2 9" xfId="4439"/>
    <cellStyle name="Entrada 2 5 3 2 9 2" xfId="4440"/>
    <cellStyle name="Entrada 2 5 3 3" xfId="4441"/>
    <cellStyle name="Entrada 2 5 3 3 10" xfId="4442"/>
    <cellStyle name="Entrada 2 5 3 3 10 2" xfId="4443"/>
    <cellStyle name="Entrada 2 5 3 3 11" xfId="4444"/>
    <cellStyle name="Entrada 2 5 3 3 2" xfId="4445"/>
    <cellStyle name="Entrada 2 5 3 3 2 2" xfId="4446"/>
    <cellStyle name="Entrada 2 5 3 3 3" xfId="4447"/>
    <cellStyle name="Entrada 2 5 3 3 3 2" xfId="4448"/>
    <cellStyle name="Entrada 2 5 3 3 4" xfId="4449"/>
    <cellStyle name="Entrada 2 5 3 3 4 2" xfId="4450"/>
    <cellStyle name="Entrada 2 5 3 3 5" xfId="4451"/>
    <cellStyle name="Entrada 2 5 3 3 5 2" xfId="4452"/>
    <cellStyle name="Entrada 2 5 3 3 6" xfId="4453"/>
    <cellStyle name="Entrada 2 5 3 3 6 2" xfId="4454"/>
    <cellStyle name="Entrada 2 5 3 3 7" xfId="4455"/>
    <cellStyle name="Entrada 2 5 3 3 7 2" xfId="4456"/>
    <cellStyle name="Entrada 2 5 3 3 8" xfId="4457"/>
    <cellStyle name="Entrada 2 5 3 3 8 2" xfId="4458"/>
    <cellStyle name="Entrada 2 5 3 3 9" xfId="4459"/>
    <cellStyle name="Entrada 2 5 3 3 9 2" xfId="4460"/>
    <cellStyle name="Entrada 2 5 3 4" xfId="4461"/>
    <cellStyle name="Entrada 2 5 3 4 2" xfId="4462"/>
    <cellStyle name="Entrada 2 5 3 5" xfId="4463"/>
    <cellStyle name="Entrada 2 5 3 5 2" xfId="4464"/>
    <cellStyle name="Entrada 2 5 3 6" xfId="4465"/>
    <cellStyle name="Entrada 2 5 3 6 2" xfId="4466"/>
    <cellStyle name="Entrada 2 5 3 7" xfId="4467"/>
    <cellStyle name="Entrada 2 5 3 7 2" xfId="4468"/>
    <cellStyle name="Entrada 2 5 3 8" xfId="4469"/>
    <cellStyle name="Entrada 2 5 3 8 2" xfId="4470"/>
    <cellStyle name="Entrada 2 5 3 9" xfId="4471"/>
    <cellStyle name="Entrada 2 5 3 9 2" xfId="4472"/>
    <cellStyle name="Entrada 2 5 4" xfId="4473"/>
    <cellStyle name="Entrada 2 5 4 10" xfId="4474"/>
    <cellStyle name="Entrada 2 5 4 10 2" xfId="4475"/>
    <cellStyle name="Entrada 2 5 4 11" xfId="4476"/>
    <cellStyle name="Entrada 2 5 4 2" xfId="4477"/>
    <cellStyle name="Entrada 2 5 4 2 2" xfId="4478"/>
    <cellStyle name="Entrada 2 5 4 3" xfId="4479"/>
    <cellStyle name="Entrada 2 5 4 3 2" xfId="4480"/>
    <cellStyle name="Entrada 2 5 4 4" xfId="4481"/>
    <cellStyle name="Entrada 2 5 4 4 2" xfId="4482"/>
    <cellStyle name="Entrada 2 5 4 5" xfId="4483"/>
    <cellStyle name="Entrada 2 5 4 5 2" xfId="4484"/>
    <cellStyle name="Entrada 2 5 4 6" xfId="4485"/>
    <cellStyle name="Entrada 2 5 4 6 2" xfId="4486"/>
    <cellStyle name="Entrada 2 5 4 7" xfId="4487"/>
    <cellStyle name="Entrada 2 5 4 7 2" xfId="4488"/>
    <cellStyle name="Entrada 2 5 4 8" xfId="4489"/>
    <cellStyle name="Entrada 2 5 4 8 2" xfId="4490"/>
    <cellStyle name="Entrada 2 5 4 9" xfId="4491"/>
    <cellStyle name="Entrada 2 5 4 9 2" xfId="4492"/>
    <cellStyle name="Entrada 2 5 5" xfId="4493"/>
    <cellStyle name="Entrada 2 5 5 10" xfId="4494"/>
    <cellStyle name="Entrada 2 5 5 10 2" xfId="4495"/>
    <cellStyle name="Entrada 2 5 5 11" xfId="4496"/>
    <cellStyle name="Entrada 2 5 5 2" xfId="4497"/>
    <cellStyle name="Entrada 2 5 5 2 2" xfId="4498"/>
    <cellStyle name="Entrada 2 5 5 3" xfId="4499"/>
    <cellStyle name="Entrada 2 5 5 3 2" xfId="4500"/>
    <cellStyle name="Entrada 2 5 5 4" xfId="4501"/>
    <cellStyle name="Entrada 2 5 5 4 2" xfId="4502"/>
    <cellStyle name="Entrada 2 5 5 5" xfId="4503"/>
    <cellStyle name="Entrada 2 5 5 5 2" xfId="4504"/>
    <cellStyle name="Entrada 2 5 5 6" xfId="4505"/>
    <cellStyle name="Entrada 2 5 5 6 2" xfId="4506"/>
    <cellStyle name="Entrada 2 5 5 7" xfId="4507"/>
    <cellStyle name="Entrada 2 5 5 7 2" xfId="4508"/>
    <cellStyle name="Entrada 2 5 5 8" xfId="4509"/>
    <cellStyle name="Entrada 2 5 5 8 2" xfId="4510"/>
    <cellStyle name="Entrada 2 5 5 9" xfId="4511"/>
    <cellStyle name="Entrada 2 5 5 9 2" xfId="4512"/>
    <cellStyle name="Entrada 2 5 6" xfId="4513"/>
    <cellStyle name="Entrada 2 5 6 2" xfId="4514"/>
    <cellStyle name="Entrada 2 5 7" xfId="4515"/>
    <cellStyle name="Entrada 2 5 7 2" xfId="4516"/>
    <cellStyle name="Entrada 2 5 8" xfId="4517"/>
    <cellStyle name="Entrada 2 5 8 2" xfId="4518"/>
    <cellStyle name="Entrada 2 5 9" xfId="4519"/>
    <cellStyle name="Entrada 2 5 9 2" xfId="4520"/>
    <cellStyle name="Entrada 2 6" xfId="4521"/>
    <cellStyle name="Entrada 2 6 10" xfId="4522"/>
    <cellStyle name="Entrada 2 6 10 2" xfId="4523"/>
    <cellStyle name="Entrada 2 6 11" xfId="4524"/>
    <cellStyle name="Entrada 2 6 11 2" xfId="4525"/>
    <cellStyle name="Entrada 2 6 12" xfId="4526"/>
    <cellStyle name="Entrada 2 6 12 2" xfId="4527"/>
    <cellStyle name="Entrada 2 6 13" xfId="4528"/>
    <cellStyle name="Entrada 2 6 13 2" xfId="4529"/>
    <cellStyle name="Entrada 2 6 14" xfId="4530"/>
    <cellStyle name="Entrada 2 6 14 2" xfId="4531"/>
    <cellStyle name="Entrada 2 6 15" xfId="4532"/>
    <cellStyle name="Entrada 2 6 2" xfId="4533"/>
    <cellStyle name="Entrada 2 6 2 10" xfId="4534"/>
    <cellStyle name="Entrada 2 6 2 10 2" xfId="4535"/>
    <cellStyle name="Entrada 2 6 2 11" xfId="4536"/>
    <cellStyle name="Entrada 2 6 2 11 2" xfId="4537"/>
    <cellStyle name="Entrada 2 6 2 12" xfId="4538"/>
    <cellStyle name="Entrada 2 6 2 12 2" xfId="4539"/>
    <cellStyle name="Entrada 2 6 2 13" xfId="4540"/>
    <cellStyle name="Entrada 2 6 2 2" xfId="4541"/>
    <cellStyle name="Entrada 2 6 2 2 10" xfId="4542"/>
    <cellStyle name="Entrada 2 6 2 2 10 2" xfId="4543"/>
    <cellStyle name="Entrada 2 6 2 2 11" xfId="4544"/>
    <cellStyle name="Entrada 2 6 2 2 2" xfId="4545"/>
    <cellStyle name="Entrada 2 6 2 2 2 2" xfId="4546"/>
    <cellStyle name="Entrada 2 6 2 2 3" xfId="4547"/>
    <cellStyle name="Entrada 2 6 2 2 3 2" xfId="4548"/>
    <cellStyle name="Entrada 2 6 2 2 4" xfId="4549"/>
    <cellStyle name="Entrada 2 6 2 2 4 2" xfId="4550"/>
    <cellStyle name="Entrada 2 6 2 2 5" xfId="4551"/>
    <cellStyle name="Entrada 2 6 2 2 5 2" xfId="4552"/>
    <cellStyle name="Entrada 2 6 2 2 6" xfId="4553"/>
    <cellStyle name="Entrada 2 6 2 2 6 2" xfId="4554"/>
    <cellStyle name="Entrada 2 6 2 2 7" xfId="4555"/>
    <cellStyle name="Entrada 2 6 2 2 7 2" xfId="4556"/>
    <cellStyle name="Entrada 2 6 2 2 8" xfId="4557"/>
    <cellStyle name="Entrada 2 6 2 2 8 2" xfId="4558"/>
    <cellStyle name="Entrada 2 6 2 2 9" xfId="4559"/>
    <cellStyle name="Entrada 2 6 2 2 9 2" xfId="4560"/>
    <cellStyle name="Entrada 2 6 2 3" xfId="4561"/>
    <cellStyle name="Entrada 2 6 2 3 10" xfId="4562"/>
    <cellStyle name="Entrada 2 6 2 3 10 2" xfId="4563"/>
    <cellStyle name="Entrada 2 6 2 3 11" xfId="4564"/>
    <cellStyle name="Entrada 2 6 2 3 2" xfId="4565"/>
    <cellStyle name="Entrada 2 6 2 3 2 2" xfId="4566"/>
    <cellStyle name="Entrada 2 6 2 3 3" xfId="4567"/>
    <cellStyle name="Entrada 2 6 2 3 3 2" xfId="4568"/>
    <cellStyle name="Entrada 2 6 2 3 4" xfId="4569"/>
    <cellStyle name="Entrada 2 6 2 3 4 2" xfId="4570"/>
    <cellStyle name="Entrada 2 6 2 3 5" xfId="4571"/>
    <cellStyle name="Entrada 2 6 2 3 5 2" xfId="4572"/>
    <cellStyle name="Entrada 2 6 2 3 6" xfId="4573"/>
    <cellStyle name="Entrada 2 6 2 3 6 2" xfId="4574"/>
    <cellStyle name="Entrada 2 6 2 3 7" xfId="4575"/>
    <cellStyle name="Entrada 2 6 2 3 7 2" xfId="4576"/>
    <cellStyle name="Entrada 2 6 2 3 8" xfId="4577"/>
    <cellStyle name="Entrada 2 6 2 3 8 2" xfId="4578"/>
    <cellStyle name="Entrada 2 6 2 3 9" xfId="4579"/>
    <cellStyle name="Entrada 2 6 2 3 9 2" xfId="4580"/>
    <cellStyle name="Entrada 2 6 2 4" xfId="4581"/>
    <cellStyle name="Entrada 2 6 2 4 2" xfId="4582"/>
    <cellStyle name="Entrada 2 6 2 5" xfId="4583"/>
    <cellStyle name="Entrada 2 6 2 5 2" xfId="4584"/>
    <cellStyle name="Entrada 2 6 2 6" xfId="4585"/>
    <cellStyle name="Entrada 2 6 2 6 2" xfId="4586"/>
    <cellStyle name="Entrada 2 6 2 7" xfId="4587"/>
    <cellStyle name="Entrada 2 6 2 7 2" xfId="4588"/>
    <cellStyle name="Entrada 2 6 2 8" xfId="4589"/>
    <cellStyle name="Entrada 2 6 2 8 2" xfId="4590"/>
    <cellStyle name="Entrada 2 6 2 9" xfId="4591"/>
    <cellStyle name="Entrada 2 6 2 9 2" xfId="4592"/>
    <cellStyle name="Entrada 2 6 3" xfId="4593"/>
    <cellStyle name="Entrada 2 6 3 10" xfId="4594"/>
    <cellStyle name="Entrada 2 6 3 10 2" xfId="4595"/>
    <cellStyle name="Entrada 2 6 3 11" xfId="4596"/>
    <cellStyle name="Entrada 2 6 3 11 2" xfId="4597"/>
    <cellStyle name="Entrada 2 6 3 12" xfId="4598"/>
    <cellStyle name="Entrada 2 6 3 12 2" xfId="4599"/>
    <cellStyle name="Entrada 2 6 3 13" xfId="4600"/>
    <cellStyle name="Entrada 2 6 3 2" xfId="4601"/>
    <cellStyle name="Entrada 2 6 3 2 10" xfId="4602"/>
    <cellStyle name="Entrada 2 6 3 2 10 2" xfId="4603"/>
    <cellStyle name="Entrada 2 6 3 2 11" xfId="4604"/>
    <cellStyle name="Entrada 2 6 3 2 2" xfId="4605"/>
    <cellStyle name="Entrada 2 6 3 2 2 2" xfId="4606"/>
    <cellStyle name="Entrada 2 6 3 2 3" xfId="4607"/>
    <cellStyle name="Entrada 2 6 3 2 3 2" xfId="4608"/>
    <cellStyle name="Entrada 2 6 3 2 4" xfId="4609"/>
    <cellStyle name="Entrada 2 6 3 2 4 2" xfId="4610"/>
    <cellStyle name="Entrada 2 6 3 2 5" xfId="4611"/>
    <cellStyle name="Entrada 2 6 3 2 5 2" xfId="4612"/>
    <cellStyle name="Entrada 2 6 3 2 6" xfId="4613"/>
    <cellStyle name="Entrada 2 6 3 2 6 2" xfId="4614"/>
    <cellStyle name="Entrada 2 6 3 2 7" xfId="4615"/>
    <cellStyle name="Entrada 2 6 3 2 7 2" xfId="4616"/>
    <cellStyle name="Entrada 2 6 3 2 8" xfId="4617"/>
    <cellStyle name="Entrada 2 6 3 2 8 2" xfId="4618"/>
    <cellStyle name="Entrada 2 6 3 2 9" xfId="4619"/>
    <cellStyle name="Entrada 2 6 3 2 9 2" xfId="4620"/>
    <cellStyle name="Entrada 2 6 3 3" xfId="4621"/>
    <cellStyle name="Entrada 2 6 3 3 10" xfId="4622"/>
    <cellStyle name="Entrada 2 6 3 3 10 2" xfId="4623"/>
    <cellStyle name="Entrada 2 6 3 3 11" xfId="4624"/>
    <cellStyle name="Entrada 2 6 3 3 2" xfId="4625"/>
    <cellStyle name="Entrada 2 6 3 3 2 2" xfId="4626"/>
    <cellStyle name="Entrada 2 6 3 3 3" xfId="4627"/>
    <cellStyle name="Entrada 2 6 3 3 3 2" xfId="4628"/>
    <cellStyle name="Entrada 2 6 3 3 4" xfId="4629"/>
    <cellStyle name="Entrada 2 6 3 3 4 2" xfId="4630"/>
    <cellStyle name="Entrada 2 6 3 3 5" xfId="4631"/>
    <cellStyle name="Entrada 2 6 3 3 5 2" xfId="4632"/>
    <cellStyle name="Entrada 2 6 3 3 6" xfId="4633"/>
    <cellStyle name="Entrada 2 6 3 3 6 2" xfId="4634"/>
    <cellStyle name="Entrada 2 6 3 3 7" xfId="4635"/>
    <cellStyle name="Entrada 2 6 3 3 7 2" xfId="4636"/>
    <cellStyle name="Entrada 2 6 3 3 8" xfId="4637"/>
    <cellStyle name="Entrada 2 6 3 3 8 2" xfId="4638"/>
    <cellStyle name="Entrada 2 6 3 3 9" xfId="4639"/>
    <cellStyle name="Entrada 2 6 3 3 9 2" xfId="4640"/>
    <cellStyle name="Entrada 2 6 3 4" xfId="4641"/>
    <cellStyle name="Entrada 2 6 3 4 2" xfId="4642"/>
    <cellStyle name="Entrada 2 6 3 5" xfId="4643"/>
    <cellStyle name="Entrada 2 6 3 5 2" xfId="4644"/>
    <cellStyle name="Entrada 2 6 3 6" xfId="4645"/>
    <cellStyle name="Entrada 2 6 3 6 2" xfId="4646"/>
    <cellStyle name="Entrada 2 6 3 7" xfId="4647"/>
    <cellStyle name="Entrada 2 6 3 7 2" xfId="4648"/>
    <cellStyle name="Entrada 2 6 3 8" xfId="4649"/>
    <cellStyle name="Entrada 2 6 3 8 2" xfId="4650"/>
    <cellStyle name="Entrada 2 6 3 9" xfId="4651"/>
    <cellStyle name="Entrada 2 6 3 9 2" xfId="4652"/>
    <cellStyle name="Entrada 2 6 4" xfId="4653"/>
    <cellStyle name="Entrada 2 6 4 10" xfId="4654"/>
    <cellStyle name="Entrada 2 6 4 10 2" xfId="4655"/>
    <cellStyle name="Entrada 2 6 4 11" xfId="4656"/>
    <cellStyle name="Entrada 2 6 4 2" xfId="4657"/>
    <cellStyle name="Entrada 2 6 4 2 2" xfId="4658"/>
    <cellStyle name="Entrada 2 6 4 3" xfId="4659"/>
    <cellStyle name="Entrada 2 6 4 3 2" xfId="4660"/>
    <cellStyle name="Entrada 2 6 4 4" xfId="4661"/>
    <cellStyle name="Entrada 2 6 4 4 2" xfId="4662"/>
    <cellStyle name="Entrada 2 6 4 5" xfId="4663"/>
    <cellStyle name="Entrada 2 6 4 5 2" xfId="4664"/>
    <cellStyle name="Entrada 2 6 4 6" xfId="4665"/>
    <cellStyle name="Entrada 2 6 4 6 2" xfId="4666"/>
    <cellStyle name="Entrada 2 6 4 7" xfId="4667"/>
    <cellStyle name="Entrada 2 6 4 7 2" xfId="4668"/>
    <cellStyle name="Entrada 2 6 4 8" xfId="4669"/>
    <cellStyle name="Entrada 2 6 4 8 2" xfId="4670"/>
    <cellStyle name="Entrada 2 6 4 9" xfId="4671"/>
    <cellStyle name="Entrada 2 6 4 9 2" xfId="4672"/>
    <cellStyle name="Entrada 2 6 5" xfId="4673"/>
    <cellStyle name="Entrada 2 6 5 10" xfId="4674"/>
    <cellStyle name="Entrada 2 6 5 10 2" xfId="4675"/>
    <cellStyle name="Entrada 2 6 5 11" xfId="4676"/>
    <cellStyle name="Entrada 2 6 5 2" xfId="4677"/>
    <cellStyle name="Entrada 2 6 5 2 2" xfId="4678"/>
    <cellStyle name="Entrada 2 6 5 3" xfId="4679"/>
    <cellStyle name="Entrada 2 6 5 3 2" xfId="4680"/>
    <cellStyle name="Entrada 2 6 5 4" xfId="4681"/>
    <cellStyle name="Entrada 2 6 5 4 2" xfId="4682"/>
    <cellStyle name="Entrada 2 6 5 5" xfId="4683"/>
    <cellStyle name="Entrada 2 6 5 5 2" xfId="4684"/>
    <cellStyle name="Entrada 2 6 5 6" xfId="4685"/>
    <cellStyle name="Entrada 2 6 5 6 2" xfId="4686"/>
    <cellStyle name="Entrada 2 6 5 7" xfId="4687"/>
    <cellStyle name="Entrada 2 6 5 7 2" xfId="4688"/>
    <cellStyle name="Entrada 2 6 5 8" xfId="4689"/>
    <cellStyle name="Entrada 2 6 5 8 2" xfId="4690"/>
    <cellStyle name="Entrada 2 6 5 9" xfId="4691"/>
    <cellStyle name="Entrada 2 6 5 9 2" xfId="4692"/>
    <cellStyle name="Entrada 2 6 6" xfId="4693"/>
    <cellStyle name="Entrada 2 6 6 2" xfId="4694"/>
    <cellStyle name="Entrada 2 6 7" xfId="4695"/>
    <cellStyle name="Entrada 2 6 7 2" xfId="4696"/>
    <cellStyle name="Entrada 2 6 8" xfId="4697"/>
    <cellStyle name="Entrada 2 6 8 2" xfId="4698"/>
    <cellStyle name="Entrada 2 6 9" xfId="4699"/>
    <cellStyle name="Entrada 2 6 9 2" xfId="4700"/>
    <cellStyle name="Entrada 2 7" xfId="4701"/>
    <cellStyle name="Entrada 2 7 10" xfId="4702"/>
    <cellStyle name="Entrada 2 7 10 2" xfId="4703"/>
    <cellStyle name="Entrada 2 7 11" xfId="4704"/>
    <cellStyle name="Entrada 2 7 11 2" xfId="4705"/>
    <cellStyle name="Entrada 2 7 12" xfId="4706"/>
    <cellStyle name="Entrada 2 7 12 2" xfId="4707"/>
    <cellStyle name="Entrada 2 7 13" xfId="4708"/>
    <cellStyle name="Entrada 2 7 2" xfId="4709"/>
    <cellStyle name="Entrada 2 7 2 10" xfId="4710"/>
    <cellStyle name="Entrada 2 7 2 10 2" xfId="4711"/>
    <cellStyle name="Entrada 2 7 2 11" xfId="4712"/>
    <cellStyle name="Entrada 2 7 2 2" xfId="4713"/>
    <cellStyle name="Entrada 2 7 2 2 2" xfId="4714"/>
    <cellStyle name="Entrada 2 7 2 3" xfId="4715"/>
    <cellStyle name="Entrada 2 7 2 3 2" xfId="4716"/>
    <cellStyle name="Entrada 2 7 2 4" xfId="4717"/>
    <cellStyle name="Entrada 2 7 2 4 2" xfId="4718"/>
    <cellStyle name="Entrada 2 7 2 5" xfId="4719"/>
    <cellStyle name="Entrada 2 7 2 5 2" xfId="4720"/>
    <cellStyle name="Entrada 2 7 2 6" xfId="4721"/>
    <cellStyle name="Entrada 2 7 2 6 2" xfId="4722"/>
    <cellStyle name="Entrada 2 7 2 7" xfId="4723"/>
    <cellStyle name="Entrada 2 7 2 7 2" xfId="4724"/>
    <cellStyle name="Entrada 2 7 2 8" xfId="4725"/>
    <cellStyle name="Entrada 2 7 2 8 2" xfId="4726"/>
    <cellStyle name="Entrada 2 7 2 9" xfId="4727"/>
    <cellStyle name="Entrada 2 7 2 9 2" xfId="4728"/>
    <cellStyle name="Entrada 2 7 3" xfId="4729"/>
    <cellStyle name="Entrada 2 7 3 10" xfId="4730"/>
    <cellStyle name="Entrada 2 7 3 10 2" xfId="4731"/>
    <cellStyle name="Entrada 2 7 3 11" xfId="4732"/>
    <cellStyle name="Entrada 2 7 3 2" xfId="4733"/>
    <cellStyle name="Entrada 2 7 3 2 2" xfId="4734"/>
    <cellStyle name="Entrada 2 7 3 3" xfId="4735"/>
    <cellStyle name="Entrada 2 7 3 3 2" xfId="4736"/>
    <cellStyle name="Entrada 2 7 3 4" xfId="4737"/>
    <cellStyle name="Entrada 2 7 3 4 2" xfId="4738"/>
    <cellStyle name="Entrada 2 7 3 5" xfId="4739"/>
    <cellStyle name="Entrada 2 7 3 5 2" xfId="4740"/>
    <cellStyle name="Entrada 2 7 3 6" xfId="4741"/>
    <cellStyle name="Entrada 2 7 3 6 2" xfId="4742"/>
    <cellStyle name="Entrada 2 7 3 7" xfId="4743"/>
    <cellStyle name="Entrada 2 7 3 7 2" xfId="4744"/>
    <cellStyle name="Entrada 2 7 3 8" xfId="4745"/>
    <cellStyle name="Entrada 2 7 3 8 2" xfId="4746"/>
    <cellStyle name="Entrada 2 7 3 9" xfId="4747"/>
    <cellStyle name="Entrada 2 7 3 9 2" xfId="4748"/>
    <cellStyle name="Entrada 2 7 4" xfId="4749"/>
    <cellStyle name="Entrada 2 7 4 2" xfId="4750"/>
    <cellStyle name="Entrada 2 7 5" xfId="4751"/>
    <cellStyle name="Entrada 2 7 5 2" xfId="4752"/>
    <cellStyle name="Entrada 2 7 6" xfId="4753"/>
    <cellStyle name="Entrada 2 7 6 2" xfId="4754"/>
    <cellStyle name="Entrada 2 7 7" xfId="4755"/>
    <cellStyle name="Entrada 2 7 7 2" xfId="4756"/>
    <cellStyle name="Entrada 2 7 8" xfId="4757"/>
    <cellStyle name="Entrada 2 7 8 2" xfId="4758"/>
    <cellStyle name="Entrada 2 7 9" xfId="4759"/>
    <cellStyle name="Entrada 2 7 9 2" xfId="4760"/>
    <cellStyle name="Entrada 2 8" xfId="4761"/>
    <cellStyle name="Entrada 2 8 10" xfId="4762"/>
    <cellStyle name="Entrada 2 8 10 2" xfId="4763"/>
    <cellStyle name="Entrada 2 8 11" xfId="4764"/>
    <cellStyle name="Entrada 2 8 11 2" xfId="4765"/>
    <cellStyle name="Entrada 2 8 12" xfId="4766"/>
    <cellStyle name="Entrada 2 8 12 2" xfId="4767"/>
    <cellStyle name="Entrada 2 8 13" xfId="4768"/>
    <cellStyle name="Entrada 2 8 2" xfId="4769"/>
    <cellStyle name="Entrada 2 8 2 10" xfId="4770"/>
    <cellStyle name="Entrada 2 8 2 10 2" xfId="4771"/>
    <cellStyle name="Entrada 2 8 2 11" xfId="4772"/>
    <cellStyle name="Entrada 2 8 2 2" xfId="4773"/>
    <cellStyle name="Entrada 2 8 2 2 2" xfId="4774"/>
    <cellStyle name="Entrada 2 8 2 3" xfId="4775"/>
    <cellStyle name="Entrada 2 8 2 3 2" xfId="4776"/>
    <cellStyle name="Entrada 2 8 2 4" xfId="4777"/>
    <cellStyle name="Entrada 2 8 2 4 2" xfId="4778"/>
    <cellStyle name="Entrada 2 8 2 5" xfId="4779"/>
    <cellStyle name="Entrada 2 8 2 5 2" xfId="4780"/>
    <cellStyle name="Entrada 2 8 2 6" xfId="4781"/>
    <cellStyle name="Entrada 2 8 2 6 2" xfId="4782"/>
    <cellStyle name="Entrada 2 8 2 7" xfId="4783"/>
    <cellStyle name="Entrada 2 8 2 7 2" xfId="4784"/>
    <cellStyle name="Entrada 2 8 2 8" xfId="4785"/>
    <cellStyle name="Entrada 2 8 2 8 2" xfId="4786"/>
    <cellStyle name="Entrada 2 8 2 9" xfId="4787"/>
    <cellStyle name="Entrada 2 8 2 9 2" xfId="4788"/>
    <cellStyle name="Entrada 2 8 3" xfId="4789"/>
    <cellStyle name="Entrada 2 8 3 10" xfId="4790"/>
    <cellStyle name="Entrada 2 8 3 10 2" xfId="4791"/>
    <cellStyle name="Entrada 2 8 3 11" xfId="4792"/>
    <cellStyle name="Entrada 2 8 3 2" xfId="4793"/>
    <cellStyle name="Entrada 2 8 3 2 2" xfId="4794"/>
    <cellStyle name="Entrada 2 8 3 3" xfId="4795"/>
    <cellStyle name="Entrada 2 8 3 3 2" xfId="4796"/>
    <cellStyle name="Entrada 2 8 3 4" xfId="4797"/>
    <cellStyle name="Entrada 2 8 3 4 2" xfId="4798"/>
    <cellStyle name="Entrada 2 8 3 5" xfId="4799"/>
    <cellStyle name="Entrada 2 8 3 5 2" xfId="4800"/>
    <cellStyle name="Entrada 2 8 3 6" xfId="4801"/>
    <cellStyle name="Entrada 2 8 3 6 2" xfId="4802"/>
    <cellStyle name="Entrada 2 8 3 7" xfId="4803"/>
    <cellStyle name="Entrada 2 8 3 7 2" xfId="4804"/>
    <cellStyle name="Entrada 2 8 3 8" xfId="4805"/>
    <cellStyle name="Entrada 2 8 3 8 2" xfId="4806"/>
    <cellStyle name="Entrada 2 8 3 9" xfId="4807"/>
    <cellStyle name="Entrada 2 8 3 9 2" xfId="4808"/>
    <cellStyle name="Entrada 2 8 4" xfId="4809"/>
    <cellStyle name="Entrada 2 8 4 2" xfId="4810"/>
    <cellStyle name="Entrada 2 8 5" xfId="4811"/>
    <cellStyle name="Entrada 2 8 5 2" xfId="4812"/>
    <cellStyle name="Entrada 2 8 6" xfId="4813"/>
    <cellStyle name="Entrada 2 8 6 2" xfId="4814"/>
    <cellStyle name="Entrada 2 8 7" xfId="4815"/>
    <cellStyle name="Entrada 2 8 7 2" xfId="4816"/>
    <cellStyle name="Entrada 2 8 8" xfId="4817"/>
    <cellStyle name="Entrada 2 8 8 2" xfId="4818"/>
    <cellStyle name="Entrada 2 8 9" xfId="4819"/>
    <cellStyle name="Entrada 2 8 9 2" xfId="4820"/>
    <cellStyle name="Entrada 2 9" xfId="4821"/>
    <cellStyle name="Entrada 2 9 2" xfId="4822"/>
    <cellStyle name="Entrada 3" xfId="150"/>
    <cellStyle name="Entrada 3 10" xfId="4823"/>
    <cellStyle name="Entrada 3 10 2" xfId="4824"/>
    <cellStyle name="Entrada 3 11" xfId="4825"/>
    <cellStyle name="Entrada 3 11 2" xfId="4826"/>
    <cellStyle name="Entrada 3 12" xfId="4827"/>
    <cellStyle name="Entrada 3 12 2" xfId="4828"/>
    <cellStyle name="Entrada 3 13" xfId="4829"/>
    <cellStyle name="Entrada 3 13 2" xfId="4830"/>
    <cellStyle name="Entrada 3 14" xfId="4831"/>
    <cellStyle name="Entrada 3 14 2" xfId="4832"/>
    <cellStyle name="Entrada 3 15" xfId="4833"/>
    <cellStyle name="Entrada 3 16" xfId="4834"/>
    <cellStyle name="Entrada 3 17" xfId="4835"/>
    <cellStyle name="Entrada 3 2" xfId="4836"/>
    <cellStyle name="Entrada 3 2 10" xfId="4837"/>
    <cellStyle name="Entrada 3 2 10 2" xfId="4838"/>
    <cellStyle name="Entrada 3 2 11" xfId="4839"/>
    <cellStyle name="Entrada 3 2 11 2" xfId="4840"/>
    <cellStyle name="Entrada 3 2 12" xfId="4841"/>
    <cellStyle name="Entrada 3 2 12 2" xfId="4842"/>
    <cellStyle name="Entrada 3 2 13" xfId="4843"/>
    <cellStyle name="Entrada 3 2 13 2" xfId="4844"/>
    <cellStyle name="Entrada 3 2 14" xfId="4845"/>
    <cellStyle name="Entrada 3 2 14 2" xfId="4846"/>
    <cellStyle name="Entrada 3 2 15" xfId="4847"/>
    <cellStyle name="Entrada 3 2 2" xfId="4848"/>
    <cellStyle name="Entrada 3 2 2 10" xfId="4849"/>
    <cellStyle name="Entrada 3 2 2 10 2" xfId="4850"/>
    <cellStyle name="Entrada 3 2 2 11" xfId="4851"/>
    <cellStyle name="Entrada 3 2 2 11 2" xfId="4852"/>
    <cellStyle name="Entrada 3 2 2 12" xfId="4853"/>
    <cellStyle name="Entrada 3 2 2 12 2" xfId="4854"/>
    <cellStyle name="Entrada 3 2 2 13" xfId="4855"/>
    <cellStyle name="Entrada 3 2 2 2" xfId="4856"/>
    <cellStyle name="Entrada 3 2 2 2 10" xfId="4857"/>
    <cellStyle name="Entrada 3 2 2 2 10 2" xfId="4858"/>
    <cellStyle name="Entrada 3 2 2 2 11" xfId="4859"/>
    <cellStyle name="Entrada 3 2 2 2 2" xfId="4860"/>
    <cellStyle name="Entrada 3 2 2 2 2 2" xfId="4861"/>
    <cellStyle name="Entrada 3 2 2 2 3" xfId="4862"/>
    <cellStyle name="Entrada 3 2 2 2 3 2" xfId="4863"/>
    <cellStyle name="Entrada 3 2 2 2 4" xfId="4864"/>
    <cellStyle name="Entrada 3 2 2 2 4 2" xfId="4865"/>
    <cellStyle name="Entrada 3 2 2 2 5" xfId="4866"/>
    <cellStyle name="Entrada 3 2 2 2 5 2" xfId="4867"/>
    <cellStyle name="Entrada 3 2 2 2 6" xfId="4868"/>
    <cellStyle name="Entrada 3 2 2 2 6 2" xfId="4869"/>
    <cellStyle name="Entrada 3 2 2 2 7" xfId="4870"/>
    <cellStyle name="Entrada 3 2 2 2 7 2" xfId="4871"/>
    <cellStyle name="Entrada 3 2 2 2 8" xfId="4872"/>
    <cellStyle name="Entrada 3 2 2 2 8 2" xfId="4873"/>
    <cellStyle name="Entrada 3 2 2 2 9" xfId="4874"/>
    <cellStyle name="Entrada 3 2 2 2 9 2" xfId="4875"/>
    <cellStyle name="Entrada 3 2 2 3" xfId="4876"/>
    <cellStyle name="Entrada 3 2 2 3 10" xfId="4877"/>
    <cellStyle name="Entrada 3 2 2 3 10 2" xfId="4878"/>
    <cellStyle name="Entrada 3 2 2 3 11" xfId="4879"/>
    <cellStyle name="Entrada 3 2 2 3 2" xfId="4880"/>
    <cellStyle name="Entrada 3 2 2 3 2 2" xfId="4881"/>
    <cellStyle name="Entrada 3 2 2 3 3" xfId="4882"/>
    <cellStyle name="Entrada 3 2 2 3 3 2" xfId="4883"/>
    <cellStyle name="Entrada 3 2 2 3 4" xfId="4884"/>
    <cellStyle name="Entrada 3 2 2 3 4 2" xfId="4885"/>
    <cellStyle name="Entrada 3 2 2 3 5" xfId="4886"/>
    <cellStyle name="Entrada 3 2 2 3 5 2" xfId="4887"/>
    <cellStyle name="Entrada 3 2 2 3 6" xfId="4888"/>
    <cellStyle name="Entrada 3 2 2 3 6 2" xfId="4889"/>
    <cellStyle name="Entrada 3 2 2 3 7" xfId="4890"/>
    <cellStyle name="Entrada 3 2 2 3 7 2" xfId="4891"/>
    <cellStyle name="Entrada 3 2 2 3 8" xfId="4892"/>
    <cellStyle name="Entrada 3 2 2 3 8 2" xfId="4893"/>
    <cellStyle name="Entrada 3 2 2 3 9" xfId="4894"/>
    <cellStyle name="Entrada 3 2 2 3 9 2" xfId="4895"/>
    <cellStyle name="Entrada 3 2 2 4" xfId="4896"/>
    <cellStyle name="Entrada 3 2 2 4 2" xfId="4897"/>
    <cellStyle name="Entrada 3 2 2 5" xfId="4898"/>
    <cellStyle name="Entrada 3 2 2 5 2" xfId="4899"/>
    <cellStyle name="Entrada 3 2 2 6" xfId="4900"/>
    <cellStyle name="Entrada 3 2 2 6 2" xfId="4901"/>
    <cellStyle name="Entrada 3 2 2 7" xfId="4902"/>
    <cellStyle name="Entrada 3 2 2 7 2" xfId="4903"/>
    <cellStyle name="Entrada 3 2 2 8" xfId="4904"/>
    <cellStyle name="Entrada 3 2 2 8 2" xfId="4905"/>
    <cellStyle name="Entrada 3 2 2 9" xfId="4906"/>
    <cellStyle name="Entrada 3 2 2 9 2" xfId="4907"/>
    <cellStyle name="Entrada 3 2 3" xfId="4908"/>
    <cellStyle name="Entrada 3 2 3 10" xfId="4909"/>
    <cellStyle name="Entrada 3 2 3 10 2" xfId="4910"/>
    <cellStyle name="Entrada 3 2 3 11" xfId="4911"/>
    <cellStyle name="Entrada 3 2 3 11 2" xfId="4912"/>
    <cellStyle name="Entrada 3 2 3 12" xfId="4913"/>
    <cellStyle name="Entrada 3 2 3 12 2" xfId="4914"/>
    <cellStyle name="Entrada 3 2 3 13" xfId="4915"/>
    <cellStyle name="Entrada 3 2 3 2" xfId="4916"/>
    <cellStyle name="Entrada 3 2 3 2 10" xfId="4917"/>
    <cellStyle name="Entrada 3 2 3 2 10 2" xfId="4918"/>
    <cellStyle name="Entrada 3 2 3 2 11" xfId="4919"/>
    <cellStyle name="Entrada 3 2 3 2 2" xfId="4920"/>
    <cellStyle name="Entrada 3 2 3 2 2 2" xfId="4921"/>
    <cellStyle name="Entrada 3 2 3 2 3" xfId="4922"/>
    <cellStyle name="Entrada 3 2 3 2 3 2" xfId="4923"/>
    <cellStyle name="Entrada 3 2 3 2 4" xfId="4924"/>
    <cellStyle name="Entrada 3 2 3 2 4 2" xfId="4925"/>
    <cellStyle name="Entrada 3 2 3 2 5" xfId="4926"/>
    <cellStyle name="Entrada 3 2 3 2 5 2" xfId="4927"/>
    <cellStyle name="Entrada 3 2 3 2 6" xfId="4928"/>
    <cellStyle name="Entrada 3 2 3 2 6 2" xfId="4929"/>
    <cellStyle name="Entrada 3 2 3 2 7" xfId="4930"/>
    <cellStyle name="Entrada 3 2 3 2 7 2" xfId="4931"/>
    <cellStyle name="Entrada 3 2 3 2 8" xfId="4932"/>
    <cellStyle name="Entrada 3 2 3 2 8 2" xfId="4933"/>
    <cellStyle name="Entrada 3 2 3 2 9" xfId="4934"/>
    <cellStyle name="Entrada 3 2 3 2 9 2" xfId="4935"/>
    <cellStyle name="Entrada 3 2 3 3" xfId="4936"/>
    <cellStyle name="Entrada 3 2 3 3 10" xfId="4937"/>
    <cellStyle name="Entrada 3 2 3 3 10 2" xfId="4938"/>
    <cellStyle name="Entrada 3 2 3 3 11" xfId="4939"/>
    <cellStyle name="Entrada 3 2 3 3 2" xfId="4940"/>
    <cellStyle name="Entrada 3 2 3 3 2 2" xfId="4941"/>
    <cellStyle name="Entrada 3 2 3 3 3" xfId="4942"/>
    <cellStyle name="Entrada 3 2 3 3 3 2" xfId="4943"/>
    <cellStyle name="Entrada 3 2 3 3 4" xfId="4944"/>
    <cellStyle name="Entrada 3 2 3 3 4 2" xfId="4945"/>
    <cellStyle name="Entrada 3 2 3 3 5" xfId="4946"/>
    <cellStyle name="Entrada 3 2 3 3 5 2" xfId="4947"/>
    <cellStyle name="Entrada 3 2 3 3 6" xfId="4948"/>
    <cellStyle name="Entrada 3 2 3 3 6 2" xfId="4949"/>
    <cellStyle name="Entrada 3 2 3 3 7" xfId="4950"/>
    <cellStyle name="Entrada 3 2 3 3 7 2" xfId="4951"/>
    <cellStyle name="Entrada 3 2 3 3 8" xfId="4952"/>
    <cellStyle name="Entrada 3 2 3 3 8 2" xfId="4953"/>
    <cellStyle name="Entrada 3 2 3 3 9" xfId="4954"/>
    <cellStyle name="Entrada 3 2 3 3 9 2" xfId="4955"/>
    <cellStyle name="Entrada 3 2 3 4" xfId="4956"/>
    <cellStyle name="Entrada 3 2 3 4 2" xfId="4957"/>
    <cellStyle name="Entrada 3 2 3 5" xfId="4958"/>
    <cellStyle name="Entrada 3 2 3 5 2" xfId="4959"/>
    <cellStyle name="Entrada 3 2 3 6" xfId="4960"/>
    <cellStyle name="Entrada 3 2 3 6 2" xfId="4961"/>
    <cellStyle name="Entrada 3 2 3 7" xfId="4962"/>
    <cellStyle name="Entrada 3 2 3 7 2" xfId="4963"/>
    <cellStyle name="Entrada 3 2 3 8" xfId="4964"/>
    <cellStyle name="Entrada 3 2 3 8 2" xfId="4965"/>
    <cellStyle name="Entrada 3 2 3 9" xfId="4966"/>
    <cellStyle name="Entrada 3 2 3 9 2" xfId="4967"/>
    <cellStyle name="Entrada 3 2 4" xfId="4968"/>
    <cellStyle name="Entrada 3 2 4 10" xfId="4969"/>
    <cellStyle name="Entrada 3 2 4 10 2" xfId="4970"/>
    <cellStyle name="Entrada 3 2 4 11" xfId="4971"/>
    <cellStyle name="Entrada 3 2 4 2" xfId="4972"/>
    <cellStyle name="Entrada 3 2 4 2 2" xfId="4973"/>
    <cellStyle name="Entrada 3 2 4 3" xfId="4974"/>
    <cellStyle name="Entrada 3 2 4 3 2" xfId="4975"/>
    <cellStyle name="Entrada 3 2 4 4" xfId="4976"/>
    <cellStyle name="Entrada 3 2 4 4 2" xfId="4977"/>
    <cellStyle name="Entrada 3 2 4 5" xfId="4978"/>
    <cellStyle name="Entrada 3 2 4 5 2" xfId="4979"/>
    <cellStyle name="Entrada 3 2 4 6" xfId="4980"/>
    <cellStyle name="Entrada 3 2 4 6 2" xfId="4981"/>
    <cellStyle name="Entrada 3 2 4 7" xfId="4982"/>
    <cellStyle name="Entrada 3 2 4 7 2" xfId="4983"/>
    <cellStyle name="Entrada 3 2 4 8" xfId="4984"/>
    <cellStyle name="Entrada 3 2 4 8 2" xfId="4985"/>
    <cellStyle name="Entrada 3 2 4 9" xfId="4986"/>
    <cellStyle name="Entrada 3 2 4 9 2" xfId="4987"/>
    <cellStyle name="Entrada 3 2 5" xfId="4988"/>
    <cellStyle name="Entrada 3 2 5 10" xfId="4989"/>
    <cellStyle name="Entrada 3 2 5 10 2" xfId="4990"/>
    <cellStyle name="Entrada 3 2 5 11" xfId="4991"/>
    <cellStyle name="Entrada 3 2 5 2" xfId="4992"/>
    <cellStyle name="Entrada 3 2 5 2 2" xfId="4993"/>
    <cellStyle name="Entrada 3 2 5 3" xfId="4994"/>
    <cellStyle name="Entrada 3 2 5 3 2" xfId="4995"/>
    <cellStyle name="Entrada 3 2 5 4" xfId="4996"/>
    <cellStyle name="Entrada 3 2 5 4 2" xfId="4997"/>
    <cellStyle name="Entrada 3 2 5 5" xfId="4998"/>
    <cellStyle name="Entrada 3 2 5 5 2" xfId="4999"/>
    <cellStyle name="Entrada 3 2 5 6" xfId="5000"/>
    <cellStyle name="Entrada 3 2 5 6 2" xfId="5001"/>
    <cellStyle name="Entrada 3 2 5 7" xfId="5002"/>
    <cellStyle name="Entrada 3 2 5 7 2" xfId="5003"/>
    <cellStyle name="Entrada 3 2 5 8" xfId="5004"/>
    <cellStyle name="Entrada 3 2 5 8 2" xfId="5005"/>
    <cellStyle name="Entrada 3 2 5 9" xfId="5006"/>
    <cellStyle name="Entrada 3 2 5 9 2" xfId="5007"/>
    <cellStyle name="Entrada 3 2 6" xfId="5008"/>
    <cellStyle name="Entrada 3 2 6 2" xfId="5009"/>
    <cellStyle name="Entrada 3 2 7" xfId="5010"/>
    <cellStyle name="Entrada 3 2 7 2" xfId="5011"/>
    <cellStyle name="Entrada 3 2 8" xfId="5012"/>
    <cellStyle name="Entrada 3 2 8 2" xfId="5013"/>
    <cellStyle name="Entrada 3 2 9" xfId="5014"/>
    <cellStyle name="Entrada 3 2 9 2" xfId="5015"/>
    <cellStyle name="Entrada 3 3" xfId="5016"/>
    <cellStyle name="Entrada 3 3 10" xfId="5017"/>
    <cellStyle name="Entrada 3 3 10 2" xfId="5018"/>
    <cellStyle name="Entrada 3 3 11" xfId="5019"/>
    <cellStyle name="Entrada 3 3 11 2" xfId="5020"/>
    <cellStyle name="Entrada 3 3 12" xfId="5021"/>
    <cellStyle name="Entrada 3 3 12 2" xfId="5022"/>
    <cellStyle name="Entrada 3 3 13" xfId="5023"/>
    <cellStyle name="Entrada 3 3 13 2" xfId="5024"/>
    <cellStyle name="Entrada 3 3 14" xfId="5025"/>
    <cellStyle name="Entrada 3 3 14 2" xfId="5026"/>
    <cellStyle name="Entrada 3 3 15" xfId="5027"/>
    <cellStyle name="Entrada 3 3 2" xfId="5028"/>
    <cellStyle name="Entrada 3 3 2 10" xfId="5029"/>
    <cellStyle name="Entrada 3 3 2 10 2" xfId="5030"/>
    <cellStyle name="Entrada 3 3 2 11" xfId="5031"/>
    <cellStyle name="Entrada 3 3 2 11 2" xfId="5032"/>
    <cellStyle name="Entrada 3 3 2 12" xfId="5033"/>
    <cellStyle name="Entrada 3 3 2 12 2" xfId="5034"/>
    <cellStyle name="Entrada 3 3 2 13" xfId="5035"/>
    <cellStyle name="Entrada 3 3 2 2" xfId="5036"/>
    <cellStyle name="Entrada 3 3 2 2 10" xfId="5037"/>
    <cellStyle name="Entrada 3 3 2 2 10 2" xfId="5038"/>
    <cellStyle name="Entrada 3 3 2 2 11" xfId="5039"/>
    <cellStyle name="Entrada 3 3 2 2 2" xfId="5040"/>
    <cellStyle name="Entrada 3 3 2 2 2 2" xfId="5041"/>
    <cellStyle name="Entrada 3 3 2 2 3" xfId="5042"/>
    <cellStyle name="Entrada 3 3 2 2 3 2" xfId="5043"/>
    <cellStyle name="Entrada 3 3 2 2 4" xfId="5044"/>
    <cellStyle name="Entrada 3 3 2 2 4 2" xfId="5045"/>
    <cellStyle name="Entrada 3 3 2 2 5" xfId="5046"/>
    <cellStyle name="Entrada 3 3 2 2 5 2" xfId="5047"/>
    <cellStyle name="Entrada 3 3 2 2 6" xfId="5048"/>
    <cellStyle name="Entrada 3 3 2 2 6 2" xfId="5049"/>
    <cellStyle name="Entrada 3 3 2 2 7" xfId="5050"/>
    <cellStyle name="Entrada 3 3 2 2 7 2" xfId="5051"/>
    <cellStyle name="Entrada 3 3 2 2 8" xfId="5052"/>
    <cellStyle name="Entrada 3 3 2 2 8 2" xfId="5053"/>
    <cellStyle name="Entrada 3 3 2 2 9" xfId="5054"/>
    <cellStyle name="Entrada 3 3 2 2 9 2" xfId="5055"/>
    <cellStyle name="Entrada 3 3 2 3" xfId="5056"/>
    <cellStyle name="Entrada 3 3 2 3 10" xfId="5057"/>
    <cellStyle name="Entrada 3 3 2 3 10 2" xfId="5058"/>
    <cellStyle name="Entrada 3 3 2 3 11" xfId="5059"/>
    <cellStyle name="Entrada 3 3 2 3 2" xfId="5060"/>
    <cellStyle name="Entrada 3 3 2 3 2 2" xfId="5061"/>
    <cellStyle name="Entrada 3 3 2 3 3" xfId="5062"/>
    <cellStyle name="Entrada 3 3 2 3 3 2" xfId="5063"/>
    <cellStyle name="Entrada 3 3 2 3 4" xfId="5064"/>
    <cellStyle name="Entrada 3 3 2 3 4 2" xfId="5065"/>
    <cellStyle name="Entrada 3 3 2 3 5" xfId="5066"/>
    <cellStyle name="Entrada 3 3 2 3 5 2" xfId="5067"/>
    <cellStyle name="Entrada 3 3 2 3 6" xfId="5068"/>
    <cellStyle name="Entrada 3 3 2 3 6 2" xfId="5069"/>
    <cellStyle name="Entrada 3 3 2 3 7" xfId="5070"/>
    <cellStyle name="Entrada 3 3 2 3 7 2" xfId="5071"/>
    <cellStyle name="Entrada 3 3 2 3 8" xfId="5072"/>
    <cellStyle name="Entrada 3 3 2 3 8 2" xfId="5073"/>
    <cellStyle name="Entrada 3 3 2 3 9" xfId="5074"/>
    <cellStyle name="Entrada 3 3 2 3 9 2" xfId="5075"/>
    <cellStyle name="Entrada 3 3 2 4" xfId="5076"/>
    <cellStyle name="Entrada 3 3 2 4 2" xfId="5077"/>
    <cellStyle name="Entrada 3 3 2 5" xfId="5078"/>
    <cellStyle name="Entrada 3 3 2 5 2" xfId="5079"/>
    <cellStyle name="Entrada 3 3 2 6" xfId="5080"/>
    <cellStyle name="Entrada 3 3 2 6 2" xfId="5081"/>
    <cellStyle name="Entrada 3 3 2 7" xfId="5082"/>
    <cellStyle name="Entrada 3 3 2 7 2" xfId="5083"/>
    <cellStyle name="Entrada 3 3 2 8" xfId="5084"/>
    <cellStyle name="Entrada 3 3 2 8 2" xfId="5085"/>
    <cellStyle name="Entrada 3 3 2 9" xfId="5086"/>
    <cellStyle name="Entrada 3 3 2 9 2" xfId="5087"/>
    <cellStyle name="Entrada 3 3 3" xfId="5088"/>
    <cellStyle name="Entrada 3 3 3 10" xfId="5089"/>
    <cellStyle name="Entrada 3 3 3 10 2" xfId="5090"/>
    <cellStyle name="Entrada 3 3 3 11" xfId="5091"/>
    <cellStyle name="Entrada 3 3 3 11 2" xfId="5092"/>
    <cellStyle name="Entrada 3 3 3 12" xfId="5093"/>
    <cellStyle name="Entrada 3 3 3 12 2" xfId="5094"/>
    <cellStyle name="Entrada 3 3 3 13" xfId="5095"/>
    <cellStyle name="Entrada 3 3 3 2" xfId="5096"/>
    <cellStyle name="Entrada 3 3 3 2 10" xfId="5097"/>
    <cellStyle name="Entrada 3 3 3 2 10 2" xfId="5098"/>
    <cellStyle name="Entrada 3 3 3 2 11" xfId="5099"/>
    <cellStyle name="Entrada 3 3 3 2 2" xfId="5100"/>
    <cellStyle name="Entrada 3 3 3 2 2 2" xfId="5101"/>
    <cellStyle name="Entrada 3 3 3 2 3" xfId="5102"/>
    <cellStyle name="Entrada 3 3 3 2 3 2" xfId="5103"/>
    <cellStyle name="Entrada 3 3 3 2 4" xfId="5104"/>
    <cellStyle name="Entrada 3 3 3 2 4 2" xfId="5105"/>
    <cellStyle name="Entrada 3 3 3 2 5" xfId="5106"/>
    <cellStyle name="Entrada 3 3 3 2 5 2" xfId="5107"/>
    <cellStyle name="Entrada 3 3 3 2 6" xfId="5108"/>
    <cellStyle name="Entrada 3 3 3 2 6 2" xfId="5109"/>
    <cellStyle name="Entrada 3 3 3 2 7" xfId="5110"/>
    <cellStyle name="Entrada 3 3 3 2 7 2" xfId="5111"/>
    <cellStyle name="Entrada 3 3 3 2 8" xfId="5112"/>
    <cellStyle name="Entrada 3 3 3 2 8 2" xfId="5113"/>
    <cellStyle name="Entrada 3 3 3 2 9" xfId="5114"/>
    <cellStyle name="Entrada 3 3 3 2 9 2" xfId="5115"/>
    <cellStyle name="Entrada 3 3 3 3" xfId="5116"/>
    <cellStyle name="Entrada 3 3 3 3 10" xfId="5117"/>
    <cellStyle name="Entrada 3 3 3 3 10 2" xfId="5118"/>
    <cellStyle name="Entrada 3 3 3 3 11" xfId="5119"/>
    <cellStyle name="Entrada 3 3 3 3 2" xfId="5120"/>
    <cellStyle name="Entrada 3 3 3 3 2 2" xfId="5121"/>
    <cellStyle name="Entrada 3 3 3 3 3" xfId="5122"/>
    <cellStyle name="Entrada 3 3 3 3 3 2" xfId="5123"/>
    <cellStyle name="Entrada 3 3 3 3 4" xfId="5124"/>
    <cellStyle name="Entrada 3 3 3 3 4 2" xfId="5125"/>
    <cellStyle name="Entrada 3 3 3 3 5" xfId="5126"/>
    <cellStyle name="Entrada 3 3 3 3 5 2" xfId="5127"/>
    <cellStyle name="Entrada 3 3 3 3 6" xfId="5128"/>
    <cellStyle name="Entrada 3 3 3 3 6 2" xfId="5129"/>
    <cellStyle name="Entrada 3 3 3 3 7" xfId="5130"/>
    <cellStyle name="Entrada 3 3 3 3 7 2" xfId="5131"/>
    <cellStyle name="Entrada 3 3 3 3 8" xfId="5132"/>
    <cellStyle name="Entrada 3 3 3 3 8 2" xfId="5133"/>
    <cellStyle name="Entrada 3 3 3 3 9" xfId="5134"/>
    <cellStyle name="Entrada 3 3 3 3 9 2" xfId="5135"/>
    <cellStyle name="Entrada 3 3 3 4" xfId="5136"/>
    <cellStyle name="Entrada 3 3 3 4 2" xfId="5137"/>
    <cellStyle name="Entrada 3 3 3 5" xfId="5138"/>
    <cellStyle name="Entrada 3 3 3 5 2" xfId="5139"/>
    <cellStyle name="Entrada 3 3 3 6" xfId="5140"/>
    <cellStyle name="Entrada 3 3 3 6 2" xfId="5141"/>
    <cellStyle name="Entrada 3 3 3 7" xfId="5142"/>
    <cellStyle name="Entrada 3 3 3 7 2" xfId="5143"/>
    <cellStyle name="Entrada 3 3 3 8" xfId="5144"/>
    <cellStyle name="Entrada 3 3 3 8 2" xfId="5145"/>
    <cellStyle name="Entrada 3 3 3 9" xfId="5146"/>
    <cellStyle name="Entrada 3 3 3 9 2" xfId="5147"/>
    <cellStyle name="Entrada 3 3 4" xfId="5148"/>
    <cellStyle name="Entrada 3 3 4 10" xfId="5149"/>
    <cellStyle name="Entrada 3 3 4 10 2" xfId="5150"/>
    <cellStyle name="Entrada 3 3 4 11" xfId="5151"/>
    <cellStyle name="Entrada 3 3 4 2" xfId="5152"/>
    <cellStyle name="Entrada 3 3 4 2 2" xfId="5153"/>
    <cellStyle name="Entrada 3 3 4 3" xfId="5154"/>
    <cellStyle name="Entrada 3 3 4 3 2" xfId="5155"/>
    <cellStyle name="Entrada 3 3 4 4" xfId="5156"/>
    <cellStyle name="Entrada 3 3 4 4 2" xfId="5157"/>
    <cellStyle name="Entrada 3 3 4 5" xfId="5158"/>
    <cellStyle name="Entrada 3 3 4 5 2" xfId="5159"/>
    <cellStyle name="Entrada 3 3 4 6" xfId="5160"/>
    <cellStyle name="Entrada 3 3 4 6 2" xfId="5161"/>
    <cellStyle name="Entrada 3 3 4 7" xfId="5162"/>
    <cellStyle name="Entrada 3 3 4 7 2" xfId="5163"/>
    <cellStyle name="Entrada 3 3 4 8" xfId="5164"/>
    <cellStyle name="Entrada 3 3 4 8 2" xfId="5165"/>
    <cellStyle name="Entrada 3 3 4 9" xfId="5166"/>
    <cellStyle name="Entrada 3 3 4 9 2" xfId="5167"/>
    <cellStyle name="Entrada 3 3 5" xfId="5168"/>
    <cellStyle name="Entrada 3 3 5 10" xfId="5169"/>
    <cellStyle name="Entrada 3 3 5 10 2" xfId="5170"/>
    <cellStyle name="Entrada 3 3 5 11" xfId="5171"/>
    <cellStyle name="Entrada 3 3 5 2" xfId="5172"/>
    <cellStyle name="Entrada 3 3 5 2 2" xfId="5173"/>
    <cellStyle name="Entrada 3 3 5 3" xfId="5174"/>
    <cellStyle name="Entrada 3 3 5 3 2" xfId="5175"/>
    <cellStyle name="Entrada 3 3 5 4" xfId="5176"/>
    <cellStyle name="Entrada 3 3 5 4 2" xfId="5177"/>
    <cellStyle name="Entrada 3 3 5 5" xfId="5178"/>
    <cellStyle name="Entrada 3 3 5 5 2" xfId="5179"/>
    <cellStyle name="Entrada 3 3 5 6" xfId="5180"/>
    <cellStyle name="Entrada 3 3 5 6 2" xfId="5181"/>
    <cellStyle name="Entrada 3 3 5 7" xfId="5182"/>
    <cellStyle name="Entrada 3 3 5 7 2" xfId="5183"/>
    <cellStyle name="Entrada 3 3 5 8" xfId="5184"/>
    <cellStyle name="Entrada 3 3 5 8 2" xfId="5185"/>
    <cellStyle name="Entrada 3 3 5 9" xfId="5186"/>
    <cellStyle name="Entrada 3 3 5 9 2" xfId="5187"/>
    <cellStyle name="Entrada 3 3 6" xfId="5188"/>
    <cellStyle name="Entrada 3 3 6 2" xfId="5189"/>
    <cellStyle name="Entrada 3 3 7" xfId="5190"/>
    <cellStyle name="Entrada 3 3 7 2" xfId="5191"/>
    <cellStyle name="Entrada 3 3 8" xfId="5192"/>
    <cellStyle name="Entrada 3 3 8 2" xfId="5193"/>
    <cellStyle name="Entrada 3 3 9" xfId="5194"/>
    <cellStyle name="Entrada 3 3 9 2" xfId="5195"/>
    <cellStyle name="Entrada 3 4" xfId="5196"/>
    <cellStyle name="Entrada 3 4 10" xfId="5197"/>
    <cellStyle name="Entrada 3 4 10 2" xfId="5198"/>
    <cellStyle name="Entrada 3 4 11" xfId="5199"/>
    <cellStyle name="Entrada 3 4 11 2" xfId="5200"/>
    <cellStyle name="Entrada 3 4 12" xfId="5201"/>
    <cellStyle name="Entrada 3 4 12 2" xfId="5202"/>
    <cellStyle name="Entrada 3 4 13" xfId="5203"/>
    <cellStyle name="Entrada 3 4 2" xfId="5204"/>
    <cellStyle name="Entrada 3 4 2 10" xfId="5205"/>
    <cellStyle name="Entrada 3 4 2 10 2" xfId="5206"/>
    <cellStyle name="Entrada 3 4 2 11" xfId="5207"/>
    <cellStyle name="Entrada 3 4 2 2" xfId="5208"/>
    <cellStyle name="Entrada 3 4 2 2 2" xfId="5209"/>
    <cellStyle name="Entrada 3 4 2 3" xfId="5210"/>
    <cellStyle name="Entrada 3 4 2 3 2" xfId="5211"/>
    <cellStyle name="Entrada 3 4 2 4" xfId="5212"/>
    <cellStyle name="Entrada 3 4 2 4 2" xfId="5213"/>
    <cellStyle name="Entrada 3 4 2 5" xfId="5214"/>
    <cellStyle name="Entrada 3 4 2 5 2" xfId="5215"/>
    <cellStyle name="Entrada 3 4 2 6" xfId="5216"/>
    <cellStyle name="Entrada 3 4 2 6 2" xfId="5217"/>
    <cellStyle name="Entrada 3 4 2 7" xfId="5218"/>
    <cellStyle name="Entrada 3 4 2 7 2" xfId="5219"/>
    <cellStyle name="Entrada 3 4 2 8" xfId="5220"/>
    <cellStyle name="Entrada 3 4 2 8 2" xfId="5221"/>
    <cellStyle name="Entrada 3 4 2 9" xfId="5222"/>
    <cellStyle name="Entrada 3 4 2 9 2" xfId="5223"/>
    <cellStyle name="Entrada 3 4 3" xfId="5224"/>
    <cellStyle name="Entrada 3 4 3 10" xfId="5225"/>
    <cellStyle name="Entrada 3 4 3 10 2" xfId="5226"/>
    <cellStyle name="Entrada 3 4 3 11" xfId="5227"/>
    <cellStyle name="Entrada 3 4 3 2" xfId="5228"/>
    <cellStyle name="Entrada 3 4 3 2 2" xfId="5229"/>
    <cellStyle name="Entrada 3 4 3 3" xfId="5230"/>
    <cellStyle name="Entrada 3 4 3 3 2" xfId="5231"/>
    <cellStyle name="Entrada 3 4 3 4" xfId="5232"/>
    <cellStyle name="Entrada 3 4 3 4 2" xfId="5233"/>
    <cellStyle name="Entrada 3 4 3 5" xfId="5234"/>
    <cellStyle name="Entrada 3 4 3 5 2" xfId="5235"/>
    <cellStyle name="Entrada 3 4 3 6" xfId="5236"/>
    <cellStyle name="Entrada 3 4 3 6 2" xfId="5237"/>
    <cellStyle name="Entrada 3 4 3 7" xfId="5238"/>
    <cellStyle name="Entrada 3 4 3 7 2" xfId="5239"/>
    <cellStyle name="Entrada 3 4 3 8" xfId="5240"/>
    <cellStyle name="Entrada 3 4 3 8 2" xfId="5241"/>
    <cellStyle name="Entrada 3 4 3 9" xfId="5242"/>
    <cellStyle name="Entrada 3 4 3 9 2" xfId="5243"/>
    <cellStyle name="Entrada 3 4 4" xfId="5244"/>
    <cellStyle name="Entrada 3 4 4 2" xfId="5245"/>
    <cellStyle name="Entrada 3 4 5" xfId="5246"/>
    <cellStyle name="Entrada 3 4 5 2" xfId="5247"/>
    <cellStyle name="Entrada 3 4 6" xfId="5248"/>
    <cellStyle name="Entrada 3 4 6 2" xfId="5249"/>
    <cellStyle name="Entrada 3 4 7" xfId="5250"/>
    <cellStyle name="Entrada 3 4 7 2" xfId="5251"/>
    <cellStyle name="Entrada 3 4 8" xfId="5252"/>
    <cellStyle name="Entrada 3 4 8 2" xfId="5253"/>
    <cellStyle name="Entrada 3 4 9" xfId="5254"/>
    <cellStyle name="Entrada 3 4 9 2" xfId="5255"/>
    <cellStyle name="Entrada 3 5" xfId="5256"/>
    <cellStyle name="Entrada 3 5 10" xfId="5257"/>
    <cellStyle name="Entrada 3 5 10 2" xfId="5258"/>
    <cellStyle name="Entrada 3 5 11" xfId="5259"/>
    <cellStyle name="Entrada 3 5 11 2" xfId="5260"/>
    <cellStyle name="Entrada 3 5 12" xfId="5261"/>
    <cellStyle name="Entrada 3 5 12 2" xfId="5262"/>
    <cellStyle name="Entrada 3 5 13" xfId="5263"/>
    <cellStyle name="Entrada 3 5 2" xfId="5264"/>
    <cellStyle name="Entrada 3 5 2 10" xfId="5265"/>
    <cellStyle name="Entrada 3 5 2 10 2" xfId="5266"/>
    <cellStyle name="Entrada 3 5 2 11" xfId="5267"/>
    <cellStyle name="Entrada 3 5 2 2" xfId="5268"/>
    <cellStyle name="Entrada 3 5 2 2 2" xfId="5269"/>
    <cellStyle name="Entrada 3 5 2 3" xfId="5270"/>
    <cellStyle name="Entrada 3 5 2 3 2" xfId="5271"/>
    <cellStyle name="Entrada 3 5 2 4" xfId="5272"/>
    <cellStyle name="Entrada 3 5 2 4 2" xfId="5273"/>
    <cellStyle name="Entrada 3 5 2 5" xfId="5274"/>
    <cellStyle name="Entrada 3 5 2 5 2" xfId="5275"/>
    <cellStyle name="Entrada 3 5 2 6" xfId="5276"/>
    <cellStyle name="Entrada 3 5 2 6 2" xfId="5277"/>
    <cellStyle name="Entrada 3 5 2 7" xfId="5278"/>
    <cellStyle name="Entrada 3 5 2 7 2" xfId="5279"/>
    <cellStyle name="Entrada 3 5 2 8" xfId="5280"/>
    <cellStyle name="Entrada 3 5 2 8 2" xfId="5281"/>
    <cellStyle name="Entrada 3 5 2 9" xfId="5282"/>
    <cellStyle name="Entrada 3 5 2 9 2" xfId="5283"/>
    <cellStyle name="Entrada 3 5 3" xfId="5284"/>
    <cellStyle name="Entrada 3 5 3 10" xfId="5285"/>
    <cellStyle name="Entrada 3 5 3 10 2" xfId="5286"/>
    <cellStyle name="Entrada 3 5 3 11" xfId="5287"/>
    <cellStyle name="Entrada 3 5 3 2" xfId="5288"/>
    <cellStyle name="Entrada 3 5 3 2 2" xfId="5289"/>
    <cellStyle name="Entrada 3 5 3 3" xfId="5290"/>
    <cellStyle name="Entrada 3 5 3 3 2" xfId="5291"/>
    <cellStyle name="Entrada 3 5 3 4" xfId="5292"/>
    <cellStyle name="Entrada 3 5 3 4 2" xfId="5293"/>
    <cellStyle name="Entrada 3 5 3 5" xfId="5294"/>
    <cellStyle name="Entrada 3 5 3 5 2" xfId="5295"/>
    <cellStyle name="Entrada 3 5 3 6" xfId="5296"/>
    <cellStyle name="Entrada 3 5 3 6 2" xfId="5297"/>
    <cellStyle name="Entrada 3 5 3 7" xfId="5298"/>
    <cellStyle name="Entrada 3 5 3 7 2" xfId="5299"/>
    <cellStyle name="Entrada 3 5 3 8" xfId="5300"/>
    <cellStyle name="Entrada 3 5 3 8 2" xfId="5301"/>
    <cellStyle name="Entrada 3 5 3 9" xfId="5302"/>
    <cellStyle name="Entrada 3 5 3 9 2" xfId="5303"/>
    <cellStyle name="Entrada 3 5 4" xfId="5304"/>
    <cellStyle name="Entrada 3 5 4 2" xfId="5305"/>
    <cellStyle name="Entrada 3 5 5" xfId="5306"/>
    <cellStyle name="Entrada 3 5 5 2" xfId="5307"/>
    <cellStyle name="Entrada 3 5 6" xfId="5308"/>
    <cellStyle name="Entrada 3 5 6 2" xfId="5309"/>
    <cellStyle name="Entrada 3 5 7" xfId="5310"/>
    <cellStyle name="Entrada 3 5 7 2" xfId="5311"/>
    <cellStyle name="Entrada 3 5 8" xfId="5312"/>
    <cellStyle name="Entrada 3 5 8 2" xfId="5313"/>
    <cellStyle name="Entrada 3 5 9" xfId="5314"/>
    <cellStyle name="Entrada 3 5 9 2" xfId="5315"/>
    <cellStyle name="Entrada 3 6" xfId="5316"/>
    <cellStyle name="Entrada 3 6 2" xfId="5317"/>
    <cellStyle name="Entrada 3 7" xfId="5318"/>
    <cellStyle name="Entrada 3 7 2" xfId="5319"/>
    <cellStyle name="Entrada 3 8" xfId="5320"/>
    <cellStyle name="Entrada 3 8 2" xfId="5321"/>
    <cellStyle name="Entrada 3 9" xfId="5322"/>
    <cellStyle name="Entrada 3 9 2" xfId="5323"/>
    <cellStyle name="Entrada 4" xfId="5324"/>
    <cellStyle name="Entrada 4 10" xfId="5325"/>
    <cellStyle name="Entrada 4 10 2" xfId="5326"/>
    <cellStyle name="Entrada 4 11" xfId="5327"/>
    <cellStyle name="Entrada 4 11 2" xfId="5328"/>
    <cellStyle name="Entrada 4 12" xfId="5329"/>
    <cellStyle name="Entrada 4 12 2" xfId="5330"/>
    <cellStyle name="Entrada 4 13" xfId="5331"/>
    <cellStyle name="Entrada 4 13 2" xfId="5332"/>
    <cellStyle name="Entrada 4 14" xfId="5333"/>
    <cellStyle name="Entrada 4 14 2" xfId="5334"/>
    <cellStyle name="Entrada 4 15" xfId="5335"/>
    <cellStyle name="Entrada 4 15 2" xfId="5336"/>
    <cellStyle name="Entrada 4 16" xfId="5337"/>
    <cellStyle name="Entrada 4 17" xfId="5338"/>
    <cellStyle name="Entrada 4 18" xfId="5339"/>
    <cellStyle name="Entrada 4 2" xfId="5340"/>
    <cellStyle name="Entrada 4 2 10" xfId="5341"/>
    <cellStyle name="Entrada 4 2 10 2" xfId="5342"/>
    <cellStyle name="Entrada 4 2 11" xfId="5343"/>
    <cellStyle name="Entrada 4 2 11 2" xfId="5344"/>
    <cellStyle name="Entrada 4 2 12" xfId="5345"/>
    <cellStyle name="Entrada 4 2 12 2" xfId="5346"/>
    <cellStyle name="Entrada 4 2 13" xfId="5347"/>
    <cellStyle name="Entrada 4 2 13 2" xfId="5348"/>
    <cellStyle name="Entrada 4 2 14" xfId="5349"/>
    <cellStyle name="Entrada 4 2 14 2" xfId="5350"/>
    <cellStyle name="Entrada 4 2 15" xfId="5351"/>
    <cellStyle name="Entrada 4 2 2" xfId="5352"/>
    <cellStyle name="Entrada 4 2 2 10" xfId="5353"/>
    <cellStyle name="Entrada 4 2 2 10 2" xfId="5354"/>
    <cellStyle name="Entrada 4 2 2 11" xfId="5355"/>
    <cellStyle name="Entrada 4 2 2 11 2" xfId="5356"/>
    <cellStyle name="Entrada 4 2 2 12" xfId="5357"/>
    <cellStyle name="Entrada 4 2 2 12 2" xfId="5358"/>
    <cellStyle name="Entrada 4 2 2 13" xfId="5359"/>
    <cellStyle name="Entrada 4 2 2 2" xfId="5360"/>
    <cellStyle name="Entrada 4 2 2 2 10" xfId="5361"/>
    <cellStyle name="Entrada 4 2 2 2 10 2" xfId="5362"/>
    <cellStyle name="Entrada 4 2 2 2 11" xfId="5363"/>
    <cellStyle name="Entrada 4 2 2 2 2" xfId="5364"/>
    <cellStyle name="Entrada 4 2 2 2 2 2" xfId="5365"/>
    <cellStyle name="Entrada 4 2 2 2 3" xfId="5366"/>
    <cellStyle name="Entrada 4 2 2 2 3 2" xfId="5367"/>
    <cellStyle name="Entrada 4 2 2 2 4" xfId="5368"/>
    <cellStyle name="Entrada 4 2 2 2 4 2" xfId="5369"/>
    <cellStyle name="Entrada 4 2 2 2 5" xfId="5370"/>
    <cellStyle name="Entrada 4 2 2 2 5 2" xfId="5371"/>
    <cellStyle name="Entrada 4 2 2 2 6" xfId="5372"/>
    <cellStyle name="Entrada 4 2 2 2 6 2" xfId="5373"/>
    <cellStyle name="Entrada 4 2 2 2 7" xfId="5374"/>
    <cellStyle name="Entrada 4 2 2 2 7 2" xfId="5375"/>
    <cellStyle name="Entrada 4 2 2 2 8" xfId="5376"/>
    <cellStyle name="Entrada 4 2 2 2 8 2" xfId="5377"/>
    <cellStyle name="Entrada 4 2 2 2 9" xfId="5378"/>
    <cellStyle name="Entrada 4 2 2 2 9 2" xfId="5379"/>
    <cellStyle name="Entrada 4 2 2 3" xfId="5380"/>
    <cellStyle name="Entrada 4 2 2 3 10" xfId="5381"/>
    <cellStyle name="Entrada 4 2 2 3 10 2" xfId="5382"/>
    <cellStyle name="Entrada 4 2 2 3 11" xfId="5383"/>
    <cellStyle name="Entrada 4 2 2 3 2" xfId="5384"/>
    <cellStyle name="Entrada 4 2 2 3 2 2" xfId="5385"/>
    <cellStyle name="Entrada 4 2 2 3 3" xfId="5386"/>
    <cellStyle name="Entrada 4 2 2 3 3 2" xfId="5387"/>
    <cellStyle name="Entrada 4 2 2 3 4" xfId="5388"/>
    <cellStyle name="Entrada 4 2 2 3 4 2" xfId="5389"/>
    <cellStyle name="Entrada 4 2 2 3 5" xfId="5390"/>
    <cellStyle name="Entrada 4 2 2 3 5 2" xfId="5391"/>
    <cellStyle name="Entrada 4 2 2 3 6" xfId="5392"/>
    <cellStyle name="Entrada 4 2 2 3 6 2" xfId="5393"/>
    <cellStyle name="Entrada 4 2 2 3 7" xfId="5394"/>
    <cellStyle name="Entrada 4 2 2 3 7 2" xfId="5395"/>
    <cellStyle name="Entrada 4 2 2 3 8" xfId="5396"/>
    <cellStyle name="Entrada 4 2 2 3 8 2" xfId="5397"/>
    <cellStyle name="Entrada 4 2 2 3 9" xfId="5398"/>
    <cellStyle name="Entrada 4 2 2 3 9 2" xfId="5399"/>
    <cellStyle name="Entrada 4 2 2 4" xfId="5400"/>
    <cellStyle name="Entrada 4 2 2 4 2" xfId="5401"/>
    <cellStyle name="Entrada 4 2 2 5" xfId="5402"/>
    <cellStyle name="Entrada 4 2 2 5 2" xfId="5403"/>
    <cellStyle name="Entrada 4 2 2 6" xfId="5404"/>
    <cellStyle name="Entrada 4 2 2 6 2" xfId="5405"/>
    <cellStyle name="Entrada 4 2 2 7" xfId="5406"/>
    <cellStyle name="Entrada 4 2 2 7 2" xfId="5407"/>
    <cellStyle name="Entrada 4 2 2 8" xfId="5408"/>
    <cellStyle name="Entrada 4 2 2 8 2" xfId="5409"/>
    <cellStyle name="Entrada 4 2 2 9" xfId="5410"/>
    <cellStyle name="Entrada 4 2 2 9 2" xfId="5411"/>
    <cellStyle name="Entrada 4 2 3" xfId="5412"/>
    <cellStyle name="Entrada 4 2 3 10" xfId="5413"/>
    <cellStyle name="Entrada 4 2 3 10 2" xfId="5414"/>
    <cellStyle name="Entrada 4 2 3 11" xfId="5415"/>
    <cellStyle name="Entrada 4 2 3 11 2" xfId="5416"/>
    <cellStyle name="Entrada 4 2 3 12" xfId="5417"/>
    <cellStyle name="Entrada 4 2 3 12 2" xfId="5418"/>
    <cellStyle name="Entrada 4 2 3 13" xfId="5419"/>
    <cellStyle name="Entrada 4 2 3 2" xfId="5420"/>
    <cellStyle name="Entrada 4 2 3 2 10" xfId="5421"/>
    <cellStyle name="Entrada 4 2 3 2 10 2" xfId="5422"/>
    <cellStyle name="Entrada 4 2 3 2 11" xfId="5423"/>
    <cellStyle name="Entrada 4 2 3 2 2" xfId="5424"/>
    <cellStyle name="Entrada 4 2 3 2 2 2" xfId="5425"/>
    <cellStyle name="Entrada 4 2 3 2 3" xfId="5426"/>
    <cellStyle name="Entrada 4 2 3 2 3 2" xfId="5427"/>
    <cellStyle name="Entrada 4 2 3 2 4" xfId="5428"/>
    <cellStyle name="Entrada 4 2 3 2 4 2" xfId="5429"/>
    <cellStyle name="Entrada 4 2 3 2 5" xfId="5430"/>
    <cellStyle name="Entrada 4 2 3 2 5 2" xfId="5431"/>
    <cellStyle name="Entrada 4 2 3 2 6" xfId="5432"/>
    <cellStyle name="Entrada 4 2 3 2 6 2" xfId="5433"/>
    <cellStyle name="Entrada 4 2 3 2 7" xfId="5434"/>
    <cellStyle name="Entrada 4 2 3 2 7 2" xfId="5435"/>
    <cellStyle name="Entrada 4 2 3 2 8" xfId="5436"/>
    <cellStyle name="Entrada 4 2 3 2 8 2" xfId="5437"/>
    <cellStyle name="Entrada 4 2 3 2 9" xfId="5438"/>
    <cellStyle name="Entrada 4 2 3 2 9 2" xfId="5439"/>
    <cellStyle name="Entrada 4 2 3 3" xfId="5440"/>
    <cellStyle name="Entrada 4 2 3 3 10" xfId="5441"/>
    <cellStyle name="Entrada 4 2 3 3 10 2" xfId="5442"/>
    <cellStyle name="Entrada 4 2 3 3 11" xfId="5443"/>
    <cellStyle name="Entrada 4 2 3 3 2" xfId="5444"/>
    <cellStyle name="Entrada 4 2 3 3 2 2" xfId="5445"/>
    <cellStyle name="Entrada 4 2 3 3 3" xfId="5446"/>
    <cellStyle name="Entrada 4 2 3 3 3 2" xfId="5447"/>
    <cellStyle name="Entrada 4 2 3 3 4" xfId="5448"/>
    <cellStyle name="Entrada 4 2 3 3 4 2" xfId="5449"/>
    <cellStyle name="Entrada 4 2 3 3 5" xfId="5450"/>
    <cellStyle name="Entrada 4 2 3 3 5 2" xfId="5451"/>
    <cellStyle name="Entrada 4 2 3 3 6" xfId="5452"/>
    <cellStyle name="Entrada 4 2 3 3 6 2" xfId="5453"/>
    <cellStyle name="Entrada 4 2 3 3 7" xfId="5454"/>
    <cellStyle name="Entrada 4 2 3 3 7 2" xfId="5455"/>
    <cellStyle name="Entrada 4 2 3 3 8" xfId="5456"/>
    <cellStyle name="Entrada 4 2 3 3 8 2" xfId="5457"/>
    <cellStyle name="Entrada 4 2 3 3 9" xfId="5458"/>
    <cellStyle name="Entrada 4 2 3 3 9 2" xfId="5459"/>
    <cellStyle name="Entrada 4 2 3 4" xfId="5460"/>
    <cellStyle name="Entrada 4 2 3 4 2" xfId="5461"/>
    <cellStyle name="Entrada 4 2 3 5" xfId="5462"/>
    <cellStyle name="Entrada 4 2 3 5 2" xfId="5463"/>
    <cellStyle name="Entrada 4 2 3 6" xfId="5464"/>
    <cellStyle name="Entrada 4 2 3 6 2" xfId="5465"/>
    <cellStyle name="Entrada 4 2 3 7" xfId="5466"/>
    <cellStyle name="Entrada 4 2 3 7 2" xfId="5467"/>
    <cellStyle name="Entrada 4 2 3 8" xfId="5468"/>
    <cellStyle name="Entrada 4 2 3 8 2" xfId="5469"/>
    <cellStyle name="Entrada 4 2 3 9" xfId="5470"/>
    <cellStyle name="Entrada 4 2 3 9 2" xfId="5471"/>
    <cellStyle name="Entrada 4 2 4" xfId="5472"/>
    <cellStyle name="Entrada 4 2 4 10" xfId="5473"/>
    <cellStyle name="Entrada 4 2 4 10 2" xfId="5474"/>
    <cellStyle name="Entrada 4 2 4 11" xfId="5475"/>
    <cellStyle name="Entrada 4 2 4 2" xfId="5476"/>
    <cellStyle name="Entrada 4 2 4 2 2" xfId="5477"/>
    <cellStyle name="Entrada 4 2 4 3" xfId="5478"/>
    <cellStyle name="Entrada 4 2 4 3 2" xfId="5479"/>
    <cellStyle name="Entrada 4 2 4 4" xfId="5480"/>
    <cellStyle name="Entrada 4 2 4 4 2" xfId="5481"/>
    <cellStyle name="Entrada 4 2 4 5" xfId="5482"/>
    <cellStyle name="Entrada 4 2 4 5 2" xfId="5483"/>
    <cellStyle name="Entrada 4 2 4 6" xfId="5484"/>
    <cellStyle name="Entrada 4 2 4 6 2" xfId="5485"/>
    <cellStyle name="Entrada 4 2 4 7" xfId="5486"/>
    <cellStyle name="Entrada 4 2 4 7 2" xfId="5487"/>
    <cellStyle name="Entrada 4 2 4 8" xfId="5488"/>
    <cellStyle name="Entrada 4 2 4 8 2" xfId="5489"/>
    <cellStyle name="Entrada 4 2 4 9" xfId="5490"/>
    <cellStyle name="Entrada 4 2 4 9 2" xfId="5491"/>
    <cellStyle name="Entrada 4 2 5" xfId="5492"/>
    <cellStyle name="Entrada 4 2 5 10" xfId="5493"/>
    <cellStyle name="Entrada 4 2 5 10 2" xfId="5494"/>
    <cellStyle name="Entrada 4 2 5 11" xfId="5495"/>
    <cellStyle name="Entrada 4 2 5 2" xfId="5496"/>
    <cellStyle name="Entrada 4 2 5 2 2" xfId="5497"/>
    <cellStyle name="Entrada 4 2 5 3" xfId="5498"/>
    <cellStyle name="Entrada 4 2 5 3 2" xfId="5499"/>
    <cellStyle name="Entrada 4 2 5 4" xfId="5500"/>
    <cellStyle name="Entrada 4 2 5 4 2" xfId="5501"/>
    <cellStyle name="Entrada 4 2 5 5" xfId="5502"/>
    <cellStyle name="Entrada 4 2 5 5 2" xfId="5503"/>
    <cellStyle name="Entrada 4 2 5 6" xfId="5504"/>
    <cellStyle name="Entrada 4 2 5 6 2" xfId="5505"/>
    <cellStyle name="Entrada 4 2 5 7" xfId="5506"/>
    <cellStyle name="Entrada 4 2 5 7 2" xfId="5507"/>
    <cellStyle name="Entrada 4 2 5 8" xfId="5508"/>
    <cellStyle name="Entrada 4 2 5 8 2" xfId="5509"/>
    <cellStyle name="Entrada 4 2 5 9" xfId="5510"/>
    <cellStyle name="Entrada 4 2 5 9 2" xfId="5511"/>
    <cellStyle name="Entrada 4 2 6" xfId="5512"/>
    <cellStyle name="Entrada 4 2 6 2" xfId="5513"/>
    <cellStyle name="Entrada 4 2 7" xfId="5514"/>
    <cellStyle name="Entrada 4 2 7 2" xfId="5515"/>
    <cellStyle name="Entrada 4 2 8" xfId="5516"/>
    <cellStyle name="Entrada 4 2 8 2" xfId="5517"/>
    <cellStyle name="Entrada 4 2 9" xfId="5518"/>
    <cellStyle name="Entrada 4 2 9 2" xfId="5519"/>
    <cellStyle name="Entrada 4 3" xfId="5520"/>
    <cellStyle name="Entrada 4 3 10" xfId="5521"/>
    <cellStyle name="Entrada 4 3 10 2" xfId="5522"/>
    <cellStyle name="Entrada 4 3 11" xfId="5523"/>
    <cellStyle name="Entrada 4 3 11 2" xfId="5524"/>
    <cellStyle name="Entrada 4 3 12" xfId="5525"/>
    <cellStyle name="Entrada 4 3 12 2" xfId="5526"/>
    <cellStyle name="Entrada 4 3 13" xfId="5527"/>
    <cellStyle name="Entrada 4 3 2" xfId="5528"/>
    <cellStyle name="Entrada 4 3 2 10" xfId="5529"/>
    <cellStyle name="Entrada 4 3 2 10 2" xfId="5530"/>
    <cellStyle name="Entrada 4 3 2 11" xfId="5531"/>
    <cellStyle name="Entrada 4 3 2 2" xfId="5532"/>
    <cellStyle name="Entrada 4 3 2 2 2" xfId="5533"/>
    <cellStyle name="Entrada 4 3 2 3" xfId="5534"/>
    <cellStyle name="Entrada 4 3 2 3 2" xfId="5535"/>
    <cellStyle name="Entrada 4 3 2 4" xfId="5536"/>
    <cellStyle name="Entrada 4 3 2 4 2" xfId="5537"/>
    <cellStyle name="Entrada 4 3 2 5" xfId="5538"/>
    <cellStyle name="Entrada 4 3 2 5 2" xfId="5539"/>
    <cellStyle name="Entrada 4 3 2 6" xfId="5540"/>
    <cellStyle name="Entrada 4 3 2 6 2" xfId="5541"/>
    <cellStyle name="Entrada 4 3 2 7" xfId="5542"/>
    <cellStyle name="Entrada 4 3 2 7 2" xfId="5543"/>
    <cellStyle name="Entrada 4 3 2 8" xfId="5544"/>
    <cellStyle name="Entrada 4 3 2 8 2" xfId="5545"/>
    <cellStyle name="Entrada 4 3 2 9" xfId="5546"/>
    <cellStyle name="Entrada 4 3 2 9 2" xfId="5547"/>
    <cellStyle name="Entrada 4 3 3" xfId="5548"/>
    <cellStyle name="Entrada 4 3 3 10" xfId="5549"/>
    <cellStyle name="Entrada 4 3 3 10 2" xfId="5550"/>
    <cellStyle name="Entrada 4 3 3 11" xfId="5551"/>
    <cellStyle name="Entrada 4 3 3 2" xfId="5552"/>
    <cellStyle name="Entrada 4 3 3 2 2" xfId="5553"/>
    <cellStyle name="Entrada 4 3 3 3" xfId="5554"/>
    <cellStyle name="Entrada 4 3 3 3 2" xfId="5555"/>
    <cellStyle name="Entrada 4 3 3 4" xfId="5556"/>
    <cellStyle name="Entrada 4 3 3 4 2" xfId="5557"/>
    <cellStyle name="Entrada 4 3 3 5" xfId="5558"/>
    <cellStyle name="Entrada 4 3 3 5 2" xfId="5559"/>
    <cellStyle name="Entrada 4 3 3 6" xfId="5560"/>
    <cellStyle name="Entrada 4 3 3 6 2" xfId="5561"/>
    <cellStyle name="Entrada 4 3 3 7" xfId="5562"/>
    <cellStyle name="Entrada 4 3 3 7 2" xfId="5563"/>
    <cellStyle name="Entrada 4 3 3 8" xfId="5564"/>
    <cellStyle name="Entrada 4 3 3 8 2" xfId="5565"/>
    <cellStyle name="Entrada 4 3 3 9" xfId="5566"/>
    <cellStyle name="Entrada 4 3 3 9 2" xfId="5567"/>
    <cellStyle name="Entrada 4 3 4" xfId="5568"/>
    <cellStyle name="Entrada 4 3 4 2" xfId="5569"/>
    <cellStyle name="Entrada 4 3 5" xfId="5570"/>
    <cellStyle name="Entrada 4 3 5 2" xfId="5571"/>
    <cellStyle name="Entrada 4 3 6" xfId="5572"/>
    <cellStyle name="Entrada 4 3 6 2" xfId="5573"/>
    <cellStyle name="Entrada 4 3 7" xfId="5574"/>
    <cellStyle name="Entrada 4 3 7 2" xfId="5575"/>
    <cellStyle name="Entrada 4 3 8" xfId="5576"/>
    <cellStyle name="Entrada 4 3 8 2" xfId="5577"/>
    <cellStyle name="Entrada 4 3 9" xfId="5578"/>
    <cellStyle name="Entrada 4 3 9 2" xfId="5579"/>
    <cellStyle name="Entrada 4 4" xfId="5580"/>
    <cellStyle name="Entrada 4 4 10" xfId="5581"/>
    <cellStyle name="Entrada 4 4 10 2" xfId="5582"/>
    <cellStyle name="Entrada 4 4 11" xfId="5583"/>
    <cellStyle name="Entrada 4 4 11 2" xfId="5584"/>
    <cellStyle name="Entrada 4 4 12" xfId="5585"/>
    <cellStyle name="Entrada 4 4 12 2" xfId="5586"/>
    <cellStyle name="Entrada 4 4 13" xfId="5587"/>
    <cellStyle name="Entrada 4 4 2" xfId="5588"/>
    <cellStyle name="Entrada 4 4 2 10" xfId="5589"/>
    <cellStyle name="Entrada 4 4 2 10 2" xfId="5590"/>
    <cellStyle name="Entrada 4 4 2 11" xfId="5591"/>
    <cellStyle name="Entrada 4 4 2 2" xfId="5592"/>
    <cellStyle name="Entrada 4 4 2 2 2" xfId="5593"/>
    <cellStyle name="Entrada 4 4 2 3" xfId="5594"/>
    <cellStyle name="Entrada 4 4 2 3 2" xfId="5595"/>
    <cellStyle name="Entrada 4 4 2 4" xfId="5596"/>
    <cellStyle name="Entrada 4 4 2 4 2" xfId="5597"/>
    <cellStyle name="Entrada 4 4 2 5" xfId="5598"/>
    <cellStyle name="Entrada 4 4 2 5 2" xfId="5599"/>
    <cellStyle name="Entrada 4 4 2 6" xfId="5600"/>
    <cellStyle name="Entrada 4 4 2 6 2" xfId="5601"/>
    <cellStyle name="Entrada 4 4 2 7" xfId="5602"/>
    <cellStyle name="Entrada 4 4 2 7 2" xfId="5603"/>
    <cellStyle name="Entrada 4 4 2 8" xfId="5604"/>
    <cellStyle name="Entrada 4 4 2 8 2" xfId="5605"/>
    <cellStyle name="Entrada 4 4 2 9" xfId="5606"/>
    <cellStyle name="Entrada 4 4 2 9 2" xfId="5607"/>
    <cellStyle name="Entrada 4 4 3" xfId="5608"/>
    <cellStyle name="Entrada 4 4 3 10" xfId="5609"/>
    <cellStyle name="Entrada 4 4 3 10 2" xfId="5610"/>
    <cellStyle name="Entrada 4 4 3 11" xfId="5611"/>
    <cellStyle name="Entrada 4 4 3 2" xfId="5612"/>
    <cellStyle name="Entrada 4 4 3 2 2" xfId="5613"/>
    <cellStyle name="Entrada 4 4 3 3" xfId="5614"/>
    <cellStyle name="Entrada 4 4 3 3 2" xfId="5615"/>
    <cellStyle name="Entrada 4 4 3 4" xfId="5616"/>
    <cellStyle name="Entrada 4 4 3 4 2" xfId="5617"/>
    <cellStyle name="Entrada 4 4 3 5" xfId="5618"/>
    <cellStyle name="Entrada 4 4 3 5 2" xfId="5619"/>
    <cellStyle name="Entrada 4 4 3 6" xfId="5620"/>
    <cellStyle name="Entrada 4 4 3 6 2" xfId="5621"/>
    <cellStyle name="Entrada 4 4 3 7" xfId="5622"/>
    <cellStyle name="Entrada 4 4 3 7 2" xfId="5623"/>
    <cellStyle name="Entrada 4 4 3 8" xfId="5624"/>
    <cellStyle name="Entrada 4 4 3 8 2" xfId="5625"/>
    <cellStyle name="Entrada 4 4 3 9" xfId="5626"/>
    <cellStyle name="Entrada 4 4 3 9 2" xfId="5627"/>
    <cellStyle name="Entrada 4 4 4" xfId="5628"/>
    <cellStyle name="Entrada 4 4 4 2" xfId="5629"/>
    <cellStyle name="Entrada 4 4 5" xfId="5630"/>
    <cellStyle name="Entrada 4 4 5 2" xfId="5631"/>
    <cellStyle name="Entrada 4 4 6" xfId="5632"/>
    <cellStyle name="Entrada 4 4 6 2" xfId="5633"/>
    <cellStyle name="Entrada 4 4 7" xfId="5634"/>
    <cellStyle name="Entrada 4 4 7 2" xfId="5635"/>
    <cellStyle name="Entrada 4 4 8" xfId="5636"/>
    <cellStyle name="Entrada 4 4 8 2" xfId="5637"/>
    <cellStyle name="Entrada 4 4 9" xfId="5638"/>
    <cellStyle name="Entrada 4 4 9 2" xfId="5639"/>
    <cellStyle name="Entrada 4 5" xfId="5640"/>
    <cellStyle name="Entrada 4 5 10" xfId="5641"/>
    <cellStyle name="Entrada 4 5 10 2" xfId="5642"/>
    <cellStyle name="Entrada 4 5 11" xfId="5643"/>
    <cellStyle name="Entrada 4 5 2" xfId="5644"/>
    <cellStyle name="Entrada 4 5 2 2" xfId="5645"/>
    <cellStyle name="Entrada 4 5 3" xfId="5646"/>
    <cellStyle name="Entrada 4 5 3 2" xfId="5647"/>
    <cellStyle name="Entrada 4 5 4" xfId="5648"/>
    <cellStyle name="Entrada 4 5 4 2" xfId="5649"/>
    <cellStyle name="Entrada 4 5 5" xfId="5650"/>
    <cellStyle name="Entrada 4 5 5 2" xfId="5651"/>
    <cellStyle name="Entrada 4 5 6" xfId="5652"/>
    <cellStyle name="Entrada 4 5 6 2" xfId="5653"/>
    <cellStyle name="Entrada 4 5 7" xfId="5654"/>
    <cellStyle name="Entrada 4 5 7 2" xfId="5655"/>
    <cellStyle name="Entrada 4 5 8" xfId="5656"/>
    <cellStyle name="Entrada 4 5 8 2" xfId="5657"/>
    <cellStyle name="Entrada 4 5 9" xfId="5658"/>
    <cellStyle name="Entrada 4 5 9 2" xfId="5659"/>
    <cellStyle name="Entrada 4 6" xfId="5660"/>
    <cellStyle name="Entrada 4 6 10" xfId="5661"/>
    <cellStyle name="Entrada 4 6 10 2" xfId="5662"/>
    <cellStyle name="Entrada 4 6 11" xfId="5663"/>
    <cellStyle name="Entrada 4 6 2" xfId="5664"/>
    <cellStyle name="Entrada 4 6 2 2" xfId="5665"/>
    <cellStyle name="Entrada 4 6 3" xfId="5666"/>
    <cellStyle name="Entrada 4 6 3 2" xfId="5667"/>
    <cellStyle name="Entrada 4 6 4" xfId="5668"/>
    <cellStyle name="Entrada 4 6 4 2" xfId="5669"/>
    <cellStyle name="Entrada 4 6 5" xfId="5670"/>
    <cellStyle name="Entrada 4 6 5 2" xfId="5671"/>
    <cellStyle name="Entrada 4 6 6" xfId="5672"/>
    <cellStyle name="Entrada 4 6 6 2" xfId="5673"/>
    <cellStyle name="Entrada 4 6 7" xfId="5674"/>
    <cellStyle name="Entrada 4 6 7 2" xfId="5675"/>
    <cellStyle name="Entrada 4 6 8" xfId="5676"/>
    <cellStyle name="Entrada 4 6 8 2" xfId="5677"/>
    <cellStyle name="Entrada 4 6 9" xfId="5678"/>
    <cellStyle name="Entrada 4 6 9 2" xfId="5679"/>
    <cellStyle name="Entrada 4 7" xfId="5680"/>
    <cellStyle name="Entrada 4 7 2" xfId="5681"/>
    <cellStyle name="Entrada 4 8" xfId="5682"/>
    <cellStyle name="Entrada 4 8 2" xfId="5683"/>
    <cellStyle name="Entrada 4 9" xfId="5684"/>
    <cellStyle name="Entrada 4 9 2" xfId="5685"/>
    <cellStyle name="Entrada 5" xfId="5686"/>
    <cellStyle name="Entrada 5 10" xfId="5687"/>
    <cellStyle name="Entrada 5 10 2" xfId="5688"/>
    <cellStyle name="Entrada 5 11" xfId="5689"/>
    <cellStyle name="Entrada 5 11 2" xfId="5690"/>
    <cellStyle name="Entrada 5 12" xfId="5691"/>
    <cellStyle name="Entrada 5 12 2" xfId="5692"/>
    <cellStyle name="Entrada 5 13" xfId="5693"/>
    <cellStyle name="Entrada 5 2" xfId="5694"/>
    <cellStyle name="Entrada 5 2 10" xfId="5695"/>
    <cellStyle name="Entrada 5 2 10 2" xfId="5696"/>
    <cellStyle name="Entrada 5 2 11" xfId="5697"/>
    <cellStyle name="Entrada 5 2 2" xfId="5698"/>
    <cellStyle name="Entrada 5 2 2 2" xfId="5699"/>
    <cellStyle name="Entrada 5 2 3" xfId="5700"/>
    <cellStyle name="Entrada 5 2 3 2" xfId="5701"/>
    <cellStyle name="Entrada 5 2 4" xfId="5702"/>
    <cellStyle name="Entrada 5 2 4 2" xfId="5703"/>
    <cellStyle name="Entrada 5 2 5" xfId="5704"/>
    <cellStyle name="Entrada 5 2 5 2" xfId="5705"/>
    <cellStyle name="Entrada 5 2 6" xfId="5706"/>
    <cellStyle name="Entrada 5 2 6 2" xfId="5707"/>
    <cellStyle name="Entrada 5 2 7" xfId="5708"/>
    <cellStyle name="Entrada 5 2 7 2" xfId="5709"/>
    <cellStyle name="Entrada 5 2 8" xfId="5710"/>
    <cellStyle name="Entrada 5 2 8 2" xfId="5711"/>
    <cellStyle name="Entrada 5 2 9" xfId="5712"/>
    <cellStyle name="Entrada 5 2 9 2" xfId="5713"/>
    <cellStyle name="Entrada 5 3" xfId="5714"/>
    <cellStyle name="Entrada 5 3 10" xfId="5715"/>
    <cellStyle name="Entrada 5 3 10 2" xfId="5716"/>
    <cellStyle name="Entrada 5 3 11" xfId="5717"/>
    <cellStyle name="Entrada 5 3 2" xfId="5718"/>
    <cellStyle name="Entrada 5 3 2 2" xfId="5719"/>
    <cellStyle name="Entrada 5 3 3" xfId="5720"/>
    <cellStyle name="Entrada 5 3 3 2" xfId="5721"/>
    <cellStyle name="Entrada 5 3 4" xfId="5722"/>
    <cellStyle name="Entrada 5 3 4 2" xfId="5723"/>
    <cellStyle name="Entrada 5 3 5" xfId="5724"/>
    <cellStyle name="Entrada 5 3 5 2" xfId="5725"/>
    <cellStyle name="Entrada 5 3 6" xfId="5726"/>
    <cellStyle name="Entrada 5 3 6 2" xfId="5727"/>
    <cellStyle name="Entrada 5 3 7" xfId="5728"/>
    <cellStyle name="Entrada 5 3 7 2" xfId="5729"/>
    <cellStyle name="Entrada 5 3 8" xfId="5730"/>
    <cellStyle name="Entrada 5 3 8 2" xfId="5731"/>
    <cellStyle name="Entrada 5 3 9" xfId="5732"/>
    <cellStyle name="Entrada 5 3 9 2" xfId="5733"/>
    <cellStyle name="Entrada 5 4" xfId="5734"/>
    <cellStyle name="Entrada 5 4 2" xfId="5735"/>
    <cellStyle name="Entrada 5 5" xfId="5736"/>
    <cellStyle name="Entrada 5 5 2" xfId="5737"/>
    <cellStyle name="Entrada 5 6" xfId="5738"/>
    <cellStyle name="Entrada 5 6 2" xfId="5739"/>
    <cellStyle name="Entrada 5 7" xfId="5740"/>
    <cellStyle name="Entrada 5 7 2" xfId="5741"/>
    <cellStyle name="Entrada 5 8" xfId="5742"/>
    <cellStyle name="Entrada 5 8 2" xfId="5743"/>
    <cellStyle name="Entrada 5 9" xfId="5744"/>
    <cellStyle name="Entrada 5 9 2" xfId="5745"/>
    <cellStyle name="Entrada 6" xfId="5746"/>
    <cellStyle name="Entrada 6 10" xfId="5747"/>
    <cellStyle name="Entrada 6 10 2" xfId="5748"/>
    <cellStyle name="Entrada 6 11" xfId="5749"/>
    <cellStyle name="Entrada 6 11 2" xfId="5750"/>
    <cellStyle name="Entrada 6 12" xfId="5751"/>
    <cellStyle name="Entrada 6 12 2" xfId="5752"/>
    <cellStyle name="Entrada 6 13" xfId="5753"/>
    <cellStyle name="Entrada 6 2" xfId="5754"/>
    <cellStyle name="Entrada 6 2 10" xfId="5755"/>
    <cellStyle name="Entrada 6 2 10 2" xfId="5756"/>
    <cellStyle name="Entrada 6 2 11" xfId="5757"/>
    <cellStyle name="Entrada 6 2 2" xfId="5758"/>
    <cellStyle name="Entrada 6 2 2 2" xfId="5759"/>
    <cellStyle name="Entrada 6 2 3" xfId="5760"/>
    <cellStyle name="Entrada 6 2 3 2" xfId="5761"/>
    <cellStyle name="Entrada 6 2 4" xfId="5762"/>
    <cellStyle name="Entrada 6 2 4 2" xfId="5763"/>
    <cellStyle name="Entrada 6 2 5" xfId="5764"/>
    <cellStyle name="Entrada 6 2 5 2" xfId="5765"/>
    <cellStyle name="Entrada 6 2 6" xfId="5766"/>
    <cellStyle name="Entrada 6 2 6 2" xfId="5767"/>
    <cellStyle name="Entrada 6 2 7" xfId="5768"/>
    <cellStyle name="Entrada 6 2 7 2" xfId="5769"/>
    <cellStyle name="Entrada 6 2 8" xfId="5770"/>
    <cellStyle name="Entrada 6 2 8 2" xfId="5771"/>
    <cellStyle name="Entrada 6 2 9" xfId="5772"/>
    <cellStyle name="Entrada 6 2 9 2" xfId="5773"/>
    <cellStyle name="Entrada 6 3" xfId="5774"/>
    <cellStyle name="Entrada 6 3 10" xfId="5775"/>
    <cellStyle name="Entrada 6 3 10 2" xfId="5776"/>
    <cellStyle name="Entrada 6 3 11" xfId="5777"/>
    <cellStyle name="Entrada 6 3 2" xfId="5778"/>
    <cellStyle name="Entrada 6 3 2 2" xfId="5779"/>
    <cellStyle name="Entrada 6 3 3" xfId="5780"/>
    <cellStyle name="Entrada 6 3 3 2" xfId="5781"/>
    <cellStyle name="Entrada 6 3 4" xfId="5782"/>
    <cellStyle name="Entrada 6 3 4 2" xfId="5783"/>
    <cellStyle name="Entrada 6 3 5" xfId="5784"/>
    <cellStyle name="Entrada 6 3 5 2" xfId="5785"/>
    <cellStyle name="Entrada 6 3 6" xfId="5786"/>
    <cellStyle name="Entrada 6 3 6 2" xfId="5787"/>
    <cellStyle name="Entrada 6 3 7" xfId="5788"/>
    <cellStyle name="Entrada 6 3 7 2" xfId="5789"/>
    <cellStyle name="Entrada 6 3 8" xfId="5790"/>
    <cellStyle name="Entrada 6 3 8 2" xfId="5791"/>
    <cellStyle name="Entrada 6 3 9" xfId="5792"/>
    <cellStyle name="Entrada 6 3 9 2" xfId="5793"/>
    <cellStyle name="Entrada 6 4" xfId="5794"/>
    <cellStyle name="Entrada 6 4 2" xfId="5795"/>
    <cellStyle name="Entrada 6 5" xfId="5796"/>
    <cellStyle name="Entrada 6 5 2" xfId="5797"/>
    <cellStyle name="Entrada 6 6" xfId="5798"/>
    <cellStyle name="Entrada 6 6 2" xfId="5799"/>
    <cellStyle name="Entrada 6 7" xfId="5800"/>
    <cellStyle name="Entrada 6 7 2" xfId="5801"/>
    <cellStyle name="Entrada 6 8" xfId="5802"/>
    <cellStyle name="Entrada 6 8 2" xfId="5803"/>
    <cellStyle name="Entrada 6 9" xfId="5804"/>
    <cellStyle name="Entrada 6 9 2" xfId="5805"/>
    <cellStyle name="Entrada 7" xfId="5806"/>
    <cellStyle name="Entrada 7 10" xfId="5807"/>
    <cellStyle name="Entrada 7 10 2" xfId="5808"/>
    <cellStyle name="Entrada 7 11" xfId="5809"/>
    <cellStyle name="Entrada 7 11 2" xfId="5810"/>
    <cellStyle name="Entrada 7 12" xfId="5811"/>
    <cellStyle name="Entrada 7 12 2" xfId="5812"/>
    <cellStyle name="Entrada 7 13" xfId="5813"/>
    <cellStyle name="Entrada 7 2" xfId="5814"/>
    <cellStyle name="Entrada 7 2 10" xfId="5815"/>
    <cellStyle name="Entrada 7 2 10 2" xfId="5816"/>
    <cellStyle name="Entrada 7 2 11" xfId="5817"/>
    <cellStyle name="Entrada 7 2 2" xfId="5818"/>
    <cellStyle name="Entrada 7 2 2 2" xfId="5819"/>
    <cellStyle name="Entrada 7 2 3" xfId="5820"/>
    <cellStyle name="Entrada 7 2 3 2" xfId="5821"/>
    <cellStyle name="Entrada 7 2 4" xfId="5822"/>
    <cellStyle name="Entrada 7 2 4 2" xfId="5823"/>
    <cellStyle name="Entrada 7 2 5" xfId="5824"/>
    <cellStyle name="Entrada 7 2 5 2" xfId="5825"/>
    <cellStyle name="Entrada 7 2 6" xfId="5826"/>
    <cellStyle name="Entrada 7 2 6 2" xfId="5827"/>
    <cellStyle name="Entrada 7 2 7" xfId="5828"/>
    <cellStyle name="Entrada 7 2 7 2" xfId="5829"/>
    <cellStyle name="Entrada 7 2 8" xfId="5830"/>
    <cellStyle name="Entrada 7 2 8 2" xfId="5831"/>
    <cellStyle name="Entrada 7 2 9" xfId="5832"/>
    <cellStyle name="Entrada 7 2 9 2" xfId="5833"/>
    <cellStyle name="Entrada 7 3" xfId="5834"/>
    <cellStyle name="Entrada 7 3 10" xfId="5835"/>
    <cellStyle name="Entrada 7 3 10 2" xfId="5836"/>
    <cellStyle name="Entrada 7 3 11" xfId="5837"/>
    <cellStyle name="Entrada 7 3 2" xfId="5838"/>
    <cellStyle name="Entrada 7 3 2 2" xfId="5839"/>
    <cellStyle name="Entrada 7 3 3" xfId="5840"/>
    <cellStyle name="Entrada 7 3 3 2" xfId="5841"/>
    <cellStyle name="Entrada 7 3 4" xfId="5842"/>
    <cellStyle name="Entrada 7 3 4 2" xfId="5843"/>
    <cellStyle name="Entrada 7 3 5" xfId="5844"/>
    <cellStyle name="Entrada 7 3 5 2" xfId="5845"/>
    <cellStyle name="Entrada 7 3 6" xfId="5846"/>
    <cellStyle name="Entrada 7 3 6 2" xfId="5847"/>
    <cellStyle name="Entrada 7 3 7" xfId="5848"/>
    <cellStyle name="Entrada 7 3 7 2" xfId="5849"/>
    <cellStyle name="Entrada 7 3 8" xfId="5850"/>
    <cellStyle name="Entrada 7 3 8 2" xfId="5851"/>
    <cellStyle name="Entrada 7 3 9" xfId="5852"/>
    <cellStyle name="Entrada 7 3 9 2" xfId="5853"/>
    <cellStyle name="Entrada 7 4" xfId="5854"/>
    <cellStyle name="Entrada 7 4 2" xfId="5855"/>
    <cellStyle name="Entrada 7 5" xfId="5856"/>
    <cellStyle name="Entrada 7 5 2" xfId="5857"/>
    <cellStyle name="Entrada 7 6" xfId="5858"/>
    <cellStyle name="Entrada 7 6 2" xfId="5859"/>
    <cellStyle name="Entrada 7 7" xfId="5860"/>
    <cellStyle name="Entrada 7 7 2" xfId="5861"/>
    <cellStyle name="Entrada 7 8" xfId="5862"/>
    <cellStyle name="Entrada 7 8 2" xfId="5863"/>
    <cellStyle name="Entrada 7 9" xfId="5864"/>
    <cellStyle name="Entrada 7 9 2" xfId="5865"/>
    <cellStyle name="Entrada 8" xfId="5866"/>
    <cellStyle name="Excel Built-in Normal" xfId="151"/>
    <cellStyle name="Hipervínculo" xfId="256" builtinId="8"/>
    <cellStyle name="Incorrecto" xfId="152" builtinId="27" customBuiltin="1"/>
    <cellStyle name="Incorrecto 2" xfId="153"/>
    <cellStyle name="Incorrecto 2 2" xfId="154"/>
    <cellStyle name="Incorrecto 2 3" xfId="155"/>
    <cellStyle name="Incorrecto 2 4" xfId="5867"/>
    <cellStyle name="Incorrecto 3" xfId="156"/>
    <cellStyle name="Incorrecto 4" xfId="5868"/>
    <cellStyle name="Incorrecto 5" xfId="5869"/>
    <cellStyle name="Incorrecto 6" xfId="5870"/>
    <cellStyle name="Incorrecto 7" xfId="5871"/>
    <cellStyle name="Millares" xfId="157" builtinId="3"/>
    <cellStyle name="Millares 10" xfId="5872"/>
    <cellStyle name="Millares 11" xfId="5873"/>
    <cellStyle name="Millares 12" xfId="5874"/>
    <cellStyle name="Millares 13" xfId="5875"/>
    <cellStyle name="Millares 14" xfId="5876"/>
    <cellStyle name="Millares 15" xfId="5877"/>
    <cellStyle name="Millares 2" xfId="158"/>
    <cellStyle name="Millares 2 2" xfId="159"/>
    <cellStyle name="Millares 2 2 10" xfId="5878"/>
    <cellStyle name="Millares 2 2 11" xfId="5879"/>
    <cellStyle name="Millares 2 2 12" xfId="5880"/>
    <cellStyle name="Millares 2 2 13" xfId="5881"/>
    <cellStyle name="Millares 2 2 14" xfId="5882"/>
    <cellStyle name="Millares 2 2 2" xfId="5883"/>
    <cellStyle name="Millares 2 2 3" xfId="5884"/>
    <cellStyle name="Millares 2 2 4" xfId="5885"/>
    <cellStyle name="Millares 2 2 5" xfId="5886"/>
    <cellStyle name="Millares 2 2 6" xfId="5887"/>
    <cellStyle name="Millares 2 2 7" xfId="5888"/>
    <cellStyle name="Millares 2 2 8" xfId="5889"/>
    <cellStyle name="Millares 2 2 9" xfId="5890"/>
    <cellStyle name="Millares 2 3" xfId="160"/>
    <cellStyle name="Millares 2 3 10" xfId="5891"/>
    <cellStyle name="Millares 2 3 11" xfId="5892"/>
    <cellStyle name="Millares 2 3 12" xfId="5893"/>
    <cellStyle name="Millares 2 3 13" xfId="5894"/>
    <cellStyle name="Millares 2 3 14" xfId="5895"/>
    <cellStyle name="Millares 2 3 2" xfId="5896"/>
    <cellStyle name="Millares 2 3 3" xfId="5897"/>
    <cellStyle name="Millares 2 3 4" xfId="5898"/>
    <cellStyle name="Millares 2 3 5" xfId="5899"/>
    <cellStyle name="Millares 2 3 6" xfId="5900"/>
    <cellStyle name="Millares 2 3 7" xfId="5901"/>
    <cellStyle name="Millares 2 3 8" xfId="5902"/>
    <cellStyle name="Millares 2 3 9" xfId="5903"/>
    <cellStyle name="Millares 2 4" xfId="5904"/>
    <cellStyle name="Millares 2 5" xfId="5905"/>
    <cellStyle name="Millares 2 6" xfId="5906"/>
    <cellStyle name="Millares 2 7" xfId="5907"/>
    <cellStyle name="Millares 3" xfId="5908"/>
    <cellStyle name="Millares 4" xfId="5909"/>
    <cellStyle name="Millares 4 10" xfId="5910"/>
    <cellStyle name="Millares 4 10 2" xfId="5911"/>
    <cellStyle name="Millares 4 11" xfId="5912"/>
    <cellStyle name="Millares 4 11 2" xfId="5913"/>
    <cellStyle name="Millares 4 12" xfId="5914"/>
    <cellStyle name="Millares 4 12 2" xfId="5915"/>
    <cellStyle name="Millares 4 13" xfId="5916"/>
    <cellStyle name="Millares 4 2" xfId="5917"/>
    <cellStyle name="Millares 4 2 10" xfId="5918"/>
    <cellStyle name="Millares 4 2 10 2" xfId="5919"/>
    <cellStyle name="Millares 4 2 11" xfId="5920"/>
    <cellStyle name="Millares 4 2 11 2" xfId="5921"/>
    <cellStyle name="Millares 4 2 12" xfId="5922"/>
    <cellStyle name="Millares 4 2 2" xfId="5923"/>
    <cellStyle name="Millares 4 2 2 10" xfId="5924"/>
    <cellStyle name="Millares 4 2 2 10 2" xfId="5925"/>
    <cellStyle name="Millares 4 2 2 11" xfId="5926"/>
    <cellStyle name="Millares 4 2 2 2" xfId="5927"/>
    <cellStyle name="Millares 4 2 2 2 2" xfId="5928"/>
    <cellStyle name="Millares 4 2 2 3" xfId="5929"/>
    <cellStyle name="Millares 4 2 2 3 2" xfId="5930"/>
    <cellStyle name="Millares 4 2 2 4" xfId="5931"/>
    <cellStyle name="Millares 4 2 2 4 2" xfId="5932"/>
    <cellStyle name="Millares 4 2 2 5" xfId="5933"/>
    <cellStyle name="Millares 4 2 2 5 2" xfId="5934"/>
    <cellStyle name="Millares 4 2 2 6" xfId="5935"/>
    <cellStyle name="Millares 4 2 2 6 2" xfId="5936"/>
    <cellStyle name="Millares 4 2 2 7" xfId="5937"/>
    <cellStyle name="Millares 4 2 2 7 2" xfId="5938"/>
    <cellStyle name="Millares 4 2 2 8" xfId="5939"/>
    <cellStyle name="Millares 4 2 2 8 2" xfId="5940"/>
    <cellStyle name="Millares 4 2 2 9" xfId="5941"/>
    <cellStyle name="Millares 4 2 2 9 2" xfId="5942"/>
    <cellStyle name="Millares 4 2 3" xfId="5943"/>
    <cellStyle name="Millares 4 2 3 2" xfId="5944"/>
    <cellStyle name="Millares 4 2 4" xfId="5945"/>
    <cellStyle name="Millares 4 2 4 2" xfId="5946"/>
    <cellStyle name="Millares 4 2 5" xfId="5947"/>
    <cellStyle name="Millares 4 2 5 2" xfId="5948"/>
    <cellStyle name="Millares 4 2 6" xfId="5949"/>
    <cellStyle name="Millares 4 2 6 2" xfId="5950"/>
    <cellStyle name="Millares 4 2 7" xfId="5951"/>
    <cellStyle name="Millares 4 2 7 2" xfId="5952"/>
    <cellStyle name="Millares 4 2 8" xfId="5953"/>
    <cellStyle name="Millares 4 2 8 2" xfId="5954"/>
    <cellStyle name="Millares 4 2 9" xfId="5955"/>
    <cellStyle name="Millares 4 2 9 2" xfId="5956"/>
    <cellStyle name="Millares 4 3" xfId="5957"/>
    <cellStyle name="Millares 4 3 10" xfId="5958"/>
    <cellStyle name="Millares 4 3 10 2" xfId="5959"/>
    <cellStyle name="Millares 4 3 11" xfId="5960"/>
    <cellStyle name="Millares 4 3 2" xfId="5961"/>
    <cellStyle name="Millares 4 3 2 2" xfId="5962"/>
    <cellStyle name="Millares 4 3 3" xfId="5963"/>
    <cellStyle name="Millares 4 3 3 2" xfId="5964"/>
    <cellStyle name="Millares 4 3 4" xfId="5965"/>
    <cellStyle name="Millares 4 3 4 2" xfId="5966"/>
    <cellStyle name="Millares 4 3 5" xfId="5967"/>
    <cellStyle name="Millares 4 3 5 2" xfId="5968"/>
    <cellStyle name="Millares 4 3 6" xfId="5969"/>
    <cellStyle name="Millares 4 3 6 2" xfId="5970"/>
    <cellStyle name="Millares 4 3 7" xfId="5971"/>
    <cellStyle name="Millares 4 3 7 2" xfId="5972"/>
    <cellStyle name="Millares 4 3 8" xfId="5973"/>
    <cellStyle name="Millares 4 3 8 2" xfId="5974"/>
    <cellStyle name="Millares 4 3 9" xfId="5975"/>
    <cellStyle name="Millares 4 3 9 2" xfId="5976"/>
    <cellStyle name="Millares 4 4" xfId="5977"/>
    <cellStyle name="Millares 4 4 2" xfId="5978"/>
    <cellStyle name="Millares 4 5" xfId="5979"/>
    <cellStyle name="Millares 4 5 2" xfId="5980"/>
    <cellStyle name="Millares 4 6" xfId="5981"/>
    <cellStyle name="Millares 4 6 2" xfId="5982"/>
    <cellStyle name="Millares 4 7" xfId="5983"/>
    <cellStyle name="Millares 4 7 2" xfId="5984"/>
    <cellStyle name="Millares 4 8" xfId="5985"/>
    <cellStyle name="Millares 4 8 2" xfId="5986"/>
    <cellStyle name="Millares 4 9" xfId="5987"/>
    <cellStyle name="Millares 4 9 2" xfId="5988"/>
    <cellStyle name="Millares 5" xfId="5989"/>
    <cellStyle name="Millares 5 10" xfId="5990"/>
    <cellStyle name="Millares 5 10 2" xfId="5991"/>
    <cellStyle name="Millares 5 11" xfId="5992"/>
    <cellStyle name="Millares 5 11 2" xfId="5993"/>
    <cellStyle name="Millares 5 12" xfId="5994"/>
    <cellStyle name="Millares 5 12 2" xfId="5995"/>
    <cellStyle name="Millares 5 13" xfId="5996"/>
    <cellStyle name="Millares 5 2" xfId="5997"/>
    <cellStyle name="Millares 5 2 10" xfId="5998"/>
    <cellStyle name="Millares 5 2 10 2" xfId="5999"/>
    <cellStyle name="Millares 5 2 11" xfId="6000"/>
    <cellStyle name="Millares 5 2 11 2" xfId="6001"/>
    <cellStyle name="Millares 5 2 12" xfId="6002"/>
    <cellStyle name="Millares 5 2 2" xfId="6003"/>
    <cellStyle name="Millares 5 2 2 10" xfId="6004"/>
    <cellStyle name="Millares 5 2 2 10 2" xfId="6005"/>
    <cellStyle name="Millares 5 2 2 11" xfId="6006"/>
    <cellStyle name="Millares 5 2 2 2" xfId="6007"/>
    <cellStyle name="Millares 5 2 2 2 2" xfId="6008"/>
    <cellStyle name="Millares 5 2 2 3" xfId="6009"/>
    <cellStyle name="Millares 5 2 2 3 2" xfId="6010"/>
    <cellStyle name="Millares 5 2 2 4" xfId="6011"/>
    <cellStyle name="Millares 5 2 2 4 2" xfId="6012"/>
    <cellStyle name="Millares 5 2 2 5" xfId="6013"/>
    <cellStyle name="Millares 5 2 2 5 2" xfId="6014"/>
    <cellStyle name="Millares 5 2 2 6" xfId="6015"/>
    <cellStyle name="Millares 5 2 2 6 2" xfId="6016"/>
    <cellStyle name="Millares 5 2 2 7" xfId="6017"/>
    <cellStyle name="Millares 5 2 2 7 2" xfId="6018"/>
    <cellStyle name="Millares 5 2 2 8" xfId="6019"/>
    <cellStyle name="Millares 5 2 2 8 2" xfId="6020"/>
    <cellStyle name="Millares 5 2 2 9" xfId="6021"/>
    <cellStyle name="Millares 5 2 2 9 2" xfId="6022"/>
    <cellStyle name="Millares 5 2 3" xfId="6023"/>
    <cellStyle name="Millares 5 2 3 2" xfId="6024"/>
    <cellStyle name="Millares 5 2 4" xfId="6025"/>
    <cellStyle name="Millares 5 2 4 2" xfId="6026"/>
    <cellStyle name="Millares 5 2 5" xfId="6027"/>
    <cellStyle name="Millares 5 2 5 2" xfId="6028"/>
    <cellStyle name="Millares 5 2 6" xfId="6029"/>
    <cellStyle name="Millares 5 2 6 2" xfId="6030"/>
    <cellStyle name="Millares 5 2 7" xfId="6031"/>
    <cellStyle name="Millares 5 2 7 2" xfId="6032"/>
    <cellStyle name="Millares 5 2 8" xfId="6033"/>
    <cellStyle name="Millares 5 2 8 2" xfId="6034"/>
    <cellStyle name="Millares 5 2 9" xfId="6035"/>
    <cellStyle name="Millares 5 2 9 2" xfId="6036"/>
    <cellStyle name="Millares 5 3" xfId="6037"/>
    <cellStyle name="Millares 5 3 10" xfId="6038"/>
    <cellStyle name="Millares 5 3 10 2" xfId="6039"/>
    <cellStyle name="Millares 5 3 11" xfId="6040"/>
    <cellStyle name="Millares 5 3 2" xfId="6041"/>
    <cellStyle name="Millares 5 3 2 2" xfId="6042"/>
    <cellStyle name="Millares 5 3 3" xfId="6043"/>
    <cellStyle name="Millares 5 3 3 2" xfId="6044"/>
    <cellStyle name="Millares 5 3 4" xfId="6045"/>
    <cellStyle name="Millares 5 3 4 2" xfId="6046"/>
    <cellStyle name="Millares 5 3 5" xfId="6047"/>
    <cellStyle name="Millares 5 3 5 2" xfId="6048"/>
    <cellStyle name="Millares 5 3 6" xfId="6049"/>
    <cellStyle name="Millares 5 3 6 2" xfId="6050"/>
    <cellStyle name="Millares 5 3 7" xfId="6051"/>
    <cellStyle name="Millares 5 3 7 2" xfId="6052"/>
    <cellStyle name="Millares 5 3 8" xfId="6053"/>
    <cellStyle name="Millares 5 3 8 2" xfId="6054"/>
    <cellStyle name="Millares 5 3 9" xfId="6055"/>
    <cellStyle name="Millares 5 3 9 2" xfId="6056"/>
    <cellStyle name="Millares 5 4" xfId="6057"/>
    <cellStyle name="Millares 5 4 2" xfId="6058"/>
    <cellStyle name="Millares 5 5" xfId="6059"/>
    <cellStyle name="Millares 5 5 2" xfId="6060"/>
    <cellStyle name="Millares 5 6" xfId="6061"/>
    <cellStyle name="Millares 5 6 2" xfId="6062"/>
    <cellStyle name="Millares 5 7" xfId="6063"/>
    <cellStyle name="Millares 5 7 2" xfId="6064"/>
    <cellStyle name="Millares 5 8" xfId="6065"/>
    <cellStyle name="Millares 5 8 2" xfId="6066"/>
    <cellStyle name="Millares 5 9" xfId="6067"/>
    <cellStyle name="Millares 5 9 2" xfId="6068"/>
    <cellStyle name="Millares 6" xfId="6069"/>
    <cellStyle name="Millares 6 10" xfId="6070"/>
    <cellStyle name="Millares 6 10 2" xfId="6071"/>
    <cellStyle name="Millares 6 11" xfId="6072"/>
    <cellStyle name="Millares 6 11 2" xfId="6073"/>
    <cellStyle name="Millares 6 12" xfId="6074"/>
    <cellStyle name="Millares 6 12 2" xfId="6075"/>
    <cellStyle name="Millares 6 13" xfId="6076"/>
    <cellStyle name="Millares 6 2" xfId="6077"/>
    <cellStyle name="Millares 6 2 10" xfId="6078"/>
    <cellStyle name="Millares 6 2 10 2" xfId="6079"/>
    <cellStyle name="Millares 6 2 11" xfId="6080"/>
    <cellStyle name="Millares 6 2 11 2" xfId="6081"/>
    <cellStyle name="Millares 6 2 12" xfId="6082"/>
    <cellStyle name="Millares 6 2 2" xfId="6083"/>
    <cellStyle name="Millares 6 2 2 10" xfId="6084"/>
    <cellStyle name="Millares 6 2 2 10 2" xfId="6085"/>
    <cellStyle name="Millares 6 2 2 11" xfId="6086"/>
    <cellStyle name="Millares 6 2 2 2" xfId="6087"/>
    <cellStyle name="Millares 6 2 2 2 2" xfId="6088"/>
    <cellStyle name="Millares 6 2 2 3" xfId="6089"/>
    <cellStyle name="Millares 6 2 2 3 2" xfId="6090"/>
    <cellStyle name="Millares 6 2 2 4" xfId="6091"/>
    <cellStyle name="Millares 6 2 2 4 2" xfId="6092"/>
    <cellStyle name="Millares 6 2 2 5" xfId="6093"/>
    <cellStyle name="Millares 6 2 2 5 2" xfId="6094"/>
    <cellStyle name="Millares 6 2 2 6" xfId="6095"/>
    <cellStyle name="Millares 6 2 2 6 2" xfId="6096"/>
    <cellStyle name="Millares 6 2 2 7" xfId="6097"/>
    <cellStyle name="Millares 6 2 2 7 2" xfId="6098"/>
    <cellStyle name="Millares 6 2 2 8" xfId="6099"/>
    <cellStyle name="Millares 6 2 2 8 2" xfId="6100"/>
    <cellStyle name="Millares 6 2 2 9" xfId="6101"/>
    <cellStyle name="Millares 6 2 2 9 2" xfId="6102"/>
    <cellStyle name="Millares 6 2 3" xfId="6103"/>
    <cellStyle name="Millares 6 2 3 2" xfId="6104"/>
    <cellStyle name="Millares 6 2 4" xfId="6105"/>
    <cellStyle name="Millares 6 2 4 2" xfId="6106"/>
    <cellStyle name="Millares 6 2 5" xfId="6107"/>
    <cellStyle name="Millares 6 2 5 2" xfId="6108"/>
    <cellStyle name="Millares 6 2 6" xfId="6109"/>
    <cellStyle name="Millares 6 2 6 2" xfId="6110"/>
    <cellStyle name="Millares 6 2 7" xfId="6111"/>
    <cellStyle name="Millares 6 2 7 2" xfId="6112"/>
    <cellStyle name="Millares 6 2 8" xfId="6113"/>
    <cellStyle name="Millares 6 2 8 2" xfId="6114"/>
    <cellStyle name="Millares 6 2 9" xfId="6115"/>
    <cellStyle name="Millares 6 2 9 2" xfId="6116"/>
    <cellStyle name="Millares 6 3" xfId="6117"/>
    <cellStyle name="Millares 6 3 10" xfId="6118"/>
    <cellStyle name="Millares 6 3 10 2" xfId="6119"/>
    <cellStyle name="Millares 6 3 11" xfId="6120"/>
    <cellStyle name="Millares 6 3 2" xfId="6121"/>
    <cellStyle name="Millares 6 3 2 2" xfId="6122"/>
    <cellStyle name="Millares 6 3 3" xfId="6123"/>
    <cellStyle name="Millares 6 3 3 2" xfId="6124"/>
    <cellStyle name="Millares 6 3 4" xfId="6125"/>
    <cellStyle name="Millares 6 3 4 2" xfId="6126"/>
    <cellStyle name="Millares 6 3 5" xfId="6127"/>
    <cellStyle name="Millares 6 3 5 2" xfId="6128"/>
    <cellStyle name="Millares 6 3 6" xfId="6129"/>
    <cellStyle name="Millares 6 3 6 2" xfId="6130"/>
    <cellStyle name="Millares 6 3 7" xfId="6131"/>
    <cellStyle name="Millares 6 3 7 2" xfId="6132"/>
    <cellStyle name="Millares 6 3 8" xfId="6133"/>
    <cellStyle name="Millares 6 3 8 2" xfId="6134"/>
    <cellStyle name="Millares 6 3 9" xfId="6135"/>
    <cellStyle name="Millares 6 3 9 2" xfId="6136"/>
    <cellStyle name="Millares 6 4" xfId="6137"/>
    <cellStyle name="Millares 6 4 2" xfId="6138"/>
    <cellStyle name="Millares 6 5" xfId="6139"/>
    <cellStyle name="Millares 6 5 2" xfId="6140"/>
    <cellStyle name="Millares 6 6" xfId="6141"/>
    <cellStyle name="Millares 6 6 2" xfId="6142"/>
    <cellStyle name="Millares 6 7" xfId="6143"/>
    <cellStyle name="Millares 6 7 2" xfId="6144"/>
    <cellStyle name="Millares 6 8" xfId="6145"/>
    <cellStyle name="Millares 6 8 2" xfId="6146"/>
    <cellStyle name="Millares 6 9" xfId="6147"/>
    <cellStyle name="Millares 6 9 2" xfId="6148"/>
    <cellStyle name="Millares 7" xfId="6149"/>
    <cellStyle name="Millares 7 10" xfId="6150"/>
    <cellStyle name="Millares 7 11" xfId="6151"/>
    <cellStyle name="Millares 7 12" xfId="6152"/>
    <cellStyle name="Millares 7 2" xfId="6153"/>
    <cellStyle name="Millares 7 3" xfId="6154"/>
    <cellStyle name="Millares 7 4" xfId="6155"/>
    <cellStyle name="Millares 7 5" xfId="6156"/>
    <cellStyle name="Millares 7 6" xfId="6157"/>
    <cellStyle name="Millares 7 7" xfId="6158"/>
    <cellStyle name="Millares 7 8" xfId="6159"/>
    <cellStyle name="Millares 7 9" xfId="6160"/>
    <cellStyle name="Millares 8" xfId="6161"/>
    <cellStyle name="Millares 9" xfId="6162"/>
    <cellStyle name="Moneda" xfId="161" builtinId="4"/>
    <cellStyle name="Moneda 2" xfId="6163"/>
    <cellStyle name="Moneda 2 2" xfId="6164"/>
    <cellStyle name="Moneda 2 3" xfId="6165"/>
    <cellStyle name="Moneda 3" xfId="6166"/>
    <cellStyle name="Moneda 4" xfId="6167"/>
    <cellStyle name="Moneda 5" xfId="6168"/>
    <cellStyle name="Moneda 6" xfId="6169"/>
    <cellStyle name="Moneda 7" xfId="6170"/>
    <cellStyle name="Neutral" xfId="162" builtinId="28" customBuiltin="1"/>
    <cellStyle name="Neutral 2" xfId="163"/>
    <cellStyle name="Neutral 2 2" xfId="164"/>
    <cellStyle name="Neutral 2 3" xfId="165"/>
    <cellStyle name="Neutral 2 4" xfId="6171"/>
    <cellStyle name="Neutral 3" xfId="166"/>
    <cellStyle name="Neutral 4" xfId="6172"/>
    <cellStyle name="Neutral 5" xfId="6173"/>
    <cellStyle name="Neutral 6" xfId="6174"/>
    <cellStyle name="Neutral 7" xfId="6175"/>
    <cellStyle name="Normal" xfId="0" builtinId="0"/>
    <cellStyle name="Normal 10" xfId="6176"/>
    <cellStyle name="Normal 10 10" xfId="6177"/>
    <cellStyle name="Normal 10 10 2" xfId="6178"/>
    <cellStyle name="Normal 10 11" xfId="6179"/>
    <cellStyle name="Normal 10 11 2" xfId="6180"/>
    <cellStyle name="Normal 10 12" xfId="6181"/>
    <cellStyle name="Normal 10 12 2" xfId="6182"/>
    <cellStyle name="Normal 10 13" xfId="6183"/>
    <cellStyle name="Normal 10 13 2" xfId="6184"/>
    <cellStyle name="Normal 10 14" xfId="6185"/>
    <cellStyle name="Normal 10 14 2" xfId="6186"/>
    <cellStyle name="Normal 10 15" xfId="6187"/>
    <cellStyle name="Normal 10 15 2" xfId="6188"/>
    <cellStyle name="Normal 10 16" xfId="6189"/>
    <cellStyle name="Normal 10 16 2" xfId="6190"/>
    <cellStyle name="Normal 10 17" xfId="6191"/>
    <cellStyle name="Normal 10 17 2" xfId="6192"/>
    <cellStyle name="Normal 10 18" xfId="6193"/>
    <cellStyle name="Normal 10 18 2" xfId="6194"/>
    <cellStyle name="Normal 10 19" xfId="6195"/>
    <cellStyle name="Normal 10 2" xfId="6196"/>
    <cellStyle name="Normal 10 3" xfId="6197"/>
    <cellStyle name="Normal 10 4" xfId="6198"/>
    <cellStyle name="Normal 10 5" xfId="6199"/>
    <cellStyle name="Normal 10 6" xfId="6200"/>
    <cellStyle name="Normal 10 7" xfId="6201"/>
    <cellStyle name="Normal 10 8" xfId="6202"/>
    <cellStyle name="Normal 10 8 10" xfId="6203"/>
    <cellStyle name="Normal 10 8 10 2" xfId="6204"/>
    <cellStyle name="Normal 10 8 11" xfId="6205"/>
    <cellStyle name="Normal 10 8 11 2" xfId="6206"/>
    <cellStyle name="Normal 10 8 12" xfId="6207"/>
    <cellStyle name="Normal 10 8 2" xfId="6208"/>
    <cellStyle name="Normal 10 8 2 10" xfId="6209"/>
    <cellStyle name="Normal 10 8 2 10 2" xfId="6210"/>
    <cellStyle name="Normal 10 8 2 11" xfId="6211"/>
    <cellStyle name="Normal 10 8 2 2" xfId="6212"/>
    <cellStyle name="Normal 10 8 2 2 2" xfId="6213"/>
    <cellStyle name="Normal 10 8 2 3" xfId="6214"/>
    <cellStyle name="Normal 10 8 2 3 2" xfId="6215"/>
    <cellStyle name="Normal 10 8 2 4" xfId="6216"/>
    <cellStyle name="Normal 10 8 2 4 2" xfId="6217"/>
    <cellStyle name="Normal 10 8 2 5" xfId="6218"/>
    <cellStyle name="Normal 10 8 2 5 2" xfId="6219"/>
    <cellStyle name="Normal 10 8 2 6" xfId="6220"/>
    <cellStyle name="Normal 10 8 2 6 2" xfId="6221"/>
    <cellStyle name="Normal 10 8 2 7" xfId="6222"/>
    <cellStyle name="Normal 10 8 2 7 2" xfId="6223"/>
    <cellStyle name="Normal 10 8 2 8" xfId="6224"/>
    <cellStyle name="Normal 10 8 2 8 2" xfId="6225"/>
    <cellStyle name="Normal 10 8 2 9" xfId="6226"/>
    <cellStyle name="Normal 10 8 2 9 2" xfId="6227"/>
    <cellStyle name="Normal 10 8 3" xfId="6228"/>
    <cellStyle name="Normal 10 8 3 2" xfId="6229"/>
    <cellStyle name="Normal 10 8 4" xfId="6230"/>
    <cellStyle name="Normal 10 8 4 2" xfId="6231"/>
    <cellStyle name="Normal 10 8 5" xfId="6232"/>
    <cellStyle name="Normal 10 8 5 2" xfId="6233"/>
    <cellStyle name="Normal 10 8 6" xfId="6234"/>
    <cellStyle name="Normal 10 8 6 2" xfId="6235"/>
    <cellStyle name="Normal 10 8 7" xfId="6236"/>
    <cellStyle name="Normal 10 8 7 2" xfId="6237"/>
    <cellStyle name="Normal 10 8 8" xfId="6238"/>
    <cellStyle name="Normal 10 8 8 2" xfId="6239"/>
    <cellStyle name="Normal 10 8 9" xfId="6240"/>
    <cellStyle name="Normal 10 8 9 2" xfId="6241"/>
    <cellStyle name="Normal 10 9" xfId="6242"/>
    <cellStyle name="Normal 10 9 10" xfId="6243"/>
    <cellStyle name="Normal 10 9 10 2" xfId="6244"/>
    <cellStyle name="Normal 10 9 11" xfId="6245"/>
    <cellStyle name="Normal 10 9 2" xfId="6246"/>
    <cellStyle name="Normal 10 9 2 2" xfId="6247"/>
    <cellStyle name="Normal 10 9 3" xfId="6248"/>
    <cellStyle name="Normal 10 9 3 2" xfId="6249"/>
    <cellStyle name="Normal 10 9 4" xfId="6250"/>
    <cellStyle name="Normal 10 9 4 2" xfId="6251"/>
    <cellStyle name="Normal 10 9 5" xfId="6252"/>
    <cellStyle name="Normal 10 9 5 2" xfId="6253"/>
    <cellStyle name="Normal 10 9 6" xfId="6254"/>
    <cellStyle name="Normal 10 9 6 2" xfId="6255"/>
    <cellStyle name="Normal 10 9 7" xfId="6256"/>
    <cellStyle name="Normal 10 9 7 2" xfId="6257"/>
    <cellStyle name="Normal 10 9 8" xfId="6258"/>
    <cellStyle name="Normal 10 9 8 2" xfId="6259"/>
    <cellStyle name="Normal 10 9 9" xfId="6260"/>
    <cellStyle name="Normal 10 9 9 2" xfId="6261"/>
    <cellStyle name="Normal 11" xfId="167"/>
    <cellStyle name="Normal 11 2" xfId="168"/>
    <cellStyle name="Normal 11 2 10" xfId="6262"/>
    <cellStyle name="Normal 11 2 11" xfId="6263"/>
    <cellStyle name="Normal 11 2 12" xfId="6264"/>
    <cellStyle name="Normal 11 2 13" xfId="6265"/>
    <cellStyle name="Normal 11 2 14" xfId="6266"/>
    <cellStyle name="Normal 11 2 15" xfId="6267"/>
    <cellStyle name="Normal 11 2 2" xfId="6268"/>
    <cellStyle name="Normal 11 2 3" xfId="6269"/>
    <cellStyle name="Normal 11 2 4" xfId="6270"/>
    <cellStyle name="Normal 11 2 5" xfId="6271"/>
    <cellStyle name="Normal 11 2 6" xfId="6272"/>
    <cellStyle name="Normal 11 2 7" xfId="6273"/>
    <cellStyle name="Normal 11 2 8" xfId="6274"/>
    <cellStyle name="Normal 11 2 9" xfId="6275"/>
    <cellStyle name="Normal 11 3" xfId="169"/>
    <cellStyle name="Normal 11 3 10" xfId="6276"/>
    <cellStyle name="Normal 11 3 11" xfId="6277"/>
    <cellStyle name="Normal 11 3 12" xfId="6278"/>
    <cellStyle name="Normal 11 3 13" xfId="6279"/>
    <cellStyle name="Normal 11 3 14" xfId="6280"/>
    <cellStyle name="Normal 11 3 2" xfId="6281"/>
    <cellStyle name="Normal 11 3 3" xfId="6282"/>
    <cellStyle name="Normal 11 3 4" xfId="6283"/>
    <cellStyle name="Normal 11 3 5" xfId="6284"/>
    <cellStyle name="Normal 11 3 6" xfId="6285"/>
    <cellStyle name="Normal 11 3 7" xfId="6286"/>
    <cellStyle name="Normal 11 3 8" xfId="6287"/>
    <cellStyle name="Normal 11 3 9" xfId="6288"/>
    <cellStyle name="Normal 11 4" xfId="6289"/>
    <cellStyle name="Normal 11 5" xfId="6290"/>
    <cellStyle name="Normal 11 6" xfId="6291"/>
    <cellStyle name="Normal 12" xfId="170"/>
    <cellStyle name="Normal 12 2" xfId="171"/>
    <cellStyle name="Normal 12 2 10" xfId="6292"/>
    <cellStyle name="Normal 12 2 11" xfId="6293"/>
    <cellStyle name="Normal 12 2 12" xfId="6294"/>
    <cellStyle name="Normal 12 2 13" xfId="6295"/>
    <cellStyle name="Normal 12 2 14" xfId="6296"/>
    <cellStyle name="Normal 12 2 15" xfId="6297"/>
    <cellStyle name="Normal 12 2 2" xfId="6298"/>
    <cellStyle name="Normal 12 2 3" xfId="6299"/>
    <cellStyle name="Normal 12 2 4" xfId="6300"/>
    <cellStyle name="Normal 12 2 5" xfId="6301"/>
    <cellStyle name="Normal 12 2 6" xfId="6302"/>
    <cellStyle name="Normal 12 2 7" xfId="6303"/>
    <cellStyle name="Normal 12 2 8" xfId="6304"/>
    <cellStyle name="Normal 12 2 9" xfId="6305"/>
    <cellStyle name="Normal 12 3" xfId="172"/>
    <cellStyle name="Normal 12 3 10" xfId="6306"/>
    <cellStyle name="Normal 12 3 11" xfId="6307"/>
    <cellStyle name="Normal 12 3 12" xfId="6308"/>
    <cellStyle name="Normal 12 3 13" xfId="6309"/>
    <cellStyle name="Normal 12 3 14" xfId="6310"/>
    <cellStyle name="Normal 12 3 2" xfId="6311"/>
    <cellStyle name="Normal 12 3 3" xfId="6312"/>
    <cellStyle name="Normal 12 3 4" xfId="6313"/>
    <cellStyle name="Normal 12 3 5" xfId="6314"/>
    <cellStyle name="Normal 12 3 6" xfId="6315"/>
    <cellStyle name="Normal 12 3 7" xfId="6316"/>
    <cellStyle name="Normal 12 3 8" xfId="6317"/>
    <cellStyle name="Normal 12 3 9" xfId="6318"/>
    <cellStyle name="Normal 13" xfId="6319"/>
    <cellStyle name="Normal 13 2" xfId="6320"/>
    <cellStyle name="Normal 14" xfId="6321"/>
    <cellStyle name="Normal 14 10" xfId="6322"/>
    <cellStyle name="Normal 14 10 2" xfId="6323"/>
    <cellStyle name="Normal 14 11" xfId="6324"/>
    <cellStyle name="Normal 14 11 2" xfId="6325"/>
    <cellStyle name="Normal 14 12" xfId="6326"/>
    <cellStyle name="Normal 14 12 2" xfId="6327"/>
    <cellStyle name="Normal 14 13" xfId="6328"/>
    <cellStyle name="Normal 14 13 2" xfId="6329"/>
    <cellStyle name="Normal 14 14" xfId="6330"/>
    <cellStyle name="Normal 14 14 2" xfId="6331"/>
    <cellStyle name="Normal 14 15" xfId="6332"/>
    <cellStyle name="Normal 14 2" xfId="6333"/>
    <cellStyle name="Normal 14 3" xfId="6334"/>
    <cellStyle name="Normal 14 4" xfId="6335"/>
    <cellStyle name="Normal 14 4 10" xfId="6336"/>
    <cellStyle name="Normal 14 4 10 2" xfId="6337"/>
    <cellStyle name="Normal 14 4 11" xfId="6338"/>
    <cellStyle name="Normal 14 4 11 2" xfId="6339"/>
    <cellStyle name="Normal 14 4 12" xfId="6340"/>
    <cellStyle name="Normal 14 4 2" xfId="6341"/>
    <cellStyle name="Normal 14 4 2 10" xfId="6342"/>
    <cellStyle name="Normal 14 4 2 10 2" xfId="6343"/>
    <cellStyle name="Normal 14 4 2 11" xfId="6344"/>
    <cellStyle name="Normal 14 4 2 2" xfId="6345"/>
    <cellStyle name="Normal 14 4 2 2 2" xfId="6346"/>
    <cellStyle name="Normal 14 4 2 3" xfId="6347"/>
    <cellStyle name="Normal 14 4 2 3 2" xfId="6348"/>
    <cellStyle name="Normal 14 4 2 4" xfId="6349"/>
    <cellStyle name="Normal 14 4 2 4 2" xfId="6350"/>
    <cellStyle name="Normal 14 4 2 5" xfId="6351"/>
    <cellStyle name="Normal 14 4 2 5 2" xfId="6352"/>
    <cellStyle name="Normal 14 4 2 6" xfId="6353"/>
    <cellStyle name="Normal 14 4 2 6 2" xfId="6354"/>
    <cellStyle name="Normal 14 4 2 7" xfId="6355"/>
    <cellStyle name="Normal 14 4 2 7 2" xfId="6356"/>
    <cellStyle name="Normal 14 4 2 8" xfId="6357"/>
    <cellStyle name="Normal 14 4 2 8 2" xfId="6358"/>
    <cellStyle name="Normal 14 4 2 9" xfId="6359"/>
    <cellStyle name="Normal 14 4 2 9 2" xfId="6360"/>
    <cellStyle name="Normal 14 4 3" xfId="6361"/>
    <cellStyle name="Normal 14 4 3 2" xfId="6362"/>
    <cellStyle name="Normal 14 4 4" xfId="6363"/>
    <cellStyle name="Normal 14 4 4 2" xfId="6364"/>
    <cellStyle name="Normal 14 4 5" xfId="6365"/>
    <cellStyle name="Normal 14 4 5 2" xfId="6366"/>
    <cellStyle name="Normal 14 4 6" xfId="6367"/>
    <cellStyle name="Normal 14 4 6 2" xfId="6368"/>
    <cellStyle name="Normal 14 4 7" xfId="6369"/>
    <cellStyle name="Normal 14 4 7 2" xfId="6370"/>
    <cellStyle name="Normal 14 4 8" xfId="6371"/>
    <cellStyle name="Normal 14 4 8 2" xfId="6372"/>
    <cellStyle name="Normal 14 4 9" xfId="6373"/>
    <cellStyle name="Normal 14 4 9 2" xfId="6374"/>
    <cellStyle name="Normal 14 5" xfId="6375"/>
    <cellStyle name="Normal 14 5 10" xfId="6376"/>
    <cellStyle name="Normal 14 5 10 2" xfId="6377"/>
    <cellStyle name="Normal 14 5 11" xfId="6378"/>
    <cellStyle name="Normal 14 5 2" xfId="6379"/>
    <cellStyle name="Normal 14 5 2 2" xfId="6380"/>
    <cellStyle name="Normal 14 5 3" xfId="6381"/>
    <cellStyle name="Normal 14 5 3 2" xfId="6382"/>
    <cellStyle name="Normal 14 5 4" xfId="6383"/>
    <cellStyle name="Normal 14 5 4 2" xfId="6384"/>
    <cellStyle name="Normal 14 5 5" xfId="6385"/>
    <cellStyle name="Normal 14 5 5 2" xfId="6386"/>
    <cellStyle name="Normal 14 5 6" xfId="6387"/>
    <cellStyle name="Normal 14 5 6 2" xfId="6388"/>
    <cellStyle name="Normal 14 5 7" xfId="6389"/>
    <cellStyle name="Normal 14 5 7 2" xfId="6390"/>
    <cellStyle name="Normal 14 5 8" xfId="6391"/>
    <cellStyle name="Normal 14 5 8 2" xfId="6392"/>
    <cellStyle name="Normal 14 5 9" xfId="6393"/>
    <cellStyle name="Normal 14 5 9 2" xfId="6394"/>
    <cellStyle name="Normal 14 6" xfId="6395"/>
    <cellStyle name="Normal 14 6 2" xfId="6396"/>
    <cellStyle name="Normal 14 7" xfId="6397"/>
    <cellStyle name="Normal 14 7 2" xfId="6398"/>
    <cellStyle name="Normal 14 8" xfId="6399"/>
    <cellStyle name="Normal 14 8 2" xfId="6400"/>
    <cellStyle name="Normal 14 9" xfId="6401"/>
    <cellStyle name="Normal 14 9 2" xfId="6402"/>
    <cellStyle name="Normal 15" xfId="6403"/>
    <cellStyle name="Normal 15 10" xfId="6404"/>
    <cellStyle name="Normal 15 10 2" xfId="6405"/>
    <cellStyle name="Normal 15 11" xfId="6406"/>
    <cellStyle name="Normal 15 11 2" xfId="6407"/>
    <cellStyle name="Normal 15 12" xfId="6408"/>
    <cellStyle name="Normal 15 12 2" xfId="6409"/>
    <cellStyle name="Normal 15 13" xfId="6410"/>
    <cellStyle name="Normal 15 13 2" xfId="6411"/>
    <cellStyle name="Normal 15 14" xfId="6412"/>
    <cellStyle name="Normal 15 14 2" xfId="6413"/>
    <cellStyle name="Normal 15 15" xfId="6414"/>
    <cellStyle name="Normal 15 2" xfId="6415"/>
    <cellStyle name="Normal 15 3" xfId="6416"/>
    <cellStyle name="Normal 15 4" xfId="6417"/>
    <cellStyle name="Normal 15 4 10" xfId="6418"/>
    <cellStyle name="Normal 15 4 10 2" xfId="6419"/>
    <cellStyle name="Normal 15 4 11" xfId="6420"/>
    <cellStyle name="Normal 15 4 11 2" xfId="6421"/>
    <cellStyle name="Normal 15 4 12" xfId="6422"/>
    <cellStyle name="Normal 15 4 2" xfId="6423"/>
    <cellStyle name="Normal 15 4 2 10" xfId="6424"/>
    <cellStyle name="Normal 15 4 2 10 2" xfId="6425"/>
    <cellStyle name="Normal 15 4 2 11" xfId="6426"/>
    <cellStyle name="Normal 15 4 2 2" xfId="6427"/>
    <cellStyle name="Normal 15 4 2 2 2" xfId="6428"/>
    <cellStyle name="Normal 15 4 2 3" xfId="6429"/>
    <cellStyle name="Normal 15 4 2 3 2" xfId="6430"/>
    <cellStyle name="Normal 15 4 2 4" xfId="6431"/>
    <cellStyle name="Normal 15 4 2 4 2" xfId="6432"/>
    <cellStyle name="Normal 15 4 2 5" xfId="6433"/>
    <cellStyle name="Normal 15 4 2 5 2" xfId="6434"/>
    <cellStyle name="Normal 15 4 2 6" xfId="6435"/>
    <cellStyle name="Normal 15 4 2 6 2" xfId="6436"/>
    <cellStyle name="Normal 15 4 2 7" xfId="6437"/>
    <cellStyle name="Normal 15 4 2 7 2" xfId="6438"/>
    <cellStyle name="Normal 15 4 2 8" xfId="6439"/>
    <cellStyle name="Normal 15 4 2 8 2" xfId="6440"/>
    <cellStyle name="Normal 15 4 2 9" xfId="6441"/>
    <cellStyle name="Normal 15 4 2 9 2" xfId="6442"/>
    <cellStyle name="Normal 15 4 3" xfId="6443"/>
    <cellStyle name="Normal 15 4 3 2" xfId="6444"/>
    <cellStyle name="Normal 15 4 4" xfId="6445"/>
    <cellStyle name="Normal 15 4 4 2" xfId="6446"/>
    <cellStyle name="Normal 15 4 5" xfId="6447"/>
    <cellStyle name="Normal 15 4 5 2" xfId="6448"/>
    <cellStyle name="Normal 15 4 6" xfId="6449"/>
    <cellStyle name="Normal 15 4 6 2" xfId="6450"/>
    <cellStyle name="Normal 15 4 7" xfId="6451"/>
    <cellStyle name="Normal 15 4 7 2" xfId="6452"/>
    <cellStyle name="Normal 15 4 8" xfId="6453"/>
    <cellStyle name="Normal 15 4 8 2" xfId="6454"/>
    <cellStyle name="Normal 15 4 9" xfId="6455"/>
    <cellStyle name="Normal 15 4 9 2" xfId="6456"/>
    <cellStyle name="Normal 15 5" xfId="6457"/>
    <cellStyle name="Normal 15 5 10" xfId="6458"/>
    <cellStyle name="Normal 15 5 10 2" xfId="6459"/>
    <cellStyle name="Normal 15 5 11" xfId="6460"/>
    <cellStyle name="Normal 15 5 2" xfId="6461"/>
    <cellStyle name="Normal 15 5 2 2" xfId="6462"/>
    <cellStyle name="Normal 15 5 3" xfId="6463"/>
    <cellStyle name="Normal 15 5 3 2" xfId="6464"/>
    <cellStyle name="Normal 15 5 4" xfId="6465"/>
    <cellStyle name="Normal 15 5 4 2" xfId="6466"/>
    <cellStyle name="Normal 15 5 5" xfId="6467"/>
    <cellStyle name="Normal 15 5 5 2" xfId="6468"/>
    <cellStyle name="Normal 15 5 6" xfId="6469"/>
    <cellStyle name="Normal 15 5 6 2" xfId="6470"/>
    <cellStyle name="Normal 15 5 7" xfId="6471"/>
    <cellStyle name="Normal 15 5 7 2" xfId="6472"/>
    <cellStyle name="Normal 15 5 8" xfId="6473"/>
    <cellStyle name="Normal 15 5 8 2" xfId="6474"/>
    <cellStyle name="Normal 15 5 9" xfId="6475"/>
    <cellStyle name="Normal 15 5 9 2" xfId="6476"/>
    <cellStyle name="Normal 15 6" xfId="6477"/>
    <cellStyle name="Normal 15 6 2" xfId="6478"/>
    <cellStyle name="Normal 15 7" xfId="6479"/>
    <cellStyle name="Normal 15 7 2" xfId="6480"/>
    <cellStyle name="Normal 15 8" xfId="6481"/>
    <cellStyle name="Normal 15 8 2" xfId="6482"/>
    <cellStyle name="Normal 15 9" xfId="6483"/>
    <cellStyle name="Normal 15 9 2" xfId="6484"/>
    <cellStyle name="Normal 16" xfId="173"/>
    <cellStyle name="Normal 16 10" xfId="6485"/>
    <cellStyle name="Normal 16 11" xfId="6486"/>
    <cellStyle name="Normal 16 12" xfId="6487"/>
    <cellStyle name="Normal 16 13" xfId="6488"/>
    <cellStyle name="Normal 16 14" xfId="6489"/>
    <cellStyle name="Normal 16 15" xfId="6490"/>
    <cellStyle name="Normal 16 2" xfId="6491"/>
    <cellStyle name="Normal 16 3" xfId="6492"/>
    <cellStyle name="Normal 16 4" xfId="6493"/>
    <cellStyle name="Normal 16 5" xfId="6494"/>
    <cellStyle name="Normal 16 6" xfId="6495"/>
    <cellStyle name="Normal 16 7" xfId="6496"/>
    <cellStyle name="Normal 16 8" xfId="6497"/>
    <cellStyle name="Normal 16 9" xfId="6498"/>
    <cellStyle name="Normal 17" xfId="6499"/>
    <cellStyle name="Normal 17 10" xfId="6500"/>
    <cellStyle name="Normal 17 10 2" xfId="6501"/>
    <cellStyle name="Normal 17 11" xfId="6502"/>
    <cellStyle name="Normal 17 11 2" xfId="6503"/>
    <cellStyle name="Normal 17 12" xfId="6504"/>
    <cellStyle name="Normal 17 12 2" xfId="6505"/>
    <cellStyle name="Normal 17 13" xfId="6506"/>
    <cellStyle name="Normal 17 2" xfId="6507"/>
    <cellStyle name="Normal 17 2 10" xfId="6508"/>
    <cellStyle name="Normal 17 2 10 2" xfId="6509"/>
    <cellStyle name="Normal 17 2 11" xfId="6510"/>
    <cellStyle name="Normal 17 2 11 2" xfId="6511"/>
    <cellStyle name="Normal 17 2 12" xfId="6512"/>
    <cellStyle name="Normal 17 2 2" xfId="6513"/>
    <cellStyle name="Normal 17 2 2 10" xfId="6514"/>
    <cellStyle name="Normal 17 2 2 10 2" xfId="6515"/>
    <cellStyle name="Normal 17 2 2 11" xfId="6516"/>
    <cellStyle name="Normal 17 2 2 2" xfId="6517"/>
    <cellStyle name="Normal 17 2 2 2 2" xfId="6518"/>
    <cellStyle name="Normal 17 2 2 3" xfId="6519"/>
    <cellStyle name="Normal 17 2 2 3 2" xfId="6520"/>
    <cellStyle name="Normal 17 2 2 4" xfId="6521"/>
    <cellStyle name="Normal 17 2 2 4 2" xfId="6522"/>
    <cellStyle name="Normal 17 2 2 5" xfId="6523"/>
    <cellStyle name="Normal 17 2 2 5 2" xfId="6524"/>
    <cellStyle name="Normal 17 2 2 6" xfId="6525"/>
    <cellStyle name="Normal 17 2 2 6 2" xfId="6526"/>
    <cellStyle name="Normal 17 2 2 7" xfId="6527"/>
    <cellStyle name="Normal 17 2 2 7 2" xfId="6528"/>
    <cellStyle name="Normal 17 2 2 8" xfId="6529"/>
    <cellStyle name="Normal 17 2 2 8 2" xfId="6530"/>
    <cellStyle name="Normal 17 2 2 9" xfId="6531"/>
    <cellStyle name="Normal 17 2 2 9 2" xfId="6532"/>
    <cellStyle name="Normal 17 2 3" xfId="6533"/>
    <cellStyle name="Normal 17 2 3 2" xfId="6534"/>
    <cellStyle name="Normal 17 2 4" xfId="6535"/>
    <cellStyle name="Normal 17 2 4 2" xfId="6536"/>
    <cellStyle name="Normal 17 2 5" xfId="6537"/>
    <cellStyle name="Normal 17 2 5 2" xfId="6538"/>
    <cellStyle name="Normal 17 2 6" xfId="6539"/>
    <cellStyle name="Normal 17 2 6 2" xfId="6540"/>
    <cellStyle name="Normal 17 2 7" xfId="6541"/>
    <cellStyle name="Normal 17 2 7 2" xfId="6542"/>
    <cellStyle name="Normal 17 2 8" xfId="6543"/>
    <cellStyle name="Normal 17 2 8 2" xfId="6544"/>
    <cellStyle name="Normal 17 2 9" xfId="6545"/>
    <cellStyle name="Normal 17 2 9 2" xfId="6546"/>
    <cellStyle name="Normal 17 3" xfId="6547"/>
    <cellStyle name="Normal 17 3 10" xfId="6548"/>
    <cellStyle name="Normal 17 3 10 2" xfId="6549"/>
    <cellStyle name="Normal 17 3 11" xfId="6550"/>
    <cellStyle name="Normal 17 3 2" xfId="6551"/>
    <cellStyle name="Normal 17 3 2 2" xfId="6552"/>
    <cellStyle name="Normal 17 3 3" xfId="6553"/>
    <cellStyle name="Normal 17 3 3 2" xfId="6554"/>
    <cellStyle name="Normal 17 3 4" xfId="6555"/>
    <cellStyle name="Normal 17 3 4 2" xfId="6556"/>
    <cellStyle name="Normal 17 3 5" xfId="6557"/>
    <cellStyle name="Normal 17 3 5 2" xfId="6558"/>
    <cellStyle name="Normal 17 3 6" xfId="6559"/>
    <cellStyle name="Normal 17 3 6 2" xfId="6560"/>
    <cellStyle name="Normal 17 3 7" xfId="6561"/>
    <cellStyle name="Normal 17 3 7 2" xfId="6562"/>
    <cellStyle name="Normal 17 3 8" xfId="6563"/>
    <cellStyle name="Normal 17 3 8 2" xfId="6564"/>
    <cellStyle name="Normal 17 3 9" xfId="6565"/>
    <cellStyle name="Normal 17 3 9 2" xfId="6566"/>
    <cellStyle name="Normal 17 4" xfId="6567"/>
    <cellStyle name="Normal 17 4 2" xfId="6568"/>
    <cellStyle name="Normal 17 5" xfId="6569"/>
    <cellStyle name="Normal 17 5 2" xfId="6570"/>
    <cellStyle name="Normal 17 6" xfId="6571"/>
    <cellStyle name="Normal 17 6 2" xfId="6572"/>
    <cellStyle name="Normal 17 7" xfId="6573"/>
    <cellStyle name="Normal 17 7 2" xfId="6574"/>
    <cellStyle name="Normal 17 8" xfId="6575"/>
    <cellStyle name="Normal 17 8 2" xfId="6576"/>
    <cellStyle name="Normal 17 9" xfId="6577"/>
    <cellStyle name="Normal 17 9 2" xfId="6578"/>
    <cellStyle name="Normal 18" xfId="174"/>
    <cellStyle name="Normal 18 10" xfId="6579"/>
    <cellStyle name="Normal 18 11" xfId="6580"/>
    <cellStyle name="Normal 18 12" xfId="6581"/>
    <cellStyle name="Normal 18 13" xfId="6582"/>
    <cellStyle name="Normal 18 14" xfId="6583"/>
    <cellStyle name="Normal 18 15" xfId="6584"/>
    <cellStyle name="Normal 18 16" xfId="6585"/>
    <cellStyle name="Normal 18 2" xfId="175"/>
    <cellStyle name="Normal 18 2 10" xfId="6586"/>
    <cellStyle name="Normal 18 2 11" xfId="6587"/>
    <cellStyle name="Normal 18 2 12" xfId="6588"/>
    <cellStyle name="Normal 18 2 13" xfId="6589"/>
    <cellStyle name="Normal 18 2 14" xfId="6590"/>
    <cellStyle name="Normal 18 2 2" xfId="6591"/>
    <cellStyle name="Normal 18 2 3" xfId="6592"/>
    <cellStyle name="Normal 18 2 4" xfId="6593"/>
    <cellStyle name="Normal 18 2 5" xfId="6594"/>
    <cellStyle name="Normal 18 2 6" xfId="6595"/>
    <cellStyle name="Normal 18 2 7" xfId="6596"/>
    <cellStyle name="Normal 18 2 8" xfId="6597"/>
    <cellStyle name="Normal 18 2 9" xfId="6598"/>
    <cellStyle name="Normal 18 3" xfId="6599"/>
    <cellStyle name="Normal 18 4" xfId="6600"/>
    <cellStyle name="Normal 18 5" xfId="6601"/>
    <cellStyle name="Normal 18 6" xfId="6602"/>
    <cellStyle name="Normal 18 7" xfId="6603"/>
    <cellStyle name="Normal 18 8" xfId="6604"/>
    <cellStyle name="Normal 18 9" xfId="6605"/>
    <cellStyle name="Normal 19" xfId="176"/>
    <cellStyle name="Normal 19 10" xfId="6606"/>
    <cellStyle name="Normal 19 11" xfId="6607"/>
    <cellStyle name="Normal 19 12" xfId="6608"/>
    <cellStyle name="Normal 19 13" xfId="6609"/>
    <cellStyle name="Normal 19 14" xfId="6610"/>
    <cellStyle name="Normal 19 15" xfId="6611"/>
    <cellStyle name="Normal 19 2" xfId="6612"/>
    <cellStyle name="Normal 19 3" xfId="6613"/>
    <cellStyle name="Normal 19 4" xfId="6614"/>
    <cellStyle name="Normal 19 5" xfId="6615"/>
    <cellStyle name="Normal 19 6" xfId="6616"/>
    <cellStyle name="Normal 19 7" xfId="6617"/>
    <cellStyle name="Normal 19 8" xfId="6618"/>
    <cellStyle name="Normal 19 9" xfId="6619"/>
    <cellStyle name="Normal 2" xfId="177"/>
    <cellStyle name="Normal 2 10" xfId="6620"/>
    <cellStyle name="Normal 2 10 10" xfId="6621"/>
    <cellStyle name="Normal 2 10 10 2" xfId="6622"/>
    <cellStyle name="Normal 2 10 11" xfId="6623"/>
    <cellStyle name="Normal 2 10 11 2" xfId="6624"/>
    <cellStyle name="Normal 2 10 12" xfId="6625"/>
    <cellStyle name="Normal 2 10 12 2" xfId="6626"/>
    <cellStyle name="Normal 2 10 13" xfId="6627"/>
    <cellStyle name="Normal 2 10 2" xfId="6628"/>
    <cellStyle name="Normal 2 10 2 10" xfId="6629"/>
    <cellStyle name="Normal 2 10 2 10 2" xfId="6630"/>
    <cellStyle name="Normal 2 10 2 11" xfId="6631"/>
    <cellStyle name="Normal 2 10 2 11 2" xfId="6632"/>
    <cellStyle name="Normal 2 10 2 12" xfId="6633"/>
    <cellStyle name="Normal 2 10 2 2" xfId="6634"/>
    <cellStyle name="Normal 2 10 2 2 10" xfId="6635"/>
    <cellStyle name="Normal 2 10 2 2 10 2" xfId="6636"/>
    <cellStyle name="Normal 2 10 2 2 11" xfId="6637"/>
    <cellStyle name="Normal 2 10 2 2 2" xfId="6638"/>
    <cellStyle name="Normal 2 10 2 2 2 2" xfId="6639"/>
    <cellStyle name="Normal 2 10 2 2 3" xfId="6640"/>
    <cellStyle name="Normal 2 10 2 2 3 2" xfId="6641"/>
    <cellStyle name="Normal 2 10 2 2 4" xfId="6642"/>
    <cellStyle name="Normal 2 10 2 2 4 2" xfId="6643"/>
    <cellStyle name="Normal 2 10 2 2 5" xfId="6644"/>
    <cellStyle name="Normal 2 10 2 2 5 2" xfId="6645"/>
    <cellStyle name="Normal 2 10 2 2 6" xfId="6646"/>
    <cellStyle name="Normal 2 10 2 2 6 2" xfId="6647"/>
    <cellStyle name="Normal 2 10 2 2 7" xfId="6648"/>
    <cellStyle name="Normal 2 10 2 2 7 2" xfId="6649"/>
    <cellStyle name="Normal 2 10 2 2 8" xfId="6650"/>
    <cellStyle name="Normal 2 10 2 2 8 2" xfId="6651"/>
    <cellStyle name="Normal 2 10 2 2 9" xfId="6652"/>
    <cellStyle name="Normal 2 10 2 2 9 2" xfId="6653"/>
    <cellStyle name="Normal 2 10 2 3" xfId="6654"/>
    <cellStyle name="Normal 2 10 2 3 2" xfId="6655"/>
    <cellStyle name="Normal 2 10 2 4" xfId="6656"/>
    <cellStyle name="Normal 2 10 2 4 2" xfId="6657"/>
    <cellStyle name="Normal 2 10 2 5" xfId="6658"/>
    <cellStyle name="Normal 2 10 2 5 2" xfId="6659"/>
    <cellStyle name="Normal 2 10 2 6" xfId="6660"/>
    <cellStyle name="Normal 2 10 2 6 2" xfId="6661"/>
    <cellStyle name="Normal 2 10 2 7" xfId="6662"/>
    <cellStyle name="Normal 2 10 2 7 2" xfId="6663"/>
    <cellStyle name="Normal 2 10 2 8" xfId="6664"/>
    <cellStyle name="Normal 2 10 2 8 2" xfId="6665"/>
    <cellStyle name="Normal 2 10 2 9" xfId="6666"/>
    <cellStyle name="Normal 2 10 2 9 2" xfId="6667"/>
    <cellStyle name="Normal 2 10 3" xfId="6668"/>
    <cellStyle name="Normal 2 10 3 10" xfId="6669"/>
    <cellStyle name="Normal 2 10 3 10 2" xfId="6670"/>
    <cellStyle name="Normal 2 10 3 11" xfId="6671"/>
    <cellStyle name="Normal 2 10 3 2" xfId="6672"/>
    <cellStyle name="Normal 2 10 3 2 2" xfId="6673"/>
    <cellStyle name="Normal 2 10 3 3" xfId="6674"/>
    <cellStyle name="Normal 2 10 3 3 2" xfId="6675"/>
    <cellStyle name="Normal 2 10 3 4" xfId="6676"/>
    <cellStyle name="Normal 2 10 3 4 2" xfId="6677"/>
    <cellStyle name="Normal 2 10 3 5" xfId="6678"/>
    <cellStyle name="Normal 2 10 3 5 2" xfId="6679"/>
    <cellStyle name="Normal 2 10 3 6" xfId="6680"/>
    <cellStyle name="Normal 2 10 3 6 2" xfId="6681"/>
    <cellStyle name="Normal 2 10 3 7" xfId="6682"/>
    <cellStyle name="Normal 2 10 3 7 2" xfId="6683"/>
    <cellStyle name="Normal 2 10 3 8" xfId="6684"/>
    <cellStyle name="Normal 2 10 3 8 2" xfId="6685"/>
    <cellStyle name="Normal 2 10 3 9" xfId="6686"/>
    <cellStyle name="Normal 2 10 3 9 2" xfId="6687"/>
    <cellStyle name="Normal 2 10 4" xfId="6688"/>
    <cellStyle name="Normal 2 10 4 2" xfId="6689"/>
    <cellStyle name="Normal 2 10 5" xfId="6690"/>
    <cellStyle name="Normal 2 10 5 2" xfId="6691"/>
    <cellStyle name="Normal 2 10 6" xfId="6692"/>
    <cellStyle name="Normal 2 10 6 2" xfId="6693"/>
    <cellStyle name="Normal 2 10 7" xfId="6694"/>
    <cellStyle name="Normal 2 10 7 2" xfId="6695"/>
    <cellStyle name="Normal 2 10 8" xfId="6696"/>
    <cellStyle name="Normal 2 10 8 2" xfId="6697"/>
    <cellStyle name="Normal 2 10 9" xfId="6698"/>
    <cellStyle name="Normal 2 10 9 2" xfId="6699"/>
    <cellStyle name="Normal 2 11" xfId="6700"/>
    <cellStyle name="Normal 2 11 2" xfId="6701"/>
    <cellStyle name="Normal 2 11 2 10" xfId="6702"/>
    <cellStyle name="Normal 2 11 2 10 2" xfId="6703"/>
    <cellStyle name="Normal 2 11 2 11" xfId="6704"/>
    <cellStyle name="Normal 2 11 2 11 2" xfId="6705"/>
    <cellStyle name="Normal 2 11 2 12" xfId="6706"/>
    <cellStyle name="Normal 2 11 2 12 2" xfId="6707"/>
    <cellStyle name="Normal 2 11 2 13" xfId="6708"/>
    <cellStyle name="Normal 2 11 2 13 2" xfId="6709"/>
    <cellStyle name="Normal 2 11 2 14" xfId="6710"/>
    <cellStyle name="Normal 2 11 2 14 2" xfId="6711"/>
    <cellStyle name="Normal 2 11 2 15" xfId="6712"/>
    <cellStyle name="Normal 2 11 2 15 2" xfId="6713"/>
    <cellStyle name="Normal 2 11 2 16" xfId="6714"/>
    <cellStyle name="Normal 2 11 2 16 2" xfId="6715"/>
    <cellStyle name="Normal 2 11 2 17" xfId="6716"/>
    <cellStyle name="Normal 2 11 2 2" xfId="6717"/>
    <cellStyle name="Normal 2 11 2 2 2" xfId="6718"/>
    <cellStyle name="Normal 2 11 2 2 2 10" xfId="6719"/>
    <cellStyle name="Normal 2 11 2 2 2 10 2" xfId="6720"/>
    <cellStyle name="Normal 2 11 2 2 2 11" xfId="6721"/>
    <cellStyle name="Normal 2 11 2 2 2 11 2" xfId="6722"/>
    <cellStyle name="Normal 2 11 2 2 2 12" xfId="6723"/>
    <cellStyle name="Normal 2 11 2 2 2 12 2" xfId="6724"/>
    <cellStyle name="Normal 2 11 2 2 2 13" xfId="6725"/>
    <cellStyle name="Normal 2 11 2 2 2 2" xfId="6726"/>
    <cellStyle name="Normal 2 11 2 2 2 2 10" xfId="6727"/>
    <cellStyle name="Normal 2 11 2 2 2 2 10 2" xfId="6728"/>
    <cellStyle name="Normal 2 11 2 2 2 2 11" xfId="6729"/>
    <cellStyle name="Normal 2 11 2 2 2 2 11 2" xfId="6730"/>
    <cellStyle name="Normal 2 11 2 2 2 2 12" xfId="6731"/>
    <cellStyle name="Normal 2 11 2 2 2 2 2" xfId="6732"/>
    <cellStyle name="Normal 2 11 2 2 2 2 2 10" xfId="6733"/>
    <cellStyle name="Normal 2 11 2 2 2 2 2 10 2" xfId="6734"/>
    <cellStyle name="Normal 2 11 2 2 2 2 2 11" xfId="6735"/>
    <cellStyle name="Normal 2 11 2 2 2 2 2 2" xfId="6736"/>
    <cellStyle name="Normal 2 11 2 2 2 2 2 2 2" xfId="6737"/>
    <cellStyle name="Normal 2 11 2 2 2 2 2 3" xfId="6738"/>
    <cellStyle name="Normal 2 11 2 2 2 2 2 3 2" xfId="6739"/>
    <cellStyle name="Normal 2 11 2 2 2 2 2 4" xfId="6740"/>
    <cellStyle name="Normal 2 11 2 2 2 2 2 4 2" xfId="6741"/>
    <cellStyle name="Normal 2 11 2 2 2 2 2 5" xfId="6742"/>
    <cellStyle name="Normal 2 11 2 2 2 2 2 5 2" xfId="6743"/>
    <cellStyle name="Normal 2 11 2 2 2 2 2 6" xfId="6744"/>
    <cellStyle name="Normal 2 11 2 2 2 2 2 6 2" xfId="6745"/>
    <cellStyle name="Normal 2 11 2 2 2 2 2 7" xfId="6746"/>
    <cellStyle name="Normal 2 11 2 2 2 2 2 7 2" xfId="6747"/>
    <cellStyle name="Normal 2 11 2 2 2 2 2 8" xfId="6748"/>
    <cellStyle name="Normal 2 11 2 2 2 2 2 8 2" xfId="6749"/>
    <cellStyle name="Normal 2 11 2 2 2 2 2 9" xfId="6750"/>
    <cellStyle name="Normal 2 11 2 2 2 2 2 9 2" xfId="6751"/>
    <cellStyle name="Normal 2 11 2 2 2 2 3" xfId="6752"/>
    <cellStyle name="Normal 2 11 2 2 2 2 3 2" xfId="6753"/>
    <cellStyle name="Normal 2 11 2 2 2 2 4" xfId="6754"/>
    <cellStyle name="Normal 2 11 2 2 2 2 4 2" xfId="6755"/>
    <cellStyle name="Normal 2 11 2 2 2 2 5" xfId="6756"/>
    <cellStyle name="Normal 2 11 2 2 2 2 5 2" xfId="6757"/>
    <cellStyle name="Normal 2 11 2 2 2 2 6" xfId="6758"/>
    <cellStyle name="Normal 2 11 2 2 2 2 6 2" xfId="6759"/>
    <cellStyle name="Normal 2 11 2 2 2 2 7" xfId="6760"/>
    <cellStyle name="Normal 2 11 2 2 2 2 7 2" xfId="6761"/>
    <cellStyle name="Normal 2 11 2 2 2 2 8" xfId="6762"/>
    <cellStyle name="Normal 2 11 2 2 2 2 8 2" xfId="6763"/>
    <cellStyle name="Normal 2 11 2 2 2 2 9" xfId="6764"/>
    <cellStyle name="Normal 2 11 2 2 2 2 9 2" xfId="6765"/>
    <cellStyle name="Normal 2 11 2 2 2 3" xfId="6766"/>
    <cellStyle name="Normal 2 11 2 2 2 3 10" xfId="6767"/>
    <cellStyle name="Normal 2 11 2 2 2 3 10 2" xfId="6768"/>
    <cellStyle name="Normal 2 11 2 2 2 3 11" xfId="6769"/>
    <cellStyle name="Normal 2 11 2 2 2 3 2" xfId="6770"/>
    <cellStyle name="Normal 2 11 2 2 2 3 2 2" xfId="6771"/>
    <cellStyle name="Normal 2 11 2 2 2 3 3" xfId="6772"/>
    <cellStyle name="Normal 2 11 2 2 2 3 3 2" xfId="6773"/>
    <cellStyle name="Normal 2 11 2 2 2 3 4" xfId="6774"/>
    <cellStyle name="Normal 2 11 2 2 2 3 4 2" xfId="6775"/>
    <cellStyle name="Normal 2 11 2 2 2 3 5" xfId="6776"/>
    <cellStyle name="Normal 2 11 2 2 2 3 5 2" xfId="6777"/>
    <cellStyle name="Normal 2 11 2 2 2 3 6" xfId="6778"/>
    <cellStyle name="Normal 2 11 2 2 2 3 6 2" xfId="6779"/>
    <cellStyle name="Normal 2 11 2 2 2 3 7" xfId="6780"/>
    <cellStyle name="Normal 2 11 2 2 2 3 7 2" xfId="6781"/>
    <cellStyle name="Normal 2 11 2 2 2 3 8" xfId="6782"/>
    <cellStyle name="Normal 2 11 2 2 2 3 8 2" xfId="6783"/>
    <cellStyle name="Normal 2 11 2 2 2 3 9" xfId="6784"/>
    <cellStyle name="Normal 2 11 2 2 2 3 9 2" xfId="6785"/>
    <cellStyle name="Normal 2 11 2 2 2 4" xfId="6786"/>
    <cellStyle name="Normal 2 11 2 2 2 4 2" xfId="6787"/>
    <cellStyle name="Normal 2 11 2 2 2 5" xfId="6788"/>
    <cellStyle name="Normal 2 11 2 2 2 5 2" xfId="6789"/>
    <cellStyle name="Normal 2 11 2 2 2 6" xfId="6790"/>
    <cellStyle name="Normal 2 11 2 2 2 6 2" xfId="6791"/>
    <cellStyle name="Normal 2 11 2 2 2 7" xfId="6792"/>
    <cellStyle name="Normal 2 11 2 2 2 7 2" xfId="6793"/>
    <cellStyle name="Normal 2 11 2 2 2 8" xfId="6794"/>
    <cellStyle name="Normal 2 11 2 2 2 8 2" xfId="6795"/>
    <cellStyle name="Normal 2 11 2 2 2 9" xfId="6796"/>
    <cellStyle name="Normal 2 11 2 2 2 9 2" xfId="6797"/>
    <cellStyle name="Normal 2 11 2 2 3" xfId="6798"/>
    <cellStyle name="Normal 2 11 2 2 3 10" xfId="6799"/>
    <cellStyle name="Normal 2 11 2 2 3 10 2" xfId="6800"/>
    <cellStyle name="Normal 2 11 2 2 3 11" xfId="6801"/>
    <cellStyle name="Normal 2 11 2 2 3 11 2" xfId="6802"/>
    <cellStyle name="Normal 2 11 2 2 3 12" xfId="6803"/>
    <cellStyle name="Normal 2 11 2 2 3 12 2" xfId="6804"/>
    <cellStyle name="Normal 2 11 2 2 3 13" xfId="6805"/>
    <cellStyle name="Normal 2 11 2 2 3 2" xfId="6806"/>
    <cellStyle name="Normal 2 11 2 2 3 2 10" xfId="6807"/>
    <cellStyle name="Normal 2 11 2 2 3 2 10 2" xfId="6808"/>
    <cellStyle name="Normal 2 11 2 2 3 2 11" xfId="6809"/>
    <cellStyle name="Normal 2 11 2 2 3 2 11 2" xfId="6810"/>
    <cellStyle name="Normal 2 11 2 2 3 2 12" xfId="6811"/>
    <cellStyle name="Normal 2 11 2 2 3 2 2" xfId="6812"/>
    <cellStyle name="Normal 2 11 2 2 3 2 2 10" xfId="6813"/>
    <cellStyle name="Normal 2 11 2 2 3 2 2 10 2" xfId="6814"/>
    <cellStyle name="Normal 2 11 2 2 3 2 2 11" xfId="6815"/>
    <cellStyle name="Normal 2 11 2 2 3 2 2 2" xfId="6816"/>
    <cellStyle name="Normal 2 11 2 2 3 2 2 2 2" xfId="6817"/>
    <cellStyle name="Normal 2 11 2 2 3 2 2 3" xfId="6818"/>
    <cellStyle name="Normal 2 11 2 2 3 2 2 3 2" xfId="6819"/>
    <cellStyle name="Normal 2 11 2 2 3 2 2 4" xfId="6820"/>
    <cellStyle name="Normal 2 11 2 2 3 2 2 4 2" xfId="6821"/>
    <cellStyle name="Normal 2 11 2 2 3 2 2 5" xfId="6822"/>
    <cellStyle name="Normal 2 11 2 2 3 2 2 5 2" xfId="6823"/>
    <cellStyle name="Normal 2 11 2 2 3 2 2 6" xfId="6824"/>
    <cellStyle name="Normal 2 11 2 2 3 2 2 6 2" xfId="6825"/>
    <cellStyle name="Normal 2 11 2 2 3 2 2 7" xfId="6826"/>
    <cellStyle name="Normal 2 11 2 2 3 2 2 7 2" xfId="6827"/>
    <cellStyle name="Normal 2 11 2 2 3 2 2 8" xfId="6828"/>
    <cellStyle name="Normal 2 11 2 2 3 2 2 8 2" xfId="6829"/>
    <cellStyle name="Normal 2 11 2 2 3 2 2 9" xfId="6830"/>
    <cellStyle name="Normal 2 11 2 2 3 2 2 9 2" xfId="6831"/>
    <cellStyle name="Normal 2 11 2 2 3 2 3" xfId="6832"/>
    <cellStyle name="Normal 2 11 2 2 3 2 3 2" xfId="6833"/>
    <cellStyle name="Normal 2 11 2 2 3 2 4" xfId="6834"/>
    <cellStyle name="Normal 2 11 2 2 3 2 4 2" xfId="6835"/>
    <cellStyle name="Normal 2 11 2 2 3 2 5" xfId="6836"/>
    <cellStyle name="Normal 2 11 2 2 3 2 5 2" xfId="6837"/>
    <cellStyle name="Normal 2 11 2 2 3 2 6" xfId="6838"/>
    <cellStyle name="Normal 2 11 2 2 3 2 6 2" xfId="6839"/>
    <cellStyle name="Normal 2 11 2 2 3 2 7" xfId="6840"/>
    <cellStyle name="Normal 2 11 2 2 3 2 7 2" xfId="6841"/>
    <cellStyle name="Normal 2 11 2 2 3 2 8" xfId="6842"/>
    <cellStyle name="Normal 2 11 2 2 3 2 8 2" xfId="6843"/>
    <cellStyle name="Normal 2 11 2 2 3 2 9" xfId="6844"/>
    <cellStyle name="Normal 2 11 2 2 3 2 9 2" xfId="6845"/>
    <cellStyle name="Normal 2 11 2 2 3 3" xfId="6846"/>
    <cellStyle name="Normal 2 11 2 2 3 3 10" xfId="6847"/>
    <cellStyle name="Normal 2 11 2 2 3 3 10 2" xfId="6848"/>
    <cellStyle name="Normal 2 11 2 2 3 3 11" xfId="6849"/>
    <cellStyle name="Normal 2 11 2 2 3 3 2" xfId="6850"/>
    <cellStyle name="Normal 2 11 2 2 3 3 2 2" xfId="6851"/>
    <cellStyle name="Normal 2 11 2 2 3 3 3" xfId="6852"/>
    <cellStyle name="Normal 2 11 2 2 3 3 3 2" xfId="6853"/>
    <cellStyle name="Normal 2 11 2 2 3 3 4" xfId="6854"/>
    <cellStyle name="Normal 2 11 2 2 3 3 4 2" xfId="6855"/>
    <cellStyle name="Normal 2 11 2 2 3 3 5" xfId="6856"/>
    <cellStyle name="Normal 2 11 2 2 3 3 5 2" xfId="6857"/>
    <cellStyle name="Normal 2 11 2 2 3 3 6" xfId="6858"/>
    <cellStyle name="Normal 2 11 2 2 3 3 6 2" xfId="6859"/>
    <cellStyle name="Normal 2 11 2 2 3 3 7" xfId="6860"/>
    <cellStyle name="Normal 2 11 2 2 3 3 7 2" xfId="6861"/>
    <cellStyle name="Normal 2 11 2 2 3 3 8" xfId="6862"/>
    <cellStyle name="Normal 2 11 2 2 3 3 8 2" xfId="6863"/>
    <cellStyle name="Normal 2 11 2 2 3 3 9" xfId="6864"/>
    <cellStyle name="Normal 2 11 2 2 3 3 9 2" xfId="6865"/>
    <cellStyle name="Normal 2 11 2 2 3 4" xfId="6866"/>
    <cellStyle name="Normal 2 11 2 2 3 4 2" xfId="6867"/>
    <cellStyle name="Normal 2 11 2 2 3 5" xfId="6868"/>
    <cellStyle name="Normal 2 11 2 2 3 5 2" xfId="6869"/>
    <cellStyle name="Normal 2 11 2 2 3 6" xfId="6870"/>
    <cellStyle name="Normal 2 11 2 2 3 6 2" xfId="6871"/>
    <cellStyle name="Normal 2 11 2 2 3 7" xfId="6872"/>
    <cellStyle name="Normal 2 11 2 2 3 7 2" xfId="6873"/>
    <cellStyle name="Normal 2 11 2 2 3 8" xfId="6874"/>
    <cellStyle name="Normal 2 11 2 2 3 8 2" xfId="6875"/>
    <cellStyle name="Normal 2 11 2 2 3 9" xfId="6876"/>
    <cellStyle name="Normal 2 11 2 2 3 9 2" xfId="6877"/>
    <cellStyle name="Normal 2 11 2 2 4" xfId="6878"/>
    <cellStyle name="Normal 2 11 2 2 4 10" xfId="6879"/>
    <cellStyle name="Normal 2 11 2 2 4 10 2" xfId="6880"/>
    <cellStyle name="Normal 2 11 2 2 4 11" xfId="6881"/>
    <cellStyle name="Normal 2 11 2 2 4 11 2" xfId="6882"/>
    <cellStyle name="Normal 2 11 2 2 4 12" xfId="6883"/>
    <cellStyle name="Normal 2 11 2 2 4 12 2" xfId="6884"/>
    <cellStyle name="Normal 2 11 2 2 4 13" xfId="6885"/>
    <cellStyle name="Normal 2 11 2 2 4 2" xfId="6886"/>
    <cellStyle name="Normal 2 11 2 2 4 2 10" xfId="6887"/>
    <cellStyle name="Normal 2 11 2 2 4 2 10 2" xfId="6888"/>
    <cellStyle name="Normal 2 11 2 2 4 2 11" xfId="6889"/>
    <cellStyle name="Normal 2 11 2 2 4 2 11 2" xfId="6890"/>
    <cellStyle name="Normal 2 11 2 2 4 2 12" xfId="6891"/>
    <cellStyle name="Normal 2 11 2 2 4 2 2" xfId="6892"/>
    <cellStyle name="Normal 2 11 2 2 4 2 2 10" xfId="6893"/>
    <cellStyle name="Normal 2 11 2 2 4 2 2 10 2" xfId="6894"/>
    <cellStyle name="Normal 2 11 2 2 4 2 2 11" xfId="6895"/>
    <cellStyle name="Normal 2 11 2 2 4 2 2 2" xfId="6896"/>
    <cellStyle name="Normal 2 11 2 2 4 2 2 2 2" xfId="6897"/>
    <cellStyle name="Normal 2 11 2 2 4 2 2 3" xfId="6898"/>
    <cellStyle name="Normal 2 11 2 2 4 2 2 3 2" xfId="6899"/>
    <cellStyle name="Normal 2 11 2 2 4 2 2 4" xfId="6900"/>
    <cellStyle name="Normal 2 11 2 2 4 2 2 4 2" xfId="6901"/>
    <cellStyle name="Normal 2 11 2 2 4 2 2 5" xfId="6902"/>
    <cellStyle name="Normal 2 11 2 2 4 2 2 5 2" xfId="6903"/>
    <cellStyle name="Normal 2 11 2 2 4 2 2 6" xfId="6904"/>
    <cellStyle name="Normal 2 11 2 2 4 2 2 6 2" xfId="6905"/>
    <cellStyle name="Normal 2 11 2 2 4 2 2 7" xfId="6906"/>
    <cellStyle name="Normal 2 11 2 2 4 2 2 7 2" xfId="6907"/>
    <cellStyle name="Normal 2 11 2 2 4 2 2 8" xfId="6908"/>
    <cellStyle name="Normal 2 11 2 2 4 2 2 8 2" xfId="6909"/>
    <cellStyle name="Normal 2 11 2 2 4 2 2 9" xfId="6910"/>
    <cellStyle name="Normal 2 11 2 2 4 2 2 9 2" xfId="6911"/>
    <cellStyle name="Normal 2 11 2 2 4 2 3" xfId="6912"/>
    <cellStyle name="Normal 2 11 2 2 4 2 3 2" xfId="6913"/>
    <cellStyle name="Normal 2 11 2 2 4 2 4" xfId="6914"/>
    <cellStyle name="Normal 2 11 2 2 4 2 4 2" xfId="6915"/>
    <cellStyle name="Normal 2 11 2 2 4 2 5" xfId="6916"/>
    <cellStyle name="Normal 2 11 2 2 4 2 5 2" xfId="6917"/>
    <cellStyle name="Normal 2 11 2 2 4 2 6" xfId="6918"/>
    <cellStyle name="Normal 2 11 2 2 4 2 6 2" xfId="6919"/>
    <cellStyle name="Normal 2 11 2 2 4 2 7" xfId="6920"/>
    <cellStyle name="Normal 2 11 2 2 4 2 7 2" xfId="6921"/>
    <cellStyle name="Normal 2 11 2 2 4 2 8" xfId="6922"/>
    <cellStyle name="Normal 2 11 2 2 4 2 8 2" xfId="6923"/>
    <cellStyle name="Normal 2 11 2 2 4 2 9" xfId="6924"/>
    <cellStyle name="Normal 2 11 2 2 4 2 9 2" xfId="6925"/>
    <cellStyle name="Normal 2 11 2 2 4 3" xfId="6926"/>
    <cellStyle name="Normal 2 11 2 2 4 3 10" xfId="6927"/>
    <cellStyle name="Normal 2 11 2 2 4 3 10 2" xfId="6928"/>
    <cellStyle name="Normal 2 11 2 2 4 3 11" xfId="6929"/>
    <cellStyle name="Normal 2 11 2 2 4 3 2" xfId="6930"/>
    <cellStyle name="Normal 2 11 2 2 4 3 2 2" xfId="6931"/>
    <cellStyle name="Normal 2 11 2 2 4 3 3" xfId="6932"/>
    <cellStyle name="Normal 2 11 2 2 4 3 3 2" xfId="6933"/>
    <cellStyle name="Normal 2 11 2 2 4 3 4" xfId="6934"/>
    <cellStyle name="Normal 2 11 2 2 4 3 4 2" xfId="6935"/>
    <cellStyle name="Normal 2 11 2 2 4 3 5" xfId="6936"/>
    <cellStyle name="Normal 2 11 2 2 4 3 5 2" xfId="6937"/>
    <cellStyle name="Normal 2 11 2 2 4 3 6" xfId="6938"/>
    <cellStyle name="Normal 2 11 2 2 4 3 6 2" xfId="6939"/>
    <cellStyle name="Normal 2 11 2 2 4 3 7" xfId="6940"/>
    <cellStyle name="Normal 2 11 2 2 4 3 7 2" xfId="6941"/>
    <cellStyle name="Normal 2 11 2 2 4 3 8" xfId="6942"/>
    <cellStyle name="Normal 2 11 2 2 4 3 8 2" xfId="6943"/>
    <cellStyle name="Normal 2 11 2 2 4 3 9" xfId="6944"/>
    <cellStyle name="Normal 2 11 2 2 4 3 9 2" xfId="6945"/>
    <cellStyle name="Normal 2 11 2 2 4 4" xfId="6946"/>
    <cellStyle name="Normal 2 11 2 2 4 4 2" xfId="6947"/>
    <cellStyle name="Normal 2 11 2 2 4 5" xfId="6948"/>
    <cellStyle name="Normal 2 11 2 2 4 5 2" xfId="6949"/>
    <cellStyle name="Normal 2 11 2 2 4 6" xfId="6950"/>
    <cellStyle name="Normal 2 11 2 2 4 6 2" xfId="6951"/>
    <cellStyle name="Normal 2 11 2 2 4 7" xfId="6952"/>
    <cellStyle name="Normal 2 11 2 2 4 7 2" xfId="6953"/>
    <cellStyle name="Normal 2 11 2 2 4 8" xfId="6954"/>
    <cellStyle name="Normal 2 11 2 2 4 8 2" xfId="6955"/>
    <cellStyle name="Normal 2 11 2 2 4 9" xfId="6956"/>
    <cellStyle name="Normal 2 11 2 2 4 9 2" xfId="6957"/>
    <cellStyle name="Normal 2 11 2 2 5" xfId="6958"/>
    <cellStyle name="Normal 2 11 2 2 5 10" xfId="6959"/>
    <cellStyle name="Normal 2 11 2 2 5 10 2" xfId="6960"/>
    <cellStyle name="Normal 2 11 2 2 5 11" xfId="6961"/>
    <cellStyle name="Normal 2 11 2 2 5 11 2" xfId="6962"/>
    <cellStyle name="Normal 2 11 2 2 5 12" xfId="6963"/>
    <cellStyle name="Normal 2 11 2 2 5 12 2" xfId="6964"/>
    <cellStyle name="Normal 2 11 2 2 5 13" xfId="6965"/>
    <cellStyle name="Normal 2 11 2 2 5 2" xfId="6966"/>
    <cellStyle name="Normal 2 11 2 2 5 2 10" xfId="6967"/>
    <cellStyle name="Normal 2 11 2 2 5 2 10 2" xfId="6968"/>
    <cellStyle name="Normal 2 11 2 2 5 2 11" xfId="6969"/>
    <cellStyle name="Normal 2 11 2 2 5 2 11 2" xfId="6970"/>
    <cellStyle name="Normal 2 11 2 2 5 2 12" xfId="6971"/>
    <cellStyle name="Normal 2 11 2 2 5 2 2" xfId="6972"/>
    <cellStyle name="Normal 2 11 2 2 5 2 2 10" xfId="6973"/>
    <cellStyle name="Normal 2 11 2 2 5 2 2 10 2" xfId="6974"/>
    <cellStyle name="Normal 2 11 2 2 5 2 2 11" xfId="6975"/>
    <cellStyle name="Normal 2 11 2 2 5 2 2 2" xfId="6976"/>
    <cellStyle name="Normal 2 11 2 2 5 2 2 2 2" xfId="6977"/>
    <cellStyle name="Normal 2 11 2 2 5 2 2 3" xfId="6978"/>
    <cellStyle name="Normal 2 11 2 2 5 2 2 3 2" xfId="6979"/>
    <cellStyle name="Normal 2 11 2 2 5 2 2 4" xfId="6980"/>
    <cellStyle name="Normal 2 11 2 2 5 2 2 4 2" xfId="6981"/>
    <cellStyle name="Normal 2 11 2 2 5 2 2 5" xfId="6982"/>
    <cellStyle name="Normal 2 11 2 2 5 2 2 5 2" xfId="6983"/>
    <cellStyle name="Normal 2 11 2 2 5 2 2 6" xfId="6984"/>
    <cellStyle name="Normal 2 11 2 2 5 2 2 6 2" xfId="6985"/>
    <cellStyle name="Normal 2 11 2 2 5 2 2 7" xfId="6986"/>
    <cellStyle name="Normal 2 11 2 2 5 2 2 7 2" xfId="6987"/>
    <cellStyle name="Normal 2 11 2 2 5 2 2 8" xfId="6988"/>
    <cellStyle name="Normal 2 11 2 2 5 2 2 8 2" xfId="6989"/>
    <cellStyle name="Normal 2 11 2 2 5 2 2 9" xfId="6990"/>
    <cellStyle name="Normal 2 11 2 2 5 2 2 9 2" xfId="6991"/>
    <cellStyle name="Normal 2 11 2 2 5 2 3" xfId="6992"/>
    <cellStyle name="Normal 2 11 2 2 5 2 3 2" xfId="6993"/>
    <cellStyle name="Normal 2 11 2 2 5 2 4" xfId="6994"/>
    <cellStyle name="Normal 2 11 2 2 5 2 4 2" xfId="6995"/>
    <cellStyle name="Normal 2 11 2 2 5 2 5" xfId="6996"/>
    <cellStyle name="Normal 2 11 2 2 5 2 5 2" xfId="6997"/>
    <cellStyle name="Normal 2 11 2 2 5 2 6" xfId="6998"/>
    <cellStyle name="Normal 2 11 2 2 5 2 6 2" xfId="6999"/>
    <cellStyle name="Normal 2 11 2 2 5 2 7" xfId="7000"/>
    <cellStyle name="Normal 2 11 2 2 5 2 7 2" xfId="7001"/>
    <cellStyle name="Normal 2 11 2 2 5 2 8" xfId="7002"/>
    <cellStyle name="Normal 2 11 2 2 5 2 8 2" xfId="7003"/>
    <cellStyle name="Normal 2 11 2 2 5 2 9" xfId="7004"/>
    <cellStyle name="Normal 2 11 2 2 5 2 9 2" xfId="7005"/>
    <cellStyle name="Normal 2 11 2 2 5 3" xfId="7006"/>
    <cellStyle name="Normal 2 11 2 2 5 3 10" xfId="7007"/>
    <cellStyle name="Normal 2 11 2 2 5 3 10 2" xfId="7008"/>
    <cellStyle name="Normal 2 11 2 2 5 3 11" xfId="7009"/>
    <cellStyle name="Normal 2 11 2 2 5 3 2" xfId="7010"/>
    <cellStyle name="Normal 2 11 2 2 5 3 2 2" xfId="7011"/>
    <cellStyle name="Normal 2 11 2 2 5 3 3" xfId="7012"/>
    <cellStyle name="Normal 2 11 2 2 5 3 3 2" xfId="7013"/>
    <cellStyle name="Normal 2 11 2 2 5 3 4" xfId="7014"/>
    <cellStyle name="Normal 2 11 2 2 5 3 4 2" xfId="7015"/>
    <cellStyle name="Normal 2 11 2 2 5 3 5" xfId="7016"/>
    <cellStyle name="Normal 2 11 2 2 5 3 5 2" xfId="7017"/>
    <cellStyle name="Normal 2 11 2 2 5 3 6" xfId="7018"/>
    <cellStyle name="Normal 2 11 2 2 5 3 6 2" xfId="7019"/>
    <cellStyle name="Normal 2 11 2 2 5 3 7" xfId="7020"/>
    <cellStyle name="Normal 2 11 2 2 5 3 7 2" xfId="7021"/>
    <cellStyle name="Normal 2 11 2 2 5 3 8" xfId="7022"/>
    <cellStyle name="Normal 2 11 2 2 5 3 8 2" xfId="7023"/>
    <cellStyle name="Normal 2 11 2 2 5 3 9" xfId="7024"/>
    <cellStyle name="Normal 2 11 2 2 5 3 9 2" xfId="7025"/>
    <cellStyle name="Normal 2 11 2 2 5 4" xfId="7026"/>
    <cellStyle name="Normal 2 11 2 2 5 4 2" xfId="7027"/>
    <cellStyle name="Normal 2 11 2 2 5 5" xfId="7028"/>
    <cellStyle name="Normal 2 11 2 2 5 5 2" xfId="7029"/>
    <cellStyle name="Normal 2 11 2 2 5 6" xfId="7030"/>
    <cellStyle name="Normal 2 11 2 2 5 6 2" xfId="7031"/>
    <cellStyle name="Normal 2 11 2 2 5 7" xfId="7032"/>
    <cellStyle name="Normal 2 11 2 2 5 7 2" xfId="7033"/>
    <cellStyle name="Normal 2 11 2 2 5 8" xfId="7034"/>
    <cellStyle name="Normal 2 11 2 2 5 8 2" xfId="7035"/>
    <cellStyle name="Normal 2 11 2 2 5 9" xfId="7036"/>
    <cellStyle name="Normal 2 11 2 2 5 9 2" xfId="7037"/>
    <cellStyle name="Normal 2 11 2 3" xfId="7038"/>
    <cellStyle name="Normal 2 11 2 4" xfId="7039"/>
    <cellStyle name="Normal 2 11 2 5" xfId="7040"/>
    <cellStyle name="Normal 2 11 2 6" xfId="7041"/>
    <cellStyle name="Normal 2 11 2 6 10" xfId="7042"/>
    <cellStyle name="Normal 2 11 2 6 10 2" xfId="7043"/>
    <cellStyle name="Normal 2 11 2 6 11" xfId="7044"/>
    <cellStyle name="Normal 2 11 2 6 11 2" xfId="7045"/>
    <cellStyle name="Normal 2 11 2 6 12" xfId="7046"/>
    <cellStyle name="Normal 2 11 2 6 2" xfId="7047"/>
    <cellStyle name="Normal 2 11 2 6 2 10" xfId="7048"/>
    <cellStyle name="Normal 2 11 2 6 2 10 2" xfId="7049"/>
    <cellStyle name="Normal 2 11 2 6 2 11" xfId="7050"/>
    <cellStyle name="Normal 2 11 2 6 2 2" xfId="7051"/>
    <cellStyle name="Normal 2 11 2 6 2 2 2" xfId="7052"/>
    <cellStyle name="Normal 2 11 2 6 2 3" xfId="7053"/>
    <cellStyle name="Normal 2 11 2 6 2 3 2" xfId="7054"/>
    <cellStyle name="Normal 2 11 2 6 2 4" xfId="7055"/>
    <cellStyle name="Normal 2 11 2 6 2 4 2" xfId="7056"/>
    <cellStyle name="Normal 2 11 2 6 2 5" xfId="7057"/>
    <cellStyle name="Normal 2 11 2 6 2 5 2" xfId="7058"/>
    <cellStyle name="Normal 2 11 2 6 2 6" xfId="7059"/>
    <cellStyle name="Normal 2 11 2 6 2 6 2" xfId="7060"/>
    <cellStyle name="Normal 2 11 2 6 2 7" xfId="7061"/>
    <cellStyle name="Normal 2 11 2 6 2 7 2" xfId="7062"/>
    <cellStyle name="Normal 2 11 2 6 2 8" xfId="7063"/>
    <cellStyle name="Normal 2 11 2 6 2 8 2" xfId="7064"/>
    <cellStyle name="Normal 2 11 2 6 2 9" xfId="7065"/>
    <cellStyle name="Normal 2 11 2 6 2 9 2" xfId="7066"/>
    <cellStyle name="Normal 2 11 2 6 3" xfId="7067"/>
    <cellStyle name="Normal 2 11 2 6 3 2" xfId="7068"/>
    <cellStyle name="Normal 2 11 2 6 4" xfId="7069"/>
    <cellStyle name="Normal 2 11 2 6 4 2" xfId="7070"/>
    <cellStyle name="Normal 2 11 2 6 5" xfId="7071"/>
    <cellStyle name="Normal 2 11 2 6 5 2" xfId="7072"/>
    <cellStyle name="Normal 2 11 2 6 6" xfId="7073"/>
    <cellStyle name="Normal 2 11 2 6 6 2" xfId="7074"/>
    <cellStyle name="Normal 2 11 2 6 7" xfId="7075"/>
    <cellStyle name="Normal 2 11 2 6 7 2" xfId="7076"/>
    <cellStyle name="Normal 2 11 2 6 8" xfId="7077"/>
    <cellStyle name="Normal 2 11 2 6 8 2" xfId="7078"/>
    <cellStyle name="Normal 2 11 2 6 9" xfId="7079"/>
    <cellStyle name="Normal 2 11 2 6 9 2" xfId="7080"/>
    <cellStyle name="Normal 2 11 2 7" xfId="7081"/>
    <cellStyle name="Normal 2 11 2 7 10" xfId="7082"/>
    <cellStyle name="Normal 2 11 2 7 10 2" xfId="7083"/>
    <cellStyle name="Normal 2 11 2 7 11" xfId="7084"/>
    <cellStyle name="Normal 2 11 2 7 2" xfId="7085"/>
    <cellStyle name="Normal 2 11 2 7 2 2" xfId="7086"/>
    <cellStyle name="Normal 2 11 2 7 3" xfId="7087"/>
    <cellStyle name="Normal 2 11 2 7 3 2" xfId="7088"/>
    <cellStyle name="Normal 2 11 2 7 4" xfId="7089"/>
    <cellStyle name="Normal 2 11 2 7 4 2" xfId="7090"/>
    <cellStyle name="Normal 2 11 2 7 5" xfId="7091"/>
    <cellStyle name="Normal 2 11 2 7 5 2" xfId="7092"/>
    <cellStyle name="Normal 2 11 2 7 6" xfId="7093"/>
    <cellStyle name="Normal 2 11 2 7 6 2" xfId="7094"/>
    <cellStyle name="Normal 2 11 2 7 7" xfId="7095"/>
    <cellStyle name="Normal 2 11 2 7 7 2" xfId="7096"/>
    <cellStyle name="Normal 2 11 2 7 8" xfId="7097"/>
    <cellStyle name="Normal 2 11 2 7 8 2" xfId="7098"/>
    <cellStyle name="Normal 2 11 2 7 9" xfId="7099"/>
    <cellStyle name="Normal 2 11 2 7 9 2" xfId="7100"/>
    <cellStyle name="Normal 2 11 2 8" xfId="7101"/>
    <cellStyle name="Normal 2 11 2 8 2" xfId="7102"/>
    <cellStyle name="Normal 2 11 2 9" xfId="7103"/>
    <cellStyle name="Normal 2 11 2 9 2" xfId="7104"/>
    <cellStyle name="Normal 2 11 3" xfId="7105"/>
    <cellStyle name="Normal 2 11 3 10" xfId="7106"/>
    <cellStyle name="Normal 2 11 3 10 2" xfId="7107"/>
    <cellStyle name="Normal 2 11 3 11" xfId="7108"/>
    <cellStyle name="Normal 2 11 3 11 2" xfId="7109"/>
    <cellStyle name="Normal 2 11 3 12" xfId="7110"/>
    <cellStyle name="Normal 2 11 3 12 2" xfId="7111"/>
    <cellStyle name="Normal 2 11 3 13" xfId="7112"/>
    <cellStyle name="Normal 2 11 3 2" xfId="7113"/>
    <cellStyle name="Normal 2 11 3 2 10" xfId="7114"/>
    <cellStyle name="Normal 2 11 3 2 10 2" xfId="7115"/>
    <cellStyle name="Normal 2 11 3 2 11" xfId="7116"/>
    <cellStyle name="Normal 2 11 3 2 11 2" xfId="7117"/>
    <cellStyle name="Normal 2 11 3 2 12" xfId="7118"/>
    <cellStyle name="Normal 2 11 3 2 2" xfId="7119"/>
    <cellStyle name="Normal 2 11 3 2 2 10" xfId="7120"/>
    <cellStyle name="Normal 2 11 3 2 2 10 2" xfId="7121"/>
    <cellStyle name="Normal 2 11 3 2 2 11" xfId="7122"/>
    <cellStyle name="Normal 2 11 3 2 2 2" xfId="7123"/>
    <cellStyle name="Normal 2 11 3 2 2 2 2" xfId="7124"/>
    <cellStyle name="Normal 2 11 3 2 2 3" xfId="7125"/>
    <cellStyle name="Normal 2 11 3 2 2 3 2" xfId="7126"/>
    <cellStyle name="Normal 2 11 3 2 2 4" xfId="7127"/>
    <cellStyle name="Normal 2 11 3 2 2 4 2" xfId="7128"/>
    <cellStyle name="Normal 2 11 3 2 2 5" xfId="7129"/>
    <cellStyle name="Normal 2 11 3 2 2 5 2" xfId="7130"/>
    <cellStyle name="Normal 2 11 3 2 2 6" xfId="7131"/>
    <cellStyle name="Normal 2 11 3 2 2 6 2" xfId="7132"/>
    <cellStyle name="Normal 2 11 3 2 2 7" xfId="7133"/>
    <cellStyle name="Normal 2 11 3 2 2 7 2" xfId="7134"/>
    <cellStyle name="Normal 2 11 3 2 2 8" xfId="7135"/>
    <cellStyle name="Normal 2 11 3 2 2 8 2" xfId="7136"/>
    <cellStyle name="Normal 2 11 3 2 2 9" xfId="7137"/>
    <cellStyle name="Normal 2 11 3 2 2 9 2" xfId="7138"/>
    <cellStyle name="Normal 2 11 3 2 3" xfId="7139"/>
    <cellStyle name="Normal 2 11 3 2 3 2" xfId="7140"/>
    <cellStyle name="Normal 2 11 3 2 4" xfId="7141"/>
    <cellStyle name="Normal 2 11 3 2 4 2" xfId="7142"/>
    <cellStyle name="Normal 2 11 3 2 5" xfId="7143"/>
    <cellStyle name="Normal 2 11 3 2 5 2" xfId="7144"/>
    <cellStyle name="Normal 2 11 3 2 6" xfId="7145"/>
    <cellStyle name="Normal 2 11 3 2 6 2" xfId="7146"/>
    <cellStyle name="Normal 2 11 3 2 7" xfId="7147"/>
    <cellStyle name="Normal 2 11 3 2 7 2" xfId="7148"/>
    <cellStyle name="Normal 2 11 3 2 8" xfId="7149"/>
    <cellStyle name="Normal 2 11 3 2 8 2" xfId="7150"/>
    <cellStyle name="Normal 2 11 3 2 9" xfId="7151"/>
    <cellStyle name="Normal 2 11 3 2 9 2" xfId="7152"/>
    <cellStyle name="Normal 2 11 3 3" xfId="7153"/>
    <cellStyle name="Normal 2 11 3 3 10" xfId="7154"/>
    <cellStyle name="Normal 2 11 3 3 10 2" xfId="7155"/>
    <cellStyle name="Normal 2 11 3 3 11" xfId="7156"/>
    <cellStyle name="Normal 2 11 3 3 2" xfId="7157"/>
    <cellStyle name="Normal 2 11 3 3 2 2" xfId="7158"/>
    <cellStyle name="Normal 2 11 3 3 3" xfId="7159"/>
    <cellStyle name="Normal 2 11 3 3 3 2" xfId="7160"/>
    <cellStyle name="Normal 2 11 3 3 4" xfId="7161"/>
    <cellStyle name="Normal 2 11 3 3 4 2" xfId="7162"/>
    <cellStyle name="Normal 2 11 3 3 5" xfId="7163"/>
    <cellStyle name="Normal 2 11 3 3 5 2" xfId="7164"/>
    <cellStyle name="Normal 2 11 3 3 6" xfId="7165"/>
    <cellStyle name="Normal 2 11 3 3 6 2" xfId="7166"/>
    <cellStyle name="Normal 2 11 3 3 7" xfId="7167"/>
    <cellStyle name="Normal 2 11 3 3 7 2" xfId="7168"/>
    <cellStyle name="Normal 2 11 3 3 8" xfId="7169"/>
    <cellStyle name="Normal 2 11 3 3 8 2" xfId="7170"/>
    <cellStyle name="Normal 2 11 3 3 9" xfId="7171"/>
    <cellStyle name="Normal 2 11 3 3 9 2" xfId="7172"/>
    <cellStyle name="Normal 2 11 3 4" xfId="7173"/>
    <cellStyle name="Normal 2 11 3 4 2" xfId="7174"/>
    <cellStyle name="Normal 2 11 3 5" xfId="7175"/>
    <cellStyle name="Normal 2 11 3 5 2" xfId="7176"/>
    <cellStyle name="Normal 2 11 3 6" xfId="7177"/>
    <cellStyle name="Normal 2 11 3 6 2" xfId="7178"/>
    <cellStyle name="Normal 2 11 3 7" xfId="7179"/>
    <cellStyle name="Normal 2 11 3 7 2" xfId="7180"/>
    <cellStyle name="Normal 2 11 3 8" xfId="7181"/>
    <cellStyle name="Normal 2 11 3 8 2" xfId="7182"/>
    <cellStyle name="Normal 2 11 3 9" xfId="7183"/>
    <cellStyle name="Normal 2 11 3 9 2" xfId="7184"/>
    <cellStyle name="Normal 2 11 4" xfId="7185"/>
    <cellStyle name="Normal 2 11 4 10" xfId="7186"/>
    <cellStyle name="Normal 2 11 4 10 2" xfId="7187"/>
    <cellStyle name="Normal 2 11 4 11" xfId="7188"/>
    <cellStyle name="Normal 2 11 4 11 2" xfId="7189"/>
    <cellStyle name="Normal 2 11 4 12" xfId="7190"/>
    <cellStyle name="Normal 2 11 4 12 2" xfId="7191"/>
    <cellStyle name="Normal 2 11 4 13" xfId="7192"/>
    <cellStyle name="Normal 2 11 4 2" xfId="7193"/>
    <cellStyle name="Normal 2 11 4 2 10" xfId="7194"/>
    <cellStyle name="Normal 2 11 4 2 10 2" xfId="7195"/>
    <cellStyle name="Normal 2 11 4 2 11" xfId="7196"/>
    <cellStyle name="Normal 2 11 4 2 11 2" xfId="7197"/>
    <cellStyle name="Normal 2 11 4 2 12" xfId="7198"/>
    <cellStyle name="Normal 2 11 4 2 2" xfId="7199"/>
    <cellStyle name="Normal 2 11 4 2 2 10" xfId="7200"/>
    <cellStyle name="Normal 2 11 4 2 2 10 2" xfId="7201"/>
    <cellStyle name="Normal 2 11 4 2 2 11" xfId="7202"/>
    <cellStyle name="Normal 2 11 4 2 2 2" xfId="7203"/>
    <cellStyle name="Normal 2 11 4 2 2 2 2" xfId="7204"/>
    <cellStyle name="Normal 2 11 4 2 2 3" xfId="7205"/>
    <cellStyle name="Normal 2 11 4 2 2 3 2" xfId="7206"/>
    <cellStyle name="Normal 2 11 4 2 2 4" xfId="7207"/>
    <cellStyle name="Normal 2 11 4 2 2 4 2" xfId="7208"/>
    <cellStyle name="Normal 2 11 4 2 2 5" xfId="7209"/>
    <cellStyle name="Normal 2 11 4 2 2 5 2" xfId="7210"/>
    <cellStyle name="Normal 2 11 4 2 2 6" xfId="7211"/>
    <cellStyle name="Normal 2 11 4 2 2 6 2" xfId="7212"/>
    <cellStyle name="Normal 2 11 4 2 2 7" xfId="7213"/>
    <cellStyle name="Normal 2 11 4 2 2 7 2" xfId="7214"/>
    <cellStyle name="Normal 2 11 4 2 2 8" xfId="7215"/>
    <cellStyle name="Normal 2 11 4 2 2 8 2" xfId="7216"/>
    <cellStyle name="Normal 2 11 4 2 2 9" xfId="7217"/>
    <cellStyle name="Normal 2 11 4 2 2 9 2" xfId="7218"/>
    <cellStyle name="Normal 2 11 4 2 3" xfId="7219"/>
    <cellStyle name="Normal 2 11 4 2 3 2" xfId="7220"/>
    <cellStyle name="Normal 2 11 4 2 4" xfId="7221"/>
    <cellStyle name="Normal 2 11 4 2 4 2" xfId="7222"/>
    <cellStyle name="Normal 2 11 4 2 5" xfId="7223"/>
    <cellStyle name="Normal 2 11 4 2 5 2" xfId="7224"/>
    <cellStyle name="Normal 2 11 4 2 6" xfId="7225"/>
    <cellStyle name="Normal 2 11 4 2 6 2" xfId="7226"/>
    <cellStyle name="Normal 2 11 4 2 7" xfId="7227"/>
    <cellStyle name="Normal 2 11 4 2 7 2" xfId="7228"/>
    <cellStyle name="Normal 2 11 4 2 8" xfId="7229"/>
    <cellStyle name="Normal 2 11 4 2 8 2" xfId="7230"/>
    <cellStyle name="Normal 2 11 4 2 9" xfId="7231"/>
    <cellStyle name="Normal 2 11 4 2 9 2" xfId="7232"/>
    <cellStyle name="Normal 2 11 4 3" xfId="7233"/>
    <cellStyle name="Normal 2 11 4 3 10" xfId="7234"/>
    <cellStyle name="Normal 2 11 4 3 10 2" xfId="7235"/>
    <cellStyle name="Normal 2 11 4 3 11" xfId="7236"/>
    <cellStyle name="Normal 2 11 4 3 2" xfId="7237"/>
    <cellStyle name="Normal 2 11 4 3 2 2" xfId="7238"/>
    <cellStyle name="Normal 2 11 4 3 3" xfId="7239"/>
    <cellStyle name="Normal 2 11 4 3 3 2" xfId="7240"/>
    <cellStyle name="Normal 2 11 4 3 4" xfId="7241"/>
    <cellStyle name="Normal 2 11 4 3 4 2" xfId="7242"/>
    <cellStyle name="Normal 2 11 4 3 5" xfId="7243"/>
    <cellStyle name="Normal 2 11 4 3 5 2" xfId="7244"/>
    <cellStyle name="Normal 2 11 4 3 6" xfId="7245"/>
    <cellStyle name="Normal 2 11 4 3 6 2" xfId="7246"/>
    <cellStyle name="Normal 2 11 4 3 7" xfId="7247"/>
    <cellStyle name="Normal 2 11 4 3 7 2" xfId="7248"/>
    <cellStyle name="Normal 2 11 4 3 8" xfId="7249"/>
    <cellStyle name="Normal 2 11 4 3 8 2" xfId="7250"/>
    <cellStyle name="Normal 2 11 4 3 9" xfId="7251"/>
    <cellStyle name="Normal 2 11 4 3 9 2" xfId="7252"/>
    <cellStyle name="Normal 2 11 4 4" xfId="7253"/>
    <cellStyle name="Normal 2 11 4 4 2" xfId="7254"/>
    <cellStyle name="Normal 2 11 4 5" xfId="7255"/>
    <cellStyle name="Normal 2 11 4 5 2" xfId="7256"/>
    <cellStyle name="Normal 2 11 4 6" xfId="7257"/>
    <cellStyle name="Normal 2 11 4 6 2" xfId="7258"/>
    <cellStyle name="Normal 2 11 4 7" xfId="7259"/>
    <cellStyle name="Normal 2 11 4 7 2" xfId="7260"/>
    <cellStyle name="Normal 2 11 4 8" xfId="7261"/>
    <cellStyle name="Normal 2 11 4 8 2" xfId="7262"/>
    <cellStyle name="Normal 2 11 4 9" xfId="7263"/>
    <cellStyle name="Normal 2 11 4 9 2" xfId="7264"/>
    <cellStyle name="Normal 2 11 5" xfId="7265"/>
    <cellStyle name="Normal 2 11 5 10" xfId="7266"/>
    <cellStyle name="Normal 2 11 5 10 2" xfId="7267"/>
    <cellStyle name="Normal 2 11 5 11" xfId="7268"/>
    <cellStyle name="Normal 2 11 5 11 2" xfId="7269"/>
    <cellStyle name="Normal 2 11 5 12" xfId="7270"/>
    <cellStyle name="Normal 2 11 5 12 2" xfId="7271"/>
    <cellStyle name="Normal 2 11 5 13" xfId="7272"/>
    <cellStyle name="Normal 2 11 5 2" xfId="7273"/>
    <cellStyle name="Normal 2 11 5 2 10" xfId="7274"/>
    <cellStyle name="Normal 2 11 5 2 10 2" xfId="7275"/>
    <cellStyle name="Normal 2 11 5 2 11" xfId="7276"/>
    <cellStyle name="Normal 2 11 5 2 11 2" xfId="7277"/>
    <cellStyle name="Normal 2 11 5 2 12" xfId="7278"/>
    <cellStyle name="Normal 2 11 5 2 2" xfId="7279"/>
    <cellStyle name="Normal 2 11 5 2 2 10" xfId="7280"/>
    <cellStyle name="Normal 2 11 5 2 2 10 2" xfId="7281"/>
    <cellStyle name="Normal 2 11 5 2 2 11" xfId="7282"/>
    <cellStyle name="Normal 2 11 5 2 2 2" xfId="7283"/>
    <cellStyle name="Normal 2 11 5 2 2 2 2" xfId="7284"/>
    <cellStyle name="Normal 2 11 5 2 2 3" xfId="7285"/>
    <cellStyle name="Normal 2 11 5 2 2 3 2" xfId="7286"/>
    <cellStyle name="Normal 2 11 5 2 2 4" xfId="7287"/>
    <cellStyle name="Normal 2 11 5 2 2 4 2" xfId="7288"/>
    <cellStyle name="Normal 2 11 5 2 2 5" xfId="7289"/>
    <cellStyle name="Normal 2 11 5 2 2 5 2" xfId="7290"/>
    <cellStyle name="Normal 2 11 5 2 2 6" xfId="7291"/>
    <cellStyle name="Normal 2 11 5 2 2 6 2" xfId="7292"/>
    <cellStyle name="Normal 2 11 5 2 2 7" xfId="7293"/>
    <cellStyle name="Normal 2 11 5 2 2 7 2" xfId="7294"/>
    <cellStyle name="Normal 2 11 5 2 2 8" xfId="7295"/>
    <cellStyle name="Normal 2 11 5 2 2 8 2" xfId="7296"/>
    <cellStyle name="Normal 2 11 5 2 2 9" xfId="7297"/>
    <cellStyle name="Normal 2 11 5 2 2 9 2" xfId="7298"/>
    <cellStyle name="Normal 2 11 5 2 3" xfId="7299"/>
    <cellStyle name="Normal 2 11 5 2 3 2" xfId="7300"/>
    <cellStyle name="Normal 2 11 5 2 4" xfId="7301"/>
    <cellStyle name="Normal 2 11 5 2 4 2" xfId="7302"/>
    <cellStyle name="Normal 2 11 5 2 5" xfId="7303"/>
    <cellStyle name="Normal 2 11 5 2 5 2" xfId="7304"/>
    <cellStyle name="Normal 2 11 5 2 6" xfId="7305"/>
    <cellStyle name="Normal 2 11 5 2 6 2" xfId="7306"/>
    <cellStyle name="Normal 2 11 5 2 7" xfId="7307"/>
    <cellStyle name="Normal 2 11 5 2 7 2" xfId="7308"/>
    <cellStyle name="Normal 2 11 5 2 8" xfId="7309"/>
    <cellStyle name="Normal 2 11 5 2 8 2" xfId="7310"/>
    <cellStyle name="Normal 2 11 5 2 9" xfId="7311"/>
    <cellStyle name="Normal 2 11 5 2 9 2" xfId="7312"/>
    <cellStyle name="Normal 2 11 5 3" xfId="7313"/>
    <cellStyle name="Normal 2 11 5 3 10" xfId="7314"/>
    <cellStyle name="Normal 2 11 5 3 10 2" xfId="7315"/>
    <cellStyle name="Normal 2 11 5 3 11" xfId="7316"/>
    <cellStyle name="Normal 2 11 5 3 2" xfId="7317"/>
    <cellStyle name="Normal 2 11 5 3 2 2" xfId="7318"/>
    <cellStyle name="Normal 2 11 5 3 3" xfId="7319"/>
    <cellStyle name="Normal 2 11 5 3 3 2" xfId="7320"/>
    <cellStyle name="Normal 2 11 5 3 4" xfId="7321"/>
    <cellStyle name="Normal 2 11 5 3 4 2" xfId="7322"/>
    <cellStyle name="Normal 2 11 5 3 5" xfId="7323"/>
    <cellStyle name="Normal 2 11 5 3 5 2" xfId="7324"/>
    <cellStyle name="Normal 2 11 5 3 6" xfId="7325"/>
    <cellStyle name="Normal 2 11 5 3 6 2" xfId="7326"/>
    <cellStyle name="Normal 2 11 5 3 7" xfId="7327"/>
    <cellStyle name="Normal 2 11 5 3 7 2" xfId="7328"/>
    <cellStyle name="Normal 2 11 5 3 8" xfId="7329"/>
    <cellStyle name="Normal 2 11 5 3 8 2" xfId="7330"/>
    <cellStyle name="Normal 2 11 5 3 9" xfId="7331"/>
    <cellStyle name="Normal 2 11 5 3 9 2" xfId="7332"/>
    <cellStyle name="Normal 2 11 5 4" xfId="7333"/>
    <cellStyle name="Normal 2 11 5 4 2" xfId="7334"/>
    <cellStyle name="Normal 2 11 5 5" xfId="7335"/>
    <cellStyle name="Normal 2 11 5 5 2" xfId="7336"/>
    <cellStyle name="Normal 2 11 5 6" xfId="7337"/>
    <cellStyle name="Normal 2 11 5 6 2" xfId="7338"/>
    <cellStyle name="Normal 2 11 5 7" xfId="7339"/>
    <cellStyle name="Normal 2 11 5 7 2" xfId="7340"/>
    <cellStyle name="Normal 2 11 5 8" xfId="7341"/>
    <cellStyle name="Normal 2 11 5 8 2" xfId="7342"/>
    <cellStyle name="Normal 2 11 5 9" xfId="7343"/>
    <cellStyle name="Normal 2 11 5 9 2" xfId="7344"/>
    <cellStyle name="Normal 2 11 6" xfId="7345"/>
    <cellStyle name="Normal 2 11 6 10" xfId="7346"/>
    <cellStyle name="Normal 2 11 6 10 2" xfId="7347"/>
    <cellStyle name="Normal 2 11 6 11" xfId="7348"/>
    <cellStyle name="Normal 2 11 6 11 2" xfId="7349"/>
    <cellStyle name="Normal 2 11 6 12" xfId="7350"/>
    <cellStyle name="Normal 2 11 6 12 2" xfId="7351"/>
    <cellStyle name="Normal 2 11 6 13" xfId="7352"/>
    <cellStyle name="Normal 2 11 6 2" xfId="7353"/>
    <cellStyle name="Normal 2 11 6 2 10" xfId="7354"/>
    <cellStyle name="Normal 2 11 6 2 10 2" xfId="7355"/>
    <cellStyle name="Normal 2 11 6 2 11" xfId="7356"/>
    <cellStyle name="Normal 2 11 6 2 11 2" xfId="7357"/>
    <cellStyle name="Normal 2 11 6 2 12" xfId="7358"/>
    <cellStyle name="Normal 2 11 6 2 2" xfId="7359"/>
    <cellStyle name="Normal 2 11 6 2 2 10" xfId="7360"/>
    <cellStyle name="Normal 2 11 6 2 2 10 2" xfId="7361"/>
    <cellStyle name="Normal 2 11 6 2 2 11" xfId="7362"/>
    <cellStyle name="Normal 2 11 6 2 2 2" xfId="7363"/>
    <cellStyle name="Normal 2 11 6 2 2 2 2" xfId="7364"/>
    <cellStyle name="Normal 2 11 6 2 2 3" xfId="7365"/>
    <cellStyle name="Normal 2 11 6 2 2 3 2" xfId="7366"/>
    <cellStyle name="Normal 2 11 6 2 2 4" xfId="7367"/>
    <cellStyle name="Normal 2 11 6 2 2 4 2" xfId="7368"/>
    <cellStyle name="Normal 2 11 6 2 2 5" xfId="7369"/>
    <cellStyle name="Normal 2 11 6 2 2 5 2" xfId="7370"/>
    <cellStyle name="Normal 2 11 6 2 2 6" xfId="7371"/>
    <cellStyle name="Normal 2 11 6 2 2 6 2" xfId="7372"/>
    <cellStyle name="Normal 2 11 6 2 2 7" xfId="7373"/>
    <cellStyle name="Normal 2 11 6 2 2 7 2" xfId="7374"/>
    <cellStyle name="Normal 2 11 6 2 2 8" xfId="7375"/>
    <cellStyle name="Normal 2 11 6 2 2 8 2" xfId="7376"/>
    <cellStyle name="Normal 2 11 6 2 2 9" xfId="7377"/>
    <cellStyle name="Normal 2 11 6 2 2 9 2" xfId="7378"/>
    <cellStyle name="Normal 2 11 6 2 3" xfId="7379"/>
    <cellStyle name="Normal 2 11 6 2 3 2" xfId="7380"/>
    <cellStyle name="Normal 2 11 6 2 4" xfId="7381"/>
    <cellStyle name="Normal 2 11 6 2 4 2" xfId="7382"/>
    <cellStyle name="Normal 2 11 6 2 5" xfId="7383"/>
    <cellStyle name="Normal 2 11 6 2 5 2" xfId="7384"/>
    <cellStyle name="Normal 2 11 6 2 6" xfId="7385"/>
    <cellStyle name="Normal 2 11 6 2 6 2" xfId="7386"/>
    <cellStyle name="Normal 2 11 6 2 7" xfId="7387"/>
    <cellStyle name="Normal 2 11 6 2 7 2" xfId="7388"/>
    <cellStyle name="Normal 2 11 6 2 8" xfId="7389"/>
    <cellStyle name="Normal 2 11 6 2 8 2" xfId="7390"/>
    <cellStyle name="Normal 2 11 6 2 9" xfId="7391"/>
    <cellStyle name="Normal 2 11 6 2 9 2" xfId="7392"/>
    <cellStyle name="Normal 2 11 6 3" xfId="7393"/>
    <cellStyle name="Normal 2 11 6 3 10" xfId="7394"/>
    <cellStyle name="Normal 2 11 6 3 10 2" xfId="7395"/>
    <cellStyle name="Normal 2 11 6 3 11" xfId="7396"/>
    <cellStyle name="Normal 2 11 6 3 2" xfId="7397"/>
    <cellStyle name="Normal 2 11 6 3 2 2" xfId="7398"/>
    <cellStyle name="Normal 2 11 6 3 3" xfId="7399"/>
    <cellStyle name="Normal 2 11 6 3 3 2" xfId="7400"/>
    <cellStyle name="Normal 2 11 6 3 4" xfId="7401"/>
    <cellStyle name="Normal 2 11 6 3 4 2" xfId="7402"/>
    <cellStyle name="Normal 2 11 6 3 5" xfId="7403"/>
    <cellStyle name="Normal 2 11 6 3 5 2" xfId="7404"/>
    <cellStyle name="Normal 2 11 6 3 6" xfId="7405"/>
    <cellStyle name="Normal 2 11 6 3 6 2" xfId="7406"/>
    <cellStyle name="Normal 2 11 6 3 7" xfId="7407"/>
    <cellStyle name="Normal 2 11 6 3 7 2" xfId="7408"/>
    <cellStyle name="Normal 2 11 6 3 8" xfId="7409"/>
    <cellStyle name="Normal 2 11 6 3 8 2" xfId="7410"/>
    <cellStyle name="Normal 2 11 6 3 9" xfId="7411"/>
    <cellStyle name="Normal 2 11 6 3 9 2" xfId="7412"/>
    <cellStyle name="Normal 2 11 6 4" xfId="7413"/>
    <cellStyle name="Normal 2 11 6 4 2" xfId="7414"/>
    <cellStyle name="Normal 2 11 6 5" xfId="7415"/>
    <cellStyle name="Normal 2 11 6 5 2" xfId="7416"/>
    <cellStyle name="Normal 2 11 6 6" xfId="7417"/>
    <cellStyle name="Normal 2 11 6 6 2" xfId="7418"/>
    <cellStyle name="Normal 2 11 6 7" xfId="7419"/>
    <cellStyle name="Normal 2 11 6 7 2" xfId="7420"/>
    <cellStyle name="Normal 2 11 6 8" xfId="7421"/>
    <cellStyle name="Normal 2 11 6 8 2" xfId="7422"/>
    <cellStyle name="Normal 2 11 6 9" xfId="7423"/>
    <cellStyle name="Normal 2 11 6 9 2" xfId="7424"/>
    <cellStyle name="Normal 2 12" xfId="7425"/>
    <cellStyle name="Normal 2 12 10" xfId="7426"/>
    <cellStyle name="Normal 2 12 10 2" xfId="7427"/>
    <cellStyle name="Normal 2 12 11" xfId="7428"/>
    <cellStyle name="Normal 2 12 11 2" xfId="7429"/>
    <cellStyle name="Normal 2 12 12" xfId="7430"/>
    <cellStyle name="Normal 2 12 12 2" xfId="7431"/>
    <cellStyle name="Normal 2 12 13" xfId="7432"/>
    <cellStyle name="Normal 2 12 2" xfId="7433"/>
    <cellStyle name="Normal 2 12 2 10" xfId="7434"/>
    <cellStyle name="Normal 2 12 2 10 2" xfId="7435"/>
    <cellStyle name="Normal 2 12 2 11" xfId="7436"/>
    <cellStyle name="Normal 2 12 2 11 2" xfId="7437"/>
    <cellStyle name="Normal 2 12 2 12" xfId="7438"/>
    <cellStyle name="Normal 2 12 2 2" xfId="7439"/>
    <cellStyle name="Normal 2 12 2 2 10" xfId="7440"/>
    <cellStyle name="Normal 2 12 2 2 10 2" xfId="7441"/>
    <cellStyle name="Normal 2 12 2 2 11" xfId="7442"/>
    <cellStyle name="Normal 2 12 2 2 2" xfId="7443"/>
    <cellStyle name="Normal 2 12 2 2 2 2" xfId="7444"/>
    <cellStyle name="Normal 2 12 2 2 3" xfId="7445"/>
    <cellStyle name="Normal 2 12 2 2 3 2" xfId="7446"/>
    <cellStyle name="Normal 2 12 2 2 4" xfId="7447"/>
    <cellStyle name="Normal 2 12 2 2 4 2" xfId="7448"/>
    <cellStyle name="Normal 2 12 2 2 5" xfId="7449"/>
    <cellStyle name="Normal 2 12 2 2 5 2" xfId="7450"/>
    <cellStyle name="Normal 2 12 2 2 6" xfId="7451"/>
    <cellStyle name="Normal 2 12 2 2 6 2" xfId="7452"/>
    <cellStyle name="Normal 2 12 2 2 7" xfId="7453"/>
    <cellStyle name="Normal 2 12 2 2 7 2" xfId="7454"/>
    <cellStyle name="Normal 2 12 2 2 8" xfId="7455"/>
    <cellStyle name="Normal 2 12 2 2 8 2" xfId="7456"/>
    <cellStyle name="Normal 2 12 2 2 9" xfId="7457"/>
    <cellStyle name="Normal 2 12 2 2 9 2" xfId="7458"/>
    <cellStyle name="Normal 2 12 2 3" xfId="7459"/>
    <cellStyle name="Normal 2 12 2 3 2" xfId="7460"/>
    <cellStyle name="Normal 2 12 2 4" xfId="7461"/>
    <cellStyle name="Normal 2 12 2 4 2" xfId="7462"/>
    <cellStyle name="Normal 2 12 2 5" xfId="7463"/>
    <cellStyle name="Normal 2 12 2 5 2" xfId="7464"/>
    <cellStyle name="Normal 2 12 2 6" xfId="7465"/>
    <cellStyle name="Normal 2 12 2 6 2" xfId="7466"/>
    <cellStyle name="Normal 2 12 2 7" xfId="7467"/>
    <cellStyle name="Normal 2 12 2 7 2" xfId="7468"/>
    <cellStyle name="Normal 2 12 2 8" xfId="7469"/>
    <cellStyle name="Normal 2 12 2 8 2" xfId="7470"/>
    <cellStyle name="Normal 2 12 2 9" xfId="7471"/>
    <cellStyle name="Normal 2 12 2 9 2" xfId="7472"/>
    <cellStyle name="Normal 2 12 3" xfId="7473"/>
    <cellStyle name="Normal 2 12 3 10" xfId="7474"/>
    <cellStyle name="Normal 2 12 3 10 2" xfId="7475"/>
    <cellStyle name="Normal 2 12 3 11" xfId="7476"/>
    <cellStyle name="Normal 2 12 3 2" xfId="7477"/>
    <cellStyle name="Normal 2 12 3 2 2" xfId="7478"/>
    <cellStyle name="Normal 2 12 3 3" xfId="7479"/>
    <cellStyle name="Normal 2 12 3 3 2" xfId="7480"/>
    <cellStyle name="Normal 2 12 3 4" xfId="7481"/>
    <cellStyle name="Normal 2 12 3 4 2" xfId="7482"/>
    <cellStyle name="Normal 2 12 3 5" xfId="7483"/>
    <cellStyle name="Normal 2 12 3 5 2" xfId="7484"/>
    <cellStyle name="Normal 2 12 3 6" xfId="7485"/>
    <cellStyle name="Normal 2 12 3 6 2" xfId="7486"/>
    <cellStyle name="Normal 2 12 3 7" xfId="7487"/>
    <cellStyle name="Normal 2 12 3 7 2" xfId="7488"/>
    <cellStyle name="Normal 2 12 3 8" xfId="7489"/>
    <cellStyle name="Normal 2 12 3 8 2" xfId="7490"/>
    <cellStyle name="Normal 2 12 3 9" xfId="7491"/>
    <cellStyle name="Normal 2 12 3 9 2" xfId="7492"/>
    <cellStyle name="Normal 2 12 4" xfId="7493"/>
    <cellStyle name="Normal 2 12 4 2" xfId="7494"/>
    <cellStyle name="Normal 2 12 5" xfId="7495"/>
    <cellStyle name="Normal 2 12 5 2" xfId="7496"/>
    <cellStyle name="Normal 2 12 6" xfId="7497"/>
    <cellStyle name="Normal 2 12 6 2" xfId="7498"/>
    <cellStyle name="Normal 2 12 7" xfId="7499"/>
    <cellStyle name="Normal 2 12 7 2" xfId="7500"/>
    <cellStyle name="Normal 2 12 8" xfId="7501"/>
    <cellStyle name="Normal 2 12 8 2" xfId="7502"/>
    <cellStyle name="Normal 2 12 9" xfId="7503"/>
    <cellStyle name="Normal 2 12 9 2" xfId="7504"/>
    <cellStyle name="Normal 2 13" xfId="7505"/>
    <cellStyle name="Normal 2 13 10" xfId="7506"/>
    <cellStyle name="Normal 2 13 10 2" xfId="7507"/>
    <cellStyle name="Normal 2 13 11" xfId="7508"/>
    <cellStyle name="Normal 2 13 11 2" xfId="7509"/>
    <cellStyle name="Normal 2 13 12" xfId="7510"/>
    <cellStyle name="Normal 2 13 12 2" xfId="7511"/>
    <cellStyle name="Normal 2 13 13" xfId="7512"/>
    <cellStyle name="Normal 2 13 2" xfId="7513"/>
    <cellStyle name="Normal 2 13 2 10" xfId="7514"/>
    <cellStyle name="Normal 2 13 2 10 2" xfId="7515"/>
    <cellStyle name="Normal 2 13 2 11" xfId="7516"/>
    <cellStyle name="Normal 2 13 2 11 2" xfId="7517"/>
    <cellStyle name="Normal 2 13 2 12" xfId="7518"/>
    <cellStyle name="Normal 2 13 2 2" xfId="7519"/>
    <cellStyle name="Normal 2 13 2 2 10" xfId="7520"/>
    <cellStyle name="Normal 2 13 2 2 10 2" xfId="7521"/>
    <cellStyle name="Normal 2 13 2 2 11" xfId="7522"/>
    <cellStyle name="Normal 2 13 2 2 2" xfId="7523"/>
    <cellStyle name="Normal 2 13 2 2 2 2" xfId="7524"/>
    <cellStyle name="Normal 2 13 2 2 3" xfId="7525"/>
    <cellStyle name="Normal 2 13 2 2 3 2" xfId="7526"/>
    <cellStyle name="Normal 2 13 2 2 4" xfId="7527"/>
    <cellStyle name="Normal 2 13 2 2 4 2" xfId="7528"/>
    <cellStyle name="Normal 2 13 2 2 5" xfId="7529"/>
    <cellStyle name="Normal 2 13 2 2 5 2" xfId="7530"/>
    <cellStyle name="Normal 2 13 2 2 6" xfId="7531"/>
    <cellStyle name="Normal 2 13 2 2 6 2" xfId="7532"/>
    <cellStyle name="Normal 2 13 2 2 7" xfId="7533"/>
    <cellStyle name="Normal 2 13 2 2 7 2" xfId="7534"/>
    <cellStyle name="Normal 2 13 2 2 8" xfId="7535"/>
    <cellStyle name="Normal 2 13 2 2 8 2" xfId="7536"/>
    <cellStyle name="Normal 2 13 2 2 9" xfId="7537"/>
    <cellStyle name="Normal 2 13 2 2 9 2" xfId="7538"/>
    <cellStyle name="Normal 2 13 2 3" xfId="7539"/>
    <cellStyle name="Normal 2 13 2 3 2" xfId="7540"/>
    <cellStyle name="Normal 2 13 2 4" xfId="7541"/>
    <cellStyle name="Normal 2 13 2 4 2" xfId="7542"/>
    <cellStyle name="Normal 2 13 2 5" xfId="7543"/>
    <cellStyle name="Normal 2 13 2 5 2" xfId="7544"/>
    <cellStyle name="Normal 2 13 2 6" xfId="7545"/>
    <cellStyle name="Normal 2 13 2 6 2" xfId="7546"/>
    <cellStyle name="Normal 2 13 2 7" xfId="7547"/>
    <cellStyle name="Normal 2 13 2 7 2" xfId="7548"/>
    <cellStyle name="Normal 2 13 2 8" xfId="7549"/>
    <cellStyle name="Normal 2 13 2 8 2" xfId="7550"/>
    <cellStyle name="Normal 2 13 2 9" xfId="7551"/>
    <cellStyle name="Normal 2 13 2 9 2" xfId="7552"/>
    <cellStyle name="Normal 2 13 3" xfId="7553"/>
    <cellStyle name="Normal 2 13 3 10" xfId="7554"/>
    <cellStyle name="Normal 2 13 3 10 2" xfId="7555"/>
    <cellStyle name="Normal 2 13 3 11" xfId="7556"/>
    <cellStyle name="Normal 2 13 3 2" xfId="7557"/>
    <cellStyle name="Normal 2 13 3 2 2" xfId="7558"/>
    <cellStyle name="Normal 2 13 3 3" xfId="7559"/>
    <cellStyle name="Normal 2 13 3 3 2" xfId="7560"/>
    <cellStyle name="Normal 2 13 3 4" xfId="7561"/>
    <cellStyle name="Normal 2 13 3 4 2" xfId="7562"/>
    <cellStyle name="Normal 2 13 3 5" xfId="7563"/>
    <cellStyle name="Normal 2 13 3 5 2" xfId="7564"/>
    <cellStyle name="Normal 2 13 3 6" xfId="7565"/>
    <cellStyle name="Normal 2 13 3 6 2" xfId="7566"/>
    <cellStyle name="Normal 2 13 3 7" xfId="7567"/>
    <cellStyle name="Normal 2 13 3 7 2" xfId="7568"/>
    <cellStyle name="Normal 2 13 3 8" xfId="7569"/>
    <cellStyle name="Normal 2 13 3 8 2" xfId="7570"/>
    <cellStyle name="Normal 2 13 3 9" xfId="7571"/>
    <cellStyle name="Normal 2 13 3 9 2" xfId="7572"/>
    <cellStyle name="Normal 2 13 4" xfId="7573"/>
    <cellStyle name="Normal 2 13 4 2" xfId="7574"/>
    <cellStyle name="Normal 2 13 5" xfId="7575"/>
    <cellStyle name="Normal 2 13 5 2" xfId="7576"/>
    <cellStyle name="Normal 2 13 6" xfId="7577"/>
    <cellStyle name="Normal 2 13 6 2" xfId="7578"/>
    <cellStyle name="Normal 2 13 7" xfId="7579"/>
    <cellStyle name="Normal 2 13 7 2" xfId="7580"/>
    <cellStyle name="Normal 2 13 8" xfId="7581"/>
    <cellStyle name="Normal 2 13 8 2" xfId="7582"/>
    <cellStyle name="Normal 2 13 9" xfId="7583"/>
    <cellStyle name="Normal 2 13 9 2" xfId="7584"/>
    <cellStyle name="Normal 2 14" xfId="7585"/>
    <cellStyle name="Normal 2 14 10" xfId="7586"/>
    <cellStyle name="Normal 2 14 10 2" xfId="7587"/>
    <cellStyle name="Normal 2 14 11" xfId="7588"/>
    <cellStyle name="Normal 2 14 11 2" xfId="7589"/>
    <cellStyle name="Normal 2 14 12" xfId="7590"/>
    <cellStyle name="Normal 2 14 12 2" xfId="7591"/>
    <cellStyle name="Normal 2 14 13" xfId="7592"/>
    <cellStyle name="Normal 2 14 2" xfId="7593"/>
    <cellStyle name="Normal 2 14 2 10" xfId="7594"/>
    <cellStyle name="Normal 2 14 2 10 2" xfId="7595"/>
    <cellStyle name="Normal 2 14 2 11" xfId="7596"/>
    <cellStyle name="Normal 2 14 2 11 2" xfId="7597"/>
    <cellStyle name="Normal 2 14 2 12" xfId="7598"/>
    <cellStyle name="Normal 2 14 2 2" xfId="7599"/>
    <cellStyle name="Normal 2 14 2 2 10" xfId="7600"/>
    <cellStyle name="Normal 2 14 2 2 10 2" xfId="7601"/>
    <cellStyle name="Normal 2 14 2 2 11" xfId="7602"/>
    <cellStyle name="Normal 2 14 2 2 2" xfId="7603"/>
    <cellStyle name="Normal 2 14 2 2 2 2" xfId="7604"/>
    <cellStyle name="Normal 2 14 2 2 3" xfId="7605"/>
    <cellStyle name="Normal 2 14 2 2 3 2" xfId="7606"/>
    <cellStyle name="Normal 2 14 2 2 4" xfId="7607"/>
    <cellStyle name="Normal 2 14 2 2 4 2" xfId="7608"/>
    <cellStyle name="Normal 2 14 2 2 5" xfId="7609"/>
    <cellStyle name="Normal 2 14 2 2 5 2" xfId="7610"/>
    <cellStyle name="Normal 2 14 2 2 6" xfId="7611"/>
    <cellStyle name="Normal 2 14 2 2 6 2" xfId="7612"/>
    <cellStyle name="Normal 2 14 2 2 7" xfId="7613"/>
    <cellStyle name="Normal 2 14 2 2 7 2" xfId="7614"/>
    <cellStyle name="Normal 2 14 2 2 8" xfId="7615"/>
    <cellStyle name="Normal 2 14 2 2 8 2" xfId="7616"/>
    <cellStyle name="Normal 2 14 2 2 9" xfId="7617"/>
    <cellStyle name="Normal 2 14 2 2 9 2" xfId="7618"/>
    <cellStyle name="Normal 2 14 2 3" xfId="7619"/>
    <cellStyle name="Normal 2 14 2 3 2" xfId="7620"/>
    <cellStyle name="Normal 2 14 2 4" xfId="7621"/>
    <cellStyle name="Normal 2 14 2 4 2" xfId="7622"/>
    <cellStyle name="Normal 2 14 2 5" xfId="7623"/>
    <cellStyle name="Normal 2 14 2 5 2" xfId="7624"/>
    <cellStyle name="Normal 2 14 2 6" xfId="7625"/>
    <cellStyle name="Normal 2 14 2 6 2" xfId="7626"/>
    <cellStyle name="Normal 2 14 2 7" xfId="7627"/>
    <cellStyle name="Normal 2 14 2 7 2" xfId="7628"/>
    <cellStyle name="Normal 2 14 2 8" xfId="7629"/>
    <cellStyle name="Normal 2 14 2 8 2" xfId="7630"/>
    <cellStyle name="Normal 2 14 2 9" xfId="7631"/>
    <cellStyle name="Normal 2 14 2 9 2" xfId="7632"/>
    <cellStyle name="Normal 2 14 3" xfId="7633"/>
    <cellStyle name="Normal 2 14 3 10" xfId="7634"/>
    <cellStyle name="Normal 2 14 3 10 2" xfId="7635"/>
    <cellStyle name="Normal 2 14 3 11" xfId="7636"/>
    <cellStyle name="Normal 2 14 3 2" xfId="7637"/>
    <cellStyle name="Normal 2 14 3 2 2" xfId="7638"/>
    <cellStyle name="Normal 2 14 3 3" xfId="7639"/>
    <cellStyle name="Normal 2 14 3 3 2" xfId="7640"/>
    <cellStyle name="Normal 2 14 3 4" xfId="7641"/>
    <cellStyle name="Normal 2 14 3 4 2" xfId="7642"/>
    <cellStyle name="Normal 2 14 3 5" xfId="7643"/>
    <cellStyle name="Normal 2 14 3 5 2" xfId="7644"/>
    <cellStyle name="Normal 2 14 3 6" xfId="7645"/>
    <cellStyle name="Normal 2 14 3 6 2" xfId="7646"/>
    <cellStyle name="Normal 2 14 3 7" xfId="7647"/>
    <cellStyle name="Normal 2 14 3 7 2" xfId="7648"/>
    <cellStyle name="Normal 2 14 3 8" xfId="7649"/>
    <cellStyle name="Normal 2 14 3 8 2" xfId="7650"/>
    <cellStyle name="Normal 2 14 3 9" xfId="7651"/>
    <cellStyle name="Normal 2 14 3 9 2" xfId="7652"/>
    <cellStyle name="Normal 2 14 4" xfId="7653"/>
    <cellStyle name="Normal 2 14 4 2" xfId="7654"/>
    <cellStyle name="Normal 2 14 5" xfId="7655"/>
    <cellStyle name="Normal 2 14 5 2" xfId="7656"/>
    <cellStyle name="Normal 2 14 6" xfId="7657"/>
    <cellStyle name="Normal 2 14 6 2" xfId="7658"/>
    <cellStyle name="Normal 2 14 7" xfId="7659"/>
    <cellStyle name="Normal 2 14 7 2" xfId="7660"/>
    <cellStyle name="Normal 2 14 8" xfId="7661"/>
    <cellStyle name="Normal 2 14 8 2" xfId="7662"/>
    <cellStyle name="Normal 2 14 9" xfId="7663"/>
    <cellStyle name="Normal 2 14 9 2" xfId="7664"/>
    <cellStyle name="Normal 2 15" xfId="7665"/>
    <cellStyle name="Normal 2 15 2" xfId="7666"/>
    <cellStyle name="Normal 2 15 2 10" xfId="7667"/>
    <cellStyle name="Normal 2 15 2 10 2" xfId="7668"/>
    <cellStyle name="Normal 2 15 2 11" xfId="7669"/>
    <cellStyle name="Normal 2 15 2 11 2" xfId="7670"/>
    <cellStyle name="Normal 2 15 2 12" xfId="7671"/>
    <cellStyle name="Normal 2 15 2 12 2" xfId="7672"/>
    <cellStyle name="Normal 2 15 2 13" xfId="7673"/>
    <cellStyle name="Normal 2 15 2 2" xfId="7674"/>
    <cellStyle name="Normal 2 15 2 2 10" xfId="7675"/>
    <cellStyle name="Normal 2 15 2 2 10 2" xfId="7676"/>
    <cellStyle name="Normal 2 15 2 2 11" xfId="7677"/>
    <cellStyle name="Normal 2 15 2 2 11 2" xfId="7678"/>
    <cellStyle name="Normal 2 15 2 2 12" xfId="7679"/>
    <cellStyle name="Normal 2 15 2 2 2" xfId="7680"/>
    <cellStyle name="Normal 2 15 2 2 2 10" xfId="7681"/>
    <cellStyle name="Normal 2 15 2 2 2 10 2" xfId="7682"/>
    <cellStyle name="Normal 2 15 2 2 2 11" xfId="7683"/>
    <cellStyle name="Normal 2 15 2 2 2 2" xfId="7684"/>
    <cellStyle name="Normal 2 15 2 2 2 2 2" xfId="7685"/>
    <cellStyle name="Normal 2 15 2 2 2 3" xfId="7686"/>
    <cellStyle name="Normal 2 15 2 2 2 3 2" xfId="7687"/>
    <cellStyle name="Normal 2 15 2 2 2 4" xfId="7688"/>
    <cellStyle name="Normal 2 15 2 2 2 4 2" xfId="7689"/>
    <cellStyle name="Normal 2 15 2 2 2 5" xfId="7690"/>
    <cellStyle name="Normal 2 15 2 2 2 5 2" xfId="7691"/>
    <cellStyle name="Normal 2 15 2 2 2 6" xfId="7692"/>
    <cellStyle name="Normal 2 15 2 2 2 6 2" xfId="7693"/>
    <cellStyle name="Normal 2 15 2 2 2 7" xfId="7694"/>
    <cellStyle name="Normal 2 15 2 2 2 7 2" xfId="7695"/>
    <cellStyle name="Normal 2 15 2 2 2 8" xfId="7696"/>
    <cellStyle name="Normal 2 15 2 2 2 8 2" xfId="7697"/>
    <cellStyle name="Normal 2 15 2 2 2 9" xfId="7698"/>
    <cellStyle name="Normal 2 15 2 2 2 9 2" xfId="7699"/>
    <cellStyle name="Normal 2 15 2 2 3" xfId="7700"/>
    <cellStyle name="Normal 2 15 2 2 3 2" xfId="7701"/>
    <cellStyle name="Normal 2 15 2 2 4" xfId="7702"/>
    <cellStyle name="Normal 2 15 2 2 4 2" xfId="7703"/>
    <cellStyle name="Normal 2 15 2 2 5" xfId="7704"/>
    <cellStyle name="Normal 2 15 2 2 5 2" xfId="7705"/>
    <cellStyle name="Normal 2 15 2 2 6" xfId="7706"/>
    <cellStyle name="Normal 2 15 2 2 6 2" xfId="7707"/>
    <cellStyle name="Normal 2 15 2 2 7" xfId="7708"/>
    <cellStyle name="Normal 2 15 2 2 7 2" xfId="7709"/>
    <cellStyle name="Normal 2 15 2 2 8" xfId="7710"/>
    <cellStyle name="Normal 2 15 2 2 8 2" xfId="7711"/>
    <cellStyle name="Normal 2 15 2 2 9" xfId="7712"/>
    <cellStyle name="Normal 2 15 2 2 9 2" xfId="7713"/>
    <cellStyle name="Normal 2 15 2 3" xfId="7714"/>
    <cellStyle name="Normal 2 15 2 3 10" xfId="7715"/>
    <cellStyle name="Normal 2 15 2 3 10 2" xfId="7716"/>
    <cellStyle name="Normal 2 15 2 3 11" xfId="7717"/>
    <cellStyle name="Normal 2 15 2 3 2" xfId="7718"/>
    <cellStyle name="Normal 2 15 2 3 2 2" xfId="7719"/>
    <cellStyle name="Normal 2 15 2 3 3" xfId="7720"/>
    <cellStyle name="Normal 2 15 2 3 3 2" xfId="7721"/>
    <cellStyle name="Normal 2 15 2 3 4" xfId="7722"/>
    <cellStyle name="Normal 2 15 2 3 4 2" xfId="7723"/>
    <cellStyle name="Normal 2 15 2 3 5" xfId="7724"/>
    <cellStyle name="Normal 2 15 2 3 5 2" xfId="7725"/>
    <cellStyle name="Normal 2 15 2 3 6" xfId="7726"/>
    <cellStyle name="Normal 2 15 2 3 6 2" xfId="7727"/>
    <cellStyle name="Normal 2 15 2 3 7" xfId="7728"/>
    <cellStyle name="Normal 2 15 2 3 7 2" xfId="7729"/>
    <cellStyle name="Normal 2 15 2 3 8" xfId="7730"/>
    <cellStyle name="Normal 2 15 2 3 8 2" xfId="7731"/>
    <cellStyle name="Normal 2 15 2 3 9" xfId="7732"/>
    <cellStyle name="Normal 2 15 2 3 9 2" xfId="7733"/>
    <cellStyle name="Normal 2 15 2 4" xfId="7734"/>
    <cellStyle name="Normal 2 15 2 4 2" xfId="7735"/>
    <cellStyle name="Normal 2 15 2 5" xfId="7736"/>
    <cellStyle name="Normal 2 15 2 5 2" xfId="7737"/>
    <cellStyle name="Normal 2 15 2 6" xfId="7738"/>
    <cellStyle name="Normal 2 15 2 6 2" xfId="7739"/>
    <cellStyle name="Normal 2 15 2 7" xfId="7740"/>
    <cellStyle name="Normal 2 15 2 7 2" xfId="7741"/>
    <cellStyle name="Normal 2 15 2 8" xfId="7742"/>
    <cellStyle name="Normal 2 15 2 8 2" xfId="7743"/>
    <cellStyle name="Normal 2 15 2 9" xfId="7744"/>
    <cellStyle name="Normal 2 15 2 9 2" xfId="7745"/>
    <cellStyle name="Normal 2 15 3" xfId="7746"/>
    <cellStyle name="Normal 2 15 3 10" xfId="7747"/>
    <cellStyle name="Normal 2 15 3 10 2" xfId="7748"/>
    <cellStyle name="Normal 2 15 3 11" xfId="7749"/>
    <cellStyle name="Normal 2 15 3 11 2" xfId="7750"/>
    <cellStyle name="Normal 2 15 3 12" xfId="7751"/>
    <cellStyle name="Normal 2 15 3 12 2" xfId="7752"/>
    <cellStyle name="Normal 2 15 3 13" xfId="7753"/>
    <cellStyle name="Normal 2 15 3 2" xfId="7754"/>
    <cellStyle name="Normal 2 15 3 2 10" xfId="7755"/>
    <cellStyle name="Normal 2 15 3 2 10 2" xfId="7756"/>
    <cellStyle name="Normal 2 15 3 2 11" xfId="7757"/>
    <cellStyle name="Normal 2 15 3 2 11 2" xfId="7758"/>
    <cellStyle name="Normal 2 15 3 2 12" xfId="7759"/>
    <cellStyle name="Normal 2 15 3 2 2" xfId="7760"/>
    <cellStyle name="Normal 2 15 3 2 2 10" xfId="7761"/>
    <cellStyle name="Normal 2 15 3 2 2 10 2" xfId="7762"/>
    <cellStyle name="Normal 2 15 3 2 2 11" xfId="7763"/>
    <cellStyle name="Normal 2 15 3 2 2 2" xfId="7764"/>
    <cellStyle name="Normal 2 15 3 2 2 2 2" xfId="7765"/>
    <cellStyle name="Normal 2 15 3 2 2 3" xfId="7766"/>
    <cellStyle name="Normal 2 15 3 2 2 3 2" xfId="7767"/>
    <cellStyle name="Normal 2 15 3 2 2 4" xfId="7768"/>
    <cellStyle name="Normal 2 15 3 2 2 4 2" xfId="7769"/>
    <cellStyle name="Normal 2 15 3 2 2 5" xfId="7770"/>
    <cellStyle name="Normal 2 15 3 2 2 5 2" xfId="7771"/>
    <cellStyle name="Normal 2 15 3 2 2 6" xfId="7772"/>
    <cellStyle name="Normal 2 15 3 2 2 6 2" xfId="7773"/>
    <cellStyle name="Normal 2 15 3 2 2 7" xfId="7774"/>
    <cellStyle name="Normal 2 15 3 2 2 7 2" xfId="7775"/>
    <cellStyle name="Normal 2 15 3 2 2 8" xfId="7776"/>
    <cellStyle name="Normal 2 15 3 2 2 8 2" xfId="7777"/>
    <cellStyle name="Normal 2 15 3 2 2 9" xfId="7778"/>
    <cellStyle name="Normal 2 15 3 2 2 9 2" xfId="7779"/>
    <cellStyle name="Normal 2 15 3 2 3" xfId="7780"/>
    <cellStyle name="Normal 2 15 3 2 3 2" xfId="7781"/>
    <cellStyle name="Normal 2 15 3 2 4" xfId="7782"/>
    <cellStyle name="Normal 2 15 3 2 4 2" xfId="7783"/>
    <cellStyle name="Normal 2 15 3 2 5" xfId="7784"/>
    <cellStyle name="Normal 2 15 3 2 5 2" xfId="7785"/>
    <cellStyle name="Normal 2 15 3 2 6" xfId="7786"/>
    <cellStyle name="Normal 2 15 3 2 6 2" xfId="7787"/>
    <cellStyle name="Normal 2 15 3 2 7" xfId="7788"/>
    <cellStyle name="Normal 2 15 3 2 7 2" xfId="7789"/>
    <cellStyle name="Normal 2 15 3 2 8" xfId="7790"/>
    <cellStyle name="Normal 2 15 3 2 8 2" xfId="7791"/>
    <cellStyle name="Normal 2 15 3 2 9" xfId="7792"/>
    <cellStyle name="Normal 2 15 3 2 9 2" xfId="7793"/>
    <cellStyle name="Normal 2 15 3 3" xfId="7794"/>
    <cellStyle name="Normal 2 15 3 3 10" xfId="7795"/>
    <cellStyle name="Normal 2 15 3 3 10 2" xfId="7796"/>
    <cellStyle name="Normal 2 15 3 3 11" xfId="7797"/>
    <cellStyle name="Normal 2 15 3 3 2" xfId="7798"/>
    <cellStyle name="Normal 2 15 3 3 2 2" xfId="7799"/>
    <cellStyle name="Normal 2 15 3 3 3" xfId="7800"/>
    <cellStyle name="Normal 2 15 3 3 3 2" xfId="7801"/>
    <cellStyle name="Normal 2 15 3 3 4" xfId="7802"/>
    <cellStyle name="Normal 2 15 3 3 4 2" xfId="7803"/>
    <cellStyle name="Normal 2 15 3 3 5" xfId="7804"/>
    <cellStyle name="Normal 2 15 3 3 5 2" xfId="7805"/>
    <cellStyle name="Normal 2 15 3 3 6" xfId="7806"/>
    <cellStyle name="Normal 2 15 3 3 6 2" xfId="7807"/>
    <cellStyle name="Normal 2 15 3 3 7" xfId="7808"/>
    <cellStyle name="Normal 2 15 3 3 7 2" xfId="7809"/>
    <cellStyle name="Normal 2 15 3 3 8" xfId="7810"/>
    <cellStyle name="Normal 2 15 3 3 8 2" xfId="7811"/>
    <cellStyle name="Normal 2 15 3 3 9" xfId="7812"/>
    <cellStyle name="Normal 2 15 3 3 9 2" xfId="7813"/>
    <cellStyle name="Normal 2 15 3 4" xfId="7814"/>
    <cellStyle name="Normal 2 15 3 4 2" xfId="7815"/>
    <cellStyle name="Normal 2 15 3 5" xfId="7816"/>
    <cellStyle name="Normal 2 15 3 5 2" xfId="7817"/>
    <cellStyle name="Normal 2 15 3 6" xfId="7818"/>
    <cellStyle name="Normal 2 15 3 6 2" xfId="7819"/>
    <cellStyle name="Normal 2 15 3 7" xfId="7820"/>
    <cellStyle name="Normal 2 15 3 7 2" xfId="7821"/>
    <cellStyle name="Normal 2 15 3 8" xfId="7822"/>
    <cellStyle name="Normal 2 15 3 8 2" xfId="7823"/>
    <cellStyle name="Normal 2 15 3 9" xfId="7824"/>
    <cellStyle name="Normal 2 15 3 9 2" xfId="7825"/>
    <cellStyle name="Normal 2 15 4" xfId="7826"/>
    <cellStyle name="Normal 2 15 4 10" xfId="7827"/>
    <cellStyle name="Normal 2 15 4 10 2" xfId="7828"/>
    <cellStyle name="Normal 2 15 4 11" xfId="7829"/>
    <cellStyle name="Normal 2 15 4 11 2" xfId="7830"/>
    <cellStyle name="Normal 2 15 4 12" xfId="7831"/>
    <cellStyle name="Normal 2 15 4 12 2" xfId="7832"/>
    <cellStyle name="Normal 2 15 4 13" xfId="7833"/>
    <cellStyle name="Normal 2 15 4 2" xfId="7834"/>
    <cellStyle name="Normal 2 15 4 2 10" xfId="7835"/>
    <cellStyle name="Normal 2 15 4 2 10 2" xfId="7836"/>
    <cellStyle name="Normal 2 15 4 2 11" xfId="7837"/>
    <cellStyle name="Normal 2 15 4 2 11 2" xfId="7838"/>
    <cellStyle name="Normal 2 15 4 2 12" xfId="7839"/>
    <cellStyle name="Normal 2 15 4 2 2" xfId="7840"/>
    <cellStyle name="Normal 2 15 4 2 2 10" xfId="7841"/>
    <cellStyle name="Normal 2 15 4 2 2 10 2" xfId="7842"/>
    <cellStyle name="Normal 2 15 4 2 2 11" xfId="7843"/>
    <cellStyle name="Normal 2 15 4 2 2 2" xfId="7844"/>
    <cellStyle name="Normal 2 15 4 2 2 2 2" xfId="7845"/>
    <cellStyle name="Normal 2 15 4 2 2 3" xfId="7846"/>
    <cellStyle name="Normal 2 15 4 2 2 3 2" xfId="7847"/>
    <cellStyle name="Normal 2 15 4 2 2 4" xfId="7848"/>
    <cellStyle name="Normal 2 15 4 2 2 4 2" xfId="7849"/>
    <cellStyle name="Normal 2 15 4 2 2 5" xfId="7850"/>
    <cellStyle name="Normal 2 15 4 2 2 5 2" xfId="7851"/>
    <cellStyle name="Normal 2 15 4 2 2 6" xfId="7852"/>
    <cellStyle name="Normal 2 15 4 2 2 6 2" xfId="7853"/>
    <cellStyle name="Normal 2 15 4 2 2 7" xfId="7854"/>
    <cellStyle name="Normal 2 15 4 2 2 7 2" xfId="7855"/>
    <cellStyle name="Normal 2 15 4 2 2 8" xfId="7856"/>
    <cellStyle name="Normal 2 15 4 2 2 8 2" xfId="7857"/>
    <cellStyle name="Normal 2 15 4 2 2 9" xfId="7858"/>
    <cellStyle name="Normal 2 15 4 2 2 9 2" xfId="7859"/>
    <cellStyle name="Normal 2 15 4 2 3" xfId="7860"/>
    <cellStyle name="Normal 2 15 4 2 3 2" xfId="7861"/>
    <cellStyle name="Normal 2 15 4 2 4" xfId="7862"/>
    <cellStyle name="Normal 2 15 4 2 4 2" xfId="7863"/>
    <cellStyle name="Normal 2 15 4 2 5" xfId="7864"/>
    <cellStyle name="Normal 2 15 4 2 5 2" xfId="7865"/>
    <cellStyle name="Normal 2 15 4 2 6" xfId="7866"/>
    <cellStyle name="Normal 2 15 4 2 6 2" xfId="7867"/>
    <cellStyle name="Normal 2 15 4 2 7" xfId="7868"/>
    <cellStyle name="Normal 2 15 4 2 7 2" xfId="7869"/>
    <cellStyle name="Normal 2 15 4 2 8" xfId="7870"/>
    <cellStyle name="Normal 2 15 4 2 8 2" xfId="7871"/>
    <cellStyle name="Normal 2 15 4 2 9" xfId="7872"/>
    <cellStyle name="Normal 2 15 4 2 9 2" xfId="7873"/>
    <cellStyle name="Normal 2 15 4 3" xfId="7874"/>
    <cellStyle name="Normal 2 15 4 3 10" xfId="7875"/>
    <cellStyle name="Normal 2 15 4 3 10 2" xfId="7876"/>
    <cellStyle name="Normal 2 15 4 3 11" xfId="7877"/>
    <cellStyle name="Normal 2 15 4 3 2" xfId="7878"/>
    <cellStyle name="Normal 2 15 4 3 2 2" xfId="7879"/>
    <cellStyle name="Normal 2 15 4 3 3" xfId="7880"/>
    <cellStyle name="Normal 2 15 4 3 3 2" xfId="7881"/>
    <cellStyle name="Normal 2 15 4 3 4" xfId="7882"/>
    <cellStyle name="Normal 2 15 4 3 4 2" xfId="7883"/>
    <cellStyle name="Normal 2 15 4 3 5" xfId="7884"/>
    <cellStyle name="Normal 2 15 4 3 5 2" xfId="7885"/>
    <cellStyle name="Normal 2 15 4 3 6" xfId="7886"/>
    <cellStyle name="Normal 2 15 4 3 6 2" xfId="7887"/>
    <cellStyle name="Normal 2 15 4 3 7" xfId="7888"/>
    <cellStyle name="Normal 2 15 4 3 7 2" xfId="7889"/>
    <cellStyle name="Normal 2 15 4 3 8" xfId="7890"/>
    <cellStyle name="Normal 2 15 4 3 8 2" xfId="7891"/>
    <cellStyle name="Normal 2 15 4 3 9" xfId="7892"/>
    <cellStyle name="Normal 2 15 4 3 9 2" xfId="7893"/>
    <cellStyle name="Normal 2 15 4 4" xfId="7894"/>
    <cellStyle name="Normal 2 15 4 4 2" xfId="7895"/>
    <cellStyle name="Normal 2 15 4 5" xfId="7896"/>
    <cellStyle name="Normal 2 15 4 5 2" xfId="7897"/>
    <cellStyle name="Normal 2 15 4 6" xfId="7898"/>
    <cellStyle name="Normal 2 15 4 6 2" xfId="7899"/>
    <cellStyle name="Normal 2 15 4 7" xfId="7900"/>
    <cellStyle name="Normal 2 15 4 7 2" xfId="7901"/>
    <cellStyle name="Normal 2 15 4 8" xfId="7902"/>
    <cellStyle name="Normal 2 15 4 8 2" xfId="7903"/>
    <cellStyle name="Normal 2 15 4 9" xfId="7904"/>
    <cellStyle name="Normal 2 15 4 9 2" xfId="7905"/>
    <cellStyle name="Normal 2 15 5" xfId="7906"/>
    <cellStyle name="Normal 2 15 5 10" xfId="7907"/>
    <cellStyle name="Normal 2 15 5 10 2" xfId="7908"/>
    <cellStyle name="Normal 2 15 5 11" xfId="7909"/>
    <cellStyle name="Normal 2 15 5 11 2" xfId="7910"/>
    <cellStyle name="Normal 2 15 5 12" xfId="7911"/>
    <cellStyle name="Normal 2 15 5 12 2" xfId="7912"/>
    <cellStyle name="Normal 2 15 5 13" xfId="7913"/>
    <cellStyle name="Normal 2 15 5 2" xfId="7914"/>
    <cellStyle name="Normal 2 15 5 2 10" xfId="7915"/>
    <cellStyle name="Normal 2 15 5 2 10 2" xfId="7916"/>
    <cellStyle name="Normal 2 15 5 2 11" xfId="7917"/>
    <cellStyle name="Normal 2 15 5 2 11 2" xfId="7918"/>
    <cellStyle name="Normal 2 15 5 2 12" xfId="7919"/>
    <cellStyle name="Normal 2 15 5 2 2" xfId="7920"/>
    <cellStyle name="Normal 2 15 5 2 2 10" xfId="7921"/>
    <cellStyle name="Normal 2 15 5 2 2 10 2" xfId="7922"/>
    <cellStyle name="Normal 2 15 5 2 2 11" xfId="7923"/>
    <cellStyle name="Normal 2 15 5 2 2 2" xfId="7924"/>
    <cellStyle name="Normal 2 15 5 2 2 2 2" xfId="7925"/>
    <cellStyle name="Normal 2 15 5 2 2 3" xfId="7926"/>
    <cellStyle name="Normal 2 15 5 2 2 3 2" xfId="7927"/>
    <cellStyle name="Normal 2 15 5 2 2 4" xfId="7928"/>
    <cellStyle name="Normal 2 15 5 2 2 4 2" xfId="7929"/>
    <cellStyle name="Normal 2 15 5 2 2 5" xfId="7930"/>
    <cellStyle name="Normal 2 15 5 2 2 5 2" xfId="7931"/>
    <cellStyle name="Normal 2 15 5 2 2 6" xfId="7932"/>
    <cellStyle name="Normal 2 15 5 2 2 6 2" xfId="7933"/>
    <cellStyle name="Normal 2 15 5 2 2 7" xfId="7934"/>
    <cellStyle name="Normal 2 15 5 2 2 7 2" xfId="7935"/>
    <cellStyle name="Normal 2 15 5 2 2 8" xfId="7936"/>
    <cellStyle name="Normal 2 15 5 2 2 8 2" xfId="7937"/>
    <cellStyle name="Normal 2 15 5 2 2 9" xfId="7938"/>
    <cellStyle name="Normal 2 15 5 2 2 9 2" xfId="7939"/>
    <cellStyle name="Normal 2 15 5 2 3" xfId="7940"/>
    <cellStyle name="Normal 2 15 5 2 3 2" xfId="7941"/>
    <cellStyle name="Normal 2 15 5 2 4" xfId="7942"/>
    <cellStyle name="Normal 2 15 5 2 4 2" xfId="7943"/>
    <cellStyle name="Normal 2 15 5 2 5" xfId="7944"/>
    <cellStyle name="Normal 2 15 5 2 5 2" xfId="7945"/>
    <cellStyle name="Normal 2 15 5 2 6" xfId="7946"/>
    <cellStyle name="Normal 2 15 5 2 6 2" xfId="7947"/>
    <cellStyle name="Normal 2 15 5 2 7" xfId="7948"/>
    <cellStyle name="Normal 2 15 5 2 7 2" xfId="7949"/>
    <cellStyle name="Normal 2 15 5 2 8" xfId="7950"/>
    <cellStyle name="Normal 2 15 5 2 8 2" xfId="7951"/>
    <cellStyle name="Normal 2 15 5 2 9" xfId="7952"/>
    <cellStyle name="Normal 2 15 5 2 9 2" xfId="7953"/>
    <cellStyle name="Normal 2 15 5 3" xfId="7954"/>
    <cellStyle name="Normal 2 15 5 3 10" xfId="7955"/>
    <cellStyle name="Normal 2 15 5 3 10 2" xfId="7956"/>
    <cellStyle name="Normal 2 15 5 3 11" xfId="7957"/>
    <cellStyle name="Normal 2 15 5 3 2" xfId="7958"/>
    <cellStyle name="Normal 2 15 5 3 2 2" xfId="7959"/>
    <cellStyle name="Normal 2 15 5 3 3" xfId="7960"/>
    <cellStyle name="Normal 2 15 5 3 3 2" xfId="7961"/>
    <cellStyle name="Normal 2 15 5 3 4" xfId="7962"/>
    <cellStyle name="Normal 2 15 5 3 4 2" xfId="7963"/>
    <cellStyle name="Normal 2 15 5 3 5" xfId="7964"/>
    <cellStyle name="Normal 2 15 5 3 5 2" xfId="7965"/>
    <cellStyle name="Normal 2 15 5 3 6" xfId="7966"/>
    <cellStyle name="Normal 2 15 5 3 6 2" xfId="7967"/>
    <cellStyle name="Normal 2 15 5 3 7" xfId="7968"/>
    <cellStyle name="Normal 2 15 5 3 7 2" xfId="7969"/>
    <cellStyle name="Normal 2 15 5 3 8" xfId="7970"/>
    <cellStyle name="Normal 2 15 5 3 8 2" xfId="7971"/>
    <cellStyle name="Normal 2 15 5 3 9" xfId="7972"/>
    <cellStyle name="Normal 2 15 5 3 9 2" xfId="7973"/>
    <cellStyle name="Normal 2 15 5 4" xfId="7974"/>
    <cellStyle name="Normal 2 15 5 4 2" xfId="7975"/>
    <cellStyle name="Normal 2 15 5 5" xfId="7976"/>
    <cellStyle name="Normal 2 15 5 5 2" xfId="7977"/>
    <cellStyle name="Normal 2 15 5 6" xfId="7978"/>
    <cellStyle name="Normal 2 15 5 6 2" xfId="7979"/>
    <cellStyle name="Normal 2 15 5 7" xfId="7980"/>
    <cellStyle name="Normal 2 15 5 7 2" xfId="7981"/>
    <cellStyle name="Normal 2 15 5 8" xfId="7982"/>
    <cellStyle name="Normal 2 15 5 8 2" xfId="7983"/>
    <cellStyle name="Normal 2 15 5 9" xfId="7984"/>
    <cellStyle name="Normal 2 15 5 9 2" xfId="7985"/>
    <cellStyle name="Normal 2 16" xfId="7986"/>
    <cellStyle name="Normal 2 17" xfId="7987"/>
    <cellStyle name="Normal 2 18" xfId="7988"/>
    <cellStyle name="Normal 2 19" xfId="7989"/>
    <cellStyle name="Normal 2 2" xfId="178"/>
    <cellStyle name="Normal 2 2 10" xfId="7990"/>
    <cellStyle name="Normal 2 2 11" xfId="7991"/>
    <cellStyle name="Normal 2 2 11 10" xfId="7992"/>
    <cellStyle name="Normal 2 2 11 10 2" xfId="7993"/>
    <cellStyle name="Normal 2 2 11 11" xfId="7994"/>
    <cellStyle name="Normal 2 2 11 11 2" xfId="7995"/>
    <cellStyle name="Normal 2 2 11 12" xfId="7996"/>
    <cellStyle name="Normal 2 2 11 12 2" xfId="7997"/>
    <cellStyle name="Normal 2 2 11 13" xfId="7998"/>
    <cellStyle name="Normal 2 2 11 13 2" xfId="7999"/>
    <cellStyle name="Normal 2 2 11 14" xfId="8000"/>
    <cellStyle name="Normal 2 2 11 14 2" xfId="8001"/>
    <cellStyle name="Normal 2 2 11 15" xfId="8002"/>
    <cellStyle name="Normal 2 2 11 15 2" xfId="8003"/>
    <cellStyle name="Normal 2 2 11 16" xfId="8004"/>
    <cellStyle name="Normal 2 2 11 16 2" xfId="8005"/>
    <cellStyle name="Normal 2 2 11 17" xfId="8006"/>
    <cellStyle name="Normal 2 2 11 17 2" xfId="8007"/>
    <cellStyle name="Normal 2 2 11 18" xfId="8008"/>
    <cellStyle name="Normal 2 2 11 2" xfId="8009"/>
    <cellStyle name="Normal 2 2 11 2 2" xfId="8010"/>
    <cellStyle name="Normal 2 2 11 2 2 10" xfId="8011"/>
    <cellStyle name="Normal 2 2 11 2 2 10 2" xfId="8012"/>
    <cellStyle name="Normal 2 2 11 2 2 11" xfId="8013"/>
    <cellStyle name="Normal 2 2 11 2 2 11 2" xfId="8014"/>
    <cellStyle name="Normal 2 2 11 2 2 12" xfId="8015"/>
    <cellStyle name="Normal 2 2 11 2 2 12 2" xfId="8016"/>
    <cellStyle name="Normal 2 2 11 2 2 13" xfId="8017"/>
    <cellStyle name="Normal 2 2 11 2 2 13 2" xfId="8018"/>
    <cellStyle name="Normal 2 2 11 2 2 14" xfId="8019"/>
    <cellStyle name="Normal 2 2 11 2 2 14 2" xfId="8020"/>
    <cellStyle name="Normal 2 2 11 2 2 15" xfId="8021"/>
    <cellStyle name="Normal 2 2 11 2 2 15 2" xfId="8022"/>
    <cellStyle name="Normal 2 2 11 2 2 16" xfId="8023"/>
    <cellStyle name="Normal 2 2 11 2 2 16 2" xfId="8024"/>
    <cellStyle name="Normal 2 2 11 2 2 17" xfId="8025"/>
    <cellStyle name="Normal 2 2 11 2 2 2" xfId="8026"/>
    <cellStyle name="Normal 2 2 11 2 2 3" xfId="8027"/>
    <cellStyle name="Normal 2 2 11 2 2 4" xfId="8028"/>
    <cellStyle name="Normal 2 2 11 2 2 5" xfId="8029"/>
    <cellStyle name="Normal 2 2 11 2 2 6" xfId="8030"/>
    <cellStyle name="Normal 2 2 11 2 2 6 10" xfId="8031"/>
    <cellStyle name="Normal 2 2 11 2 2 6 10 2" xfId="8032"/>
    <cellStyle name="Normal 2 2 11 2 2 6 11" xfId="8033"/>
    <cellStyle name="Normal 2 2 11 2 2 6 11 2" xfId="8034"/>
    <cellStyle name="Normal 2 2 11 2 2 6 12" xfId="8035"/>
    <cellStyle name="Normal 2 2 11 2 2 6 2" xfId="8036"/>
    <cellStyle name="Normal 2 2 11 2 2 6 2 10" xfId="8037"/>
    <cellStyle name="Normal 2 2 11 2 2 6 2 10 2" xfId="8038"/>
    <cellStyle name="Normal 2 2 11 2 2 6 2 11" xfId="8039"/>
    <cellStyle name="Normal 2 2 11 2 2 6 2 2" xfId="8040"/>
    <cellStyle name="Normal 2 2 11 2 2 6 2 2 2" xfId="8041"/>
    <cellStyle name="Normal 2 2 11 2 2 6 2 3" xfId="8042"/>
    <cellStyle name="Normal 2 2 11 2 2 6 2 3 2" xfId="8043"/>
    <cellStyle name="Normal 2 2 11 2 2 6 2 4" xfId="8044"/>
    <cellStyle name="Normal 2 2 11 2 2 6 2 4 2" xfId="8045"/>
    <cellStyle name="Normal 2 2 11 2 2 6 2 5" xfId="8046"/>
    <cellStyle name="Normal 2 2 11 2 2 6 2 5 2" xfId="8047"/>
    <cellStyle name="Normal 2 2 11 2 2 6 2 6" xfId="8048"/>
    <cellStyle name="Normal 2 2 11 2 2 6 2 6 2" xfId="8049"/>
    <cellStyle name="Normal 2 2 11 2 2 6 2 7" xfId="8050"/>
    <cellStyle name="Normal 2 2 11 2 2 6 2 7 2" xfId="8051"/>
    <cellStyle name="Normal 2 2 11 2 2 6 2 8" xfId="8052"/>
    <cellStyle name="Normal 2 2 11 2 2 6 2 8 2" xfId="8053"/>
    <cellStyle name="Normal 2 2 11 2 2 6 2 9" xfId="8054"/>
    <cellStyle name="Normal 2 2 11 2 2 6 2 9 2" xfId="8055"/>
    <cellStyle name="Normal 2 2 11 2 2 6 3" xfId="8056"/>
    <cellStyle name="Normal 2 2 11 2 2 6 3 2" xfId="8057"/>
    <cellStyle name="Normal 2 2 11 2 2 6 4" xfId="8058"/>
    <cellStyle name="Normal 2 2 11 2 2 6 4 2" xfId="8059"/>
    <cellStyle name="Normal 2 2 11 2 2 6 5" xfId="8060"/>
    <cellStyle name="Normal 2 2 11 2 2 6 5 2" xfId="8061"/>
    <cellStyle name="Normal 2 2 11 2 2 6 6" xfId="8062"/>
    <cellStyle name="Normal 2 2 11 2 2 6 6 2" xfId="8063"/>
    <cellStyle name="Normal 2 2 11 2 2 6 7" xfId="8064"/>
    <cellStyle name="Normal 2 2 11 2 2 6 7 2" xfId="8065"/>
    <cellStyle name="Normal 2 2 11 2 2 6 8" xfId="8066"/>
    <cellStyle name="Normal 2 2 11 2 2 6 8 2" xfId="8067"/>
    <cellStyle name="Normal 2 2 11 2 2 6 9" xfId="8068"/>
    <cellStyle name="Normal 2 2 11 2 2 6 9 2" xfId="8069"/>
    <cellStyle name="Normal 2 2 11 2 2 7" xfId="8070"/>
    <cellStyle name="Normal 2 2 11 2 2 7 10" xfId="8071"/>
    <cellStyle name="Normal 2 2 11 2 2 7 10 2" xfId="8072"/>
    <cellStyle name="Normal 2 2 11 2 2 7 11" xfId="8073"/>
    <cellStyle name="Normal 2 2 11 2 2 7 2" xfId="8074"/>
    <cellStyle name="Normal 2 2 11 2 2 7 2 2" xfId="8075"/>
    <cellStyle name="Normal 2 2 11 2 2 7 3" xfId="8076"/>
    <cellStyle name="Normal 2 2 11 2 2 7 3 2" xfId="8077"/>
    <cellStyle name="Normal 2 2 11 2 2 7 4" xfId="8078"/>
    <cellStyle name="Normal 2 2 11 2 2 7 4 2" xfId="8079"/>
    <cellStyle name="Normal 2 2 11 2 2 7 5" xfId="8080"/>
    <cellStyle name="Normal 2 2 11 2 2 7 5 2" xfId="8081"/>
    <cellStyle name="Normal 2 2 11 2 2 7 6" xfId="8082"/>
    <cellStyle name="Normal 2 2 11 2 2 7 6 2" xfId="8083"/>
    <cellStyle name="Normal 2 2 11 2 2 7 7" xfId="8084"/>
    <cellStyle name="Normal 2 2 11 2 2 7 7 2" xfId="8085"/>
    <cellStyle name="Normal 2 2 11 2 2 7 8" xfId="8086"/>
    <cellStyle name="Normal 2 2 11 2 2 7 8 2" xfId="8087"/>
    <cellStyle name="Normal 2 2 11 2 2 7 9" xfId="8088"/>
    <cellStyle name="Normal 2 2 11 2 2 7 9 2" xfId="8089"/>
    <cellStyle name="Normal 2 2 11 2 2 8" xfId="8090"/>
    <cellStyle name="Normal 2 2 11 2 2 8 2" xfId="8091"/>
    <cellStyle name="Normal 2 2 11 2 2 9" xfId="8092"/>
    <cellStyle name="Normal 2 2 11 2 2 9 2" xfId="8093"/>
    <cellStyle name="Normal 2 2 11 2 3" xfId="8094"/>
    <cellStyle name="Normal 2 2 11 2 3 10" xfId="8095"/>
    <cellStyle name="Normal 2 2 11 2 3 10 2" xfId="8096"/>
    <cellStyle name="Normal 2 2 11 2 3 11" xfId="8097"/>
    <cellStyle name="Normal 2 2 11 2 3 11 2" xfId="8098"/>
    <cellStyle name="Normal 2 2 11 2 3 12" xfId="8099"/>
    <cellStyle name="Normal 2 2 11 2 3 12 2" xfId="8100"/>
    <cellStyle name="Normal 2 2 11 2 3 13" xfId="8101"/>
    <cellStyle name="Normal 2 2 11 2 3 2" xfId="8102"/>
    <cellStyle name="Normal 2 2 11 2 3 2 10" xfId="8103"/>
    <cellStyle name="Normal 2 2 11 2 3 2 10 2" xfId="8104"/>
    <cellStyle name="Normal 2 2 11 2 3 2 11" xfId="8105"/>
    <cellStyle name="Normal 2 2 11 2 3 2 11 2" xfId="8106"/>
    <cellStyle name="Normal 2 2 11 2 3 2 12" xfId="8107"/>
    <cellStyle name="Normal 2 2 11 2 3 2 2" xfId="8108"/>
    <cellStyle name="Normal 2 2 11 2 3 2 2 10" xfId="8109"/>
    <cellStyle name="Normal 2 2 11 2 3 2 2 10 2" xfId="8110"/>
    <cellStyle name="Normal 2 2 11 2 3 2 2 11" xfId="8111"/>
    <cellStyle name="Normal 2 2 11 2 3 2 2 2" xfId="8112"/>
    <cellStyle name="Normal 2 2 11 2 3 2 2 2 2" xfId="8113"/>
    <cellStyle name="Normal 2 2 11 2 3 2 2 3" xfId="8114"/>
    <cellStyle name="Normal 2 2 11 2 3 2 2 3 2" xfId="8115"/>
    <cellStyle name="Normal 2 2 11 2 3 2 2 4" xfId="8116"/>
    <cellStyle name="Normal 2 2 11 2 3 2 2 4 2" xfId="8117"/>
    <cellStyle name="Normal 2 2 11 2 3 2 2 5" xfId="8118"/>
    <cellStyle name="Normal 2 2 11 2 3 2 2 5 2" xfId="8119"/>
    <cellStyle name="Normal 2 2 11 2 3 2 2 6" xfId="8120"/>
    <cellStyle name="Normal 2 2 11 2 3 2 2 6 2" xfId="8121"/>
    <cellStyle name="Normal 2 2 11 2 3 2 2 7" xfId="8122"/>
    <cellStyle name="Normal 2 2 11 2 3 2 2 7 2" xfId="8123"/>
    <cellStyle name="Normal 2 2 11 2 3 2 2 8" xfId="8124"/>
    <cellStyle name="Normal 2 2 11 2 3 2 2 8 2" xfId="8125"/>
    <cellStyle name="Normal 2 2 11 2 3 2 2 9" xfId="8126"/>
    <cellStyle name="Normal 2 2 11 2 3 2 2 9 2" xfId="8127"/>
    <cellStyle name="Normal 2 2 11 2 3 2 3" xfId="8128"/>
    <cellStyle name="Normal 2 2 11 2 3 2 3 2" xfId="8129"/>
    <cellStyle name="Normal 2 2 11 2 3 2 4" xfId="8130"/>
    <cellStyle name="Normal 2 2 11 2 3 2 4 2" xfId="8131"/>
    <cellStyle name="Normal 2 2 11 2 3 2 5" xfId="8132"/>
    <cellStyle name="Normal 2 2 11 2 3 2 5 2" xfId="8133"/>
    <cellStyle name="Normal 2 2 11 2 3 2 6" xfId="8134"/>
    <cellStyle name="Normal 2 2 11 2 3 2 6 2" xfId="8135"/>
    <cellStyle name="Normal 2 2 11 2 3 2 7" xfId="8136"/>
    <cellStyle name="Normal 2 2 11 2 3 2 7 2" xfId="8137"/>
    <cellStyle name="Normal 2 2 11 2 3 2 8" xfId="8138"/>
    <cellStyle name="Normal 2 2 11 2 3 2 8 2" xfId="8139"/>
    <cellStyle name="Normal 2 2 11 2 3 2 9" xfId="8140"/>
    <cellStyle name="Normal 2 2 11 2 3 2 9 2" xfId="8141"/>
    <cellStyle name="Normal 2 2 11 2 3 3" xfId="8142"/>
    <cellStyle name="Normal 2 2 11 2 3 3 10" xfId="8143"/>
    <cellStyle name="Normal 2 2 11 2 3 3 10 2" xfId="8144"/>
    <cellStyle name="Normal 2 2 11 2 3 3 11" xfId="8145"/>
    <cellStyle name="Normal 2 2 11 2 3 3 2" xfId="8146"/>
    <cellStyle name="Normal 2 2 11 2 3 3 2 2" xfId="8147"/>
    <cellStyle name="Normal 2 2 11 2 3 3 3" xfId="8148"/>
    <cellStyle name="Normal 2 2 11 2 3 3 3 2" xfId="8149"/>
    <cellStyle name="Normal 2 2 11 2 3 3 4" xfId="8150"/>
    <cellStyle name="Normal 2 2 11 2 3 3 4 2" xfId="8151"/>
    <cellStyle name="Normal 2 2 11 2 3 3 5" xfId="8152"/>
    <cellStyle name="Normal 2 2 11 2 3 3 5 2" xfId="8153"/>
    <cellStyle name="Normal 2 2 11 2 3 3 6" xfId="8154"/>
    <cellStyle name="Normal 2 2 11 2 3 3 6 2" xfId="8155"/>
    <cellStyle name="Normal 2 2 11 2 3 3 7" xfId="8156"/>
    <cellStyle name="Normal 2 2 11 2 3 3 7 2" xfId="8157"/>
    <cellStyle name="Normal 2 2 11 2 3 3 8" xfId="8158"/>
    <cellStyle name="Normal 2 2 11 2 3 3 8 2" xfId="8159"/>
    <cellStyle name="Normal 2 2 11 2 3 3 9" xfId="8160"/>
    <cellStyle name="Normal 2 2 11 2 3 3 9 2" xfId="8161"/>
    <cellStyle name="Normal 2 2 11 2 3 4" xfId="8162"/>
    <cellStyle name="Normal 2 2 11 2 3 4 2" xfId="8163"/>
    <cellStyle name="Normal 2 2 11 2 3 5" xfId="8164"/>
    <cellStyle name="Normal 2 2 11 2 3 5 2" xfId="8165"/>
    <cellStyle name="Normal 2 2 11 2 3 6" xfId="8166"/>
    <cellStyle name="Normal 2 2 11 2 3 6 2" xfId="8167"/>
    <cellStyle name="Normal 2 2 11 2 3 7" xfId="8168"/>
    <cellStyle name="Normal 2 2 11 2 3 7 2" xfId="8169"/>
    <cellStyle name="Normal 2 2 11 2 3 8" xfId="8170"/>
    <cellStyle name="Normal 2 2 11 2 3 8 2" xfId="8171"/>
    <cellStyle name="Normal 2 2 11 2 3 9" xfId="8172"/>
    <cellStyle name="Normal 2 2 11 2 3 9 2" xfId="8173"/>
    <cellStyle name="Normal 2 2 11 2 4" xfId="8174"/>
    <cellStyle name="Normal 2 2 11 2 4 10" xfId="8175"/>
    <cellStyle name="Normal 2 2 11 2 4 10 2" xfId="8176"/>
    <cellStyle name="Normal 2 2 11 2 4 11" xfId="8177"/>
    <cellStyle name="Normal 2 2 11 2 4 11 2" xfId="8178"/>
    <cellStyle name="Normal 2 2 11 2 4 12" xfId="8179"/>
    <cellStyle name="Normal 2 2 11 2 4 12 2" xfId="8180"/>
    <cellStyle name="Normal 2 2 11 2 4 13" xfId="8181"/>
    <cellStyle name="Normal 2 2 11 2 4 2" xfId="8182"/>
    <cellStyle name="Normal 2 2 11 2 4 2 10" xfId="8183"/>
    <cellStyle name="Normal 2 2 11 2 4 2 10 2" xfId="8184"/>
    <cellStyle name="Normal 2 2 11 2 4 2 11" xfId="8185"/>
    <cellStyle name="Normal 2 2 11 2 4 2 11 2" xfId="8186"/>
    <cellStyle name="Normal 2 2 11 2 4 2 12" xfId="8187"/>
    <cellStyle name="Normal 2 2 11 2 4 2 2" xfId="8188"/>
    <cellStyle name="Normal 2 2 11 2 4 2 2 10" xfId="8189"/>
    <cellStyle name="Normal 2 2 11 2 4 2 2 10 2" xfId="8190"/>
    <cellStyle name="Normal 2 2 11 2 4 2 2 11" xfId="8191"/>
    <cellStyle name="Normal 2 2 11 2 4 2 2 2" xfId="8192"/>
    <cellStyle name="Normal 2 2 11 2 4 2 2 2 2" xfId="8193"/>
    <cellStyle name="Normal 2 2 11 2 4 2 2 3" xfId="8194"/>
    <cellStyle name="Normal 2 2 11 2 4 2 2 3 2" xfId="8195"/>
    <cellStyle name="Normal 2 2 11 2 4 2 2 4" xfId="8196"/>
    <cellStyle name="Normal 2 2 11 2 4 2 2 4 2" xfId="8197"/>
    <cellStyle name="Normal 2 2 11 2 4 2 2 5" xfId="8198"/>
    <cellStyle name="Normal 2 2 11 2 4 2 2 5 2" xfId="8199"/>
    <cellStyle name="Normal 2 2 11 2 4 2 2 6" xfId="8200"/>
    <cellStyle name="Normal 2 2 11 2 4 2 2 6 2" xfId="8201"/>
    <cellStyle name="Normal 2 2 11 2 4 2 2 7" xfId="8202"/>
    <cellStyle name="Normal 2 2 11 2 4 2 2 7 2" xfId="8203"/>
    <cellStyle name="Normal 2 2 11 2 4 2 2 8" xfId="8204"/>
    <cellStyle name="Normal 2 2 11 2 4 2 2 8 2" xfId="8205"/>
    <cellStyle name="Normal 2 2 11 2 4 2 2 9" xfId="8206"/>
    <cellStyle name="Normal 2 2 11 2 4 2 2 9 2" xfId="8207"/>
    <cellStyle name="Normal 2 2 11 2 4 2 3" xfId="8208"/>
    <cellStyle name="Normal 2 2 11 2 4 2 3 2" xfId="8209"/>
    <cellStyle name="Normal 2 2 11 2 4 2 4" xfId="8210"/>
    <cellStyle name="Normal 2 2 11 2 4 2 4 2" xfId="8211"/>
    <cellStyle name="Normal 2 2 11 2 4 2 5" xfId="8212"/>
    <cellStyle name="Normal 2 2 11 2 4 2 5 2" xfId="8213"/>
    <cellStyle name="Normal 2 2 11 2 4 2 6" xfId="8214"/>
    <cellStyle name="Normal 2 2 11 2 4 2 6 2" xfId="8215"/>
    <cellStyle name="Normal 2 2 11 2 4 2 7" xfId="8216"/>
    <cellStyle name="Normal 2 2 11 2 4 2 7 2" xfId="8217"/>
    <cellStyle name="Normal 2 2 11 2 4 2 8" xfId="8218"/>
    <cellStyle name="Normal 2 2 11 2 4 2 8 2" xfId="8219"/>
    <cellStyle name="Normal 2 2 11 2 4 2 9" xfId="8220"/>
    <cellStyle name="Normal 2 2 11 2 4 2 9 2" xfId="8221"/>
    <cellStyle name="Normal 2 2 11 2 4 3" xfId="8222"/>
    <cellStyle name="Normal 2 2 11 2 4 3 10" xfId="8223"/>
    <cellStyle name="Normal 2 2 11 2 4 3 10 2" xfId="8224"/>
    <cellStyle name="Normal 2 2 11 2 4 3 11" xfId="8225"/>
    <cellStyle name="Normal 2 2 11 2 4 3 2" xfId="8226"/>
    <cellStyle name="Normal 2 2 11 2 4 3 2 2" xfId="8227"/>
    <cellStyle name="Normal 2 2 11 2 4 3 3" xfId="8228"/>
    <cellStyle name="Normal 2 2 11 2 4 3 3 2" xfId="8229"/>
    <cellStyle name="Normal 2 2 11 2 4 3 4" xfId="8230"/>
    <cellStyle name="Normal 2 2 11 2 4 3 4 2" xfId="8231"/>
    <cellStyle name="Normal 2 2 11 2 4 3 5" xfId="8232"/>
    <cellStyle name="Normal 2 2 11 2 4 3 5 2" xfId="8233"/>
    <cellStyle name="Normal 2 2 11 2 4 3 6" xfId="8234"/>
    <cellStyle name="Normal 2 2 11 2 4 3 6 2" xfId="8235"/>
    <cellStyle name="Normal 2 2 11 2 4 3 7" xfId="8236"/>
    <cellStyle name="Normal 2 2 11 2 4 3 7 2" xfId="8237"/>
    <cellStyle name="Normal 2 2 11 2 4 3 8" xfId="8238"/>
    <cellStyle name="Normal 2 2 11 2 4 3 8 2" xfId="8239"/>
    <cellStyle name="Normal 2 2 11 2 4 3 9" xfId="8240"/>
    <cellStyle name="Normal 2 2 11 2 4 3 9 2" xfId="8241"/>
    <cellStyle name="Normal 2 2 11 2 4 4" xfId="8242"/>
    <cellStyle name="Normal 2 2 11 2 4 4 2" xfId="8243"/>
    <cellStyle name="Normal 2 2 11 2 4 5" xfId="8244"/>
    <cellStyle name="Normal 2 2 11 2 4 5 2" xfId="8245"/>
    <cellStyle name="Normal 2 2 11 2 4 6" xfId="8246"/>
    <cellStyle name="Normal 2 2 11 2 4 6 2" xfId="8247"/>
    <cellStyle name="Normal 2 2 11 2 4 7" xfId="8248"/>
    <cellStyle name="Normal 2 2 11 2 4 7 2" xfId="8249"/>
    <cellStyle name="Normal 2 2 11 2 4 8" xfId="8250"/>
    <cellStyle name="Normal 2 2 11 2 4 8 2" xfId="8251"/>
    <cellStyle name="Normal 2 2 11 2 4 9" xfId="8252"/>
    <cellStyle name="Normal 2 2 11 2 4 9 2" xfId="8253"/>
    <cellStyle name="Normal 2 2 11 2 5" xfId="8254"/>
    <cellStyle name="Normal 2 2 11 2 5 10" xfId="8255"/>
    <cellStyle name="Normal 2 2 11 2 5 10 2" xfId="8256"/>
    <cellStyle name="Normal 2 2 11 2 5 11" xfId="8257"/>
    <cellStyle name="Normal 2 2 11 2 5 11 2" xfId="8258"/>
    <cellStyle name="Normal 2 2 11 2 5 12" xfId="8259"/>
    <cellStyle name="Normal 2 2 11 2 5 12 2" xfId="8260"/>
    <cellStyle name="Normal 2 2 11 2 5 13" xfId="8261"/>
    <cellStyle name="Normal 2 2 11 2 5 2" xfId="8262"/>
    <cellStyle name="Normal 2 2 11 2 5 2 10" xfId="8263"/>
    <cellStyle name="Normal 2 2 11 2 5 2 10 2" xfId="8264"/>
    <cellStyle name="Normal 2 2 11 2 5 2 11" xfId="8265"/>
    <cellStyle name="Normal 2 2 11 2 5 2 11 2" xfId="8266"/>
    <cellStyle name="Normal 2 2 11 2 5 2 12" xfId="8267"/>
    <cellStyle name="Normal 2 2 11 2 5 2 2" xfId="8268"/>
    <cellStyle name="Normal 2 2 11 2 5 2 2 10" xfId="8269"/>
    <cellStyle name="Normal 2 2 11 2 5 2 2 10 2" xfId="8270"/>
    <cellStyle name="Normal 2 2 11 2 5 2 2 11" xfId="8271"/>
    <cellStyle name="Normal 2 2 11 2 5 2 2 2" xfId="8272"/>
    <cellStyle name="Normal 2 2 11 2 5 2 2 2 2" xfId="8273"/>
    <cellStyle name="Normal 2 2 11 2 5 2 2 3" xfId="8274"/>
    <cellStyle name="Normal 2 2 11 2 5 2 2 3 2" xfId="8275"/>
    <cellStyle name="Normal 2 2 11 2 5 2 2 4" xfId="8276"/>
    <cellStyle name="Normal 2 2 11 2 5 2 2 4 2" xfId="8277"/>
    <cellStyle name="Normal 2 2 11 2 5 2 2 5" xfId="8278"/>
    <cellStyle name="Normal 2 2 11 2 5 2 2 5 2" xfId="8279"/>
    <cellStyle name="Normal 2 2 11 2 5 2 2 6" xfId="8280"/>
    <cellStyle name="Normal 2 2 11 2 5 2 2 6 2" xfId="8281"/>
    <cellStyle name="Normal 2 2 11 2 5 2 2 7" xfId="8282"/>
    <cellStyle name="Normal 2 2 11 2 5 2 2 7 2" xfId="8283"/>
    <cellStyle name="Normal 2 2 11 2 5 2 2 8" xfId="8284"/>
    <cellStyle name="Normal 2 2 11 2 5 2 2 8 2" xfId="8285"/>
    <cellStyle name="Normal 2 2 11 2 5 2 2 9" xfId="8286"/>
    <cellStyle name="Normal 2 2 11 2 5 2 2 9 2" xfId="8287"/>
    <cellStyle name="Normal 2 2 11 2 5 2 3" xfId="8288"/>
    <cellStyle name="Normal 2 2 11 2 5 2 3 2" xfId="8289"/>
    <cellStyle name="Normal 2 2 11 2 5 2 4" xfId="8290"/>
    <cellStyle name="Normal 2 2 11 2 5 2 4 2" xfId="8291"/>
    <cellStyle name="Normal 2 2 11 2 5 2 5" xfId="8292"/>
    <cellStyle name="Normal 2 2 11 2 5 2 5 2" xfId="8293"/>
    <cellStyle name="Normal 2 2 11 2 5 2 6" xfId="8294"/>
    <cellStyle name="Normal 2 2 11 2 5 2 6 2" xfId="8295"/>
    <cellStyle name="Normal 2 2 11 2 5 2 7" xfId="8296"/>
    <cellStyle name="Normal 2 2 11 2 5 2 7 2" xfId="8297"/>
    <cellStyle name="Normal 2 2 11 2 5 2 8" xfId="8298"/>
    <cellStyle name="Normal 2 2 11 2 5 2 8 2" xfId="8299"/>
    <cellStyle name="Normal 2 2 11 2 5 2 9" xfId="8300"/>
    <cellStyle name="Normal 2 2 11 2 5 2 9 2" xfId="8301"/>
    <cellStyle name="Normal 2 2 11 2 5 3" xfId="8302"/>
    <cellStyle name="Normal 2 2 11 2 5 3 10" xfId="8303"/>
    <cellStyle name="Normal 2 2 11 2 5 3 10 2" xfId="8304"/>
    <cellStyle name="Normal 2 2 11 2 5 3 11" xfId="8305"/>
    <cellStyle name="Normal 2 2 11 2 5 3 2" xfId="8306"/>
    <cellStyle name="Normal 2 2 11 2 5 3 2 2" xfId="8307"/>
    <cellStyle name="Normal 2 2 11 2 5 3 3" xfId="8308"/>
    <cellStyle name="Normal 2 2 11 2 5 3 3 2" xfId="8309"/>
    <cellStyle name="Normal 2 2 11 2 5 3 4" xfId="8310"/>
    <cellStyle name="Normal 2 2 11 2 5 3 4 2" xfId="8311"/>
    <cellStyle name="Normal 2 2 11 2 5 3 5" xfId="8312"/>
    <cellStyle name="Normal 2 2 11 2 5 3 5 2" xfId="8313"/>
    <cellStyle name="Normal 2 2 11 2 5 3 6" xfId="8314"/>
    <cellStyle name="Normal 2 2 11 2 5 3 6 2" xfId="8315"/>
    <cellStyle name="Normal 2 2 11 2 5 3 7" xfId="8316"/>
    <cellStyle name="Normal 2 2 11 2 5 3 7 2" xfId="8317"/>
    <cellStyle name="Normal 2 2 11 2 5 3 8" xfId="8318"/>
    <cellStyle name="Normal 2 2 11 2 5 3 8 2" xfId="8319"/>
    <cellStyle name="Normal 2 2 11 2 5 3 9" xfId="8320"/>
    <cellStyle name="Normal 2 2 11 2 5 3 9 2" xfId="8321"/>
    <cellStyle name="Normal 2 2 11 2 5 4" xfId="8322"/>
    <cellStyle name="Normal 2 2 11 2 5 4 2" xfId="8323"/>
    <cellStyle name="Normal 2 2 11 2 5 5" xfId="8324"/>
    <cellStyle name="Normal 2 2 11 2 5 5 2" xfId="8325"/>
    <cellStyle name="Normal 2 2 11 2 5 6" xfId="8326"/>
    <cellStyle name="Normal 2 2 11 2 5 6 2" xfId="8327"/>
    <cellStyle name="Normal 2 2 11 2 5 7" xfId="8328"/>
    <cellStyle name="Normal 2 2 11 2 5 7 2" xfId="8329"/>
    <cellStyle name="Normal 2 2 11 2 5 8" xfId="8330"/>
    <cellStyle name="Normal 2 2 11 2 5 8 2" xfId="8331"/>
    <cellStyle name="Normal 2 2 11 2 5 9" xfId="8332"/>
    <cellStyle name="Normal 2 2 11 2 5 9 2" xfId="8333"/>
    <cellStyle name="Normal 2 2 11 3" xfId="8334"/>
    <cellStyle name="Normal 2 2 11 4" xfId="8335"/>
    <cellStyle name="Normal 2 2 11 5" xfId="8336"/>
    <cellStyle name="Normal 2 2 11 6" xfId="8337"/>
    <cellStyle name="Normal 2 2 11 7" xfId="8338"/>
    <cellStyle name="Normal 2 2 11 7 10" xfId="8339"/>
    <cellStyle name="Normal 2 2 11 7 10 2" xfId="8340"/>
    <cellStyle name="Normal 2 2 11 7 11" xfId="8341"/>
    <cellStyle name="Normal 2 2 11 7 11 2" xfId="8342"/>
    <cellStyle name="Normal 2 2 11 7 12" xfId="8343"/>
    <cellStyle name="Normal 2 2 11 7 2" xfId="8344"/>
    <cellStyle name="Normal 2 2 11 7 2 10" xfId="8345"/>
    <cellStyle name="Normal 2 2 11 7 2 10 2" xfId="8346"/>
    <cellStyle name="Normal 2 2 11 7 2 11" xfId="8347"/>
    <cellStyle name="Normal 2 2 11 7 2 2" xfId="8348"/>
    <cellStyle name="Normal 2 2 11 7 2 2 2" xfId="8349"/>
    <cellStyle name="Normal 2 2 11 7 2 3" xfId="8350"/>
    <cellStyle name="Normal 2 2 11 7 2 3 2" xfId="8351"/>
    <cellStyle name="Normal 2 2 11 7 2 4" xfId="8352"/>
    <cellStyle name="Normal 2 2 11 7 2 4 2" xfId="8353"/>
    <cellStyle name="Normal 2 2 11 7 2 5" xfId="8354"/>
    <cellStyle name="Normal 2 2 11 7 2 5 2" xfId="8355"/>
    <cellStyle name="Normal 2 2 11 7 2 6" xfId="8356"/>
    <cellStyle name="Normal 2 2 11 7 2 6 2" xfId="8357"/>
    <cellStyle name="Normal 2 2 11 7 2 7" xfId="8358"/>
    <cellStyle name="Normal 2 2 11 7 2 7 2" xfId="8359"/>
    <cellStyle name="Normal 2 2 11 7 2 8" xfId="8360"/>
    <cellStyle name="Normal 2 2 11 7 2 8 2" xfId="8361"/>
    <cellStyle name="Normal 2 2 11 7 2 9" xfId="8362"/>
    <cellStyle name="Normal 2 2 11 7 2 9 2" xfId="8363"/>
    <cellStyle name="Normal 2 2 11 7 3" xfId="8364"/>
    <cellStyle name="Normal 2 2 11 7 3 2" xfId="8365"/>
    <cellStyle name="Normal 2 2 11 7 4" xfId="8366"/>
    <cellStyle name="Normal 2 2 11 7 4 2" xfId="8367"/>
    <cellStyle name="Normal 2 2 11 7 5" xfId="8368"/>
    <cellStyle name="Normal 2 2 11 7 5 2" xfId="8369"/>
    <cellStyle name="Normal 2 2 11 7 6" xfId="8370"/>
    <cellStyle name="Normal 2 2 11 7 6 2" xfId="8371"/>
    <cellStyle name="Normal 2 2 11 7 7" xfId="8372"/>
    <cellStyle name="Normal 2 2 11 7 7 2" xfId="8373"/>
    <cellStyle name="Normal 2 2 11 7 8" xfId="8374"/>
    <cellStyle name="Normal 2 2 11 7 8 2" xfId="8375"/>
    <cellStyle name="Normal 2 2 11 7 9" xfId="8376"/>
    <cellStyle name="Normal 2 2 11 7 9 2" xfId="8377"/>
    <cellStyle name="Normal 2 2 11 8" xfId="8378"/>
    <cellStyle name="Normal 2 2 11 8 10" xfId="8379"/>
    <cellStyle name="Normal 2 2 11 8 10 2" xfId="8380"/>
    <cellStyle name="Normal 2 2 11 8 11" xfId="8381"/>
    <cellStyle name="Normal 2 2 11 8 2" xfId="8382"/>
    <cellStyle name="Normal 2 2 11 8 2 2" xfId="8383"/>
    <cellStyle name="Normal 2 2 11 8 3" xfId="8384"/>
    <cellStyle name="Normal 2 2 11 8 3 2" xfId="8385"/>
    <cellStyle name="Normal 2 2 11 8 4" xfId="8386"/>
    <cellStyle name="Normal 2 2 11 8 4 2" xfId="8387"/>
    <cellStyle name="Normal 2 2 11 8 5" xfId="8388"/>
    <cellStyle name="Normal 2 2 11 8 5 2" xfId="8389"/>
    <cellStyle name="Normal 2 2 11 8 6" xfId="8390"/>
    <cellStyle name="Normal 2 2 11 8 6 2" xfId="8391"/>
    <cellStyle name="Normal 2 2 11 8 7" xfId="8392"/>
    <cellStyle name="Normal 2 2 11 8 7 2" xfId="8393"/>
    <cellStyle name="Normal 2 2 11 8 8" xfId="8394"/>
    <cellStyle name="Normal 2 2 11 8 8 2" xfId="8395"/>
    <cellStyle name="Normal 2 2 11 8 9" xfId="8396"/>
    <cellStyle name="Normal 2 2 11 8 9 2" xfId="8397"/>
    <cellStyle name="Normal 2 2 11 9" xfId="8398"/>
    <cellStyle name="Normal 2 2 11 9 2" xfId="8399"/>
    <cellStyle name="Normal 2 2 12" xfId="8400"/>
    <cellStyle name="Normal 2 2 13" xfId="8401"/>
    <cellStyle name="Normal 2 2 14" xfId="8402"/>
    <cellStyle name="Normal 2 2 15" xfId="8403"/>
    <cellStyle name="Normal 2 2 15 10" xfId="8404"/>
    <cellStyle name="Normal 2 2 15 10 2" xfId="8405"/>
    <cellStyle name="Normal 2 2 15 11" xfId="8406"/>
    <cellStyle name="Normal 2 2 15 11 2" xfId="8407"/>
    <cellStyle name="Normal 2 2 15 12" xfId="8408"/>
    <cellStyle name="Normal 2 2 15 12 2" xfId="8409"/>
    <cellStyle name="Normal 2 2 15 13" xfId="8410"/>
    <cellStyle name="Normal 2 2 15 13 2" xfId="8411"/>
    <cellStyle name="Normal 2 2 15 14" xfId="8412"/>
    <cellStyle name="Normal 2 2 15 14 2" xfId="8413"/>
    <cellStyle name="Normal 2 2 15 15" xfId="8414"/>
    <cellStyle name="Normal 2 2 15 15 2" xfId="8415"/>
    <cellStyle name="Normal 2 2 15 16" xfId="8416"/>
    <cellStyle name="Normal 2 2 15 16 2" xfId="8417"/>
    <cellStyle name="Normal 2 2 15 17" xfId="8418"/>
    <cellStyle name="Normal 2 2 15 2" xfId="8419"/>
    <cellStyle name="Normal 2 2 15 3" xfId="8420"/>
    <cellStyle name="Normal 2 2 15 4" xfId="8421"/>
    <cellStyle name="Normal 2 2 15 5" xfId="8422"/>
    <cellStyle name="Normal 2 2 15 6" xfId="8423"/>
    <cellStyle name="Normal 2 2 15 6 10" xfId="8424"/>
    <cellStyle name="Normal 2 2 15 6 10 2" xfId="8425"/>
    <cellStyle name="Normal 2 2 15 6 11" xfId="8426"/>
    <cellStyle name="Normal 2 2 15 6 11 2" xfId="8427"/>
    <cellStyle name="Normal 2 2 15 6 12" xfId="8428"/>
    <cellStyle name="Normal 2 2 15 6 2" xfId="8429"/>
    <cellStyle name="Normal 2 2 15 6 2 10" xfId="8430"/>
    <cellStyle name="Normal 2 2 15 6 2 10 2" xfId="8431"/>
    <cellStyle name="Normal 2 2 15 6 2 11" xfId="8432"/>
    <cellStyle name="Normal 2 2 15 6 2 2" xfId="8433"/>
    <cellStyle name="Normal 2 2 15 6 2 2 2" xfId="8434"/>
    <cellStyle name="Normal 2 2 15 6 2 3" xfId="8435"/>
    <cellStyle name="Normal 2 2 15 6 2 3 2" xfId="8436"/>
    <cellStyle name="Normal 2 2 15 6 2 4" xfId="8437"/>
    <cellStyle name="Normal 2 2 15 6 2 4 2" xfId="8438"/>
    <cellStyle name="Normal 2 2 15 6 2 5" xfId="8439"/>
    <cellStyle name="Normal 2 2 15 6 2 5 2" xfId="8440"/>
    <cellStyle name="Normal 2 2 15 6 2 6" xfId="8441"/>
    <cellStyle name="Normal 2 2 15 6 2 6 2" xfId="8442"/>
    <cellStyle name="Normal 2 2 15 6 2 7" xfId="8443"/>
    <cellStyle name="Normal 2 2 15 6 2 7 2" xfId="8444"/>
    <cellStyle name="Normal 2 2 15 6 2 8" xfId="8445"/>
    <cellStyle name="Normal 2 2 15 6 2 8 2" xfId="8446"/>
    <cellStyle name="Normal 2 2 15 6 2 9" xfId="8447"/>
    <cellStyle name="Normal 2 2 15 6 2 9 2" xfId="8448"/>
    <cellStyle name="Normal 2 2 15 6 3" xfId="8449"/>
    <cellStyle name="Normal 2 2 15 6 3 2" xfId="8450"/>
    <cellStyle name="Normal 2 2 15 6 4" xfId="8451"/>
    <cellStyle name="Normal 2 2 15 6 4 2" xfId="8452"/>
    <cellStyle name="Normal 2 2 15 6 5" xfId="8453"/>
    <cellStyle name="Normal 2 2 15 6 5 2" xfId="8454"/>
    <cellStyle name="Normal 2 2 15 6 6" xfId="8455"/>
    <cellStyle name="Normal 2 2 15 6 6 2" xfId="8456"/>
    <cellStyle name="Normal 2 2 15 6 7" xfId="8457"/>
    <cellStyle name="Normal 2 2 15 6 7 2" xfId="8458"/>
    <cellStyle name="Normal 2 2 15 6 8" xfId="8459"/>
    <cellStyle name="Normal 2 2 15 6 8 2" xfId="8460"/>
    <cellStyle name="Normal 2 2 15 6 9" xfId="8461"/>
    <cellStyle name="Normal 2 2 15 6 9 2" xfId="8462"/>
    <cellStyle name="Normal 2 2 15 7" xfId="8463"/>
    <cellStyle name="Normal 2 2 15 7 10" xfId="8464"/>
    <cellStyle name="Normal 2 2 15 7 10 2" xfId="8465"/>
    <cellStyle name="Normal 2 2 15 7 11" xfId="8466"/>
    <cellStyle name="Normal 2 2 15 7 2" xfId="8467"/>
    <cellStyle name="Normal 2 2 15 7 2 2" xfId="8468"/>
    <cellStyle name="Normal 2 2 15 7 3" xfId="8469"/>
    <cellStyle name="Normal 2 2 15 7 3 2" xfId="8470"/>
    <cellStyle name="Normal 2 2 15 7 4" xfId="8471"/>
    <cellStyle name="Normal 2 2 15 7 4 2" xfId="8472"/>
    <cellStyle name="Normal 2 2 15 7 5" xfId="8473"/>
    <cellStyle name="Normal 2 2 15 7 5 2" xfId="8474"/>
    <cellStyle name="Normal 2 2 15 7 6" xfId="8475"/>
    <cellStyle name="Normal 2 2 15 7 6 2" xfId="8476"/>
    <cellStyle name="Normal 2 2 15 7 7" xfId="8477"/>
    <cellStyle name="Normal 2 2 15 7 7 2" xfId="8478"/>
    <cellStyle name="Normal 2 2 15 7 8" xfId="8479"/>
    <cellStyle name="Normal 2 2 15 7 8 2" xfId="8480"/>
    <cellStyle name="Normal 2 2 15 7 9" xfId="8481"/>
    <cellStyle name="Normal 2 2 15 7 9 2" xfId="8482"/>
    <cellStyle name="Normal 2 2 15 8" xfId="8483"/>
    <cellStyle name="Normal 2 2 15 8 2" xfId="8484"/>
    <cellStyle name="Normal 2 2 15 9" xfId="8485"/>
    <cellStyle name="Normal 2 2 15 9 2" xfId="8486"/>
    <cellStyle name="Normal 2 2 16" xfId="8487"/>
    <cellStyle name="Normal 2 2 16 10" xfId="8488"/>
    <cellStyle name="Normal 2 2 16 10 2" xfId="8489"/>
    <cellStyle name="Normal 2 2 16 11" xfId="8490"/>
    <cellStyle name="Normal 2 2 16 11 2" xfId="8491"/>
    <cellStyle name="Normal 2 2 16 12" xfId="8492"/>
    <cellStyle name="Normal 2 2 16 12 2" xfId="8493"/>
    <cellStyle name="Normal 2 2 16 13" xfId="8494"/>
    <cellStyle name="Normal 2 2 16 2" xfId="8495"/>
    <cellStyle name="Normal 2 2 16 2 10" xfId="8496"/>
    <cellStyle name="Normal 2 2 16 2 10 2" xfId="8497"/>
    <cellStyle name="Normal 2 2 16 2 11" xfId="8498"/>
    <cellStyle name="Normal 2 2 16 2 11 2" xfId="8499"/>
    <cellStyle name="Normal 2 2 16 2 12" xfId="8500"/>
    <cellStyle name="Normal 2 2 16 2 2" xfId="8501"/>
    <cellStyle name="Normal 2 2 16 2 2 10" xfId="8502"/>
    <cellStyle name="Normal 2 2 16 2 2 10 2" xfId="8503"/>
    <cellStyle name="Normal 2 2 16 2 2 11" xfId="8504"/>
    <cellStyle name="Normal 2 2 16 2 2 2" xfId="8505"/>
    <cellStyle name="Normal 2 2 16 2 2 2 2" xfId="8506"/>
    <cellStyle name="Normal 2 2 16 2 2 3" xfId="8507"/>
    <cellStyle name="Normal 2 2 16 2 2 3 2" xfId="8508"/>
    <cellStyle name="Normal 2 2 16 2 2 4" xfId="8509"/>
    <cellStyle name="Normal 2 2 16 2 2 4 2" xfId="8510"/>
    <cellStyle name="Normal 2 2 16 2 2 5" xfId="8511"/>
    <cellStyle name="Normal 2 2 16 2 2 5 2" xfId="8512"/>
    <cellStyle name="Normal 2 2 16 2 2 6" xfId="8513"/>
    <cellStyle name="Normal 2 2 16 2 2 6 2" xfId="8514"/>
    <cellStyle name="Normal 2 2 16 2 2 7" xfId="8515"/>
    <cellStyle name="Normal 2 2 16 2 2 7 2" xfId="8516"/>
    <cellStyle name="Normal 2 2 16 2 2 8" xfId="8517"/>
    <cellStyle name="Normal 2 2 16 2 2 8 2" xfId="8518"/>
    <cellStyle name="Normal 2 2 16 2 2 9" xfId="8519"/>
    <cellStyle name="Normal 2 2 16 2 2 9 2" xfId="8520"/>
    <cellStyle name="Normal 2 2 16 2 3" xfId="8521"/>
    <cellStyle name="Normal 2 2 16 2 3 2" xfId="8522"/>
    <cellStyle name="Normal 2 2 16 2 4" xfId="8523"/>
    <cellStyle name="Normal 2 2 16 2 4 2" xfId="8524"/>
    <cellStyle name="Normal 2 2 16 2 5" xfId="8525"/>
    <cellStyle name="Normal 2 2 16 2 5 2" xfId="8526"/>
    <cellStyle name="Normal 2 2 16 2 6" xfId="8527"/>
    <cellStyle name="Normal 2 2 16 2 6 2" xfId="8528"/>
    <cellStyle name="Normal 2 2 16 2 7" xfId="8529"/>
    <cellStyle name="Normal 2 2 16 2 7 2" xfId="8530"/>
    <cellStyle name="Normal 2 2 16 2 8" xfId="8531"/>
    <cellStyle name="Normal 2 2 16 2 8 2" xfId="8532"/>
    <cellStyle name="Normal 2 2 16 2 9" xfId="8533"/>
    <cellStyle name="Normal 2 2 16 2 9 2" xfId="8534"/>
    <cellStyle name="Normal 2 2 16 3" xfId="8535"/>
    <cellStyle name="Normal 2 2 16 3 10" xfId="8536"/>
    <cellStyle name="Normal 2 2 16 3 10 2" xfId="8537"/>
    <cellStyle name="Normal 2 2 16 3 11" xfId="8538"/>
    <cellStyle name="Normal 2 2 16 3 2" xfId="8539"/>
    <cellStyle name="Normal 2 2 16 3 2 2" xfId="8540"/>
    <cellStyle name="Normal 2 2 16 3 3" xfId="8541"/>
    <cellStyle name="Normal 2 2 16 3 3 2" xfId="8542"/>
    <cellStyle name="Normal 2 2 16 3 4" xfId="8543"/>
    <cellStyle name="Normal 2 2 16 3 4 2" xfId="8544"/>
    <cellStyle name="Normal 2 2 16 3 5" xfId="8545"/>
    <cellStyle name="Normal 2 2 16 3 5 2" xfId="8546"/>
    <cellStyle name="Normal 2 2 16 3 6" xfId="8547"/>
    <cellStyle name="Normal 2 2 16 3 6 2" xfId="8548"/>
    <cellStyle name="Normal 2 2 16 3 7" xfId="8549"/>
    <cellStyle name="Normal 2 2 16 3 7 2" xfId="8550"/>
    <cellStyle name="Normal 2 2 16 3 8" xfId="8551"/>
    <cellStyle name="Normal 2 2 16 3 8 2" xfId="8552"/>
    <cellStyle name="Normal 2 2 16 3 9" xfId="8553"/>
    <cellStyle name="Normal 2 2 16 3 9 2" xfId="8554"/>
    <cellStyle name="Normal 2 2 16 4" xfId="8555"/>
    <cellStyle name="Normal 2 2 16 4 2" xfId="8556"/>
    <cellStyle name="Normal 2 2 16 5" xfId="8557"/>
    <cellStyle name="Normal 2 2 16 5 2" xfId="8558"/>
    <cellStyle name="Normal 2 2 16 6" xfId="8559"/>
    <cellStyle name="Normal 2 2 16 6 2" xfId="8560"/>
    <cellStyle name="Normal 2 2 16 7" xfId="8561"/>
    <cellStyle name="Normal 2 2 16 7 2" xfId="8562"/>
    <cellStyle name="Normal 2 2 16 8" xfId="8563"/>
    <cellStyle name="Normal 2 2 16 8 2" xfId="8564"/>
    <cellStyle name="Normal 2 2 16 9" xfId="8565"/>
    <cellStyle name="Normal 2 2 16 9 2" xfId="8566"/>
    <cellStyle name="Normal 2 2 17" xfId="8567"/>
    <cellStyle name="Normal 2 2 17 10" xfId="8568"/>
    <cellStyle name="Normal 2 2 17 10 2" xfId="8569"/>
    <cellStyle name="Normal 2 2 17 11" xfId="8570"/>
    <cellStyle name="Normal 2 2 17 11 2" xfId="8571"/>
    <cellStyle name="Normal 2 2 17 12" xfId="8572"/>
    <cellStyle name="Normal 2 2 17 12 2" xfId="8573"/>
    <cellStyle name="Normal 2 2 17 13" xfId="8574"/>
    <cellStyle name="Normal 2 2 17 2" xfId="8575"/>
    <cellStyle name="Normal 2 2 17 2 10" xfId="8576"/>
    <cellStyle name="Normal 2 2 17 2 10 2" xfId="8577"/>
    <cellStyle name="Normal 2 2 17 2 11" xfId="8578"/>
    <cellStyle name="Normal 2 2 17 2 11 2" xfId="8579"/>
    <cellStyle name="Normal 2 2 17 2 12" xfId="8580"/>
    <cellStyle name="Normal 2 2 17 2 2" xfId="8581"/>
    <cellStyle name="Normal 2 2 17 2 2 10" xfId="8582"/>
    <cellStyle name="Normal 2 2 17 2 2 10 2" xfId="8583"/>
    <cellStyle name="Normal 2 2 17 2 2 11" xfId="8584"/>
    <cellStyle name="Normal 2 2 17 2 2 2" xfId="8585"/>
    <cellStyle name="Normal 2 2 17 2 2 2 2" xfId="8586"/>
    <cellStyle name="Normal 2 2 17 2 2 3" xfId="8587"/>
    <cellStyle name="Normal 2 2 17 2 2 3 2" xfId="8588"/>
    <cellStyle name="Normal 2 2 17 2 2 4" xfId="8589"/>
    <cellStyle name="Normal 2 2 17 2 2 4 2" xfId="8590"/>
    <cellStyle name="Normal 2 2 17 2 2 5" xfId="8591"/>
    <cellStyle name="Normal 2 2 17 2 2 5 2" xfId="8592"/>
    <cellStyle name="Normal 2 2 17 2 2 6" xfId="8593"/>
    <cellStyle name="Normal 2 2 17 2 2 6 2" xfId="8594"/>
    <cellStyle name="Normal 2 2 17 2 2 7" xfId="8595"/>
    <cellStyle name="Normal 2 2 17 2 2 7 2" xfId="8596"/>
    <cellStyle name="Normal 2 2 17 2 2 8" xfId="8597"/>
    <cellStyle name="Normal 2 2 17 2 2 8 2" xfId="8598"/>
    <cellStyle name="Normal 2 2 17 2 2 9" xfId="8599"/>
    <cellStyle name="Normal 2 2 17 2 2 9 2" xfId="8600"/>
    <cellStyle name="Normal 2 2 17 2 3" xfId="8601"/>
    <cellStyle name="Normal 2 2 17 2 3 2" xfId="8602"/>
    <cellStyle name="Normal 2 2 17 2 4" xfId="8603"/>
    <cellStyle name="Normal 2 2 17 2 4 2" xfId="8604"/>
    <cellStyle name="Normal 2 2 17 2 5" xfId="8605"/>
    <cellStyle name="Normal 2 2 17 2 5 2" xfId="8606"/>
    <cellStyle name="Normal 2 2 17 2 6" xfId="8607"/>
    <cellStyle name="Normal 2 2 17 2 6 2" xfId="8608"/>
    <cellStyle name="Normal 2 2 17 2 7" xfId="8609"/>
    <cellStyle name="Normal 2 2 17 2 7 2" xfId="8610"/>
    <cellStyle name="Normal 2 2 17 2 8" xfId="8611"/>
    <cellStyle name="Normal 2 2 17 2 8 2" xfId="8612"/>
    <cellStyle name="Normal 2 2 17 2 9" xfId="8613"/>
    <cellStyle name="Normal 2 2 17 2 9 2" xfId="8614"/>
    <cellStyle name="Normal 2 2 17 3" xfId="8615"/>
    <cellStyle name="Normal 2 2 17 3 10" xfId="8616"/>
    <cellStyle name="Normal 2 2 17 3 10 2" xfId="8617"/>
    <cellStyle name="Normal 2 2 17 3 11" xfId="8618"/>
    <cellStyle name="Normal 2 2 17 3 2" xfId="8619"/>
    <cellStyle name="Normal 2 2 17 3 2 2" xfId="8620"/>
    <cellStyle name="Normal 2 2 17 3 3" xfId="8621"/>
    <cellStyle name="Normal 2 2 17 3 3 2" xfId="8622"/>
    <cellStyle name="Normal 2 2 17 3 4" xfId="8623"/>
    <cellStyle name="Normal 2 2 17 3 4 2" xfId="8624"/>
    <cellStyle name="Normal 2 2 17 3 5" xfId="8625"/>
    <cellStyle name="Normal 2 2 17 3 5 2" xfId="8626"/>
    <cellStyle name="Normal 2 2 17 3 6" xfId="8627"/>
    <cellStyle name="Normal 2 2 17 3 6 2" xfId="8628"/>
    <cellStyle name="Normal 2 2 17 3 7" xfId="8629"/>
    <cellStyle name="Normal 2 2 17 3 7 2" xfId="8630"/>
    <cellStyle name="Normal 2 2 17 3 8" xfId="8631"/>
    <cellStyle name="Normal 2 2 17 3 8 2" xfId="8632"/>
    <cellStyle name="Normal 2 2 17 3 9" xfId="8633"/>
    <cellStyle name="Normal 2 2 17 3 9 2" xfId="8634"/>
    <cellStyle name="Normal 2 2 17 4" xfId="8635"/>
    <cellStyle name="Normal 2 2 17 4 2" xfId="8636"/>
    <cellStyle name="Normal 2 2 17 5" xfId="8637"/>
    <cellStyle name="Normal 2 2 17 5 2" xfId="8638"/>
    <cellStyle name="Normal 2 2 17 6" xfId="8639"/>
    <cellStyle name="Normal 2 2 17 6 2" xfId="8640"/>
    <cellStyle name="Normal 2 2 17 7" xfId="8641"/>
    <cellStyle name="Normal 2 2 17 7 2" xfId="8642"/>
    <cellStyle name="Normal 2 2 17 8" xfId="8643"/>
    <cellStyle name="Normal 2 2 17 8 2" xfId="8644"/>
    <cellStyle name="Normal 2 2 17 9" xfId="8645"/>
    <cellStyle name="Normal 2 2 17 9 2" xfId="8646"/>
    <cellStyle name="Normal 2 2 18" xfId="8647"/>
    <cellStyle name="Normal 2 2 18 10" xfId="8648"/>
    <cellStyle name="Normal 2 2 18 10 2" xfId="8649"/>
    <cellStyle name="Normal 2 2 18 11" xfId="8650"/>
    <cellStyle name="Normal 2 2 18 11 2" xfId="8651"/>
    <cellStyle name="Normal 2 2 18 12" xfId="8652"/>
    <cellStyle name="Normal 2 2 18 12 2" xfId="8653"/>
    <cellStyle name="Normal 2 2 18 13" xfId="8654"/>
    <cellStyle name="Normal 2 2 18 2" xfId="8655"/>
    <cellStyle name="Normal 2 2 18 2 10" xfId="8656"/>
    <cellStyle name="Normal 2 2 18 2 10 2" xfId="8657"/>
    <cellStyle name="Normal 2 2 18 2 11" xfId="8658"/>
    <cellStyle name="Normal 2 2 18 2 11 2" xfId="8659"/>
    <cellStyle name="Normal 2 2 18 2 12" xfId="8660"/>
    <cellStyle name="Normal 2 2 18 2 2" xfId="8661"/>
    <cellStyle name="Normal 2 2 18 2 2 10" xfId="8662"/>
    <cellStyle name="Normal 2 2 18 2 2 10 2" xfId="8663"/>
    <cellStyle name="Normal 2 2 18 2 2 11" xfId="8664"/>
    <cellStyle name="Normal 2 2 18 2 2 2" xfId="8665"/>
    <cellStyle name="Normal 2 2 18 2 2 2 2" xfId="8666"/>
    <cellStyle name="Normal 2 2 18 2 2 3" xfId="8667"/>
    <cellStyle name="Normal 2 2 18 2 2 3 2" xfId="8668"/>
    <cellStyle name="Normal 2 2 18 2 2 4" xfId="8669"/>
    <cellStyle name="Normal 2 2 18 2 2 4 2" xfId="8670"/>
    <cellStyle name="Normal 2 2 18 2 2 5" xfId="8671"/>
    <cellStyle name="Normal 2 2 18 2 2 5 2" xfId="8672"/>
    <cellStyle name="Normal 2 2 18 2 2 6" xfId="8673"/>
    <cellStyle name="Normal 2 2 18 2 2 6 2" xfId="8674"/>
    <cellStyle name="Normal 2 2 18 2 2 7" xfId="8675"/>
    <cellStyle name="Normal 2 2 18 2 2 7 2" xfId="8676"/>
    <cellStyle name="Normal 2 2 18 2 2 8" xfId="8677"/>
    <cellStyle name="Normal 2 2 18 2 2 8 2" xfId="8678"/>
    <cellStyle name="Normal 2 2 18 2 2 9" xfId="8679"/>
    <cellStyle name="Normal 2 2 18 2 2 9 2" xfId="8680"/>
    <cellStyle name="Normal 2 2 18 2 3" xfId="8681"/>
    <cellStyle name="Normal 2 2 18 2 3 2" xfId="8682"/>
    <cellStyle name="Normal 2 2 18 2 4" xfId="8683"/>
    <cellStyle name="Normal 2 2 18 2 4 2" xfId="8684"/>
    <cellStyle name="Normal 2 2 18 2 5" xfId="8685"/>
    <cellStyle name="Normal 2 2 18 2 5 2" xfId="8686"/>
    <cellStyle name="Normal 2 2 18 2 6" xfId="8687"/>
    <cellStyle name="Normal 2 2 18 2 6 2" xfId="8688"/>
    <cellStyle name="Normal 2 2 18 2 7" xfId="8689"/>
    <cellStyle name="Normal 2 2 18 2 7 2" xfId="8690"/>
    <cellStyle name="Normal 2 2 18 2 8" xfId="8691"/>
    <cellStyle name="Normal 2 2 18 2 8 2" xfId="8692"/>
    <cellStyle name="Normal 2 2 18 2 9" xfId="8693"/>
    <cellStyle name="Normal 2 2 18 2 9 2" xfId="8694"/>
    <cellStyle name="Normal 2 2 18 3" xfId="8695"/>
    <cellStyle name="Normal 2 2 18 3 10" xfId="8696"/>
    <cellStyle name="Normal 2 2 18 3 10 2" xfId="8697"/>
    <cellStyle name="Normal 2 2 18 3 11" xfId="8698"/>
    <cellStyle name="Normal 2 2 18 3 2" xfId="8699"/>
    <cellStyle name="Normal 2 2 18 3 2 2" xfId="8700"/>
    <cellStyle name="Normal 2 2 18 3 3" xfId="8701"/>
    <cellStyle name="Normal 2 2 18 3 3 2" xfId="8702"/>
    <cellStyle name="Normal 2 2 18 3 4" xfId="8703"/>
    <cellStyle name="Normal 2 2 18 3 4 2" xfId="8704"/>
    <cellStyle name="Normal 2 2 18 3 5" xfId="8705"/>
    <cellStyle name="Normal 2 2 18 3 5 2" xfId="8706"/>
    <cellStyle name="Normal 2 2 18 3 6" xfId="8707"/>
    <cellStyle name="Normal 2 2 18 3 6 2" xfId="8708"/>
    <cellStyle name="Normal 2 2 18 3 7" xfId="8709"/>
    <cellStyle name="Normal 2 2 18 3 7 2" xfId="8710"/>
    <cellStyle name="Normal 2 2 18 3 8" xfId="8711"/>
    <cellStyle name="Normal 2 2 18 3 8 2" xfId="8712"/>
    <cellStyle name="Normal 2 2 18 3 9" xfId="8713"/>
    <cellStyle name="Normal 2 2 18 3 9 2" xfId="8714"/>
    <cellStyle name="Normal 2 2 18 4" xfId="8715"/>
    <cellStyle name="Normal 2 2 18 4 2" xfId="8716"/>
    <cellStyle name="Normal 2 2 18 5" xfId="8717"/>
    <cellStyle name="Normal 2 2 18 5 2" xfId="8718"/>
    <cellStyle name="Normal 2 2 18 6" xfId="8719"/>
    <cellStyle name="Normal 2 2 18 6 2" xfId="8720"/>
    <cellStyle name="Normal 2 2 18 7" xfId="8721"/>
    <cellStyle name="Normal 2 2 18 7 2" xfId="8722"/>
    <cellStyle name="Normal 2 2 18 8" xfId="8723"/>
    <cellStyle name="Normal 2 2 18 8 2" xfId="8724"/>
    <cellStyle name="Normal 2 2 18 9" xfId="8725"/>
    <cellStyle name="Normal 2 2 18 9 2" xfId="8726"/>
    <cellStyle name="Normal 2 2 19" xfId="8727"/>
    <cellStyle name="Normal 2 2 2" xfId="8728"/>
    <cellStyle name="Normal 2 2 2 10" xfId="8729"/>
    <cellStyle name="Normal 2 2 2 10 10" xfId="8730"/>
    <cellStyle name="Normal 2 2 2 10 10 2" xfId="8731"/>
    <cellStyle name="Normal 2 2 2 10 11" xfId="8732"/>
    <cellStyle name="Normal 2 2 2 10 11 2" xfId="8733"/>
    <cellStyle name="Normal 2 2 2 10 12" xfId="8734"/>
    <cellStyle name="Normal 2 2 2 10 12 2" xfId="8735"/>
    <cellStyle name="Normal 2 2 2 10 13" xfId="8736"/>
    <cellStyle name="Normal 2 2 2 10 2" xfId="8737"/>
    <cellStyle name="Normal 2 2 2 10 2 10" xfId="8738"/>
    <cellStyle name="Normal 2 2 2 10 2 10 2" xfId="8739"/>
    <cellStyle name="Normal 2 2 2 10 2 11" xfId="8740"/>
    <cellStyle name="Normal 2 2 2 10 2 11 2" xfId="8741"/>
    <cellStyle name="Normal 2 2 2 10 2 12" xfId="8742"/>
    <cellStyle name="Normal 2 2 2 10 2 2" xfId="8743"/>
    <cellStyle name="Normal 2 2 2 10 2 2 10" xfId="8744"/>
    <cellStyle name="Normal 2 2 2 10 2 2 10 2" xfId="8745"/>
    <cellStyle name="Normal 2 2 2 10 2 2 11" xfId="8746"/>
    <cellStyle name="Normal 2 2 2 10 2 2 2" xfId="8747"/>
    <cellStyle name="Normal 2 2 2 10 2 2 2 2" xfId="8748"/>
    <cellStyle name="Normal 2 2 2 10 2 2 3" xfId="8749"/>
    <cellStyle name="Normal 2 2 2 10 2 2 3 2" xfId="8750"/>
    <cellStyle name="Normal 2 2 2 10 2 2 4" xfId="8751"/>
    <cellStyle name="Normal 2 2 2 10 2 2 4 2" xfId="8752"/>
    <cellStyle name="Normal 2 2 2 10 2 2 5" xfId="8753"/>
    <cellStyle name="Normal 2 2 2 10 2 2 5 2" xfId="8754"/>
    <cellStyle name="Normal 2 2 2 10 2 2 6" xfId="8755"/>
    <cellStyle name="Normal 2 2 2 10 2 2 6 2" xfId="8756"/>
    <cellStyle name="Normal 2 2 2 10 2 2 7" xfId="8757"/>
    <cellStyle name="Normal 2 2 2 10 2 2 7 2" xfId="8758"/>
    <cellStyle name="Normal 2 2 2 10 2 2 8" xfId="8759"/>
    <cellStyle name="Normal 2 2 2 10 2 2 8 2" xfId="8760"/>
    <cellStyle name="Normal 2 2 2 10 2 2 9" xfId="8761"/>
    <cellStyle name="Normal 2 2 2 10 2 2 9 2" xfId="8762"/>
    <cellStyle name="Normal 2 2 2 10 2 3" xfId="8763"/>
    <cellStyle name="Normal 2 2 2 10 2 3 2" xfId="8764"/>
    <cellStyle name="Normal 2 2 2 10 2 4" xfId="8765"/>
    <cellStyle name="Normal 2 2 2 10 2 4 2" xfId="8766"/>
    <cellStyle name="Normal 2 2 2 10 2 5" xfId="8767"/>
    <cellStyle name="Normal 2 2 2 10 2 5 2" xfId="8768"/>
    <cellStyle name="Normal 2 2 2 10 2 6" xfId="8769"/>
    <cellStyle name="Normal 2 2 2 10 2 6 2" xfId="8770"/>
    <cellStyle name="Normal 2 2 2 10 2 7" xfId="8771"/>
    <cellStyle name="Normal 2 2 2 10 2 7 2" xfId="8772"/>
    <cellStyle name="Normal 2 2 2 10 2 8" xfId="8773"/>
    <cellStyle name="Normal 2 2 2 10 2 8 2" xfId="8774"/>
    <cellStyle name="Normal 2 2 2 10 2 9" xfId="8775"/>
    <cellStyle name="Normal 2 2 2 10 2 9 2" xfId="8776"/>
    <cellStyle name="Normal 2 2 2 10 3" xfId="8777"/>
    <cellStyle name="Normal 2 2 2 10 3 10" xfId="8778"/>
    <cellStyle name="Normal 2 2 2 10 3 10 2" xfId="8779"/>
    <cellStyle name="Normal 2 2 2 10 3 11" xfId="8780"/>
    <cellStyle name="Normal 2 2 2 10 3 2" xfId="8781"/>
    <cellStyle name="Normal 2 2 2 10 3 2 2" xfId="8782"/>
    <cellStyle name="Normal 2 2 2 10 3 3" xfId="8783"/>
    <cellStyle name="Normal 2 2 2 10 3 3 2" xfId="8784"/>
    <cellStyle name="Normal 2 2 2 10 3 4" xfId="8785"/>
    <cellStyle name="Normal 2 2 2 10 3 4 2" xfId="8786"/>
    <cellStyle name="Normal 2 2 2 10 3 5" xfId="8787"/>
    <cellStyle name="Normal 2 2 2 10 3 5 2" xfId="8788"/>
    <cellStyle name="Normal 2 2 2 10 3 6" xfId="8789"/>
    <cellStyle name="Normal 2 2 2 10 3 6 2" xfId="8790"/>
    <cellStyle name="Normal 2 2 2 10 3 7" xfId="8791"/>
    <cellStyle name="Normal 2 2 2 10 3 7 2" xfId="8792"/>
    <cellStyle name="Normal 2 2 2 10 3 8" xfId="8793"/>
    <cellStyle name="Normal 2 2 2 10 3 8 2" xfId="8794"/>
    <cellStyle name="Normal 2 2 2 10 3 9" xfId="8795"/>
    <cellStyle name="Normal 2 2 2 10 3 9 2" xfId="8796"/>
    <cellStyle name="Normal 2 2 2 10 4" xfId="8797"/>
    <cellStyle name="Normal 2 2 2 10 4 2" xfId="8798"/>
    <cellStyle name="Normal 2 2 2 10 5" xfId="8799"/>
    <cellStyle name="Normal 2 2 2 10 5 2" xfId="8800"/>
    <cellStyle name="Normal 2 2 2 10 6" xfId="8801"/>
    <cellStyle name="Normal 2 2 2 10 6 2" xfId="8802"/>
    <cellStyle name="Normal 2 2 2 10 7" xfId="8803"/>
    <cellStyle name="Normal 2 2 2 10 7 2" xfId="8804"/>
    <cellStyle name="Normal 2 2 2 10 8" xfId="8805"/>
    <cellStyle name="Normal 2 2 2 10 8 2" xfId="8806"/>
    <cellStyle name="Normal 2 2 2 10 9" xfId="8807"/>
    <cellStyle name="Normal 2 2 2 10 9 2" xfId="8808"/>
    <cellStyle name="Normal 2 2 2 11" xfId="8809"/>
    <cellStyle name="Normal 2 2 2 11 10" xfId="8810"/>
    <cellStyle name="Normal 2 2 2 11 10 2" xfId="8811"/>
    <cellStyle name="Normal 2 2 2 11 11" xfId="8812"/>
    <cellStyle name="Normal 2 2 2 11 11 2" xfId="8813"/>
    <cellStyle name="Normal 2 2 2 11 12" xfId="8814"/>
    <cellStyle name="Normal 2 2 2 11 12 2" xfId="8815"/>
    <cellStyle name="Normal 2 2 2 11 13" xfId="8816"/>
    <cellStyle name="Normal 2 2 2 11 2" xfId="8817"/>
    <cellStyle name="Normal 2 2 2 11 2 10" xfId="8818"/>
    <cellStyle name="Normal 2 2 2 11 2 10 2" xfId="8819"/>
    <cellStyle name="Normal 2 2 2 11 2 11" xfId="8820"/>
    <cellStyle name="Normal 2 2 2 11 2 11 2" xfId="8821"/>
    <cellStyle name="Normal 2 2 2 11 2 12" xfId="8822"/>
    <cellStyle name="Normal 2 2 2 11 2 2" xfId="8823"/>
    <cellStyle name="Normal 2 2 2 11 2 2 10" xfId="8824"/>
    <cellStyle name="Normal 2 2 2 11 2 2 10 2" xfId="8825"/>
    <cellStyle name="Normal 2 2 2 11 2 2 11" xfId="8826"/>
    <cellStyle name="Normal 2 2 2 11 2 2 2" xfId="8827"/>
    <cellStyle name="Normal 2 2 2 11 2 2 2 2" xfId="8828"/>
    <cellStyle name="Normal 2 2 2 11 2 2 3" xfId="8829"/>
    <cellStyle name="Normal 2 2 2 11 2 2 3 2" xfId="8830"/>
    <cellStyle name="Normal 2 2 2 11 2 2 4" xfId="8831"/>
    <cellStyle name="Normal 2 2 2 11 2 2 4 2" xfId="8832"/>
    <cellStyle name="Normal 2 2 2 11 2 2 5" xfId="8833"/>
    <cellStyle name="Normal 2 2 2 11 2 2 5 2" xfId="8834"/>
    <cellStyle name="Normal 2 2 2 11 2 2 6" xfId="8835"/>
    <cellStyle name="Normal 2 2 2 11 2 2 6 2" xfId="8836"/>
    <cellStyle name="Normal 2 2 2 11 2 2 7" xfId="8837"/>
    <cellStyle name="Normal 2 2 2 11 2 2 7 2" xfId="8838"/>
    <cellStyle name="Normal 2 2 2 11 2 2 8" xfId="8839"/>
    <cellStyle name="Normal 2 2 2 11 2 2 8 2" xfId="8840"/>
    <cellStyle name="Normal 2 2 2 11 2 2 9" xfId="8841"/>
    <cellStyle name="Normal 2 2 2 11 2 2 9 2" xfId="8842"/>
    <cellStyle name="Normal 2 2 2 11 2 3" xfId="8843"/>
    <cellStyle name="Normal 2 2 2 11 2 3 2" xfId="8844"/>
    <cellStyle name="Normal 2 2 2 11 2 4" xfId="8845"/>
    <cellStyle name="Normal 2 2 2 11 2 4 2" xfId="8846"/>
    <cellStyle name="Normal 2 2 2 11 2 5" xfId="8847"/>
    <cellStyle name="Normal 2 2 2 11 2 5 2" xfId="8848"/>
    <cellStyle name="Normal 2 2 2 11 2 6" xfId="8849"/>
    <cellStyle name="Normal 2 2 2 11 2 6 2" xfId="8850"/>
    <cellStyle name="Normal 2 2 2 11 2 7" xfId="8851"/>
    <cellStyle name="Normal 2 2 2 11 2 7 2" xfId="8852"/>
    <cellStyle name="Normal 2 2 2 11 2 8" xfId="8853"/>
    <cellStyle name="Normal 2 2 2 11 2 8 2" xfId="8854"/>
    <cellStyle name="Normal 2 2 2 11 2 9" xfId="8855"/>
    <cellStyle name="Normal 2 2 2 11 2 9 2" xfId="8856"/>
    <cellStyle name="Normal 2 2 2 11 3" xfId="8857"/>
    <cellStyle name="Normal 2 2 2 11 3 10" xfId="8858"/>
    <cellStyle name="Normal 2 2 2 11 3 10 2" xfId="8859"/>
    <cellStyle name="Normal 2 2 2 11 3 11" xfId="8860"/>
    <cellStyle name="Normal 2 2 2 11 3 2" xfId="8861"/>
    <cellStyle name="Normal 2 2 2 11 3 2 2" xfId="8862"/>
    <cellStyle name="Normal 2 2 2 11 3 3" xfId="8863"/>
    <cellStyle name="Normal 2 2 2 11 3 3 2" xfId="8864"/>
    <cellStyle name="Normal 2 2 2 11 3 4" xfId="8865"/>
    <cellStyle name="Normal 2 2 2 11 3 4 2" xfId="8866"/>
    <cellStyle name="Normal 2 2 2 11 3 5" xfId="8867"/>
    <cellStyle name="Normal 2 2 2 11 3 5 2" xfId="8868"/>
    <cellStyle name="Normal 2 2 2 11 3 6" xfId="8869"/>
    <cellStyle name="Normal 2 2 2 11 3 6 2" xfId="8870"/>
    <cellStyle name="Normal 2 2 2 11 3 7" xfId="8871"/>
    <cellStyle name="Normal 2 2 2 11 3 7 2" xfId="8872"/>
    <cellStyle name="Normal 2 2 2 11 3 8" xfId="8873"/>
    <cellStyle name="Normal 2 2 2 11 3 8 2" xfId="8874"/>
    <cellStyle name="Normal 2 2 2 11 3 9" xfId="8875"/>
    <cellStyle name="Normal 2 2 2 11 3 9 2" xfId="8876"/>
    <cellStyle name="Normal 2 2 2 11 4" xfId="8877"/>
    <cellStyle name="Normal 2 2 2 11 4 2" xfId="8878"/>
    <cellStyle name="Normal 2 2 2 11 5" xfId="8879"/>
    <cellStyle name="Normal 2 2 2 11 5 2" xfId="8880"/>
    <cellStyle name="Normal 2 2 2 11 6" xfId="8881"/>
    <cellStyle name="Normal 2 2 2 11 6 2" xfId="8882"/>
    <cellStyle name="Normal 2 2 2 11 7" xfId="8883"/>
    <cellStyle name="Normal 2 2 2 11 7 2" xfId="8884"/>
    <cellStyle name="Normal 2 2 2 11 8" xfId="8885"/>
    <cellStyle name="Normal 2 2 2 11 8 2" xfId="8886"/>
    <cellStyle name="Normal 2 2 2 11 9" xfId="8887"/>
    <cellStyle name="Normal 2 2 2 11 9 2" xfId="8888"/>
    <cellStyle name="Normal 2 2 2 12" xfId="8889"/>
    <cellStyle name="Normal 2 2 2 12 10" xfId="8890"/>
    <cellStyle name="Normal 2 2 2 12 10 2" xfId="8891"/>
    <cellStyle name="Normal 2 2 2 12 11" xfId="8892"/>
    <cellStyle name="Normal 2 2 2 12 11 2" xfId="8893"/>
    <cellStyle name="Normal 2 2 2 12 12" xfId="8894"/>
    <cellStyle name="Normal 2 2 2 12 12 2" xfId="8895"/>
    <cellStyle name="Normal 2 2 2 12 13" xfId="8896"/>
    <cellStyle name="Normal 2 2 2 12 2" xfId="8897"/>
    <cellStyle name="Normal 2 2 2 12 2 10" xfId="8898"/>
    <cellStyle name="Normal 2 2 2 12 2 10 2" xfId="8899"/>
    <cellStyle name="Normal 2 2 2 12 2 11" xfId="8900"/>
    <cellStyle name="Normal 2 2 2 12 2 11 2" xfId="8901"/>
    <cellStyle name="Normal 2 2 2 12 2 12" xfId="8902"/>
    <cellStyle name="Normal 2 2 2 12 2 2" xfId="8903"/>
    <cellStyle name="Normal 2 2 2 12 2 2 10" xfId="8904"/>
    <cellStyle name="Normal 2 2 2 12 2 2 10 2" xfId="8905"/>
    <cellStyle name="Normal 2 2 2 12 2 2 11" xfId="8906"/>
    <cellStyle name="Normal 2 2 2 12 2 2 2" xfId="8907"/>
    <cellStyle name="Normal 2 2 2 12 2 2 2 2" xfId="8908"/>
    <cellStyle name="Normal 2 2 2 12 2 2 3" xfId="8909"/>
    <cellStyle name="Normal 2 2 2 12 2 2 3 2" xfId="8910"/>
    <cellStyle name="Normal 2 2 2 12 2 2 4" xfId="8911"/>
    <cellStyle name="Normal 2 2 2 12 2 2 4 2" xfId="8912"/>
    <cellStyle name="Normal 2 2 2 12 2 2 5" xfId="8913"/>
    <cellStyle name="Normal 2 2 2 12 2 2 5 2" xfId="8914"/>
    <cellStyle name="Normal 2 2 2 12 2 2 6" xfId="8915"/>
    <cellStyle name="Normal 2 2 2 12 2 2 6 2" xfId="8916"/>
    <cellStyle name="Normal 2 2 2 12 2 2 7" xfId="8917"/>
    <cellStyle name="Normal 2 2 2 12 2 2 7 2" xfId="8918"/>
    <cellStyle name="Normal 2 2 2 12 2 2 8" xfId="8919"/>
    <cellStyle name="Normal 2 2 2 12 2 2 8 2" xfId="8920"/>
    <cellStyle name="Normal 2 2 2 12 2 2 9" xfId="8921"/>
    <cellStyle name="Normal 2 2 2 12 2 2 9 2" xfId="8922"/>
    <cellStyle name="Normal 2 2 2 12 2 3" xfId="8923"/>
    <cellStyle name="Normal 2 2 2 12 2 3 2" xfId="8924"/>
    <cellStyle name="Normal 2 2 2 12 2 4" xfId="8925"/>
    <cellStyle name="Normal 2 2 2 12 2 4 2" xfId="8926"/>
    <cellStyle name="Normal 2 2 2 12 2 5" xfId="8927"/>
    <cellStyle name="Normal 2 2 2 12 2 5 2" xfId="8928"/>
    <cellStyle name="Normal 2 2 2 12 2 6" xfId="8929"/>
    <cellStyle name="Normal 2 2 2 12 2 6 2" xfId="8930"/>
    <cellStyle name="Normal 2 2 2 12 2 7" xfId="8931"/>
    <cellStyle name="Normal 2 2 2 12 2 7 2" xfId="8932"/>
    <cellStyle name="Normal 2 2 2 12 2 8" xfId="8933"/>
    <cellStyle name="Normal 2 2 2 12 2 8 2" xfId="8934"/>
    <cellStyle name="Normal 2 2 2 12 2 9" xfId="8935"/>
    <cellStyle name="Normal 2 2 2 12 2 9 2" xfId="8936"/>
    <cellStyle name="Normal 2 2 2 12 3" xfId="8937"/>
    <cellStyle name="Normal 2 2 2 12 3 10" xfId="8938"/>
    <cellStyle name="Normal 2 2 2 12 3 10 2" xfId="8939"/>
    <cellStyle name="Normal 2 2 2 12 3 11" xfId="8940"/>
    <cellStyle name="Normal 2 2 2 12 3 2" xfId="8941"/>
    <cellStyle name="Normal 2 2 2 12 3 2 2" xfId="8942"/>
    <cellStyle name="Normal 2 2 2 12 3 3" xfId="8943"/>
    <cellStyle name="Normal 2 2 2 12 3 3 2" xfId="8944"/>
    <cellStyle name="Normal 2 2 2 12 3 4" xfId="8945"/>
    <cellStyle name="Normal 2 2 2 12 3 4 2" xfId="8946"/>
    <cellStyle name="Normal 2 2 2 12 3 5" xfId="8947"/>
    <cellStyle name="Normal 2 2 2 12 3 5 2" xfId="8948"/>
    <cellStyle name="Normal 2 2 2 12 3 6" xfId="8949"/>
    <cellStyle name="Normal 2 2 2 12 3 6 2" xfId="8950"/>
    <cellStyle name="Normal 2 2 2 12 3 7" xfId="8951"/>
    <cellStyle name="Normal 2 2 2 12 3 7 2" xfId="8952"/>
    <cellStyle name="Normal 2 2 2 12 3 8" xfId="8953"/>
    <cellStyle name="Normal 2 2 2 12 3 8 2" xfId="8954"/>
    <cellStyle name="Normal 2 2 2 12 3 9" xfId="8955"/>
    <cellStyle name="Normal 2 2 2 12 3 9 2" xfId="8956"/>
    <cellStyle name="Normal 2 2 2 12 4" xfId="8957"/>
    <cellStyle name="Normal 2 2 2 12 4 2" xfId="8958"/>
    <cellStyle name="Normal 2 2 2 12 5" xfId="8959"/>
    <cellStyle name="Normal 2 2 2 12 5 2" xfId="8960"/>
    <cellStyle name="Normal 2 2 2 12 6" xfId="8961"/>
    <cellStyle name="Normal 2 2 2 12 6 2" xfId="8962"/>
    <cellStyle name="Normal 2 2 2 12 7" xfId="8963"/>
    <cellStyle name="Normal 2 2 2 12 7 2" xfId="8964"/>
    <cellStyle name="Normal 2 2 2 12 8" xfId="8965"/>
    <cellStyle name="Normal 2 2 2 12 8 2" xfId="8966"/>
    <cellStyle name="Normal 2 2 2 12 9" xfId="8967"/>
    <cellStyle name="Normal 2 2 2 12 9 2" xfId="8968"/>
    <cellStyle name="Normal 2 2 2 13" xfId="8969"/>
    <cellStyle name="Normal 2 2 2 13 2" xfId="8970"/>
    <cellStyle name="Normal 2 2 2 13 2 10" xfId="8971"/>
    <cellStyle name="Normal 2 2 2 13 2 10 2" xfId="8972"/>
    <cellStyle name="Normal 2 2 2 13 2 11" xfId="8973"/>
    <cellStyle name="Normal 2 2 2 13 2 11 2" xfId="8974"/>
    <cellStyle name="Normal 2 2 2 13 2 12" xfId="8975"/>
    <cellStyle name="Normal 2 2 2 13 2 12 2" xfId="8976"/>
    <cellStyle name="Normal 2 2 2 13 2 13" xfId="8977"/>
    <cellStyle name="Normal 2 2 2 13 2 2" xfId="8978"/>
    <cellStyle name="Normal 2 2 2 13 2 2 10" xfId="8979"/>
    <cellStyle name="Normal 2 2 2 13 2 2 10 2" xfId="8980"/>
    <cellStyle name="Normal 2 2 2 13 2 2 11" xfId="8981"/>
    <cellStyle name="Normal 2 2 2 13 2 2 11 2" xfId="8982"/>
    <cellStyle name="Normal 2 2 2 13 2 2 12" xfId="8983"/>
    <cellStyle name="Normal 2 2 2 13 2 2 2" xfId="8984"/>
    <cellStyle name="Normal 2 2 2 13 2 2 2 10" xfId="8985"/>
    <cellStyle name="Normal 2 2 2 13 2 2 2 10 2" xfId="8986"/>
    <cellStyle name="Normal 2 2 2 13 2 2 2 11" xfId="8987"/>
    <cellStyle name="Normal 2 2 2 13 2 2 2 2" xfId="8988"/>
    <cellStyle name="Normal 2 2 2 13 2 2 2 2 2" xfId="8989"/>
    <cellStyle name="Normal 2 2 2 13 2 2 2 3" xfId="8990"/>
    <cellStyle name="Normal 2 2 2 13 2 2 2 3 2" xfId="8991"/>
    <cellStyle name="Normal 2 2 2 13 2 2 2 4" xfId="8992"/>
    <cellStyle name="Normal 2 2 2 13 2 2 2 4 2" xfId="8993"/>
    <cellStyle name="Normal 2 2 2 13 2 2 2 5" xfId="8994"/>
    <cellStyle name="Normal 2 2 2 13 2 2 2 5 2" xfId="8995"/>
    <cellStyle name="Normal 2 2 2 13 2 2 2 6" xfId="8996"/>
    <cellStyle name="Normal 2 2 2 13 2 2 2 6 2" xfId="8997"/>
    <cellStyle name="Normal 2 2 2 13 2 2 2 7" xfId="8998"/>
    <cellStyle name="Normal 2 2 2 13 2 2 2 7 2" xfId="8999"/>
    <cellStyle name="Normal 2 2 2 13 2 2 2 8" xfId="9000"/>
    <cellStyle name="Normal 2 2 2 13 2 2 2 8 2" xfId="9001"/>
    <cellStyle name="Normal 2 2 2 13 2 2 2 9" xfId="9002"/>
    <cellStyle name="Normal 2 2 2 13 2 2 2 9 2" xfId="9003"/>
    <cellStyle name="Normal 2 2 2 13 2 2 3" xfId="9004"/>
    <cellStyle name="Normal 2 2 2 13 2 2 3 2" xfId="9005"/>
    <cellStyle name="Normal 2 2 2 13 2 2 4" xfId="9006"/>
    <cellStyle name="Normal 2 2 2 13 2 2 4 2" xfId="9007"/>
    <cellStyle name="Normal 2 2 2 13 2 2 5" xfId="9008"/>
    <cellStyle name="Normal 2 2 2 13 2 2 5 2" xfId="9009"/>
    <cellStyle name="Normal 2 2 2 13 2 2 6" xfId="9010"/>
    <cellStyle name="Normal 2 2 2 13 2 2 6 2" xfId="9011"/>
    <cellStyle name="Normal 2 2 2 13 2 2 7" xfId="9012"/>
    <cellStyle name="Normal 2 2 2 13 2 2 7 2" xfId="9013"/>
    <cellStyle name="Normal 2 2 2 13 2 2 8" xfId="9014"/>
    <cellStyle name="Normal 2 2 2 13 2 2 8 2" xfId="9015"/>
    <cellStyle name="Normal 2 2 2 13 2 2 9" xfId="9016"/>
    <cellStyle name="Normal 2 2 2 13 2 2 9 2" xfId="9017"/>
    <cellStyle name="Normal 2 2 2 13 2 3" xfId="9018"/>
    <cellStyle name="Normal 2 2 2 13 2 3 10" xfId="9019"/>
    <cellStyle name="Normal 2 2 2 13 2 3 10 2" xfId="9020"/>
    <cellStyle name="Normal 2 2 2 13 2 3 11" xfId="9021"/>
    <cellStyle name="Normal 2 2 2 13 2 3 2" xfId="9022"/>
    <cellStyle name="Normal 2 2 2 13 2 3 2 2" xfId="9023"/>
    <cellStyle name="Normal 2 2 2 13 2 3 3" xfId="9024"/>
    <cellStyle name="Normal 2 2 2 13 2 3 3 2" xfId="9025"/>
    <cellStyle name="Normal 2 2 2 13 2 3 4" xfId="9026"/>
    <cellStyle name="Normal 2 2 2 13 2 3 4 2" xfId="9027"/>
    <cellStyle name="Normal 2 2 2 13 2 3 5" xfId="9028"/>
    <cellStyle name="Normal 2 2 2 13 2 3 5 2" xfId="9029"/>
    <cellStyle name="Normal 2 2 2 13 2 3 6" xfId="9030"/>
    <cellStyle name="Normal 2 2 2 13 2 3 6 2" xfId="9031"/>
    <cellStyle name="Normal 2 2 2 13 2 3 7" xfId="9032"/>
    <cellStyle name="Normal 2 2 2 13 2 3 7 2" xfId="9033"/>
    <cellStyle name="Normal 2 2 2 13 2 3 8" xfId="9034"/>
    <cellStyle name="Normal 2 2 2 13 2 3 8 2" xfId="9035"/>
    <cellStyle name="Normal 2 2 2 13 2 3 9" xfId="9036"/>
    <cellStyle name="Normal 2 2 2 13 2 3 9 2" xfId="9037"/>
    <cellStyle name="Normal 2 2 2 13 2 4" xfId="9038"/>
    <cellStyle name="Normal 2 2 2 13 2 4 2" xfId="9039"/>
    <cellStyle name="Normal 2 2 2 13 2 5" xfId="9040"/>
    <cellStyle name="Normal 2 2 2 13 2 5 2" xfId="9041"/>
    <cellStyle name="Normal 2 2 2 13 2 6" xfId="9042"/>
    <cellStyle name="Normal 2 2 2 13 2 6 2" xfId="9043"/>
    <cellStyle name="Normal 2 2 2 13 2 7" xfId="9044"/>
    <cellStyle name="Normal 2 2 2 13 2 7 2" xfId="9045"/>
    <cellStyle name="Normal 2 2 2 13 2 8" xfId="9046"/>
    <cellStyle name="Normal 2 2 2 13 2 8 2" xfId="9047"/>
    <cellStyle name="Normal 2 2 2 13 2 9" xfId="9048"/>
    <cellStyle name="Normal 2 2 2 13 2 9 2" xfId="9049"/>
    <cellStyle name="Normal 2 2 2 13 3" xfId="9050"/>
    <cellStyle name="Normal 2 2 2 13 3 10" xfId="9051"/>
    <cellStyle name="Normal 2 2 2 13 3 10 2" xfId="9052"/>
    <cellStyle name="Normal 2 2 2 13 3 11" xfId="9053"/>
    <cellStyle name="Normal 2 2 2 13 3 11 2" xfId="9054"/>
    <cellStyle name="Normal 2 2 2 13 3 12" xfId="9055"/>
    <cellStyle name="Normal 2 2 2 13 3 12 2" xfId="9056"/>
    <cellStyle name="Normal 2 2 2 13 3 13" xfId="9057"/>
    <cellStyle name="Normal 2 2 2 13 3 2" xfId="9058"/>
    <cellStyle name="Normal 2 2 2 13 3 2 10" xfId="9059"/>
    <cellStyle name="Normal 2 2 2 13 3 2 10 2" xfId="9060"/>
    <cellStyle name="Normal 2 2 2 13 3 2 11" xfId="9061"/>
    <cellStyle name="Normal 2 2 2 13 3 2 11 2" xfId="9062"/>
    <cellStyle name="Normal 2 2 2 13 3 2 12" xfId="9063"/>
    <cellStyle name="Normal 2 2 2 13 3 2 2" xfId="9064"/>
    <cellStyle name="Normal 2 2 2 13 3 2 2 10" xfId="9065"/>
    <cellStyle name="Normal 2 2 2 13 3 2 2 10 2" xfId="9066"/>
    <cellStyle name="Normal 2 2 2 13 3 2 2 11" xfId="9067"/>
    <cellStyle name="Normal 2 2 2 13 3 2 2 2" xfId="9068"/>
    <cellStyle name="Normal 2 2 2 13 3 2 2 2 2" xfId="9069"/>
    <cellStyle name="Normal 2 2 2 13 3 2 2 3" xfId="9070"/>
    <cellStyle name="Normal 2 2 2 13 3 2 2 3 2" xfId="9071"/>
    <cellStyle name="Normal 2 2 2 13 3 2 2 4" xfId="9072"/>
    <cellStyle name="Normal 2 2 2 13 3 2 2 4 2" xfId="9073"/>
    <cellStyle name="Normal 2 2 2 13 3 2 2 5" xfId="9074"/>
    <cellStyle name="Normal 2 2 2 13 3 2 2 5 2" xfId="9075"/>
    <cellStyle name="Normal 2 2 2 13 3 2 2 6" xfId="9076"/>
    <cellStyle name="Normal 2 2 2 13 3 2 2 6 2" xfId="9077"/>
    <cellStyle name="Normal 2 2 2 13 3 2 2 7" xfId="9078"/>
    <cellStyle name="Normal 2 2 2 13 3 2 2 7 2" xfId="9079"/>
    <cellStyle name="Normal 2 2 2 13 3 2 2 8" xfId="9080"/>
    <cellStyle name="Normal 2 2 2 13 3 2 2 8 2" xfId="9081"/>
    <cellStyle name="Normal 2 2 2 13 3 2 2 9" xfId="9082"/>
    <cellStyle name="Normal 2 2 2 13 3 2 2 9 2" xfId="9083"/>
    <cellStyle name="Normal 2 2 2 13 3 2 3" xfId="9084"/>
    <cellStyle name="Normal 2 2 2 13 3 2 3 2" xfId="9085"/>
    <cellStyle name="Normal 2 2 2 13 3 2 4" xfId="9086"/>
    <cellStyle name="Normal 2 2 2 13 3 2 4 2" xfId="9087"/>
    <cellStyle name="Normal 2 2 2 13 3 2 5" xfId="9088"/>
    <cellStyle name="Normal 2 2 2 13 3 2 5 2" xfId="9089"/>
    <cellStyle name="Normal 2 2 2 13 3 2 6" xfId="9090"/>
    <cellStyle name="Normal 2 2 2 13 3 2 6 2" xfId="9091"/>
    <cellStyle name="Normal 2 2 2 13 3 2 7" xfId="9092"/>
    <cellStyle name="Normal 2 2 2 13 3 2 7 2" xfId="9093"/>
    <cellStyle name="Normal 2 2 2 13 3 2 8" xfId="9094"/>
    <cellStyle name="Normal 2 2 2 13 3 2 8 2" xfId="9095"/>
    <cellStyle name="Normal 2 2 2 13 3 2 9" xfId="9096"/>
    <cellStyle name="Normal 2 2 2 13 3 2 9 2" xfId="9097"/>
    <cellStyle name="Normal 2 2 2 13 3 3" xfId="9098"/>
    <cellStyle name="Normal 2 2 2 13 3 3 10" xfId="9099"/>
    <cellStyle name="Normal 2 2 2 13 3 3 10 2" xfId="9100"/>
    <cellStyle name="Normal 2 2 2 13 3 3 11" xfId="9101"/>
    <cellStyle name="Normal 2 2 2 13 3 3 2" xfId="9102"/>
    <cellStyle name="Normal 2 2 2 13 3 3 2 2" xfId="9103"/>
    <cellStyle name="Normal 2 2 2 13 3 3 3" xfId="9104"/>
    <cellStyle name="Normal 2 2 2 13 3 3 3 2" xfId="9105"/>
    <cellStyle name="Normal 2 2 2 13 3 3 4" xfId="9106"/>
    <cellStyle name="Normal 2 2 2 13 3 3 4 2" xfId="9107"/>
    <cellStyle name="Normal 2 2 2 13 3 3 5" xfId="9108"/>
    <cellStyle name="Normal 2 2 2 13 3 3 5 2" xfId="9109"/>
    <cellStyle name="Normal 2 2 2 13 3 3 6" xfId="9110"/>
    <cellStyle name="Normal 2 2 2 13 3 3 6 2" xfId="9111"/>
    <cellStyle name="Normal 2 2 2 13 3 3 7" xfId="9112"/>
    <cellStyle name="Normal 2 2 2 13 3 3 7 2" xfId="9113"/>
    <cellStyle name="Normal 2 2 2 13 3 3 8" xfId="9114"/>
    <cellStyle name="Normal 2 2 2 13 3 3 8 2" xfId="9115"/>
    <cellStyle name="Normal 2 2 2 13 3 3 9" xfId="9116"/>
    <cellStyle name="Normal 2 2 2 13 3 3 9 2" xfId="9117"/>
    <cellStyle name="Normal 2 2 2 13 3 4" xfId="9118"/>
    <cellStyle name="Normal 2 2 2 13 3 4 2" xfId="9119"/>
    <cellStyle name="Normal 2 2 2 13 3 5" xfId="9120"/>
    <cellStyle name="Normal 2 2 2 13 3 5 2" xfId="9121"/>
    <cellStyle name="Normal 2 2 2 13 3 6" xfId="9122"/>
    <cellStyle name="Normal 2 2 2 13 3 6 2" xfId="9123"/>
    <cellStyle name="Normal 2 2 2 13 3 7" xfId="9124"/>
    <cellStyle name="Normal 2 2 2 13 3 7 2" xfId="9125"/>
    <cellStyle name="Normal 2 2 2 13 3 8" xfId="9126"/>
    <cellStyle name="Normal 2 2 2 13 3 8 2" xfId="9127"/>
    <cellStyle name="Normal 2 2 2 13 3 9" xfId="9128"/>
    <cellStyle name="Normal 2 2 2 13 3 9 2" xfId="9129"/>
    <cellStyle name="Normal 2 2 2 13 4" xfId="9130"/>
    <cellStyle name="Normal 2 2 2 13 4 10" xfId="9131"/>
    <cellStyle name="Normal 2 2 2 13 4 10 2" xfId="9132"/>
    <cellStyle name="Normal 2 2 2 13 4 11" xfId="9133"/>
    <cellStyle name="Normal 2 2 2 13 4 11 2" xfId="9134"/>
    <cellStyle name="Normal 2 2 2 13 4 12" xfId="9135"/>
    <cellStyle name="Normal 2 2 2 13 4 12 2" xfId="9136"/>
    <cellStyle name="Normal 2 2 2 13 4 13" xfId="9137"/>
    <cellStyle name="Normal 2 2 2 13 4 2" xfId="9138"/>
    <cellStyle name="Normal 2 2 2 13 4 2 10" xfId="9139"/>
    <cellStyle name="Normal 2 2 2 13 4 2 10 2" xfId="9140"/>
    <cellStyle name="Normal 2 2 2 13 4 2 11" xfId="9141"/>
    <cellStyle name="Normal 2 2 2 13 4 2 11 2" xfId="9142"/>
    <cellStyle name="Normal 2 2 2 13 4 2 12" xfId="9143"/>
    <cellStyle name="Normal 2 2 2 13 4 2 2" xfId="9144"/>
    <cellStyle name="Normal 2 2 2 13 4 2 2 10" xfId="9145"/>
    <cellStyle name="Normal 2 2 2 13 4 2 2 10 2" xfId="9146"/>
    <cellStyle name="Normal 2 2 2 13 4 2 2 11" xfId="9147"/>
    <cellStyle name="Normal 2 2 2 13 4 2 2 2" xfId="9148"/>
    <cellStyle name="Normal 2 2 2 13 4 2 2 2 2" xfId="9149"/>
    <cellStyle name="Normal 2 2 2 13 4 2 2 3" xfId="9150"/>
    <cellStyle name="Normal 2 2 2 13 4 2 2 3 2" xfId="9151"/>
    <cellStyle name="Normal 2 2 2 13 4 2 2 4" xfId="9152"/>
    <cellStyle name="Normal 2 2 2 13 4 2 2 4 2" xfId="9153"/>
    <cellStyle name="Normal 2 2 2 13 4 2 2 5" xfId="9154"/>
    <cellStyle name="Normal 2 2 2 13 4 2 2 5 2" xfId="9155"/>
    <cellStyle name="Normal 2 2 2 13 4 2 2 6" xfId="9156"/>
    <cellStyle name="Normal 2 2 2 13 4 2 2 6 2" xfId="9157"/>
    <cellStyle name="Normal 2 2 2 13 4 2 2 7" xfId="9158"/>
    <cellStyle name="Normal 2 2 2 13 4 2 2 7 2" xfId="9159"/>
    <cellStyle name="Normal 2 2 2 13 4 2 2 8" xfId="9160"/>
    <cellStyle name="Normal 2 2 2 13 4 2 2 8 2" xfId="9161"/>
    <cellStyle name="Normal 2 2 2 13 4 2 2 9" xfId="9162"/>
    <cellStyle name="Normal 2 2 2 13 4 2 2 9 2" xfId="9163"/>
    <cellStyle name="Normal 2 2 2 13 4 2 3" xfId="9164"/>
    <cellStyle name="Normal 2 2 2 13 4 2 3 2" xfId="9165"/>
    <cellStyle name="Normal 2 2 2 13 4 2 4" xfId="9166"/>
    <cellStyle name="Normal 2 2 2 13 4 2 4 2" xfId="9167"/>
    <cellStyle name="Normal 2 2 2 13 4 2 5" xfId="9168"/>
    <cellStyle name="Normal 2 2 2 13 4 2 5 2" xfId="9169"/>
    <cellStyle name="Normal 2 2 2 13 4 2 6" xfId="9170"/>
    <cellStyle name="Normal 2 2 2 13 4 2 6 2" xfId="9171"/>
    <cellStyle name="Normal 2 2 2 13 4 2 7" xfId="9172"/>
    <cellStyle name="Normal 2 2 2 13 4 2 7 2" xfId="9173"/>
    <cellStyle name="Normal 2 2 2 13 4 2 8" xfId="9174"/>
    <cellStyle name="Normal 2 2 2 13 4 2 8 2" xfId="9175"/>
    <cellStyle name="Normal 2 2 2 13 4 2 9" xfId="9176"/>
    <cellStyle name="Normal 2 2 2 13 4 2 9 2" xfId="9177"/>
    <cellStyle name="Normal 2 2 2 13 4 3" xfId="9178"/>
    <cellStyle name="Normal 2 2 2 13 4 3 10" xfId="9179"/>
    <cellStyle name="Normal 2 2 2 13 4 3 10 2" xfId="9180"/>
    <cellStyle name="Normal 2 2 2 13 4 3 11" xfId="9181"/>
    <cellStyle name="Normal 2 2 2 13 4 3 2" xfId="9182"/>
    <cellStyle name="Normal 2 2 2 13 4 3 2 2" xfId="9183"/>
    <cellStyle name="Normal 2 2 2 13 4 3 3" xfId="9184"/>
    <cellStyle name="Normal 2 2 2 13 4 3 3 2" xfId="9185"/>
    <cellStyle name="Normal 2 2 2 13 4 3 4" xfId="9186"/>
    <cellStyle name="Normal 2 2 2 13 4 3 4 2" xfId="9187"/>
    <cellStyle name="Normal 2 2 2 13 4 3 5" xfId="9188"/>
    <cellStyle name="Normal 2 2 2 13 4 3 5 2" xfId="9189"/>
    <cellStyle name="Normal 2 2 2 13 4 3 6" xfId="9190"/>
    <cellStyle name="Normal 2 2 2 13 4 3 6 2" xfId="9191"/>
    <cellStyle name="Normal 2 2 2 13 4 3 7" xfId="9192"/>
    <cellStyle name="Normal 2 2 2 13 4 3 7 2" xfId="9193"/>
    <cellStyle name="Normal 2 2 2 13 4 3 8" xfId="9194"/>
    <cellStyle name="Normal 2 2 2 13 4 3 8 2" xfId="9195"/>
    <cellStyle name="Normal 2 2 2 13 4 3 9" xfId="9196"/>
    <cellStyle name="Normal 2 2 2 13 4 3 9 2" xfId="9197"/>
    <cellStyle name="Normal 2 2 2 13 4 4" xfId="9198"/>
    <cellStyle name="Normal 2 2 2 13 4 4 2" xfId="9199"/>
    <cellStyle name="Normal 2 2 2 13 4 5" xfId="9200"/>
    <cellStyle name="Normal 2 2 2 13 4 5 2" xfId="9201"/>
    <cellStyle name="Normal 2 2 2 13 4 6" xfId="9202"/>
    <cellStyle name="Normal 2 2 2 13 4 6 2" xfId="9203"/>
    <cellStyle name="Normal 2 2 2 13 4 7" xfId="9204"/>
    <cellStyle name="Normal 2 2 2 13 4 7 2" xfId="9205"/>
    <cellStyle name="Normal 2 2 2 13 4 8" xfId="9206"/>
    <cellStyle name="Normal 2 2 2 13 4 8 2" xfId="9207"/>
    <cellStyle name="Normal 2 2 2 13 4 9" xfId="9208"/>
    <cellStyle name="Normal 2 2 2 13 4 9 2" xfId="9209"/>
    <cellStyle name="Normal 2 2 2 13 5" xfId="9210"/>
    <cellStyle name="Normal 2 2 2 13 5 10" xfId="9211"/>
    <cellStyle name="Normal 2 2 2 13 5 10 2" xfId="9212"/>
    <cellStyle name="Normal 2 2 2 13 5 11" xfId="9213"/>
    <cellStyle name="Normal 2 2 2 13 5 11 2" xfId="9214"/>
    <cellStyle name="Normal 2 2 2 13 5 12" xfId="9215"/>
    <cellStyle name="Normal 2 2 2 13 5 12 2" xfId="9216"/>
    <cellStyle name="Normal 2 2 2 13 5 13" xfId="9217"/>
    <cellStyle name="Normal 2 2 2 13 5 2" xfId="9218"/>
    <cellStyle name="Normal 2 2 2 13 5 2 10" xfId="9219"/>
    <cellStyle name="Normal 2 2 2 13 5 2 10 2" xfId="9220"/>
    <cellStyle name="Normal 2 2 2 13 5 2 11" xfId="9221"/>
    <cellStyle name="Normal 2 2 2 13 5 2 11 2" xfId="9222"/>
    <cellStyle name="Normal 2 2 2 13 5 2 12" xfId="9223"/>
    <cellStyle name="Normal 2 2 2 13 5 2 2" xfId="9224"/>
    <cellStyle name="Normal 2 2 2 13 5 2 2 10" xfId="9225"/>
    <cellStyle name="Normal 2 2 2 13 5 2 2 10 2" xfId="9226"/>
    <cellStyle name="Normal 2 2 2 13 5 2 2 11" xfId="9227"/>
    <cellStyle name="Normal 2 2 2 13 5 2 2 2" xfId="9228"/>
    <cellStyle name="Normal 2 2 2 13 5 2 2 2 2" xfId="9229"/>
    <cellStyle name="Normal 2 2 2 13 5 2 2 3" xfId="9230"/>
    <cellStyle name="Normal 2 2 2 13 5 2 2 3 2" xfId="9231"/>
    <cellStyle name="Normal 2 2 2 13 5 2 2 4" xfId="9232"/>
    <cellStyle name="Normal 2 2 2 13 5 2 2 4 2" xfId="9233"/>
    <cellStyle name="Normal 2 2 2 13 5 2 2 5" xfId="9234"/>
    <cellStyle name="Normal 2 2 2 13 5 2 2 5 2" xfId="9235"/>
    <cellStyle name="Normal 2 2 2 13 5 2 2 6" xfId="9236"/>
    <cellStyle name="Normal 2 2 2 13 5 2 2 6 2" xfId="9237"/>
    <cellStyle name="Normal 2 2 2 13 5 2 2 7" xfId="9238"/>
    <cellStyle name="Normal 2 2 2 13 5 2 2 7 2" xfId="9239"/>
    <cellStyle name="Normal 2 2 2 13 5 2 2 8" xfId="9240"/>
    <cellStyle name="Normal 2 2 2 13 5 2 2 8 2" xfId="9241"/>
    <cellStyle name="Normal 2 2 2 13 5 2 2 9" xfId="9242"/>
    <cellStyle name="Normal 2 2 2 13 5 2 2 9 2" xfId="9243"/>
    <cellStyle name="Normal 2 2 2 13 5 2 3" xfId="9244"/>
    <cellStyle name="Normal 2 2 2 13 5 2 3 2" xfId="9245"/>
    <cellStyle name="Normal 2 2 2 13 5 2 4" xfId="9246"/>
    <cellStyle name="Normal 2 2 2 13 5 2 4 2" xfId="9247"/>
    <cellStyle name="Normal 2 2 2 13 5 2 5" xfId="9248"/>
    <cellStyle name="Normal 2 2 2 13 5 2 5 2" xfId="9249"/>
    <cellStyle name="Normal 2 2 2 13 5 2 6" xfId="9250"/>
    <cellStyle name="Normal 2 2 2 13 5 2 6 2" xfId="9251"/>
    <cellStyle name="Normal 2 2 2 13 5 2 7" xfId="9252"/>
    <cellStyle name="Normal 2 2 2 13 5 2 7 2" xfId="9253"/>
    <cellStyle name="Normal 2 2 2 13 5 2 8" xfId="9254"/>
    <cellStyle name="Normal 2 2 2 13 5 2 8 2" xfId="9255"/>
    <cellStyle name="Normal 2 2 2 13 5 2 9" xfId="9256"/>
    <cellStyle name="Normal 2 2 2 13 5 2 9 2" xfId="9257"/>
    <cellStyle name="Normal 2 2 2 13 5 3" xfId="9258"/>
    <cellStyle name="Normal 2 2 2 13 5 3 10" xfId="9259"/>
    <cellStyle name="Normal 2 2 2 13 5 3 10 2" xfId="9260"/>
    <cellStyle name="Normal 2 2 2 13 5 3 11" xfId="9261"/>
    <cellStyle name="Normal 2 2 2 13 5 3 2" xfId="9262"/>
    <cellStyle name="Normal 2 2 2 13 5 3 2 2" xfId="9263"/>
    <cellStyle name="Normal 2 2 2 13 5 3 3" xfId="9264"/>
    <cellStyle name="Normal 2 2 2 13 5 3 3 2" xfId="9265"/>
    <cellStyle name="Normal 2 2 2 13 5 3 4" xfId="9266"/>
    <cellStyle name="Normal 2 2 2 13 5 3 4 2" xfId="9267"/>
    <cellStyle name="Normal 2 2 2 13 5 3 5" xfId="9268"/>
    <cellStyle name="Normal 2 2 2 13 5 3 5 2" xfId="9269"/>
    <cellStyle name="Normal 2 2 2 13 5 3 6" xfId="9270"/>
    <cellStyle name="Normal 2 2 2 13 5 3 6 2" xfId="9271"/>
    <cellStyle name="Normal 2 2 2 13 5 3 7" xfId="9272"/>
    <cellStyle name="Normal 2 2 2 13 5 3 7 2" xfId="9273"/>
    <cellStyle name="Normal 2 2 2 13 5 3 8" xfId="9274"/>
    <cellStyle name="Normal 2 2 2 13 5 3 8 2" xfId="9275"/>
    <cellStyle name="Normal 2 2 2 13 5 3 9" xfId="9276"/>
    <cellStyle name="Normal 2 2 2 13 5 3 9 2" xfId="9277"/>
    <cellStyle name="Normal 2 2 2 13 5 4" xfId="9278"/>
    <cellStyle name="Normal 2 2 2 13 5 4 2" xfId="9279"/>
    <cellStyle name="Normal 2 2 2 13 5 5" xfId="9280"/>
    <cellStyle name="Normal 2 2 2 13 5 5 2" xfId="9281"/>
    <cellStyle name="Normal 2 2 2 13 5 6" xfId="9282"/>
    <cellStyle name="Normal 2 2 2 13 5 6 2" xfId="9283"/>
    <cellStyle name="Normal 2 2 2 13 5 7" xfId="9284"/>
    <cellStyle name="Normal 2 2 2 13 5 7 2" xfId="9285"/>
    <cellStyle name="Normal 2 2 2 13 5 8" xfId="9286"/>
    <cellStyle name="Normal 2 2 2 13 5 8 2" xfId="9287"/>
    <cellStyle name="Normal 2 2 2 13 5 9" xfId="9288"/>
    <cellStyle name="Normal 2 2 2 13 5 9 2" xfId="9289"/>
    <cellStyle name="Normal 2 2 2 14" xfId="9290"/>
    <cellStyle name="Normal 2 2 2 15" xfId="9291"/>
    <cellStyle name="Normal 2 2 2 16" xfId="9292"/>
    <cellStyle name="Normal 2 2 2 17" xfId="9293"/>
    <cellStyle name="Normal 2 2 2 17 10" xfId="9294"/>
    <cellStyle name="Normal 2 2 2 17 10 2" xfId="9295"/>
    <cellStyle name="Normal 2 2 2 17 11" xfId="9296"/>
    <cellStyle name="Normal 2 2 2 17 11 2" xfId="9297"/>
    <cellStyle name="Normal 2 2 2 17 12" xfId="9298"/>
    <cellStyle name="Normal 2 2 2 17 12 2" xfId="9299"/>
    <cellStyle name="Normal 2 2 2 17 13" xfId="9300"/>
    <cellStyle name="Normal 2 2 2 17 2" xfId="9301"/>
    <cellStyle name="Normal 2 2 2 17 2 10" xfId="9302"/>
    <cellStyle name="Normal 2 2 2 17 2 10 2" xfId="9303"/>
    <cellStyle name="Normal 2 2 2 17 2 11" xfId="9304"/>
    <cellStyle name="Normal 2 2 2 17 2 11 2" xfId="9305"/>
    <cellStyle name="Normal 2 2 2 17 2 12" xfId="9306"/>
    <cellStyle name="Normal 2 2 2 17 2 2" xfId="9307"/>
    <cellStyle name="Normal 2 2 2 17 2 2 10" xfId="9308"/>
    <cellStyle name="Normal 2 2 2 17 2 2 10 2" xfId="9309"/>
    <cellStyle name="Normal 2 2 2 17 2 2 11" xfId="9310"/>
    <cellStyle name="Normal 2 2 2 17 2 2 2" xfId="9311"/>
    <cellStyle name="Normal 2 2 2 17 2 2 2 2" xfId="9312"/>
    <cellStyle name="Normal 2 2 2 17 2 2 3" xfId="9313"/>
    <cellStyle name="Normal 2 2 2 17 2 2 3 2" xfId="9314"/>
    <cellStyle name="Normal 2 2 2 17 2 2 4" xfId="9315"/>
    <cellStyle name="Normal 2 2 2 17 2 2 4 2" xfId="9316"/>
    <cellStyle name="Normal 2 2 2 17 2 2 5" xfId="9317"/>
    <cellStyle name="Normal 2 2 2 17 2 2 5 2" xfId="9318"/>
    <cellStyle name="Normal 2 2 2 17 2 2 6" xfId="9319"/>
    <cellStyle name="Normal 2 2 2 17 2 2 6 2" xfId="9320"/>
    <cellStyle name="Normal 2 2 2 17 2 2 7" xfId="9321"/>
    <cellStyle name="Normal 2 2 2 17 2 2 7 2" xfId="9322"/>
    <cellStyle name="Normal 2 2 2 17 2 2 8" xfId="9323"/>
    <cellStyle name="Normal 2 2 2 17 2 2 8 2" xfId="9324"/>
    <cellStyle name="Normal 2 2 2 17 2 2 9" xfId="9325"/>
    <cellStyle name="Normal 2 2 2 17 2 2 9 2" xfId="9326"/>
    <cellStyle name="Normal 2 2 2 17 2 3" xfId="9327"/>
    <cellStyle name="Normal 2 2 2 17 2 3 2" xfId="9328"/>
    <cellStyle name="Normal 2 2 2 17 2 4" xfId="9329"/>
    <cellStyle name="Normal 2 2 2 17 2 4 2" xfId="9330"/>
    <cellStyle name="Normal 2 2 2 17 2 5" xfId="9331"/>
    <cellStyle name="Normal 2 2 2 17 2 5 2" xfId="9332"/>
    <cellStyle name="Normal 2 2 2 17 2 6" xfId="9333"/>
    <cellStyle name="Normal 2 2 2 17 2 6 2" xfId="9334"/>
    <cellStyle name="Normal 2 2 2 17 2 7" xfId="9335"/>
    <cellStyle name="Normal 2 2 2 17 2 7 2" xfId="9336"/>
    <cellStyle name="Normal 2 2 2 17 2 8" xfId="9337"/>
    <cellStyle name="Normal 2 2 2 17 2 8 2" xfId="9338"/>
    <cellStyle name="Normal 2 2 2 17 2 9" xfId="9339"/>
    <cellStyle name="Normal 2 2 2 17 2 9 2" xfId="9340"/>
    <cellStyle name="Normal 2 2 2 17 3" xfId="9341"/>
    <cellStyle name="Normal 2 2 2 17 3 10" xfId="9342"/>
    <cellStyle name="Normal 2 2 2 17 3 10 2" xfId="9343"/>
    <cellStyle name="Normal 2 2 2 17 3 11" xfId="9344"/>
    <cellStyle name="Normal 2 2 2 17 3 2" xfId="9345"/>
    <cellStyle name="Normal 2 2 2 17 3 2 2" xfId="9346"/>
    <cellStyle name="Normal 2 2 2 17 3 3" xfId="9347"/>
    <cellStyle name="Normal 2 2 2 17 3 3 2" xfId="9348"/>
    <cellStyle name="Normal 2 2 2 17 3 4" xfId="9349"/>
    <cellStyle name="Normal 2 2 2 17 3 4 2" xfId="9350"/>
    <cellStyle name="Normal 2 2 2 17 3 5" xfId="9351"/>
    <cellStyle name="Normal 2 2 2 17 3 5 2" xfId="9352"/>
    <cellStyle name="Normal 2 2 2 17 3 6" xfId="9353"/>
    <cellStyle name="Normal 2 2 2 17 3 6 2" xfId="9354"/>
    <cellStyle name="Normal 2 2 2 17 3 7" xfId="9355"/>
    <cellStyle name="Normal 2 2 2 17 3 7 2" xfId="9356"/>
    <cellStyle name="Normal 2 2 2 17 3 8" xfId="9357"/>
    <cellStyle name="Normal 2 2 2 17 3 8 2" xfId="9358"/>
    <cellStyle name="Normal 2 2 2 17 3 9" xfId="9359"/>
    <cellStyle name="Normal 2 2 2 17 3 9 2" xfId="9360"/>
    <cellStyle name="Normal 2 2 2 17 4" xfId="9361"/>
    <cellStyle name="Normal 2 2 2 17 4 2" xfId="9362"/>
    <cellStyle name="Normal 2 2 2 17 5" xfId="9363"/>
    <cellStyle name="Normal 2 2 2 17 5 2" xfId="9364"/>
    <cellStyle name="Normal 2 2 2 17 6" xfId="9365"/>
    <cellStyle name="Normal 2 2 2 17 6 2" xfId="9366"/>
    <cellStyle name="Normal 2 2 2 17 7" xfId="9367"/>
    <cellStyle name="Normal 2 2 2 17 7 2" xfId="9368"/>
    <cellStyle name="Normal 2 2 2 17 8" xfId="9369"/>
    <cellStyle name="Normal 2 2 2 17 8 2" xfId="9370"/>
    <cellStyle name="Normal 2 2 2 17 9" xfId="9371"/>
    <cellStyle name="Normal 2 2 2 17 9 2" xfId="9372"/>
    <cellStyle name="Normal 2 2 2 2" xfId="9373"/>
    <cellStyle name="Normal 2 2 2 2 10" xfId="9374"/>
    <cellStyle name="Normal 2 2 2 2 11" xfId="9375"/>
    <cellStyle name="Normal 2 2 2 2 12" xfId="9376"/>
    <cellStyle name="Normal 2 2 2 2 13" xfId="9377"/>
    <cellStyle name="Normal 2 2 2 2 13 10" xfId="9378"/>
    <cellStyle name="Normal 2 2 2 2 13 10 2" xfId="9379"/>
    <cellStyle name="Normal 2 2 2 2 13 11" xfId="9380"/>
    <cellStyle name="Normal 2 2 2 2 13 11 2" xfId="9381"/>
    <cellStyle name="Normal 2 2 2 2 13 12" xfId="9382"/>
    <cellStyle name="Normal 2 2 2 2 13 12 2" xfId="9383"/>
    <cellStyle name="Normal 2 2 2 2 13 13" xfId="9384"/>
    <cellStyle name="Normal 2 2 2 2 13 13 2" xfId="9385"/>
    <cellStyle name="Normal 2 2 2 2 13 14" xfId="9386"/>
    <cellStyle name="Normal 2 2 2 2 13 14 2" xfId="9387"/>
    <cellStyle name="Normal 2 2 2 2 13 15" xfId="9388"/>
    <cellStyle name="Normal 2 2 2 2 13 15 2" xfId="9389"/>
    <cellStyle name="Normal 2 2 2 2 13 16" xfId="9390"/>
    <cellStyle name="Normal 2 2 2 2 13 16 2" xfId="9391"/>
    <cellStyle name="Normal 2 2 2 2 13 17" xfId="9392"/>
    <cellStyle name="Normal 2 2 2 2 13 2" xfId="9393"/>
    <cellStyle name="Normal 2 2 2 2 13 3" xfId="9394"/>
    <cellStyle name="Normal 2 2 2 2 13 4" xfId="9395"/>
    <cellStyle name="Normal 2 2 2 2 13 5" xfId="9396"/>
    <cellStyle name="Normal 2 2 2 2 13 6" xfId="9397"/>
    <cellStyle name="Normal 2 2 2 2 13 6 10" xfId="9398"/>
    <cellStyle name="Normal 2 2 2 2 13 6 10 2" xfId="9399"/>
    <cellStyle name="Normal 2 2 2 2 13 6 11" xfId="9400"/>
    <cellStyle name="Normal 2 2 2 2 13 6 11 2" xfId="9401"/>
    <cellStyle name="Normal 2 2 2 2 13 6 12" xfId="9402"/>
    <cellStyle name="Normal 2 2 2 2 13 6 2" xfId="9403"/>
    <cellStyle name="Normal 2 2 2 2 13 6 2 10" xfId="9404"/>
    <cellStyle name="Normal 2 2 2 2 13 6 2 10 2" xfId="9405"/>
    <cellStyle name="Normal 2 2 2 2 13 6 2 11" xfId="9406"/>
    <cellStyle name="Normal 2 2 2 2 13 6 2 2" xfId="9407"/>
    <cellStyle name="Normal 2 2 2 2 13 6 2 2 2" xfId="9408"/>
    <cellStyle name="Normal 2 2 2 2 13 6 2 3" xfId="9409"/>
    <cellStyle name="Normal 2 2 2 2 13 6 2 3 2" xfId="9410"/>
    <cellStyle name="Normal 2 2 2 2 13 6 2 4" xfId="9411"/>
    <cellStyle name="Normal 2 2 2 2 13 6 2 4 2" xfId="9412"/>
    <cellStyle name="Normal 2 2 2 2 13 6 2 5" xfId="9413"/>
    <cellStyle name="Normal 2 2 2 2 13 6 2 5 2" xfId="9414"/>
    <cellStyle name="Normal 2 2 2 2 13 6 2 6" xfId="9415"/>
    <cellStyle name="Normal 2 2 2 2 13 6 2 6 2" xfId="9416"/>
    <cellStyle name="Normal 2 2 2 2 13 6 2 7" xfId="9417"/>
    <cellStyle name="Normal 2 2 2 2 13 6 2 7 2" xfId="9418"/>
    <cellStyle name="Normal 2 2 2 2 13 6 2 8" xfId="9419"/>
    <cellStyle name="Normal 2 2 2 2 13 6 2 8 2" xfId="9420"/>
    <cellStyle name="Normal 2 2 2 2 13 6 2 9" xfId="9421"/>
    <cellStyle name="Normal 2 2 2 2 13 6 2 9 2" xfId="9422"/>
    <cellStyle name="Normal 2 2 2 2 13 6 3" xfId="9423"/>
    <cellStyle name="Normal 2 2 2 2 13 6 3 2" xfId="9424"/>
    <cellStyle name="Normal 2 2 2 2 13 6 4" xfId="9425"/>
    <cellStyle name="Normal 2 2 2 2 13 6 4 2" xfId="9426"/>
    <cellStyle name="Normal 2 2 2 2 13 6 5" xfId="9427"/>
    <cellStyle name="Normal 2 2 2 2 13 6 5 2" xfId="9428"/>
    <cellStyle name="Normal 2 2 2 2 13 6 6" xfId="9429"/>
    <cellStyle name="Normal 2 2 2 2 13 6 6 2" xfId="9430"/>
    <cellStyle name="Normal 2 2 2 2 13 6 7" xfId="9431"/>
    <cellStyle name="Normal 2 2 2 2 13 6 7 2" xfId="9432"/>
    <cellStyle name="Normal 2 2 2 2 13 6 8" xfId="9433"/>
    <cellStyle name="Normal 2 2 2 2 13 6 8 2" xfId="9434"/>
    <cellStyle name="Normal 2 2 2 2 13 6 9" xfId="9435"/>
    <cellStyle name="Normal 2 2 2 2 13 6 9 2" xfId="9436"/>
    <cellStyle name="Normal 2 2 2 2 13 7" xfId="9437"/>
    <cellStyle name="Normal 2 2 2 2 13 7 10" xfId="9438"/>
    <cellStyle name="Normal 2 2 2 2 13 7 10 2" xfId="9439"/>
    <cellStyle name="Normal 2 2 2 2 13 7 11" xfId="9440"/>
    <cellStyle name="Normal 2 2 2 2 13 7 2" xfId="9441"/>
    <cellStyle name="Normal 2 2 2 2 13 7 2 2" xfId="9442"/>
    <cellStyle name="Normal 2 2 2 2 13 7 3" xfId="9443"/>
    <cellStyle name="Normal 2 2 2 2 13 7 3 2" xfId="9444"/>
    <cellStyle name="Normal 2 2 2 2 13 7 4" xfId="9445"/>
    <cellStyle name="Normal 2 2 2 2 13 7 4 2" xfId="9446"/>
    <cellStyle name="Normal 2 2 2 2 13 7 5" xfId="9447"/>
    <cellStyle name="Normal 2 2 2 2 13 7 5 2" xfId="9448"/>
    <cellStyle name="Normal 2 2 2 2 13 7 6" xfId="9449"/>
    <cellStyle name="Normal 2 2 2 2 13 7 6 2" xfId="9450"/>
    <cellStyle name="Normal 2 2 2 2 13 7 7" xfId="9451"/>
    <cellStyle name="Normal 2 2 2 2 13 7 7 2" xfId="9452"/>
    <cellStyle name="Normal 2 2 2 2 13 7 8" xfId="9453"/>
    <cellStyle name="Normal 2 2 2 2 13 7 8 2" xfId="9454"/>
    <cellStyle name="Normal 2 2 2 2 13 7 9" xfId="9455"/>
    <cellStyle name="Normal 2 2 2 2 13 7 9 2" xfId="9456"/>
    <cellStyle name="Normal 2 2 2 2 13 8" xfId="9457"/>
    <cellStyle name="Normal 2 2 2 2 13 8 2" xfId="9458"/>
    <cellStyle name="Normal 2 2 2 2 13 9" xfId="9459"/>
    <cellStyle name="Normal 2 2 2 2 13 9 2" xfId="9460"/>
    <cellStyle name="Normal 2 2 2 2 14" xfId="9461"/>
    <cellStyle name="Normal 2 2 2 2 14 10" xfId="9462"/>
    <cellStyle name="Normal 2 2 2 2 14 10 2" xfId="9463"/>
    <cellStyle name="Normal 2 2 2 2 14 11" xfId="9464"/>
    <cellStyle name="Normal 2 2 2 2 14 11 2" xfId="9465"/>
    <cellStyle name="Normal 2 2 2 2 14 12" xfId="9466"/>
    <cellStyle name="Normal 2 2 2 2 14 12 2" xfId="9467"/>
    <cellStyle name="Normal 2 2 2 2 14 13" xfId="9468"/>
    <cellStyle name="Normal 2 2 2 2 14 2" xfId="9469"/>
    <cellStyle name="Normal 2 2 2 2 14 2 10" xfId="9470"/>
    <cellStyle name="Normal 2 2 2 2 14 2 10 2" xfId="9471"/>
    <cellStyle name="Normal 2 2 2 2 14 2 11" xfId="9472"/>
    <cellStyle name="Normal 2 2 2 2 14 2 11 2" xfId="9473"/>
    <cellStyle name="Normal 2 2 2 2 14 2 12" xfId="9474"/>
    <cellStyle name="Normal 2 2 2 2 14 2 2" xfId="9475"/>
    <cellStyle name="Normal 2 2 2 2 14 2 2 10" xfId="9476"/>
    <cellStyle name="Normal 2 2 2 2 14 2 2 10 2" xfId="9477"/>
    <cellStyle name="Normal 2 2 2 2 14 2 2 11" xfId="9478"/>
    <cellStyle name="Normal 2 2 2 2 14 2 2 2" xfId="9479"/>
    <cellStyle name="Normal 2 2 2 2 14 2 2 2 2" xfId="9480"/>
    <cellStyle name="Normal 2 2 2 2 14 2 2 3" xfId="9481"/>
    <cellStyle name="Normal 2 2 2 2 14 2 2 3 2" xfId="9482"/>
    <cellStyle name="Normal 2 2 2 2 14 2 2 4" xfId="9483"/>
    <cellStyle name="Normal 2 2 2 2 14 2 2 4 2" xfId="9484"/>
    <cellStyle name="Normal 2 2 2 2 14 2 2 5" xfId="9485"/>
    <cellStyle name="Normal 2 2 2 2 14 2 2 5 2" xfId="9486"/>
    <cellStyle name="Normal 2 2 2 2 14 2 2 6" xfId="9487"/>
    <cellStyle name="Normal 2 2 2 2 14 2 2 6 2" xfId="9488"/>
    <cellStyle name="Normal 2 2 2 2 14 2 2 7" xfId="9489"/>
    <cellStyle name="Normal 2 2 2 2 14 2 2 7 2" xfId="9490"/>
    <cellStyle name="Normal 2 2 2 2 14 2 2 8" xfId="9491"/>
    <cellStyle name="Normal 2 2 2 2 14 2 2 8 2" xfId="9492"/>
    <cellStyle name="Normal 2 2 2 2 14 2 2 9" xfId="9493"/>
    <cellStyle name="Normal 2 2 2 2 14 2 2 9 2" xfId="9494"/>
    <cellStyle name="Normal 2 2 2 2 14 2 3" xfId="9495"/>
    <cellStyle name="Normal 2 2 2 2 14 2 3 2" xfId="9496"/>
    <cellStyle name="Normal 2 2 2 2 14 2 4" xfId="9497"/>
    <cellStyle name="Normal 2 2 2 2 14 2 4 2" xfId="9498"/>
    <cellStyle name="Normal 2 2 2 2 14 2 5" xfId="9499"/>
    <cellStyle name="Normal 2 2 2 2 14 2 5 2" xfId="9500"/>
    <cellStyle name="Normal 2 2 2 2 14 2 6" xfId="9501"/>
    <cellStyle name="Normal 2 2 2 2 14 2 6 2" xfId="9502"/>
    <cellStyle name="Normal 2 2 2 2 14 2 7" xfId="9503"/>
    <cellStyle name="Normal 2 2 2 2 14 2 7 2" xfId="9504"/>
    <cellStyle name="Normal 2 2 2 2 14 2 8" xfId="9505"/>
    <cellStyle name="Normal 2 2 2 2 14 2 8 2" xfId="9506"/>
    <cellStyle name="Normal 2 2 2 2 14 2 9" xfId="9507"/>
    <cellStyle name="Normal 2 2 2 2 14 2 9 2" xfId="9508"/>
    <cellStyle name="Normal 2 2 2 2 14 3" xfId="9509"/>
    <cellStyle name="Normal 2 2 2 2 14 3 10" xfId="9510"/>
    <cellStyle name="Normal 2 2 2 2 14 3 10 2" xfId="9511"/>
    <cellStyle name="Normal 2 2 2 2 14 3 11" xfId="9512"/>
    <cellStyle name="Normal 2 2 2 2 14 3 2" xfId="9513"/>
    <cellStyle name="Normal 2 2 2 2 14 3 2 2" xfId="9514"/>
    <cellStyle name="Normal 2 2 2 2 14 3 3" xfId="9515"/>
    <cellStyle name="Normal 2 2 2 2 14 3 3 2" xfId="9516"/>
    <cellStyle name="Normal 2 2 2 2 14 3 4" xfId="9517"/>
    <cellStyle name="Normal 2 2 2 2 14 3 4 2" xfId="9518"/>
    <cellStyle name="Normal 2 2 2 2 14 3 5" xfId="9519"/>
    <cellStyle name="Normal 2 2 2 2 14 3 5 2" xfId="9520"/>
    <cellStyle name="Normal 2 2 2 2 14 3 6" xfId="9521"/>
    <cellStyle name="Normal 2 2 2 2 14 3 6 2" xfId="9522"/>
    <cellStyle name="Normal 2 2 2 2 14 3 7" xfId="9523"/>
    <cellStyle name="Normal 2 2 2 2 14 3 7 2" xfId="9524"/>
    <cellStyle name="Normal 2 2 2 2 14 3 8" xfId="9525"/>
    <cellStyle name="Normal 2 2 2 2 14 3 8 2" xfId="9526"/>
    <cellStyle name="Normal 2 2 2 2 14 3 9" xfId="9527"/>
    <cellStyle name="Normal 2 2 2 2 14 3 9 2" xfId="9528"/>
    <cellStyle name="Normal 2 2 2 2 14 4" xfId="9529"/>
    <cellStyle name="Normal 2 2 2 2 14 4 2" xfId="9530"/>
    <cellStyle name="Normal 2 2 2 2 14 5" xfId="9531"/>
    <cellStyle name="Normal 2 2 2 2 14 5 2" xfId="9532"/>
    <cellStyle name="Normal 2 2 2 2 14 6" xfId="9533"/>
    <cellStyle name="Normal 2 2 2 2 14 6 2" xfId="9534"/>
    <cellStyle name="Normal 2 2 2 2 14 7" xfId="9535"/>
    <cellStyle name="Normal 2 2 2 2 14 7 2" xfId="9536"/>
    <cellStyle name="Normal 2 2 2 2 14 8" xfId="9537"/>
    <cellStyle name="Normal 2 2 2 2 14 8 2" xfId="9538"/>
    <cellStyle name="Normal 2 2 2 2 14 9" xfId="9539"/>
    <cellStyle name="Normal 2 2 2 2 14 9 2" xfId="9540"/>
    <cellStyle name="Normal 2 2 2 2 15" xfId="9541"/>
    <cellStyle name="Normal 2 2 2 2 15 10" xfId="9542"/>
    <cellStyle name="Normal 2 2 2 2 15 10 2" xfId="9543"/>
    <cellStyle name="Normal 2 2 2 2 15 11" xfId="9544"/>
    <cellStyle name="Normal 2 2 2 2 15 11 2" xfId="9545"/>
    <cellStyle name="Normal 2 2 2 2 15 12" xfId="9546"/>
    <cellStyle name="Normal 2 2 2 2 15 12 2" xfId="9547"/>
    <cellStyle name="Normal 2 2 2 2 15 13" xfId="9548"/>
    <cellStyle name="Normal 2 2 2 2 15 2" xfId="9549"/>
    <cellStyle name="Normal 2 2 2 2 15 2 10" xfId="9550"/>
    <cellStyle name="Normal 2 2 2 2 15 2 10 2" xfId="9551"/>
    <cellStyle name="Normal 2 2 2 2 15 2 11" xfId="9552"/>
    <cellStyle name="Normal 2 2 2 2 15 2 11 2" xfId="9553"/>
    <cellStyle name="Normal 2 2 2 2 15 2 12" xfId="9554"/>
    <cellStyle name="Normal 2 2 2 2 15 2 2" xfId="9555"/>
    <cellStyle name="Normal 2 2 2 2 15 2 2 10" xfId="9556"/>
    <cellStyle name="Normal 2 2 2 2 15 2 2 10 2" xfId="9557"/>
    <cellStyle name="Normal 2 2 2 2 15 2 2 11" xfId="9558"/>
    <cellStyle name="Normal 2 2 2 2 15 2 2 2" xfId="9559"/>
    <cellStyle name="Normal 2 2 2 2 15 2 2 2 2" xfId="9560"/>
    <cellStyle name="Normal 2 2 2 2 15 2 2 3" xfId="9561"/>
    <cellStyle name="Normal 2 2 2 2 15 2 2 3 2" xfId="9562"/>
    <cellStyle name="Normal 2 2 2 2 15 2 2 4" xfId="9563"/>
    <cellStyle name="Normal 2 2 2 2 15 2 2 4 2" xfId="9564"/>
    <cellStyle name="Normal 2 2 2 2 15 2 2 5" xfId="9565"/>
    <cellStyle name="Normal 2 2 2 2 15 2 2 5 2" xfId="9566"/>
    <cellStyle name="Normal 2 2 2 2 15 2 2 6" xfId="9567"/>
    <cellStyle name="Normal 2 2 2 2 15 2 2 6 2" xfId="9568"/>
    <cellStyle name="Normal 2 2 2 2 15 2 2 7" xfId="9569"/>
    <cellStyle name="Normal 2 2 2 2 15 2 2 7 2" xfId="9570"/>
    <cellStyle name="Normal 2 2 2 2 15 2 2 8" xfId="9571"/>
    <cellStyle name="Normal 2 2 2 2 15 2 2 8 2" xfId="9572"/>
    <cellStyle name="Normal 2 2 2 2 15 2 2 9" xfId="9573"/>
    <cellStyle name="Normal 2 2 2 2 15 2 2 9 2" xfId="9574"/>
    <cellStyle name="Normal 2 2 2 2 15 2 3" xfId="9575"/>
    <cellStyle name="Normal 2 2 2 2 15 2 3 2" xfId="9576"/>
    <cellStyle name="Normal 2 2 2 2 15 2 4" xfId="9577"/>
    <cellStyle name="Normal 2 2 2 2 15 2 4 2" xfId="9578"/>
    <cellStyle name="Normal 2 2 2 2 15 2 5" xfId="9579"/>
    <cellStyle name="Normal 2 2 2 2 15 2 5 2" xfId="9580"/>
    <cellStyle name="Normal 2 2 2 2 15 2 6" xfId="9581"/>
    <cellStyle name="Normal 2 2 2 2 15 2 6 2" xfId="9582"/>
    <cellStyle name="Normal 2 2 2 2 15 2 7" xfId="9583"/>
    <cellStyle name="Normal 2 2 2 2 15 2 7 2" xfId="9584"/>
    <cellStyle name="Normal 2 2 2 2 15 2 8" xfId="9585"/>
    <cellStyle name="Normal 2 2 2 2 15 2 8 2" xfId="9586"/>
    <cellStyle name="Normal 2 2 2 2 15 2 9" xfId="9587"/>
    <cellStyle name="Normal 2 2 2 2 15 2 9 2" xfId="9588"/>
    <cellStyle name="Normal 2 2 2 2 15 3" xfId="9589"/>
    <cellStyle name="Normal 2 2 2 2 15 3 10" xfId="9590"/>
    <cellStyle name="Normal 2 2 2 2 15 3 10 2" xfId="9591"/>
    <cellStyle name="Normal 2 2 2 2 15 3 11" xfId="9592"/>
    <cellStyle name="Normal 2 2 2 2 15 3 2" xfId="9593"/>
    <cellStyle name="Normal 2 2 2 2 15 3 2 2" xfId="9594"/>
    <cellStyle name="Normal 2 2 2 2 15 3 3" xfId="9595"/>
    <cellStyle name="Normal 2 2 2 2 15 3 3 2" xfId="9596"/>
    <cellStyle name="Normal 2 2 2 2 15 3 4" xfId="9597"/>
    <cellStyle name="Normal 2 2 2 2 15 3 4 2" xfId="9598"/>
    <cellStyle name="Normal 2 2 2 2 15 3 5" xfId="9599"/>
    <cellStyle name="Normal 2 2 2 2 15 3 5 2" xfId="9600"/>
    <cellStyle name="Normal 2 2 2 2 15 3 6" xfId="9601"/>
    <cellStyle name="Normal 2 2 2 2 15 3 6 2" xfId="9602"/>
    <cellStyle name="Normal 2 2 2 2 15 3 7" xfId="9603"/>
    <cellStyle name="Normal 2 2 2 2 15 3 7 2" xfId="9604"/>
    <cellStyle name="Normal 2 2 2 2 15 3 8" xfId="9605"/>
    <cellStyle name="Normal 2 2 2 2 15 3 8 2" xfId="9606"/>
    <cellStyle name="Normal 2 2 2 2 15 3 9" xfId="9607"/>
    <cellStyle name="Normal 2 2 2 2 15 3 9 2" xfId="9608"/>
    <cellStyle name="Normal 2 2 2 2 15 4" xfId="9609"/>
    <cellStyle name="Normal 2 2 2 2 15 4 2" xfId="9610"/>
    <cellStyle name="Normal 2 2 2 2 15 5" xfId="9611"/>
    <cellStyle name="Normal 2 2 2 2 15 5 2" xfId="9612"/>
    <cellStyle name="Normal 2 2 2 2 15 6" xfId="9613"/>
    <cellStyle name="Normal 2 2 2 2 15 6 2" xfId="9614"/>
    <cellStyle name="Normal 2 2 2 2 15 7" xfId="9615"/>
    <cellStyle name="Normal 2 2 2 2 15 7 2" xfId="9616"/>
    <cellStyle name="Normal 2 2 2 2 15 8" xfId="9617"/>
    <cellStyle name="Normal 2 2 2 2 15 8 2" xfId="9618"/>
    <cellStyle name="Normal 2 2 2 2 15 9" xfId="9619"/>
    <cellStyle name="Normal 2 2 2 2 15 9 2" xfId="9620"/>
    <cellStyle name="Normal 2 2 2 2 16" xfId="9621"/>
    <cellStyle name="Normal 2 2 2 2 16 10" xfId="9622"/>
    <cellStyle name="Normal 2 2 2 2 16 10 2" xfId="9623"/>
    <cellStyle name="Normal 2 2 2 2 16 11" xfId="9624"/>
    <cellStyle name="Normal 2 2 2 2 16 11 2" xfId="9625"/>
    <cellStyle name="Normal 2 2 2 2 16 12" xfId="9626"/>
    <cellStyle name="Normal 2 2 2 2 16 12 2" xfId="9627"/>
    <cellStyle name="Normal 2 2 2 2 16 13" xfId="9628"/>
    <cellStyle name="Normal 2 2 2 2 16 2" xfId="9629"/>
    <cellStyle name="Normal 2 2 2 2 16 2 10" xfId="9630"/>
    <cellStyle name="Normal 2 2 2 2 16 2 10 2" xfId="9631"/>
    <cellStyle name="Normal 2 2 2 2 16 2 11" xfId="9632"/>
    <cellStyle name="Normal 2 2 2 2 16 2 11 2" xfId="9633"/>
    <cellStyle name="Normal 2 2 2 2 16 2 12" xfId="9634"/>
    <cellStyle name="Normal 2 2 2 2 16 2 2" xfId="9635"/>
    <cellStyle name="Normal 2 2 2 2 16 2 2 10" xfId="9636"/>
    <cellStyle name="Normal 2 2 2 2 16 2 2 10 2" xfId="9637"/>
    <cellStyle name="Normal 2 2 2 2 16 2 2 11" xfId="9638"/>
    <cellStyle name="Normal 2 2 2 2 16 2 2 2" xfId="9639"/>
    <cellStyle name="Normal 2 2 2 2 16 2 2 2 2" xfId="9640"/>
    <cellStyle name="Normal 2 2 2 2 16 2 2 3" xfId="9641"/>
    <cellStyle name="Normal 2 2 2 2 16 2 2 3 2" xfId="9642"/>
    <cellStyle name="Normal 2 2 2 2 16 2 2 4" xfId="9643"/>
    <cellStyle name="Normal 2 2 2 2 16 2 2 4 2" xfId="9644"/>
    <cellStyle name="Normal 2 2 2 2 16 2 2 5" xfId="9645"/>
    <cellStyle name="Normal 2 2 2 2 16 2 2 5 2" xfId="9646"/>
    <cellStyle name="Normal 2 2 2 2 16 2 2 6" xfId="9647"/>
    <cellStyle name="Normal 2 2 2 2 16 2 2 6 2" xfId="9648"/>
    <cellStyle name="Normal 2 2 2 2 16 2 2 7" xfId="9649"/>
    <cellStyle name="Normal 2 2 2 2 16 2 2 7 2" xfId="9650"/>
    <cellStyle name="Normal 2 2 2 2 16 2 2 8" xfId="9651"/>
    <cellStyle name="Normal 2 2 2 2 16 2 2 8 2" xfId="9652"/>
    <cellStyle name="Normal 2 2 2 2 16 2 2 9" xfId="9653"/>
    <cellStyle name="Normal 2 2 2 2 16 2 2 9 2" xfId="9654"/>
    <cellStyle name="Normal 2 2 2 2 16 2 3" xfId="9655"/>
    <cellStyle name="Normal 2 2 2 2 16 2 3 2" xfId="9656"/>
    <cellStyle name="Normal 2 2 2 2 16 2 4" xfId="9657"/>
    <cellStyle name="Normal 2 2 2 2 16 2 4 2" xfId="9658"/>
    <cellStyle name="Normal 2 2 2 2 16 2 5" xfId="9659"/>
    <cellStyle name="Normal 2 2 2 2 16 2 5 2" xfId="9660"/>
    <cellStyle name="Normal 2 2 2 2 16 2 6" xfId="9661"/>
    <cellStyle name="Normal 2 2 2 2 16 2 6 2" xfId="9662"/>
    <cellStyle name="Normal 2 2 2 2 16 2 7" xfId="9663"/>
    <cellStyle name="Normal 2 2 2 2 16 2 7 2" xfId="9664"/>
    <cellStyle name="Normal 2 2 2 2 16 2 8" xfId="9665"/>
    <cellStyle name="Normal 2 2 2 2 16 2 8 2" xfId="9666"/>
    <cellStyle name="Normal 2 2 2 2 16 2 9" xfId="9667"/>
    <cellStyle name="Normal 2 2 2 2 16 2 9 2" xfId="9668"/>
    <cellStyle name="Normal 2 2 2 2 16 3" xfId="9669"/>
    <cellStyle name="Normal 2 2 2 2 16 3 10" xfId="9670"/>
    <cellStyle name="Normal 2 2 2 2 16 3 10 2" xfId="9671"/>
    <cellStyle name="Normal 2 2 2 2 16 3 11" xfId="9672"/>
    <cellStyle name="Normal 2 2 2 2 16 3 2" xfId="9673"/>
    <cellStyle name="Normal 2 2 2 2 16 3 2 2" xfId="9674"/>
    <cellStyle name="Normal 2 2 2 2 16 3 3" xfId="9675"/>
    <cellStyle name="Normal 2 2 2 2 16 3 3 2" xfId="9676"/>
    <cellStyle name="Normal 2 2 2 2 16 3 4" xfId="9677"/>
    <cellStyle name="Normal 2 2 2 2 16 3 4 2" xfId="9678"/>
    <cellStyle name="Normal 2 2 2 2 16 3 5" xfId="9679"/>
    <cellStyle name="Normal 2 2 2 2 16 3 5 2" xfId="9680"/>
    <cellStyle name="Normal 2 2 2 2 16 3 6" xfId="9681"/>
    <cellStyle name="Normal 2 2 2 2 16 3 6 2" xfId="9682"/>
    <cellStyle name="Normal 2 2 2 2 16 3 7" xfId="9683"/>
    <cellStyle name="Normal 2 2 2 2 16 3 7 2" xfId="9684"/>
    <cellStyle name="Normal 2 2 2 2 16 3 8" xfId="9685"/>
    <cellStyle name="Normal 2 2 2 2 16 3 8 2" xfId="9686"/>
    <cellStyle name="Normal 2 2 2 2 16 3 9" xfId="9687"/>
    <cellStyle name="Normal 2 2 2 2 16 3 9 2" xfId="9688"/>
    <cellStyle name="Normal 2 2 2 2 16 4" xfId="9689"/>
    <cellStyle name="Normal 2 2 2 2 16 4 2" xfId="9690"/>
    <cellStyle name="Normal 2 2 2 2 16 5" xfId="9691"/>
    <cellStyle name="Normal 2 2 2 2 16 5 2" xfId="9692"/>
    <cellStyle name="Normal 2 2 2 2 16 6" xfId="9693"/>
    <cellStyle name="Normal 2 2 2 2 16 6 2" xfId="9694"/>
    <cellStyle name="Normal 2 2 2 2 16 7" xfId="9695"/>
    <cellStyle name="Normal 2 2 2 2 16 7 2" xfId="9696"/>
    <cellStyle name="Normal 2 2 2 2 16 8" xfId="9697"/>
    <cellStyle name="Normal 2 2 2 2 16 8 2" xfId="9698"/>
    <cellStyle name="Normal 2 2 2 2 16 9" xfId="9699"/>
    <cellStyle name="Normal 2 2 2 2 16 9 2" xfId="9700"/>
    <cellStyle name="Normal 2 2 2 2 2" xfId="9701"/>
    <cellStyle name="Normal 2 2 2 2 2 10" xfId="9702"/>
    <cellStyle name="Normal 2 2 2 2 2 10 10" xfId="9703"/>
    <cellStyle name="Normal 2 2 2 2 2 10 10 2" xfId="9704"/>
    <cellStyle name="Normal 2 2 2 2 2 10 11" xfId="9705"/>
    <cellStyle name="Normal 2 2 2 2 2 10 11 2" xfId="9706"/>
    <cellStyle name="Normal 2 2 2 2 2 10 12" xfId="9707"/>
    <cellStyle name="Normal 2 2 2 2 2 10 2" xfId="9708"/>
    <cellStyle name="Normal 2 2 2 2 2 10 2 10" xfId="9709"/>
    <cellStyle name="Normal 2 2 2 2 2 10 2 10 2" xfId="9710"/>
    <cellStyle name="Normal 2 2 2 2 2 10 2 11" xfId="9711"/>
    <cellStyle name="Normal 2 2 2 2 2 10 2 2" xfId="9712"/>
    <cellStyle name="Normal 2 2 2 2 2 10 2 2 2" xfId="9713"/>
    <cellStyle name="Normal 2 2 2 2 2 10 2 3" xfId="9714"/>
    <cellStyle name="Normal 2 2 2 2 2 10 2 3 2" xfId="9715"/>
    <cellStyle name="Normal 2 2 2 2 2 10 2 4" xfId="9716"/>
    <cellStyle name="Normal 2 2 2 2 2 10 2 4 2" xfId="9717"/>
    <cellStyle name="Normal 2 2 2 2 2 10 2 5" xfId="9718"/>
    <cellStyle name="Normal 2 2 2 2 2 10 2 5 2" xfId="9719"/>
    <cellStyle name="Normal 2 2 2 2 2 10 2 6" xfId="9720"/>
    <cellStyle name="Normal 2 2 2 2 2 10 2 6 2" xfId="9721"/>
    <cellStyle name="Normal 2 2 2 2 2 10 2 7" xfId="9722"/>
    <cellStyle name="Normal 2 2 2 2 2 10 2 7 2" xfId="9723"/>
    <cellStyle name="Normal 2 2 2 2 2 10 2 8" xfId="9724"/>
    <cellStyle name="Normal 2 2 2 2 2 10 2 8 2" xfId="9725"/>
    <cellStyle name="Normal 2 2 2 2 2 10 2 9" xfId="9726"/>
    <cellStyle name="Normal 2 2 2 2 2 10 2 9 2" xfId="9727"/>
    <cellStyle name="Normal 2 2 2 2 2 10 3" xfId="9728"/>
    <cellStyle name="Normal 2 2 2 2 2 10 3 2" xfId="9729"/>
    <cellStyle name="Normal 2 2 2 2 2 10 4" xfId="9730"/>
    <cellStyle name="Normal 2 2 2 2 2 10 4 2" xfId="9731"/>
    <cellStyle name="Normal 2 2 2 2 2 10 5" xfId="9732"/>
    <cellStyle name="Normal 2 2 2 2 2 10 5 2" xfId="9733"/>
    <cellStyle name="Normal 2 2 2 2 2 10 6" xfId="9734"/>
    <cellStyle name="Normal 2 2 2 2 2 10 6 2" xfId="9735"/>
    <cellStyle name="Normal 2 2 2 2 2 10 7" xfId="9736"/>
    <cellStyle name="Normal 2 2 2 2 2 10 7 2" xfId="9737"/>
    <cellStyle name="Normal 2 2 2 2 2 10 8" xfId="9738"/>
    <cellStyle name="Normal 2 2 2 2 2 10 8 2" xfId="9739"/>
    <cellStyle name="Normal 2 2 2 2 2 10 9" xfId="9740"/>
    <cellStyle name="Normal 2 2 2 2 2 10 9 2" xfId="9741"/>
    <cellStyle name="Normal 2 2 2 2 2 11" xfId="9742"/>
    <cellStyle name="Normal 2 2 2 2 2 11 10" xfId="9743"/>
    <cellStyle name="Normal 2 2 2 2 2 11 10 2" xfId="9744"/>
    <cellStyle name="Normal 2 2 2 2 2 11 11" xfId="9745"/>
    <cellStyle name="Normal 2 2 2 2 2 11 2" xfId="9746"/>
    <cellStyle name="Normal 2 2 2 2 2 11 2 2" xfId="9747"/>
    <cellStyle name="Normal 2 2 2 2 2 11 3" xfId="9748"/>
    <cellStyle name="Normal 2 2 2 2 2 11 3 2" xfId="9749"/>
    <cellStyle name="Normal 2 2 2 2 2 11 4" xfId="9750"/>
    <cellStyle name="Normal 2 2 2 2 2 11 4 2" xfId="9751"/>
    <cellStyle name="Normal 2 2 2 2 2 11 5" xfId="9752"/>
    <cellStyle name="Normal 2 2 2 2 2 11 5 2" xfId="9753"/>
    <cellStyle name="Normal 2 2 2 2 2 11 6" xfId="9754"/>
    <cellStyle name="Normal 2 2 2 2 2 11 6 2" xfId="9755"/>
    <cellStyle name="Normal 2 2 2 2 2 11 7" xfId="9756"/>
    <cellStyle name="Normal 2 2 2 2 2 11 7 2" xfId="9757"/>
    <cellStyle name="Normal 2 2 2 2 2 11 8" xfId="9758"/>
    <cellStyle name="Normal 2 2 2 2 2 11 8 2" xfId="9759"/>
    <cellStyle name="Normal 2 2 2 2 2 11 9" xfId="9760"/>
    <cellStyle name="Normal 2 2 2 2 2 11 9 2" xfId="9761"/>
    <cellStyle name="Normal 2 2 2 2 2 12" xfId="9762"/>
    <cellStyle name="Normal 2 2 2 2 2 12 2" xfId="9763"/>
    <cellStyle name="Normal 2 2 2 2 2 13" xfId="9764"/>
    <cellStyle name="Normal 2 2 2 2 2 13 2" xfId="9765"/>
    <cellStyle name="Normal 2 2 2 2 2 14" xfId="9766"/>
    <cellStyle name="Normal 2 2 2 2 2 14 2" xfId="9767"/>
    <cellStyle name="Normal 2 2 2 2 2 15" xfId="9768"/>
    <cellStyle name="Normal 2 2 2 2 2 15 2" xfId="9769"/>
    <cellStyle name="Normal 2 2 2 2 2 16" xfId="9770"/>
    <cellStyle name="Normal 2 2 2 2 2 16 2" xfId="9771"/>
    <cellStyle name="Normal 2 2 2 2 2 17" xfId="9772"/>
    <cellStyle name="Normal 2 2 2 2 2 17 2" xfId="9773"/>
    <cellStyle name="Normal 2 2 2 2 2 18" xfId="9774"/>
    <cellStyle name="Normal 2 2 2 2 2 18 2" xfId="9775"/>
    <cellStyle name="Normal 2 2 2 2 2 19" xfId="9776"/>
    <cellStyle name="Normal 2 2 2 2 2 19 2" xfId="9777"/>
    <cellStyle name="Normal 2 2 2 2 2 2" xfId="9778"/>
    <cellStyle name="Normal 2 2 2 2 2 2 2" xfId="9779"/>
    <cellStyle name="Normal 2 2 2 2 2 2 2 10" xfId="9780"/>
    <cellStyle name="Normal 2 2 2 2 2 2 2 10 2" xfId="9781"/>
    <cellStyle name="Normal 2 2 2 2 2 2 2 11" xfId="9782"/>
    <cellStyle name="Normal 2 2 2 2 2 2 2 11 2" xfId="9783"/>
    <cellStyle name="Normal 2 2 2 2 2 2 2 12" xfId="9784"/>
    <cellStyle name="Normal 2 2 2 2 2 2 2 12 2" xfId="9785"/>
    <cellStyle name="Normal 2 2 2 2 2 2 2 13" xfId="9786"/>
    <cellStyle name="Normal 2 2 2 2 2 2 2 13 2" xfId="9787"/>
    <cellStyle name="Normal 2 2 2 2 2 2 2 14" xfId="9788"/>
    <cellStyle name="Normal 2 2 2 2 2 2 2 14 2" xfId="9789"/>
    <cellStyle name="Normal 2 2 2 2 2 2 2 15" xfId="9790"/>
    <cellStyle name="Normal 2 2 2 2 2 2 2 15 2" xfId="9791"/>
    <cellStyle name="Normal 2 2 2 2 2 2 2 16" xfId="9792"/>
    <cellStyle name="Normal 2 2 2 2 2 2 2 16 2" xfId="9793"/>
    <cellStyle name="Normal 2 2 2 2 2 2 2 17" xfId="9794"/>
    <cellStyle name="Normal 2 2 2 2 2 2 2 17 2" xfId="9795"/>
    <cellStyle name="Normal 2 2 2 2 2 2 2 18" xfId="9796"/>
    <cellStyle name="Normal 2 2 2 2 2 2 2 2" xfId="9797"/>
    <cellStyle name="Normal 2 2 2 2 2 2 2 2 2" xfId="9798"/>
    <cellStyle name="Normal 2 2 2 2 2 2 2 2 2 10" xfId="9799"/>
    <cellStyle name="Normal 2 2 2 2 2 2 2 2 2 10 2" xfId="9800"/>
    <cellStyle name="Normal 2 2 2 2 2 2 2 2 2 11" xfId="9801"/>
    <cellStyle name="Normal 2 2 2 2 2 2 2 2 2 11 2" xfId="9802"/>
    <cellStyle name="Normal 2 2 2 2 2 2 2 2 2 12" xfId="9803"/>
    <cellStyle name="Normal 2 2 2 2 2 2 2 2 2 12 2" xfId="9804"/>
    <cellStyle name="Normal 2 2 2 2 2 2 2 2 2 13" xfId="9805"/>
    <cellStyle name="Normal 2 2 2 2 2 2 2 2 2 13 2" xfId="9806"/>
    <cellStyle name="Normal 2 2 2 2 2 2 2 2 2 14" xfId="9807"/>
    <cellStyle name="Normal 2 2 2 2 2 2 2 2 2 14 2" xfId="9808"/>
    <cellStyle name="Normal 2 2 2 2 2 2 2 2 2 15" xfId="9809"/>
    <cellStyle name="Normal 2 2 2 2 2 2 2 2 2 15 2" xfId="9810"/>
    <cellStyle name="Normal 2 2 2 2 2 2 2 2 2 16" xfId="9811"/>
    <cellStyle name="Normal 2 2 2 2 2 2 2 2 2 16 2" xfId="9812"/>
    <cellStyle name="Normal 2 2 2 2 2 2 2 2 2 17" xfId="9813"/>
    <cellStyle name="Normal 2 2 2 2 2 2 2 2 2 2" xfId="9814"/>
    <cellStyle name="Normal 2 2 2 2 2 2 2 2 2 3" xfId="9815"/>
    <cellStyle name="Normal 2 2 2 2 2 2 2 2 2 4" xfId="9816"/>
    <cellStyle name="Normal 2 2 2 2 2 2 2 2 2 5" xfId="9817"/>
    <cellStyle name="Normal 2 2 2 2 2 2 2 2 2 6" xfId="9818"/>
    <cellStyle name="Normal 2 2 2 2 2 2 2 2 2 6 10" xfId="9819"/>
    <cellStyle name="Normal 2 2 2 2 2 2 2 2 2 6 10 2" xfId="9820"/>
    <cellStyle name="Normal 2 2 2 2 2 2 2 2 2 6 11" xfId="9821"/>
    <cellStyle name="Normal 2 2 2 2 2 2 2 2 2 6 11 2" xfId="9822"/>
    <cellStyle name="Normal 2 2 2 2 2 2 2 2 2 6 12" xfId="9823"/>
    <cellStyle name="Normal 2 2 2 2 2 2 2 2 2 6 2" xfId="9824"/>
    <cellStyle name="Normal 2 2 2 2 2 2 2 2 2 6 2 10" xfId="9825"/>
    <cellStyle name="Normal 2 2 2 2 2 2 2 2 2 6 2 10 2" xfId="9826"/>
    <cellStyle name="Normal 2 2 2 2 2 2 2 2 2 6 2 11" xfId="9827"/>
    <cellStyle name="Normal 2 2 2 2 2 2 2 2 2 6 2 2" xfId="9828"/>
    <cellStyle name="Normal 2 2 2 2 2 2 2 2 2 6 2 2 2" xfId="9829"/>
    <cellStyle name="Normal 2 2 2 2 2 2 2 2 2 6 2 3" xfId="9830"/>
    <cellStyle name="Normal 2 2 2 2 2 2 2 2 2 6 2 3 2" xfId="9831"/>
    <cellStyle name="Normal 2 2 2 2 2 2 2 2 2 6 2 4" xfId="9832"/>
    <cellStyle name="Normal 2 2 2 2 2 2 2 2 2 6 2 4 2" xfId="9833"/>
    <cellStyle name="Normal 2 2 2 2 2 2 2 2 2 6 2 5" xfId="9834"/>
    <cellStyle name="Normal 2 2 2 2 2 2 2 2 2 6 2 5 2" xfId="9835"/>
    <cellStyle name="Normal 2 2 2 2 2 2 2 2 2 6 2 6" xfId="9836"/>
    <cellStyle name="Normal 2 2 2 2 2 2 2 2 2 6 2 6 2" xfId="9837"/>
    <cellStyle name="Normal 2 2 2 2 2 2 2 2 2 6 2 7" xfId="9838"/>
    <cellStyle name="Normal 2 2 2 2 2 2 2 2 2 6 2 7 2" xfId="9839"/>
    <cellStyle name="Normal 2 2 2 2 2 2 2 2 2 6 2 8" xfId="9840"/>
    <cellStyle name="Normal 2 2 2 2 2 2 2 2 2 6 2 8 2" xfId="9841"/>
    <cellStyle name="Normal 2 2 2 2 2 2 2 2 2 6 2 9" xfId="9842"/>
    <cellStyle name="Normal 2 2 2 2 2 2 2 2 2 6 2 9 2" xfId="9843"/>
    <cellStyle name="Normal 2 2 2 2 2 2 2 2 2 6 3" xfId="9844"/>
    <cellStyle name="Normal 2 2 2 2 2 2 2 2 2 6 3 2" xfId="9845"/>
    <cellStyle name="Normal 2 2 2 2 2 2 2 2 2 6 4" xfId="9846"/>
    <cellStyle name="Normal 2 2 2 2 2 2 2 2 2 6 4 2" xfId="9847"/>
    <cellStyle name="Normal 2 2 2 2 2 2 2 2 2 6 5" xfId="9848"/>
    <cellStyle name="Normal 2 2 2 2 2 2 2 2 2 6 5 2" xfId="9849"/>
    <cellStyle name="Normal 2 2 2 2 2 2 2 2 2 6 6" xfId="9850"/>
    <cellStyle name="Normal 2 2 2 2 2 2 2 2 2 6 6 2" xfId="9851"/>
    <cellStyle name="Normal 2 2 2 2 2 2 2 2 2 6 7" xfId="9852"/>
    <cellStyle name="Normal 2 2 2 2 2 2 2 2 2 6 7 2" xfId="9853"/>
    <cellStyle name="Normal 2 2 2 2 2 2 2 2 2 6 8" xfId="9854"/>
    <cellStyle name="Normal 2 2 2 2 2 2 2 2 2 6 8 2" xfId="9855"/>
    <cellStyle name="Normal 2 2 2 2 2 2 2 2 2 6 9" xfId="9856"/>
    <cellStyle name="Normal 2 2 2 2 2 2 2 2 2 6 9 2" xfId="9857"/>
    <cellStyle name="Normal 2 2 2 2 2 2 2 2 2 7" xfId="9858"/>
    <cellStyle name="Normal 2 2 2 2 2 2 2 2 2 7 10" xfId="9859"/>
    <cellStyle name="Normal 2 2 2 2 2 2 2 2 2 7 10 2" xfId="9860"/>
    <cellStyle name="Normal 2 2 2 2 2 2 2 2 2 7 11" xfId="9861"/>
    <cellStyle name="Normal 2 2 2 2 2 2 2 2 2 7 2" xfId="9862"/>
    <cellStyle name="Normal 2 2 2 2 2 2 2 2 2 7 2 2" xfId="9863"/>
    <cellStyle name="Normal 2 2 2 2 2 2 2 2 2 7 3" xfId="9864"/>
    <cellStyle name="Normal 2 2 2 2 2 2 2 2 2 7 3 2" xfId="9865"/>
    <cellStyle name="Normal 2 2 2 2 2 2 2 2 2 7 4" xfId="9866"/>
    <cellStyle name="Normal 2 2 2 2 2 2 2 2 2 7 4 2" xfId="9867"/>
    <cellStyle name="Normal 2 2 2 2 2 2 2 2 2 7 5" xfId="9868"/>
    <cellStyle name="Normal 2 2 2 2 2 2 2 2 2 7 5 2" xfId="9869"/>
    <cellStyle name="Normal 2 2 2 2 2 2 2 2 2 7 6" xfId="9870"/>
    <cellStyle name="Normal 2 2 2 2 2 2 2 2 2 7 6 2" xfId="9871"/>
    <cellStyle name="Normal 2 2 2 2 2 2 2 2 2 7 7" xfId="9872"/>
    <cellStyle name="Normal 2 2 2 2 2 2 2 2 2 7 7 2" xfId="9873"/>
    <cellStyle name="Normal 2 2 2 2 2 2 2 2 2 7 8" xfId="9874"/>
    <cellStyle name="Normal 2 2 2 2 2 2 2 2 2 7 8 2" xfId="9875"/>
    <cellStyle name="Normal 2 2 2 2 2 2 2 2 2 7 9" xfId="9876"/>
    <cellStyle name="Normal 2 2 2 2 2 2 2 2 2 7 9 2" xfId="9877"/>
    <cellStyle name="Normal 2 2 2 2 2 2 2 2 2 8" xfId="9878"/>
    <cellStyle name="Normal 2 2 2 2 2 2 2 2 2 8 2" xfId="9879"/>
    <cellStyle name="Normal 2 2 2 2 2 2 2 2 2 9" xfId="9880"/>
    <cellStyle name="Normal 2 2 2 2 2 2 2 2 2 9 2" xfId="9881"/>
    <cellStyle name="Normal 2 2 2 2 2 2 2 2 3" xfId="9882"/>
    <cellStyle name="Normal 2 2 2 2 2 2 2 2 3 10" xfId="9883"/>
    <cellStyle name="Normal 2 2 2 2 2 2 2 2 3 10 2" xfId="9884"/>
    <cellStyle name="Normal 2 2 2 2 2 2 2 2 3 11" xfId="9885"/>
    <cellStyle name="Normal 2 2 2 2 2 2 2 2 3 11 2" xfId="9886"/>
    <cellStyle name="Normal 2 2 2 2 2 2 2 2 3 12" xfId="9887"/>
    <cellStyle name="Normal 2 2 2 2 2 2 2 2 3 12 2" xfId="9888"/>
    <cellStyle name="Normal 2 2 2 2 2 2 2 2 3 13" xfId="9889"/>
    <cellStyle name="Normal 2 2 2 2 2 2 2 2 3 2" xfId="9890"/>
    <cellStyle name="Normal 2 2 2 2 2 2 2 2 3 2 10" xfId="9891"/>
    <cellStyle name="Normal 2 2 2 2 2 2 2 2 3 2 10 2" xfId="9892"/>
    <cellStyle name="Normal 2 2 2 2 2 2 2 2 3 2 11" xfId="9893"/>
    <cellStyle name="Normal 2 2 2 2 2 2 2 2 3 2 11 2" xfId="9894"/>
    <cellStyle name="Normal 2 2 2 2 2 2 2 2 3 2 12" xfId="9895"/>
    <cellStyle name="Normal 2 2 2 2 2 2 2 2 3 2 2" xfId="9896"/>
    <cellStyle name="Normal 2 2 2 2 2 2 2 2 3 2 2 10" xfId="9897"/>
    <cellStyle name="Normal 2 2 2 2 2 2 2 2 3 2 2 10 2" xfId="9898"/>
    <cellStyle name="Normal 2 2 2 2 2 2 2 2 3 2 2 11" xfId="9899"/>
    <cellStyle name="Normal 2 2 2 2 2 2 2 2 3 2 2 2" xfId="9900"/>
    <cellStyle name="Normal 2 2 2 2 2 2 2 2 3 2 2 2 2" xfId="9901"/>
    <cellStyle name="Normal 2 2 2 2 2 2 2 2 3 2 2 3" xfId="9902"/>
    <cellStyle name="Normal 2 2 2 2 2 2 2 2 3 2 2 3 2" xfId="9903"/>
    <cellStyle name="Normal 2 2 2 2 2 2 2 2 3 2 2 4" xfId="9904"/>
    <cellStyle name="Normal 2 2 2 2 2 2 2 2 3 2 2 4 2" xfId="9905"/>
    <cellStyle name="Normal 2 2 2 2 2 2 2 2 3 2 2 5" xfId="9906"/>
    <cellStyle name="Normal 2 2 2 2 2 2 2 2 3 2 2 5 2" xfId="9907"/>
    <cellStyle name="Normal 2 2 2 2 2 2 2 2 3 2 2 6" xfId="9908"/>
    <cellStyle name="Normal 2 2 2 2 2 2 2 2 3 2 2 6 2" xfId="9909"/>
    <cellStyle name="Normal 2 2 2 2 2 2 2 2 3 2 2 7" xfId="9910"/>
    <cellStyle name="Normal 2 2 2 2 2 2 2 2 3 2 2 7 2" xfId="9911"/>
    <cellStyle name="Normal 2 2 2 2 2 2 2 2 3 2 2 8" xfId="9912"/>
    <cellStyle name="Normal 2 2 2 2 2 2 2 2 3 2 2 8 2" xfId="9913"/>
    <cellStyle name="Normal 2 2 2 2 2 2 2 2 3 2 2 9" xfId="9914"/>
    <cellStyle name="Normal 2 2 2 2 2 2 2 2 3 2 2 9 2" xfId="9915"/>
    <cellStyle name="Normal 2 2 2 2 2 2 2 2 3 2 3" xfId="9916"/>
    <cellStyle name="Normal 2 2 2 2 2 2 2 2 3 2 3 2" xfId="9917"/>
    <cellStyle name="Normal 2 2 2 2 2 2 2 2 3 2 4" xfId="9918"/>
    <cellStyle name="Normal 2 2 2 2 2 2 2 2 3 2 4 2" xfId="9919"/>
    <cellStyle name="Normal 2 2 2 2 2 2 2 2 3 2 5" xfId="9920"/>
    <cellStyle name="Normal 2 2 2 2 2 2 2 2 3 2 5 2" xfId="9921"/>
    <cellStyle name="Normal 2 2 2 2 2 2 2 2 3 2 6" xfId="9922"/>
    <cellStyle name="Normal 2 2 2 2 2 2 2 2 3 2 6 2" xfId="9923"/>
    <cellStyle name="Normal 2 2 2 2 2 2 2 2 3 2 7" xfId="9924"/>
    <cellStyle name="Normal 2 2 2 2 2 2 2 2 3 2 7 2" xfId="9925"/>
    <cellStyle name="Normal 2 2 2 2 2 2 2 2 3 2 8" xfId="9926"/>
    <cellStyle name="Normal 2 2 2 2 2 2 2 2 3 2 8 2" xfId="9927"/>
    <cellStyle name="Normal 2 2 2 2 2 2 2 2 3 2 9" xfId="9928"/>
    <cellStyle name="Normal 2 2 2 2 2 2 2 2 3 2 9 2" xfId="9929"/>
    <cellStyle name="Normal 2 2 2 2 2 2 2 2 3 3" xfId="9930"/>
    <cellStyle name="Normal 2 2 2 2 2 2 2 2 3 3 10" xfId="9931"/>
    <cellStyle name="Normal 2 2 2 2 2 2 2 2 3 3 10 2" xfId="9932"/>
    <cellStyle name="Normal 2 2 2 2 2 2 2 2 3 3 11" xfId="9933"/>
    <cellStyle name="Normal 2 2 2 2 2 2 2 2 3 3 2" xfId="9934"/>
    <cellStyle name="Normal 2 2 2 2 2 2 2 2 3 3 2 2" xfId="9935"/>
    <cellStyle name="Normal 2 2 2 2 2 2 2 2 3 3 3" xfId="9936"/>
    <cellStyle name="Normal 2 2 2 2 2 2 2 2 3 3 3 2" xfId="9937"/>
    <cellStyle name="Normal 2 2 2 2 2 2 2 2 3 3 4" xfId="9938"/>
    <cellStyle name="Normal 2 2 2 2 2 2 2 2 3 3 4 2" xfId="9939"/>
    <cellStyle name="Normal 2 2 2 2 2 2 2 2 3 3 5" xfId="9940"/>
    <cellStyle name="Normal 2 2 2 2 2 2 2 2 3 3 5 2" xfId="9941"/>
    <cellStyle name="Normal 2 2 2 2 2 2 2 2 3 3 6" xfId="9942"/>
    <cellStyle name="Normal 2 2 2 2 2 2 2 2 3 3 6 2" xfId="9943"/>
    <cellStyle name="Normal 2 2 2 2 2 2 2 2 3 3 7" xfId="9944"/>
    <cellStyle name="Normal 2 2 2 2 2 2 2 2 3 3 7 2" xfId="9945"/>
    <cellStyle name="Normal 2 2 2 2 2 2 2 2 3 3 8" xfId="9946"/>
    <cellStyle name="Normal 2 2 2 2 2 2 2 2 3 3 8 2" xfId="9947"/>
    <cellStyle name="Normal 2 2 2 2 2 2 2 2 3 3 9" xfId="9948"/>
    <cellStyle name="Normal 2 2 2 2 2 2 2 2 3 3 9 2" xfId="9949"/>
    <cellStyle name="Normal 2 2 2 2 2 2 2 2 3 4" xfId="9950"/>
    <cellStyle name="Normal 2 2 2 2 2 2 2 2 3 4 2" xfId="9951"/>
    <cellStyle name="Normal 2 2 2 2 2 2 2 2 3 5" xfId="9952"/>
    <cellStyle name="Normal 2 2 2 2 2 2 2 2 3 5 2" xfId="9953"/>
    <cellStyle name="Normal 2 2 2 2 2 2 2 2 3 6" xfId="9954"/>
    <cellStyle name="Normal 2 2 2 2 2 2 2 2 3 6 2" xfId="9955"/>
    <cellStyle name="Normal 2 2 2 2 2 2 2 2 3 7" xfId="9956"/>
    <cellStyle name="Normal 2 2 2 2 2 2 2 2 3 7 2" xfId="9957"/>
    <cellStyle name="Normal 2 2 2 2 2 2 2 2 3 8" xfId="9958"/>
    <cellStyle name="Normal 2 2 2 2 2 2 2 2 3 8 2" xfId="9959"/>
    <cellStyle name="Normal 2 2 2 2 2 2 2 2 3 9" xfId="9960"/>
    <cellStyle name="Normal 2 2 2 2 2 2 2 2 3 9 2" xfId="9961"/>
    <cellStyle name="Normal 2 2 2 2 2 2 2 2 4" xfId="9962"/>
    <cellStyle name="Normal 2 2 2 2 2 2 2 2 4 10" xfId="9963"/>
    <cellStyle name="Normal 2 2 2 2 2 2 2 2 4 10 2" xfId="9964"/>
    <cellStyle name="Normal 2 2 2 2 2 2 2 2 4 11" xfId="9965"/>
    <cellStyle name="Normal 2 2 2 2 2 2 2 2 4 11 2" xfId="9966"/>
    <cellStyle name="Normal 2 2 2 2 2 2 2 2 4 12" xfId="9967"/>
    <cellStyle name="Normal 2 2 2 2 2 2 2 2 4 12 2" xfId="9968"/>
    <cellStyle name="Normal 2 2 2 2 2 2 2 2 4 13" xfId="9969"/>
    <cellStyle name="Normal 2 2 2 2 2 2 2 2 4 2" xfId="9970"/>
    <cellStyle name="Normal 2 2 2 2 2 2 2 2 4 2 10" xfId="9971"/>
    <cellStyle name="Normal 2 2 2 2 2 2 2 2 4 2 10 2" xfId="9972"/>
    <cellStyle name="Normal 2 2 2 2 2 2 2 2 4 2 11" xfId="9973"/>
    <cellStyle name="Normal 2 2 2 2 2 2 2 2 4 2 11 2" xfId="9974"/>
    <cellStyle name="Normal 2 2 2 2 2 2 2 2 4 2 12" xfId="9975"/>
    <cellStyle name="Normal 2 2 2 2 2 2 2 2 4 2 2" xfId="9976"/>
    <cellStyle name="Normal 2 2 2 2 2 2 2 2 4 2 2 10" xfId="9977"/>
    <cellStyle name="Normal 2 2 2 2 2 2 2 2 4 2 2 10 2" xfId="9978"/>
    <cellStyle name="Normal 2 2 2 2 2 2 2 2 4 2 2 11" xfId="9979"/>
    <cellStyle name="Normal 2 2 2 2 2 2 2 2 4 2 2 2" xfId="9980"/>
    <cellStyle name="Normal 2 2 2 2 2 2 2 2 4 2 2 2 2" xfId="9981"/>
    <cellStyle name="Normal 2 2 2 2 2 2 2 2 4 2 2 3" xfId="9982"/>
    <cellStyle name="Normal 2 2 2 2 2 2 2 2 4 2 2 3 2" xfId="9983"/>
    <cellStyle name="Normal 2 2 2 2 2 2 2 2 4 2 2 4" xfId="9984"/>
    <cellStyle name="Normal 2 2 2 2 2 2 2 2 4 2 2 4 2" xfId="9985"/>
    <cellStyle name="Normal 2 2 2 2 2 2 2 2 4 2 2 5" xfId="9986"/>
    <cellStyle name="Normal 2 2 2 2 2 2 2 2 4 2 2 5 2" xfId="9987"/>
    <cellStyle name="Normal 2 2 2 2 2 2 2 2 4 2 2 6" xfId="9988"/>
    <cellStyle name="Normal 2 2 2 2 2 2 2 2 4 2 2 6 2" xfId="9989"/>
    <cellStyle name="Normal 2 2 2 2 2 2 2 2 4 2 2 7" xfId="9990"/>
    <cellStyle name="Normal 2 2 2 2 2 2 2 2 4 2 2 7 2" xfId="9991"/>
    <cellStyle name="Normal 2 2 2 2 2 2 2 2 4 2 2 8" xfId="9992"/>
    <cellStyle name="Normal 2 2 2 2 2 2 2 2 4 2 2 8 2" xfId="9993"/>
    <cellStyle name="Normal 2 2 2 2 2 2 2 2 4 2 2 9" xfId="9994"/>
    <cellStyle name="Normal 2 2 2 2 2 2 2 2 4 2 2 9 2" xfId="9995"/>
    <cellStyle name="Normal 2 2 2 2 2 2 2 2 4 2 3" xfId="9996"/>
    <cellStyle name="Normal 2 2 2 2 2 2 2 2 4 2 3 2" xfId="9997"/>
    <cellStyle name="Normal 2 2 2 2 2 2 2 2 4 2 4" xfId="9998"/>
    <cellStyle name="Normal 2 2 2 2 2 2 2 2 4 2 4 2" xfId="9999"/>
    <cellStyle name="Normal 2 2 2 2 2 2 2 2 4 2 5" xfId="10000"/>
    <cellStyle name="Normal 2 2 2 2 2 2 2 2 4 2 5 2" xfId="10001"/>
    <cellStyle name="Normal 2 2 2 2 2 2 2 2 4 2 6" xfId="10002"/>
    <cellStyle name="Normal 2 2 2 2 2 2 2 2 4 2 6 2" xfId="10003"/>
    <cellStyle name="Normal 2 2 2 2 2 2 2 2 4 2 7" xfId="10004"/>
    <cellStyle name="Normal 2 2 2 2 2 2 2 2 4 2 7 2" xfId="10005"/>
    <cellStyle name="Normal 2 2 2 2 2 2 2 2 4 2 8" xfId="10006"/>
    <cellStyle name="Normal 2 2 2 2 2 2 2 2 4 2 8 2" xfId="10007"/>
    <cellStyle name="Normal 2 2 2 2 2 2 2 2 4 2 9" xfId="10008"/>
    <cellStyle name="Normal 2 2 2 2 2 2 2 2 4 2 9 2" xfId="10009"/>
    <cellStyle name="Normal 2 2 2 2 2 2 2 2 4 3" xfId="10010"/>
    <cellStyle name="Normal 2 2 2 2 2 2 2 2 4 3 10" xfId="10011"/>
    <cellStyle name="Normal 2 2 2 2 2 2 2 2 4 3 10 2" xfId="10012"/>
    <cellStyle name="Normal 2 2 2 2 2 2 2 2 4 3 11" xfId="10013"/>
    <cellStyle name="Normal 2 2 2 2 2 2 2 2 4 3 2" xfId="10014"/>
    <cellStyle name="Normal 2 2 2 2 2 2 2 2 4 3 2 2" xfId="10015"/>
    <cellStyle name="Normal 2 2 2 2 2 2 2 2 4 3 3" xfId="10016"/>
    <cellStyle name="Normal 2 2 2 2 2 2 2 2 4 3 3 2" xfId="10017"/>
    <cellStyle name="Normal 2 2 2 2 2 2 2 2 4 3 4" xfId="10018"/>
    <cellStyle name="Normal 2 2 2 2 2 2 2 2 4 3 4 2" xfId="10019"/>
    <cellStyle name="Normal 2 2 2 2 2 2 2 2 4 3 5" xfId="10020"/>
    <cellStyle name="Normal 2 2 2 2 2 2 2 2 4 3 5 2" xfId="10021"/>
    <cellStyle name="Normal 2 2 2 2 2 2 2 2 4 3 6" xfId="10022"/>
    <cellStyle name="Normal 2 2 2 2 2 2 2 2 4 3 6 2" xfId="10023"/>
    <cellStyle name="Normal 2 2 2 2 2 2 2 2 4 3 7" xfId="10024"/>
    <cellStyle name="Normal 2 2 2 2 2 2 2 2 4 3 7 2" xfId="10025"/>
    <cellStyle name="Normal 2 2 2 2 2 2 2 2 4 3 8" xfId="10026"/>
    <cellStyle name="Normal 2 2 2 2 2 2 2 2 4 3 8 2" xfId="10027"/>
    <cellStyle name="Normal 2 2 2 2 2 2 2 2 4 3 9" xfId="10028"/>
    <cellStyle name="Normal 2 2 2 2 2 2 2 2 4 3 9 2" xfId="10029"/>
    <cellStyle name="Normal 2 2 2 2 2 2 2 2 4 4" xfId="10030"/>
    <cellStyle name="Normal 2 2 2 2 2 2 2 2 4 4 2" xfId="10031"/>
    <cellStyle name="Normal 2 2 2 2 2 2 2 2 4 5" xfId="10032"/>
    <cellStyle name="Normal 2 2 2 2 2 2 2 2 4 5 2" xfId="10033"/>
    <cellStyle name="Normal 2 2 2 2 2 2 2 2 4 6" xfId="10034"/>
    <cellStyle name="Normal 2 2 2 2 2 2 2 2 4 6 2" xfId="10035"/>
    <cellStyle name="Normal 2 2 2 2 2 2 2 2 4 7" xfId="10036"/>
    <cellStyle name="Normal 2 2 2 2 2 2 2 2 4 7 2" xfId="10037"/>
    <cellStyle name="Normal 2 2 2 2 2 2 2 2 4 8" xfId="10038"/>
    <cellStyle name="Normal 2 2 2 2 2 2 2 2 4 8 2" xfId="10039"/>
    <cellStyle name="Normal 2 2 2 2 2 2 2 2 4 9" xfId="10040"/>
    <cellStyle name="Normal 2 2 2 2 2 2 2 2 4 9 2" xfId="10041"/>
    <cellStyle name="Normal 2 2 2 2 2 2 2 2 5" xfId="10042"/>
    <cellStyle name="Normal 2 2 2 2 2 2 2 2 5 10" xfId="10043"/>
    <cellStyle name="Normal 2 2 2 2 2 2 2 2 5 10 2" xfId="10044"/>
    <cellStyle name="Normal 2 2 2 2 2 2 2 2 5 11" xfId="10045"/>
    <cellStyle name="Normal 2 2 2 2 2 2 2 2 5 11 2" xfId="10046"/>
    <cellStyle name="Normal 2 2 2 2 2 2 2 2 5 12" xfId="10047"/>
    <cellStyle name="Normal 2 2 2 2 2 2 2 2 5 12 2" xfId="10048"/>
    <cellStyle name="Normal 2 2 2 2 2 2 2 2 5 13" xfId="10049"/>
    <cellStyle name="Normal 2 2 2 2 2 2 2 2 5 2" xfId="10050"/>
    <cellStyle name="Normal 2 2 2 2 2 2 2 2 5 2 10" xfId="10051"/>
    <cellStyle name="Normal 2 2 2 2 2 2 2 2 5 2 10 2" xfId="10052"/>
    <cellStyle name="Normal 2 2 2 2 2 2 2 2 5 2 11" xfId="10053"/>
    <cellStyle name="Normal 2 2 2 2 2 2 2 2 5 2 11 2" xfId="10054"/>
    <cellStyle name="Normal 2 2 2 2 2 2 2 2 5 2 12" xfId="10055"/>
    <cellStyle name="Normal 2 2 2 2 2 2 2 2 5 2 2" xfId="10056"/>
    <cellStyle name="Normal 2 2 2 2 2 2 2 2 5 2 2 10" xfId="10057"/>
    <cellStyle name="Normal 2 2 2 2 2 2 2 2 5 2 2 10 2" xfId="10058"/>
    <cellStyle name="Normal 2 2 2 2 2 2 2 2 5 2 2 11" xfId="10059"/>
    <cellStyle name="Normal 2 2 2 2 2 2 2 2 5 2 2 2" xfId="10060"/>
    <cellStyle name="Normal 2 2 2 2 2 2 2 2 5 2 2 2 2" xfId="10061"/>
    <cellStyle name="Normal 2 2 2 2 2 2 2 2 5 2 2 3" xfId="10062"/>
    <cellStyle name="Normal 2 2 2 2 2 2 2 2 5 2 2 3 2" xfId="10063"/>
    <cellStyle name="Normal 2 2 2 2 2 2 2 2 5 2 2 4" xfId="10064"/>
    <cellStyle name="Normal 2 2 2 2 2 2 2 2 5 2 2 4 2" xfId="10065"/>
    <cellStyle name="Normal 2 2 2 2 2 2 2 2 5 2 2 5" xfId="10066"/>
    <cellStyle name="Normal 2 2 2 2 2 2 2 2 5 2 2 5 2" xfId="10067"/>
    <cellStyle name="Normal 2 2 2 2 2 2 2 2 5 2 2 6" xfId="10068"/>
    <cellStyle name="Normal 2 2 2 2 2 2 2 2 5 2 2 6 2" xfId="10069"/>
    <cellStyle name="Normal 2 2 2 2 2 2 2 2 5 2 2 7" xfId="10070"/>
    <cellStyle name="Normal 2 2 2 2 2 2 2 2 5 2 2 7 2" xfId="10071"/>
    <cellStyle name="Normal 2 2 2 2 2 2 2 2 5 2 2 8" xfId="10072"/>
    <cellStyle name="Normal 2 2 2 2 2 2 2 2 5 2 2 8 2" xfId="10073"/>
    <cellStyle name="Normal 2 2 2 2 2 2 2 2 5 2 2 9" xfId="10074"/>
    <cellStyle name="Normal 2 2 2 2 2 2 2 2 5 2 2 9 2" xfId="10075"/>
    <cellStyle name="Normal 2 2 2 2 2 2 2 2 5 2 3" xfId="10076"/>
    <cellStyle name="Normal 2 2 2 2 2 2 2 2 5 2 3 2" xfId="10077"/>
    <cellStyle name="Normal 2 2 2 2 2 2 2 2 5 2 4" xfId="10078"/>
    <cellStyle name="Normal 2 2 2 2 2 2 2 2 5 2 4 2" xfId="10079"/>
    <cellStyle name="Normal 2 2 2 2 2 2 2 2 5 2 5" xfId="10080"/>
    <cellStyle name="Normal 2 2 2 2 2 2 2 2 5 2 5 2" xfId="10081"/>
    <cellStyle name="Normal 2 2 2 2 2 2 2 2 5 2 6" xfId="10082"/>
    <cellStyle name="Normal 2 2 2 2 2 2 2 2 5 2 6 2" xfId="10083"/>
    <cellStyle name="Normal 2 2 2 2 2 2 2 2 5 2 7" xfId="10084"/>
    <cellStyle name="Normal 2 2 2 2 2 2 2 2 5 2 7 2" xfId="10085"/>
    <cellStyle name="Normal 2 2 2 2 2 2 2 2 5 2 8" xfId="10086"/>
    <cellStyle name="Normal 2 2 2 2 2 2 2 2 5 2 8 2" xfId="10087"/>
    <cellStyle name="Normal 2 2 2 2 2 2 2 2 5 2 9" xfId="10088"/>
    <cellStyle name="Normal 2 2 2 2 2 2 2 2 5 2 9 2" xfId="10089"/>
    <cellStyle name="Normal 2 2 2 2 2 2 2 2 5 3" xfId="10090"/>
    <cellStyle name="Normal 2 2 2 2 2 2 2 2 5 3 10" xfId="10091"/>
    <cellStyle name="Normal 2 2 2 2 2 2 2 2 5 3 10 2" xfId="10092"/>
    <cellStyle name="Normal 2 2 2 2 2 2 2 2 5 3 11" xfId="10093"/>
    <cellStyle name="Normal 2 2 2 2 2 2 2 2 5 3 2" xfId="10094"/>
    <cellStyle name="Normal 2 2 2 2 2 2 2 2 5 3 2 2" xfId="10095"/>
    <cellStyle name="Normal 2 2 2 2 2 2 2 2 5 3 3" xfId="10096"/>
    <cellStyle name="Normal 2 2 2 2 2 2 2 2 5 3 3 2" xfId="10097"/>
    <cellStyle name="Normal 2 2 2 2 2 2 2 2 5 3 4" xfId="10098"/>
    <cellStyle name="Normal 2 2 2 2 2 2 2 2 5 3 4 2" xfId="10099"/>
    <cellStyle name="Normal 2 2 2 2 2 2 2 2 5 3 5" xfId="10100"/>
    <cellStyle name="Normal 2 2 2 2 2 2 2 2 5 3 5 2" xfId="10101"/>
    <cellStyle name="Normal 2 2 2 2 2 2 2 2 5 3 6" xfId="10102"/>
    <cellStyle name="Normal 2 2 2 2 2 2 2 2 5 3 6 2" xfId="10103"/>
    <cellStyle name="Normal 2 2 2 2 2 2 2 2 5 3 7" xfId="10104"/>
    <cellStyle name="Normal 2 2 2 2 2 2 2 2 5 3 7 2" xfId="10105"/>
    <cellStyle name="Normal 2 2 2 2 2 2 2 2 5 3 8" xfId="10106"/>
    <cellStyle name="Normal 2 2 2 2 2 2 2 2 5 3 8 2" xfId="10107"/>
    <cellStyle name="Normal 2 2 2 2 2 2 2 2 5 3 9" xfId="10108"/>
    <cellStyle name="Normal 2 2 2 2 2 2 2 2 5 3 9 2" xfId="10109"/>
    <cellStyle name="Normal 2 2 2 2 2 2 2 2 5 4" xfId="10110"/>
    <cellStyle name="Normal 2 2 2 2 2 2 2 2 5 4 2" xfId="10111"/>
    <cellStyle name="Normal 2 2 2 2 2 2 2 2 5 5" xfId="10112"/>
    <cellStyle name="Normal 2 2 2 2 2 2 2 2 5 5 2" xfId="10113"/>
    <cellStyle name="Normal 2 2 2 2 2 2 2 2 5 6" xfId="10114"/>
    <cellStyle name="Normal 2 2 2 2 2 2 2 2 5 6 2" xfId="10115"/>
    <cellStyle name="Normal 2 2 2 2 2 2 2 2 5 7" xfId="10116"/>
    <cellStyle name="Normal 2 2 2 2 2 2 2 2 5 7 2" xfId="10117"/>
    <cellStyle name="Normal 2 2 2 2 2 2 2 2 5 8" xfId="10118"/>
    <cellStyle name="Normal 2 2 2 2 2 2 2 2 5 8 2" xfId="10119"/>
    <cellStyle name="Normal 2 2 2 2 2 2 2 2 5 9" xfId="10120"/>
    <cellStyle name="Normal 2 2 2 2 2 2 2 2 5 9 2" xfId="10121"/>
    <cellStyle name="Normal 2 2 2 2 2 2 2 3" xfId="10122"/>
    <cellStyle name="Normal 2 2 2 2 2 2 2 4" xfId="10123"/>
    <cellStyle name="Normal 2 2 2 2 2 2 2 5" xfId="10124"/>
    <cellStyle name="Normal 2 2 2 2 2 2 2 6" xfId="10125"/>
    <cellStyle name="Normal 2 2 2 2 2 2 2 7" xfId="10126"/>
    <cellStyle name="Normal 2 2 2 2 2 2 2 7 10" xfId="10127"/>
    <cellStyle name="Normal 2 2 2 2 2 2 2 7 10 2" xfId="10128"/>
    <cellStyle name="Normal 2 2 2 2 2 2 2 7 11" xfId="10129"/>
    <cellStyle name="Normal 2 2 2 2 2 2 2 7 11 2" xfId="10130"/>
    <cellStyle name="Normal 2 2 2 2 2 2 2 7 12" xfId="10131"/>
    <cellStyle name="Normal 2 2 2 2 2 2 2 7 2" xfId="10132"/>
    <cellStyle name="Normal 2 2 2 2 2 2 2 7 2 10" xfId="10133"/>
    <cellStyle name="Normal 2 2 2 2 2 2 2 7 2 10 2" xfId="10134"/>
    <cellStyle name="Normal 2 2 2 2 2 2 2 7 2 11" xfId="10135"/>
    <cellStyle name="Normal 2 2 2 2 2 2 2 7 2 2" xfId="10136"/>
    <cellStyle name="Normal 2 2 2 2 2 2 2 7 2 2 2" xfId="10137"/>
    <cellStyle name="Normal 2 2 2 2 2 2 2 7 2 3" xfId="10138"/>
    <cellStyle name="Normal 2 2 2 2 2 2 2 7 2 3 2" xfId="10139"/>
    <cellStyle name="Normal 2 2 2 2 2 2 2 7 2 4" xfId="10140"/>
    <cellStyle name="Normal 2 2 2 2 2 2 2 7 2 4 2" xfId="10141"/>
    <cellStyle name="Normal 2 2 2 2 2 2 2 7 2 5" xfId="10142"/>
    <cellStyle name="Normal 2 2 2 2 2 2 2 7 2 5 2" xfId="10143"/>
    <cellStyle name="Normal 2 2 2 2 2 2 2 7 2 6" xfId="10144"/>
    <cellStyle name="Normal 2 2 2 2 2 2 2 7 2 6 2" xfId="10145"/>
    <cellStyle name="Normal 2 2 2 2 2 2 2 7 2 7" xfId="10146"/>
    <cellStyle name="Normal 2 2 2 2 2 2 2 7 2 7 2" xfId="10147"/>
    <cellStyle name="Normal 2 2 2 2 2 2 2 7 2 8" xfId="10148"/>
    <cellStyle name="Normal 2 2 2 2 2 2 2 7 2 8 2" xfId="10149"/>
    <cellStyle name="Normal 2 2 2 2 2 2 2 7 2 9" xfId="10150"/>
    <cellStyle name="Normal 2 2 2 2 2 2 2 7 2 9 2" xfId="10151"/>
    <cellStyle name="Normal 2 2 2 2 2 2 2 7 3" xfId="10152"/>
    <cellStyle name="Normal 2 2 2 2 2 2 2 7 3 2" xfId="10153"/>
    <cellStyle name="Normal 2 2 2 2 2 2 2 7 4" xfId="10154"/>
    <cellStyle name="Normal 2 2 2 2 2 2 2 7 4 2" xfId="10155"/>
    <cellStyle name="Normal 2 2 2 2 2 2 2 7 5" xfId="10156"/>
    <cellStyle name="Normal 2 2 2 2 2 2 2 7 5 2" xfId="10157"/>
    <cellStyle name="Normal 2 2 2 2 2 2 2 7 6" xfId="10158"/>
    <cellStyle name="Normal 2 2 2 2 2 2 2 7 6 2" xfId="10159"/>
    <cellStyle name="Normal 2 2 2 2 2 2 2 7 7" xfId="10160"/>
    <cellStyle name="Normal 2 2 2 2 2 2 2 7 7 2" xfId="10161"/>
    <cellStyle name="Normal 2 2 2 2 2 2 2 7 8" xfId="10162"/>
    <cellStyle name="Normal 2 2 2 2 2 2 2 7 8 2" xfId="10163"/>
    <cellStyle name="Normal 2 2 2 2 2 2 2 7 9" xfId="10164"/>
    <cellStyle name="Normal 2 2 2 2 2 2 2 7 9 2" xfId="10165"/>
    <cellStyle name="Normal 2 2 2 2 2 2 2 8" xfId="10166"/>
    <cellStyle name="Normal 2 2 2 2 2 2 2 8 10" xfId="10167"/>
    <cellStyle name="Normal 2 2 2 2 2 2 2 8 10 2" xfId="10168"/>
    <cellStyle name="Normal 2 2 2 2 2 2 2 8 11" xfId="10169"/>
    <cellStyle name="Normal 2 2 2 2 2 2 2 8 2" xfId="10170"/>
    <cellStyle name="Normal 2 2 2 2 2 2 2 8 2 2" xfId="10171"/>
    <cellStyle name="Normal 2 2 2 2 2 2 2 8 3" xfId="10172"/>
    <cellStyle name="Normal 2 2 2 2 2 2 2 8 3 2" xfId="10173"/>
    <cellStyle name="Normal 2 2 2 2 2 2 2 8 4" xfId="10174"/>
    <cellStyle name="Normal 2 2 2 2 2 2 2 8 4 2" xfId="10175"/>
    <cellStyle name="Normal 2 2 2 2 2 2 2 8 5" xfId="10176"/>
    <cellStyle name="Normal 2 2 2 2 2 2 2 8 5 2" xfId="10177"/>
    <cellStyle name="Normal 2 2 2 2 2 2 2 8 6" xfId="10178"/>
    <cellStyle name="Normal 2 2 2 2 2 2 2 8 6 2" xfId="10179"/>
    <cellStyle name="Normal 2 2 2 2 2 2 2 8 7" xfId="10180"/>
    <cellStyle name="Normal 2 2 2 2 2 2 2 8 7 2" xfId="10181"/>
    <cellStyle name="Normal 2 2 2 2 2 2 2 8 8" xfId="10182"/>
    <cellStyle name="Normal 2 2 2 2 2 2 2 8 8 2" xfId="10183"/>
    <cellStyle name="Normal 2 2 2 2 2 2 2 8 9" xfId="10184"/>
    <cellStyle name="Normal 2 2 2 2 2 2 2 8 9 2" xfId="10185"/>
    <cellStyle name="Normal 2 2 2 2 2 2 2 9" xfId="10186"/>
    <cellStyle name="Normal 2 2 2 2 2 2 2 9 2" xfId="10187"/>
    <cellStyle name="Normal 2 2 2 2 2 2 3" xfId="10188"/>
    <cellStyle name="Normal 2 2 2 2 2 2 4" xfId="10189"/>
    <cellStyle name="Normal 2 2 2 2 2 2 5" xfId="10190"/>
    <cellStyle name="Normal 2 2 2 2 2 2 6" xfId="10191"/>
    <cellStyle name="Normal 2 2 2 2 2 2 6 10" xfId="10192"/>
    <cellStyle name="Normal 2 2 2 2 2 2 6 10 2" xfId="10193"/>
    <cellStyle name="Normal 2 2 2 2 2 2 6 11" xfId="10194"/>
    <cellStyle name="Normal 2 2 2 2 2 2 6 11 2" xfId="10195"/>
    <cellStyle name="Normal 2 2 2 2 2 2 6 12" xfId="10196"/>
    <cellStyle name="Normal 2 2 2 2 2 2 6 12 2" xfId="10197"/>
    <cellStyle name="Normal 2 2 2 2 2 2 6 13" xfId="10198"/>
    <cellStyle name="Normal 2 2 2 2 2 2 6 13 2" xfId="10199"/>
    <cellStyle name="Normal 2 2 2 2 2 2 6 14" xfId="10200"/>
    <cellStyle name="Normal 2 2 2 2 2 2 6 14 2" xfId="10201"/>
    <cellStyle name="Normal 2 2 2 2 2 2 6 15" xfId="10202"/>
    <cellStyle name="Normal 2 2 2 2 2 2 6 15 2" xfId="10203"/>
    <cellStyle name="Normal 2 2 2 2 2 2 6 16" xfId="10204"/>
    <cellStyle name="Normal 2 2 2 2 2 2 6 16 2" xfId="10205"/>
    <cellStyle name="Normal 2 2 2 2 2 2 6 17" xfId="10206"/>
    <cellStyle name="Normal 2 2 2 2 2 2 6 2" xfId="10207"/>
    <cellStyle name="Normal 2 2 2 2 2 2 6 3" xfId="10208"/>
    <cellStyle name="Normal 2 2 2 2 2 2 6 4" xfId="10209"/>
    <cellStyle name="Normal 2 2 2 2 2 2 6 5" xfId="10210"/>
    <cellStyle name="Normal 2 2 2 2 2 2 6 6" xfId="10211"/>
    <cellStyle name="Normal 2 2 2 2 2 2 6 6 10" xfId="10212"/>
    <cellStyle name="Normal 2 2 2 2 2 2 6 6 10 2" xfId="10213"/>
    <cellStyle name="Normal 2 2 2 2 2 2 6 6 11" xfId="10214"/>
    <cellStyle name="Normal 2 2 2 2 2 2 6 6 11 2" xfId="10215"/>
    <cellStyle name="Normal 2 2 2 2 2 2 6 6 12" xfId="10216"/>
    <cellStyle name="Normal 2 2 2 2 2 2 6 6 2" xfId="10217"/>
    <cellStyle name="Normal 2 2 2 2 2 2 6 6 2 10" xfId="10218"/>
    <cellStyle name="Normal 2 2 2 2 2 2 6 6 2 10 2" xfId="10219"/>
    <cellStyle name="Normal 2 2 2 2 2 2 6 6 2 11" xfId="10220"/>
    <cellStyle name="Normal 2 2 2 2 2 2 6 6 2 2" xfId="10221"/>
    <cellStyle name="Normal 2 2 2 2 2 2 6 6 2 2 2" xfId="10222"/>
    <cellStyle name="Normal 2 2 2 2 2 2 6 6 2 3" xfId="10223"/>
    <cellStyle name="Normal 2 2 2 2 2 2 6 6 2 3 2" xfId="10224"/>
    <cellStyle name="Normal 2 2 2 2 2 2 6 6 2 4" xfId="10225"/>
    <cellStyle name="Normal 2 2 2 2 2 2 6 6 2 4 2" xfId="10226"/>
    <cellStyle name="Normal 2 2 2 2 2 2 6 6 2 5" xfId="10227"/>
    <cellStyle name="Normal 2 2 2 2 2 2 6 6 2 5 2" xfId="10228"/>
    <cellStyle name="Normal 2 2 2 2 2 2 6 6 2 6" xfId="10229"/>
    <cellStyle name="Normal 2 2 2 2 2 2 6 6 2 6 2" xfId="10230"/>
    <cellStyle name="Normal 2 2 2 2 2 2 6 6 2 7" xfId="10231"/>
    <cellStyle name="Normal 2 2 2 2 2 2 6 6 2 7 2" xfId="10232"/>
    <cellStyle name="Normal 2 2 2 2 2 2 6 6 2 8" xfId="10233"/>
    <cellStyle name="Normal 2 2 2 2 2 2 6 6 2 8 2" xfId="10234"/>
    <cellStyle name="Normal 2 2 2 2 2 2 6 6 2 9" xfId="10235"/>
    <cellStyle name="Normal 2 2 2 2 2 2 6 6 2 9 2" xfId="10236"/>
    <cellStyle name="Normal 2 2 2 2 2 2 6 6 3" xfId="10237"/>
    <cellStyle name="Normal 2 2 2 2 2 2 6 6 3 2" xfId="10238"/>
    <cellStyle name="Normal 2 2 2 2 2 2 6 6 4" xfId="10239"/>
    <cellStyle name="Normal 2 2 2 2 2 2 6 6 4 2" xfId="10240"/>
    <cellStyle name="Normal 2 2 2 2 2 2 6 6 5" xfId="10241"/>
    <cellStyle name="Normal 2 2 2 2 2 2 6 6 5 2" xfId="10242"/>
    <cellStyle name="Normal 2 2 2 2 2 2 6 6 6" xfId="10243"/>
    <cellStyle name="Normal 2 2 2 2 2 2 6 6 6 2" xfId="10244"/>
    <cellStyle name="Normal 2 2 2 2 2 2 6 6 7" xfId="10245"/>
    <cellStyle name="Normal 2 2 2 2 2 2 6 6 7 2" xfId="10246"/>
    <cellStyle name="Normal 2 2 2 2 2 2 6 6 8" xfId="10247"/>
    <cellStyle name="Normal 2 2 2 2 2 2 6 6 8 2" xfId="10248"/>
    <cellStyle name="Normal 2 2 2 2 2 2 6 6 9" xfId="10249"/>
    <cellStyle name="Normal 2 2 2 2 2 2 6 6 9 2" xfId="10250"/>
    <cellStyle name="Normal 2 2 2 2 2 2 6 7" xfId="10251"/>
    <cellStyle name="Normal 2 2 2 2 2 2 6 7 10" xfId="10252"/>
    <cellStyle name="Normal 2 2 2 2 2 2 6 7 10 2" xfId="10253"/>
    <cellStyle name="Normal 2 2 2 2 2 2 6 7 11" xfId="10254"/>
    <cellStyle name="Normal 2 2 2 2 2 2 6 7 2" xfId="10255"/>
    <cellStyle name="Normal 2 2 2 2 2 2 6 7 2 2" xfId="10256"/>
    <cellStyle name="Normal 2 2 2 2 2 2 6 7 3" xfId="10257"/>
    <cellStyle name="Normal 2 2 2 2 2 2 6 7 3 2" xfId="10258"/>
    <cellStyle name="Normal 2 2 2 2 2 2 6 7 4" xfId="10259"/>
    <cellStyle name="Normal 2 2 2 2 2 2 6 7 4 2" xfId="10260"/>
    <cellStyle name="Normal 2 2 2 2 2 2 6 7 5" xfId="10261"/>
    <cellStyle name="Normal 2 2 2 2 2 2 6 7 5 2" xfId="10262"/>
    <cellStyle name="Normal 2 2 2 2 2 2 6 7 6" xfId="10263"/>
    <cellStyle name="Normal 2 2 2 2 2 2 6 7 6 2" xfId="10264"/>
    <cellStyle name="Normal 2 2 2 2 2 2 6 7 7" xfId="10265"/>
    <cellStyle name="Normal 2 2 2 2 2 2 6 7 7 2" xfId="10266"/>
    <cellStyle name="Normal 2 2 2 2 2 2 6 7 8" xfId="10267"/>
    <cellStyle name="Normal 2 2 2 2 2 2 6 7 8 2" xfId="10268"/>
    <cellStyle name="Normal 2 2 2 2 2 2 6 7 9" xfId="10269"/>
    <cellStyle name="Normal 2 2 2 2 2 2 6 7 9 2" xfId="10270"/>
    <cellStyle name="Normal 2 2 2 2 2 2 6 8" xfId="10271"/>
    <cellStyle name="Normal 2 2 2 2 2 2 6 8 2" xfId="10272"/>
    <cellStyle name="Normal 2 2 2 2 2 2 6 9" xfId="10273"/>
    <cellStyle name="Normal 2 2 2 2 2 2 6 9 2" xfId="10274"/>
    <cellStyle name="Normal 2 2 2 2 2 2 7" xfId="10275"/>
    <cellStyle name="Normal 2 2 2 2 2 2 7 10" xfId="10276"/>
    <cellStyle name="Normal 2 2 2 2 2 2 7 10 2" xfId="10277"/>
    <cellStyle name="Normal 2 2 2 2 2 2 7 11" xfId="10278"/>
    <cellStyle name="Normal 2 2 2 2 2 2 7 11 2" xfId="10279"/>
    <cellStyle name="Normal 2 2 2 2 2 2 7 12" xfId="10280"/>
    <cellStyle name="Normal 2 2 2 2 2 2 7 12 2" xfId="10281"/>
    <cellStyle name="Normal 2 2 2 2 2 2 7 13" xfId="10282"/>
    <cellStyle name="Normal 2 2 2 2 2 2 7 2" xfId="10283"/>
    <cellStyle name="Normal 2 2 2 2 2 2 7 2 10" xfId="10284"/>
    <cellStyle name="Normal 2 2 2 2 2 2 7 2 10 2" xfId="10285"/>
    <cellStyle name="Normal 2 2 2 2 2 2 7 2 11" xfId="10286"/>
    <cellStyle name="Normal 2 2 2 2 2 2 7 2 11 2" xfId="10287"/>
    <cellStyle name="Normal 2 2 2 2 2 2 7 2 12" xfId="10288"/>
    <cellStyle name="Normal 2 2 2 2 2 2 7 2 2" xfId="10289"/>
    <cellStyle name="Normal 2 2 2 2 2 2 7 2 2 10" xfId="10290"/>
    <cellStyle name="Normal 2 2 2 2 2 2 7 2 2 10 2" xfId="10291"/>
    <cellStyle name="Normal 2 2 2 2 2 2 7 2 2 11" xfId="10292"/>
    <cellStyle name="Normal 2 2 2 2 2 2 7 2 2 2" xfId="10293"/>
    <cellStyle name="Normal 2 2 2 2 2 2 7 2 2 2 2" xfId="10294"/>
    <cellStyle name="Normal 2 2 2 2 2 2 7 2 2 3" xfId="10295"/>
    <cellStyle name="Normal 2 2 2 2 2 2 7 2 2 3 2" xfId="10296"/>
    <cellStyle name="Normal 2 2 2 2 2 2 7 2 2 4" xfId="10297"/>
    <cellStyle name="Normal 2 2 2 2 2 2 7 2 2 4 2" xfId="10298"/>
    <cellStyle name="Normal 2 2 2 2 2 2 7 2 2 5" xfId="10299"/>
    <cellStyle name="Normal 2 2 2 2 2 2 7 2 2 5 2" xfId="10300"/>
    <cellStyle name="Normal 2 2 2 2 2 2 7 2 2 6" xfId="10301"/>
    <cellStyle name="Normal 2 2 2 2 2 2 7 2 2 6 2" xfId="10302"/>
    <cellStyle name="Normal 2 2 2 2 2 2 7 2 2 7" xfId="10303"/>
    <cellStyle name="Normal 2 2 2 2 2 2 7 2 2 7 2" xfId="10304"/>
    <cellStyle name="Normal 2 2 2 2 2 2 7 2 2 8" xfId="10305"/>
    <cellStyle name="Normal 2 2 2 2 2 2 7 2 2 8 2" xfId="10306"/>
    <cellStyle name="Normal 2 2 2 2 2 2 7 2 2 9" xfId="10307"/>
    <cellStyle name="Normal 2 2 2 2 2 2 7 2 2 9 2" xfId="10308"/>
    <cellStyle name="Normal 2 2 2 2 2 2 7 2 3" xfId="10309"/>
    <cellStyle name="Normal 2 2 2 2 2 2 7 2 3 2" xfId="10310"/>
    <cellStyle name="Normal 2 2 2 2 2 2 7 2 4" xfId="10311"/>
    <cellStyle name="Normal 2 2 2 2 2 2 7 2 4 2" xfId="10312"/>
    <cellStyle name="Normal 2 2 2 2 2 2 7 2 5" xfId="10313"/>
    <cellStyle name="Normal 2 2 2 2 2 2 7 2 5 2" xfId="10314"/>
    <cellStyle name="Normal 2 2 2 2 2 2 7 2 6" xfId="10315"/>
    <cellStyle name="Normal 2 2 2 2 2 2 7 2 6 2" xfId="10316"/>
    <cellStyle name="Normal 2 2 2 2 2 2 7 2 7" xfId="10317"/>
    <cellStyle name="Normal 2 2 2 2 2 2 7 2 7 2" xfId="10318"/>
    <cellStyle name="Normal 2 2 2 2 2 2 7 2 8" xfId="10319"/>
    <cellStyle name="Normal 2 2 2 2 2 2 7 2 8 2" xfId="10320"/>
    <cellStyle name="Normal 2 2 2 2 2 2 7 2 9" xfId="10321"/>
    <cellStyle name="Normal 2 2 2 2 2 2 7 2 9 2" xfId="10322"/>
    <cellStyle name="Normal 2 2 2 2 2 2 7 3" xfId="10323"/>
    <cellStyle name="Normal 2 2 2 2 2 2 7 3 10" xfId="10324"/>
    <cellStyle name="Normal 2 2 2 2 2 2 7 3 10 2" xfId="10325"/>
    <cellStyle name="Normal 2 2 2 2 2 2 7 3 11" xfId="10326"/>
    <cellStyle name="Normal 2 2 2 2 2 2 7 3 2" xfId="10327"/>
    <cellStyle name="Normal 2 2 2 2 2 2 7 3 2 2" xfId="10328"/>
    <cellStyle name="Normal 2 2 2 2 2 2 7 3 3" xfId="10329"/>
    <cellStyle name="Normal 2 2 2 2 2 2 7 3 3 2" xfId="10330"/>
    <cellStyle name="Normal 2 2 2 2 2 2 7 3 4" xfId="10331"/>
    <cellStyle name="Normal 2 2 2 2 2 2 7 3 4 2" xfId="10332"/>
    <cellStyle name="Normal 2 2 2 2 2 2 7 3 5" xfId="10333"/>
    <cellStyle name="Normal 2 2 2 2 2 2 7 3 5 2" xfId="10334"/>
    <cellStyle name="Normal 2 2 2 2 2 2 7 3 6" xfId="10335"/>
    <cellStyle name="Normal 2 2 2 2 2 2 7 3 6 2" xfId="10336"/>
    <cellStyle name="Normal 2 2 2 2 2 2 7 3 7" xfId="10337"/>
    <cellStyle name="Normal 2 2 2 2 2 2 7 3 7 2" xfId="10338"/>
    <cellStyle name="Normal 2 2 2 2 2 2 7 3 8" xfId="10339"/>
    <cellStyle name="Normal 2 2 2 2 2 2 7 3 8 2" xfId="10340"/>
    <cellStyle name="Normal 2 2 2 2 2 2 7 3 9" xfId="10341"/>
    <cellStyle name="Normal 2 2 2 2 2 2 7 3 9 2" xfId="10342"/>
    <cellStyle name="Normal 2 2 2 2 2 2 7 4" xfId="10343"/>
    <cellStyle name="Normal 2 2 2 2 2 2 7 4 2" xfId="10344"/>
    <cellStyle name="Normal 2 2 2 2 2 2 7 5" xfId="10345"/>
    <cellStyle name="Normal 2 2 2 2 2 2 7 5 2" xfId="10346"/>
    <cellStyle name="Normal 2 2 2 2 2 2 7 6" xfId="10347"/>
    <cellStyle name="Normal 2 2 2 2 2 2 7 6 2" xfId="10348"/>
    <cellStyle name="Normal 2 2 2 2 2 2 7 7" xfId="10349"/>
    <cellStyle name="Normal 2 2 2 2 2 2 7 7 2" xfId="10350"/>
    <cellStyle name="Normal 2 2 2 2 2 2 7 8" xfId="10351"/>
    <cellStyle name="Normal 2 2 2 2 2 2 7 8 2" xfId="10352"/>
    <cellStyle name="Normal 2 2 2 2 2 2 7 9" xfId="10353"/>
    <cellStyle name="Normal 2 2 2 2 2 2 7 9 2" xfId="10354"/>
    <cellStyle name="Normal 2 2 2 2 2 2 8" xfId="10355"/>
    <cellStyle name="Normal 2 2 2 2 2 2 8 10" xfId="10356"/>
    <cellStyle name="Normal 2 2 2 2 2 2 8 10 2" xfId="10357"/>
    <cellStyle name="Normal 2 2 2 2 2 2 8 11" xfId="10358"/>
    <cellStyle name="Normal 2 2 2 2 2 2 8 11 2" xfId="10359"/>
    <cellStyle name="Normal 2 2 2 2 2 2 8 12" xfId="10360"/>
    <cellStyle name="Normal 2 2 2 2 2 2 8 12 2" xfId="10361"/>
    <cellStyle name="Normal 2 2 2 2 2 2 8 13" xfId="10362"/>
    <cellStyle name="Normal 2 2 2 2 2 2 8 2" xfId="10363"/>
    <cellStyle name="Normal 2 2 2 2 2 2 8 2 10" xfId="10364"/>
    <cellStyle name="Normal 2 2 2 2 2 2 8 2 10 2" xfId="10365"/>
    <cellStyle name="Normal 2 2 2 2 2 2 8 2 11" xfId="10366"/>
    <cellStyle name="Normal 2 2 2 2 2 2 8 2 11 2" xfId="10367"/>
    <cellStyle name="Normal 2 2 2 2 2 2 8 2 12" xfId="10368"/>
    <cellStyle name="Normal 2 2 2 2 2 2 8 2 2" xfId="10369"/>
    <cellStyle name="Normal 2 2 2 2 2 2 8 2 2 10" xfId="10370"/>
    <cellStyle name="Normal 2 2 2 2 2 2 8 2 2 10 2" xfId="10371"/>
    <cellStyle name="Normal 2 2 2 2 2 2 8 2 2 11" xfId="10372"/>
    <cellStyle name="Normal 2 2 2 2 2 2 8 2 2 2" xfId="10373"/>
    <cellStyle name="Normal 2 2 2 2 2 2 8 2 2 2 2" xfId="10374"/>
    <cellStyle name="Normal 2 2 2 2 2 2 8 2 2 3" xfId="10375"/>
    <cellStyle name="Normal 2 2 2 2 2 2 8 2 2 3 2" xfId="10376"/>
    <cellStyle name="Normal 2 2 2 2 2 2 8 2 2 4" xfId="10377"/>
    <cellStyle name="Normal 2 2 2 2 2 2 8 2 2 4 2" xfId="10378"/>
    <cellStyle name="Normal 2 2 2 2 2 2 8 2 2 5" xfId="10379"/>
    <cellStyle name="Normal 2 2 2 2 2 2 8 2 2 5 2" xfId="10380"/>
    <cellStyle name="Normal 2 2 2 2 2 2 8 2 2 6" xfId="10381"/>
    <cellStyle name="Normal 2 2 2 2 2 2 8 2 2 6 2" xfId="10382"/>
    <cellStyle name="Normal 2 2 2 2 2 2 8 2 2 7" xfId="10383"/>
    <cellStyle name="Normal 2 2 2 2 2 2 8 2 2 7 2" xfId="10384"/>
    <cellStyle name="Normal 2 2 2 2 2 2 8 2 2 8" xfId="10385"/>
    <cellStyle name="Normal 2 2 2 2 2 2 8 2 2 8 2" xfId="10386"/>
    <cellStyle name="Normal 2 2 2 2 2 2 8 2 2 9" xfId="10387"/>
    <cellStyle name="Normal 2 2 2 2 2 2 8 2 2 9 2" xfId="10388"/>
    <cellStyle name="Normal 2 2 2 2 2 2 8 2 3" xfId="10389"/>
    <cellStyle name="Normal 2 2 2 2 2 2 8 2 3 2" xfId="10390"/>
    <cellStyle name="Normal 2 2 2 2 2 2 8 2 4" xfId="10391"/>
    <cellStyle name="Normal 2 2 2 2 2 2 8 2 4 2" xfId="10392"/>
    <cellStyle name="Normal 2 2 2 2 2 2 8 2 5" xfId="10393"/>
    <cellStyle name="Normal 2 2 2 2 2 2 8 2 5 2" xfId="10394"/>
    <cellStyle name="Normal 2 2 2 2 2 2 8 2 6" xfId="10395"/>
    <cellStyle name="Normal 2 2 2 2 2 2 8 2 6 2" xfId="10396"/>
    <cellStyle name="Normal 2 2 2 2 2 2 8 2 7" xfId="10397"/>
    <cellStyle name="Normal 2 2 2 2 2 2 8 2 7 2" xfId="10398"/>
    <cellStyle name="Normal 2 2 2 2 2 2 8 2 8" xfId="10399"/>
    <cellStyle name="Normal 2 2 2 2 2 2 8 2 8 2" xfId="10400"/>
    <cellStyle name="Normal 2 2 2 2 2 2 8 2 9" xfId="10401"/>
    <cellStyle name="Normal 2 2 2 2 2 2 8 2 9 2" xfId="10402"/>
    <cellStyle name="Normal 2 2 2 2 2 2 8 3" xfId="10403"/>
    <cellStyle name="Normal 2 2 2 2 2 2 8 3 10" xfId="10404"/>
    <cellStyle name="Normal 2 2 2 2 2 2 8 3 10 2" xfId="10405"/>
    <cellStyle name="Normal 2 2 2 2 2 2 8 3 11" xfId="10406"/>
    <cellStyle name="Normal 2 2 2 2 2 2 8 3 2" xfId="10407"/>
    <cellStyle name="Normal 2 2 2 2 2 2 8 3 2 2" xfId="10408"/>
    <cellStyle name="Normal 2 2 2 2 2 2 8 3 3" xfId="10409"/>
    <cellStyle name="Normal 2 2 2 2 2 2 8 3 3 2" xfId="10410"/>
    <cellStyle name="Normal 2 2 2 2 2 2 8 3 4" xfId="10411"/>
    <cellStyle name="Normal 2 2 2 2 2 2 8 3 4 2" xfId="10412"/>
    <cellStyle name="Normal 2 2 2 2 2 2 8 3 5" xfId="10413"/>
    <cellStyle name="Normal 2 2 2 2 2 2 8 3 5 2" xfId="10414"/>
    <cellStyle name="Normal 2 2 2 2 2 2 8 3 6" xfId="10415"/>
    <cellStyle name="Normal 2 2 2 2 2 2 8 3 6 2" xfId="10416"/>
    <cellStyle name="Normal 2 2 2 2 2 2 8 3 7" xfId="10417"/>
    <cellStyle name="Normal 2 2 2 2 2 2 8 3 7 2" xfId="10418"/>
    <cellStyle name="Normal 2 2 2 2 2 2 8 3 8" xfId="10419"/>
    <cellStyle name="Normal 2 2 2 2 2 2 8 3 8 2" xfId="10420"/>
    <cellStyle name="Normal 2 2 2 2 2 2 8 3 9" xfId="10421"/>
    <cellStyle name="Normal 2 2 2 2 2 2 8 3 9 2" xfId="10422"/>
    <cellStyle name="Normal 2 2 2 2 2 2 8 4" xfId="10423"/>
    <cellStyle name="Normal 2 2 2 2 2 2 8 4 2" xfId="10424"/>
    <cellStyle name="Normal 2 2 2 2 2 2 8 5" xfId="10425"/>
    <cellStyle name="Normal 2 2 2 2 2 2 8 5 2" xfId="10426"/>
    <cellStyle name="Normal 2 2 2 2 2 2 8 6" xfId="10427"/>
    <cellStyle name="Normal 2 2 2 2 2 2 8 6 2" xfId="10428"/>
    <cellStyle name="Normal 2 2 2 2 2 2 8 7" xfId="10429"/>
    <cellStyle name="Normal 2 2 2 2 2 2 8 7 2" xfId="10430"/>
    <cellStyle name="Normal 2 2 2 2 2 2 8 8" xfId="10431"/>
    <cellStyle name="Normal 2 2 2 2 2 2 8 8 2" xfId="10432"/>
    <cellStyle name="Normal 2 2 2 2 2 2 8 9" xfId="10433"/>
    <cellStyle name="Normal 2 2 2 2 2 2 8 9 2" xfId="10434"/>
    <cellStyle name="Normal 2 2 2 2 2 2 9" xfId="10435"/>
    <cellStyle name="Normal 2 2 2 2 2 2 9 10" xfId="10436"/>
    <cellStyle name="Normal 2 2 2 2 2 2 9 10 2" xfId="10437"/>
    <cellStyle name="Normal 2 2 2 2 2 2 9 11" xfId="10438"/>
    <cellStyle name="Normal 2 2 2 2 2 2 9 11 2" xfId="10439"/>
    <cellStyle name="Normal 2 2 2 2 2 2 9 12" xfId="10440"/>
    <cellStyle name="Normal 2 2 2 2 2 2 9 12 2" xfId="10441"/>
    <cellStyle name="Normal 2 2 2 2 2 2 9 13" xfId="10442"/>
    <cellStyle name="Normal 2 2 2 2 2 2 9 2" xfId="10443"/>
    <cellStyle name="Normal 2 2 2 2 2 2 9 2 10" xfId="10444"/>
    <cellStyle name="Normal 2 2 2 2 2 2 9 2 10 2" xfId="10445"/>
    <cellStyle name="Normal 2 2 2 2 2 2 9 2 11" xfId="10446"/>
    <cellStyle name="Normal 2 2 2 2 2 2 9 2 11 2" xfId="10447"/>
    <cellStyle name="Normal 2 2 2 2 2 2 9 2 12" xfId="10448"/>
    <cellStyle name="Normal 2 2 2 2 2 2 9 2 2" xfId="10449"/>
    <cellStyle name="Normal 2 2 2 2 2 2 9 2 2 10" xfId="10450"/>
    <cellStyle name="Normal 2 2 2 2 2 2 9 2 2 10 2" xfId="10451"/>
    <cellStyle name="Normal 2 2 2 2 2 2 9 2 2 11" xfId="10452"/>
    <cellStyle name="Normal 2 2 2 2 2 2 9 2 2 2" xfId="10453"/>
    <cellStyle name="Normal 2 2 2 2 2 2 9 2 2 2 2" xfId="10454"/>
    <cellStyle name="Normal 2 2 2 2 2 2 9 2 2 3" xfId="10455"/>
    <cellStyle name="Normal 2 2 2 2 2 2 9 2 2 3 2" xfId="10456"/>
    <cellStyle name="Normal 2 2 2 2 2 2 9 2 2 4" xfId="10457"/>
    <cellStyle name="Normal 2 2 2 2 2 2 9 2 2 4 2" xfId="10458"/>
    <cellStyle name="Normal 2 2 2 2 2 2 9 2 2 5" xfId="10459"/>
    <cellStyle name="Normal 2 2 2 2 2 2 9 2 2 5 2" xfId="10460"/>
    <cellStyle name="Normal 2 2 2 2 2 2 9 2 2 6" xfId="10461"/>
    <cellStyle name="Normal 2 2 2 2 2 2 9 2 2 6 2" xfId="10462"/>
    <cellStyle name="Normal 2 2 2 2 2 2 9 2 2 7" xfId="10463"/>
    <cellStyle name="Normal 2 2 2 2 2 2 9 2 2 7 2" xfId="10464"/>
    <cellStyle name="Normal 2 2 2 2 2 2 9 2 2 8" xfId="10465"/>
    <cellStyle name="Normal 2 2 2 2 2 2 9 2 2 8 2" xfId="10466"/>
    <cellStyle name="Normal 2 2 2 2 2 2 9 2 2 9" xfId="10467"/>
    <cellStyle name="Normal 2 2 2 2 2 2 9 2 2 9 2" xfId="10468"/>
    <cellStyle name="Normal 2 2 2 2 2 2 9 2 3" xfId="10469"/>
    <cellStyle name="Normal 2 2 2 2 2 2 9 2 3 2" xfId="10470"/>
    <cellStyle name="Normal 2 2 2 2 2 2 9 2 4" xfId="10471"/>
    <cellStyle name="Normal 2 2 2 2 2 2 9 2 4 2" xfId="10472"/>
    <cellStyle name="Normal 2 2 2 2 2 2 9 2 5" xfId="10473"/>
    <cellStyle name="Normal 2 2 2 2 2 2 9 2 5 2" xfId="10474"/>
    <cellStyle name="Normal 2 2 2 2 2 2 9 2 6" xfId="10475"/>
    <cellStyle name="Normal 2 2 2 2 2 2 9 2 6 2" xfId="10476"/>
    <cellStyle name="Normal 2 2 2 2 2 2 9 2 7" xfId="10477"/>
    <cellStyle name="Normal 2 2 2 2 2 2 9 2 7 2" xfId="10478"/>
    <cellStyle name="Normal 2 2 2 2 2 2 9 2 8" xfId="10479"/>
    <cellStyle name="Normal 2 2 2 2 2 2 9 2 8 2" xfId="10480"/>
    <cellStyle name="Normal 2 2 2 2 2 2 9 2 9" xfId="10481"/>
    <cellStyle name="Normal 2 2 2 2 2 2 9 2 9 2" xfId="10482"/>
    <cellStyle name="Normal 2 2 2 2 2 2 9 3" xfId="10483"/>
    <cellStyle name="Normal 2 2 2 2 2 2 9 3 10" xfId="10484"/>
    <cellStyle name="Normal 2 2 2 2 2 2 9 3 10 2" xfId="10485"/>
    <cellStyle name="Normal 2 2 2 2 2 2 9 3 11" xfId="10486"/>
    <cellStyle name="Normal 2 2 2 2 2 2 9 3 2" xfId="10487"/>
    <cellStyle name="Normal 2 2 2 2 2 2 9 3 2 2" xfId="10488"/>
    <cellStyle name="Normal 2 2 2 2 2 2 9 3 3" xfId="10489"/>
    <cellStyle name="Normal 2 2 2 2 2 2 9 3 3 2" xfId="10490"/>
    <cellStyle name="Normal 2 2 2 2 2 2 9 3 4" xfId="10491"/>
    <cellStyle name="Normal 2 2 2 2 2 2 9 3 4 2" xfId="10492"/>
    <cellStyle name="Normal 2 2 2 2 2 2 9 3 5" xfId="10493"/>
    <cellStyle name="Normal 2 2 2 2 2 2 9 3 5 2" xfId="10494"/>
    <cellStyle name="Normal 2 2 2 2 2 2 9 3 6" xfId="10495"/>
    <cellStyle name="Normal 2 2 2 2 2 2 9 3 6 2" xfId="10496"/>
    <cellStyle name="Normal 2 2 2 2 2 2 9 3 7" xfId="10497"/>
    <cellStyle name="Normal 2 2 2 2 2 2 9 3 7 2" xfId="10498"/>
    <cellStyle name="Normal 2 2 2 2 2 2 9 3 8" xfId="10499"/>
    <cellStyle name="Normal 2 2 2 2 2 2 9 3 8 2" xfId="10500"/>
    <cellStyle name="Normal 2 2 2 2 2 2 9 3 9" xfId="10501"/>
    <cellStyle name="Normal 2 2 2 2 2 2 9 3 9 2" xfId="10502"/>
    <cellStyle name="Normal 2 2 2 2 2 2 9 4" xfId="10503"/>
    <cellStyle name="Normal 2 2 2 2 2 2 9 4 2" xfId="10504"/>
    <cellStyle name="Normal 2 2 2 2 2 2 9 5" xfId="10505"/>
    <cellStyle name="Normal 2 2 2 2 2 2 9 5 2" xfId="10506"/>
    <cellStyle name="Normal 2 2 2 2 2 2 9 6" xfId="10507"/>
    <cellStyle name="Normal 2 2 2 2 2 2 9 6 2" xfId="10508"/>
    <cellStyle name="Normal 2 2 2 2 2 2 9 7" xfId="10509"/>
    <cellStyle name="Normal 2 2 2 2 2 2 9 7 2" xfId="10510"/>
    <cellStyle name="Normal 2 2 2 2 2 2 9 8" xfId="10511"/>
    <cellStyle name="Normal 2 2 2 2 2 2 9 8 2" xfId="10512"/>
    <cellStyle name="Normal 2 2 2 2 2 2 9 9" xfId="10513"/>
    <cellStyle name="Normal 2 2 2 2 2 2 9 9 2" xfId="10514"/>
    <cellStyle name="Normal 2 2 2 2 2 20" xfId="10515"/>
    <cellStyle name="Normal 2 2 2 2 2 20 2" xfId="10516"/>
    <cellStyle name="Normal 2 2 2 2 2 21" xfId="10517"/>
    <cellStyle name="Normal 2 2 2 2 2 3" xfId="10518"/>
    <cellStyle name="Normal 2 2 2 2 2 3 2" xfId="10519"/>
    <cellStyle name="Normal 2 2 2 2 2 3 2 10" xfId="10520"/>
    <cellStyle name="Normal 2 2 2 2 2 3 2 10 2" xfId="10521"/>
    <cellStyle name="Normal 2 2 2 2 2 3 2 11" xfId="10522"/>
    <cellStyle name="Normal 2 2 2 2 2 3 2 11 2" xfId="10523"/>
    <cellStyle name="Normal 2 2 2 2 2 3 2 12" xfId="10524"/>
    <cellStyle name="Normal 2 2 2 2 2 3 2 12 2" xfId="10525"/>
    <cellStyle name="Normal 2 2 2 2 2 3 2 13" xfId="10526"/>
    <cellStyle name="Normal 2 2 2 2 2 3 2 13 2" xfId="10527"/>
    <cellStyle name="Normal 2 2 2 2 2 3 2 14" xfId="10528"/>
    <cellStyle name="Normal 2 2 2 2 2 3 2 14 2" xfId="10529"/>
    <cellStyle name="Normal 2 2 2 2 2 3 2 15" xfId="10530"/>
    <cellStyle name="Normal 2 2 2 2 2 3 2 15 2" xfId="10531"/>
    <cellStyle name="Normal 2 2 2 2 2 3 2 16" xfId="10532"/>
    <cellStyle name="Normal 2 2 2 2 2 3 2 16 2" xfId="10533"/>
    <cellStyle name="Normal 2 2 2 2 2 3 2 17" xfId="10534"/>
    <cellStyle name="Normal 2 2 2 2 2 3 2 2" xfId="10535"/>
    <cellStyle name="Normal 2 2 2 2 2 3 2 2 2" xfId="10536"/>
    <cellStyle name="Normal 2 2 2 2 2 3 2 2 2 10" xfId="10537"/>
    <cellStyle name="Normal 2 2 2 2 2 3 2 2 2 10 2" xfId="10538"/>
    <cellStyle name="Normal 2 2 2 2 2 3 2 2 2 11" xfId="10539"/>
    <cellStyle name="Normal 2 2 2 2 2 3 2 2 2 11 2" xfId="10540"/>
    <cellStyle name="Normal 2 2 2 2 2 3 2 2 2 12" xfId="10541"/>
    <cellStyle name="Normal 2 2 2 2 2 3 2 2 2 12 2" xfId="10542"/>
    <cellStyle name="Normal 2 2 2 2 2 3 2 2 2 13" xfId="10543"/>
    <cellStyle name="Normal 2 2 2 2 2 3 2 2 2 2" xfId="10544"/>
    <cellStyle name="Normal 2 2 2 2 2 3 2 2 2 2 10" xfId="10545"/>
    <cellStyle name="Normal 2 2 2 2 2 3 2 2 2 2 10 2" xfId="10546"/>
    <cellStyle name="Normal 2 2 2 2 2 3 2 2 2 2 11" xfId="10547"/>
    <cellStyle name="Normal 2 2 2 2 2 3 2 2 2 2 11 2" xfId="10548"/>
    <cellStyle name="Normal 2 2 2 2 2 3 2 2 2 2 12" xfId="10549"/>
    <cellStyle name="Normal 2 2 2 2 2 3 2 2 2 2 2" xfId="10550"/>
    <cellStyle name="Normal 2 2 2 2 2 3 2 2 2 2 2 10" xfId="10551"/>
    <cellStyle name="Normal 2 2 2 2 2 3 2 2 2 2 2 10 2" xfId="10552"/>
    <cellStyle name="Normal 2 2 2 2 2 3 2 2 2 2 2 11" xfId="10553"/>
    <cellStyle name="Normal 2 2 2 2 2 3 2 2 2 2 2 2" xfId="10554"/>
    <cellStyle name="Normal 2 2 2 2 2 3 2 2 2 2 2 2 2" xfId="10555"/>
    <cellStyle name="Normal 2 2 2 2 2 3 2 2 2 2 2 3" xfId="10556"/>
    <cellStyle name="Normal 2 2 2 2 2 3 2 2 2 2 2 3 2" xfId="10557"/>
    <cellStyle name="Normal 2 2 2 2 2 3 2 2 2 2 2 4" xfId="10558"/>
    <cellStyle name="Normal 2 2 2 2 2 3 2 2 2 2 2 4 2" xfId="10559"/>
    <cellStyle name="Normal 2 2 2 2 2 3 2 2 2 2 2 5" xfId="10560"/>
    <cellStyle name="Normal 2 2 2 2 2 3 2 2 2 2 2 5 2" xfId="10561"/>
    <cellStyle name="Normal 2 2 2 2 2 3 2 2 2 2 2 6" xfId="10562"/>
    <cellStyle name="Normal 2 2 2 2 2 3 2 2 2 2 2 6 2" xfId="10563"/>
    <cellStyle name="Normal 2 2 2 2 2 3 2 2 2 2 2 7" xfId="10564"/>
    <cellStyle name="Normal 2 2 2 2 2 3 2 2 2 2 2 7 2" xfId="10565"/>
    <cellStyle name="Normal 2 2 2 2 2 3 2 2 2 2 2 8" xfId="10566"/>
    <cellStyle name="Normal 2 2 2 2 2 3 2 2 2 2 2 8 2" xfId="10567"/>
    <cellStyle name="Normal 2 2 2 2 2 3 2 2 2 2 2 9" xfId="10568"/>
    <cellStyle name="Normal 2 2 2 2 2 3 2 2 2 2 2 9 2" xfId="10569"/>
    <cellStyle name="Normal 2 2 2 2 2 3 2 2 2 2 3" xfId="10570"/>
    <cellStyle name="Normal 2 2 2 2 2 3 2 2 2 2 3 2" xfId="10571"/>
    <cellStyle name="Normal 2 2 2 2 2 3 2 2 2 2 4" xfId="10572"/>
    <cellStyle name="Normal 2 2 2 2 2 3 2 2 2 2 4 2" xfId="10573"/>
    <cellStyle name="Normal 2 2 2 2 2 3 2 2 2 2 5" xfId="10574"/>
    <cellStyle name="Normal 2 2 2 2 2 3 2 2 2 2 5 2" xfId="10575"/>
    <cellStyle name="Normal 2 2 2 2 2 3 2 2 2 2 6" xfId="10576"/>
    <cellStyle name="Normal 2 2 2 2 2 3 2 2 2 2 6 2" xfId="10577"/>
    <cellStyle name="Normal 2 2 2 2 2 3 2 2 2 2 7" xfId="10578"/>
    <cellStyle name="Normal 2 2 2 2 2 3 2 2 2 2 7 2" xfId="10579"/>
    <cellStyle name="Normal 2 2 2 2 2 3 2 2 2 2 8" xfId="10580"/>
    <cellStyle name="Normal 2 2 2 2 2 3 2 2 2 2 8 2" xfId="10581"/>
    <cellStyle name="Normal 2 2 2 2 2 3 2 2 2 2 9" xfId="10582"/>
    <cellStyle name="Normal 2 2 2 2 2 3 2 2 2 2 9 2" xfId="10583"/>
    <cellStyle name="Normal 2 2 2 2 2 3 2 2 2 3" xfId="10584"/>
    <cellStyle name="Normal 2 2 2 2 2 3 2 2 2 3 10" xfId="10585"/>
    <cellStyle name="Normal 2 2 2 2 2 3 2 2 2 3 10 2" xfId="10586"/>
    <cellStyle name="Normal 2 2 2 2 2 3 2 2 2 3 11" xfId="10587"/>
    <cellStyle name="Normal 2 2 2 2 2 3 2 2 2 3 2" xfId="10588"/>
    <cellStyle name="Normal 2 2 2 2 2 3 2 2 2 3 2 2" xfId="10589"/>
    <cellStyle name="Normal 2 2 2 2 2 3 2 2 2 3 3" xfId="10590"/>
    <cellStyle name="Normal 2 2 2 2 2 3 2 2 2 3 3 2" xfId="10591"/>
    <cellStyle name="Normal 2 2 2 2 2 3 2 2 2 3 4" xfId="10592"/>
    <cellStyle name="Normal 2 2 2 2 2 3 2 2 2 3 4 2" xfId="10593"/>
    <cellStyle name="Normal 2 2 2 2 2 3 2 2 2 3 5" xfId="10594"/>
    <cellStyle name="Normal 2 2 2 2 2 3 2 2 2 3 5 2" xfId="10595"/>
    <cellStyle name="Normal 2 2 2 2 2 3 2 2 2 3 6" xfId="10596"/>
    <cellStyle name="Normal 2 2 2 2 2 3 2 2 2 3 6 2" xfId="10597"/>
    <cellStyle name="Normal 2 2 2 2 2 3 2 2 2 3 7" xfId="10598"/>
    <cellStyle name="Normal 2 2 2 2 2 3 2 2 2 3 7 2" xfId="10599"/>
    <cellStyle name="Normal 2 2 2 2 2 3 2 2 2 3 8" xfId="10600"/>
    <cellStyle name="Normal 2 2 2 2 2 3 2 2 2 3 8 2" xfId="10601"/>
    <cellStyle name="Normal 2 2 2 2 2 3 2 2 2 3 9" xfId="10602"/>
    <cellStyle name="Normal 2 2 2 2 2 3 2 2 2 3 9 2" xfId="10603"/>
    <cellStyle name="Normal 2 2 2 2 2 3 2 2 2 4" xfId="10604"/>
    <cellStyle name="Normal 2 2 2 2 2 3 2 2 2 4 2" xfId="10605"/>
    <cellStyle name="Normal 2 2 2 2 2 3 2 2 2 5" xfId="10606"/>
    <cellStyle name="Normal 2 2 2 2 2 3 2 2 2 5 2" xfId="10607"/>
    <cellStyle name="Normal 2 2 2 2 2 3 2 2 2 6" xfId="10608"/>
    <cellStyle name="Normal 2 2 2 2 2 3 2 2 2 6 2" xfId="10609"/>
    <cellStyle name="Normal 2 2 2 2 2 3 2 2 2 7" xfId="10610"/>
    <cellStyle name="Normal 2 2 2 2 2 3 2 2 2 7 2" xfId="10611"/>
    <cellStyle name="Normal 2 2 2 2 2 3 2 2 2 8" xfId="10612"/>
    <cellStyle name="Normal 2 2 2 2 2 3 2 2 2 8 2" xfId="10613"/>
    <cellStyle name="Normal 2 2 2 2 2 3 2 2 2 9" xfId="10614"/>
    <cellStyle name="Normal 2 2 2 2 2 3 2 2 2 9 2" xfId="10615"/>
    <cellStyle name="Normal 2 2 2 2 2 3 2 2 3" xfId="10616"/>
    <cellStyle name="Normal 2 2 2 2 2 3 2 2 3 10" xfId="10617"/>
    <cellStyle name="Normal 2 2 2 2 2 3 2 2 3 10 2" xfId="10618"/>
    <cellStyle name="Normal 2 2 2 2 2 3 2 2 3 11" xfId="10619"/>
    <cellStyle name="Normal 2 2 2 2 2 3 2 2 3 11 2" xfId="10620"/>
    <cellStyle name="Normal 2 2 2 2 2 3 2 2 3 12" xfId="10621"/>
    <cellStyle name="Normal 2 2 2 2 2 3 2 2 3 12 2" xfId="10622"/>
    <cellStyle name="Normal 2 2 2 2 2 3 2 2 3 13" xfId="10623"/>
    <cellStyle name="Normal 2 2 2 2 2 3 2 2 3 2" xfId="10624"/>
    <cellStyle name="Normal 2 2 2 2 2 3 2 2 3 2 10" xfId="10625"/>
    <cellStyle name="Normal 2 2 2 2 2 3 2 2 3 2 10 2" xfId="10626"/>
    <cellStyle name="Normal 2 2 2 2 2 3 2 2 3 2 11" xfId="10627"/>
    <cellStyle name="Normal 2 2 2 2 2 3 2 2 3 2 11 2" xfId="10628"/>
    <cellStyle name="Normal 2 2 2 2 2 3 2 2 3 2 12" xfId="10629"/>
    <cellStyle name="Normal 2 2 2 2 2 3 2 2 3 2 2" xfId="10630"/>
    <cellStyle name="Normal 2 2 2 2 2 3 2 2 3 2 2 10" xfId="10631"/>
    <cellStyle name="Normal 2 2 2 2 2 3 2 2 3 2 2 10 2" xfId="10632"/>
    <cellStyle name="Normal 2 2 2 2 2 3 2 2 3 2 2 11" xfId="10633"/>
    <cellStyle name="Normal 2 2 2 2 2 3 2 2 3 2 2 2" xfId="10634"/>
    <cellStyle name="Normal 2 2 2 2 2 3 2 2 3 2 2 2 2" xfId="10635"/>
    <cellStyle name="Normal 2 2 2 2 2 3 2 2 3 2 2 3" xfId="10636"/>
    <cellStyle name="Normal 2 2 2 2 2 3 2 2 3 2 2 3 2" xfId="10637"/>
    <cellStyle name="Normal 2 2 2 2 2 3 2 2 3 2 2 4" xfId="10638"/>
    <cellStyle name="Normal 2 2 2 2 2 3 2 2 3 2 2 4 2" xfId="10639"/>
    <cellStyle name="Normal 2 2 2 2 2 3 2 2 3 2 2 5" xfId="10640"/>
    <cellStyle name="Normal 2 2 2 2 2 3 2 2 3 2 2 5 2" xfId="10641"/>
    <cellStyle name="Normal 2 2 2 2 2 3 2 2 3 2 2 6" xfId="10642"/>
    <cellStyle name="Normal 2 2 2 2 2 3 2 2 3 2 2 6 2" xfId="10643"/>
    <cellStyle name="Normal 2 2 2 2 2 3 2 2 3 2 2 7" xfId="10644"/>
    <cellStyle name="Normal 2 2 2 2 2 3 2 2 3 2 2 7 2" xfId="10645"/>
    <cellStyle name="Normal 2 2 2 2 2 3 2 2 3 2 2 8" xfId="10646"/>
    <cellStyle name="Normal 2 2 2 2 2 3 2 2 3 2 2 8 2" xfId="10647"/>
    <cellStyle name="Normal 2 2 2 2 2 3 2 2 3 2 2 9" xfId="10648"/>
    <cellStyle name="Normal 2 2 2 2 2 3 2 2 3 2 2 9 2" xfId="10649"/>
    <cellStyle name="Normal 2 2 2 2 2 3 2 2 3 2 3" xfId="10650"/>
    <cellStyle name="Normal 2 2 2 2 2 3 2 2 3 2 3 2" xfId="10651"/>
    <cellStyle name="Normal 2 2 2 2 2 3 2 2 3 2 4" xfId="10652"/>
    <cellStyle name="Normal 2 2 2 2 2 3 2 2 3 2 4 2" xfId="10653"/>
    <cellStyle name="Normal 2 2 2 2 2 3 2 2 3 2 5" xfId="10654"/>
    <cellStyle name="Normal 2 2 2 2 2 3 2 2 3 2 5 2" xfId="10655"/>
    <cellStyle name="Normal 2 2 2 2 2 3 2 2 3 2 6" xfId="10656"/>
    <cellStyle name="Normal 2 2 2 2 2 3 2 2 3 2 6 2" xfId="10657"/>
    <cellStyle name="Normal 2 2 2 2 2 3 2 2 3 2 7" xfId="10658"/>
    <cellStyle name="Normal 2 2 2 2 2 3 2 2 3 2 7 2" xfId="10659"/>
    <cellStyle name="Normal 2 2 2 2 2 3 2 2 3 2 8" xfId="10660"/>
    <cellStyle name="Normal 2 2 2 2 2 3 2 2 3 2 8 2" xfId="10661"/>
    <cellStyle name="Normal 2 2 2 2 2 3 2 2 3 2 9" xfId="10662"/>
    <cellStyle name="Normal 2 2 2 2 2 3 2 2 3 2 9 2" xfId="10663"/>
    <cellStyle name="Normal 2 2 2 2 2 3 2 2 3 3" xfId="10664"/>
    <cellStyle name="Normal 2 2 2 2 2 3 2 2 3 3 10" xfId="10665"/>
    <cellStyle name="Normal 2 2 2 2 2 3 2 2 3 3 10 2" xfId="10666"/>
    <cellStyle name="Normal 2 2 2 2 2 3 2 2 3 3 11" xfId="10667"/>
    <cellStyle name="Normal 2 2 2 2 2 3 2 2 3 3 2" xfId="10668"/>
    <cellStyle name="Normal 2 2 2 2 2 3 2 2 3 3 2 2" xfId="10669"/>
    <cellStyle name="Normal 2 2 2 2 2 3 2 2 3 3 3" xfId="10670"/>
    <cellStyle name="Normal 2 2 2 2 2 3 2 2 3 3 3 2" xfId="10671"/>
    <cellStyle name="Normal 2 2 2 2 2 3 2 2 3 3 4" xfId="10672"/>
    <cellStyle name="Normal 2 2 2 2 2 3 2 2 3 3 4 2" xfId="10673"/>
    <cellStyle name="Normal 2 2 2 2 2 3 2 2 3 3 5" xfId="10674"/>
    <cellStyle name="Normal 2 2 2 2 2 3 2 2 3 3 5 2" xfId="10675"/>
    <cellStyle name="Normal 2 2 2 2 2 3 2 2 3 3 6" xfId="10676"/>
    <cellStyle name="Normal 2 2 2 2 2 3 2 2 3 3 6 2" xfId="10677"/>
    <cellStyle name="Normal 2 2 2 2 2 3 2 2 3 3 7" xfId="10678"/>
    <cellStyle name="Normal 2 2 2 2 2 3 2 2 3 3 7 2" xfId="10679"/>
    <cellStyle name="Normal 2 2 2 2 2 3 2 2 3 3 8" xfId="10680"/>
    <cellStyle name="Normal 2 2 2 2 2 3 2 2 3 3 8 2" xfId="10681"/>
    <cellStyle name="Normal 2 2 2 2 2 3 2 2 3 3 9" xfId="10682"/>
    <cellStyle name="Normal 2 2 2 2 2 3 2 2 3 3 9 2" xfId="10683"/>
    <cellStyle name="Normal 2 2 2 2 2 3 2 2 3 4" xfId="10684"/>
    <cellStyle name="Normal 2 2 2 2 2 3 2 2 3 4 2" xfId="10685"/>
    <cellStyle name="Normal 2 2 2 2 2 3 2 2 3 5" xfId="10686"/>
    <cellStyle name="Normal 2 2 2 2 2 3 2 2 3 5 2" xfId="10687"/>
    <cellStyle name="Normal 2 2 2 2 2 3 2 2 3 6" xfId="10688"/>
    <cellStyle name="Normal 2 2 2 2 2 3 2 2 3 6 2" xfId="10689"/>
    <cellStyle name="Normal 2 2 2 2 2 3 2 2 3 7" xfId="10690"/>
    <cellStyle name="Normal 2 2 2 2 2 3 2 2 3 7 2" xfId="10691"/>
    <cellStyle name="Normal 2 2 2 2 2 3 2 2 3 8" xfId="10692"/>
    <cellStyle name="Normal 2 2 2 2 2 3 2 2 3 8 2" xfId="10693"/>
    <cellStyle name="Normal 2 2 2 2 2 3 2 2 3 9" xfId="10694"/>
    <cellStyle name="Normal 2 2 2 2 2 3 2 2 3 9 2" xfId="10695"/>
    <cellStyle name="Normal 2 2 2 2 2 3 2 2 4" xfId="10696"/>
    <cellStyle name="Normal 2 2 2 2 2 3 2 2 4 10" xfId="10697"/>
    <cellStyle name="Normal 2 2 2 2 2 3 2 2 4 10 2" xfId="10698"/>
    <cellStyle name="Normal 2 2 2 2 2 3 2 2 4 11" xfId="10699"/>
    <cellStyle name="Normal 2 2 2 2 2 3 2 2 4 11 2" xfId="10700"/>
    <cellStyle name="Normal 2 2 2 2 2 3 2 2 4 12" xfId="10701"/>
    <cellStyle name="Normal 2 2 2 2 2 3 2 2 4 12 2" xfId="10702"/>
    <cellStyle name="Normal 2 2 2 2 2 3 2 2 4 13" xfId="10703"/>
    <cellStyle name="Normal 2 2 2 2 2 3 2 2 4 2" xfId="10704"/>
    <cellStyle name="Normal 2 2 2 2 2 3 2 2 4 2 10" xfId="10705"/>
    <cellStyle name="Normal 2 2 2 2 2 3 2 2 4 2 10 2" xfId="10706"/>
    <cellStyle name="Normal 2 2 2 2 2 3 2 2 4 2 11" xfId="10707"/>
    <cellStyle name="Normal 2 2 2 2 2 3 2 2 4 2 11 2" xfId="10708"/>
    <cellStyle name="Normal 2 2 2 2 2 3 2 2 4 2 12" xfId="10709"/>
    <cellStyle name="Normal 2 2 2 2 2 3 2 2 4 2 2" xfId="10710"/>
    <cellStyle name="Normal 2 2 2 2 2 3 2 2 4 2 2 10" xfId="10711"/>
    <cellStyle name="Normal 2 2 2 2 2 3 2 2 4 2 2 10 2" xfId="10712"/>
    <cellStyle name="Normal 2 2 2 2 2 3 2 2 4 2 2 11" xfId="10713"/>
    <cellStyle name="Normal 2 2 2 2 2 3 2 2 4 2 2 2" xfId="10714"/>
    <cellStyle name="Normal 2 2 2 2 2 3 2 2 4 2 2 2 2" xfId="10715"/>
    <cellStyle name="Normal 2 2 2 2 2 3 2 2 4 2 2 3" xfId="10716"/>
    <cellStyle name="Normal 2 2 2 2 2 3 2 2 4 2 2 3 2" xfId="10717"/>
    <cellStyle name="Normal 2 2 2 2 2 3 2 2 4 2 2 4" xfId="10718"/>
    <cellStyle name="Normal 2 2 2 2 2 3 2 2 4 2 2 4 2" xfId="10719"/>
    <cellStyle name="Normal 2 2 2 2 2 3 2 2 4 2 2 5" xfId="10720"/>
    <cellStyle name="Normal 2 2 2 2 2 3 2 2 4 2 2 5 2" xfId="10721"/>
    <cellStyle name="Normal 2 2 2 2 2 3 2 2 4 2 2 6" xfId="10722"/>
    <cellStyle name="Normal 2 2 2 2 2 3 2 2 4 2 2 6 2" xfId="10723"/>
    <cellStyle name="Normal 2 2 2 2 2 3 2 2 4 2 2 7" xfId="10724"/>
    <cellStyle name="Normal 2 2 2 2 2 3 2 2 4 2 2 7 2" xfId="10725"/>
    <cellStyle name="Normal 2 2 2 2 2 3 2 2 4 2 2 8" xfId="10726"/>
    <cellStyle name="Normal 2 2 2 2 2 3 2 2 4 2 2 8 2" xfId="10727"/>
    <cellStyle name="Normal 2 2 2 2 2 3 2 2 4 2 2 9" xfId="10728"/>
    <cellStyle name="Normal 2 2 2 2 2 3 2 2 4 2 2 9 2" xfId="10729"/>
    <cellStyle name="Normal 2 2 2 2 2 3 2 2 4 2 3" xfId="10730"/>
    <cellStyle name="Normal 2 2 2 2 2 3 2 2 4 2 3 2" xfId="10731"/>
    <cellStyle name="Normal 2 2 2 2 2 3 2 2 4 2 4" xfId="10732"/>
    <cellStyle name="Normal 2 2 2 2 2 3 2 2 4 2 4 2" xfId="10733"/>
    <cellStyle name="Normal 2 2 2 2 2 3 2 2 4 2 5" xfId="10734"/>
    <cellStyle name="Normal 2 2 2 2 2 3 2 2 4 2 5 2" xfId="10735"/>
    <cellStyle name="Normal 2 2 2 2 2 3 2 2 4 2 6" xfId="10736"/>
    <cellStyle name="Normal 2 2 2 2 2 3 2 2 4 2 6 2" xfId="10737"/>
    <cellStyle name="Normal 2 2 2 2 2 3 2 2 4 2 7" xfId="10738"/>
    <cellStyle name="Normal 2 2 2 2 2 3 2 2 4 2 7 2" xfId="10739"/>
    <cellStyle name="Normal 2 2 2 2 2 3 2 2 4 2 8" xfId="10740"/>
    <cellStyle name="Normal 2 2 2 2 2 3 2 2 4 2 8 2" xfId="10741"/>
    <cellStyle name="Normal 2 2 2 2 2 3 2 2 4 2 9" xfId="10742"/>
    <cellStyle name="Normal 2 2 2 2 2 3 2 2 4 2 9 2" xfId="10743"/>
    <cellStyle name="Normal 2 2 2 2 2 3 2 2 4 3" xfId="10744"/>
    <cellStyle name="Normal 2 2 2 2 2 3 2 2 4 3 10" xfId="10745"/>
    <cellStyle name="Normal 2 2 2 2 2 3 2 2 4 3 10 2" xfId="10746"/>
    <cellStyle name="Normal 2 2 2 2 2 3 2 2 4 3 11" xfId="10747"/>
    <cellStyle name="Normal 2 2 2 2 2 3 2 2 4 3 2" xfId="10748"/>
    <cellStyle name="Normal 2 2 2 2 2 3 2 2 4 3 2 2" xfId="10749"/>
    <cellStyle name="Normal 2 2 2 2 2 3 2 2 4 3 3" xfId="10750"/>
    <cellStyle name="Normal 2 2 2 2 2 3 2 2 4 3 3 2" xfId="10751"/>
    <cellStyle name="Normal 2 2 2 2 2 3 2 2 4 3 4" xfId="10752"/>
    <cellStyle name="Normal 2 2 2 2 2 3 2 2 4 3 4 2" xfId="10753"/>
    <cellStyle name="Normal 2 2 2 2 2 3 2 2 4 3 5" xfId="10754"/>
    <cellStyle name="Normal 2 2 2 2 2 3 2 2 4 3 5 2" xfId="10755"/>
    <cellStyle name="Normal 2 2 2 2 2 3 2 2 4 3 6" xfId="10756"/>
    <cellStyle name="Normal 2 2 2 2 2 3 2 2 4 3 6 2" xfId="10757"/>
    <cellStyle name="Normal 2 2 2 2 2 3 2 2 4 3 7" xfId="10758"/>
    <cellStyle name="Normal 2 2 2 2 2 3 2 2 4 3 7 2" xfId="10759"/>
    <cellStyle name="Normal 2 2 2 2 2 3 2 2 4 3 8" xfId="10760"/>
    <cellStyle name="Normal 2 2 2 2 2 3 2 2 4 3 8 2" xfId="10761"/>
    <cellStyle name="Normal 2 2 2 2 2 3 2 2 4 3 9" xfId="10762"/>
    <cellStyle name="Normal 2 2 2 2 2 3 2 2 4 3 9 2" xfId="10763"/>
    <cellStyle name="Normal 2 2 2 2 2 3 2 2 4 4" xfId="10764"/>
    <cellStyle name="Normal 2 2 2 2 2 3 2 2 4 4 2" xfId="10765"/>
    <cellStyle name="Normal 2 2 2 2 2 3 2 2 4 5" xfId="10766"/>
    <cellStyle name="Normal 2 2 2 2 2 3 2 2 4 5 2" xfId="10767"/>
    <cellStyle name="Normal 2 2 2 2 2 3 2 2 4 6" xfId="10768"/>
    <cellStyle name="Normal 2 2 2 2 2 3 2 2 4 6 2" xfId="10769"/>
    <cellStyle name="Normal 2 2 2 2 2 3 2 2 4 7" xfId="10770"/>
    <cellStyle name="Normal 2 2 2 2 2 3 2 2 4 7 2" xfId="10771"/>
    <cellStyle name="Normal 2 2 2 2 2 3 2 2 4 8" xfId="10772"/>
    <cellStyle name="Normal 2 2 2 2 2 3 2 2 4 8 2" xfId="10773"/>
    <cellStyle name="Normal 2 2 2 2 2 3 2 2 4 9" xfId="10774"/>
    <cellStyle name="Normal 2 2 2 2 2 3 2 2 4 9 2" xfId="10775"/>
    <cellStyle name="Normal 2 2 2 2 2 3 2 2 5" xfId="10776"/>
    <cellStyle name="Normal 2 2 2 2 2 3 2 2 5 10" xfId="10777"/>
    <cellStyle name="Normal 2 2 2 2 2 3 2 2 5 10 2" xfId="10778"/>
    <cellStyle name="Normal 2 2 2 2 2 3 2 2 5 11" xfId="10779"/>
    <cellStyle name="Normal 2 2 2 2 2 3 2 2 5 11 2" xfId="10780"/>
    <cellStyle name="Normal 2 2 2 2 2 3 2 2 5 12" xfId="10781"/>
    <cellStyle name="Normal 2 2 2 2 2 3 2 2 5 12 2" xfId="10782"/>
    <cellStyle name="Normal 2 2 2 2 2 3 2 2 5 13" xfId="10783"/>
    <cellStyle name="Normal 2 2 2 2 2 3 2 2 5 2" xfId="10784"/>
    <cellStyle name="Normal 2 2 2 2 2 3 2 2 5 2 10" xfId="10785"/>
    <cellStyle name="Normal 2 2 2 2 2 3 2 2 5 2 10 2" xfId="10786"/>
    <cellStyle name="Normal 2 2 2 2 2 3 2 2 5 2 11" xfId="10787"/>
    <cellStyle name="Normal 2 2 2 2 2 3 2 2 5 2 11 2" xfId="10788"/>
    <cellStyle name="Normal 2 2 2 2 2 3 2 2 5 2 12" xfId="10789"/>
    <cellStyle name="Normal 2 2 2 2 2 3 2 2 5 2 2" xfId="10790"/>
    <cellStyle name="Normal 2 2 2 2 2 3 2 2 5 2 2 10" xfId="10791"/>
    <cellStyle name="Normal 2 2 2 2 2 3 2 2 5 2 2 10 2" xfId="10792"/>
    <cellStyle name="Normal 2 2 2 2 2 3 2 2 5 2 2 11" xfId="10793"/>
    <cellStyle name="Normal 2 2 2 2 2 3 2 2 5 2 2 2" xfId="10794"/>
    <cellStyle name="Normal 2 2 2 2 2 3 2 2 5 2 2 2 2" xfId="10795"/>
    <cellStyle name="Normal 2 2 2 2 2 3 2 2 5 2 2 3" xfId="10796"/>
    <cellStyle name="Normal 2 2 2 2 2 3 2 2 5 2 2 3 2" xfId="10797"/>
    <cellStyle name="Normal 2 2 2 2 2 3 2 2 5 2 2 4" xfId="10798"/>
    <cellStyle name="Normal 2 2 2 2 2 3 2 2 5 2 2 4 2" xfId="10799"/>
    <cellStyle name="Normal 2 2 2 2 2 3 2 2 5 2 2 5" xfId="10800"/>
    <cellStyle name="Normal 2 2 2 2 2 3 2 2 5 2 2 5 2" xfId="10801"/>
    <cellStyle name="Normal 2 2 2 2 2 3 2 2 5 2 2 6" xfId="10802"/>
    <cellStyle name="Normal 2 2 2 2 2 3 2 2 5 2 2 6 2" xfId="10803"/>
    <cellStyle name="Normal 2 2 2 2 2 3 2 2 5 2 2 7" xfId="10804"/>
    <cellStyle name="Normal 2 2 2 2 2 3 2 2 5 2 2 7 2" xfId="10805"/>
    <cellStyle name="Normal 2 2 2 2 2 3 2 2 5 2 2 8" xfId="10806"/>
    <cellStyle name="Normal 2 2 2 2 2 3 2 2 5 2 2 8 2" xfId="10807"/>
    <cellStyle name="Normal 2 2 2 2 2 3 2 2 5 2 2 9" xfId="10808"/>
    <cellStyle name="Normal 2 2 2 2 2 3 2 2 5 2 2 9 2" xfId="10809"/>
    <cellStyle name="Normal 2 2 2 2 2 3 2 2 5 2 3" xfId="10810"/>
    <cellStyle name="Normal 2 2 2 2 2 3 2 2 5 2 3 2" xfId="10811"/>
    <cellStyle name="Normal 2 2 2 2 2 3 2 2 5 2 4" xfId="10812"/>
    <cellStyle name="Normal 2 2 2 2 2 3 2 2 5 2 4 2" xfId="10813"/>
    <cellStyle name="Normal 2 2 2 2 2 3 2 2 5 2 5" xfId="10814"/>
    <cellStyle name="Normal 2 2 2 2 2 3 2 2 5 2 5 2" xfId="10815"/>
    <cellStyle name="Normal 2 2 2 2 2 3 2 2 5 2 6" xfId="10816"/>
    <cellStyle name="Normal 2 2 2 2 2 3 2 2 5 2 6 2" xfId="10817"/>
    <cellStyle name="Normal 2 2 2 2 2 3 2 2 5 2 7" xfId="10818"/>
    <cellStyle name="Normal 2 2 2 2 2 3 2 2 5 2 7 2" xfId="10819"/>
    <cellStyle name="Normal 2 2 2 2 2 3 2 2 5 2 8" xfId="10820"/>
    <cellStyle name="Normal 2 2 2 2 2 3 2 2 5 2 8 2" xfId="10821"/>
    <cellStyle name="Normal 2 2 2 2 2 3 2 2 5 2 9" xfId="10822"/>
    <cellStyle name="Normal 2 2 2 2 2 3 2 2 5 2 9 2" xfId="10823"/>
    <cellStyle name="Normal 2 2 2 2 2 3 2 2 5 3" xfId="10824"/>
    <cellStyle name="Normal 2 2 2 2 2 3 2 2 5 3 10" xfId="10825"/>
    <cellStyle name="Normal 2 2 2 2 2 3 2 2 5 3 10 2" xfId="10826"/>
    <cellStyle name="Normal 2 2 2 2 2 3 2 2 5 3 11" xfId="10827"/>
    <cellStyle name="Normal 2 2 2 2 2 3 2 2 5 3 2" xfId="10828"/>
    <cellStyle name="Normal 2 2 2 2 2 3 2 2 5 3 2 2" xfId="10829"/>
    <cellStyle name="Normal 2 2 2 2 2 3 2 2 5 3 3" xfId="10830"/>
    <cellStyle name="Normal 2 2 2 2 2 3 2 2 5 3 3 2" xfId="10831"/>
    <cellStyle name="Normal 2 2 2 2 2 3 2 2 5 3 4" xfId="10832"/>
    <cellStyle name="Normal 2 2 2 2 2 3 2 2 5 3 4 2" xfId="10833"/>
    <cellStyle name="Normal 2 2 2 2 2 3 2 2 5 3 5" xfId="10834"/>
    <cellStyle name="Normal 2 2 2 2 2 3 2 2 5 3 5 2" xfId="10835"/>
    <cellStyle name="Normal 2 2 2 2 2 3 2 2 5 3 6" xfId="10836"/>
    <cellStyle name="Normal 2 2 2 2 2 3 2 2 5 3 6 2" xfId="10837"/>
    <cellStyle name="Normal 2 2 2 2 2 3 2 2 5 3 7" xfId="10838"/>
    <cellStyle name="Normal 2 2 2 2 2 3 2 2 5 3 7 2" xfId="10839"/>
    <cellStyle name="Normal 2 2 2 2 2 3 2 2 5 3 8" xfId="10840"/>
    <cellStyle name="Normal 2 2 2 2 2 3 2 2 5 3 8 2" xfId="10841"/>
    <cellStyle name="Normal 2 2 2 2 2 3 2 2 5 3 9" xfId="10842"/>
    <cellStyle name="Normal 2 2 2 2 2 3 2 2 5 3 9 2" xfId="10843"/>
    <cellStyle name="Normal 2 2 2 2 2 3 2 2 5 4" xfId="10844"/>
    <cellStyle name="Normal 2 2 2 2 2 3 2 2 5 4 2" xfId="10845"/>
    <cellStyle name="Normal 2 2 2 2 2 3 2 2 5 5" xfId="10846"/>
    <cellStyle name="Normal 2 2 2 2 2 3 2 2 5 5 2" xfId="10847"/>
    <cellStyle name="Normal 2 2 2 2 2 3 2 2 5 6" xfId="10848"/>
    <cellStyle name="Normal 2 2 2 2 2 3 2 2 5 6 2" xfId="10849"/>
    <cellStyle name="Normal 2 2 2 2 2 3 2 2 5 7" xfId="10850"/>
    <cellStyle name="Normal 2 2 2 2 2 3 2 2 5 7 2" xfId="10851"/>
    <cellStyle name="Normal 2 2 2 2 2 3 2 2 5 8" xfId="10852"/>
    <cellStyle name="Normal 2 2 2 2 2 3 2 2 5 8 2" xfId="10853"/>
    <cellStyle name="Normal 2 2 2 2 2 3 2 2 5 9" xfId="10854"/>
    <cellStyle name="Normal 2 2 2 2 2 3 2 2 5 9 2" xfId="10855"/>
    <cellStyle name="Normal 2 2 2 2 2 3 2 3" xfId="10856"/>
    <cellStyle name="Normal 2 2 2 2 2 3 2 4" xfId="10857"/>
    <cellStyle name="Normal 2 2 2 2 2 3 2 5" xfId="10858"/>
    <cellStyle name="Normal 2 2 2 2 2 3 2 6" xfId="10859"/>
    <cellStyle name="Normal 2 2 2 2 2 3 2 6 10" xfId="10860"/>
    <cellStyle name="Normal 2 2 2 2 2 3 2 6 10 2" xfId="10861"/>
    <cellStyle name="Normal 2 2 2 2 2 3 2 6 11" xfId="10862"/>
    <cellStyle name="Normal 2 2 2 2 2 3 2 6 11 2" xfId="10863"/>
    <cellStyle name="Normal 2 2 2 2 2 3 2 6 12" xfId="10864"/>
    <cellStyle name="Normal 2 2 2 2 2 3 2 6 2" xfId="10865"/>
    <cellStyle name="Normal 2 2 2 2 2 3 2 6 2 10" xfId="10866"/>
    <cellStyle name="Normal 2 2 2 2 2 3 2 6 2 10 2" xfId="10867"/>
    <cellStyle name="Normal 2 2 2 2 2 3 2 6 2 11" xfId="10868"/>
    <cellStyle name="Normal 2 2 2 2 2 3 2 6 2 2" xfId="10869"/>
    <cellStyle name="Normal 2 2 2 2 2 3 2 6 2 2 2" xfId="10870"/>
    <cellStyle name="Normal 2 2 2 2 2 3 2 6 2 3" xfId="10871"/>
    <cellStyle name="Normal 2 2 2 2 2 3 2 6 2 3 2" xfId="10872"/>
    <cellStyle name="Normal 2 2 2 2 2 3 2 6 2 4" xfId="10873"/>
    <cellStyle name="Normal 2 2 2 2 2 3 2 6 2 4 2" xfId="10874"/>
    <cellStyle name="Normal 2 2 2 2 2 3 2 6 2 5" xfId="10875"/>
    <cellStyle name="Normal 2 2 2 2 2 3 2 6 2 5 2" xfId="10876"/>
    <cellStyle name="Normal 2 2 2 2 2 3 2 6 2 6" xfId="10877"/>
    <cellStyle name="Normal 2 2 2 2 2 3 2 6 2 6 2" xfId="10878"/>
    <cellStyle name="Normal 2 2 2 2 2 3 2 6 2 7" xfId="10879"/>
    <cellStyle name="Normal 2 2 2 2 2 3 2 6 2 7 2" xfId="10880"/>
    <cellStyle name="Normal 2 2 2 2 2 3 2 6 2 8" xfId="10881"/>
    <cellStyle name="Normal 2 2 2 2 2 3 2 6 2 8 2" xfId="10882"/>
    <cellStyle name="Normal 2 2 2 2 2 3 2 6 2 9" xfId="10883"/>
    <cellStyle name="Normal 2 2 2 2 2 3 2 6 2 9 2" xfId="10884"/>
    <cellStyle name="Normal 2 2 2 2 2 3 2 6 3" xfId="10885"/>
    <cellStyle name="Normal 2 2 2 2 2 3 2 6 3 2" xfId="10886"/>
    <cellStyle name="Normal 2 2 2 2 2 3 2 6 4" xfId="10887"/>
    <cellStyle name="Normal 2 2 2 2 2 3 2 6 4 2" xfId="10888"/>
    <cellStyle name="Normal 2 2 2 2 2 3 2 6 5" xfId="10889"/>
    <cellStyle name="Normal 2 2 2 2 2 3 2 6 5 2" xfId="10890"/>
    <cellStyle name="Normal 2 2 2 2 2 3 2 6 6" xfId="10891"/>
    <cellStyle name="Normal 2 2 2 2 2 3 2 6 6 2" xfId="10892"/>
    <cellStyle name="Normal 2 2 2 2 2 3 2 6 7" xfId="10893"/>
    <cellStyle name="Normal 2 2 2 2 2 3 2 6 7 2" xfId="10894"/>
    <cellStyle name="Normal 2 2 2 2 2 3 2 6 8" xfId="10895"/>
    <cellStyle name="Normal 2 2 2 2 2 3 2 6 8 2" xfId="10896"/>
    <cellStyle name="Normal 2 2 2 2 2 3 2 6 9" xfId="10897"/>
    <cellStyle name="Normal 2 2 2 2 2 3 2 6 9 2" xfId="10898"/>
    <cellStyle name="Normal 2 2 2 2 2 3 2 7" xfId="10899"/>
    <cellStyle name="Normal 2 2 2 2 2 3 2 7 10" xfId="10900"/>
    <cellStyle name="Normal 2 2 2 2 2 3 2 7 10 2" xfId="10901"/>
    <cellStyle name="Normal 2 2 2 2 2 3 2 7 11" xfId="10902"/>
    <cellStyle name="Normal 2 2 2 2 2 3 2 7 2" xfId="10903"/>
    <cellStyle name="Normal 2 2 2 2 2 3 2 7 2 2" xfId="10904"/>
    <cellStyle name="Normal 2 2 2 2 2 3 2 7 3" xfId="10905"/>
    <cellStyle name="Normal 2 2 2 2 2 3 2 7 3 2" xfId="10906"/>
    <cellStyle name="Normal 2 2 2 2 2 3 2 7 4" xfId="10907"/>
    <cellStyle name="Normal 2 2 2 2 2 3 2 7 4 2" xfId="10908"/>
    <cellStyle name="Normal 2 2 2 2 2 3 2 7 5" xfId="10909"/>
    <cellStyle name="Normal 2 2 2 2 2 3 2 7 5 2" xfId="10910"/>
    <cellStyle name="Normal 2 2 2 2 2 3 2 7 6" xfId="10911"/>
    <cellStyle name="Normal 2 2 2 2 2 3 2 7 6 2" xfId="10912"/>
    <cellStyle name="Normal 2 2 2 2 2 3 2 7 7" xfId="10913"/>
    <cellStyle name="Normal 2 2 2 2 2 3 2 7 7 2" xfId="10914"/>
    <cellStyle name="Normal 2 2 2 2 2 3 2 7 8" xfId="10915"/>
    <cellStyle name="Normal 2 2 2 2 2 3 2 7 8 2" xfId="10916"/>
    <cellStyle name="Normal 2 2 2 2 2 3 2 7 9" xfId="10917"/>
    <cellStyle name="Normal 2 2 2 2 2 3 2 7 9 2" xfId="10918"/>
    <cellStyle name="Normal 2 2 2 2 2 3 2 8" xfId="10919"/>
    <cellStyle name="Normal 2 2 2 2 2 3 2 8 2" xfId="10920"/>
    <cellStyle name="Normal 2 2 2 2 2 3 2 9" xfId="10921"/>
    <cellStyle name="Normal 2 2 2 2 2 3 2 9 2" xfId="10922"/>
    <cellStyle name="Normal 2 2 2 2 2 3 3" xfId="10923"/>
    <cellStyle name="Normal 2 2 2 2 2 3 3 10" xfId="10924"/>
    <cellStyle name="Normal 2 2 2 2 2 3 3 10 2" xfId="10925"/>
    <cellStyle name="Normal 2 2 2 2 2 3 3 11" xfId="10926"/>
    <cellStyle name="Normal 2 2 2 2 2 3 3 11 2" xfId="10927"/>
    <cellStyle name="Normal 2 2 2 2 2 3 3 12" xfId="10928"/>
    <cellStyle name="Normal 2 2 2 2 2 3 3 12 2" xfId="10929"/>
    <cellStyle name="Normal 2 2 2 2 2 3 3 13" xfId="10930"/>
    <cellStyle name="Normal 2 2 2 2 2 3 3 2" xfId="10931"/>
    <cellStyle name="Normal 2 2 2 2 2 3 3 2 10" xfId="10932"/>
    <cellStyle name="Normal 2 2 2 2 2 3 3 2 10 2" xfId="10933"/>
    <cellStyle name="Normal 2 2 2 2 2 3 3 2 11" xfId="10934"/>
    <cellStyle name="Normal 2 2 2 2 2 3 3 2 11 2" xfId="10935"/>
    <cellStyle name="Normal 2 2 2 2 2 3 3 2 12" xfId="10936"/>
    <cellStyle name="Normal 2 2 2 2 2 3 3 2 2" xfId="10937"/>
    <cellStyle name="Normal 2 2 2 2 2 3 3 2 2 10" xfId="10938"/>
    <cellStyle name="Normal 2 2 2 2 2 3 3 2 2 10 2" xfId="10939"/>
    <cellStyle name="Normal 2 2 2 2 2 3 3 2 2 11" xfId="10940"/>
    <cellStyle name="Normal 2 2 2 2 2 3 3 2 2 2" xfId="10941"/>
    <cellStyle name="Normal 2 2 2 2 2 3 3 2 2 2 2" xfId="10942"/>
    <cellStyle name="Normal 2 2 2 2 2 3 3 2 2 3" xfId="10943"/>
    <cellStyle name="Normal 2 2 2 2 2 3 3 2 2 3 2" xfId="10944"/>
    <cellStyle name="Normal 2 2 2 2 2 3 3 2 2 4" xfId="10945"/>
    <cellStyle name="Normal 2 2 2 2 2 3 3 2 2 4 2" xfId="10946"/>
    <cellStyle name="Normal 2 2 2 2 2 3 3 2 2 5" xfId="10947"/>
    <cellStyle name="Normal 2 2 2 2 2 3 3 2 2 5 2" xfId="10948"/>
    <cellStyle name="Normal 2 2 2 2 2 3 3 2 2 6" xfId="10949"/>
    <cellStyle name="Normal 2 2 2 2 2 3 3 2 2 6 2" xfId="10950"/>
    <cellStyle name="Normal 2 2 2 2 2 3 3 2 2 7" xfId="10951"/>
    <cellStyle name="Normal 2 2 2 2 2 3 3 2 2 7 2" xfId="10952"/>
    <cellStyle name="Normal 2 2 2 2 2 3 3 2 2 8" xfId="10953"/>
    <cellStyle name="Normal 2 2 2 2 2 3 3 2 2 8 2" xfId="10954"/>
    <cellStyle name="Normal 2 2 2 2 2 3 3 2 2 9" xfId="10955"/>
    <cellStyle name="Normal 2 2 2 2 2 3 3 2 2 9 2" xfId="10956"/>
    <cellStyle name="Normal 2 2 2 2 2 3 3 2 3" xfId="10957"/>
    <cellStyle name="Normal 2 2 2 2 2 3 3 2 3 2" xfId="10958"/>
    <cellStyle name="Normal 2 2 2 2 2 3 3 2 4" xfId="10959"/>
    <cellStyle name="Normal 2 2 2 2 2 3 3 2 4 2" xfId="10960"/>
    <cellStyle name="Normal 2 2 2 2 2 3 3 2 5" xfId="10961"/>
    <cellStyle name="Normal 2 2 2 2 2 3 3 2 5 2" xfId="10962"/>
    <cellStyle name="Normal 2 2 2 2 2 3 3 2 6" xfId="10963"/>
    <cellStyle name="Normal 2 2 2 2 2 3 3 2 6 2" xfId="10964"/>
    <cellStyle name="Normal 2 2 2 2 2 3 3 2 7" xfId="10965"/>
    <cellStyle name="Normal 2 2 2 2 2 3 3 2 7 2" xfId="10966"/>
    <cellStyle name="Normal 2 2 2 2 2 3 3 2 8" xfId="10967"/>
    <cellStyle name="Normal 2 2 2 2 2 3 3 2 8 2" xfId="10968"/>
    <cellStyle name="Normal 2 2 2 2 2 3 3 2 9" xfId="10969"/>
    <cellStyle name="Normal 2 2 2 2 2 3 3 2 9 2" xfId="10970"/>
    <cellStyle name="Normal 2 2 2 2 2 3 3 3" xfId="10971"/>
    <cellStyle name="Normal 2 2 2 2 2 3 3 3 10" xfId="10972"/>
    <cellStyle name="Normal 2 2 2 2 2 3 3 3 10 2" xfId="10973"/>
    <cellStyle name="Normal 2 2 2 2 2 3 3 3 11" xfId="10974"/>
    <cellStyle name="Normal 2 2 2 2 2 3 3 3 2" xfId="10975"/>
    <cellStyle name="Normal 2 2 2 2 2 3 3 3 2 2" xfId="10976"/>
    <cellStyle name="Normal 2 2 2 2 2 3 3 3 3" xfId="10977"/>
    <cellStyle name="Normal 2 2 2 2 2 3 3 3 3 2" xfId="10978"/>
    <cellStyle name="Normal 2 2 2 2 2 3 3 3 4" xfId="10979"/>
    <cellStyle name="Normal 2 2 2 2 2 3 3 3 4 2" xfId="10980"/>
    <cellStyle name="Normal 2 2 2 2 2 3 3 3 5" xfId="10981"/>
    <cellStyle name="Normal 2 2 2 2 2 3 3 3 5 2" xfId="10982"/>
    <cellStyle name="Normal 2 2 2 2 2 3 3 3 6" xfId="10983"/>
    <cellStyle name="Normal 2 2 2 2 2 3 3 3 6 2" xfId="10984"/>
    <cellStyle name="Normal 2 2 2 2 2 3 3 3 7" xfId="10985"/>
    <cellStyle name="Normal 2 2 2 2 2 3 3 3 7 2" xfId="10986"/>
    <cellStyle name="Normal 2 2 2 2 2 3 3 3 8" xfId="10987"/>
    <cellStyle name="Normal 2 2 2 2 2 3 3 3 8 2" xfId="10988"/>
    <cellStyle name="Normal 2 2 2 2 2 3 3 3 9" xfId="10989"/>
    <cellStyle name="Normal 2 2 2 2 2 3 3 3 9 2" xfId="10990"/>
    <cellStyle name="Normal 2 2 2 2 2 3 3 4" xfId="10991"/>
    <cellStyle name="Normal 2 2 2 2 2 3 3 4 2" xfId="10992"/>
    <cellStyle name="Normal 2 2 2 2 2 3 3 5" xfId="10993"/>
    <cellStyle name="Normal 2 2 2 2 2 3 3 5 2" xfId="10994"/>
    <cellStyle name="Normal 2 2 2 2 2 3 3 6" xfId="10995"/>
    <cellStyle name="Normal 2 2 2 2 2 3 3 6 2" xfId="10996"/>
    <cellStyle name="Normal 2 2 2 2 2 3 3 7" xfId="10997"/>
    <cellStyle name="Normal 2 2 2 2 2 3 3 7 2" xfId="10998"/>
    <cellStyle name="Normal 2 2 2 2 2 3 3 8" xfId="10999"/>
    <cellStyle name="Normal 2 2 2 2 2 3 3 8 2" xfId="11000"/>
    <cellStyle name="Normal 2 2 2 2 2 3 3 9" xfId="11001"/>
    <cellStyle name="Normal 2 2 2 2 2 3 3 9 2" xfId="11002"/>
    <cellStyle name="Normal 2 2 2 2 2 3 4" xfId="11003"/>
    <cellStyle name="Normal 2 2 2 2 2 3 4 10" xfId="11004"/>
    <cellStyle name="Normal 2 2 2 2 2 3 4 10 2" xfId="11005"/>
    <cellStyle name="Normal 2 2 2 2 2 3 4 11" xfId="11006"/>
    <cellStyle name="Normal 2 2 2 2 2 3 4 11 2" xfId="11007"/>
    <cellStyle name="Normal 2 2 2 2 2 3 4 12" xfId="11008"/>
    <cellStyle name="Normal 2 2 2 2 2 3 4 12 2" xfId="11009"/>
    <cellStyle name="Normal 2 2 2 2 2 3 4 13" xfId="11010"/>
    <cellStyle name="Normal 2 2 2 2 2 3 4 2" xfId="11011"/>
    <cellStyle name="Normal 2 2 2 2 2 3 4 2 10" xfId="11012"/>
    <cellStyle name="Normal 2 2 2 2 2 3 4 2 10 2" xfId="11013"/>
    <cellStyle name="Normal 2 2 2 2 2 3 4 2 11" xfId="11014"/>
    <cellStyle name="Normal 2 2 2 2 2 3 4 2 11 2" xfId="11015"/>
    <cellStyle name="Normal 2 2 2 2 2 3 4 2 12" xfId="11016"/>
    <cellStyle name="Normal 2 2 2 2 2 3 4 2 2" xfId="11017"/>
    <cellStyle name="Normal 2 2 2 2 2 3 4 2 2 10" xfId="11018"/>
    <cellStyle name="Normal 2 2 2 2 2 3 4 2 2 10 2" xfId="11019"/>
    <cellStyle name="Normal 2 2 2 2 2 3 4 2 2 11" xfId="11020"/>
    <cellStyle name="Normal 2 2 2 2 2 3 4 2 2 2" xfId="11021"/>
    <cellStyle name="Normal 2 2 2 2 2 3 4 2 2 2 2" xfId="11022"/>
    <cellStyle name="Normal 2 2 2 2 2 3 4 2 2 3" xfId="11023"/>
    <cellStyle name="Normal 2 2 2 2 2 3 4 2 2 3 2" xfId="11024"/>
    <cellStyle name="Normal 2 2 2 2 2 3 4 2 2 4" xfId="11025"/>
    <cellStyle name="Normal 2 2 2 2 2 3 4 2 2 4 2" xfId="11026"/>
    <cellStyle name="Normal 2 2 2 2 2 3 4 2 2 5" xfId="11027"/>
    <cellStyle name="Normal 2 2 2 2 2 3 4 2 2 5 2" xfId="11028"/>
    <cellStyle name="Normal 2 2 2 2 2 3 4 2 2 6" xfId="11029"/>
    <cellStyle name="Normal 2 2 2 2 2 3 4 2 2 6 2" xfId="11030"/>
    <cellStyle name="Normal 2 2 2 2 2 3 4 2 2 7" xfId="11031"/>
    <cellStyle name="Normal 2 2 2 2 2 3 4 2 2 7 2" xfId="11032"/>
    <cellStyle name="Normal 2 2 2 2 2 3 4 2 2 8" xfId="11033"/>
    <cellStyle name="Normal 2 2 2 2 2 3 4 2 2 8 2" xfId="11034"/>
    <cellStyle name="Normal 2 2 2 2 2 3 4 2 2 9" xfId="11035"/>
    <cellStyle name="Normal 2 2 2 2 2 3 4 2 2 9 2" xfId="11036"/>
    <cellStyle name="Normal 2 2 2 2 2 3 4 2 3" xfId="11037"/>
    <cellStyle name="Normal 2 2 2 2 2 3 4 2 3 2" xfId="11038"/>
    <cellStyle name="Normal 2 2 2 2 2 3 4 2 4" xfId="11039"/>
    <cellStyle name="Normal 2 2 2 2 2 3 4 2 4 2" xfId="11040"/>
    <cellStyle name="Normal 2 2 2 2 2 3 4 2 5" xfId="11041"/>
    <cellStyle name="Normal 2 2 2 2 2 3 4 2 5 2" xfId="11042"/>
    <cellStyle name="Normal 2 2 2 2 2 3 4 2 6" xfId="11043"/>
    <cellStyle name="Normal 2 2 2 2 2 3 4 2 6 2" xfId="11044"/>
    <cellStyle name="Normal 2 2 2 2 2 3 4 2 7" xfId="11045"/>
    <cellStyle name="Normal 2 2 2 2 2 3 4 2 7 2" xfId="11046"/>
    <cellStyle name="Normal 2 2 2 2 2 3 4 2 8" xfId="11047"/>
    <cellStyle name="Normal 2 2 2 2 2 3 4 2 8 2" xfId="11048"/>
    <cellStyle name="Normal 2 2 2 2 2 3 4 2 9" xfId="11049"/>
    <cellStyle name="Normal 2 2 2 2 2 3 4 2 9 2" xfId="11050"/>
    <cellStyle name="Normal 2 2 2 2 2 3 4 3" xfId="11051"/>
    <cellStyle name="Normal 2 2 2 2 2 3 4 3 10" xfId="11052"/>
    <cellStyle name="Normal 2 2 2 2 2 3 4 3 10 2" xfId="11053"/>
    <cellStyle name="Normal 2 2 2 2 2 3 4 3 11" xfId="11054"/>
    <cellStyle name="Normal 2 2 2 2 2 3 4 3 2" xfId="11055"/>
    <cellStyle name="Normal 2 2 2 2 2 3 4 3 2 2" xfId="11056"/>
    <cellStyle name="Normal 2 2 2 2 2 3 4 3 3" xfId="11057"/>
    <cellStyle name="Normal 2 2 2 2 2 3 4 3 3 2" xfId="11058"/>
    <cellStyle name="Normal 2 2 2 2 2 3 4 3 4" xfId="11059"/>
    <cellStyle name="Normal 2 2 2 2 2 3 4 3 4 2" xfId="11060"/>
    <cellStyle name="Normal 2 2 2 2 2 3 4 3 5" xfId="11061"/>
    <cellStyle name="Normal 2 2 2 2 2 3 4 3 5 2" xfId="11062"/>
    <cellStyle name="Normal 2 2 2 2 2 3 4 3 6" xfId="11063"/>
    <cellStyle name="Normal 2 2 2 2 2 3 4 3 6 2" xfId="11064"/>
    <cellStyle name="Normal 2 2 2 2 2 3 4 3 7" xfId="11065"/>
    <cellStyle name="Normal 2 2 2 2 2 3 4 3 7 2" xfId="11066"/>
    <cellStyle name="Normal 2 2 2 2 2 3 4 3 8" xfId="11067"/>
    <cellStyle name="Normal 2 2 2 2 2 3 4 3 8 2" xfId="11068"/>
    <cellStyle name="Normal 2 2 2 2 2 3 4 3 9" xfId="11069"/>
    <cellStyle name="Normal 2 2 2 2 2 3 4 3 9 2" xfId="11070"/>
    <cellStyle name="Normal 2 2 2 2 2 3 4 4" xfId="11071"/>
    <cellStyle name="Normal 2 2 2 2 2 3 4 4 2" xfId="11072"/>
    <cellStyle name="Normal 2 2 2 2 2 3 4 5" xfId="11073"/>
    <cellStyle name="Normal 2 2 2 2 2 3 4 5 2" xfId="11074"/>
    <cellStyle name="Normal 2 2 2 2 2 3 4 6" xfId="11075"/>
    <cellStyle name="Normal 2 2 2 2 2 3 4 6 2" xfId="11076"/>
    <cellStyle name="Normal 2 2 2 2 2 3 4 7" xfId="11077"/>
    <cellStyle name="Normal 2 2 2 2 2 3 4 7 2" xfId="11078"/>
    <cellStyle name="Normal 2 2 2 2 2 3 4 8" xfId="11079"/>
    <cellStyle name="Normal 2 2 2 2 2 3 4 8 2" xfId="11080"/>
    <cellStyle name="Normal 2 2 2 2 2 3 4 9" xfId="11081"/>
    <cellStyle name="Normal 2 2 2 2 2 3 4 9 2" xfId="11082"/>
    <cellStyle name="Normal 2 2 2 2 2 3 5" xfId="11083"/>
    <cellStyle name="Normal 2 2 2 2 2 3 5 10" xfId="11084"/>
    <cellStyle name="Normal 2 2 2 2 2 3 5 10 2" xfId="11085"/>
    <cellStyle name="Normal 2 2 2 2 2 3 5 11" xfId="11086"/>
    <cellStyle name="Normal 2 2 2 2 2 3 5 11 2" xfId="11087"/>
    <cellStyle name="Normal 2 2 2 2 2 3 5 12" xfId="11088"/>
    <cellStyle name="Normal 2 2 2 2 2 3 5 12 2" xfId="11089"/>
    <cellStyle name="Normal 2 2 2 2 2 3 5 13" xfId="11090"/>
    <cellStyle name="Normal 2 2 2 2 2 3 5 2" xfId="11091"/>
    <cellStyle name="Normal 2 2 2 2 2 3 5 2 10" xfId="11092"/>
    <cellStyle name="Normal 2 2 2 2 2 3 5 2 10 2" xfId="11093"/>
    <cellStyle name="Normal 2 2 2 2 2 3 5 2 11" xfId="11094"/>
    <cellStyle name="Normal 2 2 2 2 2 3 5 2 11 2" xfId="11095"/>
    <cellStyle name="Normal 2 2 2 2 2 3 5 2 12" xfId="11096"/>
    <cellStyle name="Normal 2 2 2 2 2 3 5 2 2" xfId="11097"/>
    <cellStyle name="Normal 2 2 2 2 2 3 5 2 2 10" xfId="11098"/>
    <cellStyle name="Normal 2 2 2 2 2 3 5 2 2 10 2" xfId="11099"/>
    <cellStyle name="Normal 2 2 2 2 2 3 5 2 2 11" xfId="11100"/>
    <cellStyle name="Normal 2 2 2 2 2 3 5 2 2 2" xfId="11101"/>
    <cellStyle name="Normal 2 2 2 2 2 3 5 2 2 2 2" xfId="11102"/>
    <cellStyle name="Normal 2 2 2 2 2 3 5 2 2 3" xfId="11103"/>
    <cellStyle name="Normal 2 2 2 2 2 3 5 2 2 3 2" xfId="11104"/>
    <cellStyle name="Normal 2 2 2 2 2 3 5 2 2 4" xfId="11105"/>
    <cellStyle name="Normal 2 2 2 2 2 3 5 2 2 4 2" xfId="11106"/>
    <cellStyle name="Normal 2 2 2 2 2 3 5 2 2 5" xfId="11107"/>
    <cellStyle name="Normal 2 2 2 2 2 3 5 2 2 5 2" xfId="11108"/>
    <cellStyle name="Normal 2 2 2 2 2 3 5 2 2 6" xfId="11109"/>
    <cellStyle name="Normal 2 2 2 2 2 3 5 2 2 6 2" xfId="11110"/>
    <cellStyle name="Normal 2 2 2 2 2 3 5 2 2 7" xfId="11111"/>
    <cellStyle name="Normal 2 2 2 2 2 3 5 2 2 7 2" xfId="11112"/>
    <cellStyle name="Normal 2 2 2 2 2 3 5 2 2 8" xfId="11113"/>
    <cellStyle name="Normal 2 2 2 2 2 3 5 2 2 8 2" xfId="11114"/>
    <cellStyle name="Normal 2 2 2 2 2 3 5 2 2 9" xfId="11115"/>
    <cellStyle name="Normal 2 2 2 2 2 3 5 2 2 9 2" xfId="11116"/>
    <cellStyle name="Normal 2 2 2 2 2 3 5 2 3" xfId="11117"/>
    <cellStyle name="Normal 2 2 2 2 2 3 5 2 3 2" xfId="11118"/>
    <cellStyle name="Normal 2 2 2 2 2 3 5 2 4" xfId="11119"/>
    <cellStyle name="Normal 2 2 2 2 2 3 5 2 4 2" xfId="11120"/>
    <cellStyle name="Normal 2 2 2 2 2 3 5 2 5" xfId="11121"/>
    <cellStyle name="Normal 2 2 2 2 2 3 5 2 5 2" xfId="11122"/>
    <cellStyle name="Normal 2 2 2 2 2 3 5 2 6" xfId="11123"/>
    <cellStyle name="Normal 2 2 2 2 2 3 5 2 6 2" xfId="11124"/>
    <cellStyle name="Normal 2 2 2 2 2 3 5 2 7" xfId="11125"/>
    <cellStyle name="Normal 2 2 2 2 2 3 5 2 7 2" xfId="11126"/>
    <cellStyle name="Normal 2 2 2 2 2 3 5 2 8" xfId="11127"/>
    <cellStyle name="Normal 2 2 2 2 2 3 5 2 8 2" xfId="11128"/>
    <cellStyle name="Normal 2 2 2 2 2 3 5 2 9" xfId="11129"/>
    <cellStyle name="Normal 2 2 2 2 2 3 5 2 9 2" xfId="11130"/>
    <cellStyle name="Normal 2 2 2 2 2 3 5 3" xfId="11131"/>
    <cellStyle name="Normal 2 2 2 2 2 3 5 3 10" xfId="11132"/>
    <cellStyle name="Normal 2 2 2 2 2 3 5 3 10 2" xfId="11133"/>
    <cellStyle name="Normal 2 2 2 2 2 3 5 3 11" xfId="11134"/>
    <cellStyle name="Normal 2 2 2 2 2 3 5 3 2" xfId="11135"/>
    <cellStyle name="Normal 2 2 2 2 2 3 5 3 2 2" xfId="11136"/>
    <cellStyle name="Normal 2 2 2 2 2 3 5 3 3" xfId="11137"/>
    <cellStyle name="Normal 2 2 2 2 2 3 5 3 3 2" xfId="11138"/>
    <cellStyle name="Normal 2 2 2 2 2 3 5 3 4" xfId="11139"/>
    <cellStyle name="Normal 2 2 2 2 2 3 5 3 4 2" xfId="11140"/>
    <cellStyle name="Normal 2 2 2 2 2 3 5 3 5" xfId="11141"/>
    <cellStyle name="Normal 2 2 2 2 2 3 5 3 5 2" xfId="11142"/>
    <cellStyle name="Normal 2 2 2 2 2 3 5 3 6" xfId="11143"/>
    <cellStyle name="Normal 2 2 2 2 2 3 5 3 6 2" xfId="11144"/>
    <cellStyle name="Normal 2 2 2 2 2 3 5 3 7" xfId="11145"/>
    <cellStyle name="Normal 2 2 2 2 2 3 5 3 7 2" xfId="11146"/>
    <cellStyle name="Normal 2 2 2 2 2 3 5 3 8" xfId="11147"/>
    <cellStyle name="Normal 2 2 2 2 2 3 5 3 8 2" xfId="11148"/>
    <cellStyle name="Normal 2 2 2 2 2 3 5 3 9" xfId="11149"/>
    <cellStyle name="Normal 2 2 2 2 2 3 5 3 9 2" xfId="11150"/>
    <cellStyle name="Normal 2 2 2 2 2 3 5 4" xfId="11151"/>
    <cellStyle name="Normal 2 2 2 2 2 3 5 4 2" xfId="11152"/>
    <cellStyle name="Normal 2 2 2 2 2 3 5 5" xfId="11153"/>
    <cellStyle name="Normal 2 2 2 2 2 3 5 5 2" xfId="11154"/>
    <cellStyle name="Normal 2 2 2 2 2 3 5 6" xfId="11155"/>
    <cellStyle name="Normal 2 2 2 2 2 3 5 6 2" xfId="11156"/>
    <cellStyle name="Normal 2 2 2 2 2 3 5 7" xfId="11157"/>
    <cellStyle name="Normal 2 2 2 2 2 3 5 7 2" xfId="11158"/>
    <cellStyle name="Normal 2 2 2 2 2 3 5 8" xfId="11159"/>
    <cellStyle name="Normal 2 2 2 2 2 3 5 8 2" xfId="11160"/>
    <cellStyle name="Normal 2 2 2 2 2 3 5 9" xfId="11161"/>
    <cellStyle name="Normal 2 2 2 2 2 3 5 9 2" xfId="11162"/>
    <cellStyle name="Normal 2 2 2 2 2 3 6" xfId="11163"/>
    <cellStyle name="Normal 2 2 2 2 2 3 6 10" xfId="11164"/>
    <cellStyle name="Normal 2 2 2 2 2 3 6 10 2" xfId="11165"/>
    <cellStyle name="Normal 2 2 2 2 2 3 6 11" xfId="11166"/>
    <cellStyle name="Normal 2 2 2 2 2 3 6 11 2" xfId="11167"/>
    <cellStyle name="Normal 2 2 2 2 2 3 6 12" xfId="11168"/>
    <cellStyle name="Normal 2 2 2 2 2 3 6 12 2" xfId="11169"/>
    <cellStyle name="Normal 2 2 2 2 2 3 6 13" xfId="11170"/>
    <cellStyle name="Normal 2 2 2 2 2 3 6 2" xfId="11171"/>
    <cellStyle name="Normal 2 2 2 2 2 3 6 2 10" xfId="11172"/>
    <cellStyle name="Normal 2 2 2 2 2 3 6 2 10 2" xfId="11173"/>
    <cellStyle name="Normal 2 2 2 2 2 3 6 2 11" xfId="11174"/>
    <cellStyle name="Normal 2 2 2 2 2 3 6 2 11 2" xfId="11175"/>
    <cellStyle name="Normal 2 2 2 2 2 3 6 2 12" xfId="11176"/>
    <cellStyle name="Normal 2 2 2 2 2 3 6 2 2" xfId="11177"/>
    <cellStyle name="Normal 2 2 2 2 2 3 6 2 2 10" xfId="11178"/>
    <cellStyle name="Normal 2 2 2 2 2 3 6 2 2 10 2" xfId="11179"/>
    <cellStyle name="Normal 2 2 2 2 2 3 6 2 2 11" xfId="11180"/>
    <cellStyle name="Normal 2 2 2 2 2 3 6 2 2 2" xfId="11181"/>
    <cellStyle name="Normal 2 2 2 2 2 3 6 2 2 2 2" xfId="11182"/>
    <cellStyle name="Normal 2 2 2 2 2 3 6 2 2 3" xfId="11183"/>
    <cellStyle name="Normal 2 2 2 2 2 3 6 2 2 3 2" xfId="11184"/>
    <cellStyle name="Normal 2 2 2 2 2 3 6 2 2 4" xfId="11185"/>
    <cellStyle name="Normal 2 2 2 2 2 3 6 2 2 4 2" xfId="11186"/>
    <cellStyle name="Normal 2 2 2 2 2 3 6 2 2 5" xfId="11187"/>
    <cellStyle name="Normal 2 2 2 2 2 3 6 2 2 5 2" xfId="11188"/>
    <cellStyle name="Normal 2 2 2 2 2 3 6 2 2 6" xfId="11189"/>
    <cellStyle name="Normal 2 2 2 2 2 3 6 2 2 6 2" xfId="11190"/>
    <cellStyle name="Normal 2 2 2 2 2 3 6 2 2 7" xfId="11191"/>
    <cellStyle name="Normal 2 2 2 2 2 3 6 2 2 7 2" xfId="11192"/>
    <cellStyle name="Normal 2 2 2 2 2 3 6 2 2 8" xfId="11193"/>
    <cellStyle name="Normal 2 2 2 2 2 3 6 2 2 8 2" xfId="11194"/>
    <cellStyle name="Normal 2 2 2 2 2 3 6 2 2 9" xfId="11195"/>
    <cellStyle name="Normal 2 2 2 2 2 3 6 2 2 9 2" xfId="11196"/>
    <cellStyle name="Normal 2 2 2 2 2 3 6 2 3" xfId="11197"/>
    <cellStyle name="Normal 2 2 2 2 2 3 6 2 3 2" xfId="11198"/>
    <cellStyle name="Normal 2 2 2 2 2 3 6 2 4" xfId="11199"/>
    <cellStyle name="Normal 2 2 2 2 2 3 6 2 4 2" xfId="11200"/>
    <cellStyle name="Normal 2 2 2 2 2 3 6 2 5" xfId="11201"/>
    <cellStyle name="Normal 2 2 2 2 2 3 6 2 5 2" xfId="11202"/>
    <cellStyle name="Normal 2 2 2 2 2 3 6 2 6" xfId="11203"/>
    <cellStyle name="Normal 2 2 2 2 2 3 6 2 6 2" xfId="11204"/>
    <cellStyle name="Normal 2 2 2 2 2 3 6 2 7" xfId="11205"/>
    <cellStyle name="Normal 2 2 2 2 2 3 6 2 7 2" xfId="11206"/>
    <cellStyle name="Normal 2 2 2 2 2 3 6 2 8" xfId="11207"/>
    <cellStyle name="Normal 2 2 2 2 2 3 6 2 8 2" xfId="11208"/>
    <cellStyle name="Normal 2 2 2 2 2 3 6 2 9" xfId="11209"/>
    <cellStyle name="Normal 2 2 2 2 2 3 6 2 9 2" xfId="11210"/>
    <cellStyle name="Normal 2 2 2 2 2 3 6 3" xfId="11211"/>
    <cellStyle name="Normal 2 2 2 2 2 3 6 3 10" xfId="11212"/>
    <cellStyle name="Normal 2 2 2 2 2 3 6 3 10 2" xfId="11213"/>
    <cellStyle name="Normal 2 2 2 2 2 3 6 3 11" xfId="11214"/>
    <cellStyle name="Normal 2 2 2 2 2 3 6 3 2" xfId="11215"/>
    <cellStyle name="Normal 2 2 2 2 2 3 6 3 2 2" xfId="11216"/>
    <cellStyle name="Normal 2 2 2 2 2 3 6 3 3" xfId="11217"/>
    <cellStyle name="Normal 2 2 2 2 2 3 6 3 3 2" xfId="11218"/>
    <cellStyle name="Normal 2 2 2 2 2 3 6 3 4" xfId="11219"/>
    <cellStyle name="Normal 2 2 2 2 2 3 6 3 4 2" xfId="11220"/>
    <cellStyle name="Normal 2 2 2 2 2 3 6 3 5" xfId="11221"/>
    <cellStyle name="Normal 2 2 2 2 2 3 6 3 5 2" xfId="11222"/>
    <cellStyle name="Normal 2 2 2 2 2 3 6 3 6" xfId="11223"/>
    <cellStyle name="Normal 2 2 2 2 2 3 6 3 6 2" xfId="11224"/>
    <cellStyle name="Normal 2 2 2 2 2 3 6 3 7" xfId="11225"/>
    <cellStyle name="Normal 2 2 2 2 2 3 6 3 7 2" xfId="11226"/>
    <cellStyle name="Normal 2 2 2 2 2 3 6 3 8" xfId="11227"/>
    <cellStyle name="Normal 2 2 2 2 2 3 6 3 8 2" xfId="11228"/>
    <cellStyle name="Normal 2 2 2 2 2 3 6 3 9" xfId="11229"/>
    <cellStyle name="Normal 2 2 2 2 2 3 6 3 9 2" xfId="11230"/>
    <cellStyle name="Normal 2 2 2 2 2 3 6 4" xfId="11231"/>
    <cellStyle name="Normal 2 2 2 2 2 3 6 4 2" xfId="11232"/>
    <cellStyle name="Normal 2 2 2 2 2 3 6 5" xfId="11233"/>
    <cellStyle name="Normal 2 2 2 2 2 3 6 5 2" xfId="11234"/>
    <cellStyle name="Normal 2 2 2 2 2 3 6 6" xfId="11235"/>
    <cellStyle name="Normal 2 2 2 2 2 3 6 6 2" xfId="11236"/>
    <cellStyle name="Normal 2 2 2 2 2 3 6 7" xfId="11237"/>
    <cellStyle name="Normal 2 2 2 2 2 3 6 7 2" xfId="11238"/>
    <cellStyle name="Normal 2 2 2 2 2 3 6 8" xfId="11239"/>
    <cellStyle name="Normal 2 2 2 2 2 3 6 8 2" xfId="11240"/>
    <cellStyle name="Normal 2 2 2 2 2 3 6 9" xfId="11241"/>
    <cellStyle name="Normal 2 2 2 2 2 3 6 9 2" xfId="11242"/>
    <cellStyle name="Normal 2 2 2 2 2 4" xfId="11243"/>
    <cellStyle name="Normal 2 2 2 2 2 4 10" xfId="11244"/>
    <cellStyle name="Normal 2 2 2 2 2 4 10 2" xfId="11245"/>
    <cellStyle name="Normal 2 2 2 2 2 4 11" xfId="11246"/>
    <cellStyle name="Normal 2 2 2 2 2 4 11 2" xfId="11247"/>
    <cellStyle name="Normal 2 2 2 2 2 4 12" xfId="11248"/>
    <cellStyle name="Normal 2 2 2 2 2 4 12 2" xfId="11249"/>
    <cellStyle name="Normal 2 2 2 2 2 4 13" xfId="11250"/>
    <cellStyle name="Normal 2 2 2 2 2 4 2" xfId="11251"/>
    <cellStyle name="Normal 2 2 2 2 2 4 2 10" xfId="11252"/>
    <cellStyle name="Normal 2 2 2 2 2 4 2 10 2" xfId="11253"/>
    <cellStyle name="Normal 2 2 2 2 2 4 2 11" xfId="11254"/>
    <cellStyle name="Normal 2 2 2 2 2 4 2 11 2" xfId="11255"/>
    <cellStyle name="Normal 2 2 2 2 2 4 2 12" xfId="11256"/>
    <cellStyle name="Normal 2 2 2 2 2 4 2 2" xfId="11257"/>
    <cellStyle name="Normal 2 2 2 2 2 4 2 2 10" xfId="11258"/>
    <cellStyle name="Normal 2 2 2 2 2 4 2 2 10 2" xfId="11259"/>
    <cellStyle name="Normal 2 2 2 2 2 4 2 2 11" xfId="11260"/>
    <cellStyle name="Normal 2 2 2 2 2 4 2 2 2" xfId="11261"/>
    <cellStyle name="Normal 2 2 2 2 2 4 2 2 2 2" xfId="11262"/>
    <cellStyle name="Normal 2 2 2 2 2 4 2 2 3" xfId="11263"/>
    <cellStyle name="Normal 2 2 2 2 2 4 2 2 3 2" xfId="11264"/>
    <cellStyle name="Normal 2 2 2 2 2 4 2 2 4" xfId="11265"/>
    <cellStyle name="Normal 2 2 2 2 2 4 2 2 4 2" xfId="11266"/>
    <cellStyle name="Normal 2 2 2 2 2 4 2 2 5" xfId="11267"/>
    <cellStyle name="Normal 2 2 2 2 2 4 2 2 5 2" xfId="11268"/>
    <cellStyle name="Normal 2 2 2 2 2 4 2 2 6" xfId="11269"/>
    <cellStyle name="Normal 2 2 2 2 2 4 2 2 6 2" xfId="11270"/>
    <cellStyle name="Normal 2 2 2 2 2 4 2 2 7" xfId="11271"/>
    <cellStyle name="Normal 2 2 2 2 2 4 2 2 7 2" xfId="11272"/>
    <cellStyle name="Normal 2 2 2 2 2 4 2 2 8" xfId="11273"/>
    <cellStyle name="Normal 2 2 2 2 2 4 2 2 8 2" xfId="11274"/>
    <cellStyle name="Normal 2 2 2 2 2 4 2 2 9" xfId="11275"/>
    <cellStyle name="Normal 2 2 2 2 2 4 2 2 9 2" xfId="11276"/>
    <cellStyle name="Normal 2 2 2 2 2 4 2 3" xfId="11277"/>
    <cellStyle name="Normal 2 2 2 2 2 4 2 3 2" xfId="11278"/>
    <cellStyle name="Normal 2 2 2 2 2 4 2 4" xfId="11279"/>
    <cellStyle name="Normal 2 2 2 2 2 4 2 4 2" xfId="11280"/>
    <cellStyle name="Normal 2 2 2 2 2 4 2 5" xfId="11281"/>
    <cellStyle name="Normal 2 2 2 2 2 4 2 5 2" xfId="11282"/>
    <cellStyle name="Normal 2 2 2 2 2 4 2 6" xfId="11283"/>
    <cellStyle name="Normal 2 2 2 2 2 4 2 6 2" xfId="11284"/>
    <cellStyle name="Normal 2 2 2 2 2 4 2 7" xfId="11285"/>
    <cellStyle name="Normal 2 2 2 2 2 4 2 7 2" xfId="11286"/>
    <cellStyle name="Normal 2 2 2 2 2 4 2 8" xfId="11287"/>
    <cellStyle name="Normal 2 2 2 2 2 4 2 8 2" xfId="11288"/>
    <cellStyle name="Normal 2 2 2 2 2 4 2 9" xfId="11289"/>
    <cellStyle name="Normal 2 2 2 2 2 4 2 9 2" xfId="11290"/>
    <cellStyle name="Normal 2 2 2 2 2 4 3" xfId="11291"/>
    <cellStyle name="Normal 2 2 2 2 2 4 3 10" xfId="11292"/>
    <cellStyle name="Normal 2 2 2 2 2 4 3 10 2" xfId="11293"/>
    <cellStyle name="Normal 2 2 2 2 2 4 3 11" xfId="11294"/>
    <cellStyle name="Normal 2 2 2 2 2 4 3 2" xfId="11295"/>
    <cellStyle name="Normal 2 2 2 2 2 4 3 2 2" xfId="11296"/>
    <cellStyle name="Normal 2 2 2 2 2 4 3 3" xfId="11297"/>
    <cellStyle name="Normal 2 2 2 2 2 4 3 3 2" xfId="11298"/>
    <cellStyle name="Normal 2 2 2 2 2 4 3 4" xfId="11299"/>
    <cellStyle name="Normal 2 2 2 2 2 4 3 4 2" xfId="11300"/>
    <cellStyle name="Normal 2 2 2 2 2 4 3 5" xfId="11301"/>
    <cellStyle name="Normal 2 2 2 2 2 4 3 5 2" xfId="11302"/>
    <cellStyle name="Normal 2 2 2 2 2 4 3 6" xfId="11303"/>
    <cellStyle name="Normal 2 2 2 2 2 4 3 6 2" xfId="11304"/>
    <cellStyle name="Normal 2 2 2 2 2 4 3 7" xfId="11305"/>
    <cellStyle name="Normal 2 2 2 2 2 4 3 7 2" xfId="11306"/>
    <cellStyle name="Normal 2 2 2 2 2 4 3 8" xfId="11307"/>
    <cellStyle name="Normal 2 2 2 2 2 4 3 8 2" xfId="11308"/>
    <cellStyle name="Normal 2 2 2 2 2 4 3 9" xfId="11309"/>
    <cellStyle name="Normal 2 2 2 2 2 4 3 9 2" xfId="11310"/>
    <cellStyle name="Normal 2 2 2 2 2 4 4" xfId="11311"/>
    <cellStyle name="Normal 2 2 2 2 2 4 4 2" xfId="11312"/>
    <cellStyle name="Normal 2 2 2 2 2 4 5" xfId="11313"/>
    <cellStyle name="Normal 2 2 2 2 2 4 5 2" xfId="11314"/>
    <cellStyle name="Normal 2 2 2 2 2 4 6" xfId="11315"/>
    <cellStyle name="Normal 2 2 2 2 2 4 6 2" xfId="11316"/>
    <cellStyle name="Normal 2 2 2 2 2 4 7" xfId="11317"/>
    <cellStyle name="Normal 2 2 2 2 2 4 7 2" xfId="11318"/>
    <cellStyle name="Normal 2 2 2 2 2 4 8" xfId="11319"/>
    <cellStyle name="Normal 2 2 2 2 2 4 8 2" xfId="11320"/>
    <cellStyle name="Normal 2 2 2 2 2 4 9" xfId="11321"/>
    <cellStyle name="Normal 2 2 2 2 2 4 9 2" xfId="11322"/>
    <cellStyle name="Normal 2 2 2 2 2 5" xfId="11323"/>
    <cellStyle name="Normal 2 2 2 2 2 5 10" xfId="11324"/>
    <cellStyle name="Normal 2 2 2 2 2 5 10 2" xfId="11325"/>
    <cellStyle name="Normal 2 2 2 2 2 5 11" xfId="11326"/>
    <cellStyle name="Normal 2 2 2 2 2 5 11 2" xfId="11327"/>
    <cellStyle name="Normal 2 2 2 2 2 5 12" xfId="11328"/>
    <cellStyle name="Normal 2 2 2 2 2 5 12 2" xfId="11329"/>
    <cellStyle name="Normal 2 2 2 2 2 5 13" xfId="11330"/>
    <cellStyle name="Normal 2 2 2 2 2 5 2" xfId="11331"/>
    <cellStyle name="Normal 2 2 2 2 2 5 2 10" xfId="11332"/>
    <cellStyle name="Normal 2 2 2 2 2 5 2 10 2" xfId="11333"/>
    <cellStyle name="Normal 2 2 2 2 2 5 2 11" xfId="11334"/>
    <cellStyle name="Normal 2 2 2 2 2 5 2 11 2" xfId="11335"/>
    <cellStyle name="Normal 2 2 2 2 2 5 2 12" xfId="11336"/>
    <cellStyle name="Normal 2 2 2 2 2 5 2 2" xfId="11337"/>
    <cellStyle name="Normal 2 2 2 2 2 5 2 2 10" xfId="11338"/>
    <cellStyle name="Normal 2 2 2 2 2 5 2 2 10 2" xfId="11339"/>
    <cellStyle name="Normal 2 2 2 2 2 5 2 2 11" xfId="11340"/>
    <cellStyle name="Normal 2 2 2 2 2 5 2 2 2" xfId="11341"/>
    <cellStyle name="Normal 2 2 2 2 2 5 2 2 2 2" xfId="11342"/>
    <cellStyle name="Normal 2 2 2 2 2 5 2 2 3" xfId="11343"/>
    <cellStyle name="Normal 2 2 2 2 2 5 2 2 3 2" xfId="11344"/>
    <cellStyle name="Normal 2 2 2 2 2 5 2 2 4" xfId="11345"/>
    <cellStyle name="Normal 2 2 2 2 2 5 2 2 4 2" xfId="11346"/>
    <cellStyle name="Normal 2 2 2 2 2 5 2 2 5" xfId="11347"/>
    <cellStyle name="Normal 2 2 2 2 2 5 2 2 5 2" xfId="11348"/>
    <cellStyle name="Normal 2 2 2 2 2 5 2 2 6" xfId="11349"/>
    <cellStyle name="Normal 2 2 2 2 2 5 2 2 6 2" xfId="11350"/>
    <cellStyle name="Normal 2 2 2 2 2 5 2 2 7" xfId="11351"/>
    <cellStyle name="Normal 2 2 2 2 2 5 2 2 7 2" xfId="11352"/>
    <cellStyle name="Normal 2 2 2 2 2 5 2 2 8" xfId="11353"/>
    <cellStyle name="Normal 2 2 2 2 2 5 2 2 8 2" xfId="11354"/>
    <cellStyle name="Normal 2 2 2 2 2 5 2 2 9" xfId="11355"/>
    <cellStyle name="Normal 2 2 2 2 2 5 2 2 9 2" xfId="11356"/>
    <cellStyle name="Normal 2 2 2 2 2 5 2 3" xfId="11357"/>
    <cellStyle name="Normal 2 2 2 2 2 5 2 3 2" xfId="11358"/>
    <cellStyle name="Normal 2 2 2 2 2 5 2 4" xfId="11359"/>
    <cellStyle name="Normal 2 2 2 2 2 5 2 4 2" xfId="11360"/>
    <cellStyle name="Normal 2 2 2 2 2 5 2 5" xfId="11361"/>
    <cellStyle name="Normal 2 2 2 2 2 5 2 5 2" xfId="11362"/>
    <cellStyle name="Normal 2 2 2 2 2 5 2 6" xfId="11363"/>
    <cellStyle name="Normal 2 2 2 2 2 5 2 6 2" xfId="11364"/>
    <cellStyle name="Normal 2 2 2 2 2 5 2 7" xfId="11365"/>
    <cellStyle name="Normal 2 2 2 2 2 5 2 7 2" xfId="11366"/>
    <cellStyle name="Normal 2 2 2 2 2 5 2 8" xfId="11367"/>
    <cellStyle name="Normal 2 2 2 2 2 5 2 8 2" xfId="11368"/>
    <cellStyle name="Normal 2 2 2 2 2 5 2 9" xfId="11369"/>
    <cellStyle name="Normal 2 2 2 2 2 5 2 9 2" xfId="11370"/>
    <cellStyle name="Normal 2 2 2 2 2 5 3" xfId="11371"/>
    <cellStyle name="Normal 2 2 2 2 2 5 3 10" xfId="11372"/>
    <cellStyle name="Normal 2 2 2 2 2 5 3 10 2" xfId="11373"/>
    <cellStyle name="Normal 2 2 2 2 2 5 3 11" xfId="11374"/>
    <cellStyle name="Normal 2 2 2 2 2 5 3 2" xfId="11375"/>
    <cellStyle name="Normal 2 2 2 2 2 5 3 2 2" xfId="11376"/>
    <cellStyle name="Normal 2 2 2 2 2 5 3 3" xfId="11377"/>
    <cellStyle name="Normal 2 2 2 2 2 5 3 3 2" xfId="11378"/>
    <cellStyle name="Normal 2 2 2 2 2 5 3 4" xfId="11379"/>
    <cellStyle name="Normal 2 2 2 2 2 5 3 4 2" xfId="11380"/>
    <cellStyle name="Normal 2 2 2 2 2 5 3 5" xfId="11381"/>
    <cellStyle name="Normal 2 2 2 2 2 5 3 5 2" xfId="11382"/>
    <cellStyle name="Normal 2 2 2 2 2 5 3 6" xfId="11383"/>
    <cellStyle name="Normal 2 2 2 2 2 5 3 6 2" xfId="11384"/>
    <cellStyle name="Normal 2 2 2 2 2 5 3 7" xfId="11385"/>
    <cellStyle name="Normal 2 2 2 2 2 5 3 7 2" xfId="11386"/>
    <cellStyle name="Normal 2 2 2 2 2 5 3 8" xfId="11387"/>
    <cellStyle name="Normal 2 2 2 2 2 5 3 8 2" xfId="11388"/>
    <cellStyle name="Normal 2 2 2 2 2 5 3 9" xfId="11389"/>
    <cellStyle name="Normal 2 2 2 2 2 5 3 9 2" xfId="11390"/>
    <cellStyle name="Normal 2 2 2 2 2 5 4" xfId="11391"/>
    <cellStyle name="Normal 2 2 2 2 2 5 4 2" xfId="11392"/>
    <cellStyle name="Normal 2 2 2 2 2 5 5" xfId="11393"/>
    <cellStyle name="Normal 2 2 2 2 2 5 5 2" xfId="11394"/>
    <cellStyle name="Normal 2 2 2 2 2 5 6" xfId="11395"/>
    <cellStyle name="Normal 2 2 2 2 2 5 6 2" xfId="11396"/>
    <cellStyle name="Normal 2 2 2 2 2 5 7" xfId="11397"/>
    <cellStyle name="Normal 2 2 2 2 2 5 7 2" xfId="11398"/>
    <cellStyle name="Normal 2 2 2 2 2 5 8" xfId="11399"/>
    <cellStyle name="Normal 2 2 2 2 2 5 8 2" xfId="11400"/>
    <cellStyle name="Normal 2 2 2 2 2 5 9" xfId="11401"/>
    <cellStyle name="Normal 2 2 2 2 2 5 9 2" xfId="11402"/>
    <cellStyle name="Normal 2 2 2 2 2 6" xfId="11403"/>
    <cellStyle name="Normal 2 2 2 2 2 6 2" xfId="11404"/>
    <cellStyle name="Normal 2 2 2 2 2 6 2 10" xfId="11405"/>
    <cellStyle name="Normal 2 2 2 2 2 6 2 10 2" xfId="11406"/>
    <cellStyle name="Normal 2 2 2 2 2 6 2 11" xfId="11407"/>
    <cellStyle name="Normal 2 2 2 2 2 6 2 11 2" xfId="11408"/>
    <cellStyle name="Normal 2 2 2 2 2 6 2 12" xfId="11409"/>
    <cellStyle name="Normal 2 2 2 2 2 6 2 12 2" xfId="11410"/>
    <cellStyle name="Normal 2 2 2 2 2 6 2 13" xfId="11411"/>
    <cellStyle name="Normal 2 2 2 2 2 6 2 2" xfId="11412"/>
    <cellStyle name="Normal 2 2 2 2 2 6 2 2 10" xfId="11413"/>
    <cellStyle name="Normal 2 2 2 2 2 6 2 2 10 2" xfId="11414"/>
    <cellStyle name="Normal 2 2 2 2 2 6 2 2 11" xfId="11415"/>
    <cellStyle name="Normal 2 2 2 2 2 6 2 2 11 2" xfId="11416"/>
    <cellStyle name="Normal 2 2 2 2 2 6 2 2 12" xfId="11417"/>
    <cellStyle name="Normal 2 2 2 2 2 6 2 2 2" xfId="11418"/>
    <cellStyle name="Normal 2 2 2 2 2 6 2 2 2 10" xfId="11419"/>
    <cellStyle name="Normal 2 2 2 2 2 6 2 2 2 10 2" xfId="11420"/>
    <cellStyle name="Normal 2 2 2 2 2 6 2 2 2 11" xfId="11421"/>
    <cellStyle name="Normal 2 2 2 2 2 6 2 2 2 2" xfId="11422"/>
    <cellStyle name="Normal 2 2 2 2 2 6 2 2 2 2 2" xfId="11423"/>
    <cellStyle name="Normal 2 2 2 2 2 6 2 2 2 3" xfId="11424"/>
    <cellStyle name="Normal 2 2 2 2 2 6 2 2 2 3 2" xfId="11425"/>
    <cellStyle name="Normal 2 2 2 2 2 6 2 2 2 4" xfId="11426"/>
    <cellStyle name="Normal 2 2 2 2 2 6 2 2 2 4 2" xfId="11427"/>
    <cellStyle name="Normal 2 2 2 2 2 6 2 2 2 5" xfId="11428"/>
    <cellStyle name="Normal 2 2 2 2 2 6 2 2 2 5 2" xfId="11429"/>
    <cellStyle name="Normal 2 2 2 2 2 6 2 2 2 6" xfId="11430"/>
    <cellStyle name="Normal 2 2 2 2 2 6 2 2 2 6 2" xfId="11431"/>
    <cellStyle name="Normal 2 2 2 2 2 6 2 2 2 7" xfId="11432"/>
    <cellStyle name="Normal 2 2 2 2 2 6 2 2 2 7 2" xfId="11433"/>
    <cellStyle name="Normal 2 2 2 2 2 6 2 2 2 8" xfId="11434"/>
    <cellStyle name="Normal 2 2 2 2 2 6 2 2 2 8 2" xfId="11435"/>
    <cellStyle name="Normal 2 2 2 2 2 6 2 2 2 9" xfId="11436"/>
    <cellStyle name="Normal 2 2 2 2 2 6 2 2 2 9 2" xfId="11437"/>
    <cellStyle name="Normal 2 2 2 2 2 6 2 2 3" xfId="11438"/>
    <cellStyle name="Normal 2 2 2 2 2 6 2 2 3 2" xfId="11439"/>
    <cellStyle name="Normal 2 2 2 2 2 6 2 2 4" xfId="11440"/>
    <cellStyle name="Normal 2 2 2 2 2 6 2 2 4 2" xfId="11441"/>
    <cellStyle name="Normal 2 2 2 2 2 6 2 2 5" xfId="11442"/>
    <cellStyle name="Normal 2 2 2 2 2 6 2 2 5 2" xfId="11443"/>
    <cellStyle name="Normal 2 2 2 2 2 6 2 2 6" xfId="11444"/>
    <cellStyle name="Normal 2 2 2 2 2 6 2 2 6 2" xfId="11445"/>
    <cellStyle name="Normal 2 2 2 2 2 6 2 2 7" xfId="11446"/>
    <cellStyle name="Normal 2 2 2 2 2 6 2 2 7 2" xfId="11447"/>
    <cellStyle name="Normal 2 2 2 2 2 6 2 2 8" xfId="11448"/>
    <cellStyle name="Normal 2 2 2 2 2 6 2 2 8 2" xfId="11449"/>
    <cellStyle name="Normal 2 2 2 2 2 6 2 2 9" xfId="11450"/>
    <cellStyle name="Normal 2 2 2 2 2 6 2 2 9 2" xfId="11451"/>
    <cellStyle name="Normal 2 2 2 2 2 6 2 3" xfId="11452"/>
    <cellStyle name="Normal 2 2 2 2 2 6 2 3 10" xfId="11453"/>
    <cellStyle name="Normal 2 2 2 2 2 6 2 3 10 2" xfId="11454"/>
    <cellStyle name="Normal 2 2 2 2 2 6 2 3 11" xfId="11455"/>
    <cellStyle name="Normal 2 2 2 2 2 6 2 3 2" xfId="11456"/>
    <cellStyle name="Normal 2 2 2 2 2 6 2 3 2 2" xfId="11457"/>
    <cellStyle name="Normal 2 2 2 2 2 6 2 3 3" xfId="11458"/>
    <cellStyle name="Normal 2 2 2 2 2 6 2 3 3 2" xfId="11459"/>
    <cellStyle name="Normal 2 2 2 2 2 6 2 3 4" xfId="11460"/>
    <cellStyle name="Normal 2 2 2 2 2 6 2 3 4 2" xfId="11461"/>
    <cellStyle name="Normal 2 2 2 2 2 6 2 3 5" xfId="11462"/>
    <cellStyle name="Normal 2 2 2 2 2 6 2 3 5 2" xfId="11463"/>
    <cellStyle name="Normal 2 2 2 2 2 6 2 3 6" xfId="11464"/>
    <cellStyle name="Normal 2 2 2 2 2 6 2 3 6 2" xfId="11465"/>
    <cellStyle name="Normal 2 2 2 2 2 6 2 3 7" xfId="11466"/>
    <cellStyle name="Normal 2 2 2 2 2 6 2 3 7 2" xfId="11467"/>
    <cellStyle name="Normal 2 2 2 2 2 6 2 3 8" xfId="11468"/>
    <cellStyle name="Normal 2 2 2 2 2 6 2 3 8 2" xfId="11469"/>
    <cellStyle name="Normal 2 2 2 2 2 6 2 3 9" xfId="11470"/>
    <cellStyle name="Normal 2 2 2 2 2 6 2 3 9 2" xfId="11471"/>
    <cellStyle name="Normal 2 2 2 2 2 6 2 4" xfId="11472"/>
    <cellStyle name="Normal 2 2 2 2 2 6 2 4 2" xfId="11473"/>
    <cellStyle name="Normal 2 2 2 2 2 6 2 5" xfId="11474"/>
    <cellStyle name="Normal 2 2 2 2 2 6 2 5 2" xfId="11475"/>
    <cellStyle name="Normal 2 2 2 2 2 6 2 6" xfId="11476"/>
    <cellStyle name="Normal 2 2 2 2 2 6 2 6 2" xfId="11477"/>
    <cellStyle name="Normal 2 2 2 2 2 6 2 7" xfId="11478"/>
    <cellStyle name="Normal 2 2 2 2 2 6 2 7 2" xfId="11479"/>
    <cellStyle name="Normal 2 2 2 2 2 6 2 8" xfId="11480"/>
    <cellStyle name="Normal 2 2 2 2 2 6 2 8 2" xfId="11481"/>
    <cellStyle name="Normal 2 2 2 2 2 6 2 9" xfId="11482"/>
    <cellStyle name="Normal 2 2 2 2 2 6 2 9 2" xfId="11483"/>
    <cellStyle name="Normal 2 2 2 2 2 6 3" xfId="11484"/>
    <cellStyle name="Normal 2 2 2 2 2 6 3 10" xfId="11485"/>
    <cellStyle name="Normal 2 2 2 2 2 6 3 10 2" xfId="11486"/>
    <cellStyle name="Normal 2 2 2 2 2 6 3 11" xfId="11487"/>
    <cellStyle name="Normal 2 2 2 2 2 6 3 11 2" xfId="11488"/>
    <cellStyle name="Normal 2 2 2 2 2 6 3 12" xfId="11489"/>
    <cellStyle name="Normal 2 2 2 2 2 6 3 12 2" xfId="11490"/>
    <cellStyle name="Normal 2 2 2 2 2 6 3 13" xfId="11491"/>
    <cellStyle name="Normal 2 2 2 2 2 6 3 2" xfId="11492"/>
    <cellStyle name="Normal 2 2 2 2 2 6 3 2 10" xfId="11493"/>
    <cellStyle name="Normal 2 2 2 2 2 6 3 2 10 2" xfId="11494"/>
    <cellStyle name="Normal 2 2 2 2 2 6 3 2 11" xfId="11495"/>
    <cellStyle name="Normal 2 2 2 2 2 6 3 2 11 2" xfId="11496"/>
    <cellStyle name="Normal 2 2 2 2 2 6 3 2 12" xfId="11497"/>
    <cellStyle name="Normal 2 2 2 2 2 6 3 2 2" xfId="11498"/>
    <cellStyle name="Normal 2 2 2 2 2 6 3 2 2 10" xfId="11499"/>
    <cellStyle name="Normal 2 2 2 2 2 6 3 2 2 10 2" xfId="11500"/>
    <cellStyle name="Normal 2 2 2 2 2 6 3 2 2 11" xfId="11501"/>
    <cellStyle name="Normal 2 2 2 2 2 6 3 2 2 2" xfId="11502"/>
    <cellStyle name="Normal 2 2 2 2 2 6 3 2 2 2 2" xfId="11503"/>
    <cellStyle name="Normal 2 2 2 2 2 6 3 2 2 3" xfId="11504"/>
    <cellStyle name="Normal 2 2 2 2 2 6 3 2 2 3 2" xfId="11505"/>
    <cellStyle name="Normal 2 2 2 2 2 6 3 2 2 4" xfId="11506"/>
    <cellStyle name="Normal 2 2 2 2 2 6 3 2 2 4 2" xfId="11507"/>
    <cellStyle name="Normal 2 2 2 2 2 6 3 2 2 5" xfId="11508"/>
    <cellStyle name="Normal 2 2 2 2 2 6 3 2 2 5 2" xfId="11509"/>
    <cellStyle name="Normal 2 2 2 2 2 6 3 2 2 6" xfId="11510"/>
    <cellStyle name="Normal 2 2 2 2 2 6 3 2 2 6 2" xfId="11511"/>
    <cellStyle name="Normal 2 2 2 2 2 6 3 2 2 7" xfId="11512"/>
    <cellStyle name="Normal 2 2 2 2 2 6 3 2 2 7 2" xfId="11513"/>
    <cellStyle name="Normal 2 2 2 2 2 6 3 2 2 8" xfId="11514"/>
    <cellStyle name="Normal 2 2 2 2 2 6 3 2 2 8 2" xfId="11515"/>
    <cellStyle name="Normal 2 2 2 2 2 6 3 2 2 9" xfId="11516"/>
    <cellStyle name="Normal 2 2 2 2 2 6 3 2 2 9 2" xfId="11517"/>
    <cellStyle name="Normal 2 2 2 2 2 6 3 2 3" xfId="11518"/>
    <cellStyle name="Normal 2 2 2 2 2 6 3 2 3 2" xfId="11519"/>
    <cellStyle name="Normal 2 2 2 2 2 6 3 2 4" xfId="11520"/>
    <cellStyle name="Normal 2 2 2 2 2 6 3 2 4 2" xfId="11521"/>
    <cellStyle name="Normal 2 2 2 2 2 6 3 2 5" xfId="11522"/>
    <cellStyle name="Normal 2 2 2 2 2 6 3 2 5 2" xfId="11523"/>
    <cellStyle name="Normal 2 2 2 2 2 6 3 2 6" xfId="11524"/>
    <cellStyle name="Normal 2 2 2 2 2 6 3 2 6 2" xfId="11525"/>
    <cellStyle name="Normal 2 2 2 2 2 6 3 2 7" xfId="11526"/>
    <cellStyle name="Normal 2 2 2 2 2 6 3 2 7 2" xfId="11527"/>
    <cellStyle name="Normal 2 2 2 2 2 6 3 2 8" xfId="11528"/>
    <cellStyle name="Normal 2 2 2 2 2 6 3 2 8 2" xfId="11529"/>
    <cellStyle name="Normal 2 2 2 2 2 6 3 2 9" xfId="11530"/>
    <cellStyle name="Normal 2 2 2 2 2 6 3 2 9 2" xfId="11531"/>
    <cellStyle name="Normal 2 2 2 2 2 6 3 3" xfId="11532"/>
    <cellStyle name="Normal 2 2 2 2 2 6 3 3 10" xfId="11533"/>
    <cellStyle name="Normal 2 2 2 2 2 6 3 3 10 2" xfId="11534"/>
    <cellStyle name="Normal 2 2 2 2 2 6 3 3 11" xfId="11535"/>
    <cellStyle name="Normal 2 2 2 2 2 6 3 3 2" xfId="11536"/>
    <cellStyle name="Normal 2 2 2 2 2 6 3 3 2 2" xfId="11537"/>
    <cellStyle name="Normal 2 2 2 2 2 6 3 3 3" xfId="11538"/>
    <cellStyle name="Normal 2 2 2 2 2 6 3 3 3 2" xfId="11539"/>
    <cellStyle name="Normal 2 2 2 2 2 6 3 3 4" xfId="11540"/>
    <cellStyle name="Normal 2 2 2 2 2 6 3 3 4 2" xfId="11541"/>
    <cellStyle name="Normal 2 2 2 2 2 6 3 3 5" xfId="11542"/>
    <cellStyle name="Normal 2 2 2 2 2 6 3 3 5 2" xfId="11543"/>
    <cellStyle name="Normal 2 2 2 2 2 6 3 3 6" xfId="11544"/>
    <cellStyle name="Normal 2 2 2 2 2 6 3 3 6 2" xfId="11545"/>
    <cellStyle name="Normal 2 2 2 2 2 6 3 3 7" xfId="11546"/>
    <cellStyle name="Normal 2 2 2 2 2 6 3 3 7 2" xfId="11547"/>
    <cellStyle name="Normal 2 2 2 2 2 6 3 3 8" xfId="11548"/>
    <cellStyle name="Normal 2 2 2 2 2 6 3 3 8 2" xfId="11549"/>
    <cellStyle name="Normal 2 2 2 2 2 6 3 3 9" xfId="11550"/>
    <cellStyle name="Normal 2 2 2 2 2 6 3 3 9 2" xfId="11551"/>
    <cellStyle name="Normal 2 2 2 2 2 6 3 4" xfId="11552"/>
    <cellStyle name="Normal 2 2 2 2 2 6 3 4 2" xfId="11553"/>
    <cellStyle name="Normal 2 2 2 2 2 6 3 5" xfId="11554"/>
    <cellStyle name="Normal 2 2 2 2 2 6 3 5 2" xfId="11555"/>
    <cellStyle name="Normal 2 2 2 2 2 6 3 6" xfId="11556"/>
    <cellStyle name="Normal 2 2 2 2 2 6 3 6 2" xfId="11557"/>
    <cellStyle name="Normal 2 2 2 2 2 6 3 7" xfId="11558"/>
    <cellStyle name="Normal 2 2 2 2 2 6 3 7 2" xfId="11559"/>
    <cellStyle name="Normal 2 2 2 2 2 6 3 8" xfId="11560"/>
    <cellStyle name="Normal 2 2 2 2 2 6 3 8 2" xfId="11561"/>
    <cellStyle name="Normal 2 2 2 2 2 6 3 9" xfId="11562"/>
    <cellStyle name="Normal 2 2 2 2 2 6 3 9 2" xfId="11563"/>
    <cellStyle name="Normal 2 2 2 2 2 6 4" xfId="11564"/>
    <cellStyle name="Normal 2 2 2 2 2 6 4 10" xfId="11565"/>
    <cellStyle name="Normal 2 2 2 2 2 6 4 10 2" xfId="11566"/>
    <cellStyle name="Normal 2 2 2 2 2 6 4 11" xfId="11567"/>
    <cellStyle name="Normal 2 2 2 2 2 6 4 11 2" xfId="11568"/>
    <cellStyle name="Normal 2 2 2 2 2 6 4 12" xfId="11569"/>
    <cellStyle name="Normal 2 2 2 2 2 6 4 12 2" xfId="11570"/>
    <cellStyle name="Normal 2 2 2 2 2 6 4 13" xfId="11571"/>
    <cellStyle name="Normal 2 2 2 2 2 6 4 2" xfId="11572"/>
    <cellStyle name="Normal 2 2 2 2 2 6 4 2 10" xfId="11573"/>
    <cellStyle name="Normal 2 2 2 2 2 6 4 2 10 2" xfId="11574"/>
    <cellStyle name="Normal 2 2 2 2 2 6 4 2 11" xfId="11575"/>
    <cellStyle name="Normal 2 2 2 2 2 6 4 2 11 2" xfId="11576"/>
    <cellStyle name="Normal 2 2 2 2 2 6 4 2 12" xfId="11577"/>
    <cellStyle name="Normal 2 2 2 2 2 6 4 2 2" xfId="11578"/>
    <cellStyle name="Normal 2 2 2 2 2 6 4 2 2 10" xfId="11579"/>
    <cellStyle name="Normal 2 2 2 2 2 6 4 2 2 10 2" xfId="11580"/>
    <cellStyle name="Normal 2 2 2 2 2 6 4 2 2 11" xfId="11581"/>
    <cellStyle name="Normal 2 2 2 2 2 6 4 2 2 2" xfId="11582"/>
    <cellStyle name="Normal 2 2 2 2 2 6 4 2 2 2 2" xfId="11583"/>
    <cellStyle name="Normal 2 2 2 2 2 6 4 2 2 3" xfId="11584"/>
    <cellStyle name="Normal 2 2 2 2 2 6 4 2 2 3 2" xfId="11585"/>
    <cellStyle name="Normal 2 2 2 2 2 6 4 2 2 4" xfId="11586"/>
    <cellStyle name="Normal 2 2 2 2 2 6 4 2 2 4 2" xfId="11587"/>
    <cellStyle name="Normal 2 2 2 2 2 6 4 2 2 5" xfId="11588"/>
    <cellStyle name="Normal 2 2 2 2 2 6 4 2 2 5 2" xfId="11589"/>
    <cellStyle name="Normal 2 2 2 2 2 6 4 2 2 6" xfId="11590"/>
    <cellStyle name="Normal 2 2 2 2 2 6 4 2 2 6 2" xfId="11591"/>
    <cellStyle name="Normal 2 2 2 2 2 6 4 2 2 7" xfId="11592"/>
    <cellStyle name="Normal 2 2 2 2 2 6 4 2 2 7 2" xfId="11593"/>
    <cellStyle name="Normal 2 2 2 2 2 6 4 2 2 8" xfId="11594"/>
    <cellStyle name="Normal 2 2 2 2 2 6 4 2 2 8 2" xfId="11595"/>
    <cellStyle name="Normal 2 2 2 2 2 6 4 2 2 9" xfId="11596"/>
    <cellStyle name="Normal 2 2 2 2 2 6 4 2 2 9 2" xfId="11597"/>
    <cellStyle name="Normal 2 2 2 2 2 6 4 2 3" xfId="11598"/>
    <cellStyle name="Normal 2 2 2 2 2 6 4 2 3 2" xfId="11599"/>
    <cellStyle name="Normal 2 2 2 2 2 6 4 2 4" xfId="11600"/>
    <cellStyle name="Normal 2 2 2 2 2 6 4 2 4 2" xfId="11601"/>
    <cellStyle name="Normal 2 2 2 2 2 6 4 2 5" xfId="11602"/>
    <cellStyle name="Normal 2 2 2 2 2 6 4 2 5 2" xfId="11603"/>
    <cellStyle name="Normal 2 2 2 2 2 6 4 2 6" xfId="11604"/>
    <cellStyle name="Normal 2 2 2 2 2 6 4 2 6 2" xfId="11605"/>
    <cellStyle name="Normal 2 2 2 2 2 6 4 2 7" xfId="11606"/>
    <cellStyle name="Normal 2 2 2 2 2 6 4 2 7 2" xfId="11607"/>
    <cellStyle name="Normal 2 2 2 2 2 6 4 2 8" xfId="11608"/>
    <cellStyle name="Normal 2 2 2 2 2 6 4 2 8 2" xfId="11609"/>
    <cellStyle name="Normal 2 2 2 2 2 6 4 2 9" xfId="11610"/>
    <cellStyle name="Normal 2 2 2 2 2 6 4 2 9 2" xfId="11611"/>
    <cellStyle name="Normal 2 2 2 2 2 6 4 3" xfId="11612"/>
    <cellStyle name="Normal 2 2 2 2 2 6 4 3 10" xfId="11613"/>
    <cellStyle name="Normal 2 2 2 2 2 6 4 3 10 2" xfId="11614"/>
    <cellStyle name="Normal 2 2 2 2 2 6 4 3 11" xfId="11615"/>
    <cellStyle name="Normal 2 2 2 2 2 6 4 3 2" xfId="11616"/>
    <cellStyle name="Normal 2 2 2 2 2 6 4 3 2 2" xfId="11617"/>
    <cellStyle name="Normal 2 2 2 2 2 6 4 3 3" xfId="11618"/>
    <cellStyle name="Normal 2 2 2 2 2 6 4 3 3 2" xfId="11619"/>
    <cellStyle name="Normal 2 2 2 2 2 6 4 3 4" xfId="11620"/>
    <cellStyle name="Normal 2 2 2 2 2 6 4 3 4 2" xfId="11621"/>
    <cellStyle name="Normal 2 2 2 2 2 6 4 3 5" xfId="11622"/>
    <cellStyle name="Normal 2 2 2 2 2 6 4 3 5 2" xfId="11623"/>
    <cellStyle name="Normal 2 2 2 2 2 6 4 3 6" xfId="11624"/>
    <cellStyle name="Normal 2 2 2 2 2 6 4 3 6 2" xfId="11625"/>
    <cellStyle name="Normal 2 2 2 2 2 6 4 3 7" xfId="11626"/>
    <cellStyle name="Normal 2 2 2 2 2 6 4 3 7 2" xfId="11627"/>
    <cellStyle name="Normal 2 2 2 2 2 6 4 3 8" xfId="11628"/>
    <cellStyle name="Normal 2 2 2 2 2 6 4 3 8 2" xfId="11629"/>
    <cellStyle name="Normal 2 2 2 2 2 6 4 3 9" xfId="11630"/>
    <cellStyle name="Normal 2 2 2 2 2 6 4 3 9 2" xfId="11631"/>
    <cellStyle name="Normal 2 2 2 2 2 6 4 4" xfId="11632"/>
    <cellStyle name="Normal 2 2 2 2 2 6 4 4 2" xfId="11633"/>
    <cellStyle name="Normal 2 2 2 2 2 6 4 5" xfId="11634"/>
    <cellStyle name="Normal 2 2 2 2 2 6 4 5 2" xfId="11635"/>
    <cellStyle name="Normal 2 2 2 2 2 6 4 6" xfId="11636"/>
    <cellStyle name="Normal 2 2 2 2 2 6 4 6 2" xfId="11637"/>
    <cellStyle name="Normal 2 2 2 2 2 6 4 7" xfId="11638"/>
    <cellStyle name="Normal 2 2 2 2 2 6 4 7 2" xfId="11639"/>
    <cellStyle name="Normal 2 2 2 2 2 6 4 8" xfId="11640"/>
    <cellStyle name="Normal 2 2 2 2 2 6 4 8 2" xfId="11641"/>
    <cellStyle name="Normal 2 2 2 2 2 6 4 9" xfId="11642"/>
    <cellStyle name="Normal 2 2 2 2 2 6 4 9 2" xfId="11643"/>
    <cellStyle name="Normal 2 2 2 2 2 6 5" xfId="11644"/>
    <cellStyle name="Normal 2 2 2 2 2 6 5 10" xfId="11645"/>
    <cellStyle name="Normal 2 2 2 2 2 6 5 10 2" xfId="11646"/>
    <cellStyle name="Normal 2 2 2 2 2 6 5 11" xfId="11647"/>
    <cellStyle name="Normal 2 2 2 2 2 6 5 11 2" xfId="11648"/>
    <cellStyle name="Normal 2 2 2 2 2 6 5 12" xfId="11649"/>
    <cellStyle name="Normal 2 2 2 2 2 6 5 12 2" xfId="11650"/>
    <cellStyle name="Normal 2 2 2 2 2 6 5 13" xfId="11651"/>
    <cellStyle name="Normal 2 2 2 2 2 6 5 2" xfId="11652"/>
    <cellStyle name="Normal 2 2 2 2 2 6 5 2 10" xfId="11653"/>
    <cellStyle name="Normal 2 2 2 2 2 6 5 2 10 2" xfId="11654"/>
    <cellStyle name="Normal 2 2 2 2 2 6 5 2 11" xfId="11655"/>
    <cellStyle name="Normal 2 2 2 2 2 6 5 2 11 2" xfId="11656"/>
    <cellStyle name="Normal 2 2 2 2 2 6 5 2 12" xfId="11657"/>
    <cellStyle name="Normal 2 2 2 2 2 6 5 2 2" xfId="11658"/>
    <cellStyle name="Normal 2 2 2 2 2 6 5 2 2 10" xfId="11659"/>
    <cellStyle name="Normal 2 2 2 2 2 6 5 2 2 10 2" xfId="11660"/>
    <cellStyle name="Normal 2 2 2 2 2 6 5 2 2 11" xfId="11661"/>
    <cellStyle name="Normal 2 2 2 2 2 6 5 2 2 2" xfId="11662"/>
    <cellStyle name="Normal 2 2 2 2 2 6 5 2 2 2 2" xfId="11663"/>
    <cellStyle name="Normal 2 2 2 2 2 6 5 2 2 3" xfId="11664"/>
    <cellStyle name="Normal 2 2 2 2 2 6 5 2 2 3 2" xfId="11665"/>
    <cellStyle name="Normal 2 2 2 2 2 6 5 2 2 4" xfId="11666"/>
    <cellStyle name="Normal 2 2 2 2 2 6 5 2 2 4 2" xfId="11667"/>
    <cellStyle name="Normal 2 2 2 2 2 6 5 2 2 5" xfId="11668"/>
    <cellStyle name="Normal 2 2 2 2 2 6 5 2 2 5 2" xfId="11669"/>
    <cellStyle name="Normal 2 2 2 2 2 6 5 2 2 6" xfId="11670"/>
    <cellStyle name="Normal 2 2 2 2 2 6 5 2 2 6 2" xfId="11671"/>
    <cellStyle name="Normal 2 2 2 2 2 6 5 2 2 7" xfId="11672"/>
    <cellStyle name="Normal 2 2 2 2 2 6 5 2 2 7 2" xfId="11673"/>
    <cellStyle name="Normal 2 2 2 2 2 6 5 2 2 8" xfId="11674"/>
    <cellStyle name="Normal 2 2 2 2 2 6 5 2 2 8 2" xfId="11675"/>
    <cellStyle name="Normal 2 2 2 2 2 6 5 2 2 9" xfId="11676"/>
    <cellStyle name="Normal 2 2 2 2 2 6 5 2 2 9 2" xfId="11677"/>
    <cellStyle name="Normal 2 2 2 2 2 6 5 2 3" xfId="11678"/>
    <cellStyle name="Normal 2 2 2 2 2 6 5 2 3 2" xfId="11679"/>
    <cellStyle name="Normal 2 2 2 2 2 6 5 2 4" xfId="11680"/>
    <cellStyle name="Normal 2 2 2 2 2 6 5 2 4 2" xfId="11681"/>
    <cellStyle name="Normal 2 2 2 2 2 6 5 2 5" xfId="11682"/>
    <cellStyle name="Normal 2 2 2 2 2 6 5 2 5 2" xfId="11683"/>
    <cellStyle name="Normal 2 2 2 2 2 6 5 2 6" xfId="11684"/>
    <cellStyle name="Normal 2 2 2 2 2 6 5 2 6 2" xfId="11685"/>
    <cellStyle name="Normal 2 2 2 2 2 6 5 2 7" xfId="11686"/>
    <cellStyle name="Normal 2 2 2 2 2 6 5 2 7 2" xfId="11687"/>
    <cellStyle name="Normal 2 2 2 2 2 6 5 2 8" xfId="11688"/>
    <cellStyle name="Normal 2 2 2 2 2 6 5 2 8 2" xfId="11689"/>
    <cellStyle name="Normal 2 2 2 2 2 6 5 2 9" xfId="11690"/>
    <cellStyle name="Normal 2 2 2 2 2 6 5 2 9 2" xfId="11691"/>
    <cellStyle name="Normal 2 2 2 2 2 6 5 3" xfId="11692"/>
    <cellStyle name="Normal 2 2 2 2 2 6 5 3 10" xfId="11693"/>
    <cellStyle name="Normal 2 2 2 2 2 6 5 3 10 2" xfId="11694"/>
    <cellStyle name="Normal 2 2 2 2 2 6 5 3 11" xfId="11695"/>
    <cellStyle name="Normal 2 2 2 2 2 6 5 3 2" xfId="11696"/>
    <cellStyle name="Normal 2 2 2 2 2 6 5 3 2 2" xfId="11697"/>
    <cellStyle name="Normal 2 2 2 2 2 6 5 3 3" xfId="11698"/>
    <cellStyle name="Normal 2 2 2 2 2 6 5 3 3 2" xfId="11699"/>
    <cellStyle name="Normal 2 2 2 2 2 6 5 3 4" xfId="11700"/>
    <cellStyle name="Normal 2 2 2 2 2 6 5 3 4 2" xfId="11701"/>
    <cellStyle name="Normal 2 2 2 2 2 6 5 3 5" xfId="11702"/>
    <cellStyle name="Normal 2 2 2 2 2 6 5 3 5 2" xfId="11703"/>
    <cellStyle name="Normal 2 2 2 2 2 6 5 3 6" xfId="11704"/>
    <cellStyle name="Normal 2 2 2 2 2 6 5 3 6 2" xfId="11705"/>
    <cellStyle name="Normal 2 2 2 2 2 6 5 3 7" xfId="11706"/>
    <cellStyle name="Normal 2 2 2 2 2 6 5 3 7 2" xfId="11707"/>
    <cellStyle name="Normal 2 2 2 2 2 6 5 3 8" xfId="11708"/>
    <cellStyle name="Normal 2 2 2 2 2 6 5 3 8 2" xfId="11709"/>
    <cellStyle name="Normal 2 2 2 2 2 6 5 3 9" xfId="11710"/>
    <cellStyle name="Normal 2 2 2 2 2 6 5 3 9 2" xfId="11711"/>
    <cellStyle name="Normal 2 2 2 2 2 6 5 4" xfId="11712"/>
    <cellStyle name="Normal 2 2 2 2 2 6 5 4 2" xfId="11713"/>
    <cellStyle name="Normal 2 2 2 2 2 6 5 5" xfId="11714"/>
    <cellStyle name="Normal 2 2 2 2 2 6 5 5 2" xfId="11715"/>
    <cellStyle name="Normal 2 2 2 2 2 6 5 6" xfId="11716"/>
    <cellStyle name="Normal 2 2 2 2 2 6 5 6 2" xfId="11717"/>
    <cellStyle name="Normal 2 2 2 2 2 6 5 7" xfId="11718"/>
    <cellStyle name="Normal 2 2 2 2 2 6 5 7 2" xfId="11719"/>
    <cellStyle name="Normal 2 2 2 2 2 6 5 8" xfId="11720"/>
    <cellStyle name="Normal 2 2 2 2 2 6 5 8 2" xfId="11721"/>
    <cellStyle name="Normal 2 2 2 2 2 6 5 9" xfId="11722"/>
    <cellStyle name="Normal 2 2 2 2 2 6 5 9 2" xfId="11723"/>
    <cellStyle name="Normal 2 2 2 2 2 7" xfId="11724"/>
    <cellStyle name="Normal 2 2 2 2 2 8" xfId="11725"/>
    <cellStyle name="Normal 2 2 2 2 2 9" xfId="11726"/>
    <cellStyle name="Normal 2 2 2 2 3" xfId="11727"/>
    <cellStyle name="Normal 2 2 2 2 4" xfId="11728"/>
    <cellStyle name="Normal 2 2 2 2 5" xfId="11729"/>
    <cellStyle name="Normal 2 2 2 2 6" xfId="11730"/>
    <cellStyle name="Normal 2 2 2 2 7" xfId="11731"/>
    <cellStyle name="Normal 2 2 2 2 8" xfId="11732"/>
    <cellStyle name="Normal 2 2 2 2 9" xfId="11733"/>
    <cellStyle name="Normal 2 2 2 2 9 10" xfId="11734"/>
    <cellStyle name="Normal 2 2 2 2 9 10 2" xfId="11735"/>
    <cellStyle name="Normal 2 2 2 2 9 11" xfId="11736"/>
    <cellStyle name="Normal 2 2 2 2 9 11 2" xfId="11737"/>
    <cellStyle name="Normal 2 2 2 2 9 12" xfId="11738"/>
    <cellStyle name="Normal 2 2 2 2 9 12 2" xfId="11739"/>
    <cellStyle name="Normal 2 2 2 2 9 13" xfId="11740"/>
    <cellStyle name="Normal 2 2 2 2 9 13 2" xfId="11741"/>
    <cellStyle name="Normal 2 2 2 2 9 14" xfId="11742"/>
    <cellStyle name="Normal 2 2 2 2 9 14 2" xfId="11743"/>
    <cellStyle name="Normal 2 2 2 2 9 15" xfId="11744"/>
    <cellStyle name="Normal 2 2 2 2 9 15 2" xfId="11745"/>
    <cellStyle name="Normal 2 2 2 2 9 16" xfId="11746"/>
    <cellStyle name="Normal 2 2 2 2 9 16 2" xfId="11747"/>
    <cellStyle name="Normal 2 2 2 2 9 17" xfId="11748"/>
    <cellStyle name="Normal 2 2 2 2 9 17 2" xfId="11749"/>
    <cellStyle name="Normal 2 2 2 2 9 18" xfId="11750"/>
    <cellStyle name="Normal 2 2 2 2 9 2" xfId="11751"/>
    <cellStyle name="Normal 2 2 2 2 9 2 2" xfId="11752"/>
    <cellStyle name="Normal 2 2 2 2 9 2 2 10" xfId="11753"/>
    <cellStyle name="Normal 2 2 2 2 9 2 2 10 2" xfId="11754"/>
    <cellStyle name="Normal 2 2 2 2 9 2 2 11" xfId="11755"/>
    <cellStyle name="Normal 2 2 2 2 9 2 2 11 2" xfId="11756"/>
    <cellStyle name="Normal 2 2 2 2 9 2 2 12" xfId="11757"/>
    <cellStyle name="Normal 2 2 2 2 9 2 2 12 2" xfId="11758"/>
    <cellStyle name="Normal 2 2 2 2 9 2 2 13" xfId="11759"/>
    <cellStyle name="Normal 2 2 2 2 9 2 2 13 2" xfId="11760"/>
    <cellStyle name="Normal 2 2 2 2 9 2 2 14" xfId="11761"/>
    <cellStyle name="Normal 2 2 2 2 9 2 2 14 2" xfId="11762"/>
    <cellStyle name="Normal 2 2 2 2 9 2 2 15" xfId="11763"/>
    <cellStyle name="Normal 2 2 2 2 9 2 2 15 2" xfId="11764"/>
    <cellStyle name="Normal 2 2 2 2 9 2 2 16" xfId="11765"/>
    <cellStyle name="Normal 2 2 2 2 9 2 2 16 2" xfId="11766"/>
    <cellStyle name="Normal 2 2 2 2 9 2 2 17" xfId="11767"/>
    <cellStyle name="Normal 2 2 2 2 9 2 2 2" xfId="11768"/>
    <cellStyle name="Normal 2 2 2 2 9 2 2 3" xfId="11769"/>
    <cellStyle name="Normal 2 2 2 2 9 2 2 4" xfId="11770"/>
    <cellStyle name="Normal 2 2 2 2 9 2 2 5" xfId="11771"/>
    <cellStyle name="Normal 2 2 2 2 9 2 2 6" xfId="11772"/>
    <cellStyle name="Normal 2 2 2 2 9 2 2 6 10" xfId="11773"/>
    <cellStyle name="Normal 2 2 2 2 9 2 2 6 10 2" xfId="11774"/>
    <cellStyle name="Normal 2 2 2 2 9 2 2 6 11" xfId="11775"/>
    <cellStyle name="Normal 2 2 2 2 9 2 2 6 11 2" xfId="11776"/>
    <cellStyle name="Normal 2 2 2 2 9 2 2 6 12" xfId="11777"/>
    <cellStyle name="Normal 2 2 2 2 9 2 2 6 2" xfId="11778"/>
    <cellStyle name="Normal 2 2 2 2 9 2 2 6 2 10" xfId="11779"/>
    <cellStyle name="Normal 2 2 2 2 9 2 2 6 2 10 2" xfId="11780"/>
    <cellStyle name="Normal 2 2 2 2 9 2 2 6 2 11" xfId="11781"/>
    <cellStyle name="Normal 2 2 2 2 9 2 2 6 2 2" xfId="11782"/>
    <cellStyle name="Normal 2 2 2 2 9 2 2 6 2 2 2" xfId="11783"/>
    <cellStyle name="Normal 2 2 2 2 9 2 2 6 2 3" xfId="11784"/>
    <cellStyle name="Normal 2 2 2 2 9 2 2 6 2 3 2" xfId="11785"/>
    <cellStyle name="Normal 2 2 2 2 9 2 2 6 2 4" xfId="11786"/>
    <cellStyle name="Normal 2 2 2 2 9 2 2 6 2 4 2" xfId="11787"/>
    <cellStyle name="Normal 2 2 2 2 9 2 2 6 2 5" xfId="11788"/>
    <cellStyle name="Normal 2 2 2 2 9 2 2 6 2 5 2" xfId="11789"/>
    <cellStyle name="Normal 2 2 2 2 9 2 2 6 2 6" xfId="11790"/>
    <cellStyle name="Normal 2 2 2 2 9 2 2 6 2 6 2" xfId="11791"/>
    <cellStyle name="Normal 2 2 2 2 9 2 2 6 2 7" xfId="11792"/>
    <cellStyle name="Normal 2 2 2 2 9 2 2 6 2 7 2" xfId="11793"/>
    <cellStyle name="Normal 2 2 2 2 9 2 2 6 2 8" xfId="11794"/>
    <cellStyle name="Normal 2 2 2 2 9 2 2 6 2 8 2" xfId="11795"/>
    <cellStyle name="Normal 2 2 2 2 9 2 2 6 2 9" xfId="11796"/>
    <cellStyle name="Normal 2 2 2 2 9 2 2 6 2 9 2" xfId="11797"/>
    <cellStyle name="Normal 2 2 2 2 9 2 2 6 3" xfId="11798"/>
    <cellStyle name="Normal 2 2 2 2 9 2 2 6 3 2" xfId="11799"/>
    <cellStyle name="Normal 2 2 2 2 9 2 2 6 4" xfId="11800"/>
    <cellStyle name="Normal 2 2 2 2 9 2 2 6 4 2" xfId="11801"/>
    <cellStyle name="Normal 2 2 2 2 9 2 2 6 5" xfId="11802"/>
    <cellStyle name="Normal 2 2 2 2 9 2 2 6 5 2" xfId="11803"/>
    <cellStyle name="Normal 2 2 2 2 9 2 2 6 6" xfId="11804"/>
    <cellStyle name="Normal 2 2 2 2 9 2 2 6 6 2" xfId="11805"/>
    <cellStyle name="Normal 2 2 2 2 9 2 2 6 7" xfId="11806"/>
    <cellStyle name="Normal 2 2 2 2 9 2 2 6 7 2" xfId="11807"/>
    <cellStyle name="Normal 2 2 2 2 9 2 2 6 8" xfId="11808"/>
    <cellStyle name="Normal 2 2 2 2 9 2 2 6 8 2" xfId="11809"/>
    <cellStyle name="Normal 2 2 2 2 9 2 2 6 9" xfId="11810"/>
    <cellStyle name="Normal 2 2 2 2 9 2 2 6 9 2" xfId="11811"/>
    <cellStyle name="Normal 2 2 2 2 9 2 2 7" xfId="11812"/>
    <cellStyle name="Normal 2 2 2 2 9 2 2 7 10" xfId="11813"/>
    <cellStyle name="Normal 2 2 2 2 9 2 2 7 10 2" xfId="11814"/>
    <cellStyle name="Normal 2 2 2 2 9 2 2 7 11" xfId="11815"/>
    <cellStyle name="Normal 2 2 2 2 9 2 2 7 2" xfId="11816"/>
    <cellStyle name="Normal 2 2 2 2 9 2 2 7 2 2" xfId="11817"/>
    <cellStyle name="Normal 2 2 2 2 9 2 2 7 3" xfId="11818"/>
    <cellStyle name="Normal 2 2 2 2 9 2 2 7 3 2" xfId="11819"/>
    <cellStyle name="Normal 2 2 2 2 9 2 2 7 4" xfId="11820"/>
    <cellStyle name="Normal 2 2 2 2 9 2 2 7 4 2" xfId="11821"/>
    <cellStyle name="Normal 2 2 2 2 9 2 2 7 5" xfId="11822"/>
    <cellStyle name="Normal 2 2 2 2 9 2 2 7 5 2" xfId="11823"/>
    <cellStyle name="Normal 2 2 2 2 9 2 2 7 6" xfId="11824"/>
    <cellStyle name="Normal 2 2 2 2 9 2 2 7 6 2" xfId="11825"/>
    <cellStyle name="Normal 2 2 2 2 9 2 2 7 7" xfId="11826"/>
    <cellStyle name="Normal 2 2 2 2 9 2 2 7 7 2" xfId="11827"/>
    <cellStyle name="Normal 2 2 2 2 9 2 2 7 8" xfId="11828"/>
    <cellStyle name="Normal 2 2 2 2 9 2 2 7 8 2" xfId="11829"/>
    <cellStyle name="Normal 2 2 2 2 9 2 2 7 9" xfId="11830"/>
    <cellStyle name="Normal 2 2 2 2 9 2 2 7 9 2" xfId="11831"/>
    <cellStyle name="Normal 2 2 2 2 9 2 2 8" xfId="11832"/>
    <cellStyle name="Normal 2 2 2 2 9 2 2 8 2" xfId="11833"/>
    <cellStyle name="Normal 2 2 2 2 9 2 2 9" xfId="11834"/>
    <cellStyle name="Normal 2 2 2 2 9 2 2 9 2" xfId="11835"/>
    <cellStyle name="Normal 2 2 2 2 9 2 3" xfId="11836"/>
    <cellStyle name="Normal 2 2 2 2 9 2 3 10" xfId="11837"/>
    <cellStyle name="Normal 2 2 2 2 9 2 3 10 2" xfId="11838"/>
    <cellStyle name="Normal 2 2 2 2 9 2 3 11" xfId="11839"/>
    <cellStyle name="Normal 2 2 2 2 9 2 3 11 2" xfId="11840"/>
    <cellStyle name="Normal 2 2 2 2 9 2 3 12" xfId="11841"/>
    <cellStyle name="Normal 2 2 2 2 9 2 3 12 2" xfId="11842"/>
    <cellStyle name="Normal 2 2 2 2 9 2 3 13" xfId="11843"/>
    <cellStyle name="Normal 2 2 2 2 9 2 3 2" xfId="11844"/>
    <cellStyle name="Normal 2 2 2 2 9 2 3 2 10" xfId="11845"/>
    <cellStyle name="Normal 2 2 2 2 9 2 3 2 10 2" xfId="11846"/>
    <cellStyle name="Normal 2 2 2 2 9 2 3 2 11" xfId="11847"/>
    <cellStyle name="Normal 2 2 2 2 9 2 3 2 11 2" xfId="11848"/>
    <cellStyle name="Normal 2 2 2 2 9 2 3 2 12" xfId="11849"/>
    <cellStyle name="Normal 2 2 2 2 9 2 3 2 2" xfId="11850"/>
    <cellStyle name="Normal 2 2 2 2 9 2 3 2 2 10" xfId="11851"/>
    <cellStyle name="Normal 2 2 2 2 9 2 3 2 2 10 2" xfId="11852"/>
    <cellStyle name="Normal 2 2 2 2 9 2 3 2 2 11" xfId="11853"/>
    <cellStyle name="Normal 2 2 2 2 9 2 3 2 2 2" xfId="11854"/>
    <cellStyle name="Normal 2 2 2 2 9 2 3 2 2 2 2" xfId="11855"/>
    <cellStyle name="Normal 2 2 2 2 9 2 3 2 2 3" xfId="11856"/>
    <cellStyle name="Normal 2 2 2 2 9 2 3 2 2 3 2" xfId="11857"/>
    <cellStyle name="Normal 2 2 2 2 9 2 3 2 2 4" xfId="11858"/>
    <cellStyle name="Normal 2 2 2 2 9 2 3 2 2 4 2" xfId="11859"/>
    <cellStyle name="Normal 2 2 2 2 9 2 3 2 2 5" xfId="11860"/>
    <cellStyle name="Normal 2 2 2 2 9 2 3 2 2 5 2" xfId="11861"/>
    <cellStyle name="Normal 2 2 2 2 9 2 3 2 2 6" xfId="11862"/>
    <cellStyle name="Normal 2 2 2 2 9 2 3 2 2 6 2" xfId="11863"/>
    <cellStyle name="Normal 2 2 2 2 9 2 3 2 2 7" xfId="11864"/>
    <cellStyle name="Normal 2 2 2 2 9 2 3 2 2 7 2" xfId="11865"/>
    <cellStyle name="Normal 2 2 2 2 9 2 3 2 2 8" xfId="11866"/>
    <cellStyle name="Normal 2 2 2 2 9 2 3 2 2 8 2" xfId="11867"/>
    <cellStyle name="Normal 2 2 2 2 9 2 3 2 2 9" xfId="11868"/>
    <cellStyle name="Normal 2 2 2 2 9 2 3 2 2 9 2" xfId="11869"/>
    <cellStyle name="Normal 2 2 2 2 9 2 3 2 3" xfId="11870"/>
    <cellStyle name="Normal 2 2 2 2 9 2 3 2 3 2" xfId="11871"/>
    <cellStyle name="Normal 2 2 2 2 9 2 3 2 4" xfId="11872"/>
    <cellStyle name="Normal 2 2 2 2 9 2 3 2 4 2" xfId="11873"/>
    <cellStyle name="Normal 2 2 2 2 9 2 3 2 5" xfId="11874"/>
    <cellStyle name="Normal 2 2 2 2 9 2 3 2 5 2" xfId="11875"/>
    <cellStyle name="Normal 2 2 2 2 9 2 3 2 6" xfId="11876"/>
    <cellStyle name="Normal 2 2 2 2 9 2 3 2 6 2" xfId="11877"/>
    <cellStyle name="Normal 2 2 2 2 9 2 3 2 7" xfId="11878"/>
    <cellStyle name="Normal 2 2 2 2 9 2 3 2 7 2" xfId="11879"/>
    <cellStyle name="Normal 2 2 2 2 9 2 3 2 8" xfId="11880"/>
    <cellStyle name="Normal 2 2 2 2 9 2 3 2 8 2" xfId="11881"/>
    <cellStyle name="Normal 2 2 2 2 9 2 3 2 9" xfId="11882"/>
    <cellStyle name="Normal 2 2 2 2 9 2 3 2 9 2" xfId="11883"/>
    <cellStyle name="Normal 2 2 2 2 9 2 3 3" xfId="11884"/>
    <cellStyle name="Normal 2 2 2 2 9 2 3 3 10" xfId="11885"/>
    <cellStyle name="Normal 2 2 2 2 9 2 3 3 10 2" xfId="11886"/>
    <cellStyle name="Normal 2 2 2 2 9 2 3 3 11" xfId="11887"/>
    <cellStyle name="Normal 2 2 2 2 9 2 3 3 2" xfId="11888"/>
    <cellStyle name="Normal 2 2 2 2 9 2 3 3 2 2" xfId="11889"/>
    <cellStyle name="Normal 2 2 2 2 9 2 3 3 3" xfId="11890"/>
    <cellStyle name="Normal 2 2 2 2 9 2 3 3 3 2" xfId="11891"/>
    <cellStyle name="Normal 2 2 2 2 9 2 3 3 4" xfId="11892"/>
    <cellStyle name="Normal 2 2 2 2 9 2 3 3 4 2" xfId="11893"/>
    <cellStyle name="Normal 2 2 2 2 9 2 3 3 5" xfId="11894"/>
    <cellStyle name="Normal 2 2 2 2 9 2 3 3 5 2" xfId="11895"/>
    <cellStyle name="Normal 2 2 2 2 9 2 3 3 6" xfId="11896"/>
    <cellStyle name="Normal 2 2 2 2 9 2 3 3 6 2" xfId="11897"/>
    <cellStyle name="Normal 2 2 2 2 9 2 3 3 7" xfId="11898"/>
    <cellStyle name="Normal 2 2 2 2 9 2 3 3 7 2" xfId="11899"/>
    <cellStyle name="Normal 2 2 2 2 9 2 3 3 8" xfId="11900"/>
    <cellStyle name="Normal 2 2 2 2 9 2 3 3 8 2" xfId="11901"/>
    <cellStyle name="Normal 2 2 2 2 9 2 3 3 9" xfId="11902"/>
    <cellStyle name="Normal 2 2 2 2 9 2 3 3 9 2" xfId="11903"/>
    <cellStyle name="Normal 2 2 2 2 9 2 3 4" xfId="11904"/>
    <cellStyle name="Normal 2 2 2 2 9 2 3 4 2" xfId="11905"/>
    <cellStyle name="Normal 2 2 2 2 9 2 3 5" xfId="11906"/>
    <cellStyle name="Normal 2 2 2 2 9 2 3 5 2" xfId="11907"/>
    <cellStyle name="Normal 2 2 2 2 9 2 3 6" xfId="11908"/>
    <cellStyle name="Normal 2 2 2 2 9 2 3 6 2" xfId="11909"/>
    <cellStyle name="Normal 2 2 2 2 9 2 3 7" xfId="11910"/>
    <cellStyle name="Normal 2 2 2 2 9 2 3 7 2" xfId="11911"/>
    <cellStyle name="Normal 2 2 2 2 9 2 3 8" xfId="11912"/>
    <cellStyle name="Normal 2 2 2 2 9 2 3 8 2" xfId="11913"/>
    <cellStyle name="Normal 2 2 2 2 9 2 3 9" xfId="11914"/>
    <cellStyle name="Normal 2 2 2 2 9 2 3 9 2" xfId="11915"/>
    <cellStyle name="Normal 2 2 2 2 9 2 4" xfId="11916"/>
    <cellStyle name="Normal 2 2 2 2 9 2 4 10" xfId="11917"/>
    <cellStyle name="Normal 2 2 2 2 9 2 4 10 2" xfId="11918"/>
    <cellStyle name="Normal 2 2 2 2 9 2 4 11" xfId="11919"/>
    <cellStyle name="Normal 2 2 2 2 9 2 4 11 2" xfId="11920"/>
    <cellStyle name="Normal 2 2 2 2 9 2 4 12" xfId="11921"/>
    <cellStyle name="Normal 2 2 2 2 9 2 4 12 2" xfId="11922"/>
    <cellStyle name="Normal 2 2 2 2 9 2 4 13" xfId="11923"/>
    <cellStyle name="Normal 2 2 2 2 9 2 4 2" xfId="11924"/>
    <cellStyle name="Normal 2 2 2 2 9 2 4 2 10" xfId="11925"/>
    <cellStyle name="Normal 2 2 2 2 9 2 4 2 10 2" xfId="11926"/>
    <cellStyle name="Normal 2 2 2 2 9 2 4 2 11" xfId="11927"/>
    <cellStyle name="Normal 2 2 2 2 9 2 4 2 11 2" xfId="11928"/>
    <cellStyle name="Normal 2 2 2 2 9 2 4 2 12" xfId="11929"/>
    <cellStyle name="Normal 2 2 2 2 9 2 4 2 2" xfId="11930"/>
    <cellStyle name="Normal 2 2 2 2 9 2 4 2 2 10" xfId="11931"/>
    <cellStyle name="Normal 2 2 2 2 9 2 4 2 2 10 2" xfId="11932"/>
    <cellStyle name="Normal 2 2 2 2 9 2 4 2 2 11" xfId="11933"/>
    <cellStyle name="Normal 2 2 2 2 9 2 4 2 2 2" xfId="11934"/>
    <cellStyle name="Normal 2 2 2 2 9 2 4 2 2 2 2" xfId="11935"/>
    <cellStyle name="Normal 2 2 2 2 9 2 4 2 2 3" xfId="11936"/>
    <cellStyle name="Normal 2 2 2 2 9 2 4 2 2 3 2" xfId="11937"/>
    <cellStyle name="Normal 2 2 2 2 9 2 4 2 2 4" xfId="11938"/>
    <cellStyle name="Normal 2 2 2 2 9 2 4 2 2 4 2" xfId="11939"/>
    <cellStyle name="Normal 2 2 2 2 9 2 4 2 2 5" xfId="11940"/>
    <cellStyle name="Normal 2 2 2 2 9 2 4 2 2 5 2" xfId="11941"/>
    <cellStyle name="Normal 2 2 2 2 9 2 4 2 2 6" xfId="11942"/>
    <cellStyle name="Normal 2 2 2 2 9 2 4 2 2 6 2" xfId="11943"/>
    <cellStyle name="Normal 2 2 2 2 9 2 4 2 2 7" xfId="11944"/>
    <cellStyle name="Normal 2 2 2 2 9 2 4 2 2 7 2" xfId="11945"/>
    <cellStyle name="Normal 2 2 2 2 9 2 4 2 2 8" xfId="11946"/>
    <cellStyle name="Normal 2 2 2 2 9 2 4 2 2 8 2" xfId="11947"/>
    <cellStyle name="Normal 2 2 2 2 9 2 4 2 2 9" xfId="11948"/>
    <cellStyle name="Normal 2 2 2 2 9 2 4 2 2 9 2" xfId="11949"/>
    <cellStyle name="Normal 2 2 2 2 9 2 4 2 3" xfId="11950"/>
    <cellStyle name="Normal 2 2 2 2 9 2 4 2 3 2" xfId="11951"/>
    <cellStyle name="Normal 2 2 2 2 9 2 4 2 4" xfId="11952"/>
    <cellStyle name="Normal 2 2 2 2 9 2 4 2 4 2" xfId="11953"/>
    <cellStyle name="Normal 2 2 2 2 9 2 4 2 5" xfId="11954"/>
    <cellStyle name="Normal 2 2 2 2 9 2 4 2 5 2" xfId="11955"/>
    <cellStyle name="Normal 2 2 2 2 9 2 4 2 6" xfId="11956"/>
    <cellStyle name="Normal 2 2 2 2 9 2 4 2 6 2" xfId="11957"/>
    <cellStyle name="Normal 2 2 2 2 9 2 4 2 7" xfId="11958"/>
    <cellStyle name="Normal 2 2 2 2 9 2 4 2 7 2" xfId="11959"/>
    <cellStyle name="Normal 2 2 2 2 9 2 4 2 8" xfId="11960"/>
    <cellStyle name="Normal 2 2 2 2 9 2 4 2 8 2" xfId="11961"/>
    <cellStyle name="Normal 2 2 2 2 9 2 4 2 9" xfId="11962"/>
    <cellStyle name="Normal 2 2 2 2 9 2 4 2 9 2" xfId="11963"/>
    <cellStyle name="Normal 2 2 2 2 9 2 4 3" xfId="11964"/>
    <cellStyle name="Normal 2 2 2 2 9 2 4 3 10" xfId="11965"/>
    <cellStyle name="Normal 2 2 2 2 9 2 4 3 10 2" xfId="11966"/>
    <cellStyle name="Normal 2 2 2 2 9 2 4 3 11" xfId="11967"/>
    <cellStyle name="Normal 2 2 2 2 9 2 4 3 2" xfId="11968"/>
    <cellStyle name="Normal 2 2 2 2 9 2 4 3 2 2" xfId="11969"/>
    <cellStyle name="Normal 2 2 2 2 9 2 4 3 3" xfId="11970"/>
    <cellStyle name="Normal 2 2 2 2 9 2 4 3 3 2" xfId="11971"/>
    <cellStyle name="Normal 2 2 2 2 9 2 4 3 4" xfId="11972"/>
    <cellStyle name="Normal 2 2 2 2 9 2 4 3 4 2" xfId="11973"/>
    <cellStyle name="Normal 2 2 2 2 9 2 4 3 5" xfId="11974"/>
    <cellStyle name="Normal 2 2 2 2 9 2 4 3 5 2" xfId="11975"/>
    <cellStyle name="Normal 2 2 2 2 9 2 4 3 6" xfId="11976"/>
    <cellStyle name="Normal 2 2 2 2 9 2 4 3 6 2" xfId="11977"/>
    <cellStyle name="Normal 2 2 2 2 9 2 4 3 7" xfId="11978"/>
    <cellStyle name="Normal 2 2 2 2 9 2 4 3 7 2" xfId="11979"/>
    <cellStyle name="Normal 2 2 2 2 9 2 4 3 8" xfId="11980"/>
    <cellStyle name="Normal 2 2 2 2 9 2 4 3 8 2" xfId="11981"/>
    <cellStyle name="Normal 2 2 2 2 9 2 4 3 9" xfId="11982"/>
    <cellStyle name="Normal 2 2 2 2 9 2 4 3 9 2" xfId="11983"/>
    <cellStyle name="Normal 2 2 2 2 9 2 4 4" xfId="11984"/>
    <cellStyle name="Normal 2 2 2 2 9 2 4 4 2" xfId="11985"/>
    <cellStyle name="Normal 2 2 2 2 9 2 4 5" xfId="11986"/>
    <cellStyle name="Normal 2 2 2 2 9 2 4 5 2" xfId="11987"/>
    <cellStyle name="Normal 2 2 2 2 9 2 4 6" xfId="11988"/>
    <cellStyle name="Normal 2 2 2 2 9 2 4 6 2" xfId="11989"/>
    <cellStyle name="Normal 2 2 2 2 9 2 4 7" xfId="11990"/>
    <cellStyle name="Normal 2 2 2 2 9 2 4 7 2" xfId="11991"/>
    <cellStyle name="Normal 2 2 2 2 9 2 4 8" xfId="11992"/>
    <cellStyle name="Normal 2 2 2 2 9 2 4 8 2" xfId="11993"/>
    <cellStyle name="Normal 2 2 2 2 9 2 4 9" xfId="11994"/>
    <cellStyle name="Normal 2 2 2 2 9 2 4 9 2" xfId="11995"/>
    <cellStyle name="Normal 2 2 2 2 9 2 5" xfId="11996"/>
    <cellStyle name="Normal 2 2 2 2 9 2 5 10" xfId="11997"/>
    <cellStyle name="Normal 2 2 2 2 9 2 5 10 2" xfId="11998"/>
    <cellStyle name="Normal 2 2 2 2 9 2 5 11" xfId="11999"/>
    <cellStyle name="Normal 2 2 2 2 9 2 5 11 2" xfId="12000"/>
    <cellStyle name="Normal 2 2 2 2 9 2 5 12" xfId="12001"/>
    <cellStyle name="Normal 2 2 2 2 9 2 5 12 2" xfId="12002"/>
    <cellStyle name="Normal 2 2 2 2 9 2 5 13" xfId="12003"/>
    <cellStyle name="Normal 2 2 2 2 9 2 5 2" xfId="12004"/>
    <cellStyle name="Normal 2 2 2 2 9 2 5 2 10" xfId="12005"/>
    <cellStyle name="Normal 2 2 2 2 9 2 5 2 10 2" xfId="12006"/>
    <cellStyle name="Normal 2 2 2 2 9 2 5 2 11" xfId="12007"/>
    <cellStyle name="Normal 2 2 2 2 9 2 5 2 11 2" xfId="12008"/>
    <cellStyle name="Normal 2 2 2 2 9 2 5 2 12" xfId="12009"/>
    <cellStyle name="Normal 2 2 2 2 9 2 5 2 2" xfId="12010"/>
    <cellStyle name="Normal 2 2 2 2 9 2 5 2 2 10" xfId="12011"/>
    <cellStyle name="Normal 2 2 2 2 9 2 5 2 2 10 2" xfId="12012"/>
    <cellStyle name="Normal 2 2 2 2 9 2 5 2 2 11" xfId="12013"/>
    <cellStyle name="Normal 2 2 2 2 9 2 5 2 2 2" xfId="12014"/>
    <cellStyle name="Normal 2 2 2 2 9 2 5 2 2 2 2" xfId="12015"/>
    <cellStyle name="Normal 2 2 2 2 9 2 5 2 2 3" xfId="12016"/>
    <cellStyle name="Normal 2 2 2 2 9 2 5 2 2 3 2" xfId="12017"/>
    <cellStyle name="Normal 2 2 2 2 9 2 5 2 2 4" xfId="12018"/>
    <cellStyle name="Normal 2 2 2 2 9 2 5 2 2 4 2" xfId="12019"/>
    <cellStyle name="Normal 2 2 2 2 9 2 5 2 2 5" xfId="12020"/>
    <cellStyle name="Normal 2 2 2 2 9 2 5 2 2 5 2" xfId="12021"/>
    <cellStyle name="Normal 2 2 2 2 9 2 5 2 2 6" xfId="12022"/>
    <cellStyle name="Normal 2 2 2 2 9 2 5 2 2 6 2" xfId="12023"/>
    <cellStyle name="Normal 2 2 2 2 9 2 5 2 2 7" xfId="12024"/>
    <cellStyle name="Normal 2 2 2 2 9 2 5 2 2 7 2" xfId="12025"/>
    <cellStyle name="Normal 2 2 2 2 9 2 5 2 2 8" xfId="12026"/>
    <cellStyle name="Normal 2 2 2 2 9 2 5 2 2 8 2" xfId="12027"/>
    <cellStyle name="Normal 2 2 2 2 9 2 5 2 2 9" xfId="12028"/>
    <cellStyle name="Normal 2 2 2 2 9 2 5 2 2 9 2" xfId="12029"/>
    <cellStyle name="Normal 2 2 2 2 9 2 5 2 3" xfId="12030"/>
    <cellStyle name="Normal 2 2 2 2 9 2 5 2 3 2" xfId="12031"/>
    <cellStyle name="Normal 2 2 2 2 9 2 5 2 4" xfId="12032"/>
    <cellStyle name="Normal 2 2 2 2 9 2 5 2 4 2" xfId="12033"/>
    <cellStyle name="Normal 2 2 2 2 9 2 5 2 5" xfId="12034"/>
    <cellStyle name="Normal 2 2 2 2 9 2 5 2 5 2" xfId="12035"/>
    <cellStyle name="Normal 2 2 2 2 9 2 5 2 6" xfId="12036"/>
    <cellStyle name="Normal 2 2 2 2 9 2 5 2 6 2" xfId="12037"/>
    <cellStyle name="Normal 2 2 2 2 9 2 5 2 7" xfId="12038"/>
    <cellStyle name="Normal 2 2 2 2 9 2 5 2 7 2" xfId="12039"/>
    <cellStyle name="Normal 2 2 2 2 9 2 5 2 8" xfId="12040"/>
    <cellStyle name="Normal 2 2 2 2 9 2 5 2 8 2" xfId="12041"/>
    <cellStyle name="Normal 2 2 2 2 9 2 5 2 9" xfId="12042"/>
    <cellStyle name="Normal 2 2 2 2 9 2 5 2 9 2" xfId="12043"/>
    <cellStyle name="Normal 2 2 2 2 9 2 5 3" xfId="12044"/>
    <cellStyle name="Normal 2 2 2 2 9 2 5 3 10" xfId="12045"/>
    <cellStyle name="Normal 2 2 2 2 9 2 5 3 10 2" xfId="12046"/>
    <cellStyle name="Normal 2 2 2 2 9 2 5 3 11" xfId="12047"/>
    <cellStyle name="Normal 2 2 2 2 9 2 5 3 2" xfId="12048"/>
    <cellStyle name="Normal 2 2 2 2 9 2 5 3 2 2" xfId="12049"/>
    <cellStyle name="Normal 2 2 2 2 9 2 5 3 3" xfId="12050"/>
    <cellStyle name="Normal 2 2 2 2 9 2 5 3 3 2" xfId="12051"/>
    <cellStyle name="Normal 2 2 2 2 9 2 5 3 4" xfId="12052"/>
    <cellStyle name="Normal 2 2 2 2 9 2 5 3 4 2" xfId="12053"/>
    <cellStyle name="Normal 2 2 2 2 9 2 5 3 5" xfId="12054"/>
    <cellStyle name="Normal 2 2 2 2 9 2 5 3 5 2" xfId="12055"/>
    <cellStyle name="Normal 2 2 2 2 9 2 5 3 6" xfId="12056"/>
    <cellStyle name="Normal 2 2 2 2 9 2 5 3 6 2" xfId="12057"/>
    <cellStyle name="Normal 2 2 2 2 9 2 5 3 7" xfId="12058"/>
    <cellStyle name="Normal 2 2 2 2 9 2 5 3 7 2" xfId="12059"/>
    <cellStyle name="Normal 2 2 2 2 9 2 5 3 8" xfId="12060"/>
    <cellStyle name="Normal 2 2 2 2 9 2 5 3 8 2" xfId="12061"/>
    <cellStyle name="Normal 2 2 2 2 9 2 5 3 9" xfId="12062"/>
    <cellStyle name="Normal 2 2 2 2 9 2 5 3 9 2" xfId="12063"/>
    <cellStyle name="Normal 2 2 2 2 9 2 5 4" xfId="12064"/>
    <cellStyle name="Normal 2 2 2 2 9 2 5 4 2" xfId="12065"/>
    <cellStyle name="Normal 2 2 2 2 9 2 5 5" xfId="12066"/>
    <cellStyle name="Normal 2 2 2 2 9 2 5 5 2" xfId="12067"/>
    <cellStyle name="Normal 2 2 2 2 9 2 5 6" xfId="12068"/>
    <cellStyle name="Normal 2 2 2 2 9 2 5 6 2" xfId="12069"/>
    <cellStyle name="Normal 2 2 2 2 9 2 5 7" xfId="12070"/>
    <cellStyle name="Normal 2 2 2 2 9 2 5 7 2" xfId="12071"/>
    <cellStyle name="Normal 2 2 2 2 9 2 5 8" xfId="12072"/>
    <cellStyle name="Normal 2 2 2 2 9 2 5 8 2" xfId="12073"/>
    <cellStyle name="Normal 2 2 2 2 9 2 5 9" xfId="12074"/>
    <cellStyle name="Normal 2 2 2 2 9 2 5 9 2" xfId="12075"/>
    <cellStyle name="Normal 2 2 2 2 9 3" xfId="12076"/>
    <cellStyle name="Normal 2 2 2 2 9 4" xfId="12077"/>
    <cellStyle name="Normal 2 2 2 2 9 5" xfId="12078"/>
    <cellStyle name="Normal 2 2 2 2 9 6" xfId="12079"/>
    <cellStyle name="Normal 2 2 2 2 9 7" xfId="12080"/>
    <cellStyle name="Normal 2 2 2 2 9 7 10" xfId="12081"/>
    <cellStyle name="Normal 2 2 2 2 9 7 10 2" xfId="12082"/>
    <cellStyle name="Normal 2 2 2 2 9 7 11" xfId="12083"/>
    <cellStyle name="Normal 2 2 2 2 9 7 11 2" xfId="12084"/>
    <cellStyle name="Normal 2 2 2 2 9 7 12" xfId="12085"/>
    <cellStyle name="Normal 2 2 2 2 9 7 2" xfId="12086"/>
    <cellStyle name="Normal 2 2 2 2 9 7 2 10" xfId="12087"/>
    <cellStyle name="Normal 2 2 2 2 9 7 2 10 2" xfId="12088"/>
    <cellStyle name="Normal 2 2 2 2 9 7 2 11" xfId="12089"/>
    <cellStyle name="Normal 2 2 2 2 9 7 2 2" xfId="12090"/>
    <cellStyle name="Normal 2 2 2 2 9 7 2 2 2" xfId="12091"/>
    <cellStyle name="Normal 2 2 2 2 9 7 2 3" xfId="12092"/>
    <cellStyle name="Normal 2 2 2 2 9 7 2 3 2" xfId="12093"/>
    <cellStyle name="Normal 2 2 2 2 9 7 2 4" xfId="12094"/>
    <cellStyle name="Normal 2 2 2 2 9 7 2 4 2" xfId="12095"/>
    <cellStyle name="Normal 2 2 2 2 9 7 2 5" xfId="12096"/>
    <cellStyle name="Normal 2 2 2 2 9 7 2 5 2" xfId="12097"/>
    <cellStyle name="Normal 2 2 2 2 9 7 2 6" xfId="12098"/>
    <cellStyle name="Normal 2 2 2 2 9 7 2 6 2" xfId="12099"/>
    <cellStyle name="Normal 2 2 2 2 9 7 2 7" xfId="12100"/>
    <cellStyle name="Normal 2 2 2 2 9 7 2 7 2" xfId="12101"/>
    <cellStyle name="Normal 2 2 2 2 9 7 2 8" xfId="12102"/>
    <cellStyle name="Normal 2 2 2 2 9 7 2 8 2" xfId="12103"/>
    <cellStyle name="Normal 2 2 2 2 9 7 2 9" xfId="12104"/>
    <cellStyle name="Normal 2 2 2 2 9 7 2 9 2" xfId="12105"/>
    <cellStyle name="Normal 2 2 2 2 9 7 3" xfId="12106"/>
    <cellStyle name="Normal 2 2 2 2 9 7 3 2" xfId="12107"/>
    <cellStyle name="Normal 2 2 2 2 9 7 4" xfId="12108"/>
    <cellStyle name="Normal 2 2 2 2 9 7 4 2" xfId="12109"/>
    <cellStyle name="Normal 2 2 2 2 9 7 5" xfId="12110"/>
    <cellStyle name="Normal 2 2 2 2 9 7 5 2" xfId="12111"/>
    <cellStyle name="Normal 2 2 2 2 9 7 6" xfId="12112"/>
    <cellStyle name="Normal 2 2 2 2 9 7 6 2" xfId="12113"/>
    <cellStyle name="Normal 2 2 2 2 9 7 7" xfId="12114"/>
    <cellStyle name="Normal 2 2 2 2 9 7 7 2" xfId="12115"/>
    <cellStyle name="Normal 2 2 2 2 9 7 8" xfId="12116"/>
    <cellStyle name="Normal 2 2 2 2 9 7 8 2" xfId="12117"/>
    <cellStyle name="Normal 2 2 2 2 9 7 9" xfId="12118"/>
    <cellStyle name="Normal 2 2 2 2 9 7 9 2" xfId="12119"/>
    <cellStyle name="Normal 2 2 2 2 9 8" xfId="12120"/>
    <cellStyle name="Normal 2 2 2 2 9 8 10" xfId="12121"/>
    <cellStyle name="Normal 2 2 2 2 9 8 10 2" xfId="12122"/>
    <cellStyle name="Normal 2 2 2 2 9 8 11" xfId="12123"/>
    <cellStyle name="Normal 2 2 2 2 9 8 2" xfId="12124"/>
    <cellStyle name="Normal 2 2 2 2 9 8 2 2" xfId="12125"/>
    <cellStyle name="Normal 2 2 2 2 9 8 3" xfId="12126"/>
    <cellStyle name="Normal 2 2 2 2 9 8 3 2" xfId="12127"/>
    <cellStyle name="Normal 2 2 2 2 9 8 4" xfId="12128"/>
    <cellStyle name="Normal 2 2 2 2 9 8 4 2" xfId="12129"/>
    <cellStyle name="Normal 2 2 2 2 9 8 5" xfId="12130"/>
    <cellStyle name="Normal 2 2 2 2 9 8 5 2" xfId="12131"/>
    <cellStyle name="Normal 2 2 2 2 9 8 6" xfId="12132"/>
    <cellStyle name="Normal 2 2 2 2 9 8 6 2" xfId="12133"/>
    <cellStyle name="Normal 2 2 2 2 9 8 7" xfId="12134"/>
    <cellStyle name="Normal 2 2 2 2 9 8 7 2" xfId="12135"/>
    <cellStyle name="Normal 2 2 2 2 9 8 8" xfId="12136"/>
    <cellStyle name="Normal 2 2 2 2 9 8 8 2" xfId="12137"/>
    <cellStyle name="Normal 2 2 2 2 9 8 9" xfId="12138"/>
    <cellStyle name="Normal 2 2 2 2 9 8 9 2" xfId="12139"/>
    <cellStyle name="Normal 2 2 2 2 9 9" xfId="12140"/>
    <cellStyle name="Normal 2 2 2 2 9 9 2" xfId="12141"/>
    <cellStyle name="Normal 2 2 2 3" xfId="12142"/>
    <cellStyle name="Normal 2 2 2 3 2" xfId="12143"/>
    <cellStyle name="Normal 2 2 2 3 2 10" xfId="12144"/>
    <cellStyle name="Normal 2 2 2 3 2 10 10" xfId="12145"/>
    <cellStyle name="Normal 2 2 2 3 2 10 10 2" xfId="12146"/>
    <cellStyle name="Normal 2 2 2 3 2 10 11" xfId="12147"/>
    <cellStyle name="Normal 2 2 2 3 2 10 11 2" xfId="12148"/>
    <cellStyle name="Normal 2 2 2 3 2 10 12" xfId="12149"/>
    <cellStyle name="Normal 2 2 2 3 2 10 2" xfId="12150"/>
    <cellStyle name="Normal 2 2 2 3 2 10 2 10" xfId="12151"/>
    <cellStyle name="Normal 2 2 2 3 2 10 2 10 2" xfId="12152"/>
    <cellStyle name="Normal 2 2 2 3 2 10 2 11" xfId="12153"/>
    <cellStyle name="Normal 2 2 2 3 2 10 2 2" xfId="12154"/>
    <cellStyle name="Normal 2 2 2 3 2 10 2 2 2" xfId="12155"/>
    <cellStyle name="Normal 2 2 2 3 2 10 2 3" xfId="12156"/>
    <cellStyle name="Normal 2 2 2 3 2 10 2 3 2" xfId="12157"/>
    <cellStyle name="Normal 2 2 2 3 2 10 2 4" xfId="12158"/>
    <cellStyle name="Normal 2 2 2 3 2 10 2 4 2" xfId="12159"/>
    <cellStyle name="Normal 2 2 2 3 2 10 2 5" xfId="12160"/>
    <cellStyle name="Normal 2 2 2 3 2 10 2 5 2" xfId="12161"/>
    <cellStyle name="Normal 2 2 2 3 2 10 2 6" xfId="12162"/>
    <cellStyle name="Normal 2 2 2 3 2 10 2 6 2" xfId="12163"/>
    <cellStyle name="Normal 2 2 2 3 2 10 2 7" xfId="12164"/>
    <cellStyle name="Normal 2 2 2 3 2 10 2 7 2" xfId="12165"/>
    <cellStyle name="Normal 2 2 2 3 2 10 2 8" xfId="12166"/>
    <cellStyle name="Normal 2 2 2 3 2 10 2 8 2" xfId="12167"/>
    <cellStyle name="Normal 2 2 2 3 2 10 2 9" xfId="12168"/>
    <cellStyle name="Normal 2 2 2 3 2 10 2 9 2" xfId="12169"/>
    <cellStyle name="Normal 2 2 2 3 2 10 3" xfId="12170"/>
    <cellStyle name="Normal 2 2 2 3 2 10 3 2" xfId="12171"/>
    <cellStyle name="Normal 2 2 2 3 2 10 4" xfId="12172"/>
    <cellStyle name="Normal 2 2 2 3 2 10 4 2" xfId="12173"/>
    <cellStyle name="Normal 2 2 2 3 2 10 5" xfId="12174"/>
    <cellStyle name="Normal 2 2 2 3 2 10 5 2" xfId="12175"/>
    <cellStyle name="Normal 2 2 2 3 2 10 6" xfId="12176"/>
    <cellStyle name="Normal 2 2 2 3 2 10 6 2" xfId="12177"/>
    <cellStyle name="Normal 2 2 2 3 2 10 7" xfId="12178"/>
    <cellStyle name="Normal 2 2 2 3 2 10 7 2" xfId="12179"/>
    <cellStyle name="Normal 2 2 2 3 2 10 8" xfId="12180"/>
    <cellStyle name="Normal 2 2 2 3 2 10 8 2" xfId="12181"/>
    <cellStyle name="Normal 2 2 2 3 2 10 9" xfId="12182"/>
    <cellStyle name="Normal 2 2 2 3 2 10 9 2" xfId="12183"/>
    <cellStyle name="Normal 2 2 2 3 2 11" xfId="12184"/>
    <cellStyle name="Normal 2 2 2 3 2 11 10" xfId="12185"/>
    <cellStyle name="Normal 2 2 2 3 2 11 10 2" xfId="12186"/>
    <cellStyle name="Normal 2 2 2 3 2 11 11" xfId="12187"/>
    <cellStyle name="Normal 2 2 2 3 2 11 2" xfId="12188"/>
    <cellStyle name="Normal 2 2 2 3 2 11 2 2" xfId="12189"/>
    <cellStyle name="Normal 2 2 2 3 2 11 3" xfId="12190"/>
    <cellStyle name="Normal 2 2 2 3 2 11 3 2" xfId="12191"/>
    <cellStyle name="Normal 2 2 2 3 2 11 4" xfId="12192"/>
    <cellStyle name="Normal 2 2 2 3 2 11 4 2" xfId="12193"/>
    <cellStyle name="Normal 2 2 2 3 2 11 5" xfId="12194"/>
    <cellStyle name="Normal 2 2 2 3 2 11 5 2" xfId="12195"/>
    <cellStyle name="Normal 2 2 2 3 2 11 6" xfId="12196"/>
    <cellStyle name="Normal 2 2 2 3 2 11 6 2" xfId="12197"/>
    <cellStyle name="Normal 2 2 2 3 2 11 7" xfId="12198"/>
    <cellStyle name="Normal 2 2 2 3 2 11 7 2" xfId="12199"/>
    <cellStyle name="Normal 2 2 2 3 2 11 8" xfId="12200"/>
    <cellStyle name="Normal 2 2 2 3 2 11 8 2" xfId="12201"/>
    <cellStyle name="Normal 2 2 2 3 2 11 9" xfId="12202"/>
    <cellStyle name="Normal 2 2 2 3 2 11 9 2" xfId="12203"/>
    <cellStyle name="Normal 2 2 2 3 2 12" xfId="12204"/>
    <cellStyle name="Normal 2 2 2 3 2 12 2" xfId="12205"/>
    <cellStyle name="Normal 2 2 2 3 2 13" xfId="12206"/>
    <cellStyle name="Normal 2 2 2 3 2 13 2" xfId="12207"/>
    <cellStyle name="Normal 2 2 2 3 2 14" xfId="12208"/>
    <cellStyle name="Normal 2 2 2 3 2 14 2" xfId="12209"/>
    <cellStyle name="Normal 2 2 2 3 2 15" xfId="12210"/>
    <cellStyle name="Normal 2 2 2 3 2 15 2" xfId="12211"/>
    <cellStyle name="Normal 2 2 2 3 2 16" xfId="12212"/>
    <cellStyle name="Normal 2 2 2 3 2 16 2" xfId="12213"/>
    <cellStyle name="Normal 2 2 2 3 2 17" xfId="12214"/>
    <cellStyle name="Normal 2 2 2 3 2 17 2" xfId="12215"/>
    <cellStyle name="Normal 2 2 2 3 2 18" xfId="12216"/>
    <cellStyle name="Normal 2 2 2 3 2 18 2" xfId="12217"/>
    <cellStyle name="Normal 2 2 2 3 2 19" xfId="12218"/>
    <cellStyle name="Normal 2 2 2 3 2 19 2" xfId="12219"/>
    <cellStyle name="Normal 2 2 2 3 2 2" xfId="12220"/>
    <cellStyle name="Normal 2 2 2 3 2 2 2" xfId="12221"/>
    <cellStyle name="Normal 2 2 2 3 2 2 2 10" xfId="12222"/>
    <cellStyle name="Normal 2 2 2 3 2 2 2 10 2" xfId="12223"/>
    <cellStyle name="Normal 2 2 2 3 2 2 2 11" xfId="12224"/>
    <cellStyle name="Normal 2 2 2 3 2 2 2 11 2" xfId="12225"/>
    <cellStyle name="Normal 2 2 2 3 2 2 2 12" xfId="12226"/>
    <cellStyle name="Normal 2 2 2 3 2 2 2 12 2" xfId="12227"/>
    <cellStyle name="Normal 2 2 2 3 2 2 2 13" xfId="12228"/>
    <cellStyle name="Normal 2 2 2 3 2 2 2 13 2" xfId="12229"/>
    <cellStyle name="Normal 2 2 2 3 2 2 2 14" xfId="12230"/>
    <cellStyle name="Normal 2 2 2 3 2 2 2 14 2" xfId="12231"/>
    <cellStyle name="Normal 2 2 2 3 2 2 2 15" xfId="12232"/>
    <cellStyle name="Normal 2 2 2 3 2 2 2 15 2" xfId="12233"/>
    <cellStyle name="Normal 2 2 2 3 2 2 2 16" xfId="12234"/>
    <cellStyle name="Normal 2 2 2 3 2 2 2 16 2" xfId="12235"/>
    <cellStyle name="Normal 2 2 2 3 2 2 2 17" xfId="12236"/>
    <cellStyle name="Normal 2 2 2 3 2 2 2 2" xfId="12237"/>
    <cellStyle name="Normal 2 2 2 3 2 2 2 2 2" xfId="12238"/>
    <cellStyle name="Normal 2 2 2 3 2 2 2 2 2 10" xfId="12239"/>
    <cellStyle name="Normal 2 2 2 3 2 2 2 2 2 10 2" xfId="12240"/>
    <cellStyle name="Normal 2 2 2 3 2 2 2 2 2 11" xfId="12241"/>
    <cellStyle name="Normal 2 2 2 3 2 2 2 2 2 11 2" xfId="12242"/>
    <cellStyle name="Normal 2 2 2 3 2 2 2 2 2 12" xfId="12243"/>
    <cellStyle name="Normal 2 2 2 3 2 2 2 2 2 12 2" xfId="12244"/>
    <cellStyle name="Normal 2 2 2 3 2 2 2 2 2 13" xfId="12245"/>
    <cellStyle name="Normal 2 2 2 3 2 2 2 2 2 2" xfId="12246"/>
    <cellStyle name="Normal 2 2 2 3 2 2 2 2 2 2 10" xfId="12247"/>
    <cellStyle name="Normal 2 2 2 3 2 2 2 2 2 2 10 2" xfId="12248"/>
    <cellStyle name="Normal 2 2 2 3 2 2 2 2 2 2 11" xfId="12249"/>
    <cellStyle name="Normal 2 2 2 3 2 2 2 2 2 2 11 2" xfId="12250"/>
    <cellStyle name="Normal 2 2 2 3 2 2 2 2 2 2 12" xfId="12251"/>
    <cellStyle name="Normal 2 2 2 3 2 2 2 2 2 2 2" xfId="12252"/>
    <cellStyle name="Normal 2 2 2 3 2 2 2 2 2 2 2 10" xfId="12253"/>
    <cellStyle name="Normal 2 2 2 3 2 2 2 2 2 2 2 10 2" xfId="12254"/>
    <cellStyle name="Normal 2 2 2 3 2 2 2 2 2 2 2 11" xfId="12255"/>
    <cellStyle name="Normal 2 2 2 3 2 2 2 2 2 2 2 2" xfId="12256"/>
    <cellStyle name="Normal 2 2 2 3 2 2 2 2 2 2 2 2 2" xfId="12257"/>
    <cellStyle name="Normal 2 2 2 3 2 2 2 2 2 2 2 3" xfId="12258"/>
    <cellStyle name="Normal 2 2 2 3 2 2 2 2 2 2 2 3 2" xfId="12259"/>
    <cellStyle name="Normal 2 2 2 3 2 2 2 2 2 2 2 4" xfId="12260"/>
    <cellStyle name="Normal 2 2 2 3 2 2 2 2 2 2 2 4 2" xfId="12261"/>
    <cellStyle name="Normal 2 2 2 3 2 2 2 2 2 2 2 5" xfId="12262"/>
    <cellStyle name="Normal 2 2 2 3 2 2 2 2 2 2 2 5 2" xfId="12263"/>
    <cellStyle name="Normal 2 2 2 3 2 2 2 2 2 2 2 6" xfId="12264"/>
    <cellStyle name="Normal 2 2 2 3 2 2 2 2 2 2 2 6 2" xfId="12265"/>
    <cellStyle name="Normal 2 2 2 3 2 2 2 2 2 2 2 7" xfId="12266"/>
    <cellStyle name="Normal 2 2 2 3 2 2 2 2 2 2 2 7 2" xfId="12267"/>
    <cellStyle name="Normal 2 2 2 3 2 2 2 2 2 2 2 8" xfId="12268"/>
    <cellStyle name="Normal 2 2 2 3 2 2 2 2 2 2 2 8 2" xfId="12269"/>
    <cellStyle name="Normal 2 2 2 3 2 2 2 2 2 2 2 9" xfId="12270"/>
    <cellStyle name="Normal 2 2 2 3 2 2 2 2 2 2 2 9 2" xfId="12271"/>
    <cellStyle name="Normal 2 2 2 3 2 2 2 2 2 2 3" xfId="12272"/>
    <cellStyle name="Normal 2 2 2 3 2 2 2 2 2 2 3 2" xfId="12273"/>
    <cellStyle name="Normal 2 2 2 3 2 2 2 2 2 2 4" xfId="12274"/>
    <cellStyle name="Normal 2 2 2 3 2 2 2 2 2 2 4 2" xfId="12275"/>
    <cellStyle name="Normal 2 2 2 3 2 2 2 2 2 2 5" xfId="12276"/>
    <cellStyle name="Normal 2 2 2 3 2 2 2 2 2 2 5 2" xfId="12277"/>
    <cellStyle name="Normal 2 2 2 3 2 2 2 2 2 2 6" xfId="12278"/>
    <cellStyle name="Normal 2 2 2 3 2 2 2 2 2 2 6 2" xfId="12279"/>
    <cellStyle name="Normal 2 2 2 3 2 2 2 2 2 2 7" xfId="12280"/>
    <cellStyle name="Normal 2 2 2 3 2 2 2 2 2 2 7 2" xfId="12281"/>
    <cellStyle name="Normal 2 2 2 3 2 2 2 2 2 2 8" xfId="12282"/>
    <cellStyle name="Normal 2 2 2 3 2 2 2 2 2 2 8 2" xfId="12283"/>
    <cellStyle name="Normal 2 2 2 3 2 2 2 2 2 2 9" xfId="12284"/>
    <cellStyle name="Normal 2 2 2 3 2 2 2 2 2 2 9 2" xfId="12285"/>
    <cellStyle name="Normal 2 2 2 3 2 2 2 2 2 3" xfId="12286"/>
    <cellStyle name="Normal 2 2 2 3 2 2 2 2 2 3 10" xfId="12287"/>
    <cellStyle name="Normal 2 2 2 3 2 2 2 2 2 3 10 2" xfId="12288"/>
    <cellStyle name="Normal 2 2 2 3 2 2 2 2 2 3 11" xfId="12289"/>
    <cellStyle name="Normal 2 2 2 3 2 2 2 2 2 3 2" xfId="12290"/>
    <cellStyle name="Normal 2 2 2 3 2 2 2 2 2 3 2 2" xfId="12291"/>
    <cellStyle name="Normal 2 2 2 3 2 2 2 2 2 3 3" xfId="12292"/>
    <cellStyle name="Normal 2 2 2 3 2 2 2 2 2 3 3 2" xfId="12293"/>
    <cellStyle name="Normal 2 2 2 3 2 2 2 2 2 3 4" xfId="12294"/>
    <cellStyle name="Normal 2 2 2 3 2 2 2 2 2 3 4 2" xfId="12295"/>
    <cellStyle name="Normal 2 2 2 3 2 2 2 2 2 3 5" xfId="12296"/>
    <cellStyle name="Normal 2 2 2 3 2 2 2 2 2 3 5 2" xfId="12297"/>
    <cellStyle name="Normal 2 2 2 3 2 2 2 2 2 3 6" xfId="12298"/>
    <cellStyle name="Normal 2 2 2 3 2 2 2 2 2 3 6 2" xfId="12299"/>
    <cellStyle name="Normal 2 2 2 3 2 2 2 2 2 3 7" xfId="12300"/>
    <cellStyle name="Normal 2 2 2 3 2 2 2 2 2 3 7 2" xfId="12301"/>
    <cellStyle name="Normal 2 2 2 3 2 2 2 2 2 3 8" xfId="12302"/>
    <cellStyle name="Normal 2 2 2 3 2 2 2 2 2 3 8 2" xfId="12303"/>
    <cellStyle name="Normal 2 2 2 3 2 2 2 2 2 3 9" xfId="12304"/>
    <cellStyle name="Normal 2 2 2 3 2 2 2 2 2 3 9 2" xfId="12305"/>
    <cellStyle name="Normal 2 2 2 3 2 2 2 2 2 4" xfId="12306"/>
    <cellStyle name="Normal 2 2 2 3 2 2 2 2 2 4 2" xfId="12307"/>
    <cellStyle name="Normal 2 2 2 3 2 2 2 2 2 5" xfId="12308"/>
    <cellStyle name="Normal 2 2 2 3 2 2 2 2 2 5 2" xfId="12309"/>
    <cellStyle name="Normal 2 2 2 3 2 2 2 2 2 6" xfId="12310"/>
    <cellStyle name="Normal 2 2 2 3 2 2 2 2 2 6 2" xfId="12311"/>
    <cellStyle name="Normal 2 2 2 3 2 2 2 2 2 7" xfId="12312"/>
    <cellStyle name="Normal 2 2 2 3 2 2 2 2 2 7 2" xfId="12313"/>
    <cellStyle name="Normal 2 2 2 3 2 2 2 2 2 8" xfId="12314"/>
    <cellStyle name="Normal 2 2 2 3 2 2 2 2 2 8 2" xfId="12315"/>
    <cellStyle name="Normal 2 2 2 3 2 2 2 2 2 9" xfId="12316"/>
    <cellStyle name="Normal 2 2 2 3 2 2 2 2 2 9 2" xfId="12317"/>
    <cellStyle name="Normal 2 2 2 3 2 2 2 2 3" xfId="12318"/>
    <cellStyle name="Normal 2 2 2 3 2 2 2 2 3 10" xfId="12319"/>
    <cellStyle name="Normal 2 2 2 3 2 2 2 2 3 10 2" xfId="12320"/>
    <cellStyle name="Normal 2 2 2 3 2 2 2 2 3 11" xfId="12321"/>
    <cellStyle name="Normal 2 2 2 3 2 2 2 2 3 11 2" xfId="12322"/>
    <cellStyle name="Normal 2 2 2 3 2 2 2 2 3 12" xfId="12323"/>
    <cellStyle name="Normal 2 2 2 3 2 2 2 2 3 12 2" xfId="12324"/>
    <cellStyle name="Normal 2 2 2 3 2 2 2 2 3 13" xfId="12325"/>
    <cellStyle name="Normal 2 2 2 3 2 2 2 2 3 2" xfId="12326"/>
    <cellStyle name="Normal 2 2 2 3 2 2 2 2 3 2 10" xfId="12327"/>
    <cellStyle name="Normal 2 2 2 3 2 2 2 2 3 2 10 2" xfId="12328"/>
    <cellStyle name="Normal 2 2 2 3 2 2 2 2 3 2 11" xfId="12329"/>
    <cellStyle name="Normal 2 2 2 3 2 2 2 2 3 2 11 2" xfId="12330"/>
    <cellStyle name="Normal 2 2 2 3 2 2 2 2 3 2 12" xfId="12331"/>
    <cellStyle name="Normal 2 2 2 3 2 2 2 2 3 2 2" xfId="12332"/>
    <cellStyle name="Normal 2 2 2 3 2 2 2 2 3 2 2 10" xfId="12333"/>
    <cellStyle name="Normal 2 2 2 3 2 2 2 2 3 2 2 10 2" xfId="12334"/>
    <cellStyle name="Normal 2 2 2 3 2 2 2 2 3 2 2 11" xfId="12335"/>
    <cellStyle name="Normal 2 2 2 3 2 2 2 2 3 2 2 2" xfId="12336"/>
    <cellStyle name="Normal 2 2 2 3 2 2 2 2 3 2 2 2 2" xfId="12337"/>
    <cellStyle name="Normal 2 2 2 3 2 2 2 2 3 2 2 3" xfId="12338"/>
    <cellStyle name="Normal 2 2 2 3 2 2 2 2 3 2 2 3 2" xfId="12339"/>
    <cellStyle name="Normal 2 2 2 3 2 2 2 2 3 2 2 4" xfId="12340"/>
    <cellStyle name="Normal 2 2 2 3 2 2 2 2 3 2 2 4 2" xfId="12341"/>
    <cellStyle name="Normal 2 2 2 3 2 2 2 2 3 2 2 5" xfId="12342"/>
    <cellStyle name="Normal 2 2 2 3 2 2 2 2 3 2 2 5 2" xfId="12343"/>
    <cellStyle name="Normal 2 2 2 3 2 2 2 2 3 2 2 6" xfId="12344"/>
    <cellStyle name="Normal 2 2 2 3 2 2 2 2 3 2 2 6 2" xfId="12345"/>
    <cellStyle name="Normal 2 2 2 3 2 2 2 2 3 2 2 7" xfId="12346"/>
    <cellStyle name="Normal 2 2 2 3 2 2 2 2 3 2 2 7 2" xfId="12347"/>
    <cellStyle name="Normal 2 2 2 3 2 2 2 2 3 2 2 8" xfId="12348"/>
    <cellStyle name="Normal 2 2 2 3 2 2 2 2 3 2 2 8 2" xfId="12349"/>
    <cellStyle name="Normal 2 2 2 3 2 2 2 2 3 2 2 9" xfId="12350"/>
    <cellStyle name="Normal 2 2 2 3 2 2 2 2 3 2 2 9 2" xfId="12351"/>
    <cellStyle name="Normal 2 2 2 3 2 2 2 2 3 2 3" xfId="12352"/>
    <cellStyle name="Normal 2 2 2 3 2 2 2 2 3 2 3 2" xfId="12353"/>
    <cellStyle name="Normal 2 2 2 3 2 2 2 2 3 2 4" xfId="12354"/>
    <cellStyle name="Normal 2 2 2 3 2 2 2 2 3 2 4 2" xfId="12355"/>
    <cellStyle name="Normal 2 2 2 3 2 2 2 2 3 2 5" xfId="12356"/>
    <cellStyle name="Normal 2 2 2 3 2 2 2 2 3 2 5 2" xfId="12357"/>
    <cellStyle name="Normal 2 2 2 3 2 2 2 2 3 2 6" xfId="12358"/>
    <cellStyle name="Normal 2 2 2 3 2 2 2 2 3 2 6 2" xfId="12359"/>
    <cellStyle name="Normal 2 2 2 3 2 2 2 2 3 2 7" xfId="12360"/>
    <cellStyle name="Normal 2 2 2 3 2 2 2 2 3 2 7 2" xfId="12361"/>
    <cellStyle name="Normal 2 2 2 3 2 2 2 2 3 2 8" xfId="12362"/>
    <cellStyle name="Normal 2 2 2 3 2 2 2 2 3 2 8 2" xfId="12363"/>
    <cellStyle name="Normal 2 2 2 3 2 2 2 2 3 2 9" xfId="12364"/>
    <cellStyle name="Normal 2 2 2 3 2 2 2 2 3 2 9 2" xfId="12365"/>
    <cellStyle name="Normal 2 2 2 3 2 2 2 2 3 3" xfId="12366"/>
    <cellStyle name="Normal 2 2 2 3 2 2 2 2 3 3 10" xfId="12367"/>
    <cellStyle name="Normal 2 2 2 3 2 2 2 2 3 3 10 2" xfId="12368"/>
    <cellStyle name="Normal 2 2 2 3 2 2 2 2 3 3 11" xfId="12369"/>
    <cellStyle name="Normal 2 2 2 3 2 2 2 2 3 3 2" xfId="12370"/>
    <cellStyle name="Normal 2 2 2 3 2 2 2 2 3 3 2 2" xfId="12371"/>
    <cellStyle name="Normal 2 2 2 3 2 2 2 2 3 3 3" xfId="12372"/>
    <cellStyle name="Normal 2 2 2 3 2 2 2 2 3 3 3 2" xfId="12373"/>
    <cellStyle name="Normal 2 2 2 3 2 2 2 2 3 3 4" xfId="12374"/>
    <cellStyle name="Normal 2 2 2 3 2 2 2 2 3 3 4 2" xfId="12375"/>
    <cellStyle name="Normal 2 2 2 3 2 2 2 2 3 3 5" xfId="12376"/>
    <cellStyle name="Normal 2 2 2 3 2 2 2 2 3 3 5 2" xfId="12377"/>
    <cellStyle name="Normal 2 2 2 3 2 2 2 2 3 3 6" xfId="12378"/>
    <cellStyle name="Normal 2 2 2 3 2 2 2 2 3 3 6 2" xfId="12379"/>
    <cellStyle name="Normal 2 2 2 3 2 2 2 2 3 3 7" xfId="12380"/>
    <cellStyle name="Normal 2 2 2 3 2 2 2 2 3 3 7 2" xfId="12381"/>
    <cellStyle name="Normal 2 2 2 3 2 2 2 2 3 3 8" xfId="12382"/>
    <cellStyle name="Normal 2 2 2 3 2 2 2 2 3 3 8 2" xfId="12383"/>
    <cellStyle name="Normal 2 2 2 3 2 2 2 2 3 3 9" xfId="12384"/>
    <cellStyle name="Normal 2 2 2 3 2 2 2 2 3 3 9 2" xfId="12385"/>
    <cellStyle name="Normal 2 2 2 3 2 2 2 2 3 4" xfId="12386"/>
    <cellStyle name="Normal 2 2 2 3 2 2 2 2 3 4 2" xfId="12387"/>
    <cellStyle name="Normal 2 2 2 3 2 2 2 2 3 5" xfId="12388"/>
    <cellStyle name="Normal 2 2 2 3 2 2 2 2 3 5 2" xfId="12389"/>
    <cellStyle name="Normal 2 2 2 3 2 2 2 2 3 6" xfId="12390"/>
    <cellStyle name="Normal 2 2 2 3 2 2 2 2 3 6 2" xfId="12391"/>
    <cellStyle name="Normal 2 2 2 3 2 2 2 2 3 7" xfId="12392"/>
    <cellStyle name="Normal 2 2 2 3 2 2 2 2 3 7 2" xfId="12393"/>
    <cellStyle name="Normal 2 2 2 3 2 2 2 2 3 8" xfId="12394"/>
    <cellStyle name="Normal 2 2 2 3 2 2 2 2 3 8 2" xfId="12395"/>
    <cellStyle name="Normal 2 2 2 3 2 2 2 2 3 9" xfId="12396"/>
    <cellStyle name="Normal 2 2 2 3 2 2 2 2 3 9 2" xfId="12397"/>
    <cellStyle name="Normal 2 2 2 3 2 2 2 2 4" xfId="12398"/>
    <cellStyle name="Normal 2 2 2 3 2 2 2 2 4 10" xfId="12399"/>
    <cellStyle name="Normal 2 2 2 3 2 2 2 2 4 10 2" xfId="12400"/>
    <cellStyle name="Normal 2 2 2 3 2 2 2 2 4 11" xfId="12401"/>
    <cellStyle name="Normal 2 2 2 3 2 2 2 2 4 11 2" xfId="12402"/>
    <cellStyle name="Normal 2 2 2 3 2 2 2 2 4 12" xfId="12403"/>
    <cellStyle name="Normal 2 2 2 3 2 2 2 2 4 12 2" xfId="12404"/>
    <cellStyle name="Normal 2 2 2 3 2 2 2 2 4 13" xfId="12405"/>
    <cellStyle name="Normal 2 2 2 3 2 2 2 2 4 2" xfId="12406"/>
    <cellStyle name="Normal 2 2 2 3 2 2 2 2 4 2 10" xfId="12407"/>
    <cellStyle name="Normal 2 2 2 3 2 2 2 2 4 2 10 2" xfId="12408"/>
    <cellStyle name="Normal 2 2 2 3 2 2 2 2 4 2 11" xfId="12409"/>
    <cellStyle name="Normal 2 2 2 3 2 2 2 2 4 2 11 2" xfId="12410"/>
    <cellStyle name="Normal 2 2 2 3 2 2 2 2 4 2 12" xfId="12411"/>
    <cellStyle name="Normal 2 2 2 3 2 2 2 2 4 2 2" xfId="12412"/>
    <cellStyle name="Normal 2 2 2 3 2 2 2 2 4 2 2 10" xfId="12413"/>
    <cellStyle name="Normal 2 2 2 3 2 2 2 2 4 2 2 10 2" xfId="12414"/>
    <cellStyle name="Normal 2 2 2 3 2 2 2 2 4 2 2 11" xfId="12415"/>
    <cellStyle name="Normal 2 2 2 3 2 2 2 2 4 2 2 2" xfId="12416"/>
    <cellStyle name="Normal 2 2 2 3 2 2 2 2 4 2 2 2 2" xfId="12417"/>
    <cellStyle name="Normal 2 2 2 3 2 2 2 2 4 2 2 3" xfId="12418"/>
    <cellStyle name="Normal 2 2 2 3 2 2 2 2 4 2 2 3 2" xfId="12419"/>
    <cellStyle name="Normal 2 2 2 3 2 2 2 2 4 2 2 4" xfId="12420"/>
    <cellStyle name="Normal 2 2 2 3 2 2 2 2 4 2 2 4 2" xfId="12421"/>
    <cellStyle name="Normal 2 2 2 3 2 2 2 2 4 2 2 5" xfId="12422"/>
    <cellStyle name="Normal 2 2 2 3 2 2 2 2 4 2 2 5 2" xfId="12423"/>
    <cellStyle name="Normal 2 2 2 3 2 2 2 2 4 2 2 6" xfId="12424"/>
    <cellStyle name="Normal 2 2 2 3 2 2 2 2 4 2 2 6 2" xfId="12425"/>
    <cellStyle name="Normal 2 2 2 3 2 2 2 2 4 2 2 7" xfId="12426"/>
    <cellStyle name="Normal 2 2 2 3 2 2 2 2 4 2 2 7 2" xfId="12427"/>
    <cellStyle name="Normal 2 2 2 3 2 2 2 2 4 2 2 8" xfId="12428"/>
    <cellStyle name="Normal 2 2 2 3 2 2 2 2 4 2 2 8 2" xfId="12429"/>
    <cellStyle name="Normal 2 2 2 3 2 2 2 2 4 2 2 9" xfId="12430"/>
    <cellStyle name="Normal 2 2 2 3 2 2 2 2 4 2 2 9 2" xfId="12431"/>
    <cellStyle name="Normal 2 2 2 3 2 2 2 2 4 2 3" xfId="12432"/>
    <cellStyle name="Normal 2 2 2 3 2 2 2 2 4 2 3 2" xfId="12433"/>
    <cellStyle name="Normal 2 2 2 3 2 2 2 2 4 2 4" xfId="12434"/>
    <cellStyle name="Normal 2 2 2 3 2 2 2 2 4 2 4 2" xfId="12435"/>
    <cellStyle name="Normal 2 2 2 3 2 2 2 2 4 2 5" xfId="12436"/>
    <cellStyle name="Normal 2 2 2 3 2 2 2 2 4 2 5 2" xfId="12437"/>
    <cellStyle name="Normal 2 2 2 3 2 2 2 2 4 2 6" xfId="12438"/>
    <cellStyle name="Normal 2 2 2 3 2 2 2 2 4 2 6 2" xfId="12439"/>
    <cellStyle name="Normal 2 2 2 3 2 2 2 2 4 2 7" xfId="12440"/>
    <cellStyle name="Normal 2 2 2 3 2 2 2 2 4 2 7 2" xfId="12441"/>
    <cellStyle name="Normal 2 2 2 3 2 2 2 2 4 2 8" xfId="12442"/>
    <cellStyle name="Normal 2 2 2 3 2 2 2 2 4 2 8 2" xfId="12443"/>
    <cellStyle name="Normal 2 2 2 3 2 2 2 2 4 2 9" xfId="12444"/>
    <cellStyle name="Normal 2 2 2 3 2 2 2 2 4 2 9 2" xfId="12445"/>
    <cellStyle name="Normal 2 2 2 3 2 2 2 2 4 3" xfId="12446"/>
    <cellStyle name="Normal 2 2 2 3 2 2 2 2 4 3 10" xfId="12447"/>
    <cellStyle name="Normal 2 2 2 3 2 2 2 2 4 3 10 2" xfId="12448"/>
    <cellStyle name="Normal 2 2 2 3 2 2 2 2 4 3 11" xfId="12449"/>
    <cellStyle name="Normal 2 2 2 3 2 2 2 2 4 3 2" xfId="12450"/>
    <cellStyle name="Normal 2 2 2 3 2 2 2 2 4 3 2 2" xfId="12451"/>
    <cellStyle name="Normal 2 2 2 3 2 2 2 2 4 3 3" xfId="12452"/>
    <cellStyle name="Normal 2 2 2 3 2 2 2 2 4 3 3 2" xfId="12453"/>
    <cellStyle name="Normal 2 2 2 3 2 2 2 2 4 3 4" xfId="12454"/>
    <cellStyle name="Normal 2 2 2 3 2 2 2 2 4 3 4 2" xfId="12455"/>
    <cellStyle name="Normal 2 2 2 3 2 2 2 2 4 3 5" xfId="12456"/>
    <cellStyle name="Normal 2 2 2 3 2 2 2 2 4 3 5 2" xfId="12457"/>
    <cellStyle name="Normal 2 2 2 3 2 2 2 2 4 3 6" xfId="12458"/>
    <cellStyle name="Normal 2 2 2 3 2 2 2 2 4 3 6 2" xfId="12459"/>
    <cellStyle name="Normal 2 2 2 3 2 2 2 2 4 3 7" xfId="12460"/>
    <cellStyle name="Normal 2 2 2 3 2 2 2 2 4 3 7 2" xfId="12461"/>
    <cellStyle name="Normal 2 2 2 3 2 2 2 2 4 3 8" xfId="12462"/>
    <cellStyle name="Normal 2 2 2 3 2 2 2 2 4 3 8 2" xfId="12463"/>
    <cellStyle name="Normal 2 2 2 3 2 2 2 2 4 3 9" xfId="12464"/>
    <cellStyle name="Normal 2 2 2 3 2 2 2 2 4 3 9 2" xfId="12465"/>
    <cellStyle name="Normal 2 2 2 3 2 2 2 2 4 4" xfId="12466"/>
    <cellStyle name="Normal 2 2 2 3 2 2 2 2 4 4 2" xfId="12467"/>
    <cellStyle name="Normal 2 2 2 3 2 2 2 2 4 5" xfId="12468"/>
    <cellStyle name="Normal 2 2 2 3 2 2 2 2 4 5 2" xfId="12469"/>
    <cellStyle name="Normal 2 2 2 3 2 2 2 2 4 6" xfId="12470"/>
    <cellStyle name="Normal 2 2 2 3 2 2 2 2 4 6 2" xfId="12471"/>
    <cellStyle name="Normal 2 2 2 3 2 2 2 2 4 7" xfId="12472"/>
    <cellStyle name="Normal 2 2 2 3 2 2 2 2 4 7 2" xfId="12473"/>
    <cellStyle name="Normal 2 2 2 3 2 2 2 2 4 8" xfId="12474"/>
    <cellStyle name="Normal 2 2 2 3 2 2 2 2 4 8 2" xfId="12475"/>
    <cellStyle name="Normal 2 2 2 3 2 2 2 2 4 9" xfId="12476"/>
    <cellStyle name="Normal 2 2 2 3 2 2 2 2 4 9 2" xfId="12477"/>
    <cellStyle name="Normal 2 2 2 3 2 2 2 2 5" xfId="12478"/>
    <cellStyle name="Normal 2 2 2 3 2 2 2 2 5 10" xfId="12479"/>
    <cellStyle name="Normal 2 2 2 3 2 2 2 2 5 10 2" xfId="12480"/>
    <cellStyle name="Normal 2 2 2 3 2 2 2 2 5 11" xfId="12481"/>
    <cellStyle name="Normal 2 2 2 3 2 2 2 2 5 11 2" xfId="12482"/>
    <cellStyle name="Normal 2 2 2 3 2 2 2 2 5 12" xfId="12483"/>
    <cellStyle name="Normal 2 2 2 3 2 2 2 2 5 12 2" xfId="12484"/>
    <cellStyle name="Normal 2 2 2 3 2 2 2 2 5 13" xfId="12485"/>
    <cellStyle name="Normal 2 2 2 3 2 2 2 2 5 2" xfId="12486"/>
    <cellStyle name="Normal 2 2 2 3 2 2 2 2 5 2 10" xfId="12487"/>
    <cellStyle name="Normal 2 2 2 3 2 2 2 2 5 2 10 2" xfId="12488"/>
    <cellStyle name="Normal 2 2 2 3 2 2 2 2 5 2 11" xfId="12489"/>
    <cellStyle name="Normal 2 2 2 3 2 2 2 2 5 2 11 2" xfId="12490"/>
    <cellStyle name="Normal 2 2 2 3 2 2 2 2 5 2 12" xfId="12491"/>
    <cellStyle name="Normal 2 2 2 3 2 2 2 2 5 2 2" xfId="12492"/>
    <cellStyle name="Normal 2 2 2 3 2 2 2 2 5 2 2 10" xfId="12493"/>
    <cellStyle name="Normal 2 2 2 3 2 2 2 2 5 2 2 10 2" xfId="12494"/>
    <cellStyle name="Normal 2 2 2 3 2 2 2 2 5 2 2 11" xfId="12495"/>
    <cellStyle name="Normal 2 2 2 3 2 2 2 2 5 2 2 2" xfId="12496"/>
    <cellStyle name="Normal 2 2 2 3 2 2 2 2 5 2 2 2 2" xfId="12497"/>
    <cellStyle name="Normal 2 2 2 3 2 2 2 2 5 2 2 3" xfId="12498"/>
    <cellStyle name="Normal 2 2 2 3 2 2 2 2 5 2 2 3 2" xfId="12499"/>
    <cellStyle name="Normal 2 2 2 3 2 2 2 2 5 2 2 4" xfId="12500"/>
    <cellStyle name="Normal 2 2 2 3 2 2 2 2 5 2 2 4 2" xfId="12501"/>
    <cellStyle name="Normal 2 2 2 3 2 2 2 2 5 2 2 5" xfId="12502"/>
    <cellStyle name="Normal 2 2 2 3 2 2 2 2 5 2 2 5 2" xfId="12503"/>
    <cellStyle name="Normal 2 2 2 3 2 2 2 2 5 2 2 6" xfId="12504"/>
    <cellStyle name="Normal 2 2 2 3 2 2 2 2 5 2 2 6 2" xfId="12505"/>
    <cellStyle name="Normal 2 2 2 3 2 2 2 2 5 2 2 7" xfId="12506"/>
    <cellStyle name="Normal 2 2 2 3 2 2 2 2 5 2 2 7 2" xfId="12507"/>
    <cellStyle name="Normal 2 2 2 3 2 2 2 2 5 2 2 8" xfId="12508"/>
    <cellStyle name="Normal 2 2 2 3 2 2 2 2 5 2 2 8 2" xfId="12509"/>
    <cellStyle name="Normal 2 2 2 3 2 2 2 2 5 2 2 9" xfId="12510"/>
    <cellStyle name="Normal 2 2 2 3 2 2 2 2 5 2 2 9 2" xfId="12511"/>
    <cellStyle name="Normal 2 2 2 3 2 2 2 2 5 2 3" xfId="12512"/>
    <cellStyle name="Normal 2 2 2 3 2 2 2 2 5 2 3 2" xfId="12513"/>
    <cellStyle name="Normal 2 2 2 3 2 2 2 2 5 2 4" xfId="12514"/>
    <cellStyle name="Normal 2 2 2 3 2 2 2 2 5 2 4 2" xfId="12515"/>
    <cellStyle name="Normal 2 2 2 3 2 2 2 2 5 2 5" xfId="12516"/>
    <cellStyle name="Normal 2 2 2 3 2 2 2 2 5 2 5 2" xfId="12517"/>
    <cellStyle name="Normal 2 2 2 3 2 2 2 2 5 2 6" xfId="12518"/>
    <cellStyle name="Normal 2 2 2 3 2 2 2 2 5 2 6 2" xfId="12519"/>
    <cellStyle name="Normal 2 2 2 3 2 2 2 2 5 2 7" xfId="12520"/>
    <cellStyle name="Normal 2 2 2 3 2 2 2 2 5 2 7 2" xfId="12521"/>
    <cellStyle name="Normal 2 2 2 3 2 2 2 2 5 2 8" xfId="12522"/>
    <cellStyle name="Normal 2 2 2 3 2 2 2 2 5 2 8 2" xfId="12523"/>
    <cellStyle name="Normal 2 2 2 3 2 2 2 2 5 2 9" xfId="12524"/>
    <cellStyle name="Normal 2 2 2 3 2 2 2 2 5 2 9 2" xfId="12525"/>
    <cellStyle name="Normal 2 2 2 3 2 2 2 2 5 3" xfId="12526"/>
    <cellStyle name="Normal 2 2 2 3 2 2 2 2 5 3 10" xfId="12527"/>
    <cellStyle name="Normal 2 2 2 3 2 2 2 2 5 3 10 2" xfId="12528"/>
    <cellStyle name="Normal 2 2 2 3 2 2 2 2 5 3 11" xfId="12529"/>
    <cellStyle name="Normal 2 2 2 3 2 2 2 2 5 3 2" xfId="12530"/>
    <cellStyle name="Normal 2 2 2 3 2 2 2 2 5 3 2 2" xfId="12531"/>
    <cellStyle name="Normal 2 2 2 3 2 2 2 2 5 3 3" xfId="12532"/>
    <cellStyle name="Normal 2 2 2 3 2 2 2 2 5 3 3 2" xfId="12533"/>
    <cellStyle name="Normal 2 2 2 3 2 2 2 2 5 3 4" xfId="12534"/>
    <cellStyle name="Normal 2 2 2 3 2 2 2 2 5 3 4 2" xfId="12535"/>
    <cellStyle name="Normal 2 2 2 3 2 2 2 2 5 3 5" xfId="12536"/>
    <cellStyle name="Normal 2 2 2 3 2 2 2 2 5 3 5 2" xfId="12537"/>
    <cellStyle name="Normal 2 2 2 3 2 2 2 2 5 3 6" xfId="12538"/>
    <cellStyle name="Normal 2 2 2 3 2 2 2 2 5 3 6 2" xfId="12539"/>
    <cellStyle name="Normal 2 2 2 3 2 2 2 2 5 3 7" xfId="12540"/>
    <cellStyle name="Normal 2 2 2 3 2 2 2 2 5 3 7 2" xfId="12541"/>
    <cellStyle name="Normal 2 2 2 3 2 2 2 2 5 3 8" xfId="12542"/>
    <cellStyle name="Normal 2 2 2 3 2 2 2 2 5 3 8 2" xfId="12543"/>
    <cellStyle name="Normal 2 2 2 3 2 2 2 2 5 3 9" xfId="12544"/>
    <cellStyle name="Normal 2 2 2 3 2 2 2 2 5 3 9 2" xfId="12545"/>
    <cellStyle name="Normal 2 2 2 3 2 2 2 2 5 4" xfId="12546"/>
    <cellStyle name="Normal 2 2 2 3 2 2 2 2 5 4 2" xfId="12547"/>
    <cellStyle name="Normal 2 2 2 3 2 2 2 2 5 5" xfId="12548"/>
    <cellStyle name="Normal 2 2 2 3 2 2 2 2 5 5 2" xfId="12549"/>
    <cellStyle name="Normal 2 2 2 3 2 2 2 2 5 6" xfId="12550"/>
    <cellStyle name="Normal 2 2 2 3 2 2 2 2 5 6 2" xfId="12551"/>
    <cellStyle name="Normal 2 2 2 3 2 2 2 2 5 7" xfId="12552"/>
    <cellStyle name="Normal 2 2 2 3 2 2 2 2 5 7 2" xfId="12553"/>
    <cellStyle name="Normal 2 2 2 3 2 2 2 2 5 8" xfId="12554"/>
    <cellStyle name="Normal 2 2 2 3 2 2 2 2 5 8 2" xfId="12555"/>
    <cellStyle name="Normal 2 2 2 3 2 2 2 2 5 9" xfId="12556"/>
    <cellStyle name="Normal 2 2 2 3 2 2 2 2 5 9 2" xfId="12557"/>
    <cellStyle name="Normal 2 2 2 3 2 2 2 3" xfId="12558"/>
    <cellStyle name="Normal 2 2 2 3 2 2 2 4" xfId="12559"/>
    <cellStyle name="Normal 2 2 2 3 2 2 2 5" xfId="12560"/>
    <cellStyle name="Normal 2 2 2 3 2 2 2 6" xfId="12561"/>
    <cellStyle name="Normal 2 2 2 3 2 2 2 6 10" xfId="12562"/>
    <cellStyle name="Normal 2 2 2 3 2 2 2 6 10 2" xfId="12563"/>
    <cellStyle name="Normal 2 2 2 3 2 2 2 6 11" xfId="12564"/>
    <cellStyle name="Normal 2 2 2 3 2 2 2 6 11 2" xfId="12565"/>
    <cellStyle name="Normal 2 2 2 3 2 2 2 6 12" xfId="12566"/>
    <cellStyle name="Normal 2 2 2 3 2 2 2 6 2" xfId="12567"/>
    <cellStyle name="Normal 2 2 2 3 2 2 2 6 2 10" xfId="12568"/>
    <cellStyle name="Normal 2 2 2 3 2 2 2 6 2 10 2" xfId="12569"/>
    <cellStyle name="Normal 2 2 2 3 2 2 2 6 2 11" xfId="12570"/>
    <cellStyle name="Normal 2 2 2 3 2 2 2 6 2 2" xfId="12571"/>
    <cellStyle name="Normal 2 2 2 3 2 2 2 6 2 2 2" xfId="12572"/>
    <cellStyle name="Normal 2 2 2 3 2 2 2 6 2 3" xfId="12573"/>
    <cellStyle name="Normal 2 2 2 3 2 2 2 6 2 3 2" xfId="12574"/>
    <cellStyle name="Normal 2 2 2 3 2 2 2 6 2 4" xfId="12575"/>
    <cellStyle name="Normal 2 2 2 3 2 2 2 6 2 4 2" xfId="12576"/>
    <cellStyle name="Normal 2 2 2 3 2 2 2 6 2 5" xfId="12577"/>
    <cellStyle name="Normal 2 2 2 3 2 2 2 6 2 5 2" xfId="12578"/>
    <cellStyle name="Normal 2 2 2 3 2 2 2 6 2 6" xfId="12579"/>
    <cellStyle name="Normal 2 2 2 3 2 2 2 6 2 6 2" xfId="12580"/>
    <cellStyle name="Normal 2 2 2 3 2 2 2 6 2 7" xfId="12581"/>
    <cellStyle name="Normal 2 2 2 3 2 2 2 6 2 7 2" xfId="12582"/>
    <cellStyle name="Normal 2 2 2 3 2 2 2 6 2 8" xfId="12583"/>
    <cellStyle name="Normal 2 2 2 3 2 2 2 6 2 8 2" xfId="12584"/>
    <cellStyle name="Normal 2 2 2 3 2 2 2 6 2 9" xfId="12585"/>
    <cellStyle name="Normal 2 2 2 3 2 2 2 6 2 9 2" xfId="12586"/>
    <cellStyle name="Normal 2 2 2 3 2 2 2 6 3" xfId="12587"/>
    <cellStyle name="Normal 2 2 2 3 2 2 2 6 3 2" xfId="12588"/>
    <cellStyle name="Normal 2 2 2 3 2 2 2 6 4" xfId="12589"/>
    <cellStyle name="Normal 2 2 2 3 2 2 2 6 4 2" xfId="12590"/>
    <cellStyle name="Normal 2 2 2 3 2 2 2 6 5" xfId="12591"/>
    <cellStyle name="Normal 2 2 2 3 2 2 2 6 5 2" xfId="12592"/>
    <cellStyle name="Normal 2 2 2 3 2 2 2 6 6" xfId="12593"/>
    <cellStyle name="Normal 2 2 2 3 2 2 2 6 6 2" xfId="12594"/>
    <cellStyle name="Normal 2 2 2 3 2 2 2 6 7" xfId="12595"/>
    <cellStyle name="Normal 2 2 2 3 2 2 2 6 7 2" xfId="12596"/>
    <cellStyle name="Normal 2 2 2 3 2 2 2 6 8" xfId="12597"/>
    <cellStyle name="Normal 2 2 2 3 2 2 2 6 8 2" xfId="12598"/>
    <cellStyle name="Normal 2 2 2 3 2 2 2 6 9" xfId="12599"/>
    <cellStyle name="Normal 2 2 2 3 2 2 2 6 9 2" xfId="12600"/>
    <cellStyle name="Normal 2 2 2 3 2 2 2 7" xfId="12601"/>
    <cellStyle name="Normal 2 2 2 3 2 2 2 7 10" xfId="12602"/>
    <cellStyle name="Normal 2 2 2 3 2 2 2 7 10 2" xfId="12603"/>
    <cellStyle name="Normal 2 2 2 3 2 2 2 7 11" xfId="12604"/>
    <cellStyle name="Normal 2 2 2 3 2 2 2 7 2" xfId="12605"/>
    <cellStyle name="Normal 2 2 2 3 2 2 2 7 2 2" xfId="12606"/>
    <cellStyle name="Normal 2 2 2 3 2 2 2 7 3" xfId="12607"/>
    <cellStyle name="Normal 2 2 2 3 2 2 2 7 3 2" xfId="12608"/>
    <cellStyle name="Normal 2 2 2 3 2 2 2 7 4" xfId="12609"/>
    <cellStyle name="Normal 2 2 2 3 2 2 2 7 4 2" xfId="12610"/>
    <cellStyle name="Normal 2 2 2 3 2 2 2 7 5" xfId="12611"/>
    <cellStyle name="Normal 2 2 2 3 2 2 2 7 5 2" xfId="12612"/>
    <cellStyle name="Normal 2 2 2 3 2 2 2 7 6" xfId="12613"/>
    <cellStyle name="Normal 2 2 2 3 2 2 2 7 6 2" xfId="12614"/>
    <cellStyle name="Normal 2 2 2 3 2 2 2 7 7" xfId="12615"/>
    <cellStyle name="Normal 2 2 2 3 2 2 2 7 7 2" xfId="12616"/>
    <cellStyle name="Normal 2 2 2 3 2 2 2 7 8" xfId="12617"/>
    <cellStyle name="Normal 2 2 2 3 2 2 2 7 8 2" xfId="12618"/>
    <cellStyle name="Normal 2 2 2 3 2 2 2 7 9" xfId="12619"/>
    <cellStyle name="Normal 2 2 2 3 2 2 2 7 9 2" xfId="12620"/>
    <cellStyle name="Normal 2 2 2 3 2 2 2 8" xfId="12621"/>
    <cellStyle name="Normal 2 2 2 3 2 2 2 8 2" xfId="12622"/>
    <cellStyle name="Normal 2 2 2 3 2 2 2 9" xfId="12623"/>
    <cellStyle name="Normal 2 2 2 3 2 2 2 9 2" xfId="12624"/>
    <cellStyle name="Normal 2 2 2 3 2 2 3" xfId="12625"/>
    <cellStyle name="Normal 2 2 2 3 2 2 3 10" xfId="12626"/>
    <cellStyle name="Normal 2 2 2 3 2 2 3 10 2" xfId="12627"/>
    <cellStyle name="Normal 2 2 2 3 2 2 3 11" xfId="12628"/>
    <cellStyle name="Normal 2 2 2 3 2 2 3 11 2" xfId="12629"/>
    <cellStyle name="Normal 2 2 2 3 2 2 3 12" xfId="12630"/>
    <cellStyle name="Normal 2 2 2 3 2 2 3 12 2" xfId="12631"/>
    <cellStyle name="Normal 2 2 2 3 2 2 3 13" xfId="12632"/>
    <cellStyle name="Normal 2 2 2 3 2 2 3 2" xfId="12633"/>
    <cellStyle name="Normal 2 2 2 3 2 2 3 2 10" xfId="12634"/>
    <cellStyle name="Normal 2 2 2 3 2 2 3 2 10 2" xfId="12635"/>
    <cellStyle name="Normal 2 2 2 3 2 2 3 2 11" xfId="12636"/>
    <cellStyle name="Normal 2 2 2 3 2 2 3 2 11 2" xfId="12637"/>
    <cellStyle name="Normal 2 2 2 3 2 2 3 2 12" xfId="12638"/>
    <cellStyle name="Normal 2 2 2 3 2 2 3 2 2" xfId="12639"/>
    <cellStyle name="Normal 2 2 2 3 2 2 3 2 2 10" xfId="12640"/>
    <cellStyle name="Normal 2 2 2 3 2 2 3 2 2 10 2" xfId="12641"/>
    <cellStyle name="Normal 2 2 2 3 2 2 3 2 2 11" xfId="12642"/>
    <cellStyle name="Normal 2 2 2 3 2 2 3 2 2 2" xfId="12643"/>
    <cellStyle name="Normal 2 2 2 3 2 2 3 2 2 2 2" xfId="12644"/>
    <cellStyle name="Normal 2 2 2 3 2 2 3 2 2 3" xfId="12645"/>
    <cellStyle name="Normal 2 2 2 3 2 2 3 2 2 3 2" xfId="12646"/>
    <cellStyle name="Normal 2 2 2 3 2 2 3 2 2 4" xfId="12647"/>
    <cellStyle name="Normal 2 2 2 3 2 2 3 2 2 4 2" xfId="12648"/>
    <cellStyle name="Normal 2 2 2 3 2 2 3 2 2 5" xfId="12649"/>
    <cellStyle name="Normal 2 2 2 3 2 2 3 2 2 5 2" xfId="12650"/>
    <cellStyle name="Normal 2 2 2 3 2 2 3 2 2 6" xfId="12651"/>
    <cellStyle name="Normal 2 2 2 3 2 2 3 2 2 6 2" xfId="12652"/>
    <cellStyle name="Normal 2 2 2 3 2 2 3 2 2 7" xfId="12653"/>
    <cellStyle name="Normal 2 2 2 3 2 2 3 2 2 7 2" xfId="12654"/>
    <cellStyle name="Normal 2 2 2 3 2 2 3 2 2 8" xfId="12655"/>
    <cellStyle name="Normal 2 2 2 3 2 2 3 2 2 8 2" xfId="12656"/>
    <cellStyle name="Normal 2 2 2 3 2 2 3 2 2 9" xfId="12657"/>
    <cellStyle name="Normal 2 2 2 3 2 2 3 2 2 9 2" xfId="12658"/>
    <cellStyle name="Normal 2 2 2 3 2 2 3 2 3" xfId="12659"/>
    <cellStyle name="Normal 2 2 2 3 2 2 3 2 3 2" xfId="12660"/>
    <cellStyle name="Normal 2 2 2 3 2 2 3 2 4" xfId="12661"/>
    <cellStyle name="Normal 2 2 2 3 2 2 3 2 4 2" xfId="12662"/>
    <cellStyle name="Normal 2 2 2 3 2 2 3 2 5" xfId="12663"/>
    <cellStyle name="Normal 2 2 2 3 2 2 3 2 5 2" xfId="12664"/>
    <cellStyle name="Normal 2 2 2 3 2 2 3 2 6" xfId="12665"/>
    <cellStyle name="Normal 2 2 2 3 2 2 3 2 6 2" xfId="12666"/>
    <cellStyle name="Normal 2 2 2 3 2 2 3 2 7" xfId="12667"/>
    <cellStyle name="Normal 2 2 2 3 2 2 3 2 7 2" xfId="12668"/>
    <cellStyle name="Normal 2 2 2 3 2 2 3 2 8" xfId="12669"/>
    <cellStyle name="Normal 2 2 2 3 2 2 3 2 8 2" xfId="12670"/>
    <cellStyle name="Normal 2 2 2 3 2 2 3 2 9" xfId="12671"/>
    <cellStyle name="Normal 2 2 2 3 2 2 3 2 9 2" xfId="12672"/>
    <cellStyle name="Normal 2 2 2 3 2 2 3 3" xfId="12673"/>
    <cellStyle name="Normal 2 2 2 3 2 2 3 3 10" xfId="12674"/>
    <cellStyle name="Normal 2 2 2 3 2 2 3 3 10 2" xfId="12675"/>
    <cellStyle name="Normal 2 2 2 3 2 2 3 3 11" xfId="12676"/>
    <cellStyle name="Normal 2 2 2 3 2 2 3 3 2" xfId="12677"/>
    <cellStyle name="Normal 2 2 2 3 2 2 3 3 2 2" xfId="12678"/>
    <cellStyle name="Normal 2 2 2 3 2 2 3 3 3" xfId="12679"/>
    <cellStyle name="Normal 2 2 2 3 2 2 3 3 3 2" xfId="12680"/>
    <cellStyle name="Normal 2 2 2 3 2 2 3 3 4" xfId="12681"/>
    <cellStyle name="Normal 2 2 2 3 2 2 3 3 4 2" xfId="12682"/>
    <cellStyle name="Normal 2 2 2 3 2 2 3 3 5" xfId="12683"/>
    <cellStyle name="Normal 2 2 2 3 2 2 3 3 5 2" xfId="12684"/>
    <cellStyle name="Normal 2 2 2 3 2 2 3 3 6" xfId="12685"/>
    <cellStyle name="Normal 2 2 2 3 2 2 3 3 6 2" xfId="12686"/>
    <cellStyle name="Normal 2 2 2 3 2 2 3 3 7" xfId="12687"/>
    <cellStyle name="Normal 2 2 2 3 2 2 3 3 7 2" xfId="12688"/>
    <cellStyle name="Normal 2 2 2 3 2 2 3 3 8" xfId="12689"/>
    <cellStyle name="Normal 2 2 2 3 2 2 3 3 8 2" xfId="12690"/>
    <cellStyle name="Normal 2 2 2 3 2 2 3 3 9" xfId="12691"/>
    <cellStyle name="Normal 2 2 2 3 2 2 3 3 9 2" xfId="12692"/>
    <cellStyle name="Normal 2 2 2 3 2 2 3 4" xfId="12693"/>
    <cellStyle name="Normal 2 2 2 3 2 2 3 4 2" xfId="12694"/>
    <cellStyle name="Normal 2 2 2 3 2 2 3 5" xfId="12695"/>
    <cellStyle name="Normal 2 2 2 3 2 2 3 5 2" xfId="12696"/>
    <cellStyle name="Normal 2 2 2 3 2 2 3 6" xfId="12697"/>
    <cellStyle name="Normal 2 2 2 3 2 2 3 6 2" xfId="12698"/>
    <cellStyle name="Normal 2 2 2 3 2 2 3 7" xfId="12699"/>
    <cellStyle name="Normal 2 2 2 3 2 2 3 7 2" xfId="12700"/>
    <cellStyle name="Normal 2 2 2 3 2 2 3 8" xfId="12701"/>
    <cellStyle name="Normal 2 2 2 3 2 2 3 8 2" xfId="12702"/>
    <cellStyle name="Normal 2 2 2 3 2 2 3 9" xfId="12703"/>
    <cellStyle name="Normal 2 2 2 3 2 2 3 9 2" xfId="12704"/>
    <cellStyle name="Normal 2 2 2 3 2 2 4" xfId="12705"/>
    <cellStyle name="Normal 2 2 2 3 2 2 4 10" xfId="12706"/>
    <cellStyle name="Normal 2 2 2 3 2 2 4 10 2" xfId="12707"/>
    <cellStyle name="Normal 2 2 2 3 2 2 4 11" xfId="12708"/>
    <cellStyle name="Normal 2 2 2 3 2 2 4 11 2" xfId="12709"/>
    <cellStyle name="Normal 2 2 2 3 2 2 4 12" xfId="12710"/>
    <cellStyle name="Normal 2 2 2 3 2 2 4 12 2" xfId="12711"/>
    <cellStyle name="Normal 2 2 2 3 2 2 4 13" xfId="12712"/>
    <cellStyle name="Normal 2 2 2 3 2 2 4 2" xfId="12713"/>
    <cellStyle name="Normal 2 2 2 3 2 2 4 2 10" xfId="12714"/>
    <cellStyle name="Normal 2 2 2 3 2 2 4 2 10 2" xfId="12715"/>
    <cellStyle name="Normal 2 2 2 3 2 2 4 2 11" xfId="12716"/>
    <cellStyle name="Normal 2 2 2 3 2 2 4 2 11 2" xfId="12717"/>
    <cellStyle name="Normal 2 2 2 3 2 2 4 2 12" xfId="12718"/>
    <cellStyle name="Normal 2 2 2 3 2 2 4 2 2" xfId="12719"/>
    <cellStyle name="Normal 2 2 2 3 2 2 4 2 2 10" xfId="12720"/>
    <cellStyle name="Normal 2 2 2 3 2 2 4 2 2 10 2" xfId="12721"/>
    <cellStyle name="Normal 2 2 2 3 2 2 4 2 2 11" xfId="12722"/>
    <cellStyle name="Normal 2 2 2 3 2 2 4 2 2 2" xfId="12723"/>
    <cellStyle name="Normal 2 2 2 3 2 2 4 2 2 2 2" xfId="12724"/>
    <cellStyle name="Normal 2 2 2 3 2 2 4 2 2 3" xfId="12725"/>
    <cellStyle name="Normal 2 2 2 3 2 2 4 2 2 3 2" xfId="12726"/>
    <cellStyle name="Normal 2 2 2 3 2 2 4 2 2 4" xfId="12727"/>
    <cellStyle name="Normal 2 2 2 3 2 2 4 2 2 4 2" xfId="12728"/>
    <cellStyle name="Normal 2 2 2 3 2 2 4 2 2 5" xfId="12729"/>
    <cellStyle name="Normal 2 2 2 3 2 2 4 2 2 5 2" xfId="12730"/>
    <cellStyle name="Normal 2 2 2 3 2 2 4 2 2 6" xfId="12731"/>
    <cellStyle name="Normal 2 2 2 3 2 2 4 2 2 6 2" xfId="12732"/>
    <cellStyle name="Normal 2 2 2 3 2 2 4 2 2 7" xfId="12733"/>
    <cellStyle name="Normal 2 2 2 3 2 2 4 2 2 7 2" xfId="12734"/>
    <cellStyle name="Normal 2 2 2 3 2 2 4 2 2 8" xfId="12735"/>
    <cellStyle name="Normal 2 2 2 3 2 2 4 2 2 8 2" xfId="12736"/>
    <cellStyle name="Normal 2 2 2 3 2 2 4 2 2 9" xfId="12737"/>
    <cellStyle name="Normal 2 2 2 3 2 2 4 2 2 9 2" xfId="12738"/>
    <cellStyle name="Normal 2 2 2 3 2 2 4 2 3" xfId="12739"/>
    <cellStyle name="Normal 2 2 2 3 2 2 4 2 3 2" xfId="12740"/>
    <cellStyle name="Normal 2 2 2 3 2 2 4 2 4" xfId="12741"/>
    <cellStyle name="Normal 2 2 2 3 2 2 4 2 4 2" xfId="12742"/>
    <cellStyle name="Normal 2 2 2 3 2 2 4 2 5" xfId="12743"/>
    <cellStyle name="Normal 2 2 2 3 2 2 4 2 5 2" xfId="12744"/>
    <cellStyle name="Normal 2 2 2 3 2 2 4 2 6" xfId="12745"/>
    <cellStyle name="Normal 2 2 2 3 2 2 4 2 6 2" xfId="12746"/>
    <cellStyle name="Normal 2 2 2 3 2 2 4 2 7" xfId="12747"/>
    <cellStyle name="Normal 2 2 2 3 2 2 4 2 7 2" xfId="12748"/>
    <cellStyle name="Normal 2 2 2 3 2 2 4 2 8" xfId="12749"/>
    <cellStyle name="Normal 2 2 2 3 2 2 4 2 8 2" xfId="12750"/>
    <cellStyle name="Normal 2 2 2 3 2 2 4 2 9" xfId="12751"/>
    <cellStyle name="Normal 2 2 2 3 2 2 4 2 9 2" xfId="12752"/>
    <cellStyle name="Normal 2 2 2 3 2 2 4 3" xfId="12753"/>
    <cellStyle name="Normal 2 2 2 3 2 2 4 3 10" xfId="12754"/>
    <cellStyle name="Normal 2 2 2 3 2 2 4 3 10 2" xfId="12755"/>
    <cellStyle name="Normal 2 2 2 3 2 2 4 3 11" xfId="12756"/>
    <cellStyle name="Normal 2 2 2 3 2 2 4 3 2" xfId="12757"/>
    <cellStyle name="Normal 2 2 2 3 2 2 4 3 2 2" xfId="12758"/>
    <cellStyle name="Normal 2 2 2 3 2 2 4 3 3" xfId="12759"/>
    <cellStyle name="Normal 2 2 2 3 2 2 4 3 3 2" xfId="12760"/>
    <cellStyle name="Normal 2 2 2 3 2 2 4 3 4" xfId="12761"/>
    <cellStyle name="Normal 2 2 2 3 2 2 4 3 4 2" xfId="12762"/>
    <cellStyle name="Normal 2 2 2 3 2 2 4 3 5" xfId="12763"/>
    <cellStyle name="Normal 2 2 2 3 2 2 4 3 5 2" xfId="12764"/>
    <cellStyle name="Normal 2 2 2 3 2 2 4 3 6" xfId="12765"/>
    <cellStyle name="Normal 2 2 2 3 2 2 4 3 6 2" xfId="12766"/>
    <cellStyle name="Normal 2 2 2 3 2 2 4 3 7" xfId="12767"/>
    <cellStyle name="Normal 2 2 2 3 2 2 4 3 7 2" xfId="12768"/>
    <cellStyle name="Normal 2 2 2 3 2 2 4 3 8" xfId="12769"/>
    <cellStyle name="Normal 2 2 2 3 2 2 4 3 8 2" xfId="12770"/>
    <cellStyle name="Normal 2 2 2 3 2 2 4 3 9" xfId="12771"/>
    <cellStyle name="Normal 2 2 2 3 2 2 4 3 9 2" xfId="12772"/>
    <cellStyle name="Normal 2 2 2 3 2 2 4 4" xfId="12773"/>
    <cellStyle name="Normal 2 2 2 3 2 2 4 4 2" xfId="12774"/>
    <cellStyle name="Normal 2 2 2 3 2 2 4 5" xfId="12775"/>
    <cellStyle name="Normal 2 2 2 3 2 2 4 5 2" xfId="12776"/>
    <cellStyle name="Normal 2 2 2 3 2 2 4 6" xfId="12777"/>
    <cellStyle name="Normal 2 2 2 3 2 2 4 6 2" xfId="12778"/>
    <cellStyle name="Normal 2 2 2 3 2 2 4 7" xfId="12779"/>
    <cellStyle name="Normal 2 2 2 3 2 2 4 7 2" xfId="12780"/>
    <cellStyle name="Normal 2 2 2 3 2 2 4 8" xfId="12781"/>
    <cellStyle name="Normal 2 2 2 3 2 2 4 8 2" xfId="12782"/>
    <cellStyle name="Normal 2 2 2 3 2 2 4 9" xfId="12783"/>
    <cellStyle name="Normal 2 2 2 3 2 2 4 9 2" xfId="12784"/>
    <cellStyle name="Normal 2 2 2 3 2 2 5" xfId="12785"/>
    <cellStyle name="Normal 2 2 2 3 2 2 5 10" xfId="12786"/>
    <cellStyle name="Normal 2 2 2 3 2 2 5 10 2" xfId="12787"/>
    <cellStyle name="Normal 2 2 2 3 2 2 5 11" xfId="12788"/>
    <cellStyle name="Normal 2 2 2 3 2 2 5 11 2" xfId="12789"/>
    <cellStyle name="Normal 2 2 2 3 2 2 5 12" xfId="12790"/>
    <cellStyle name="Normal 2 2 2 3 2 2 5 12 2" xfId="12791"/>
    <cellStyle name="Normal 2 2 2 3 2 2 5 13" xfId="12792"/>
    <cellStyle name="Normal 2 2 2 3 2 2 5 2" xfId="12793"/>
    <cellStyle name="Normal 2 2 2 3 2 2 5 2 10" xfId="12794"/>
    <cellStyle name="Normal 2 2 2 3 2 2 5 2 10 2" xfId="12795"/>
    <cellStyle name="Normal 2 2 2 3 2 2 5 2 11" xfId="12796"/>
    <cellStyle name="Normal 2 2 2 3 2 2 5 2 11 2" xfId="12797"/>
    <cellStyle name="Normal 2 2 2 3 2 2 5 2 12" xfId="12798"/>
    <cellStyle name="Normal 2 2 2 3 2 2 5 2 2" xfId="12799"/>
    <cellStyle name="Normal 2 2 2 3 2 2 5 2 2 10" xfId="12800"/>
    <cellStyle name="Normal 2 2 2 3 2 2 5 2 2 10 2" xfId="12801"/>
    <cellStyle name="Normal 2 2 2 3 2 2 5 2 2 11" xfId="12802"/>
    <cellStyle name="Normal 2 2 2 3 2 2 5 2 2 2" xfId="12803"/>
    <cellStyle name="Normal 2 2 2 3 2 2 5 2 2 2 2" xfId="12804"/>
    <cellStyle name="Normal 2 2 2 3 2 2 5 2 2 3" xfId="12805"/>
    <cellStyle name="Normal 2 2 2 3 2 2 5 2 2 3 2" xfId="12806"/>
    <cellStyle name="Normal 2 2 2 3 2 2 5 2 2 4" xfId="12807"/>
    <cellStyle name="Normal 2 2 2 3 2 2 5 2 2 4 2" xfId="12808"/>
    <cellStyle name="Normal 2 2 2 3 2 2 5 2 2 5" xfId="12809"/>
    <cellStyle name="Normal 2 2 2 3 2 2 5 2 2 5 2" xfId="12810"/>
    <cellStyle name="Normal 2 2 2 3 2 2 5 2 2 6" xfId="12811"/>
    <cellStyle name="Normal 2 2 2 3 2 2 5 2 2 6 2" xfId="12812"/>
    <cellStyle name="Normal 2 2 2 3 2 2 5 2 2 7" xfId="12813"/>
    <cellStyle name="Normal 2 2 2 3 2 2 5 2 2 7 2" xfId="12814"/>
    <cellStyle name="Normal 2 2 2 3 2 2 5 2 2 8" xfId="12815"/>
    <cellStyle name="Normal 2 2 2 3 2 2 5 2 2 8 2" xfId="12816"/>
    <cellStyle name="Normal 2 2 2 3 2 2 5 2 2 9" xfId="12817"/>
    <cellStyle name="Normal 2 2 2 3 2 2 5 2 2 9 2" xfId="12818"/>
    <cellStyle name="Normal 2 2 2 3 2 2 5 2 3" xfId="12819"/>
    <cellStyle name="Normal 2 2 2 3 2 2 5 2 3 2" xfId="12820"/>
    <cellStyle name="Normal 2 2 2 3 2 2 5 2 4" xfId="12821"/>
    <cellStyle name="Normal 2 2 2 3 2 2 5 2 4 2" xfId="12822"/>
    <cellStyle name="Normal 2 2 2 3 2 2 5 2 5" xfId="12823"/>
    <cellStyle name="Normal 2 2 2 3 2 2 5 2 5 2" xfId="12824"/>
    <cellStyle name="Normal 2 2 2 3 2 2 5 2 6" xfId="12825"/>
    <cellStyle name="Normal 2 2 2 3 2 2 5 2 6 2" xfId="12826"/>
    <cellStyle name="Normal 2 2 2 3 2 2 5 2 7" xfId="12827"/>
    <cellStyle name="Normal 2 2 2 3 2 2 5 2 7 2" xfId="12828"/>
    <cellStyle name="Normal 2 2 2 3 2 2 5 2 8" xfId="12829"/>
    <cellStyle name="Normal 2 2 2 3 2 2 5 2 8 2" xfId="12830"/>
    <cellStyle name="Normal 2 2 2 3 2 2 5 2 9" xfId="12831"/>
    <cellStyle name="Normal 2 2 2 3 2 2 5 2 9 2" xfId="12832"/>
    <cellStyle name="Normal 2 2 2 3 2 2 5 3" xfId="12833"/>
    <cellStyle name="Normal 2 2 2 3 2 2 5 3 10" xfId="12834"/>
    <cellStyle name="Normal 2 2 2 3 2 2 5 3 10 2" xfId="12835"/>
    <cellStyle name="Normal 2 2 2 3 2 2 5 3 11" xfId="12836"/>
    <cellStyle name="Normal 2 2 2 3 2 2 5 3 2" xfId="12837"/>
    <cellStyle name="Normal 2 2 2 3 2 2 5 3 2 2" xfId="12838"/>
    <cellStyle name="Normal 2 2 2 3 2 2 5 3 3" xfId="12839"/>
    <cellStyle name="Normal 2 2 2 3 2 2 5 3 3 2" xfId="12840"/>
    <cellStyle name="Normal 2 2 2 3 2 2 5 3 4" xfId="12841"/>
    <cellStyle name="Normal 2 2 2 3 2 2 5 3 4 2" xfId="12842"/>
    <cellStyle name="Normal 2 2 2 3 2 2 5 3 5" xfId="12843"/>
    <cellStyle name="Normal 2 2 2 3 2 2 5 3 5 2" xfId="12844"/>
    <cellStyle name="Normal 2 2 2 3 2 2 5 3 6" xfId="12845"/>
    <cellStyle name="Normal 2 2 2 3 2 2 5 3 6 2" xfId="12846"/>
    <cellStyle name="Normal 2 2 2 3 2 2 5 3 7" xfId="12847"/>
    <cellStyle name="Normal 2 2 2 3 2 2 5 3 7 2" xfId="12848"/>
    <cellStyle name="Normal 2 2 2 3 2 2 5 3 8" xfId="12849"/>
    <cellStyle name="Normal 2 2 2 3 2 2 5 3 8 2" xfId="12850"/>
    <cellStyle name="Normal 2 2 2 3 2 2 5 3 9" xfId="12851"/>
    <cellStyle name="Normal 2 2 2 3 2 2 5 3 9 2" xfId="12852"/>
    <cellStyle name="Normal 2 2 2 3 2 2 5 4" xfId="12853"/>
    <cellStyle name="Normal 2 2 2 3 2 2 5 4 2" xfId="12854"/>
    <cellStyle name="Normal 2 2 2 3 2 2 5 5" xfId="12855"/>
    <cellStyle name="Normal 2 2 2 3 2 2 5 5 2" xfId="12856"/>
    <cellStyle name="Normal 2 2 2 3 2 2 5 6" xfId="12857"/>
    <cellStyle name="Normal 2 2 2 3 2 2 5 6 2" xfId="12858"/>
    <cellStyle name="Normal 2 2 2 3 2 2 5 7" xfId="12859"/>
    <cellStyle name="Normal 2 2 2 3 2 2 5 7 2" xfId="12860"/>
    <cellStyle name="Normal 2 2 2 3 2 2 5 8" xfId="12861"/>
    <cellStyle name="Normal 2 2 2 3 2 2 5 8 2" xfId="12862"/>
    <cellStyle name="Normal 2 2 2 3 2 2 5 9" xfId="12863"/>
    <cellStyle name="Normal 2 2 2 3 2 2 5 9 2" xfId="12864"/>
    <cellStyle name="Normal 2 2 2 3 2 2 6" xfId="12865"/>
    <cellStyle name="Normal 2 2 2 3 2 2 6 10" xfId="12866"/>
    <cellStyle name="Normal 2 2 2 3 2 2 6 10 2" xfId="12867"/>
    <cellStyle name="Normal 2 2 2 3 2 2 6 11" xfId="12868"/>
    <cellStyle name="Normal 2 2 2 3 2 2 6 11 2" xfId="12869"/>
    <cellStyle name="Normal 2 2 2 3 2 2 6 12" xfId="12870"/>
    <cellStyle name="Normal 2 2 2 3 2 2 6 12 2" xfId="12871"/>
    <cellStyle name="Normal 2 2 2 3 2 2 6 13" xfId="12872"/>
    <cellStyle name="Normal 2 2 2 3 2 2 6 2" xfId="12873"/>
    <cellStyle name="Normal 2 2 2 3 2 2 6 2 10" xfId="12874"/>
    <cellStyle name="Normal 2 2 2 3 2 2 6 2 10 2" xfId="12875"/>
    <cellStyle name="Normal 2 2 2 3 2 2 6 2 11" xfId="12876"/>
    <cellStyle name="Normal 2 2 2 3 2 2 6 2 11 2" xfId="12877"/>
    <cellStyle name="Normal 2 2 2 3 2 2 6 2 12" xfId="12878"/>
    <cellStyle name="Normal 2 2 2 3 2 2 6 2 2" xfId="12879"/>
    <cellStyle name="Normal 2 2 2 3 2 2 6 2 2 10" xfId="12880"/>
    <cellStyle name="Normal 2 2 2 3 2 2 6 2 2 10 2" xfId="12881"/>
    <cellStyle name="Normal 2 2 2 3 2 2 6 2 2 11" xfId="12882"/>
    <cellStyle name="Normal 2 2 2 3 2 2 6 2 2 2" xfId="12883"/>
    <cellStyle name="Normal 2 2 2 3 2 2 6 2 2 2 2" xfId="12884"/>
    <cellStyle name="Normal 2 2 2 3 2 2 6 2 2 3" xfId="12885"/>
    <cellStyle name="Normal 2 2 2 3 2 2 6 2 2 3 2" xfId="12886"/>
    <cellStyle name="Normal 2 2 2 3 2 2 6 2 2 4" xfId="12887"/>
    <cellStyle name="Normal 2 2 2 3 2 2 6 2 2 4 2" xfId="12888"/>
    <cellStyle name="Normal 2 2 2 3 2 2 6 2 2 5" xfId="12889"/>
    <cellStyle name="Normal 2 2 2 3 2 2 6 2 2 5 2" xfId="12890"/>
    <cellStyle name="Normal 2 2 2 3 2 2 6 2 2 6" xfId="12891"/>
    <cellStyle name="Normal 2 2 2 3 2 2 6 2 2 6 2" xfId="12892"/>
    <cellStyle name="Normal 2 2 2 3 2 2 6 2 2 7" xfId="12893"/>
    <cellStyle name="Normal 2 2 2 3 2 2 6 2 2 7 2" xfId="12894"/>
    <cellStyle name="Normal 2 2 2 3 2 2 6 2 2 8" xfId="12895"/>
    <cellStyle name="Normal 2 2 2 3 2 2 6 2 2 8 2" xfId="12896"/>
    <cellStyle name="Normal 2 2 2 3 2 2 6 2 2 9" xfId="12897"/>
    <cellStyle name="Normal 2 2 2 3 2 2 6 2 2 9 2" xfId="12898"/>
    <cellStyle name="Normal 2 2 2 3 2 2 6 2 3" xfId="12899"/>
    <cellStyle name="Normal 2 2 2 3 2 2 6 2 3 2" xfId="12900"/>
    <cellStyle name="Normal 2 2 2 3 2 2 6 2 4" xfId="12901"/>
    <cellStyle name="Normal 2 2 2 3 2 2 6 2 4 2" xfId="12902"/>
    <cellStyle name="Normal 2 2 2 3 2 2 6 2 5" xfId="12903"/>
    <cellStyle name="Normal 2 2 2 3 2 2 6 2 5 2" xfId="12904"/>
    <cellStyle name="Normal 2 2 2 3 2 2 6 2 6" xfId="12905"/>
    <cellStyle name="Normal 2 2 2 3 2 2 6 2 6 2" xfId="12906"/>
    <cellStyle name="Normal 2 2 2 3 2 2 6 2 7" xfId="12907"/>
    <cellStyle name="Normal 2 2 2 3 2 2 6 2 7 2" xfId="12908"/>
    <cellStyle name="Normal 2 2 2 3 2 2 6 2 8" xfId="12909"/>
    <cellStyle name="Normal 2 2 2 3 2 2 6 2 8 2" xfId="12910"/>
    <cellStyle name="Normal 2 2 2 3 2 2 6 2 9" xfId="12911"/>
    <cellStyle name="Normal 2 2 2 3 2 2 6 2 9 2" xfId="12912"/>
    <cellStyle name="Normal 2 2 2 3 2 2 6 3" xfId="12913"/>
    <cellStyle name="Normal 2 2 2 3 2 2 6 3 10" xfId="12914"/>
    <cellStyle name="Normal 2 2 2 3 2 2 6 3 10 2" xfId="12915"/>
    <cellStyle name="Normal 2 2 2 3 2 2 6 3 11" xfId="12916"/>
    <cellStyle name="Normal 2 2 2 3 2 2 6 3 2" xfId="12917"/>
    <cellStyle name="Normal 2 2 2 3 2 2 6 3 2 2" xfId="12918"/>
    <cellStyle name="Normal 2 2 2 3 2 2 6 3 3" xfId="12919"/>
    <cellStyle name="Normal 2 2 2 3 2 2 6 3 3 2" xfId="12920"/>
    <cellStyle name="Normal 2 2 2 3 2 2 6 3 4" xfId="12921"/>
    <cellStyle name="Normal 2 2 2 3 2 2 6 3 4 2" xfId="12922"/>
    <cellStyle name="Normal 2 2 2 3 2 2 6 3 5" xfId="12923"/>
    <cellStyle name="Normal 2 2 2 3 2 2 6 3 5 2" xfId="12924"/>
    <cellStyle name="Normal 2 2 2 3 2 2 6 3 6" xfId="12925"/>
    <cellStyle name="Normal 2 2 2 3 2 2 6 3 6 2" xfId="12926"/>
    <cellStyle name="Normal 2 2 2 3 2 2 6 3 7" xfId="12927"/>
    <cellStyle name="Normal 2 2 2 3 2 2 6 3 7 2" xfId="12928"/>
    <cellStyle name="Normal 2 2 2 3 2 2 6 3 8" xfId="12929"/>
    <cellStyle name="Normal 2 2 2 3 2 2 6 3 8 2" xfId="12930"/>
    <cellStyle name="Normal 2 2 2 3 2 2 6 3 9" xfId="12931"/>
    <cellStyle name="Normal 2 2 2 3 2 2 6 3 9 2" xfId="12932"/>
    <cellStyle name="Normal 2 2 2 3 2 2 6 4" xfId="12933"/>
    <cellStyle name="Normal 2 2 2 3 2 2 6 4 2" xfId="12934"/>
    <cellStyle name="Normal 2 2 2 3 2 2 6 5" xfId="12935"/>
    <cellStyle name="Normal 2 2 2 3 2 2 6 5 2" xfId="12936"/>
    <cellStyle name="Normal 2 2 2 3 2 2 6 6" xfId="12937"/>
    <cellStyle name="Normal 2 2 2 3 2 2 6 6 2" xfId="12938"/>
    <cellStyle name="Normal 2 2 2 3 2 2 6 7" xfId="12939"/>
    <cellStyle name="Normal 2 2 2 3 2 2 6 7 2" xfId="12940"/>
    <cellStyle name="Normal 2 2 2 3 2 2 6 8" xfId="12941"/>
    <cellStyle name="Normal 2 2 2 3 2 2 6 8 2" xfId="12942"/>
    <cellStyle name="Normal 2 2 2 3 2 2 6 9" xfId="12943"/>
    <cellStyle name="Normal 2 2 2 3 2 2 6 9 2" xfId="12944"/>
    <cellStyle name="Normal 2 2 2 3 2 20" xfId="12945"/>
    <cellStyle name="Normal 2 2 2 3 2 20 2" xfId="12946"/>
    <cellStyle name="Normal 2 2 2 3 2 21" xfId="12947"/>
    <cellStyle name="Normal 2 2 2 3 2 3" xfId="12948"/>
    <cellStyle name="Normal 2 2 2 3 2 3 10" xfId="12949"/>
    <cellStyle name="Normal 2 2 2 3 2 3 10 2" xfId="12950"/>
    <cellStyle name="Normal 2 2 2 3 2 3 11" xfId="12951"/>
    <cellStyle name="Normal 2 2 2 3 2 3 11 2" xfId="12952"/>
    <cellStyle name="Normal 2 2 2 3 2 3 12" xfId="12953"/>
    <cellStyle name="Normal 2 2 2 3 2 3 12 2" xfId="12954"/>
    <cellStyle name="Normal 2 2 2 3 2 3 13" xfId="12955"/>
    <cellStyle name="Normal 2 2 2 3 2 3 2" xfId="12956"/>
    <cellStyle name="Normal 2 2 2 3 2 3 2 10" xfId="12957"/>
    <cellStyle name="Normal 2 2 2 3 2 3 2 10 2" xfId="12958"/>
    <cellStyle name="Normal 2 2 2 3 2 3 2 11" xfId="12959"/>
    <cellStyle name="Normal 2 2 2 3 2 3 2 11 2" xfId="12960"/>
    <cellStyle name="Normal 2 2 2 3 2 3 2 12" xfId="12961"/>
    <cellStyle name="Normal 2 2 2 3 2 3 2 2" xfId="12962"/>
    <cellStyle name="Normal 2 2 2 3 2 3 2 2 10" xfId="12963"/>
    <cellStyle name="Normal 2 2 2 3 2 3 2 2 10 2" xfId="12964"/>
    <cellStyle name="Normal 2 2 2 3 2 3 2 2 11" xfId="12965"/>
    <cellStyle name="Normal 2 2 2 3 2 3 2 2 2" xfId="12966"/>
    <cellStyle name="Normal 2 2 2 3 2 3 2 2 2 2" xfId="12967"/>
    <cellStyle name="Normal 2 2 2 3 2 3 2 2 3" xfId="12968"/>
    <cellStyle name="Normal 2 2 2 3 2 3 2 2 3 2" xfId="12969"/>
    <cellStyle name="Normal 2 2 2 3 2 3 2 2 4" xfId="12970"/>
    <cellStyle name="Normal 2 2 2 3 2 3 2 2 4 2" xfId="12971"/>
    <cellStyle name="Normal 2 2 2 3 2 3 2 2 5" xfId="12972"/>
    <cellStyle name="Normal 2 2 2 3 2 3 2 2 5 2" xfId="12973"/>
    <cellStyle name="Normal 2 2 2 3 2 3 2 2 6" xfId="12974"/>
    <cellStyle name="Normal 2 2 2 3 2 3 2 2 6 2" xfId="12975"/>
    <cellStyle name="Normal 2 2 2 3 2 3 2 2 7" xfId="12976"/>
    <cellStyle name="Normal 2 2 2 3 2 3 2 2 7 2" xfId="12977"/>
    <cellStyle name="Normal 2 2 2 3 2 3 2 2 8" xfId="12978"/>
    <cellStyle name="Normal 2 2 2 3 2 3 2 2 8 2" xfId="12979"/>
    <cellStyle name="Normal 2 2 2 3 2 3 2 2 9" xfId="12980"/>
    <cellStyle name="Normal 2 2 2 3 2 3 2 2 9 2" xfId="12981"/>
    <cellStyle name="Normal 2 2 2 3 2 3 2 3" xfId="12982"/>
    <cellStyle name="Normal 2 2 2 3 2 3 2 3 2" xfId="12983"/>
    <cellStyle name="Normal 2 2 2 3 2 3 2 4" xfId="12984"/>
    <cellStyle name="Normal 2 2 2 3 2 3 2 4 2" xfId="12985"/>
    <cellStyle name="Normal 2 2 2 3 2 3 2 5" xfId="12986"/>
    <cellStyle name="Normal 2 2 2 3 2 3 2 5 2" xfId="12987"/>
    <cellStyle name="Normal 2 2 2 3 2 3 2 6" xfId="12988"/>
    <cellStyle name="Normal 2 2 2 3 2 3 2 6 2" xfId="12989"/>
    <cellStyle name="Normal 2 2 2 3 2 3 2 7" xfId="12990"/>
    <cellStyle name="Normal 2 2 2 3 2 3 2 7 2" xfId="12991"/>
    <cellStyle name="Normal 2 2 2 3 2 3 2 8" xfId="12992"/>
    <cellStyle name="Normal 2 2 2 3 2 3 2 8 2" xfId="12993"/>
    <cellStyle name="Normal 2 2 2 3 2 3 2 9" xfId="12994"/>
    <cellStyle name="Normal 2 2 2 3 2 3 2 9 2" xfId="12995"/>
    <cellStyle name="Normal 2 2 2 3 2 3 3" xfId="12996"/>
    <cellStyle name="Normal 2 2 2 3 2 3 3 10" xfId="12997"/>
    <cellStyle name="Normal 2 2 2 3 2 3 3 10 2" xfId="12998"/>
    <cellStyle name="Normal 2 2 2 3 2 3 3 11" xfId="12999"/>
    <cellStyle name="Normal 2 2 2 3 2 3 3 2" xfId="13000"/>
    <cellStyle name="Normal 2 2 2 3 2 3 3 2 2" xfId="13001"/>
    <cellStyle name="Normal 2 2 2 3 2 3 3 3" xfId="13002"/>
    <cellStyle name="Normal 2 2 2 3 2 3 3 3 2" xfId="13003"/>
    <cellStyle name="Normal 2 2 2 3 2 3 3 4" xfId="13004"/>
    <cellStyle name="Normal 2 2 2 3 2 3 3 4 2" xfId="13005"/>
    <cellStyle name="Normal 2 2 2 3 2 3 3 5" xfId="13006"/>
    <cellStyle name="Normal 2 2 2 3 2 3 3 5 2" xfId="13007"/>
    <cellStyle name="Normal 2 2 2 3 2 3 3 6" xfId="13008"/>
    <cellStyle name="Normal 2 2 2 3 2 3 3 6 2" xfId="13009"/>
    <cellStyle name="Normal 2 2 2 3 2 3 3 7" xfId="13010"/>
    <cellStyle name="Normal 2 2 2 3 2 3 3 7 2" xfId="13011"/>
    <cellStyle name="Normal 2 2 2 3 2 3 3 8" xfId="13012"/>
    <cellStyle name="Normal 2 2 2 3 2 3 3 8 2" xfId="13013"/>
    <cellStyle name="Normal 2 2 2 3 2 3 3 9" xfId="13014"/>
    <cellStyle name="Normal 2 2 2 3 2 3 3 9 2" xfId="13015"/>
    <cellStyle name="Normal 2 2 2 3 2 3 4" xfId="13016"/>
    <cellStyle name="Normal 2 2 2 3 2 3 4 2" xfId="13017"/>
    <cellStyle name="Normal 2 2 2 3 2 3 5" xfId="13018"/>
    <cellStyle name="Normal 2 2 2 3 2 3 5 2" xfId="13019"/>
    <cellStyle name="Normal 2 2 2 3 2 3 6" xfId="13020"/>
    <cellStyle name="Normal 2 2 2 3 2 3 6 2" xfId="13021"/>
    <cellStyle name="Normal 2 2 2 3 2 3 7" xfId="13022"/>
    <cellStyle name="Normal 2 2 2 3 2 3 7 2" xfId="13023"/>
    <cellStyle name="Normal 2 2 2 3 2 3 8" xfId="13024"/>
    <cellStyle name="Normal 2 2 2 3 2 3 8 2" xfId="13025"/>
    <cellStyle name="Normal 2 2 2 3 2 3 9" xfId="13026"/>
    <cellStyle name="Normal 2 2 2 3 2 3 9 2" xfId="13027"/>
    <cellStyle name="Normal 2 2 2 3 2 4" xfId="13028"/>
    <cellStyle name="Normal 2 2 2 3 2 4 10" xfId="13029"/>
    <cellStyle name="Normal 2 2 2 3 2 4 10 2" xfId="13030"/>
    <cellStyle name="Normal 2 2 2 3 2 4 11" xfId="13031"/>
    <cellStyle name="Normal 2 2 2 3 2 4 11 2" xfId="13032"/>
    <cellStyle name="Normal 2 2 2 3 2 4 12" xfId="13033"/>
    <cellStyle name="Normal 2 2 2 3 2 4 12 2" xfId="13034"/>
    <cellStyle name="Normal 2 2 2 3 2 4 13" xfId="13035"/>
    <cellStyle name="Normal 2 2 2 3 2 4 2" xfId="13036"/>
    <cellStyle name="Normal 2 2 2 3 2 4 2 10" xfId="13037"/>
    <cellStyle name="Normal 2 2 2 3 2 4 2 10 2" xfId="13038"/>
    <cellStyle name="Normal 2 2 2 3 2 4 2 11" xfId="13039"/>
    <cellStyle name="Normal 2 2 2 3 2 4 2 11 2" xfId="13040"/>
    <cellStyle name="Normal 2 2 2 3 2 4 2 12" xfId="13041"/>
    <cellStyle name="Normal 2 2 2 3 2 4 2 2" xfId="13042"/>
    <cellStyle name="Normal 2 2 2 3 2 4 2 2 10" xfId="13043"/>
    <cellStyle name="Normal 2 2 2 3 2 4 2 2 10 2" xfId="13044"/>
    <cellStyle name="Normal 2 2 2 3 2 4 2 2 11" xfId="13045"/>
    <cellStyle name="Normal 2 2 2 3 2 4 2 2 2" xfId="13046"/>
    <cellStyle name="Normal 2 2 2 3 2 4 2 2 2 2" xfId="13047"/>
    <cellStyle name="Normal 2 2 2 3 2 4 2 2 3" xfId="13048"/>
    <cellStyle name="Normal 2 2 2 3 2 4 2 2 3 2" xfId="13049"/>
    <cellStyle name="Normal 2 2 2 3 2 4 2 2 4" xfId="13050"/>
    <cellStyle name="Normal 2 2 2 3 2 4 2 2 4 2" xfId="13051"/>
    <cellStyle name="Normal 2 2 2 3 2 4 2 2 5" xfId="13052"/>
    <cellStyle name="Normal 2 2 2 3 2 4 2 2 5 2" xfId="13053"/>
    <cellStyle name="Normal 2 2 2 3 2 4 2 2 6" xfId="13054"/>
    <cellStyle name="Normal 2 2 2 3 2 4 2 2 6 2" xfId="13055"/>
    <cellStyle name="Normal 2 2 2 3 2 4 2 2 7" xfId="13056"/>
    <cellStyle name="Normal 2 2 2 3 2 4 2 2 7 2" xfId="13057"/>
    <cellStyle name="Normal 2 2 2 3 2 4 2 2 8" xfId="13058"/>
    <cellStyle name="Normal 2 2 2 3 2 4 2 2 8 2" xfId="13059"/>
    <cellStyle name="Normal 2 2 2 3 2 4 2 2 9" xfId="13060"/>
    <cellStyle name="Normal 2 2 2 3 2 4 2 2 9 2" xfId="13061"/>
    <cellStyle name="Normal 2 2 2 3 2 4 2 3" xfId="13062"/>
    <cellStyle name="Normal 2 2 2 3 2 4 2 3 2" xfId="13063"/>
    <cellStyle name="Normal 2 2 2 3 2 4 2 4" xfId="13064"/>
    <cellStyle name="Normal 2 2 2 3 2 4 2 4 2" xfId="13065"/>
    <cellStyle name="Normal 2 2 2 3 2 4 2 5" xfId="13066"/>
    <cellStyle name="Normal 2 2 2 3 2 4 2 5 2" xfId="13067"/>
    <cellStyle name="Normal 2 2 2 3 2 4 2 6" xfId="13068"/>
    <cellStyle name="Normal 2 2 2 3 2 4 2 6 2" xfId="13069"/>
    <cellStyle name="Normal 2 2 2 3 2 4 2 7" xfId="13070"/>
    <cellStyle name="Normal 2 2 2 3 2 4 2 7 2" xfId="13071"/>
    <cellStyle name="Normal 2 2 2 3 2 4 2 8" xfId="13072"/>
    <cellStyle name="Normal 2 2 2 3 2 4 2 8 2" xfId="13073"/>
    <cellStyle name="Normal 2 2 2 3 2 4 2 9" xfId="13074"/>
    <cellStyle name="Normal 2 2 2 3 2 4 2 9 2" xfId="13075"/>
    <cellStyle name="Normal 2 2 2 3 2 4 3" xfId="13076"/>
    <cellStyle name="Normal 2 2 2 3 2 4 3 10" xfId="13077"/>
    <cellStyle name="Normal 2 2 2 3 2 4 3 10 2" xfId="13078"/>
    <cellStyle name="Normal 2 2 2 3 2 4 3 11" xfId="13079"/>
    <cellStyle name="Normal 2 2 2 3 2 4 3 2" xfId="13080"/>
    <cellStyle name="Normal 2 2 2 3 2 4 3 2 2" xfId="13081"/>
    <cellStyle name="Normal 2 2 2 3 2 4 3 3" xfId="13082"/>
    <cellStyle name="Normal 2 2 2 3 2 4 3 3 2" xfId="13083"/>
    <cellStyle name="Normal 2 2 2 3 2 4 3 4" xfId="13084"/>
    <cellStyle name="Normal 2 2 2 3 2 4 3 4 2" xfId="13085"/>
    <cellStyle name="Normal 2 2 2 3 2 4 3 5" xfId="13086"/>
    <cellStyle name="Normal 2 2 2 3 2 4 3 5 2" xfId="13087"/>
    <cellStyle name="Normal 2 2 2 3 2 4 3 6" xfId="13088"/>
    <cellStyle name="Normal 2 2 2 3 2 4 3 6 2" xfId="13089"/>
    <cellStyle name="Normal 2 2 2 3 2 4 3 7" xfId="13090"/>
    <cellStyle name="Normal 2 2 2 3 2 4 3 7 2" xfId="13091"/>
    <cellStyle name="Normal 2 2 2 3 2 4 3 8" xfId="13092"/>
    <cellStyle name="Normal 2 2 2 3 2 4 3 8 2" xfId="13093"/>
    <cellStyle name="Normal 2 2 2 3 2 4 3 9" xfId="13094"/>
    <cellStyle name="Normal 2 2 2 3 2 4 3 9 2" xfId="13095"/>
    <cellStyle name="Normal 2 2 2 3 2 4 4" xfId="13096"/>
    <cellStyle name="Normal 2 2 2 3 2 4 4 2" xfId="13097"/>
    <cellStyle name="Normal 2 2 2 3 2 4 5" xfId="13098"/>
    <cellStyle name="Normal 2 2 2 3 2 4 5 2" xfId="13099"/>
    <cellStyle name="Normal 2 2 2 3 2 4 6" xfId="13100"/>
    <cellStyle name="Normal 2 2 2 3 2 4 6 2" xfId="13101"/>
    <cellStyle name="Normal 2 2 2 3 2 4 7" xfId="13102"/>
    <cellStyle name="Normal 2 2 2 3 2 4 7 2" xfId="13103"/>
    <cellStyle name="Normal 2 2 2 3 2 4 8" xfId="13104"/>
    <cellStyle name="Normal 2 2 2 3 2 4 8 2" xfId="13105"/>
    <cellStyle name="Normal 2 2 2 3 2 4 9" xfId="13106"/>
    <cellStyle name="Normal 2 2 2 3 2 4 9 2" xfId="13107"/>
    <cellStyle name="Normal 2 2 2 3 2 5" xfId="13108"/>
    <cellStyle name="Normal 2 2 2 3 2 5 10" xfId="13109"/>
    <cellStyle name="Normal 2 2 2 3 2 5 10 2" xfId="13110"/>
    <cellStyle name="Normal 2 2 2 3 2 5 11" xfId="13111"/>
    <cellStyle name="Normal 2 2 2 3 2 5 11 2" xfId="13112"/>
    <cellStyle name="Normal 2 2 2 3 2 5 12" xfId="13113"/>
    <cellStyle name="Normal 2 2 2 3 2 5 12 2" xfId="13114"/>
    <cellStyle name="Normal 2 2 2 3 2 5 13" xfId="13115"/>
    <cellStyle name="Normal 2 2 2 3 2 5 2" xfId="13116"/>
    <cellStyle name="Normal 2 2 2 3 2 5 2 10" xfId="13117"/>
    <cellStyle name="Normal 2 2 2 3 2 5 2 10 2" xfId="13118"/>
    <cellStyle name="Normal 2 2 2 3 2 5 2 11" xfId="13119"/>
    <cellStyle name="Normal 2 2 2 3 2 5 2 11 2" xfId="13120"/>
    <cellStyle name="Normal 2 2 2 3 2 5 2 12" xfId="13121"/>
    <cellStyle name="Normal 2 2 2 3 2 5 2 2" xfId="13122"/>
    <cellStyle name="Normal 2 2 2 3 2 5 2 2 10" xfId="13123"/>
    <cellStyle name="Normal 2 2 2 3 2 5 2 2 10 2" xfId="13124"/>
    <cellStyle name="Normal 2 2 2 3 2 5 2 2 11" xfId="13125"/>
    <cellStyle name="Normal 2 2 2 3 2 5 2 2 2" xfId="13126"/>
    <cellStyle name="Normal 2 2 2 3 2 5 2 2 2 2" xfId="13127"/>
    <cellStyle name="Normal 2 2 2 3 2 5 2 2 3" xfId="13128"/>
    <cellStyle name="Normal 2 2 2 3 2 5 2 2 3 2" xfId="13129"/>
    <cellStyle name="Normal 2 2 2 3 2 5 2 2 4" xfId="13130"/>
    <cellStyle name="Normal 2 2 2 3 2 5 2 2 4 2" xfId="13131"/>
    <cellStyle name="Normal 2 2 2 3 2 5 2 2 5" xfId="13132"/>
    <cellStyle name="Normal 2 2 2 3 2 5 2 2 5 2" xfId="13133"/>
    <cellStyle name="Normal 2 2 2 3 2 5 2 2 6" xfId="13134"/>
    <cellStyle name="Normal 2 2 2 3 2 5 2 2 6 2" xfId="13135"/>
    <cellStyle name="Normal 2 2 2 3 2 5 2 2 7" xfId="13136"/>
    <cellStyle name="Normal 2 2 2 3 2 5 2 2 7 2" xfId="13137"/>
    <cellStyle name="Normal 2 2 2 3 2 5 2 2 8" xfId="13138"/>
    <cellStyle name="Normal 2 2 2 3 2 5 2 2 8 2" xfId="13139"/>
    <cellStyle name="Normal 2 2 2 3 2 5 2 2 9" xfId="13140"/>
    <cellStyle name="Normal 2 2 2 3 2 5 2 2 9 2" xfId="13141"/>
    <cellStyle name="Normal 2 2 2 3 2 5 2 3" xfId="13142"/>
    <cellStyle name="Normal 2 2 2 3 2 5 2 3 2" xfId="13143"/>
    <cellStyle name="Normal 2 2 2 3 2 5 2 4" xfId="13144"/>
    <cellStyle name="Normal 2 2 2 3 2 5 2 4 2" xfId="13145"/>
    <cellStyle name="Normal 2 2 2 3 2 5 2 5" xfId="13146"/>
    <cellStyle name="Normal 2 2 2 3 2 5 2 5 2" xfId="13147"/>
    <cellStyle name="Normal 2 2 2 3 2 5 2 6" xfId="13148"/>
    <cellStyle name="Normal 2 2 2 3 2 5 2 6 2" xfId="13149"/>
    <cellStyle name="Normal 2 2 2 3 2 5 2 7" xfId="13150"/>
    <cellStyle name="Normal 2 2 2 3 2 5 2 7 2" xfId="13151"/>
    <cellStyle name="Normal 2 2 2 3 2 5 2 8" xfId="13152"/>
    <cellStyle name="Normal 2 2 2 3 2 5 2 8 2" xfId="13153"/>
    <cellStyle name="Normal 2 2 2 3 2 5 2 9" xfId="13154"/>
    <cellStyle name="Normal 2 2 2 3 2 5 2 9 2" xfId="13155"/>
    <cellStyle name="Normal 2 2 2 3 2 5 3" xfId="13156"/>
    <cellStyle name="Normal 2 2 2 3 2 5 3 10" xfId="13157"/>
    <cellStyle name="Normal 2 2 2 3 2 5 3 10 2" xfId="13158"/>
    <cellStyle name="Normal 2 2 2 3 2 5 3 11" xfId="13159"/>
    <cellStyle name="Normal 2 2 2 3 2 5 3 2" xfId="13160"/>
    <cellStyle name="Normal 2 2 2 3 2 5 3 2 2" xfId="13161"/>
    <cellStyle name="Normal 2 2 2 3 2 5 3 3" xfId="13162"/>
    <cellStyle name="Normal 2 2 2 3 2 5 3 3 2" xfId="13163"/>
    <cellStyle name="Normal 2 2 2 3 2 5 3 4" xfId="13164"/>
    <cellStyle name="Normal 2 2 2 3 2 5 3 4 2" xfId="13165"/>
    <cellStyle name="Normal 2 2 2 3 2 5 3 5" xfId="13166"/>
    <cellStyle name="Normal 2 2 2 3 2 5 3 5 2" xfId="13167"/>
    <cellStyle name="Normal 2 2 2 3 2 5 3 6" xfId="13168"/>
    <cellStyle name="Normal 2 2 2 3 2 5 3 6 2" xfId="13169"/>
    <cellStyle name="Normal 2 2 2 3 2 5 3 7" xfId="13170"/>
    <cellStyle name="Normal 2 2 2 3 2 5 3 7 2" xfId="13171"/>
    <cellStyle name="Normal 2 2 2 3 2 5 3 8" xfId="13172"/>
    <cellStyle name="Normal 2 2 2 3 2 5 3 8 2" xfId="13173"/>
    <cellStyle name="Normal 2 2 2 3 2 5 3 9" xfId="13174"/>
    <cellStyle name="Normal 2 2 2 3 2 5 3 9 2" xfId="13175"/>
    <cellStyle name="Normal 2 2 2 3 2 5 4" xfId="13176"/>
    <cellStyle name="Normal 2 2 2 3 2 5 4 2" xfId="13177"/>
    <cellStyle name="Normal 2 2 2 3 2 5 5" xfId="13178"/>
    <cellStyle name="Normal 2 2 2 3 2 5 5 2" xfId="13179"/>
    <cellStyle name="Normal 2 2 2 3 2 5 6" xfId="13180"/>
    <cellStyle name="Normal 2 2 2 3 2 5 6 2" xfId="13181"/>
    <cellStyle name="Normal 2 2 2 3 2 5 7" xfId="13182"/>
    <cellStyle name="Normal 2 2 2 3 2 5 7 2" xfId="13183"/>
    <cellStyle name="Normal 2 2 2 3 2 5 8" xfId="13184"/>
    <cellStyle name="Normal 2 2 2 3 2 5 8 2" xfId="13185"/>
    <cellStyle name="Normal 2 2 2 3 2 5 9" xfId="13186"/>
    <cellStyle name="Normal 2 2 2 3 2 5 9 2" xfId="13187"/>
    <cellStyle name="Normal 2 2 2 3 2 6" xfId="13188"/>
    <cellStyle name="Normal 2 2 2 3 2 6 2" xfId="13189"/>
    <cellStyle name="Normal 2 2 2 3 2 6 2 10" xfId="13190"/>
    <cellStyle name="Normal 2 2 2 3 2 6 2 10 2" xfId="13191"/>
    <cellStyle name="Normal 2 2 2 3 2 6 2 11" xfId="13192"/>
    <cellStyle name="Normal 2 2 2 3 2 6 2 11 2" xfId="13193"/>
    <cellStyle name="Normal 2 2 2 3 2 6 2 12" xfId="13194"/>
    <cellStyle name="Normal 2 2 2 3 2 6 2 12 2" xfId="13195"/>
    <cellStyle name="Normal 2 2 2 3 2 6 2 13" xfId="13196"/>
    <cellStyle name="Normal 2 2 2 3 2 6 2 2" xfId="13197"/>
    <cellStyle name="Normal 2 2 2 3 2 6 2 2 10" xfId="13198"/>
    <cellStyle name="Normal 2 2 2 3 2 6 2 2 10 2" xfId="13199"/>
    <cellStyle name="Normal 2 2 2 3 2 6 2 2 11" xfId="13200"/>
    <cellStyle name="Normal 2 2 2 3 2 6 2 2 11 2" xfId="13201"/>
    <cellStyle name="Normal 2 2 2 3 2 6 2 2 12" xfId="13202"/>
    <cellStyle name="Normal 2 2 2 3 2 6 2 2 2" xfId="13203"/>
    <cellStyle name="Normal 2 2 2 3 2 6 2 2 2 10" xfId="13204"/>
    <cellStyle name="Normal 2 2 2 3 2 6 2 2 2 10 2" xfId="13205"/>
    <cellStyle name="Normal 2 2 2 3 2 6 2 2 2 11" xfId="13206"/>
    <cellStyle name="Normal 2 2 2 3 2 6 2 2 2 2" xfId="13207"/>
    <cellStyle name="Normal 2 2 2 3 2 6 2 2 2 2 2" xfId="13208"/>
    <cellStyle name="Normal 2 2 2 3 2 6 2 2 2 3" xfId="13209"/>
    <cellStyle name="Normal 2 2 2 3 2 6 2 2 2 3 2" xfId="13210"/>
    <cellStyle name="Normal 2 2 2 3 2 6 2 2 2 4" xfId="13211"/>
    <cellStyle name="Normal 2 2 2 3 2 6 2 2 2 4 2" xfId="13212"/>
    <cellStyle name="Normal 2 2 2 3 2 6 2 2 2 5" xfId="13213"/>
    <cellStyle name="Normal 2 2 2 3 2 6 2 2 2 5 2" xfId="13214"/>
    <cellStyle name="Normal 2 2 2 3 2 6 2 2 2 6" xfId="13215"/>
    <cellStyle name="Normal 2 2 2 3 2 6 2 2 2 6 2" xfId="13216"/>
    <cellStyle name="Normal 2 2 2 3 2 6 2 2 2 7" xfId="13217"/>
    <cellStyle name="Normal 2 2 2 3 2 6 2 2 2 7 2" xfId="13218"/>
    <cellStyle name="Normal 2 2 2 3 2 6 2 2 2 8" xfId="13219"/>
    <cellStyle name="Normal 2 2 2 3 2 6 2 2 2 8 2" xfId="13220"/>
    <cellStyle name="Normal 2 2 2 3 2 6 2 2 2 9" xfId="13221"/>
    <cellStyle name="Normal 2 2 2 3 2 6 2 2 2 9 2" xfId="13222"/>
    <cellStyle name="Normal 2 2 2 3 2 6 2 2 3" xfId="13223"/>
    <cellStyle name="Normal 2 2 2 3 2 6 2 2 3 2" xfId="13224"/>
    <cellStyle name="Normal 2 2 2 3 2 6 2 2 4" xfId="13225"/>
    <cellStyle name="Normal 2 2 2 3 2 6 2 2 4 2" xfId="13226"/>
    <cellStyle name="Normal 2 2 2 3 2 6 2 2 5" xfId="13227"/>
    <cellStyle name="Normal 2 2 2 3 2 6 2 2 5 2" xfId="13228"/>
    <cellStyle name="Normal 2 2 2 3 2 6 2 2 6" xfId="13229"/>
    <cellStyle name="Normal 2 2 2 3 2 6 2 2 6 2" xfId="13230"/>
    <cellStyle name="Normal 2 2 2 3 2 6 2 2 7" xfId="13231"/>
    <cellStyle name="Normal 2 2 2 3 2 6 2 2 7 2" xfId="13232"/>
    <cellStyle name="Normal 2 2 2 3 2 6 2 2 8" xfId="13233"/>
    <cellStyle name="Normal 2 2 2 3 2 6 2 2 8 2" xfId="13234"/>
    <cellStyle name="Normal 2 2 2 3 2 6 2 2 9" xfId="13235"/>
    <cellStyle name="Normal 2 2 2 3 2 6 2 2 9 2" xfId="13236"/>
    <cellStyle name="Normal 2 2 2 3 2 6 2 3" xfId="13237"/>
    <cellStyle name="Normal 2 2 2 3 2 6 2 3 10" xfId="13238"/>
    <cellStyle name="Normal 2 2 2 3 2 6 2 3 10 2" xfId="13239"/>
    <cellStyle name="Normal 2 2 2 3 2 6 2 3 11" xfId="13240"/>
    <cellStyle name="Normal 2 2 2 3 2 6 2 3 2" xfId="13241"/>
    <cellStyle name="Normal 2 2 2 3 2 6 2 3 2 2" xfId="13242"/>
    <cellStyle name="Normal 2 2 2 3 2 6 2 3 3" xfId="13243"/>
    <cellStyle name="Normal 2 2 2 3 2 6 2 3 3 2" xfId="13244"/>
    <cellStyle name="Normal 2 2 2 3 2 6 2 3 4" xfId="13245"/>
    <cellStyle name="Normal 2 2 2 3 2 6 2 3 4 2" xfId="13246"/>
    <cellStyle name="Normal 2 2 2 3 2 6 2 3 5" xfId="13247"/>
    <cellStyle name="Normal 2 2 2 3 2 6 2 3 5 2" xfId="13248"/>
    <cellStyle name="Normal 2 2 2 3 2 6 2 3 6" xfId="13249"/>
    <cellStyle name="Normal 2 2 2 3 2 6 2 3 6 2" xfId="13250"/>
    <cellStyle name="Normal 2 2 2 3 2 6 2 3 7" xfId="13251"/>
    <cellStyle name="Normal 2 2 2 3 2 6 2 3 7 2" xfId="13252"/>
    <cellStyle name="Normal 2 2 2 3 2 6 2 3 8" xfId="13253"/>
    <cellStyle name="Normal 2 2 2 3 2 6 2 3 8 2" xfId="13254"/>
    <cellStyle name="Normal 2 2 2 3 2 6 2 3 9" xfId="13255"/>
    <cellStyle name="Normal 2 2 2 3 2 6 2 3 9 2" xfId="13256"/>
    <cellStyle name="Normal 2 2 2 3 2 6 2 4" xfId="13257"/>
    <cellStyle name="Normal 2 2 2 3 2 6 2 4 2" xfId="13258"/>
    <cellStyle name="Normal 2 2 2 3 2 6 2 5" xfId="13259"/>
    <cellStyle name="Normal 2 2 2 3 2 6 2 5 2" xfId="13260"/>
    <cellStyle name="Normal 2 2 2 3 2 6 2 6" xfId="13261"/>
    <cellStyle name="Normal 2 2 2 3 2 6 2 6 2" xfId="13262"/>
    <cellStyle name="Normal 2 2 2 3 2 6 2 7" xfId="13263"/>
    <cellStyle name="Normal 2 2 2 3 2 6 2 7 2" xfId="13264"/>
    <cellStyle name="Normal 2 2 2 3 2 6 2 8" xfId="13265"/>
    <cellStyle name="Normal 2 2 2 3 2 6 2 8 2" xfId="13266"/>
    <cellStyle name="Normal 2 2 2 3 2 6 2 9" xfId="13267"/>
    <cellStyle name="Normal 2 2 2 3 2 6 2 9 2" xfId="13268"/>
    <cellStyle name="Normal 2 2 2 3 2 6 3" xfId="13269"/>
    <cellStyle name="Normal 2 2 2 3 2 6 3 10" xfId="13270"/>
    <cellStyle name="Normal 2 2 2 3 2 6 3 10 2" xfId="13271"/>
    <cellStyle name="Normal 2 2 2 3 2 6 3 11" xfId="13272"/>
    <cellStyle name="Normal 2 2 2 3 2 6 3 11 2" xfId="13273"/>
    <cellStyle name="Normal 2 2 2 3 2 6 3 12" xfId="13274"/>
    <cellStyle name="Normal 2 2 2 3 2 6 3 12 2" xfId="13275"/>
    <cellStyle name="Normal 2 2 2 3 2 6 3 13" xfId="13276"/>
    <cellStyle name="Normal 2 2 2 3 2 6 3 2" xfId="13277"/>
    <cellStyle name="Normal 2 2 2 3 2 6 3 2 10" xfId="13278"/>
    <cellStyle name="Normal 2 2 2 3 2 6 3 2 10 2" xfId="13279"/>
    <cellStyle name="Normal 2 2 2 3 2 6 3 2 11" xfId="13280"/>
    <cellStyle name="Normal 2 2 2 3 2 6 3 2 11 2" xfId="13281"/>
    <cellStyle name="Normal 2 2 2 3 2 6 3 2 12" xfId="13282"/>
    <cellStyle name="Normal 2 2 2 3 2 6 3 2 2" xfId="13283"/>
    <cellStyle name="Normal 2 2 2 3 2 6 3 2 2 10" xfId="13284"/>
    <cellStyle name="Normal 2 2 2 3 2 6 3 2 2 10 2" xfId="13285"/>
    <cellStyle name="Normal 2 2 2 3 2 6 3 2 2 11" xfId="13286"/>
    <cellStyle name="Normal 2 2 2 3 2 6 3 2 2 2" xfId="13287"/>
    <cellStyle name="Normal 2 2 2 3 2 6 3 2 2 2 2" xfId="13288"/>
    <cellStyle name="Normal 2 2 2 3 2 6 3 2 2 3" xfId="13289"/>
    <cellStyle name="Normal 2 2 2 3 2 6 3 2 2 3 2" xfId="13290"/>
    <cellStyle name="Normal 2 2 2 3 2 6 3 2 2 4" xfId="13291"/>
    <cellStyle name="Normal 2 2 2 3 2 6 3 2 2 4 2" xfId="13292"/>
    <cellStyle name="Normal 2 2 2 3 2 6 3 2 2 5" xfId="13293"/>
    <cellStyle name="Normal 2 2 2 3 2 6 3 2 2 5 2" xfId="13294"/>
    <cellStyle name="Normal 2 2 2 3 2 6 3 2 2 6" xfId="13295"/>
    <cellStyle name="Normal 2 2 2 3 2 6 3 2 2 6 2" xfId="13296"/>
    <cellStyle name="Normal 2 2 2 3 2 6 3 2 2 7" xfId="13297"/>
    <cellStyle name="Normal 2 2 2 3 2 6 3 2 2 7 2" xfId="13298"/>
    <cellStyle name="Normal 2 2 2 3 2 6 3 2 2 8" xfId="13299"/>
    <cellStyle name="Normal 2 2 2 3 2 6 3 2 2 8 2" xfId="13300"/>
    <cellStyle name="Normal 2 2 2 3 2 6 3 2 2 9" xfId="13301"/>
    <cellStyle name="Normal 2 2 2 3 2 6 3 2 2 9 2" xfId="13302"/>
    <cellStyle name="Normal 2 2 2 3 2 6 3 2 3" xfId="13303"/>
    <cellStyle name="Normal 2 2 2 3 2 6 3 2 3 2" xfId="13304"/>
    <cellStyle name="Normal 2 2 2 3 2 6 3 2 4" xfId="13305"/>
    <cellStyle name="Normal 2 2 2 3 2 6 3 2 4 2" xfId="13306"/>
    <cellStyle name="Normal 2 2 2 3 2 6 3 2 5" xfId="13307"/>
    <cellStyle name="Normal 2 2 2 3 2 6 3 2 5 2" xfId="13308"/>
    <cellStyle name="Normal 2 2 2 3 2 6 3 2 6" xfId="13309"/>
    <cellStyle name="Normal 2 2 2 3 2 6 3 2 6 2" xfId="13310"/>
    <cellStyle name="Normal 2 2 2 3 2 6 3 2 7" xfId="13311"/>
    <cellStyle name="Normal 2 2 2 3 2 6 3 2 7 2" xfId="13312"/>
    <cellStyle name="Normal 2 2 2 3 2 6 3 2 8" xfId="13313"/>
    <cellStyle name="Normal 2 2 2 3 2 6 3 2 8 2" xfId="13314"/>
    <cellStyle name="Normal 2 2 2 3 2 6 3 2 9" xfId="13315"/>
    <cellStyle name="Normal 2 2 2 3 2 6 3 2 9 2" xfId="13316"/>
    <cellStyle name="Normal 2 2 2 3 2 6 3 3" xfId="13317"/>
    <cellStyle name="Normal 2 2 2 3 2 6 3 3 10" xfId="13318"/>
    <cellStyle name="Normal 2 2 2 3 2 6 3 3 10 2" xfId="13319"/>
    <cellStyle name="Normal 2 2 2 3 2 6 3 3 11" xfId="13320"/>
    <cellStyle name="Normal 2 2 2 3 2 6 3 3 2" xfId="13321"/>
    <cellStyle name="Normal 2 2 2 3 2 6 3 3 2 2" xfId="13322"/>
    <cellStyle name="Normal 2 2 2 3 2 6 3 3 3" xfId="13323"/>
    <cellStyle name="Normal 2 2 2 3 2 6 3 3 3 2" xfId="13324"/>
    <cellStyle name="Normal 2 2 2 3 2 6 3 3 4" xfId="13325"/>
    <cellStyle name="Normal 2 2 2 3 2 6 3 3 4 2" xfId="13326"/>
    <cellStyle name="Normal 2 2 2 3 2 6 3 3 5" xfId="13327"/>
    <cellStyle name="Normal 2 2 2 3 2 6 3 3 5 2" xfId="13328"/>
    <cellStyle name="Normal 2 2 2 3 2 6 3 3 6" xfId="13329"/>
    <cellStyle name="Normal 2 2 2 3 2 6 3 3 6 2" xfId="13330"/>
    <cellStyle name="Normal 2 2 2 3 2 6 3 3 7" xfId="13331"/>
    <cellStyle name="Normal 2 2 2 3 2 6 3 3 7 2" xfId="13332"/>
    <cellStyle name="Normal 2 2 2 3 2 6 3 3 8" xfId="13333"/>
    <cellStyle name="Normal 2 2 2 3 2 6 3 3 8 2" xfId="13334"/>
    <cellStyle name="Normal 2 2 2 3 2 6 3 3 9" xfId="13335"/>
    <cellStyle name="Normal 2 2 2 3 2 6 3 3 9 2" xfId="13336"/>
    <cellStyle name="Normal 2 2 2 3 2 6 3 4" xfId="13337"/>
    <cellStyle name="Normal 2 2 2 3 2 6 3 4 2" xfId="13338"/>
    <cellStyle name="Normal 2 2 2 3 2 6 3 5" xfId="13339"/>
    <cellStyle name="Normal 2 2 2 3 2 6 3 5 2" xfId="13340"/>
    <cellStyle name="Normal 2 2 2 3 2 6 3 6" xfId="13341"/>
    <cellStyle name="Normal 2 2 2 3 2 6 3 6 2" xfId="13342"/>
    <cellStyle name="Normal 2 2 2 3 2 6 3 7" xfId="13343"/>
    <cellStyle name="Normal 2 2 2 3 2 6 3 7 2" xfId="13344"/>
    <cellStyle name="Normal 2 2 2 3 2 6 3 8" xfId="13345"/>
    <cellStyle name="Normal 2 2 2 3 2 6 3 8 2" xfId="13346"/>
    <cellStyle name="Normal 2 2 2 3 2 6 3 9" xfId="13347"/>
    <cellStyle name="Normal 2 2 2 3 2 6 3 9 2" xfId="13348"/>
    <cellStyle name="Normal 2 2 2 3 2 6 4" xfId="13349"/>
    <cellStyle name="Normal 2 2 2 3 2 6 4 10" xfId="13350"/>
    <cellStyle name="Normal 2 2 2 3 2 6 4 10 2" xfId="13351"/>
    <cellStyle name="Normal 2 2 2 3 2 6 4 11" xfId="13352"/>
    <cellStyle name="Normal 2 2 2 3 2 6 4 11 2" xfId="13353"/>
    <cellStyle name="Normal 2 2 2 3 2 6 4 12" xfId="13354"/>
    <cellStyle name="Normal 2 2 2 3 2 6 4 12 2" xfId="13355"/>
    <cellStyle name="Normal 2 2 2 3 2 6 4 13" xfId="13356"/>
    <cellStyle name="Normal 2 2 2 3 2 6 4 2" xfId="13357"/>
    <cellStyle name="Normal 2 2 2 3 2 6 4 2 10" xfId="13358"/>
    <cellStyle name="Normal 2 2 2 3 2 6 4 2 10 2" xfId="13359"/>
    <cellStyle name="Normal 2 2 2 3 2 6 4 2 11" xfId="13360"/>
    <cellStyle name="Normal 2 2 2 3 2 6 4 2 11 2" xfId="13361"/>
    <cellStyle name="Normal 2 2 2 3 2 6 4 2 12" xfId="13362"/>
    <cellStyle name="Normal 2 2 2 3 2 6 4 2 2" xfId="13363"/>
    <cellStyle name="Normal 2 2 2 3 2 6 4 2 2 10" xfId="13364"/>
    <cellStyle name="Normal 2 2 2 3 2 6 4 2 2 10 2" xfId="13365"/>
    <cellStyle name="Normal 2 2 2 3 2 6 4 2 2 11" xfId="13366"/>
    <cellStyle name="Normal 2 2 2 3 2 6 4 2 2 2" xfId="13367"/>
    <cellStyle name="Normal 2 2 2 3 2 6 4 2 2 2 2" xfId="13368"/>
    <cellStyle name="Normal 2 2 2 3 2 6 4 2 2 3" xfId="13369"/>
    <cellStyle name="Normal 2 2 2 3 2 6 4 2 2 3 2" xfId="13370"/>
    <cellStyle name="Normal 2 2 2 3 2 6 4 2 2 4" xfId="13371"/>
    <cellStyle name="Normal 2 2 2 3 2 6 4 2 2 4 2" xfId="13372"/>
    <cellStyle name="Normal 2 2 2 3 2 6 4 2 2 5" xfId="13373"/>
    <cellStyle name="Normal 2 2 2 3 2 6 4 2 2 5 2" xfId="13374"/>
    <cellStyle name="Normal 2 2 2 3 2 6 4 2 2 6" xfId="13375"/>
    <cellStyle name="Normal 2 2 2 3 2 6 4 2 2 6 2" xfId="13376"/>
    <cellStyle name="Normal 2 2 2 3 2 6 4 2 2 7" xfId="13377"/>
    <cellStyle name="Normal 2 2 2 3 2 6 4 2 2 7 2" xfId="13378"/>
    <cellStyle name="Normal 2 2 2 3 2 6 4 2 2 8" xfId="13379"/>
    <cellStyle name="Normal 2 2 2 3 2 6 4 2 2 8 2" xfId="13380"/>
    <cellStyle name="Normal 2 2 2 3 2 6 4 2 2 9" xfId="13381"/>
    <cellStyle name="Normal 2 2 2 3 2 6 4 2 2 9 2" xfId="13382"/>
    <cellStyle name="Normal 2 2 2 3 2 6 4 2 3" xfId="13383"/>
    <cellStyle name="Normal 2 2 2 3 2 6 4 2 3 2" xfId="13384"/>
    <cellStyle name="Normal 2 2 2 3 2 6 4 2 4" xfId="13385"/>
    <cellStyle name="Normal 2 2 2 3 2 6 4 2 4 2" xfId="13386"/>
    <cellStyle name="Normal 2 2 2 3 2 6 4 2 5" xfId="13387"/>
    <cellStyle name="Normal 2 2 2 3 2 6 4 2 5 2" xfId="13388"/>
    <cellStyle name="Normal 2 2 2 3 2 6 4 2 6" xfId="13389"/>
    <cellStyle name="Normal 2 2 2 3 2 6 4 2 6 2" xfId="13390"/>
    <cellStyle name="Normal 2 2 2 3 2 6 4 2 7" xfId="13391"/>
    <cellStyle name="Normal 2 2 2 3 2 6 4 2 7 2" xfId="13392"/>
    <cellStyle name="Normal 2 2 2 3 2 6 4 2 8" xfId="13393"/>
    <cellStyle name="Normal 2 2 2 3 2 6 4 2 8 2" xfId="13394"/>
    <cellStyle name="Normal 2 2 2 3 2 6 4 2 9" xfId="13395"/>
    <cellStyle name="Normal 2 2 2 3 2 6 4 2 9 2" xfId="13396"/>
    <cellStyle name="Normal 2 2 2 3 2 6 4 3" xfId="13397"/>
    <cellStyle name="Normal 2 2 2 3 2 6 4 3 10" xfId="13398"/>
    <cellStyle name="Normal 2 2 2 3 2 6 4 3 10 2" xfId="13399"/>
    <cellStyle name="Normal 2 2 2 3 2 6 4 3 11" xfId="13400"/>
    <cellStyle name="Normal 2 2 2 3 2 6 4 3 2" xfId="13401"/>
    <cellStyle name="Normal 2 2 2 3 2 6 4 3 2 2" xfId="13402"/>
    <cellStyle name="Normal 2 2 2 3 2 6 4 3 3" xfId="13403"/>
    <cellStyle name="Normal 2 2 2 3 2 6 4 3 3 2" xfId="13404"/>
    <cellStyle name="Normal 2 2 2 3 2 6 4 3 4" xfId="13405"/>
    <cellStyle name="Normal 2 2 2 3 2 6 4 3 4 2" xfId="13406"/>
    <cellStyle name="Normal 2 2 2 3 2 6 4 3 5" xfId="13407"/>
    <cellStyle name="Normal 2 2 2 3 2 6 4 3 5 2" xfId="13408"/>
    <cellStyle name="Normal 2 2 2 3 2 6 4 3 6" xfId="13409"/>
    <cellStyle name="Normal 2 2 2 3 2 6 4 3 6 2" xfId="13410"/>
    <cellStyle name="Normal 2 2 2 3 2 6 4 3 7" xfId="13411"/>
    <cellStyle name="Normal 2 2 2 3 2 6 4 3 7 2" xfId="13412"/>
    <cellStyle name="Normal 2 2 2 3 2 6 4 3 8" xfId="13413"/>
    <cellStyle name="Normal 2 2 2 3 2 6 4 3 8 2" xfId="13414"/>
    <cellStyle name="Normal 2 2 2 3 2 6 4 3 9" xfId="13415"/>
    <cellStyle name="Normal 2 2 2 3 2 6 4 3 9 2" xfId="13416"/>
    <cellStyle name="Normal 2 2 2 3 2 6 4 4" xfId="13417"/>
    <cellStyle name="Normal 2 2 2 3 2 6 4 4 2" xfId="13418"/>
    <cellStyle name="Normal 2 2 2 3 2 6 4 5" xfId="13419"/>
    <cellStyle name="Normal 2 2 2 3 2 6 4 5 2" xfId="13420"/>
    <cellStyle name="Normal 2 2 2 3 2 6 4 6" xfId="13421"/>
    <cellStyle name="Normal 2 2 2 3 2 6 4 6 2" xfId="13422"/>
    <cellStyle name="Normal 2 2 2 3 2 6 4 7" xfId="13423"/>
    <cellStyle name="Normal 2 2 2 3 2 6 4 7 2" xfId="13424"/>
    <cellStyle name="Normal 2 2 2 3 2 6 4 8" xfId="13425"/>
    <cellStyle name="Normal 2 2 2 3 2 6 4 8 2" xfId="13426"/>
    <cellStyle name="Normal 2 2 2 3 2 6 4 9" xfId="13427"/>
    <cellStyle name="Normal 2 2 2 3 2 6 4 9 2" xfId="13428"/>
    <cellStyle name="Normal 2 2 2 3 2 6 5" xfId="13429"/>
    <cellStyle name="Normal 2 2 2 3 2 6 5 10" xfId="13430"/>
    <cellStyle name="Normal 2 2 2 3 2 6 5 10 2" xfId="13431"/>
    <cellStyle name="Normal 2 2 2 3 2 6 5 11" xfId="13432"/>
    <cellStyle name="Normal 2 2 2 3 2 6 5 11 2" xfId="13433"/>
    <cellStyle name="Normal 2 2 2 3 2 6 5 12" xfId="13434"/>
    <cellStyle name="Normal 2 2 2 3 2 6 5 12 2" xfId="13435"/>
    <cellStyle name="Normal 2 2 2 3 2 6 5 13" xfId="13436"/>
    <cellStyle name="Normal 2 2 2 3 2 6 5 2" xfId="13437"/>
    <cellStyle name="Normal 2 2 2 3 2 6 5 2 10" xfId="13438"/>
    <cellStyle name="Normal 2 2 2 3 2 6 5 2 10 2" xfId="13439"/>
    <cellStyle name="Normal 2 2 2 3 2 6 5 2 11" xfId="13440"/>
    <cellStyle name="Normal 2 2 2 3 2 6 5 2 11 2" xfId="13441"/>
    <cellStyle name="Normal 2 2 2 3 2 6 5 2 12" xfId="13442"/>
    <cellStyle name="Normal 2 2 2 3 2 6 5 2 2" xfId="13443"/>
    <cellStyle name="Normal 2 2 2 3 2 6 5 2 2 10" xfId="13444"/>
    <cellStyle name="Normal 2 2 2 3 2 6 5 2 2 10 2" xfId="13445"/>
    <cellStyle name="Normal 2 2 2 3 2 6 5 2 2 11" xfId="13446"/>
    <cellStyle name="Normal 2 2 2 3 2 6 5 2 2 2" xfId="13447"/>
    <cellStyle name="Normal 2 2 2 3 2 6 5 2 2 2 2" xfId="13448"/>
    <cellStyle name="Normal 2 2 2 3 2 6 5 2 2 3" xfId="13449"/>
    <cellStyle name="Normal 2 2 2 3 2 6 5 2 2 3 2" xfId="13450"/>
    <cellStyle name="Normal 2 2 2 3 2 6 5 2 2 4" xfId="13451"/>
    <cellStyle name="Normal 2 2 2 3 2 6 5 2 2 4 2" xfId="13452"/>
    <cellStyle name="Normal 2 2 2 3 2 6 5 2 2 5" xfId="13453"/>
    <cellStyle name="Normal 2 2 2 3 2 6 5 2 2 5 2" xfId="13454"/>
    <cellStyle name="Normal 2 2 2 3 2 6 5 2 2 6" xfId="13455"/>
    <cellStyle name="Normal 2 2 2 3 2 6 5 2 2 6 2" xfId="13456"/>
    <cellStyle name="Normal 2 2 2 3 2 6 5 2 2 7" xfId="13457"/>
    <cellStyle name="Normal 2 2 2 3 2 6 5 2 2 7 2" xfId="13458"/>
    <cellStyle name="Normal 2 2 2 3 2 6 5 2 2 8" xfId="13459"/>
    <cellStyle name="Normal 2 2 2 3 2 6 5 2 2 8 2" xfId="13460"/>
    <cellStyle name="Normal 2 2 2 3 2 6 5 2 2 9" xfId="13461"/>
    <cellStyle name="Normal 2 2 2 3 2 6 5 2 2 9 2" xfId="13462"/>
    <cellStyle name="Normal 2 2 2 3 2 6 5 2 3" xfId="13463"/>
    <cellStyle name="Normal 2 2 2 3 2 6 5 2 3 2" xfId="13464"/>
    <cellStyle name="Normal 2 2 2 3 2 6 5 2 4" xfId="13465"/>
    <cellStyle name="Normal 2 2 2 3 2 6 5 2 4 2" xfId="13466"/>
    <cellStyle name="Normal 2 2 2 3 2 6 5 2 5" xfId="13467"/>
    <cellStyle name="Normal 2 2 2 3 2 6 5 2 5 2" xfId="13468"/>
    <cellStyle name="Normal 2 2 2 3 2 6 5 2 6" xfId="13469"/>
    <cellStyle name="Normal 2 2 2 3 2 6 5 2 6 2" xfId="13470"/>
    <cellStyle name="Normal 2 2 2 3 2 6 5 2 7" xfId="13471"/>
    <cellStyle name="Normal 2 2 2 3 2 6 5 2 7 2" xfId="13472"/>
    <cellStyle name="Normal 2 2 2 3 2 6 5 2 8" xfId="13473"/>
    <cellStyle name="Normal 2 2 2 3 2 6 5 2 8 2" xfId="13474"/>
    <cellStyle name="Normal 2 2 2 3 2 6 5 2 9" xfId="13475"/>
    <cellStyle name="Normal 2 2 2 3 2 6 5 2 9 2" xfId="13476"/>
    <cellStyle name="Normal 2 2 2 3 2 6 5 3" xfId="13477"/>
    <cellStyle name="Normal 2 2 2 3 2 6 5 3 10" xfId="13478"/>
    <cellStyle name="Normal 2 2 2 3 2 6 5 3 10 2" xfId="13479"/>
    <cellStyle name="Normal 2 2 2 3 2 6 5 3 11" xfId="13480"/>
    <cellStyle name="Normal 2 2 2 3 2 6 5 3 2" xfId="13481"/>
    <cellStyle name="Normal 2 2 2 3 2 6 5 3 2 2" xfId="13482"/>
    <cellStyle name="Normal 2 2 2 3 2 6 5 3 3" xfId="13483"/>
    <cellStyle name="Normal 2 2 2 3 2 6 5 3 3 2" xfId="13484"/>
    <cellStyle name="Normal 2 2 2 3 2 6 5 3 4" xfId="13485"/>
    <cellStyle name="Normal 2 2 2 3 2 6 5 3 4 2" xfId="13486"/>
    <cellStyle name="Normal 2 2 2 3 2 6 5 3 5" xfId="13487"/>
    <cellStyle name="Normal 2 2 2 3 2 6 5 3 5 2" xfId="13488"/>
    <cellStyle name="Normal 2 2 2 3 2 6 5 3 6" xfId="13489"/>
    <cellStyle name="Normal 2 2 2 3 2 6 5 3 6 2" xfId="13490"/>
    <cellStyle name="Normal 2 2 2 3 2 6 5 3 7" xfId="13491"/>
    <cellStyle name="Normal 2 2 2 3 2 6 5 3 7 2" xfId="13492"/>
    <cellStyle name="Normal 2 2 2 3 2 6 5 3 8" xfId="13493"/>
    <cellStyle name="Normal 2 2 2 3 2 6 5 3 8 2" xfId="13494"/>
    <cellStyle name="Normal 2 2 2 3 2 6 5 3 9" xfId="13495"/>
    <cellStyle name="Normal 2 2 2 3 2 6 5 3 9 2" xfId="13496"/>
    <cellStyle name="Normal 2 2 2 3 2 6 5 4" xfId="13497"/>
    <cellStyle name="Normal 2 2 2 3 2 6 5 4 2" xfId="13498"/>
    <cellStyle name="Normal 2 2 2 3 2 6 5 5" xfId="13499"/>
    <cellStyle name="Normal 2 2 2 3 2 6 5 5 2" xfId="13500"/>
    <cellStyle name="Normal 2 2 2 3 2 6 5 6" xfId="13501"/>
    <cellStyle name="Normal 2 2 2 3 2 6 5 6 2" xfId="13502"/>
    <cellStyle name="Normal 2 2 2 3 2 6 5 7" xfId="13503"/>
    <cellStyle name="Normal 2 2 2 3 2 6 5 7 2" xfId="13504"/>
    <cellStyle name="Normal 2 2 2 3 2 6 5 8" xfId="13505"/>
    <cellStyle name="Normal 2 2 2 3 2 6 5 8 2" xfId="13506"/>
    <cellStyle name="Normal 2 2 2 3 2 6 5 9" xfId="13507"/>
    <cellStyle name="Normal 2 2 2 3 2 6 5 9 2" xfId="13508"/>
    <cellStyle name="Normal 2 2 2 3 2 7" xfId="13509"/>
    <cellStyle name="Normal 2 2 2 3 2 8" xfId="13510"/>
    <cellStyle name="Normal 2 2 2 3 2 9" xfId="13511"/>
    <cellStyle name="Normal 2 2 2 3 3" xfId="13512"/>
    <cellStyle name="Normal 2 2 2 3 3 10" xfId="13513"/>
    <cellStyle name="Normal 2 2 2 3 3 10 2" xfId="13514"/>
    <cellStyle name="Normal 2 2 2 3 3 11" xfId="13515"/>
    <cellStyle name="Normal 2 2 2 3 3 11 2" xfId="13516"/>
    <cellStyle name="Normal 2 2 2 3 3 12" xfId="13517"/>
    <cellStyle name="Normal 2 2 2 3 3 12 2" xfId="13518"/>
    <cellStyle name="Normal 2 2 2 3 3 13" xfId="13519"/>
    <cellStyle name="Normal 2 2 2 3 3 13 2" xfId="13520"/>
    <cellStyle name="Normal 2 2 2 3 3 14" xfId="13521"/>
    <cellStyle name="Normal 2 2 2 3 3 14 2" xfId="13522"/>
    <cellStyle name="Normal 2 2 2 3 3 15" xfId="13523"/>
    <cellStyle name="Normal 2 2 2 3 3 15 2" xfId="13524"/>
    <cellStyle name="Normal 2 2 2 3 3 16" xfId="13525"/>
    <cellStyle name="Normal 2 2 2 3 3 16 2" xfId="13526"/>
    <cellStyle name="Normal 2 2 2 3 3 17" xfId="13527"/>
    <cellStyle name="Normal 2 2 2 3 3 17 2" xfId="13528"/>
    <cellStyle name="Normal 2 2 2 3 3 18" xfId="13529"/>
    <cellStyle name="Normal 2 2 2 3 3 2" xfId="13530"/>
    <cellStyle name="Normal 2 2 2 3 3 2 2" xfId="13531"/>
    <cellStyle name="Normal 2 2 2 3 3 2 2 10" xfId="13532"/>
    <cellStyle name="Normal 2 2 2 3 3 2 2 10 2" xfId="13533"/>
    <cellStyle name="Normal 2 2 2 3 3 2 2 11" xfId="13534"/>
    <cellStyle name="Normal 2 2 2 3 3 2 2 11 2" xfId="13535"/>
    <cellStyle name="Normal 2 2 2 3 3 2 2 12" xfId="13536"/>
    <cellStyle name="Normal 2 2 2 3 3 2 2 12 2" xfId="13537"/>
    <cellStyle name="Normal 2 2 2 3 3 2 2 13" xfId="13538"/>
    <cellStyle name="Normal 2 2 2 3 3 2 2 13 2" xfId="13539"/>
    <cellStyle name="Normal 2 2 2 3 3 2 2 14" xfId="13540"/>
    <cellStyle name="Normal 2 2 2 3 3 2 2 14 2" xfId="13541"/>
    <cellStyle name="Normal 2 2 2 3 3 2 2 15" xfId="13542"/>
    <cellStyle name="Normal 2 2 2 3 3 2 2 15 2" xfId="13543"/>
    <cellStyle name="Normal 2 2 2 3 3 2 2 16" xfId="13544"/>
    <cellStyle name="Normal 2 2 2 3 3 2 2 16 2" xfId="13545"/>
    <cellStyle name="Normal 2 2 2 3 3 2 2 17" xfId="13546"/>
    <cellStyle name="Normal 2 2 2 3 3 2 2 2" xfId="13547"/>
    <cellStyle name="Normal 2 2 2 3 3 2 2 3" xfId="13548"/>
    <cellStyle name="Normal 2 2 2 3 3 2 2 4" xfId="13549"/>
    <cellStyle name="Normal 2 2 2 3 3 2 2 5" xfId="13550"/>
    <cellStyle name="Normal 2 2 2 3 3 2 2 6" xfId="13551"/>
    <cellStyle name="Normal 2 2 2 3 3 2 2 6 10" xfId="13552"/>
    <cellStyle name="Normal 2 2 2 3 3 2 2 6 10 2" xfId="13553"/>
    <cellStyle name="Normal 2 2 2 3 3 2 2 6 11" xfId="13554"/>
    <cellStyle name="Normal 2 2 2 3 3 2 2 6 11 2" xfId="13555"/>
    <cellStyle name="Normal 2 2 2 3 3 2 2 6 12" xfId="13556"/>
    <cellStyle name="Normal 2 2 2 3 3 2 2 6 2" xfId="13557"/>
    <cellStyle name="Normal 2 2 2 3 3 2 2 6 2 10" xfId="13558"/>
    <cellStyle name="Normal 2 2 2 3 3 2 2 6 2 10 2" xfId="13559"/>
    <cellStyle name="Normal 2 2 2 3 3 2 2 6 2 11" xfId="13560"/>
    <cellStyle name="Normal 2 2 2 3 3 2 2 6 2 2" xfId="13561"/>
    <cellStyle name="Normal 2 2 2 3 3 2 2 6 2 2 2" xfId="13562"/>
    <cellStyle name="Normal 2 2 2 3 3 2 2 6 2 3" xfId="13563"/>
    <cellStyle name="Normal 2 2 2 3 3 2 2 6 2 3 2" xfId="13564"/>
    <cellStyle name="Normal 2 2 2 3 3 2 2 6 2 4" xfId="13565"/>
    <cellStyle name="Normal 2 2 2 3 3 2 2 6 2 4 2" xfId="13566"/>
    <cellStyle name="Normal 2 2 2 3 3 2 2 6 2 5" xfId="13567"/>
    <cellStyle name="Normal 2 2 2 3 3 2 2 6 2 5 2" xfId="13568"/>
    <cellStyle name="Normal 2 2 2 3 3 2 2 6 2 6" xfId="13569"/>
    <cellStyle name="Normal 2 2 2 3 3 2 2 6 2 6 2" xfId="13570"/>
    <cellStyle name="Normal 2 2 2 3 3 2 2 6 2 7" xfId="13571"/>
    <cellStyle name="Normal 2 2 2 3 3 2 2 6 2 7 2" xfId="13572"/>
    <cellStyle name="Normal 2 2 2 3 3 2 2 6 2 8" xfId="13573"/>
    <cellStyle name="Normal 2 2 2 3 3 2 2 6 2 8 2" xfId="13574"/>
    <cellStyle name="Normal 2 2 2 3 3 2 2 6 2 9" xfId="13575"/>
    <cellStyle name="Normal 2 2 2 3 3 2 2 6 2 9 2" xfId="13576"/>
    <cellStyle name="Normal 2 2 2 3 3 2 2 6 3" xfId="13577"/>
    <cellStyle name="Normal 2 2 2 3 3 2 2 6 3 2" xfId="13578"/>
    <cellStyle name="Normal 2 2 2 3 3 2 2 6 4" xfId="13579"/>
    <cellStyle name="Normal 2 2 2 3 3 2 2 6 4 2" xfId="13580"/>
    <cellStyle name="Normal 2 2 2 3 3 2 2 6 5" xfId="13581"/>
    <cellStyle name="Normal 2 2 2 3 3 2 2 6 5 2" xfId="13582"/>
    <cellStyle name="Normal 2 2 2 3 3 2 2 6 6" xfId="13583"/>
    <cellStyle name="Normal 2 2 2 3 3 2 2 6 6 2" xfId="13584"/>
    <cellStyle name="Normal 2 2 2 3 3 2 2 6 7" xfId="13585"/>
    <cellStyle name="Normal 2 2 2 3 3 2 2 6 7 2" xfId="13586"/>
    <cellStyle name="Normal 2 2 2 3 3 2 2 6 8" xfId="13587"/>
    <cellStyle name="Normal 2 2 2 3 3 2 2 6 8 2" xfId="13588"/>
    <cellStyle name="Normal 2 2 2 3 3 2 2 6 9" xfId="13589"/>
    <cellStyle name="Normal 2 2 2 3 3 2 2 6 9 2" xfId="13590"/>
    <cellStyle name="Normal 2 2 2 3 3 2 2 7" xfId="13591"/>
    <cellStyle name="Normal 2 2 2 3 3 2 2 7 10" xfId="13592"/>
    <cellStyle name="Normal 2 2 2 3 3 2 2 7 10 2" xfId="13593"/>
    <cellStyle name="Normal 2 2 2 3 3 2 2 7 11" xfId="13594"/>
    <cellStyle name="Normal 2 2 2 3 3 2 2 7 2" xfId="13595"/>
    <cellStyle name="Normal 2 2 2 3 3 2 2 7 2 2" xfId="13596"/>
    <cellStyle name="Normal 2 2 2 3 3 2 2 7 3" xfId="13597"/>
    <cellStyle name="Normal 2 2 2 3 3 2 2 7 3 2" xfId="13598"/>
    <cellStyle name="Normal 2 2 2 3 3 2 2 7 4" xfId="13599"/>
    <cellStyle name="Normal 2 2 2 3 3 2 2 7 4 2" xfId="13600"/>
    <cellStyle name="Normal 2 2 2 3 3 2 2 7 5" xfId="13601"/>
    <cellStyle name="Normal 2 2 2 3 3 2 2 7 5 2" xfId="13602"/>
    <cellStyle name="Normal 2 2 2 3 3 2 2 7 6" xfId="13603"/>
    <cellStyle name="Normal 2 2 2 3 3 2 2 7 6 2" xfId="13604"/>
    <cellStyle name="Normal 2 2 2 3 3 2 2 7 7" xfId="13605"/>
    <cellStyle name="Normal 2 2 2 3 3 2 2 7 7 2" xfId="13606"/>
    <cellStyle name="Normal 2 2 2 3 3 2 2 7 8" xfId="13607"/>
    <cellStyle name="Normal 2 2 2 3 3 2 2 7 8 2" xfId="13608"/>
    <cellStyle name="Normal 2 2 2 3 3 2 2 7 9" xfId="13609"/>
    <cellStyle name="Normal 2 2 2 3 3 2 2 7 9 2" xfId="13610"/>
    <cellStyle name="Normal 2 2 2 3 3 2 2 8" xfId="13611"/>
    <cellStyle name="Normal 2 2 2 3 3 2 2 8 2" xfId="13612"/>
    <cellStyle name="Normal 2 2 2 3 3 2 2 9" xfId="13613"/>
    <cellStyle name="Normal 2 2 2 3 3 2 2 9 2" xfId="13614"/>
    <cellStyle name="Normal 2 2 2 3 3 2 3" xfId="13615"/>
    <cellStyle name="Normal 2 2 2 3 3 2 3 10" xfId="13616"/>
    <cellStyle name="Normal 2 2 2 3 3 2 3 10 2" xfId="13617"/>
    <cellStyle name="Normal 2 2 2 3 3 2 3 11" xfId="13618"/>
    <cellStyle name="Normal 2 2 2 3 3 2 3 11 2" xfId="13619"/>
    <cellStyle name="Normal 2 2 2 3 3 2 3 12" xfId="13620"/>
    <cellStyle name="Normal 2 2 2 3 3 2 3 12 2" xfId="13621"/>
    <cellStyle name="Normal 2 2 2 3 3 2 3 13" xfId="13622"/>
    <cellStyle name="Normal 2 2 2 3 3 2 3 2" xfId="13623"/>
    <cellStyle name="Normal 2 2 2 3 3 2 3 2 10" xfId="13624"/>
    <cellStyle name="Normal 2 2 2 3 3 2 3 2 10 2" xfId="13625"/>
    <cellStyle name="Normal 2 2 2 3 3 2 3 2 11" xfId="13626"/>
    <cellStyle name="Normal 2 2 2 3 3 2 3 2 11 2" xfId="13627"/>
    <cellStyle name="Normal 2 2 2 3 3 2 3 2 12" xfId="13628"/>
    <cellStyle name="Normal 2 2 2 3 3 2 3 2 2" xfId="13629"/>
    <cellStyle name="Normal 2 2 2 3 3 2 3 2 2 10" xfId="13630"/>
    <cellStyle name="Normal 2 2 2 3 3 2 3 2 2 10 2" xfId="13631"/>
    <cellStyle name="Normal 2 2 2 3 3 2 3 2 2 11" xfId="13632"/>
    <cellStyle name="Normal 2 2 2 3 3 2 3 2 2 2" xfId="13633"/>
    <cellStyle name="Normal 2 2 2 3 3 2 3 2 2 2 2" xfId="13634"/>
    <cellStyle name="Normal 2 2 2 3 3 2 3 2 2 3" xfId="13635"/>
    <cellStyle name="Normal 2 2 2 3 3 2 3 2 2 3 2" xfId="13636"/>
    <cellStyle name="Normal 2 2 2 3 3 2 3 2 2 4" xfId="13637"/>
    <cellStyle name="Normal 2 2 2 3 3 2 3 2 2 4 2" xfId="13638"/>
    <cellStyle name="Normal 2 2 2 3 3 2 3 2 2 5" xfId="13639"/>
    <cellStyle name="Normal 2 2 2 3 3 2 3 2 2 5 2" xfId="13640"/>
    <cellStyle name="Normal 2 2 2 3 3 2 3 2 2 6" xfId="13641"/>
    <cellStyle name="Normal 2 2 2 3 3 2 3 2 2 6 2" xfId="13642"/>
    <cellStyle name="Normal 2 2 2 3 3 2 3 2 2 7" xfId="13643"/>
    <cellStyle name="Normal 2 2 2 3 3 2 3 2 2 7 2" xfId="13644"/>
    <cellStyle name="Normal 2 2 2 3 3 2 3 2 2 8" xfId="13645"/>
    <cellStyle name="Normal 2 2 2 3 3 2 3 2 2 8 2" xfId="13646"/>
    <cellStyle name="Normal 2 2 2 3 3 2 3 2 2 9" xfId="13647"/>
    <cellStyle name="Normal 2 2 2 3 3 2 3 2 2 9 2" xfId="13648"/>
    <cellStyle name="Normal 2 2 2 3 3 2 3 2 3" xfId="13649"/>
    <cellStyle name="Normal 2 2 2 3 3 2 3 2 3 2" xfId="13650"/>
    <cellStyle name="Normal 2 2 2 3 3 2 3 2 4" xfId="13651"/>
    <cellStyle name="Normal 2 2 2 3 3 2 3 2 4 2" xfId="13652"/>
    <cellStyle name="Normal 2 2 2 3 3 2 3 2 5" xfId="13653"/>
    <cellStyle name="Normal 2 2 2 3 3 2 3 2 5 2" xfId="13654"/>
    <cellStyle name="Normal 2 2 2 3 3 2 3 2 6" xfId="13655"/>
    <cellStyle name="Normal 2 2 2 3 3 2 3 2 6 2" xfId="13656"/>
    <cellStyle name="Normal 2 2 2 3 3 2 3 2 7" xfId="13657"/>
    <cellStyle name="Normal 2 2 2 3 3 2 3 2 7 2" xfId="13658"/>
    <cellStyle name="Normal 2 2 2 3 3 2 3 2 8" xfId="13659"/>
    <cellStyle name="Normal 2 2 2 3 3 2 3 2 8 2" xfId="13660"/>
    <cellStyle name="Normal 2 2 2 3 3 2 3 2 9" xfId="13661"/>
    <cellStyle name="Normal 2 2 2 3 3 2 3 2 9 2" xfId="13662"/>
    <cellStyle name="Normal 2 2 2 3 3 2 3 3" xfId="13663"/>
    <cellStyle name="Normal 2 2 2 3 3 2 3 3 10" xfId="13664"/>
    <cellStyle name="Normal 2 2 2 3 3 2 3 3 10 2" xfId="13665"/>
    <cellStyle name="Normal 2 2 2 3 3 2 3 3 11" xfId="13666"/>
    <cellStyle name="Normal 2 2 2 3 3 2 3 3 2" xfId="13667"/>
    <cellStyle name="Normal 2 2 2 3 3 2 3 3 2 2" xfId="13668"/>
    <cellStyle name="Normal 2 2 2 3 3 2 3 3 3" xfId="13669"/>
    <cellStyle name="Normal 2 2 2 3 3 2 3 3 3 2" xfId="13670"/>
    <cellStyle name="Normal 2 2 2 3 3 2 3 3 4" xfId="13671"/>
    <cellStyle name="Normal 2 2 2 3 3 2 3 3 4 2" xfId="13672"/>
    <cellStyle name="Normal 2 2 2 3 3 2 3 3 5" xfId="13673"/>
    <cellStyle name="Normal 2 2 2 3 3 2 3 3 5 2" xfId="13674"/>
    <cellStyle name="Normal 2 2 2 3 3 2 3 3 6" xfId="13675"/>
    <cellStyle name="Normal 2 2 2 3 3 2 3 3 6 2" xfId="13676"/>
    <cellStyle name="Normal 2 2 2 3 3 2 3 3 7" xfId="13677"/>
    <cellStyle name="Normal 2 2 2 3 3 2 3 3 7 2" xfId="13678"/>
    <cellStyle name="Normal 2 2 2 3 3 2 3 3 8" xfId="13679"/>
    <cellStyle name="Normal 2 2 2 3 3 2 3 3 8 2" xfId="13680"/>
    <cellStyle name="Normal 2 2 2 3 3 2 3 3 9" xfId="13681"/>
    <cellStyle name="Normal 2 2 2 3 3 2 3 3 9 2" xfId="13682"/>
    <cellStyle name="Normal 2 2 2 3 3 2 3 4" xfId="13683"/>
    <cellStyle name="Normal 2 2 2 3 3 2 3 4 2" xfId="13684"/>
    <cellStyle name="Normal 2 2 2 3 3 2 3 5" xfId="13685"/>
    <cellStyle name="Normal 2 2 2 3 3 2 3 5 2" xfId="13686"/>
    <cellStyle name="Normal 2 2 2 3 3 2 3 6" xfId="13687"/>
    <cellStyle name="Normal 2 2 2 3 3 2 3 6 2" xfId="13688"/>
    <cellStyle name="Normal 2 2 2 3 3 2 3 7" xfId="13689"/>
    <cellStyle name="Normal 2 2 2 3 3 2 3 7 2" xfId="13690"/>
    <cellStyle name="Normal 2 2 2 3 3 2 3 8" xfId="13691"/>
    <cellStyle name="Normal 2 2 2 3 3 2 3 8 2" xfId="13692"/>
    <cellStyle name="Normal 2 2 2 3 3 2 3 9" xfId="13693"/>
    <cellStyle name="Normal 2 2 2 3 3 2 3 9 2" xfId="13694"/>
    <cellStyle name="Normal 2 2 2 3 3 2 4" xfId="13695"/>
    <cellStyle name="Normal 2 2 2 3 3 2 4 10" xfId="13696"/>
    <cellStyle name="Normal 2 2 2 3 3 2 4 10 2" xfId="13697"/>
    <cellStyle name="Normal 2 2 2 3 3 2 4 11" xfId="13698"/>
    <cellStyle name="Normal 2 2 2 3 3 2 4 11 2" xfId="13699"/>
    <cellStyle name="Normal 2 2 2 3 3 2 4 12" xfId="13700"/>
    <cellStyle name="Normal 2 2 2 3 3 2 4 12 2" xfId="13701"/>
    <cellStyle name="Normal 2 2 2 3 3 2 4 13" xfId="13702"/>
    <cellStyle name="Normal 2 2 2 3 3 2 4 2" xfId="13703"/>
    <cellStyle name="Normal 2 2 2 3 3 2 4 2 10" xfId="13704"/>
    <cellStyle name="Normal 2 2 2 3 3 2 4 2 10 2" xfId="13705"/>
    <cellStyle name="Normal 2 2 2 3 3 2 4 2 11" xfId="13706"/>
    <cellStyle name="Normal 2 2 2 3 3 2 4 2 11 2" xfId="13707"/>
    <cellStyle name="Normal 2 2 2 3 3 2 4 2 12" xfId="13708"/>
    <cellStyle name="Normal 2 2 2 3 3 2 4 2 2" xfId="13709"/>
    <cellStyle name="Normal 2 2 2 3 3 2 4 2 2 10" xfId="13710"/>
    <cellStyle name="Normal 2 2 2 3 3 2 4 2 2 10 2" xfId="13711"/>
    <cellStyle name="Normal 2 2 2 3 3 2 4 2 2 11" xfId="13712"/>
    <cellStyle name="Normal 2 2 2 3 3 2 4 2 2 2" xfId="13713"/>
    <cellStyle name="Normal 2 2 2 3 3 2 4 2 2 2 2" xfId="13714"/>
    <cellStyle name="Normal 2 2 2 3 3 2 4 2 2 3" xfId="13715"/>
    <cellStyle name="Normal 2 2 2 3 3 2 4 2 2 3 2" xfId="13716"/>
    <cellStyle name="Normal 2 2 2 3 3 2 4 2 2 4" xfId="13717"/>
    <cellStyle name="Normal 2 2 2 3 3 2 4 2 2 4 2" xfId="13718"/>
    <cellStyle name="Normal 2 2 2 3 3 2 4 2 2 5" xfId="13719"/>
    <cellStyle name="Normal 2 2 2 3 3 2 4 2 2 5 2" xfId="13720"/>
    <cellStyle name="Normal 2 2 2 3 3 2 4 2 2 6" xfId="13721"/>
    <cellStyle name="Normal 2 2 2 3 3 2 4 2 2 6 2" xfId="13722"/>
    <cellStyle name="Normal 2 2 2 3 3 2 4 2 2 7" xfId="13723"/>
    <cellStyle name="Normal 2 2 2 3 3 2 4 2 2 7 2" xfId="13724"/>
    <cellStyle name="Normal 2 2 2 3 3 2 4 2 2 8" xfId="13725"/>
    <cellStyle name="Normal 2 2 2 3 3 2 4 2 2 8 2" xfId="13726"/>
    <cellStyle name="Normal 2 2 2 3 3 2 4 2 2 9" xfId="13727"/>
    <cellStyle name="Normal 2 2 2 3 3 2 4 2 2 9 2" xfId="13728"/>
    <cellStyle name="Normal 2 2 2 3 3 2 4 2 3" xfId="13729"/>
    <cellStyle name="Normal 2 2 2 3 3 2 4 2 3 2" xfId="13730"/>
    <cellStyle name="Normal 2 2 2 3 3 2 4 2 4" xfId="13731"/>
    <cellStyle name="Normal 2 2 2 3 3 2 4 2 4 2" xfId="13732"/>
    <cellStyle name="Normal 2 2 2 3 3 2 4 2 5" xfId="13733"/>
    <cellStyle name="Normal 2 2 2 3 3 2 4 2 5 2" xfId="13734"/>
    <cellStyle name="Normal 2 2 2 3 3 2 4 2 6" xfId="13735"/>
    <cellStyle name="Normal 2 2 2 3 3 2 4 2 6 2" xfId="13736"/>
    <cellStyle name="Normal 2 2 2 3 3 2 4 2 7" xfId="13737"/>
    <cellStyle name="Normal 2 2 2 3 3 2 4 2 7 2" xfId="13738"/>
    <cellStyle name="Normal 2 2 2 3 3 2 4 2 8" xfId="13739"/>
    <cellStyle name="Normal 2 2 2 3 3 2 4 2 8 2" xfId="13740"/>
    <cellStyle name="Normal 2 2 2 3 3 2 4 2 9" xfId="13741"/>
    <cellStyle name="Normal 2 2 2 3 3 2 4 2 9 2" xfId="13742"/>
    <cellStyle name="Normal 2 2 2 3 3 2 4 3" xfId="13743"/>
    <cellStyle name="Normal 2 2 2 3 3 2 4 3 10" xfId="13744"/>
    <cellStyle name="Normal 2 2 2 3 3 2 4 3 10 2" xfId="13745"/>
    <cellStyle name="Normal 2 2 2 3 3 2 4 3 11" xfId="13746"/>
    <cellStyle name="Normal 2 2 2 3 3 2 4 3 2" xfId="13747"/>
    <cellStyle name="Normal 2 2 2 3 3 2 4 3 2 2" xfId="13748"/>
    <cellStyle name="Normal 2 2 2 3 3 2 4 3 3" xfId="13749"/>
    <cellStyle name="Normal 2 2 2 3 3 2 4 3 3 2" xfId="13750"/>
    <cellStyle name="Normal 2 2 2 3 3 2 4 3 4" xfId="13751"/>
    <cellStyle name="Normal 2 2 2 3 3 2 4 3 4 2" xfId="13752"/>
    <cellStyle name="Normal 2 2 2 3 3 2 4 3 5" xfId="13753"/>
    <cellStyle name="Normal 2 2 2 3 3 2 4 3 5 2" xfId="13754"/>
    <cellStyle name="Normal 2 2 2 3 3 2 4 3 6" xfId="13755"/>
    <cellStyle name="Normal 2 2 2 3 3 2 4 3 6 2" xfId="13756"/>
    <cellStyle name="Normal 2 2 2 3 3 2 4 3 7" xfId="13757"/>
    <cellStyle name="Normal 2 2 2 3 3 2 4 3 7 2" xfId="13758"/>
    <cellStyle name="Normal 2 2 2 3 3 2 4 3 8" xfId="13759"/>
    <cellStyle name="Normal 2 2 2 3 3 2 4 3 8 2" xfId="13760"/>
    <cellStyle name="Normal 2 2 2 3 3 2 4 3 9" xfId="13761"/>
    <cellStyle name="Normal 2 2 2 3 3 2 4 3 9 2" xfId="13762"/>
    <cellStyle name="Normal 2 2 2 3 3 2 4 4" xfId="13763"/>
    <cellStyle name="Normal 2 2 2 3 3 2 4 4 2" xfId="13764"/>
    <cellStyle name="Normal 2 2 2 3 3 2 4 5" xfId="13765"/>
    <cellStyle name="Normal 2 2 2 3 3 2 4 5 2" xfId="13766"/>
    <cellStyle name="Normal 2 2 2 3 3 2 4 6" xfId="13767"/>
    <cellStyle name="Normal 2 2 2 3 3 2 4 6 2" xfId="13768"/>
    <cellStyle name="Normal 2 2 2 3 3 2 4 7" xfId="13769"/>
    <cellStyle name="Normal 2 2 2 3 3 2 4 7 2" xfId="13770"/>
    <cellStyle name="Normal 2 2 2 3 3 2 4 8" xfId="13771"/>
    <cellStyle name="Normal 2 2 2 3 3 2 4 8 2" xfId="13772"/>
    <cellStyle name="Normal 2 2 2 3 3 2 4 9" xfId="13773"/>
    <cellStyle name="Normal 2 2 2 3 3 2 4 9 2" xfId="13774"/>
    <cellStyle name="Normal 2 2 2 3 3 2 5" xfId="13775"/>
    <cellStyle name="Normal 2 2 2 3 3 2 5 10" xfId="13776"/>
    <cellStyle name="Normal 2 2 2 3 3 2 5 10 2" xfId="13777"/>
    <cellStyle name="Normal 2 2 2 3 3 2 5 11" xfId="13778"/>
    <cellStyle name="Normal 2 2 2 3 3 2 5 11 2" xfId="13779"/>
    <cellStyle name="Normal 2 2 2 3 3 2 5 12" xfId="13780"/>
    <cellStyle name="Normal 2 2 2 3 3 2 5 12 2" xfId="13781"/>
    <cellStyle name="Normal 2 2 2 3 3 2 5 13" xfId="13782"/>
    <cellStyle name="Normal 2 2 2 3 3 2 5 2" xfId="13783"/>
    <cellStyle name="Normal 2 2 2 3 3 2 5 2 10" xfId="13784"/>
    <cellStyle name="Normal 2 2 2 3 3 2 5 2 10 2" xfId="13785"/>
    <cellStyle name="Normal 2 2 2 3 3 2 5 2 11" xfId="13786"/>
    <cellStyle name="Normal 2 2 2 3 3 2 5 2 11 2" xfId="13787"/>
    <cellStyle name="Normal 2 2 2 3 3 2 5 2 12" xfId="13788"/>
    <cellStyle name="Normal 2 2 2 3 3 2 5 2 2" xfId="13789"/>
    <cellStyle name="Normal 2 2 2 3 3 2 5 2 2 10" xfId="13790"/>
    <cellStyle name="Normal 2 2 2 3 3 2 5 2 2 10 2" xfId="13791"/>
    <cellStyle name="Normal 2 2 2 3 3 2 5 2 2 11" xfId="13792"/>
    <cellStyle name="Normal 2 2 2 3 3 2 5 2 2 2" xfId="13793"/>
    <cellStyle name="Normal 2 2 2 3 3 2 5 2 2 2 2" xfId="13794"/>
    <cellStyle name="Normal 2 2 2 3 3 2 5 2 2 3" xfId="13795"/>
    <cellStyle name="Normal 2 2 2 3 3 2 5 2 2 3 2" xfId="13796"/>
    <cellStyle name="Normal 2 2 2 3 3 2 5 2 2 4" xfId="13797"/>
    <cellStyle name="Normal 2 2 2 3 3 2 5 2 2 4 2" xfId="13798"/>
    <cellStyle name="Normal 2 2 2 3 3 2 5 2 2 5" xfId="13799"/>
    <cellStyle name="Normal 2 2 2 3 3 2 5 2 2 5 2" xfId="13800"/>
    <cellStyle name="Normal 2 2 2 3 3 2 5 2 2 6" xfId="13801"/>
    <cellStyle name="Normal 2 2 2 3 3 2 5 2 2 6 2" xfId="13802"/>
    <cellStyle name="Normal 2 2 2 3 3 2 5 2 2 7" xfId="13803"/>
    <cellStyle name="Normal 2 2 2 3 3 2 5 2 2 7 2" xfId="13804"/>
    <cellStyle name="Normal 2 2 2 3 3 2 5 2 2 8" xfId="13805"/>
    <cellStyle name="Normal 2 2 2 3 3 2 5 2 2 8 2" xfId="13806"/>
    <cellStyle name="Normal 2 2 2 3 3 2 5 2 2 9" xfId="13807"/>
    <cellStyle name="Normal 2 2 2 3 3 2 5 2 2 9 2" xfId="13808"/>
    <cellStyle name="Normal 2 2 2 3 3 2 5 2 3" xfId="13809"/>
    <cellStyle name="Normal 2 2 2 3 3 2 5 2 3 2" xfId="13810"/>
    <cellStyle name="Normal 2 2 2 3 3 2 5 2 4" xfId="13811"/>
    <cellStyle name="Normal 2 2 2 3 3 2 5 2 4 2" xfId="13812"/>
    <cellStyle name="Normal 2 2 2 3 3 2 5 2 5" xfId="13813"/>
    <cellStyle name="Normal 2 2 2 3 3 2 5 2 5 2" xfId="13814"/>
    <cellStyle name="Normal 2 2 2 3 3 2 5 2 6" xfId="13815"/>
    <cellStyle name="Normal 2 2 2 3 3 2 5 2 6 2" xfId="13816"/>
    <cellStyle name="Normal 2 2 2 3 3 2 5 2 7" xfId="13817"/>
    <cellStyle name="Normal 2 2 2 3 3 2 5 2 7 2" xfId="13818"/>
    <cellStyle name="Normal 2 2 2 3 3 2 5 2 8" xfId="13819"/>
    <cellStyle name="Normal 2 2 2 3 3 2 5 2 8 2" xfId="13820"/>
    <cellStyle name="Normal 2 2 2 3 3 2 5 2 9" xfId="13821"/>
    <cellStyle name="Normal 2 2 2 3 3 2 5 2 9 2" xfId="13822"/>
    <cellStyle name="Normal 2 2 2 3 3 2 5 3" xfId="13823"/>
    <cellStyle name="Normal 2 2 2 3 3 2 5 3 10" xfId="13824"/>
    <cellStyle name="Normal 2 2 2 3 3 2 5 3 10 2" xfId="13825"/>
    <cellStyle name="Normal 2 2 2 3 3 2 5 3 11" xfId="13826"/>
    <cellStyle name="Normal 2 2 2 3 3 2 5 3 2" xfId="13827"/>
    <cellStyle name="Normal 2 2 2 3 3 2 5 3 2 2" xfId="13828"/>
    <cellStyle name="Normal 2 2 2 3 3 2 5 3 3" xfId="13829"/>
    <cellStyle name="Normal 2 2 2 3 3 2 5 3 3 2" xfId="13830"/>
    <cellStyle name="Normal 2 2 2 3 3 2 5 3 4" xfId="13831"/>
    <cellStyle name="Normal 2 2 2 3 3 2 5 3 4 2" xfId="13832"/>
    <cellStyle name="Normal 2 2 2 3 3 2 5 3 5" xfId="13833"/>
    <cellStyle name="Normal 2 2 2 3 3 2 5 3 5 2" xfId="13834"/>
    <cellStyle name="Normal 2 2 2 3 3 2 5 3 6" xfId="13835"/>
    <cellStyle name="Normal 2 2 2 3 3 2 5 3 6 2" xfId="13836"/>
    <cellStyle name="Normal 2 2 2 3 3 2 5 3 7" xfId="13837"/>
    <cellStyle name="Normal 2 2 2 3 3 2 5 3 7 2" xfId="13838"/>
    <cellStyle name="Normal 2 2 2 3 3 2 5 3 8" xfId="13839"/>
    <cellStyle name="Normal 2 2 2 3 3 2 5 3 8 2" xfId="13840"/>
    <cellStyle name="Normal 2 2 2 3 3 2 5 3 9" xfId="13841"/>
    <cellStyle name="Normal 2 2 2 3 3 2 5 3 9 2" xfId="13842"/>
    <cellStyle name="Normal 2 2 2 3 3 2 5 4" xfId="13843"/>
    <cellStyle name="Normal 2 2 2 3 3 2 5 4 2" xfId="13844"/>
    <cellStyle name="Normal 2 2 2 3 3 2 5 5" xfId="13845"/>
    <cellStyle name="Normal 2 2 2 3 3 2 5 5 2" xfId="13846"/>
    <cellStyle name="Normal 2 2 2 3 3 2 5 6" xfId="13847"/>
    <cellStyle name="Normal 2 2 2 3 3 2 5 6 2" xfId="13848"/>
    <cellStyle name="Normal 2 2 2 3 3 2 5 7" xfId="13849"/>
    <cellStyle name="Normal 2 2 2 3 3 2 5 7 2" xfId="13850"/>
    <cellStyle name="Normal 2 2 2 3 3 2 5 8" xfId="13851"/>
    <cellStyle name="Normal 2 2 2 3 3 2 5 8 2" xfId="13852"/>
    <cellStyle name="Normal 2 2 2 3 3 2 5 9" xfId="13853"/>
    <cellStyle name="Normal 2 2 2 3 3 2 5 9 2" xfId="13854"/>
    <cellStyle name="Normal 2 2 2 3 3 3" xfId="13855"/>
    <cellStyle name="Normal 2 2 2 3 3 4" xfId="13856"/>
    <cellStyle name="Normal 2 2 2 3 3 5" xfId="13857"/>
    <cellStyle name="Normal 2 2 2 3 3 6" xfId="13858"/>
    <cellStyle name="Normal 2 2 2 3 3 7" xfId="13859"/>
    <cellStyle name="Normal 2 2 2 3 3 7 10" xfId="13860"/>
    <cellStyle name="Normal 2 2 2 3 3 7 10 2" xfId="13861"/>
    <cellStyle name="Normal 2 2 2 3 3 7 11" xfId="13862"/>
    <cellStyle name="Normal 2 2 2 3 3 7 11 2" xfId="13863"/>
    <cellStyle name="Normal 2 2 2 3 3 7 12" xfId="13864"/>
    <cellStyle name="Normal 2 2 2 3 3 7 2" xfId="13865"/>
    <cellStyle name="Normal 2 2 2 3 3 7 2 10" xfId="13866"/>
    <cellStyle name="Normal 2 2 2 3 3 7 2 10 2" xfId="13867"/>
    <cellStyle name="Normal 2 2 2 3 3 7 2 11" xfId="13868"/>
    <cellStyle name="Normal 2 2 2 3 3 7 2 2" xfId="13869"/>
    <cellStyle name="Normal 2 2 2 3 3 7 2 2 2" xfId="13870"/>
    <cellStyle name="Normal 2 2 2 3 3 7 2 3" xfId="13871"/>
    <cellStyle name="Normal 2 2 2 3 3 7 2 3 2" xfId="13872"/>
    <cellStyle name="Normal 2 2 2 3 3 7 2 4" xfId="13873"/>
    <cellStyle name="Normal 2 2 2 3 3 7 2 4 2" xfId="13874"/>
    <cellStyle name="Normal 2 2 2 3 3 7 2 5" xfId="13875"/>
    <cellStyle name="Normal 2 2 2 3 3 7 2 5 2" xfId="13876"/>
    <cellStyle name="Normal 2 2 2 3 3 7 2 6" xfId="13877"/>
    <cellStyle name="Normal 2 2 2 3 3 7 2 6 2" xfId="13878"/>
    <cellStyle name="Normal 2 2 2 3 3 7 2 7" xfId="13879"/>
    <cellStyle name="Normal 2 2 2 3 3 7 2 7 2" xfId="13880"/>
    <cellStyle name="Normal 2 2 2 3 3 7 2 8" xfId="13881"/>
    <cellStyle name="Normal 2 2 2 3 3 7 2 8 2" xfId="13882"/>
    <cellStyle name="Normal 2 2 2 3 3 7 2 9" xfId="13883"/>
    <cellStyle name="Normal 2 2 2 3 3 7 2 9 2" xfId="13884"/>
    <cellStyle name="Normal 2 2 2 3 3 7 3" xfId="13885"/>
    <cellStyle name="Normal 2 2 2 3 3 7 3 2" xfId="13886"/>
    <cellStyle name="Normal 2 2 2 3 3 7 4" xfId="13887"/>
    <cellStyle name="Normal 2 2 2 3 3 7 4 2" xfId="13888"/>
    <cellStyle name="Normal 2 2 2 3 3 7 5" xfId="13889"/>
    <cellStyle name="Normal 2 2 2 3 3 7 5 2" xfId="13890"/>
    <cellStyle name="Normal 2 2 2 3 3 7 6" xfId="13891"/>
    <cellStyle name="Normal 2 2 2 3 3 7 6 2" xfId="13892"/>
    <cellStyle name="Normal 2 2 2 3 3 7 7" xfId="13893"/>
    <cellStyle name="Normal 2 2 2 3 3 7 7 2" xfId="13894"/>
    <cellStyle name="Normal 2 2 2 3 3 7 8" xfId="13895"/>
    <cellStyle name="Normal 2 2 2 3 3 7 8 2" xfId="13896"/>
    <cellStyle name="Normal 2 2 2 3 3 7 9" xfId="13897"/>
    <cellStyle name="Normal 2 2 2 3 3 7 9 2" xfId="13898"/>
    <cellStyle name="Normal 2 2 2 3 3 8" xfId="13899"/>
    <cellStyle name="Normal 2 2 2 3 3 8 10" xfId="13900"/>
    <cellStyle name="Normal 2 2 2 3 3 8 10 2" xfId="13901"/>
    <cellStyle name="Normal 2 2 2 3 3 8 11" xfId="13902"/>
    <cellStyle name="Normal 2 2 2 3 3 8 2" xfId="13903"/>
    <cellStyle name="Normal 2 2 2 3 3 8 2 2" xfId="13904"/>
    <cellStyle name="Normal 2 2 2 3 3 8 3" xfId="13905"/>
    <cellStyle name="Normal 2 2 2 3 3 8 3 2" xfId="13906"/>
    <cellStyle name="Normal 2 2 2 3 3 8 4" xfId="13907"/>
    <cellStyle name="Normal 2 2 2 3 3 8 4 2" xfId="13908"/>
    <cellStyle name="Normal 2 2 2 3 3 8 5" xfId="13909"/>
    <cellStyle name="Normal 2 2 2 3 3 8 5 2" xfId="13910"/>
    <cellStyle name="Normal 2 2 2 3 3 8 6" xfId="13911"/>
    <cellStyle name="Normal 2 2 2 3 3 8 6 2" xfId="13912"/>
    <cellStyle name="Normal 2 2 2 3 3 8 7" xfId="13913"/>
    <cellStyle name="Normal 2 2 2 3 3 8 7 2" xfId="13914"/>
    <cellStyle name="Normal 2 2 2 3 3 8 8" xfId="13915"/>
    <cellStyle name="Normal 2 2 2 3 3 8 8 2" xfId="13916"/>
    <cellStyle name="Normal 2 2 2 3 3 8 9" xfId="13917"/>
    <cellStyle name="Normal 2 2 2 3 3 8 9 2" xfId="13918"/>
    <cellStyle name="Normal 2 2 2 3 3 9" xfId="13919"/>
    <cellStyle name="Normal 2 2 2 3 3 9 2" xfId="13920"/>
    <cellStyle name="Normal 2 2 2 3 4" xfId="13921"/>
    <cellStyle name="Normal 2 2 2 3 5" xfId="13922"/>
    <cellStyle name="Normal 2 2 2 3 6" xfId="13923"/>
    <cellStyle name="Normal 2 2 2 3 6 10" xfId="13924"/>
    <cellStyle name="Normal 2 2 2 3 6 10 2" xfId="13925"/>
    <cellStyle name="Normal 2 2 2 3 6 11" xfId="13926"/>
    <cellStyle name="Normal 2 2 2 3 6 11 2" xfId="13927"/>
    <cellStyle name="Normal 2 2 2 3 6 12" xfId="13928"/>
    <cellStyle name="Normal 2 2 2 3 6 12 2" xfId="13929"/>
    <cellStyle name="Normal 2 2 2 3 6 13" xfId="13930"/>
    <cellStyle name="Normal 2 2 2 3 6 13 2" xfId="13931"/>
    <cellStyle name="Normal 2 2 2 3 6 14" xfId="13932"/>
    <cellStyle name="Normal 2 2 2 3 6 14 2" xfId="13933"/>
    <cellStyle name="Normal 2 2 2 3 6 15" xfId="13934"/>
    <cellStyle name="Normal 2 2 2 3 6 15 2" xfId="13935"/>
    <cellStyle name="Normal 2 2 2 3 6 16" xfId="13936"/>
    <cellStyle name="Normal 2 2 2 3 6 16 2" xfId="13937"/>
    <cellStyle name="Normal 2 2 2 3 6 17" xfId="13938"/>
    <cellStyle name="Normal 2 2 2 3 6 2" xfId="13939"/>
    <cellStyle name="Normal 2 2 2 3 6 3" xfId="13940"/>
    <cellStyle name="Normal 2 2 2 3 6 4" xfId="13941"/>
    <cellStyle name="Normal 2 2 2 3 6 5" xfId="13942"/>
    <cellStyle name="Normal 2 2 2 3 6 6" xfId="13943"/>
    <cellStyle name="Normal 2 2 2 3 6 6 10" xfId="13944"/>
    <cellStyle name="Normal 2 2 2 3 6 6 10 2" xfId="13945"/>
    <cellStyle name="Normal 2 2 2 3 6 6 11" xfId="13946"/>
    <cellStyle name="Normal 2 2 2 3 6 6 11 2" xfId="13947"/>
    <cellStyle name="Normal 2 2 2 3 6 6 12" xfId="13948"/>
    <cellStyle name="Normal 2 2 2 3 6 6 2" xfId="13949"/>
    <cellStyle name="Normal 2 2 2 3 6 6 2 10" xfId="13950"/>
    <cellStyle name="Normal 2 2 2 3 6 6 2 10 2" xfId="13951"/>
    <cellStyle name="Normal 2 2 2 3 6 6 2 11" xfId="13952"/>
    <cellStyle name="Normal 2 2 2 3 6 6 2 2" xfId="13953"/>
    <cellStyle name="Normal 2 2 2 3 6 6 2 2 2" xfId="13954"/>
    <cellStyle name="Normal 2 2 2 3 6 6 2 3" xfId="13955"/>
    <cellStyle name="Normal 2 2 2 3 6 6 2 3 2" xfId="13956"/>
    <cellStyle name="Normal 2 2 2 3 6 6 2 4" xfId="13957"/>
    <cellStyle name="Normal 2 2 2 3 6 6 2 4 2" xfId="13958"/>
    <cellStyle name="Normal 2 2 2 3 6 6 2 5" xfId="13959"/>
    <cellStyle name="Normal 2 2 2 3 6 6 2 5 2" xfId="13960"/>
    <cellStyle name="Normal 2 2 2 3 6 6 2 6" xfId="13961"/>
    <cellStyle name="Normal 2 2 2 3 6 6 2 6 2" xfId="13962"/>
    <cellStyle name="Normal 2 2 2 3 6 6 2 7" xfId="13963"/>
    <cellStyle name="Normal 2 2 2 3 6 6 2 7 2" xfId="13964"/>
    <cellStyle name="Normal 2 2 2 3 6 6 2 8" xfId="13965"/>
    <cellStyle name="Normal 2 2 2 3 6 6 2 8 2" xfId="13966"/>
    <cellStyle name="Normal 2 2 2 3 6 6 2 9" xfId="13967"/>
    <cellStyle name="Normal 2 2 2 3 6 6 2 9 2" xfId="13968"/>
    <cellStyle name="Normal 2 2 2 3 6 6 3" xfId="13969"/>
    <cellStyle name="Normal 2 2 2 3 6 6 3 2" xfId="13970"/>
    <cellStyle name="Normal 2 2 2 3 6 6 4" xfId="13971"/>
    <cellStyle name="Normal 2 2 2 3 6 6 4 2" xfId="13972"/>
    <cellStyle name="Normal 2 2 2 3 6 6 5" xfId="13973"/>
    <cellStyle name="Normal 2 2 2 3 6 6 5 2" xfId="13974"/>
    <cellStyle name="Normal 2 2 2 3 6 6 6" xfId="13975"/>
    <cellStyle name="Normal 2 2 2 3 6 6 6 2" xfId="13976"/>
    <cellStyle name="Normal 2 2 2 3 6 6 7" xfId="13977"/>
    <cellStyle name="Normal 2 2 2 3 6 6 7 2" xfId="13978"/>
    <cellStyle name="Normal 2 2 2 3 6 6 8" xfId="13979"/>
    <cellStyle name="Normal 2 2 2 3 6 6 8 2" xfId="13980"/>
    <cellStyle name="Normal 2 2 2 3 6 6 9" xfId="13981"/>
    <cellStyle name="Normal 2 2 2 3 6 6 9 2" xfId="13982"/>
    <cellStyle name="Normal 2 2 2 3 6 7" xfId="13983"/>
    <cellStyle name="Normal 2 2 2 3 6 7 10" xfId="13984"/>
    <cellStyle name="Normal 2 2 2 3 6 7 10 2" xfId="13985"/>
    <cellStyle name="Normal 2 2 2 3 6 7 11" xfId="13986"/>
    <cellStyle name="Normal 2 2 2 3 6 7 2" xfId="13987"/>
    <cellStyle name="Normal 2 2 2 3 6 7 2 2" xfId="13988"/>
    <cellStyle name="Normal 2 2 2 3 6 7 3" xfId="13989"/>
    <cellStyle name="Normal 2 2 2 3 6 7 3 2" xfId="13990"/>
    <cellStyle name="Normal 2 2 2 3 6 7 4" xfId="13991"/>
    <cellStyle name="Normal 2 2 2 3 6 7 4 2" xfId="13992"/>
    <cellStyle name="Normal 2 2 2 3 6 7 5" xfId="13993"/>
    <cellStyle name="Normal 2 2 2 3 6 7 5 2" xfId="13994"/>
    <cellStyle name="Normal 2 2 2 3 6 7 6" xfId="13995"/>
    <cellStyle name="Normal 2 2 2 3 6 7 6 2" xfId="13996"/>
    <cellStyle name="Normal 2 2 2 3 6 7 7" xfId="13997"/>
    <cellStyle name="Normal 2 2 2 3 6 7 7 2" xfId="13998"/>
    <cellStyle name="Normal 2 2 2 3 6 7 8" xfId="13999"/>
    <cellStyle name="Normal 2 2 2 3 6 7 8 2" xfId="14000"/>
    <cellStyle name="Normal 2 2 2 3 6 7 9" xfId="14001"/>
    <cellStyle name="Normal 2 2 2 3 6 7 9 2" xfId="14002"/>
    <cellStyle name="Normal 2 2 2 3 6 8" xfId="14003"/>
    <cellStyle name="Normal 2 2 2 3 6 8 2" xfId="14004"/>
    <cellStyle name="Normal 2 2 2 3 6 9" xfId="14005"/>
    <cellStyle name="Normal 2 2 2 3 6 9 2" xfId="14006"/>
    <cellStyle name="Normal 2 2 2 3 7" xfId="14007"/>
    <cellStyle name="Normal 2 2 2 3 7 10" xfId="14008"/>
    <cellStyle name="Normal 2 2 2 3 7 10 2" xfId="14009"/>
    <cellStyle name="Normal 2 2 2 3 7 11" xfId="14010"/>
    <cellStyle name="Normal 2 2 2 3 7 11 2" xfId="14011"/>
    <cellStyle name="Normal 2 2 2 3 7 12" xfId="14012"/>
    <cellStyle name="Normal 2 2 2 3 7 12 2" xfId="14013"/>
    <cellStyle name="Normal 2 2 2 3 7 13" xfId="14014"/>
    <cellStyle name="Normal 2 2 2 3 7 2" xfId="14015"/>
    <cellStyle name="Normal 2 2 2 3 7 2 10" xfId="14016"/>
    <cellStyle name="Normal 2 2 2 3 7 2 10 2" xfId="14017"/>
    <cellStyle name="Normal 2 2 2 3 7 2 11" xfId="14018"/>
    <cellStyle name="Normal 2 2 2 3 7 2 11 2" xfId="14019"/>
    <cellStyle name="Normal 2 2 2 3 7 2 12" xfId="14020"/>
    <cellStyle name="Normal 2 2 2 3 7 2 2" xfId="14021"/>
    <cellStyle name="Normal 2 2 2 3 7 2 2 10" xfId="14022"/>
    <cellStyle name="Normal 2 2 2 3 7 2 2 10 2" xfId="14023"/>
    <cellStyle name="Normal 2 2 2 3 7 2 2 11" xfId="14024"/>
    <cellStyle name="Normal 2 2 2 3 7 2 2 2" xfId="14025"/>
    <cellStyle name="Normal 2 2 2 3 7 2 2 2 2" xfId="14026"/>
    <cellStyle name="Normal 2 2 2 3 7 2 2 3" xfId="14027"/>
    <cellStyle name="Normal 2 2 2 3 7 2 2 3 2" xfId="14028"/>
    <cellStyle name="Normal 2 2 2 3 7 2 2 4" xfId="14029"/>
    <cellStyle name="Normal 2 2 2 3 7 2 2 4 2" xfId="14030"/>
    <cellStyle name="Normal 2 2 2 3 7 2 2 5" xfId="14031"/>
    <cellStyle name="Normal 2 2 2 3 7 2 2 5 2" xfId="14032"/>
    <cellStyle name="Normal 2 2 2 3 7 2 2 6" xfId="14033"/>
    <cellStyle name="Normal 2 2 2 3 7 2 2 6 2" xfId="14034"/>
    <cellStyle name="Normal 2 2 2 3 7 2 2 7" xfId="14035"/>
    <cellStyle name="Normal 2 2 2 3 7 2 2 7 2" xfId="14036"/>
    <cellStyle name="Normal 2 2 2 3 7 2 2 8" xfId="14037"/>
    <cellStyle name="Normal 2 2 2 3 7 2 2 8 2" xfId="14038"/>
    <cellStyle name="Normal 2 2 2 3 7 2 2 9" xfId="14039"/>
    <cellStyle name="Normal 2 2 2 3 7 2 2 9 2" xfId="14040"/>
    <cellStyle name="Normal 2 2 2 3 7 2 3" xfId="14041"/>
    <cellStyle name="Normal 2 2 2 3 7 2 3 2" xfId="14042"/>
    <cellStyle name="Normal 2 2 2 3 7 2 4" xfId="14043"/>
    <cellStyle name="Normal 2 2 2 3 7 2 4 2" xfId="14044"/>
    <cellStyle name="Normal 2 2 2 3 7 2 5" xfId="14045"/>
    <cellStyle name="Normal 2 2 2 3 7 2 5 2" xfId="14046"/>
    <cellStyle name="Normal 2 2 2 3 7 2 6" xfId="14047"/>
    <cellStyle name="Normal 2 2 2 3 7 2 6 2" xfId="14048"/>
    <cellStyle name="Normal 2 2 2 3 7 2 7" xfId="14049"/>
    <cellStyle name="Normal 2 2 2 3 7 2 7 2" xfId="14050"/>
    <cellStyle name="Normal 2 2 2 3 7 2 8" xfId="14051"/>
    <cellStyle name="Normal 2 2 2 3 7 2 8 2" xfId="14052"/>
    <cellStyle name="Normal 2 2 2 3 7 2 9" xfId="14053"/>
    <cellStyle name="Normal 2 2 2 3 7 2 9 2" xfId="14054"/>
    <cellStyle name="Normal 2 2 2 3 7 3" xfId="14055"/>
    <cellStyle name="Normal 2 2 2 3 7 3 10" xfId="14056"/>
    <cellStyle name="Normal 2 2 2 3 7 3 10 2" xfId="14057"/>
    <cellStyle name="Normal 2 2 2 3 7 3 11" xfId="14058"/>
    <cellStyle name="Normal 2 2 2 3 7 3 2" xfId="14059"/>
    <cellStyle name="Normal 2 2 2 3 7 3 2 2" xfId="14060"/>
    <cellStyle name="Normal 2 2 2 3 7 3 3" xfId="14061"/>
    <cellStyle name="Normal 2 2 2 3 7 3 3 2" xfId="14062"/>
    <cellStyle name="Normal 2 2 2 3 7 3 4" xfId="14063"/>
    <cellStyle name="Normal 2 2 2 3 7 3 4 2" xfId="14064"/>
    <cellStyle name="Normal 2 2 2 3 7 3 5" xfId="14065"/>
    <cellStyle name="Normal 2 2 2 3 7 3 5 2" xfId="14066"/>
    <cellStyle name="Normal 2 2 2 3 7 3 6" xfId="14067"/>
    <cellStyle name="Normal 2 2 2 3 7 3 6 2" xfId="14068"/>
    <cellStyle name="Normal 2 2 2 3 7 3 7" xfId="14069"/>
    <cellStyle name="Normal 2 2 2 3 7 3 7 2" xfId="14070"/>
    <cellStyle name="Normal 2 2 2 3 7 3 8" xfId="14071"/>
    <cellStyle name="Normal 2 2 2 3 7 3 8 2" xfId="14072"/>
    <cellStyle name="Normal 2 2 2 3 7 3 9" xfId="14073"/>
    <cellStyle name="Normal 2 2 2 3 7 3 9 2" xfId="14074"/>
    <cellStyle name="Normal 2 2 2 3 7 4" xfId="14075"/>
    <cellStyle name="Normal 2 2 2 3 7 4 2" xfId="14076"/>
    <cellStyle name="Normal 2 2 2 3 7 5" xfId="14077"/>
    <cellStyle name="Normal 2 2 2 3 7 5 2" xfId="14078"/>
    <cellStyle name="Normal 2 2 2 3 7 6" xfId="14079"/>
    <cellStyle name="Normal 2 2 2 3 7 6 2" xfId="14080"/>
    <cellStyle name="Normal 2 2 2 3 7 7" xfId="14081"/>
    <cellStyle name="Normal 2 2 2 3 7 7 2" xfId="14082"/>
    <cellStyle name="Normal 2 2 2 3 7 8" xfId="14083"/>
    <cellStyle name="Normal 2 2 2 3 7 8 2" xfId="14084"/>
    <cellStyle name="Normal 2 2 2 3 7 9" xfId="14085"/>
    <cellStyle name="Normal 2 2 2 3 7 9 2" xfId="14086"/>
    <cellStyle name="Normal 2 2 2 3 8" xfId="14087"/>
    <cellStyle name="Normal 2 2 2 3 8 10" xfId="14088"/>
    <cellStyle name="Normal 2 2 2 3 8 10 2" xfId="14089"/>
    <cellStyle name="Normal 2 2 2 3 8 11" xfId="14090"/>
    <cellStyle name="Normal 2 2 2 3 8 11 2" xfId="14091"/>
    <cellStyle name="Normal 2 2 2 3 8 12" xfId="14092"/>
    <cellStyle name="Normal 2 2 2 3 8 12 2" xfId="14093"/>
    <cellStyle name="Normal 2 2 2 3 8 13" xfId="14094"/>
    <cellStyle name="Normal 2 2 2 3 8 2" xfId="14095"/>
    <cellStyle name="Normal 2 2 2 3 8 2 10" xfId="14096"/>
    <cellStyle name="Normal 2 2 2 3 8 2 10 2" xfId="14097"/>
    <cellStyle name="Normal 2 2 2 3 8 2 11" xfId="14098"/>
    <cellStyle name="Normal 2 2 2 3 8 2 11 2" xfId="14099"/>
    <cellStyle name="Normal 2 2 2 3 8 2 12" xfId="14100"/>
    <cellStyle name="Normal 2 2 2 3 8 2 2" xfId="14101"/>
    <cellStyle name="Normal 2 2 2 3 8 2 2 10" xfId="14102"/>
    <cellStyle name="Normal 2 2 2 3 8 2 2 10 2" xfId="14103"/>
    <cellStyle name="Normal 2 2 2 3 8 2 2 11" xfId="14104"/>
    <cellStyle name="Normal 2 2 2 3 8 2 2 2" xfId="14105"/>
    <cellStyle name="Normal 2 2 2 3 8 2 2 2 2" xfId="14106"/>
    <cellStyle name="Normal 2 2 2 3 8 2 2 3" xfId="14107"/>
    <cellStyle name="Normal 2 2 2 3 8 2 2 3 2" xfId="14108"/>
    <cellStyle name="Normal 2 2 2 3 8 2 2 4" xfId="14109"/>
    <cellStyle name="Normal 2 2 2 3 8 2 2 4 2" xfId="14110"/>
    <cellStyle name="Normal 2 2 2 3 8 2 2 5" xfId="14111"/>
    <cellStyle name="Normal 2 2 2 3 8 2 2 5 2" xfId="14112"/>
    <cellStyle name="Normal 2 2 2 3 8 2 2 6" xfId="14113"/>
    <cellStyle name="Normal 2 2 2 3 8 2 2 6 2" xfId="14114"/>
    <cellStyle name="Normal 2 2 2 3 8 2 2 7" xfId="14115"/>
    <cellStyle name="Normal 2 2 2 3 8 2 2 7 2" xfId="14116"/>
    <cellStyle name="Normal 2 2 2 3 8 2 2 8" xfId="14117"/>
    <cellStyle name="Normal 2 2 2 3 8 2 2 8 2" xfId="14118"/>
    <cellStyle name="Normal 2 2 2 3 8 2 2 9" xfId="14119"/>
    <cellStyle name="Normal 2 2 2 3 8 2 2 9 2" xfId="14120"/>
    <cellStyle name="Normal 2 2 2 3 8 2 3" xfId="14121"/>
    <cellStyle name="Normal 2 2 2 3 8 2 3 2" xfId="14122"/>
    <cellStyle name="Normal 2 2 2 3 8 2 4" xfId="14123"/>
    <cellStyle name="Normal 2 2 2 3 8 2 4 2" xfId="14124"/>
    <cellStyle name="Normal 2 2 2 3 8 2 5" xfId="14125"/>
    <cellStyle name="Normal 2 2 2 3 8 2 5 2" xfId="14126"/>
    <cellStyle name="Normal 2 2 2 3 8 2 6" xfId="14127"/>
    <cellStyle name="Normal 2 2 2 3 8 2 6 2" xfId="14128"/>
    <cellStyle name="Normal 2 2 2 3 8 2 7" xfId="14129"/>
    <cellStyle name="Normal 2 2 2 3 8 2 7 2" xfId="14130"/>
    <cellStyle name="Normal 2 2 2 3 8 2 8" xfId="14131"/>
    <cellStyle name="Normal 2 2 2 3 8 2 8 2" xfId="14132"/>
    <cellStyle name="Normal 2 2 2 3 8 2 9" xfId="14133"/>
    <cellStyle name="Normal 2 2 2 3 8 2 9 2" xfId="14134"/>
    <cellStyle name="Normal 2 2 2 3 8 3" xfId="14135"/>
    <cellStyle name="Normal 2 2 2 3 8 3 10" xfId="14136"/>
    <cellStyle name="Normal 2 2 2 3 8 3 10 2" xfId="14137"/>
    <cellStyle name="Normal 2 2 2 3 8 3 11" xfId="14138"/>
    <cellStyle name="Normal 2 2 2 3 8 3 2" xfId="14139"/>
    <cellStyle name="Normal 2 2 2 3 8 3 2 2" xfId="14140"/>
    <cellStyle name="Normal 2 2 2 3 8 3 3" xfId="14141"/>
    <cellStyle name="Normal 2 2 2 3 8 3 3 2" xfId="14142"/>
    <cellStyle name="Normal 2 2 2 3 8 3 4" xfId="14143"/>
    <cellStyle name="Normal 2 2 2 3 8 3 4 2" xfId="14144"/>
    <cellStyle name="Normal 2 2 2 3 8 3 5" xfId="14145"/>
    <cellStyle name="Normal 2 2 2 3 8 3 5 2" xfId="14146"/>
    <cellStyle name="Normal 2 2 2 3 8 3 6" xfId="14147"/>
    <cellStyle name="Normal 2 2 2 3 8 3 6 2" xfId="14148"/>
    <cellStyle name="Normal 2 2 2 3 8 3 7" xfId="14149"/>
    <cellStyle name="Normal 2 2 2 3 8 3 7 2" xfId="14150"/>
    <cellStyle name="Normal 2 2 2 3 8 3 8" xfId="14151"/>
    <cellStyle name="Normal 2 2 2 3 8 3 8 2" xfId="14152"/>
    <cellStyle name="Normal 2 2 2 3 8 3 9" xfId="14153"/>
    <cellStyle name="Normal 2 2 2 3 8 3 9 2" xfId="14154"/>
    <cellStyle name="Normal 2 2 2 3 8 4" xfId="14155"/>
    <cellStyle name="Normal 2 2 2 3 8 4 2" xfId="14156"/>
    <cellStyle name="Normal 2 2 2 3 8 5" xfId="14157"/>
    <cellStyle name="Normal 2 2 2 3 8 5 2" xfId="14158"/>
    <cellStyle name="Normal 2 2 2 3 8 6" xfId="14159"/>
    <cellStyle name="Normal 2 2 2 3 8 6 2" xfId="14160"/>
    <cellStyle name="Normal 2 2 2 3 8 7" xfId="14161"/>
    <cellStyle name="Normal 2 2 2 3 8 7 2" xfId="14162"/>
    <cellStyle name="Normal 2 2 2 3 8 8" xfId="14163"/>
    <cellStyle name="Normal 2 2 2 3 8 8 2" xfId="14164"/>
    <cellStyle name="Normal 2 2 2 3 8 9" xfId="14165"/>
    <cellStyle name="Normal 2 2 2 3 8 9 2" xfId="14166"/>
    <cellStyle name="Normal 2 2 2 3 9" xfId="14167"/>
    <cellStyle name="Normal 2 2 2 3 9 10" xfId="14168"/>
    <cellStyle name="Normal 2 2 2 3 9 10 2" xfId="14169"/>
    <cellStyle name="Normal 2 2 2 3 9 11" xfId="14170"/>
    <cellStyle name="Normal 2 2 2 3 9 11 2" xfId="14171"/>
    <cellStyle name="Normal 2 2 2 3 9 12" xfId="14172"/>
    <cellStyle name="Normal 2 2 2 3 9 12 2" xfId="14173"/>
    <cellStyle name="Normal 2 2 2 3 9 13" xfId="14174"/>
    <cellStyle name="Normal 2 2 2 3 9 2" xfId="14175"/>
    <cellStyle name="Normal 2 2 2 3 9 2 10" xfId="14176"/>
    <cellStyle name="Normal 2 2 2 3 9 2 10 2" xfId="14177"/>
    <cellStyle name="Normal 2 2 2 3 9 2 11" xfId="14178"/>
    <cellStyle name="Normal 2 2 2 3 9 2 11 2" xfId="14179"/>
    <cellStyle name="Normal 2 2 2 3 9 2 12" xfId="14180"/>
    <cellStyle name="Normal 2 2 2 3 9 2 2" xfId="14181"/>
    <cellStyle name="Normal 2 2 2 3 9 2 2 10" xfId="14182"/>
    <cellStyle name="Normal 2 2 2 3 9 2 2 10 2" xfId="14183"/>
    <cellStyle name="Normal 2 2 2 3 9 2 2 11" xfId="14184"/>
    <cellStyle name="Normal 2 2 2 3 9 2 2 2" xfId="14185"/>
    <cellStyle name="Normal 2 2 2 3 9 2 2 2 2" xfId="14186"/>
    <cellStyle name="Normal 2 2 2 3 9 2 2 3" xfId="14187"/>
    <cellStyle name="Normal 2 2 2 3 9 2 2 3 2" xfId="14188"/>
    <cellStyle name="Normal 2 2 2 3 9 2 2 4" xfId="14189"/>
    <cellStyle name="Normal 2 2 2 3 9 2 2 4 2" xfId="14190"/>
    <cellStyle name="Normal 2 2 2 3 9 2 2 5" xfId="14191"/>
    <cellStyle name="Normal 2 2 2 3 9 2 2 5 2" xfId="14192"/>
    <cellStyle name="Normal 2 2 2 3 9 2 2 6" xfId="14193"/>
    <cellStyle name="Normal 2 2 2 3 9 2 2 6 2" xfId="14194"/>
    <cellStyle name="Normal 2 2 2 3 9 2 2 7" xfId="14195"/>
    <cellStyle name="Normal 2 2 2 3 9 2 2 7 2" xfId="14196"/>
    <cellStyle name="Normal 2 2 2 3 9 2 2 8" xfId="14197"/>
    <cellStyle name="Normal 2 2 2 3 9 2 2 8 2" xfId="14198"/>
    <cellStyle name="Normal 2 2 2 3 9 2 2 9" xfId="14199"/>
    <cellStyle name="Normal 2 2 2 3 9 2 2 9 2" xfId="14200"/>
    <cellStyle name="Normal 2 2 2 3 9 2 3" xfId="14201"/>
    <cellStyle name="Normal 2 2 2 3 9 2 3 2" xfId="14202"/>
    <cellStyle name="Normal 2 2 2 3 9 2 4" xfId="14203"/>
    <cellStyle name="Normal 2 2 2 3 9 2 4 2" xfId="14204"/>
    <cellStyle name="Normal 2 2 2 3 9 2 5" xfId="14205"/>
    <cellStyle name="Normal 2 2 2 3 9 2 5 2" xfId="14206"/>
    <cellStyle name="Normal 2 2 2 3 9 2 6" xfId="14207"/>
    <cellStyle name="Normal 2 2 2 3 9 2 6 2" xfId="14208"/>
    <cellStyle name="Normal 2 2 2 3 9 2 7" xfId="14209"/>
    <cellStyle name="Normal 2 2 2 3 9 2 7 2" xfId="14210"/>
    <cellStyle name="Normal 2 2 2 3 9 2 8" xfId="14211"/>
    <cellStyle name="Normal 2 2 2 3 9 2 8 2" xfId="14212"/>
    <cellStyle name="Normal 2 2 2 3 9 2 9" xfId="14213"/>
    <cellStyle name="Normal 2 2 2 3 9 2 9 2" xfId="14214"/>
    <cellStyle name="Normal 2 2 2 3 9 3" xfId="14215"/>
    <cellStyle name="Normal 2 2 2 3 9 3 10" xfId="14216"/>
    <cellStyle name="Normal 2 2 2 3 9 3 10 2" xfId="14217"/>
    <cellStyle name="Normal 2 2 2 3 9 3 11" xfId="14218"/>
    <cellStyle name="Normal 2 2 2 3 9 3 2" xfId="14219"/>
    <cellStyle name="Normal 2 2 2 3 9 3 2 2" xfId="14220"/>
    <cellStyle name="Normal 2 2 2 3 9 3 3" xfId="14221"/>
    <cellStyle name="Normal 2 2 2 3 9 3 3 2" xfId="14222"/>
    <cellStyle name="Normal 2 2 2 3 9 3 4" xfId="14223"/>
    <cellStyle name="Normal 2 2 2 3 9 3 4 2" xfId="14224"/>
    <cellStyle name="Normal 2 2 2 3 9 3 5" xfId="14225"/>
    <cellStyle name="Normal 2 2 2 3 9 3 5 2" xfId="14226"/>
    <cellStyle name="Normal 2 2 2 3 9 3 6" xfId="14227"/>
    <cellStyle name="Normal 2 2 2 3 9 3 6 2" xfId="14228"/>
    <cellStyle name="Normal 2 2 2 3 9 3 7" xfId="14229"/>
    <cellStyle name="Normal 2 2 2 3 9 3 7 2" xfId="14230"/>
    <cellStyle name="Normal 2 2 2 3 9 3 8" xfId="14231"/>
    <cellStyle name="Normal 2 2 2 3 9 3 8 2" xfId="14232"/>
    <cellStyle name="Normal 2 2 2 3 9 3 9" xfId="14233"/>
    <cellStyle name="Normal 2 2 2 3 9 3 9 2" xfId="14234"/>
    <cellStyle name="Normal 2 2 2 3 9 4" xfId="14235"/>
    <cellStyle name="Normal 2 2 2 3 9 4 2" xfId="14236"/>
    <cellStyle name="Normal 2 2 2 3 9 5" xfId="14237"/>
    <cellStyle name="Normal 2 2 2 3 9 5 2" xfId="14238"/>
    <cellStyle name="Normal 2 2 2 3 9 6" xfId="14239"/>
    <cellStyle name="Normal 2 2 2 3 9 6 2" xfId="14240"/>
    <cellStyle name="Normal 2 2 2 3 9 7" xfId="14241"/>
    <cellStyle name="Normal 2 2 2 3 9 7 2" xfId="14242"/>
    <cellStyle name="Normal 2 2 2 3 9 8" xfId="14243"/>
    <cellStyle name="Normal 2 2 2 3 9 8 2" xfId="14244"/>
    <cellStyle name="Normal 2 2 2 3 9 9" xfId="14245"/>
    <cellStyle name="Normal 2 2 2 3 9 9 2" xfId="14246"/>
    <cellStyle name="Normal 2 2 2 4" xfId="14247"/>
    <cellStyle name="Normal 2 2 2 4 10" xfId="14248"/>
    <cellStyle name="Normal 2 2 2 4 10 2" xfId="14249"/>
    <cellStyle name="Normal 2 2 2 4 11" xfId="14250"/>
    <cellStyle name="Normal 2 2 2 4 11 2" xfId="14251"/>
    <cellStyle name="Normal 2 2 2 4 12" xfId="14252"/>
    <cellStyle name="Normal 2 2 2 4 12 2" xfId="14253"/>
    <cellStyle name="Normal 2 2 2 4 13" xfId="14254"/>
    <cellStyle name="Normal 2 2 2 4 2" xfId="14255"/>
    <cellStyle name="Normal 2 2 2 4 2 10" xfId="14256"/>
    <cellStyle name="Normal 2 2 2 4 2 10 2" xfId="14257"/>
    <cellStyle name="Normal 2 2 2 4 2 11" xfId="14258"/>
    <cellStyle name="Normal 2 2 2 4 2 11 2" xfId="14259"/>
    <cellStyle name="Normal 2 2 2 4 2 12" xfId="14260"/>
    <cellStyle name="Normal 2 2 2 4 2 2" xfId="14261"/>
    <cellStyle name="Normal 2 2 2 4 2 2 10" xfId="14262"/>
    <cellStyle name="Normal 2 2 2 4 2 2 10 2" xfId="14263"/>
    <cellStyle name="Normal 2 2 2 4 2 2 11" xfId="14264"/>
    <cellStyle name="Normal 2 2 2 4 2 2 2" xfId="14265"/>
    <cellStyle name="Normal 2 2 2 4 2 2 2 2" xfId="14266"/>
    <cellStyle name="Normal 2 2 2 4 2 2 3" xfId="14267"/>
    <cellStyle name="Normal 2 2 2 4 2 2 3 2" xfId="14268"/>
    <cellStyle name="Normal 2 2 2 4 2 2 4" xfId="14269"/>
    <cellStyle name="Normal 2 2 2 4 2 2 4 2" xfId="14270"/>
    <cellStyle name="Normal 2 2 2 4 2 2 5" xfId="14271"/>
    <cellStyle name="Normal 2 2 2 4 2 2 5 2" xfId="14272"/>
    <cellStyle name="Normal 2 2 2 4 2 2 6" xfId="14273"/>
    <cellStyle name="Normal 2 2 2 4 2 2 6 2" xfId="14274"/>
    <cellStyle name="Normal 2 2 2 4 2 2 7" xfId="14275"/>
    <cellStyle name="Normal 2 2 2 4 2 2 7 2" xfId="14276"/>
    <cellStyle name="Normal 2 2 2 4 2 2 8" xfId="14277"/>
    <cellStyle name="Normal 2 2 2 4 2 2 8 2" xfId="14278"/>
    <cellStyle name="Normal 2 2 2 4 2 2 9" xfId="14279"/>
    <cellStyle name="Normal 2 2 2 4 2 2 9 2" xfId="14280"/>
    <cellStyle name="Normal 2 2 2 4 2 3" xfId="14281"/>
    <cellStyle name="Normal 2 2 2 4 2 3 2" xfId="14282"/>
    <cellStyle name="Normal 2 2 2 4 2 4" xfId="14283"/>
    <cellStyle name="Normal 2 2 2 4 2 4 2" xfId="14284"/>
    <cellStyle name="Normal 2 2 2 4 2 5" xfId="14285"/>
    <cellStyle name="Normal 2 2 2 4 2 5 2" xfId="14286"/>
    <cellStyle name="Normal 2 2 2 4 2 6" xfId="14287"/>
    <cellStyle name="Normal 2 2 2 4 2 6 2" xfId="14288"/>
    <cellStyle name="Normal 2 2 2 4 2 7" xfId="14289"/>
    <cellStyle name="Normal 2 2 2 4 2 7 2" xfId="14290"/>
    <cellStyle name="Normal 2 2 2 4 2 8" xfId="14291"/>
    <cellStyle name="Normal 2 2 2 4 2 8 2" xfId="14292"/>
    <cellStyle name="Normal 2 2 2 4 2 9" xfId="14293"/>
    <cellStyle name="Normal 2 2 2 4 2 9 2" xfId="14294"/>
    <cellStyle name="Normal 2 2 2 4 3" xfId="14295"/>
    <cellStyle name="Normal 2 2 2 4 3 10" xfId="14296"/>
    <cellStyle name="Normal 2 2 2 4 3 10 2" xfId="14297"/>
    <cellStyle name="Normal 2 2 2 4 3 11" xfId="14298"/>
    <cellStyle name="Normal 2 2 2 4 3 2" xfId="14299"/>
    <cellStyle name="Normal 2 2 2 4 3 2 2" xfId="14300"/>
    <cellStyle name="Normal 2 2 2 4 3 3" xfId="14301"/>
    <cellStyle name="Normal 2 2 2 4 3 3 2" xfId="14302"/>
    <cellStyle name="Normal 2 2 2 4 3 4" xfId="14303"/>
    <cellStyle name="Normal 2 2 2 4 3 4 2" xfId="14304"/>
    <cellStyle name="Normal 2 2 2 4 3 5" xfId="14305"/>
    <cellStyle name="Normal 2 2 2 4 3 5 2" xfId="14306"/>
    <cellStyle name="Normal 2 2 2 4 3 6" xfId="14307"/>
    <cellStyle name="Normal 2 2 2 4 3 6 2" xfId="14308"/>
    <cellStyle name="Normal 2 2 2 4 3 7" xfId="14309"/>
    <cellStyle name="Normal 2 2 2 4 3 7 2" xfId="14310"/>
    <cellStyle name="Normal 2 2 2 4 3 8" xfId="14311"/>
    <cellStyle name="Normal 2 2 2 4 3 8 2" xfId="14312"/>
    <cellStyle name="Normal 2 2 2 4 3 9" xfId="14313"/>
    <cellStyle name="Normal 2 2 2 4 3 9 2" xfId="14314"/>
    <cellStyle name="Normal 2 2 2 4 4" xfId="14315"/>
    <cellStyle name="Normal 2 2 2 4 4 2" xfId="14316"/>
    <cellStyle name="Normal 2 2 2 4 5" xfId="14317"/>
    <cellStyle name="Normal 2 2 2 4 5 2" xfId="14318"/>
    <cellStyle name="Normal 2 2 2 4 6" xfId="14319"/>
    <cellStyle name="Normal 2 2 2 4 6 2" xfId="14320"/>
    <cellStyle name="Normal 2 2 2 4 7" xfId="14321"/>
    <cellStyle name="Normal 2 2 2 4 7 2" xfId="14322"/>
    <cellStyle name="Normal 2 2 2 4 8" xfId="14323"/>
    <cellStyle name="Normal 2 2 2 4 8 2" xfId="14324"/>
    <cellStyle name="Normal 2 2 2 4 9" xfId="14325"/>
    <cellStyle name="Normal 2 2 2 4 9 2" xfId="14326"/>
    <cellStyle name="Normal 2 2 2 5" xfId="14327"/>
    <cellStyle name="Normal 2 2 2 5 10" xfId="14328"/>
    <cellStyle name="Normal 2 2 2 5 10 2" xfId="14329"/>
    <cellStyle name="Normal 2 2 2 5 11" xfId="14330"/>
    <cellStyle name="Normal 2 2 2 5 11 2" xfId="14331"/>
    <cellStyle name="Normal 2 2 2 5 12" xfId="14332"/>
    <cellStyle name="Normal 2 2 2 5 12 2" xfId="14333"/>
    <cellStyle name="Normal 2 2 2 5 13" xfId="14334"/>
    <cellStyle name="Normal 2 2 2 5 2" xfId="14335"/>
    <cellStyle name="Normal 2 2 2 5 2 10" xfId="14336"/>
    <cellStyle name="Normal 2 2 2 5 2 10 2" xfId="14337"/>
    <cellStyle name="Normal 2 2 2 5 2 11" xfId="14338"/>
    <cellStyle name="Normal 2 2 2 5 2 11 2" xfId="14339"/>
    <cellStyle name="Normal 2 2 2 5 2 12" xfId="14340"/>
    <cellStyle name="Normal 2 2 2 5 2 2" xfId="14341"/>
    <cellStyle name="Normal 2 2 2 5 2 2 10" xfId="14342"/>
    <cellStyle name="Normal 2 2 2 5 2 2 10 2" xfId="14343"/>
    <cellStyle name="Normal 2 2 2 5 2 2 11" xfId="14344"/>
    <cellStyle name="Normal 2 2 2 5 2 2 2" xfId="14345"/>
    <cellStyle name="Normal 2 2 2 5 2 2 2 2" xfId="14346"/>
    <cellStyle name="Normal 2 2 2 5 2 2 3" xfId="14347"/>
    <cellStyle name="Normal 2 2 2 5 2 2 3 2" xfId="14348"/>
    <cellStyle name="Normal 2 2 2 5 2 2 4" xfId="14349"/>
    <cellStyle name="Normal 2 2 2 5 2 2 4 2" xfId="14350"/>
    <cellStyle name="Normal 2 2 2 5 2 2 5" xfId="14351"/>
    <cellStyle name="Normal 2 2 2 5 2 2 5 2" xfId="14352"/>
    <cellStyle name="Normal 2 2 2 5 2 2 6" xfId="14353"/>
    <cellStyle name="Normal 2 2 2 5 2 2 6 2" xfId="14354"/>
    <cellStyle name="Normal 2 2 2 5 2 2 7" xfId="14355"/>
    <cellStyle name="Normal 2 2 2 5 2 2 7 2" xfId="14356"/>
    <cellStyle name="Normal 2 2 2 5 2 2 8" xfId="14357"/>
    <cellStyle name="Normal 2 2 2 5 2 2 8 2" xfId="14358"/>
    <cellStyle name="Normal 2 2 2 5 2 2 9" xfId="14359"/>
    <cellStyle name="Normal 2 2 2 5 2 2 9 2" xfId="14360"/>
    <cellStyle name="Normal 2 2 2 5 2 3" xfId="14361"/>
    <cellStyle name="Normal 2 2 2 5 2 3 2" xfId="14362"/>
    <cellStyle name="Normal 2 2 2 5 2 4" xfId="14363"/>
    <cellStyle name="Normal 2 2 2 5 2 4 2" xfId="14364"/>
    <cellStyle name="Normal 2 2 2 5 2 5" xfId="14365"/>
    <cellStyle name="Normal 2 2 2 5 2 5 2" xfId="14366"/>
    <cellStyle name="Normal 2 2 2 5 2 6" xfId="14367"/>
    <cellStyle name="Normal 2 2 2 5 2 6 2" xfId="14368"/>
    <cellStyle name="Normal 2 2 2 5 2 7" xfId="14369"/>
    <cellStyle name="Normal 2 2 2 5 2 7 2" xfId="14370"/>
    <cellStyle name="Normal 2 2 2 5 2 8" xfId="14371"/>
    <cellStyle name="Normal 2 2 2 5 2 8 2" xfId="14372"/>
    <cellStyle name="Normal 2 2 2 5 2 9" xfId="14373"/>
    <cellStyle name="Normal 2 2 2 5 2 9 2" xfId="14374"/>
    <cellStyle name="Normal 2 2 2 5 3" xfId="14375"/>
    <cellStyle name="Normal 2 2 2 5 3 10" xfId="14376"/>
    <cellStyle name="Normal 2 2 2 5 3 10 2" xfId="14377"/>
    <cellStyle name="Normal 2 2 2 5 3 11" xfId="14378"/>
    <cellStyle name="Normal 2 2 2 5 3 2" xfId="14379"/>
    <cellStyle name="Normal 2 2 2 5 3 2 2" xfId="14380"/>
    <cellStyle name="Normal 2 2 2 5 3 3" xfId="14381"/>
    <cellStyle name="Normal 2 2 2 5 3 3 2" xfId="14382"/>
    <cellStyle name="Normal 2 2 2 5 3 4" xfId="14383"/>
    <cellStyle name="Normal 2 2 2 5 3 4 2" xfId="14384"/>
    <cellStyle name="Normal 2 2 2 5 3 5" xfId="14385"/>
    <cellStyle name="Normal 2 2 2 5 3 5 2" xfId="14386"/>
    <cellStyle name="Normal 2 2 2 5 3 6" xfId="14387"/>
    <cellStyle name="Normal 2 2 2 5 3 6 2" xfId="14388"/>
    <cellStyle name="Normal 2 2 2 5 3 7" xfId="14389"/>
    <cellStyle name="Normal 2 2 2 5 3 7 2" xfId="14390"/>
    <cellStyle name="Normal 2 2 2 5 3 8" xfId="14391"/>
    <cellStyle name="Normal 2 2 2 5 3 8 2" xfId="14392"/>
    <cellStyle name="Normal 2 2 2 5 3 9" xfId="14393"/>
    <cellStyle name="Normal 2 2 2 5 3 9 2" xfId="14394"/>
    <cellStyle name="Normal 2 2 2 5 4" xfId="14395"/>
    <cellStyle name="Normal 2 2 2 5 4 2" xfId="14396"/>
    <cellStyle name="Normal 2 2 2 5 5" xfId="14397"/>
    <cellStyle name="Normal 2 2 2 5 5 2" xfId="14398"/>
    <cellStyle name="Normal 2 2 2 5 6" xfId="14399"/>
    <cellStyle name="Normal 2 2 2 5 6 2" xfId="14400"/>
    <cellStyle name="Normal 2 2 2 5 7" xfId="14401"/>
    <cellStyle name="Normal 2 2 2 5 7 2" xfId="14402"/>
    <cellStyle name="Normal 2 2 2 5 8" xfId="14403"/>
    <cellStyle name="Normal 2 2 2 5 8 2" xfId="14404"/>
    <cellStyle name="Normal 2 2 2 5 9" xfId="14405"/>
    <cellStyle name="Normal 2 2 2 5 9 2" xfId="14406"/>
    <cellStyle name="Normal 2 2 2 6" xfId="14407"/>
    <cellStyle name="Normal 2 2 2 6 10" xfId="14408"/>
    <cellStyle name="Normal 2 2 2 6 10 2" xfId="14409"/>
    <cellStyle name="Normal 2 2 2 6 11" xfId="14410"/>
    <cellStyle name="Normal 2 2 2 6 11 2" xfId="14411"/>
    <cellStyle name="Normal 2 2 2 6 12" xfId="14412"/>
    <cellStyle name="Normal 2 2 2 6 12 2" xfId="14413"/>
    <cellStyle name="Normal 2 2 2 6 13" xfId="14414"/>
    <cellStyle name="Normal 2 2 2 6 2" xfId="14415"/>
    <cellStyle name="Normal 2 2 2 6 2 10" xfId="14416"/>
    <cellStyle name="Normal 2 2 2 6 2 10 2" xfId="14417"/>
    <cellStyle name="Normal 2 2 2 6 2 11" xfId="14418"/>
    <cellStyle name="Normal 2 2 2 6 2 11 2" xfId="14419"/>
    <cellStyle name="Normal 2 2 2 6 2 12" xfId="14420"/>
    <cellStyle name="Normal 2 2 2 6 2 2" xfId="14421"/>
    <cellStyle name="Normal 2 2 2 6 2 2 10" xfId="14422"/>
    <cellStyle name="Normal 2 2 2 6 2 2 10 2" xfId="14423"/>
    <cellStyle name="Normal 2 2 2 6 2 2 11" xfId="14424"/>
    <cellStyle name="Normal 2 2 2 6 2 2 2" xfId="14425"/>
    <cellStyle name="Normal 2 2 2 6 2 2 2 2" xfId="14426"/>
    <cellStyle name="Normal 2 2 2 6 2 2 3" xfId="14427"/>
    <cellStyle name="Normal 2 2 2 6 2 2 3 2" xfId="14428"/>
    <cellStyle name="Normal 2 2 2 6 2 2 4" xfId="14429"/>
    <cellStyle name="Normal 2 2 2 6 2 2 4 2" xfId="14430"/>
    <cellStyle name="Normal 2 2 2 6 2 2 5" xfId="14431"/>
    <cellStyle name="Normal 2 2 2 6 2 2 5 2" xfId="14432"/>
    <cellStyle name="Normal 2 2 2 6 2 2 6" xfId="14433"/>
    <cellStyle name="Normal 2 2 2 6 2 2 6 2" xfId="14434"/>
    <cellStyle name="Normal 2 2 2 6 2 2 7" xfId="14435"/>
    <cellStyle name="Normal 2 2 2 6 2 2 7 2" xfId="14436"/>
    <cellStyle name="Normal 2 2 2 6 2 2 8" xfId="14437"/>
    <cellStyle name="Normal 2 2 2 6 2 2 8 2" xfId="14438"/>
    <cellStyle name="Normal 2 2 2 6 2 2 9" xfId="14439"/>
    <cellStyle name="Normal 2 2 2 6 2 2 9 2" xfId="14440"/>
    <cellStyle name="Normal 2 2 2 6 2 3" xfId="14441"/>
    <cellStyle name="Normal 2 2 2 6 2 3 2" xfId="14442"/>
    <cellStyle name="Normal 2 2 2 6 2 4" xfId="14443"/>
    <cellStyle name="Normal 2 2 2 6 2 4 2" xfId="14444"/>
    <cellStyle name="Normal 2 2 2 6 2 5" xfId="14445"/>
    <cellStyle name="Normal 2 2 2 6 2 5 2" xfId="14446"/>
    <cellStyle name="Normal 2 2 2 6 2 6" xfId="14447"/>
    <cellStyle name="Normal 2 2 2 6 2 6 2" xfId="14448"/>
    <cellStyle name="Normal 2 2 2 6 2 7" xfId="14449"/>
    <cellStyle name="Normal 2 2 2 6 2 7 2" xfId="14450"/>
    <cellStyle name="Normal 2 2 2 6 2 8" xfId="14451"/>
    <cellStyle name="Normal 2 2 2 6 2 8 2" xfId="14452"/>
    <cellStyle name="Normal 2 2 2 6 2 9" xfId="14453"/>
    <cellStyle name="Normal 2 2 2 6 2 9 2" xfId="14454"/>
    <cellStyle name="Normal 2 2 2 6 3" xfId="14455"/>
    <cellStyle name="Normal 2 2 2 6 3 10" xfId="14456"/>
    <cellStyle name="Normal 2 2 2 6 3 10 2" xfId="14457"/>
    <cellStyle name="Normal 2 2 2 6 3 11" xfId="14458"/>
    <cellStyle name="Normal 2 2 2 6 3 2" xfId="14459"/>
    <cellStyle name="Normal 2 2 2 6 3 2 2" xfId="14460"/>
    <cellStyle name="Normal 2 2 2 6 3 3" xfId="14461"/>
    <cellStyle name="Normal 2 2 2 6 3 3 2" xfId="14462"/>
    <cellStyle name="Normal 2 2 2 6 3 4" xfId="14463"/>
    <cellStyle name="Normal 2 2 2 6 3 4 2" xfId="14464"/>
    <cellStyle name="Normal 2 2 2 6 3 5" xfId="14465"/>
    <cellStyle name="Normal 2 2 2 6 3 5 2" xfId="14466"/>
    <cellStyle name="Normal 2 2 2 6 3 6" xfId="14467"/>
    <cellStyle name="Normal 2 2 2 6 3 6 2" xfId="14468"/>
    <cellStyle name="Normal 2 2 2 6 3 7" xfId="14469"/>
    <cellStyle name="Normal 2 2 2 6 3 7 2" xfId="14470"/>
    <cellStyle name="Normal 2 2 2 6 3 8" xfId="14471"/>
    <cellStyle name="Normal 2 2 2 6 3 8 2" xfId="14472"/>
    <cellStyle name="Normal 2 2 2 6 3 9" xfId="14473"/>
    <cellStyle name="Normal 2 2 2 6 3 9 2" xfId="14474"/>
    <cellStyle name="Normal 2 2 2 6 4" xfId="14475"/>
    <cellStyle name="Normal 2 2 2 6 4 2" xfId="14476"/>
    <cellStyle name="Normal 2 2 2 6 5" xfId="14477"/>
    <cellStyle name="Normal 2 2 2 6 5 2" xfId="14478"/>
    <cellStyle name="Normal 2 2 2 6 6" xfId="14479"/>
    <cellStyle name="Normal 2 2 2 6 6 2" xfId="14480"/>
    <cellStyle name="Normal 2 2 2 6 7" xfId="14481"/>
    <cellStyle name="Normal 2 2 2 6 7 2" xfId="14482"/>
    <cellStyle name="Normal 2 2 2 6 8" xfId="14483"/>
    <cellStyle name="Normal 2 2 2 6 8 2" xfId="14484"/>
    <cellStyle name="Normal 2 2 2 6 9" xfId="14485"/>
    <cellStyle name="Normal 2 2 2 6 9 2" xfId="14486"/>
    <cellStyle name="Normal 2 2 2 7" xfId="14487"/>
    <cellStyle name="Normal 2 2 2 7 10" xfId="14488"/>
    <cellStyle name="Normal 2 2 2 7 10 2" xfId="14489"/>
    <cellStyle name="Normal 2 2 2 7 11" xfId="14490"/>
    <cellStyle name="Normal 2 2 2 7 11 2" xfId="14491"/>
    <cellStyle name="Normal 2 2 2 7 12" xfId="14492"/>
    <cellStyle name="Normal 2 2 2 7 12 2" xfId="14493"/>
    <cellStyle name="Normal 2 2 2 7 13" xfId="14494"/>
    <cellStyle name="Normal 2 2 2 7 2" xfId="14495"/>
    <cellStyle name="Normal 2 2 2 7 2 10" xfId="14496"/>
    <cellStyle name="Normal 2 2 2 7 2 10 2" xfId="14497"/>
    <cellStyle name="Normal 2 2 2 7 2 11" xfId="14498"/>
    <cellStyle name="Normal 2 2 2 7 2 11 2" xfId="14499"/>
    <cellStyle name="Normal 2 2 2 7 2 12" xfId="14500"/>
    <cellStyle name="Normal 2 2 2 7 2 2" xfId="14501"/>
    <cellStyle name="Normal 2 2 2 7 2 2 10" xfId="14502"/>
    <cellStyle name="Normal 2 2 2 7 2 2 10 2" xfId="14503"/>
    <cellStyle name="Normal 2 2 2 7 2 2 11" xfId="14504"/>
    <cellStyle name="Normal 2 2 2 7 2 2 2" xfId="14505"/>
    <cellStyle name="Normal 2 2 2 7 2 2 2 2" xfId="14506"/>
    <cellStyle name="Normal 2 2 2 7 2 2 3" xfId="14507"/>
    <cellStyle name="Normal 2 2 2 7 2 2 3 2" xfId="14508"/>
    <cellStyle name="Normal 2 2 2 7 2 2 4" xfId="14509"/>
    <cellStyle name="Normal 2 2 2 7 2 2 4 2" xfId="14510"/>
    <cellStyle name="Normal 2 2 2 7 2 2 5" xfId="14511"/>
    <cellStyle name="Normal 2 2 2 7 2 2 5 2" xfId="14512"/>
    <cellStyle name="Normal 2 2 2 7 2 2 6" xfId="14513"/>
    <cellStyle name="Normal 2 2 2 7 2 2 6 2" xfId="14514"/>
    <cellStyle name="Normal 2 2 2 7 2 2 7" xfId="14515"/>
    <cellStyle name="Normal 2 2 2 7 2 2 7 2" xfId="14516"/>
    <cellStyle name="Normal 2 2 2 7 2 2 8" xfId="14517"/>
    <cellStyle name="Normal 2 2 2 7 2 2 8 2" xfId="14518"/>
    <cellStyle name="Normal 2 2 2 7 2 2 9" xfId="14519"/>
    <cellStyle name="Normal 2 2 2 7 2 2 9 2" xfId="14520"/>
    <cellStyle name="Normal 2 2 2 7 2 3" xfId="14521"/>
    <cellStyle name="Normal 2 2 2 7 2 3 2" xfId="14522"/>
    <cellStyle name="Normal 2 2 2 7 2 4" xfId="14523"/>
    <cellStyle name="Normal 2 2 2 7 2 4 2" xfId="14524"/>
    <cellStyle name="Normal 2 2 2 7 2 5" xfId="14525"/>
    <cellStyle name="Normal 2 2 2 7 2 5 2" xfId="14526"/>
    <cellStyle name="Normal 2 2 2 7 2 6" xfId="14527"/>
    <cellStyle name="Normal 2 2 2 7 2 6 2" xfId="14528"/>
    <cellStyle name="Normal 2 2 2 7 2 7" xfId="14529"/>
    <cellStyle name="Normal 2 2 2 7 2 7 2" xfId="14530"/>
    <cellStyle name="Normal 2 2 2 7 2 8" xfId="14531"/>
    <cellStyle name="Normal 2 2 2 7 2 8 2" xfId="14532"/>
    <cellStyle name="Normal 2 2 2 7 2 9" xfId="14533"/>
    <cellStyle name="Normal 2 2 2 7 2 9 2" xfId="14534"/>
    <cellStyle name="Normal 2 2 2 7 3" xfId="14535"/>
    <cellStyle name="Normal 2 2 2 7 3 10" xfId="14536"/>
    <cellStyle name="Normal 2 2 2 7 3 10 2" xfId="14537"/>
    <cellStyle name="Normal 2 2 2 7 3 11" xfId="14538"/>
    <cellStyle name="Normal 2 2 2 7 3 2" xfId="14539"/>
    <cellStyle name="Normal 2 2 2 7 3 2 2" xfId="14540"/>
    <cellStyle name="Normal 2 2 2 7 3 3" xfId="14541"/>
    <cellStyle name="Normal 2 2 2 7 3 3 2" xfId="14542"/>
    <cellStyle name="Normal 2 2 2 7 3 4" xfId="14543"/>
    <cellStyle name="Normal 2 2 2 7 3 4 2" xfId="14544"/>
    <cellStyle name="Normal 2 2 2 7 3 5" xfId="14545"/>
    <cellStyle name="Normal 2 2 2 7 3 5 2" xfId="14546"/>
    <cellStyle name="Normal 2 2 2 7 3 6" xfId="14547"/>
    <cellStyle name="Normal 2 2 2 7 3 6 2" xfId="14548"/>
    <cellStyle name="Normal 2 2 2 7 3 7" xfId="14549"/>
    <cellStyle name="Normal 2 2 2 7 3 7 2" xfId="14550"/>
    <cellStyle name="Normal 2 2 2 7 3 8" xfId="14551"/>
    <cellStyle name="Normal 2 2 2 7 3 8 2" xfId="14552"/>
    <cellStyle name="Normal 2 2 2 7 3 9" xfId="14553"/>
    <cellStyle name="Normal 2 2 2 7 3 9 2" xfId="14554"/>
    <cellStyle name="Normal 2 2 2 7 4" xfId="14555"/>
    <cellStyle name="Normal 2 2 2 7 4 2" xfId="14556"/>
    <cellStyle name="Normal 2 2 2 7 5" xfId="14557"/>
    <cellStyle name="Normal 2 2 2 7 5 2" xfId="14558"/>
    <cellStyle name="Normal 2 2 2 7 6" xfId="14559"/>
    <cellStyle name="Normal 2 2 2 7 6 2" xfId="14560"/>
    <cellStyle name="Normal 2 2 2 7 7" xfId="14561"/>
    <cellStyle name="Normal 2 2 2 7 7 2" xfId="14562"/>
    <cellStyle name="Normal 2 2 2 7 8" xfId="14563"/>
    <cellStyle name="Normal 2 2 2 7 8 2" xfId="14564"/>
    <cellStyle name="Normal 2 2 2 7 9" xfId="14565"/>
    <cellStyle name="Normal 2 2 2 7 9 2" xfId="14566"/>
    <cellStyle name="Normal 2 2 2 8" xfId="14567"/>
    <cellStyle name="Normal 2 2 2 8 10" xfId="14568"/>
    <cellStyle name="Normal 2 2 2 8 10 2" xfId="14569"/>
    <cellStyle name="Normal 2 2 2 8 11" xfId="14570"/>
    <cellStyle name="Normal 2 2 2 8 11 2" xfId="14571"/>
    <cellStyle name="Normal 2 2 2 8 12" xfId="14572"/>
    <cellStyle name="Normal 2 2 2 8 12 2" xfId="14573"/>
    <cellStyle name="Normal 2 2 2 8 13" xfId="14574"/>
    <cellStyle name="Normal 2 2 2 8 2" xfId="14575"/>
    <cellStyle name="Normal 2 2 2 8 2 10" xfId="14576"/>
    <cellStyle name="Normal 2 2 2 8 2 10 2" xfId="14577"/>
    <cellStyle name="Normal 2 2 2 8 2 11" xfId="14578"/>
    <cellStyle name="Normal 2 2 2 8 2 11 2" xfId="14579"/>
    <cellStyle name="Normal 2 2 2 8 2 12" xfId="14580"/>
    <cellStyle name="Normal 2 2 2 8 2 2" xfId="14581"/>
    <cellStyle name="Normal 2 2 2 8 2 2 10" xfId="14582"/>
    <cellStyle name="Normal 2 2 2 8 2 2 10 2" xfId="14583"/>
    <cellStyle name="Normal 2 2 2 8 2 2 11" xfId="14584"/>
    <cellStyle name="Normal 2 2 2 8 2 2 2" xfId="14585"/>
    <cellStyle name="Normal 2 2 2 8 2 2 2 2" xfId="14586"/>
    <cellStyle name="Normal 2 2 2 8 2 2 3" xfId="14587"/>
    <cellStyle name="Normal 2 2 2 8 2 2 3 2" xfId="14588"/>
    <cellStyle name="Normal 2 2 2 8 2 2 4" xfId="14589"/>
    <cellStyle name="Normal 2 2 2 8 2 2 4 2" xfId="14590"/>
    <cellStyle name="Normal 2 2 2 8 2 2 5" xfId="14591"/>
    <cellStyle name="Normal 2 2 2 8 2 2 5 2" xfId="14592"/>
    <cellStyle name="Normal 2 2 2 8 2 2 6" xfId="14593"/>
    <cellStyle name="Normal 2 2 2 8 2 2 6 2" xfId="14594"/>
    <cellStyle name="Normal 2 2 2 8 2 2 7" xfId="14595"/>
    <cellStyle name="Normal 2 2 2 8 2 2 7 2" xfId="14596"/>
    <cellStyle name="Normal 2 2 2 8 2 2 8" xfId="14597"/>
    <cellStyle name="Normal 2 2 2 8 2 2 8 2" xfId="14598"/>
    <cellStyle name="Normal 2 2 2 8 2 2 9" xfId="14599"/>
    <cellStyle name="Normal 2 2 2 8 2 2 9 2" xfId="14600"/>
    <cellStyle name="Normal 2 2 2 8 2 3" xfId="14601"/>
    <cellStyle name="Normal 2 2 2 8 2 3 2" xfId="14602"/>
    <cellStyle name="Normal 2 2 2 8 2 4" xfId="14603"/>
    <cellStyle name="Normal 2 2 2 8 2 4 2" xfId="14604"/>
    <cellStyle name="Normal 2 2 2 8 2 5" xfId="14605"/>
    <cellStyle name="Normal 2 2 2 8 2 5 2" xfId="14606"/>
    <cellStyle name="Normal 2 2 2 8 2 6" xfId="14607"/>
    <cellStyle name="Normal 2 2 2 8 2 6 2" xfId="14608"/>
    <cellStyle name="Normal 2 2 2 8 2 7" xfId="14609"/>
    <cellStyle name="Normal 2 2 2 8 2 7 2" xfId="14610"/>
    <cellStyle name="Normal 2 2 2 8 2 8" xfId="14611"/>
    <cellStyle name="Normal 2 2 2 8 2 8 2" xfId="14612"/>
    <cellStyle name="Normal 2 2 2 8 2 9" xfId="14613"/>
    <cellStyle name="Normal 2 2 2 8 2 9 2" xfId="14614"/>
    <cellStyle name="Normal 2 2 2 8 3" xfId="14615"/>
    <cellStyle name="Normal 2 2 2 8 3 10" xfId="14616"/>
    <cellStyle name="Normal 2 2 2 8 3 10 2" xfId="14617"/>
    <cellStyle name="Normal 2 2 2 8 3 11" xfId="14618"/>
    <cellStyle name="Normal 2 2 2 8 3 2" xfId="14619"/>
    <cellStyle name="Normal 2 2 2 8 3 2 2" xfId="14620"/>
    <cellStyle name="Normal 2 2 2 8 3 3" xfId="14621"/>
    <cellStyle name="Normal 2 2 2 8 3 3 2" xfId="14622"/>
    <cellStyle name="Normal 2 2 2 8 3 4" xfId="14623"/>
    <cellStyle name="Normal 2 2 2 8 3 4 2" xfId="14624"/>
    <cellStyle name="Normal 2 2 2 8 3 5" xfId="14625"/>
    <cellStyle name="Normal 2 2 2 8 3 5 2" xfId="14626"/>
    <cellStyle name="Normal 2 2 2 8 3 6" xfId="14627"/>
    <cellStyle name="Normal 2 2 2 8 3 6 2" xfId="14628"/>
    <cellStyle name="Normal 2 2 2 8 3 7" xfId="14629"/>
    <cellStyle name="Normal 2 2 2 8 3 7 2" xfId="14630"/>
    <cellStyle name="Normal 2 2 2 8 3 8" xfId="14631"/>
    <cellStyle name="Normal 2 2 2 8 3 8 2" xfId="14632"/>
    <cellStyle name="Normal 2 2 2 8 3 9" xfId="14633"/>
    <cellStyle name="Normal 2 2 2 8 3 9 2" xfId="14634"/>
    <cellStyle name="Normal 2 2 2 8 4" xfId="14635"/>
    <cellStyle name="Normal 2 2 2 8 4 2" xfId="14636"/>
    <cellStyle name="Normal 2 2 2 8 5" xfId="14637"/>
    <cellStyle name="Normal 2 2 2 8 5 2" xfId="14638"/>
    <cellStyle name="Normal 2 2 2 8 6" xfId="14639"/>
    <cellStyle name="Normal 2 2 2 8 6 2" xfId="14640"/>
    <cellStyle name="Normal 2 2 2 8 7" xfId="14641"/>
    <cellStyle name="Normal 2 2 2 8 7 2" xfId="14642"/>
    <cellStyle name="Normal 2 2 2 8 8" xfId="14643"/>
    <cellStyle name="Normal 2 2 2 8 8 2" xfId="14644"/>
    <cellStyle name="Normal 2 2 2 8 9" xfId="14645"/>
    <cellStyle name="Normal 2 2 2 8 9 2" xfId="14646"/>
    <cellStyle name="Normal 2 2 2 9" xfId="14647"/>
    <cellStyle name="Normal 2 2 2 9 2" xfId="14648"/>
    <cellStyle name="Normal 2 2 2 9 2 10" xfId="14649"/>
    <cellStyle name="Normal 2 2 2 9 2 10 2" xfId="14650"/>
    <cellStyle name="Normal 2 2 2 9 2 11" xfId="14651"/>
    <cellStyle name="Normal 2 2 2 9 2 11 2" xfId="14652"/>
    <cellStyle name="Normal 2 2 2 9 2 12" xfId="14653"/>
    <cellStyle name="Normal 2 2 2 9 2 12 2" xfId="14654"/>
    <cellStyle name="Normal 2 2 2 9 2 13" xfId="14655"/>
    <cellStyle name="Normal 2 2 2 9 2 13 2" xfId="14656"/>
    <cellStyle name="Normal 2 2 2 9 2 14" xfId="14657"/>
    <cellStyle name="Normal 2 2 2 9 2 14 2" xfId="14658"/>
    <cellStyle name="Normal 2 2 2 9 2 15" xfId="14659"/>
    <cellStyle name="Normal 2 2 2 9 2 15 2" xfId="14660"/>
    <cellStyle name="Normal 2 2 2 9 2 16" xfId="14661"/>
    <cellStyle name="Normal 2 2 2 9 2 16 2" xfId="14662"/>
    <cellStyle name="Normal 2 2 2 9 2 17" xfId="14663"/>
    <cellStyle name="Normal 2 2 2 9 2 2" xfId="14664"/>
    <cellStyle name="Normal 2 2 2 9 2 2 2" xfId="14665"/>
    <cellStyle name="Normal 2 2 2 9 2 2 2 10" xfId="14666"/>
    <cellStyle name="Normal 2 2 2 9 2 2 2 10 2" xfId="14667"/>
    <cellStyle name="Normal 2 2 2 9 2 2 2 11" xfId="14668"/>
    <cellStyle name="Normal 2 2 2 9 2 2 2 11 2" xfId="14669"/>
    <cellStyle name="Normal 2 2 2 9 2 2 2 12" xfId="14670"/>
    <cellStyle name="Normal 2 2 2 9 2 2 2 12 2" xfId="14671"/>
    <cellStyle name="Normal 2 2 2 9 2 2 2 13" xfId="14672"/>
    <cellStyle name="Normal 2 2 2 9 2 2 2 2" xfId="14673"/>
    <cellStyle name="Normal 2 2 2 9 2 2 2 2 10" xfId="14674"/>
    <cellStyle name="Normal 2 2 2 9 2 2 2 2 10 2" xfId="14675"/>
    <cellStyle name="Normal 2 2 2 9 2 2 2 2 11" xfId="14676"/>
    <cellStyle name="Normal 2 2 2 9 2 2 2 2 11 2" xfId="14677"/>
    <cellStyle name="Normal 2 2 2 9 2 2 2 2 12" xfId="14678"/>
    <cellStyle name="Normal 2 2 2 9 2 2 2 2 2" xfId="14679"/>
    <cellStyle name="Normal 2 2 2 9 2 2 2 2 2 10" xfId="14680"/>
    <cellStyle name="Normal 2 2 2 9 2 2 2 2 2 10 2" xfId="14681"/>
    <cellStyle name="Normal 2 2 2 9 2 2 2 2 2 11" xfId="14682"/>
    <cellStyle name="Normal 2 2 2 9 2 2 2 2 2 2" xfId="14683"/>
    <cellStyle name="Normal 2 2 2 9 2 2 2 2 2 2 2" xfId="14684"/>
    <cellStyle name="Normal 2 2 2 9 2 2 2 2 2 3" xfId="14685"/>
    <cellStyle name="Normal 2 2 2 9 2 2 2 2 2 3 2" xfId="14686"/>
    <cellStyle name="Normal 2 2 2 9 2 2 2 2 2 4" xfId="14687"/>
    <cellStyle name="Normal 2 2 2 9 2 2 2 2 2 4 2" xfId="14688"/>
    <cellStyle name="Normal 2 2 2 9 2 2 2 2 2 5" xfId="14689"/>
    <cellStyle name="Normal 2 2 2 9 2 2 2 2 2 5 2" xfId="14690"/>
    <cellStyle name="Normal 2 2 2 9 2 2 2 2 2 6" xfId="14691"/>
    <cellStyle name="Normal 2 2 2 9 2 2 2 2 2 6 2" xfId="14692"/>
    <cellStyle name="Normal 2 2 2 9 2 2 2 2 2 7" xfId="14693"/>
    <cellStyle name="Normal 2 2 2 9 2 2 2 2 2 7 2" xfId="14694"/>
    <cellStyle name="Normal 2 2 2 9 2 2 2 2 2 8" xfId="14695"/>
    <cellStyle name="Normal 2 2 2 9 2 2 2 2 2 8 2" xfId="14696"/>
    <cellStyle name="Normal 2 2 2 9 2 2 2 2 2 9" xfId="14697"/>
    <cellStyle name="Normal 2 2 2 9 2 2 2 2 2 9 2" xfId="14698"/>
    <cellStyle name="Normal 2 2 2 9 2 2 2 2 3" xfId="14699"/>
    <cellStyle name="Normal 2 2 2 9 2 2 2 2 3 2" xfId="14700"/>
    <cellStyle name="Normal 2 2 2 9 2 2 2 2 4" xfId="14701"/>
    <cellStyle name="Normal 2 2 2 9 2 2 2 2 4 2" xfId="14702"/>
    <cellStyle name="Normal 2 2 2 9 2 2 2 2 5" xfId="14703"/>
    <cellStyle name="Normal 2 2 2 9 2 2 2 2 5 2" xfId="14704"/>
    <cellStyle name="Normal 2 2 2 9 2 2 2 2 6" xfId="14705"/>
    <cellStyle name="Normal 2 2 2 9 2 2 2 2 6 2" xfId="14706"/>
    <cellStyle name="Normal 2 2 2 9 2 2 2 2 7" xfId="14707"/>
    <cellStyle name="Normal 2 2 2 9 2 2 2 2 7 2" xfId="14708"/>
    <cellStyle name="Normal 2 2 2 9 2 2 2 2 8" xfId="14709"/>
    <cellStyle name="Normal 2 2 2 9 2 2 2 2 8 2" xfId="14710"/>
    <cellStyle name="Normal 2 2 2 9 2 2 2 2 9" xfId="14711"/>
    <cellStyle name="Normal 2 2 2 9 2 2 2 2 9 2" xfId="14712"/>
    <cellStyle name="Normal 2 2 2 9 2 2 2 3" xfId="14713"/>
    <cellStyle name="Normal 2 2 2 9 2 2 2 3 10" xfId="14714"/>
    <cellStyle name="Normal 2 2 2 9 2 2 2 3 10 2" xfId="14715"/>
    <cellStyle name="Normal 2 2 2 9 2 2 2 3 11" xfId="14716"/>
    <cellStyle name="Normal 2 2 2 9 2 2 2 3 2" xfId="14717"/>
    <cellStyle name="Normal 2 2 2 9 2 2 2 3 2 2" xfId="14718"/>
    <cellStyle name="Normal 2 2 2 9 2 2 2 3 3" xfId="14719"/>
    <cellStyle name="Normal 2 2 2 9 2 2 2 3 3 2" xfId="14720"/>
    <cellStyle name="Normal 2 2 2 9 2 2 2 3 4" xfId="14721"/>
    <cellStyle name="Normal 2 2 2 9 2 2 2 3 4 2" xfId="14722"/>
    <cellStyle name="Normal 2 2 2 9 2 2 2 3 5" xfId="14723"/>
    <cellStyle name="Normal 2 2 2 9 2 2 2 3 5 2" xfId="14724"/>
    <cellStyle name="Normal 2 2 2 9 2 2 2 3 6" xfId="14725"/>
    <cellStyle name="Normal 2 2 2 9 2 2 2 3 6 2" xfId="14726"/>
    <cellStyle name="Normal 2 2 2 9 2 2 2 3 7" xfId="14727"/>
    <cellStyle name="Normal 2 2 2 9 2 2 2 3 7 2" xfId="14728"/>
    <cellStyle name="Normal 2 2 2 9 2 2 2 3 8" xfId="14729"/>
    <cellStyle name="Normal 2 2 2 9 2 2 2 3 8 2" xfId="14730"/>
    <cellStyle name="Normal 2 2 2 9 2 2 2 3 9" xfId="14731"/>
    <cellStyle name="Normal 2 2 2 9 2 2 2 3 9 2" xfId="14732"/>
    <cellStyle name="Normal 2 2 2 9 2 2 2 4" xfId="14733"/>
    <cellStyle name="Normal 2 2 2 9 2 2 2 4 2" xfId="14734"/>
    <cellStyle name="Normal 2 2 2 9 2 2 2 5" xfId="14735"/>
    <cellStyle name="Normal 2 2 2 9 2 2 2 5 2" xfId="14736"/>
    <cellStyle name="Normal 2 2 2 9 2 2 2 6" xfId="14737"/>
    <cellStyle name="Normal 2 2 2 9 2 2 2 6 2" xfId="14738"/>
    <cellStyle name="Normal 2 2 2 9 2 2 2 7" xfId="14739"/>
    <cellStyle name="Normal 2 2 2 9 2 2 2 7 2" xfId="14740"/>
    <cellStyle name="Normal 2 2 2 9 2 2 2 8" xfId="14741"/>
    <cellStyle name="Normal 2 2 2 9 2 2 2 8 2" xfId="14742"/>
    <cellStyle name="Normal 2 2 2 9 2 2 2 9" xfId="14743"/>
    <cellStyle name="Normal 2 2 2 9 2 2 2 9 2" xfId="14744"/>
    <cellStyle name="Normal 2 2 2 9 2 2 3" xfId="14745"/>
    <cellStyle name="Normal 2 2 2 9 2 2 3 10" xfId="14746"/>
    <cellStyle name="Normal 2 2 2 9 2 2 3 10 2" xfId="14747"/>
    <cellStyle name="Normal 2 2 2 9 2 2 3 11" xfId="14748"/>
    <cellStyle name="Normal 2 2 2 9 2 2 3 11 2" xfId="14749"/>
    <cellStyle name="Normal 2 2 2 9 2 2 3 12" xfId="14750"/>
    <cellStyle name="Normal 2 2 2 9 2 2 3 12 2" xfId="14751"/>
    <cellStyle name="Normal 2 2 2 9 2 2 3 13" xfId="14752"/>
    <cellStyle name="Normal 2 2 2 9 2 2 3 2" xfId="14753"/>
    <cellStyle name="Normal 2 2 2 9 2 2 3 2 10" xfId="14754"/>
    <cellStyle name="Normal 2 2 2 9 2 2 3 2 10 2" xfId="14755"/>
    <cellStyle name="Normal 2 2 2 9 2 2 3 2 11" xfId="14756"/>
    <cellStyle name="Normal 2 2 2 9 2 2 3 2 11 2" xfId="14757"/>
    <cellStyle name="Normal 2 2 2 9 2 2 3 2 12" xfId="14758"/>
    <cellStyle name="Normal 2 2 2 9 2 2 3 2 2" xfId="14759"/>
    <cellStyle name="Normal 2 2 2 9 2 2 3 2 2 10" xfId="14760"/>
    <cellStyle name="Normal 2 2 2 9 2 2 3 2 2 10 2" xfId="14761"/>
    <cellStyle name="Normal 2 2 2 9 2 2 3 2 2 11" xfId="14762"/>
    <cellStyle name="Normal 2 2 2 9 2 2 3 2 2 2" xfId="14763"/>
    <cellStyle name="Normal 2 2 2 9 2 2 3 2 2 2 2" xfId="14764"/>
    <cellStyle name="Normal 2 2 2 9 2 2 3 2 2 3" xfId="14765"/>
    <cellStyle name="Normal 2 2 2 9 2 2 3 2 2 3 2" xfId="14766"/>
    <cellStyle name="Normal 2 2 2 9 2 2 3 2 2 4" xfId="14767"/>
    <cellStyle name="Normal 2 2 2 9 2 2 3 2 2 4 2" xfId="14768"/>
    <cellStyle name="Normal 2 2 2 9 2 2 3 2 2 5" xfId="14769"/>
    <cellStyle name="Normal 2 2 2 9 2 2 3 2 2 5 2" xfId="14770"/>
    <cellStyle name="Normal 2 2 2 9 2 2 3 2 2 6" xfId="14771"/>
    <cellStyle name="Normal 2 2 2 9 2 2 3 2 2 6 2" xfId="14772"/>
    <cellStyle name="Normal 2 2 2 9 2 2 3 2 2 7" xfId="14773"/>
    <cellStyle name="Normal 2 2 2 9 2 2 3 2 2 7 2" xfId="14774"/>
    <cellStyle name="Normal 2 2 2 9 2 2 3 2 2 8" xfId="14775"/>
    <cellStyle name="Normal 2 2 2 9 2 2 3 2 2 8 2" xfId="14776"/>
    <cellStyle name="Normal 2 2 2 9 2 2 3 2 2 9" xfId="14777"/>
    <cellStyle name="Normal 2 2 2 9 2 2 3 2 2 9 2" xfId="14778"/>
    <cellStyle name="Normal 2 2 2 9 2 2 3 2 3" xfId="14779"/>
    <cellStyle name="Normal 2 2 2 9 2 2 3 2 3 2" xfId="14780"/>
    <cellStyle name="Normal 2 2 2 9 2 2 3 2 4" xfId="14781"/>
    <cellStyle name="Normal 2 2 2 9 2 2 3 2 4 2" xfId="14782"/>
    <cellStyle name="Normal 2 2 2 9 2 2 3 2 5" xfId="14783"/>
    <cellStyle name="Normal 2 2 2 9 2 2 3 2 5 2" xfId="14784"/>
    <cellStyle name="Normal 2 2 2 9 2 2 3 2 6" xfId="14785"/>
    <cellStyle name="Normal 2 2 2 9 2 2 3 2 6 2" xfId="14786"/>
    <cellStyle name="Normal 2 2 2 9 2 2 3 2 7" xfId="14787"/>
    <cellStyle name="Normal 2 2 2 9 2 2 3 2 7 2" xfId="14788"/>
    <cellStyle name="Normal 2 2 2 9 2 2 3 2 8" xfId="14789"/>
    <cellStyle name="Normal 2 2 2 9 2 2 3 2 8 2" xfId="14790"/>
    <cellStyle name="Normal 2 2 2 9 2 2 3 2 9" xfId="14791"/>
    <cellStyle name="Normal 2 2 2 9 2 2 3 2 9 2" xfId="14792"/>
    <cellStyle name="Normal 2 2 2 9 2 2 3 3" xfId="14793"/>
    <cellStyle name="Normal 2 2 2 9 2 2 3 3 10" xfId="14794"/>
    <cellStyle name="Normal 2 2 2 9 2 2 3 3 10 2" xfId="14795"/>
    <cellStyle name="Normal 2 2 2 9 2 2 3 3 11" xfId="14796"/>
    <cellStyle name="Normal 2 2 2 9 2 2 3 3 2" xfId="14797"/>
    <cellStyle name="Normal 2 2 2 9 2 2 3 3 2 2" xfId="14798"/>
    <cellStyle name="Normal 2 2 2 9 2 2 3 3 3" xfId="14799"/>
    <cellStyle name="Normal 2 2 2 9 2 2 3 3 3 2" xfId="14800"/>
    <cellStyle name="Normal 2 2 2 9 2 2 3 3 4" xfId="14801"/>
    <cellStyle name="Normal 2 2 2 9 2 2 3 3 4 2" xfId="14802"/>
    <cellStyle name="Normal 2 2 2 9 2 2 3 3 5" xfId="14803"/>
    <cellStyle name="Normal 2 2 2 9 2 2 3 3 5 2" xfId="14804"/>
    <cellStyle name="Normal 2 2 2 9 2 2 3 3 6" xfId="14805"/>
    <cellStyle name="Normal 2 2 2 9 2 2 3 3 6 2" xfId="14806"/>
    <cellStyle name="Normal 2 2 2 9 2 2 3 3 7" xfId="14807"/>
    <cellStyle name="Normal 2 2 2 9 2 2 3 3 7 2" xfId="14808"/>
    <cellStyle name="Normal 2 2 2 9 2 2 3 3 8" xfId="14809"/>
    <cellStyle name="Normal 2 2 2 9 2 2 3 3 8 2" xfId="14810"/>
    <cellStyle name="Normal 2 2 2 9 2 2 3 3 9" xfId="14811"/>
    <cellStyle name="Normal 2 2 2 9 2 2 3 3 9 2" xfId="14812"/>
    <cellStyle name="Normal 2 2 2 9 2 2 3 4" xfId="14813"/>
    <cellStyle name="Normal 2 2 2 9 2 2 3 4 2" xfId="14814"/>
    <cellStyle name="Normal 2 2 2 9 2 2 3 5" xfId="14815"/>
    <cellStyle name="Normal 2 2 2 9 2 2 3 5 2" xfId="14816"/>
    <cellStyle name="Normal 2 2 2 9 2 2 3 6" xfId="14817"/>
    <cellStyle name="Normal 2 2 2 9 2 2 3 6 2" xfId="14818"/>
    <cellStyle name="Normal 2 2 2 9 2 2 3 7" xfId="14819"/>
    <cellStyle name="Normal 2 2 2 9 2 2 3 7 2" xfId="14820"/>
    <cellStyle name="Normal 2 2 2 9 2 2 3 8" xfId="14821"/>
    <cellStyle name="Normal 2 2 2 9 2 2 3 8 2" xfId="14822"/>
    <cellStyle name="Normal 2 2 2 9 2 2 3 9" xfId="14823"/>
    <cellStyle name="Normal 2 2 2 9 2 2 3 9 2" xfId="14824"/>
    <cellStyle name="Normal 2 2 2 9 2 2 4" xfId="14825"/>
    <cellStyle name="Normal 2 2 2 9 2 2 4 10" xfId="14826"/>
    <cellStyle name="Normal 2 2 2 9 2 2 4 10 2" xfId="14827"/>
    <cellStyle name="Normal 2 2 2 9 2 2 4 11" xfId="14828"/>
    <cellStyle name="Normal 2 2 2 9 2 2 4 11 2" xfId="14829"/>
    <cellStyle name="Normal 2 2 2 9 2 2 4 12" xfId="14830"/>
    <cellStyle name="Normal 2 2 2 9 2 2 4 12 2" xfId="14831"/>
    <cellStyle name="Normal 2 2 2 9 2 2 4 13" xfId="14832"/>
    <cellStyle name="Normal 2 2 2 9 2 2 4 2" xfId="14833"/>
    <cellStyle name="Normal 2 2 2 9 2 2 4 2 10" xfId="14834"/>
    <cellStyle name="Normal 2 2 2 9 2 2 4 2 10 2" xfId="14835"/>
    <cellStyle name="Normal 2 2 2 9 2 2 4 2 11" xfId="14836"/>
    <cellStyle name="Normal 2 2 2 9 2 2 4 2 11 2" xfId="14837"/>
    <cellStyle name="Normal 2 2 2 9 2 2 4 2 12" xfId="14838"/>
    <cellStyle name="Normal 2 2 2 9 2 2 4 2 2" xfId="14839"/>
    <cellStyle name="Normal 2 2 2 9 2 2 4 2 2 10" xfId="14840"/>
    <cellStyle name="Normal 2 2 2 9 2 2 4 2 2 10 2" xfId="14841"/>
    <cellStyle name="Normal 2 2 2 9 2 2 4 2 2 11" xfId="14842"/>
    <cellStyle name="Normal 2 2 2 9 2 2 4 2 2 2" xfId="14843"/>
    <cellStyle name="Normal 2 2 2 9 2 2 4 2 2 2 2" xfId="14844"/>
    <cellStyle name="Normal 2 2 2 9 2 2 4 2 2 3" xfId="14845"/>
    <cellStyle name="Normal 2 2 2 9 2 2 4 2 2 3 2" xfId="14846"/>
    <cellStyle name="Normal 2 2 2 9 2 2 4 2 2 4" xfId="14847"/>
    <cellStyle name="Normal 2 2 2 9 2 2 4 2 2 4 2" xfId="14848"/>
    <cellStyle name="Normal 2 2 2 9 2 2 4 2 2 5" xfId="14849"/>
    <cellStyle name="Normal 2 2 2 9 2 2 4 2 2 5 2" xfId="14850"/>
    <cellStyle name="Normal 2 2 2 9 2 2 4 2 2 6" xfId="14851"/>
    <cellStyle name="Normal 2 2 2 9 2 2 4 2 2 6 2" xfId="14852"/>
    <cellStyle name="Normal 2 2 2 9 2 2 4 2 2 7" xfId="14853"/>
    <cellStyle name="Normal 2 2 2 9 2 2 4 2 2 7 2" xfId="14854"/>
    <cellStyle name="Normal 2 2 2 9 2 2 4 2 2 8" xfId="14855"/>
    <cellStyle name="Normal 2 2 2 9 2 2 4 2 2 8 2" xfId="14856"/>
    <cellStyle name="Normal 2 2 2 9 2 2 4 2 2 9" xfId="14857"/>
    <cellStyle name="Normal 2 2 2 9 2 2 4 2 2 9 2" xfId="14858"/>
    <cellStyle name="Normal 2 2 2 9 2 2 4 2 3" xfId="14859"/>
    <cellStyle name="Normal 2 2 2 9 2 2 4 2 3 2" xfId="14860"/>
    <cellStyle name="Normal 2 2 2 9 2 2 4 2 4" xfId="14861"/>
    <cellStyle name="Normal 2 2 2 9 2 2 4 2 4 2" xfId="14862"/>
    <cellStyle name="Normal 2 2 2 9 2 2 4 2 5" xfId="14863"/>
    <cellStyle name="Normal 2 2 2 9 2 2 4 2 5 2" xfId="14864"/>
    <cellStyle name="Normal 2 2 2 9 2 2 4 2 6" xfId="14865"/>
    <cellStyle name="Normal 2 2 2 9 2 2 4 2 6 2" xfId="14866"/>
    <cellStyle name="Normal 2 2 2 9 2 2 4 2 7" xfId="14867"/>
    <cellStyle name="Normal 2 2 2 9 2 2 4 2 7 2" xfId="14868"/>
    <cellStyle name="Normal 2 2 2 9 2 2 4 2 8" xfId="14869"/>
    <cellStyle name="Normal 2 2 2 9 2 2 4 2 8 2" xfId="14870"/>
    <cellStyle name="Normal 2 2 2 9 2 2 4 2 9" xfId="14871"/>
    <cellStyle name="Normal 2 2 2 9 2 2 4 2 9 2" xfId="14872"/>
    <cellStyle name="Normal 2 2 2 9 2 2 4 3" xfId="14873"/>
    <cellStyle name="Normal 2 2 2 9 2 2 4 3 10" xfId="14874"/>
    <cellStyle name="Normal 2 2 2 9 2 2 4 3 10 2" xfId="14875"/>
    <cellStyle name="Normal 2 2 2 9 2 2 4 3 11" xfId="14876"/>
    <cellStyle name="Normal 2 2 2 9 2 2 4 3 2" xfId="14877"/>
    <cellStyle name="Normal 2 2 2 9 2 2 4 3 2 2" xfId="14878"/>
    <cellStyle name="Normal 2 2 2 9 2 2 4 3 3" xfId="14879"/>
    <cellStyle name="Normal 2 2 2 9 2 2 4 3 3 2" xfId="14880"/>
    <cellStyle name="Normal 2 2 2 9 2 2 4 3 4" xfId="14881"/>
    <cellStyle name="Normal 2 2 2 9 2 2 4 3 4 2" xfId="14882"/>
    <cellStyle name="Normal 2 2 2 9 2 2 4 3 5" xfId="14883"/>
    <cellStyle name="Normal 2 2 2 9 2 2 4 3 5 2" xfId="14884"/>
    <cellStyle name="Normal 2 2 2 9 2 2 4 3 6" xfId="14885"/>
    <cellStyle name="Normal 2 2 2 9 2 2 4 3 6 2" xfId="14886"/>
    <cellStyle name="Normal 2 2 2 9 2 2 4 3 7" xfId="14887"/>
    <cellStyle name="Normal 2 2 2 9 2 2 4 3 7 2" xfId="14888"/>
    <cellStyle name="Normal 2 2 2 9 2 2 4 3 8" xfId="14889"/>
    <cellStyle name="Normal 2 2 2 9 2 2 4 3 8 2" xfId="14890"/>
    <cellStyle name="Normal 2 2 2 9 2 2 4 3 9" xfId="14891"/>
    <cellStyle name="Normal 2 2 2 9 2 2 4 3 9 2" xfId="14892"/>
    <cellStyle name="Normal 2 2 2 9 2 2 4 4" xfId="14893"/>
    <cellStyle name="Normal 2 2 2 9 2 2 4 4 2" xfId="14894"/>
    <cellStyle name="Normal 2 2 2 9 2 2 4 5" xfId="14895"/>
    <cellStyle name="Normal 2 2 2 9 2 2 4 5 2" xfId="14896"/>
    <cellStyle name="Normal 2 2 2 9 2 2 4 6" xfId="14897"/>
    <cellStyle name="Normal 2 2 2 9 2 2 4 6 2" xfId="14898"/>
    <cellStyle name="Normal 2 2 2 9 2 2 4 7" xfId="14899"/>
    <cellStyle name="Normal 2 2 2 9 2 2 4 7 2" xfId="14900"/>
    <cellStyle name="Normal 2 2 2 9 2 2 4 8" xfId="14901"/>
    <cellStyle name="Normal 2 2 2 9 2 2 4 8 2" xfId="14902"/>
    <cellStyle name="Normal 2 2 2 9 2 2 4 9" xfId="14903"/>
    <cellStyle name="Normal 2 2 2 9 2 2 4 9 2" xfId="14904"/>
    <cellStyle name="Normal 2 2 2 9 2 2 5" xfId="14905"/>
    <cellStyle name="Normal 2 2 2 9 2 2 5 10" xfId="14906"/>
    <cellStyle name="Normal 2 2 2 9 2 2 5 10 2" xfId="14907"/>
    <cellStyle name="Normal 2 2 2 9 2 2 5 11" xfId="14908"/>
    <cellStyle name="Normal 2 2 2 9 2 2 5 11 2" xfId="14909"/>
    <cellStyle name="Normal 2 2 2 9 2 2 5 12" xfId="14910"/>
    <cellStyle name="Normal 2 2 2 9 2 2 5 12 2" xfId="14911"/>
    <cellStyle name="Normal 2 2 2 9 2 2 5 13" xfId="14912"/>
    <cellStyle name="Normal 2 2 2 9 2 2 5 2" xfId="14913"/>
    <cellStyle name="Normal 2 2 2 9 2 2 5 2 10" xfId="14914"/>
    <cellStyle name="Normal 2 2 2 9 2 2 5 2 10 2" xfId="14915"/>
    <cellStyle name="Normal 2 2 2 9 2 2 5 2 11" xfId="14916"/>
    <cellStyle name="Normal 2 2 2 9 2 2 5 2 11 2" xfId="14917"/>
    <cellStyle name="Normal 2 2 2 9 2 2 5 2 12" xfId="14918"/>
    <cellStyle name="Normal 2 2 2 9 2 2 5 2 2" xfId="14919"/>
    <cellStyle name="Normal 2 2 2 9 2 2 5 2 2 10" xfId="14920"/>
    <cellStyle name="Normal 2 2 2 9 2 2 5 2 2 10 2" xfId="14921"/>
    <cellStyle name="Normal 2 2 2 9 2 2 5 2 2 11" xfId="14922"/>
    <cellStyle name="Normal 2 2 2 9 2 2 5 2 2 2" xfId="14923"/>
    <cellStyle name="Normal 2 2 2 9 2 2 5 2 2 2 2" xfId="14924"/>
    <cellStyle name="Normal 2 2 2 9 2 2 5 2 2 3" xfId="14925"/>
    <cellStyle name="Normal 2 2 2 9 2 2 5 2 2 3 2" xfId="14926"/>
    <cellStyle name="Normal 2 2 2 9 2 2 5 2 2 4" xfId="14927"/>
    <cellStyle name="Normal 2 2 2 9 2 2 5 2 2 4 2" xfId="14928"/>
    <cellStyle name="Normal 2 2 2 9 2 2 5 2 2 5" xfId="14929"/>
    <cellStyle name="Normal 2 2 2 9 2 2 5 2 2 5 2" xfId="14930"/>
    <cellStyle name="Normal 2 2 2 9 2 2 5 2 2 6" xfId="14931"/>
    <cellStyle name="Normal 2 2 2 9 2 2 5 2 2 6 2" xfId="14932"/>
    <cellStyle name="Normal 2 2 2 9 2 2 5 2 2 7" xfId="14933"/>
    <cellStyle name="Normal 2 2 2 9 2 2 5 2 2 7 2" xfId="14934"/>
    <cellStyle name="Normal 2 2 2 9 2 2 5 2 2 8" xfId="14935"/>
    <cellStyle name="Normal 2 2 2 9 2 2 5 2 2 8 2" xfId="14936"/>
    <cellStyle name="Normal 2 2 2 9 2 2 5 2 2 9" xfId="14937"/>
    <cellStyle name="Normal 2 2 2 9 2 2 5 2 2 9 2" xfId="14938"/>
    <cellStyle name="Normal 2 2 2 9 2 2 5 2 3" xfId="14939"/>
    <cellStyle name="Normal 2 2 2 9 2 2 5 2 3 2" xfId="14940"/>
    <cellStyle name="Normal 2 2 2 9 2 2 5 2 4" xfId="14941"/>
    <cellStyle name="Normal 2 2 2 9 2 2 5 2 4 2" xfId="14942"/>
    <cellStyle name="Normal 2 2 2 9 2 2 5 2 5" xfId="14943"/>
    <cellStyle name="Normal 2 2 2 9 2 2 5 2 5 2" xfId="14944"/>
    <cellStyle name="Normal 2 2 2 9 2 2 5 2 6" xfId="14945"/>
    <cellStyle name="Normal 2 2 2 9 2 2 5 2 6 2" xfId="14946"/>
    <cellStyle name="Normal 2 2 2 9 2 2 5 2 7" xfId="14947"/>
    <cellStyle name="Normal 2 2 2 9 2 2 5 2 7 2" xfId="14948"/>
    <cellStyle name="Normal 2 2 2 9 2 2 5 2 8" xfId="14949"/>
    <cellStyle name="Normal 2 2 2 9 2 2 5 2 8 2" xfId="14950"/>
    <cellStyle name="Normal 2 2 2 9 2 2 5 2 9" xfId="14951"/>
    <cellStyle name="Normal 2 2 2 9 2 2 5 2 9 2" xfId="14952"/>
    <cellStyle name="Normal 2 2 2 9 2 2 5 3" xfId="14953"/>
    <cellStyle name="Normal 2 2 2 9 2 2 5 3 10" xfId="14954"/>
    <cellStyle name="Normal 2 2 2 9 2 2 5 3 10 2" xfId="14955"/>
    <cellStyle name="Normal 2 2 2 9 2 2 5 3 11" xfId="14956"/>
    <cellStyle name="Normal 2 2 2 9 2 2 5 3 2" xfId="14957"/>
    <cellStyle name="Normal 2 2 2 9 2 2 5 3 2 2" xfId="14958"/>
    <cellStyle name="Normal 2 2 2 9 2 2 5 3 3" xfId="14959"/>
    <cellStyle name="Normal 2 2 2 9 2 2 5 3 3 2" xfId="14960"/>
    <cellStyle name="Normal 2 2 2 9 2 2 5 3 4" xfId="14961"/>
    <cellStyle name="Normal 2 2 2 9 2 2 5 3 4 2" xfId="14962"/>
    <cellStyle name="Normal 2 2 2 9 2 2 5 3 5" xfId="14963"/>
    <cellStyle name="Normal 2 2 2 9 2 2 5 3 5 2" xfId="14964"/>
    <cellStyle name="Normal 2 2 2 9 2 2 5 3 6" xfId="14965"/>
    <cellStyle name="Normal 2 2 2 9 2 2 5 3 6 2" xfId="14966"/>
    <cellStyle name="Normal 2 2 2 9 2 2 5 3 7" xfId="14967"/>
    <cellStyle name="Normal 2 2 2 9 2 2 5 3 7 2" xfId="14968"/>
    <cellStyle name="Normal 2 2 2 9 2 2 5 3 8" xfId="14969"/>
    <cellStyle name="Normal 2 2 2 9 2 2 5 3 8 2" xfId="14970"/>
    <cellStyle name="Normal 2 2 2 9 2 2 5 3 9" xfId="14971"/>
    <cellStyle name="Normal 2 2 2 9 2 2 5 3 9 2" xfId="14972"/>
    <cellStyle name="Normal 2 2 2 9 2 2 5 4" xfId="14973"/>
    <cellStyle name="Normal 2 2 2 9 2 2 5 4 2" xfId="14974"/>
    <cellStyle name="Normal 2 2 2 9 2 2 5 5" xfId="14975"/>
    <cellStyle name="Normal 2 2 2 9 2 2 5 5 2" xfId="14976"/>
    <cellStyle name="Normal 2 2 2 9 2 2 5 6" xfId="14977"/>
    <cellStyle name="Normal 2 2 2 9 2 2 5 6 2" xfId="14978"/>
    <cellStyle name="Normal 2 2 2 9 2 2 5 7" xfId="14979"/>
    <cellStyle name="Normal 2 2 2 9 2 2 5 7 2" xfId="14980"/>
    <cellStyle name="Normal 2 2 2 9 2 2 5 8" xfId="14981"/>
    <cellStyle name="Normal 2 2 2 9 2 2 5 8 2" xfId="14982"/>
    <cellStyle name="Normal 2 2 2 9 2 2 5 9" xfId="14983"/>
    <cellStyle name="Normal 2 2 2 9 2 2 5 9 2" xfId="14984"/>
    <cellStyle name="Normal 2 2 2 9 2 3" xfId="14985"/>
    <cellStyle name="Normal 2 2 2 9 2 4" xfId="14986"/>
    <cellStyle name="Normal 2 2 2 9 2 5" xfId="14987"/>
    <cellStyle name="Normal 2 2 2 9 2 6" xfId="14988"/>
    <cellStyle name="Normal 2 2 2 9 2 6 10" xfId="14989"/>
    <cellStyle name="Normal 2 2 2 9 2 6 10 2" xfId="14990"/>
    <cellStyle name="Normal 2 2 2 9 2 6 11" xfId="14991"/>
    <cellStyle name="Normal 2 2 2 9 2 6 11 2" xfId="14992"/>
    <cellStyle name="Normal 2 2 2 9 2 6 12" xfId="14993"/>
    <cellStyle name="Normal 2 2 2 9 2 6 2" xfId="14994"/>
    <cellStyle name="Normal 2 2 2 9 2 6 2 10" xfId="14995"/>
    <cellStyle name="Normal 2 2 2 9 2 6 2 10 2" xfId="14996"/>
    <cellStyle name="Normal 2 2 2 9 2 6 2 11" xfId="14997"/>
    <cellStyle name="Normal 2 2 2 9 2 6 2 2" xfId="14998"/>
    <cellStyle name="Normal 2 2 2 9 2 6 2 2 2" xfId="14999"/>
    <cellStyle name="Normal 2 2 2 9 2 6 2 3" xfId="15000"/>
    <cellStyle name="Normal 2 2 2 9 2 6 2 3 2" xfId="15001"/>
    <cellStyle name="Normal 2 2 2 9 2 6 2 4" xfId="15002"/>
    <cellStyle name="Normal 2 2 2 9 2 6 2 4 2" xfId="15003"/>
    <cellStyle name="Normal 2 2 2 9 2 6 2 5" xfId="15004"/>
    <cellStyle name="Normal 2 2 2 9 2 6 2 5 2" xfId="15005"/>
    <cellStyle name="Normal 2 2 2 9 2 6 2 6" xfId="15006"/>
    <cellStyle name="Normal 2 2 2 9 2 6 2 6 2" xfId="15007"/>
    <cellStyle name="Normal 2 2 2 9 2 6 2 7" xfId="15008"/>
    <cellStyle name="Normal 2 2 2 9 2 6 2 7 2" xfId="15009"/>
    <cellStyle name="Normal 2 2 2 9 2 6 2 8" xfId="15010"/>
    <cellStyle name="Normal 2 2 2 9 2 6 2 8 2" xfId="15011"/>
    <cellStyle name="Normal 2 2 2 9 2 6 2 9" xfId="15012"/>
    <cellStyle name="Normal 2 2 2 9 2 6 2 9 2" xfId="15013"/>
    <cellStyle name="Normal 2 2 2 9 2 6 3" xfId="15014"/>
    <cellStyle name="Normal 2 2 2 9 2 6 3 2" xfId="15015"/>
    <cellStyle name="Normal 2 2 2 9 2 6 4" xfId="15016"/>
    <cellStyle name="Normal 2 2 2 9 2 6 4 2" xfId="15017"/>
    <cellStyle name="Normal 2 2 2 9 2 6 5" xfId="15018"/>
    <cellStyle name="Normal 2 2 2 9 2 6 5 2" xfId="15019"/>
    <cellStyle name="Normal 2 2 2 9 2 6 6" xfId="15020"/>
    <cellStyle name="Normal 2 2 2 9 2 6 6 2" xfId="15021"/>
    <cellStyle name="Normal 2 2 2 9 2 6 7" xfId="15022"/>
    <cellStyle name="Normal 2 2 2 9 2 6 7 2" xfId="15023"/>
    <cellStyle name="Normal 2 2 2 9 2 6 8" xfId="15024"/>
    <cellStyle name="Normal 2 2 2 9 2 6 8 2" xfId="15025"/>
    <cellStyle name="Normal 2 2 2 9 2 6 9" xfId="15026"/>
    <cellStyle name="Normal 2 2 2 9 2 6 9 2" xfId="15027"/>
    <cellStyle name="Normal 2 2 2 9 2 7" xfId="15028"/>
    <cellStyle name="Normal 2 2 2 9 2 7 10" xfId="15029"/>
    <cellStyle name="Normal 2 2 2 9 2 7 10 2" xfId="15030"/>
    <cellStyle name="Normal 2 2 2 9 2 7 11" xfId="15031"/>
    <cellStyle name="Normal 2 2 2 9 2 7 2" xfId="15032"/>
    <cellStyle name="Normal 2 2 2 9 2 7 2 2" xfId="15033"/>
    <cellStyle name="Normal 2 2 2 9 2 7 3" xfId="15034"/>
    <cellStyle name="Normal 2 2 2 9 2 7 3 2" xfId="15035"/>
    <cellStyle name="Normal 2 2 2 9 2 7 4" xfId="15036"/>
    <cellStyle name="Normal 2 2 2 9 2 7 4 2" xfId="15037"/>
    <cellStyle name="Normal 2 2 2 9 2 7 5" xfId="15038"/>
    <cellStyle name="Normal 2 2 2 9 2 7 5 2" xfId="15039"/>
    <cellStyle name="Normal 2 2 2 9 2 7 6" xfId="15040"/>
    <cellStyle name="Normal 2 2 2 9 2 7 6 2" xfId="15041"/>
    <cellStyle name="Normal 2 2 2 9 2 7 7" xfId="15042"/>
    <cellStyle name="Normal 2 2 2 9 2 7 7 2" xfId="15043"/>
    <cellStyle name="Normal 2 2 2 9 2 7 8" xfId="15044"/>
    <cellStyle name="Normal 2 2 2 9 2 7 8 2" xfId="15045"/>
    <cellStyle name="Normal 2 2 2 9 2 7 9" xfId="15046"/>
    <cellStyle name="Normal 2 2 2 9 2 7 9 2" xfId="15047"/>
    <cellStyle name="Normal 2 2 2 9 2 8" xfId="15048"/>
    <cellStyle name="Normal 2 2 2 9 2 8 2" xfId="15049"/>
    <cellStyle name="Normal 2 2 2 9 2 9" xfId="15050"/>
    <cellStyle name="Normal 2 2 2 9 2 9 2" xfId="15051"/>
    <cellStyle name="Normal 2 2 2 9 3" xfId="15052"/>
    <cellStyle name="Normal 2 2 2 9 3 10" xfId="15053"/>
    <cellStyle name="Normal 2 2 2 9 3 10 2" xfId="15054"/>
    <cellStyle name="Normal 2 2 2 9 3 11" xfId="15055"/>
    <cellStyle name="Normal 2 2 2 9 3 11 2" xfId="15056"/>
    <cellStyle name="Normal 2 2 2 9 3 12" xfId="15057"/>
    <cellStyle name="Normal 2 2 2 9 3 12 2" xfId="15058"/>
    <cellStyle name="Normal 2 2 2 9 3 13" xfId="15059"/>
    <cellStyle name="Normal 2 2 2 9 3 2" xfId="15060"/>
    <cellStyle name="Normal 2 2 2 9 3 2 10" xfId="15061"/>
    <cellStyle name="Normal 2 2 2 9 3 2 10 2" xfId="15062"/>
    <cellStyle name="Normal 2 2 2 9 3 2 11" xfId="15063"/>
    <cellStyle name="Normal 2 2 2 9 3 2 11 2" xfId="15064"/>
    <cellStyle name="Normal 2 2 2 9 3 2 12" xfId="15065"/>
    <cellStyle name="Normal 2 2 2 9 3 2 2" xfId="15066"/>
    <cellStyle name="Normal 2 2 2 9 3 2 2 10" xfId="15067"/>
    <cellStyle name="Normal 2 2 2 9 3 2 2 10 2" xfId="15068"/>
    <cellStyle name="Normal 2 2 2 9 3 2 2 11" xfId="15069"/>
    <cellStyle name="Normal 2 2 2 9 3 2 2 2" xfId="15070"/>
    <cellStyle name="Normal 2 2 2 9 3 2 2 2 2" xfId="15071"/>
    <cellStyle name="Normal 2 2 2 9 3 2 2 3" xfId="15072"/>
    <cellStyle name="Normal 2 2 2 9 3 2 2 3 2" xfId="15073"/>
    <cellStyle name="Normal 2 2 2 9 3 2 2 4" xfId="15074"/>
    <cellStyle name="Normal 2 2 2 9 3 2 2 4 2" xfId="15075"/>
    <cellStyle name="Normal 2 2 2 9 3 2 2 5" xfId="15076"/>
    <cellStyle name="Normal 2 2 2 9 3 2 2 5 2" xfId="15077"/>
    <cellStyle name="Normal 2 2 2 9 3 2 2 6" xfId="15078"/>
    <cellStyle name="Normal 2 2 2 9 3 2 2 6 2" xfId="15079"/>
    <cellStyle name="Normal 2 2 2 9 3 2 2 7" xfId="15080"/>
    <cellStyle name="Normal 2 2 2 9 3 2 2 7 2" xfId="15081"/>
    <cellStyle name="Normal 2 2 2 9 3 2 2 8" xfId="15082"/>
    <cellStyle name="Normal 2 2 2 9 3 2 2 8 2" xfId="15083"/>
    <cellStyle name="Normal 2 2 2 9 3 2 2 9" xfId="15084"/>
    <cellStyle name="Normal 2 2 2 9 3 2 2 9 2" xfId="15085"/>
    <cellStyle name="Normal 2 2 2 9 3 2 3" xfId="15086"/>
    <cellStyle name="Normal 2 2 2 9 3 2 3 2" xfId="15087"/>
    <cellStyle name="Normal 2 2 2 9 3 2 4" xfId="15088"/>
    <cellStyle name="Normal 2 2 2 9 3 2 4 2" xfId="15089"/>
    <cellStyle name="Normal 2 2 2 9 3 2 5" xfId="15090"/>
    <cellStyle name="Normal 2 2 2 9 3 2 5 2" xfId="15091"/>
    <cellStyle name="Normal 2 2 2 9 3 2 6" xfId="15092"/>
    <cellStyle name="Normal 2 2 2 9 3 2 6 2" xfId="15093"/>
    <cellStyle name="Normal 2 2 2 9 3 2 7" xfId="15094"/>
    <cellStyle name="Normal 2 2 2 9 3 2 7 2" xfId="15095"/>
    <cellStyle name="Normal 2 2 2 9 3 2 8" xfId="15096"/>
    <cellStyle name="Normal 2 2 2 9 3 2 8 2" xfId="15097"/>
    <cellStyle name="Normal 2 2 2 9 3 2 9" xfId="15098"/>
    <cellStyle name="Normal 2 2 2 9 3 2 9 2" xfId="15099"/>
    <cellStyle name="Normal 2 2 2 9 3 3" xfId="15100"/>
    <cellStyle name="Normal 2 2 2 9 3 3 10" xfId="15101"/>
    <cellStyle name="Normal 2 2 2 9 3 3 10 2" xfId="15102"/>
    <cellStyle name="Normal 2 2 2 9 3 3 11" xfId="15103"/>
    <cellStyle name="Normal 2 2 2 9 3 3 2" xfId="15104"/>
    <cellStyle name="Normal 2 2 2 9 3 3 2 2" xfId="15105"/>
    <cellStyle name="Normal 2 2 2 9 3 3 3" xfId="15106"/>
    <cellStyle name="Normal 2 2 2 9 3 3 3 2" xfId="15107"/>
    <cellStyle name="Normal 2 2 2 9 3 3 4" xfId="15108"/>
    <cellStyle name="Normal 2 2 2 9 3 3 4 2" xfId="15109"/>
    <cellStyle name="Normal 2 2 2 9 3 3 5" xfId="15110"/>
    <cellStyle name="Normal 2 2 2 9 3 3 5 2" xfId="15111"/>
    <cellStyle name="Normal 2 2 2 9 3 3 6" xfId="15112"/>
    <cellStyle name="Normal 2 2 2 9 3 3 6 2" xfId="15113"/>
    <cellStyle name="Normal 2 2 2 9 3 3 7" xfId="15114"/>
    <cellStyle name="Normal 2 2 2 9 3 3 7 2" xfId="15115"/>
    <cellStyle name="Normal 2 2 2 9 3 3 8" xfId="15116"/>
    <cellStyle name="Normal 2 2 2 9 3 3 8 2" xfId="15117"/>
    <cellStyle name="Normal 2 2 2 9 3 3 9" xfId="15118"/>
    <cellStyle name="Normal 2 2 2 9 3 3 9 2" xfId="15119"/>
    <cellStyle name="Normal 2 2 2 9 3 4" xfId="15120"/>
    <cellStyle name="Normal 2 2 2 9 3 4 2" xfId="15121"/>
    <cellStyle name="Normal 2 2 2 9 3 5" xfId="15122"/>
    <cellStyle name="Normal 2 2 2 9 3 5 2" xfId="15123"/>
    <cellStyle name="Normal 2 2 2 9 3 6" xfId="15124"/>
    <cellStyle name="Normal 2 2 2 9 3 6 2" xfId="15125"/>
    <cellStyle name="Normal 2 2 2 9 3 7" xfId="15126"/>
    <cellStyle name="Normal 2 2 2 9 3 7 2" xfId="15127"/>
    <cellStyle name="Normal 2 2 2 9 3 8" xfId="15128"/>
    <cellStyle name="Normal 2 2 2 9 3 8 2" xfId="15129"/>
    <cellStyle name="Normal 2 2 2 9 3 9" xfId="15130"/>
    <cellStyle name="Normal 2 2 2 9 3 9 2" xfId="15131"/>
    <cellStyle name="Normal 2 2 2 9 4" xfId="15132"/>
    <cellStyle name="Normal 2 2 2 9 4 10" xfId="15133"/>
    <cellStyle name="Normal 2 2 2 9 4 10 2" xfId="15134"/>
    <cellStyle name="Normal 2 2 2 9 4 11" xfId="15135"/>
    <cellStyle name="Normal 2 2 2 9 4 11 2" xfId="15136"/>
    <cellStyle name="Normal 2 2 2 9 4 12" xfId="15137"/>
    <cellStyle name="Normal 2 2 2 9 4 12 2" xfId="15138"/>
    <cellStyle name="Normal 2 2 2 9 4 13" xfId="15139"/>
    <cellStyle name="Normal 2 2 2 9 4 2" xfId="15140"/>
    <cellStyle name="Normal 2 2 2 9 4 2 10" xfId="15141"/>
    <cellStyle name="Normal 2 2 2 9 4 2 10 2" xfId="15142"/>
    <cellStyle name="Normal 2 2 2 9 4 2 11" xfId="15143"/>
    <cellStyle name="Normal 2 2 2 9 4 2 11 2" xfId="15144"/>
    <cellStyle name="Normal 2 2 2 9 4 2 12" xfId="15145"/>
    <cellStyle name="Normal 2 2 2 9 4 2 2" xfId="15146"/>
    <cellStyle name="Normal 2 2 2 9 4 2 2 10" xfId="15147"/>
    <cellStyle name="Normal 2 2 2 9 4 2 2 10 2" xfId="15148"/>
    <cellStyle name="Normal 2 2 2 9 4 2 2 11" xfId="15149"/>
    <cellStyle name="Normal 2 2 2 9 4 2 2 2" xfId="15150"/>
    <cellStyle name="Normal 2 2 2 9 4 2 2 2 2" xfId="15151"/>
    <cellStyle name="Normal 2 2 2 9 4 2 2 3" xfId="15152"/>
    <cellStyle name="Normal 2 2 2 9 4 2 2 3 2" xfId="15153"/>
    <cellStyle name="Normal 2 2 2 9 4 2 2 4" xfId="15154"/>
    <cellStyle name="Normal 2 2 2 9 4 2 2 4 2" xfId="15155"/>
    <cellStyle name="Normal 2 2 2 9 4 2 2 5" xfId="15156"/>
    <cellStyle name="Normal 2 2 2 9 4 2 2 5 2" xfId="15157"/>
    <cellStyle name="Normal 2 2 2 9 4 2 2 6" xfId="15158"/>
    <cellStyle name="Normal 2 2 2 9 4 2 2 6 2" xfId="15159"/>
    <cellStyle name="Normal 2 2 2 9 4 2 2 7" xfId="15160"/>
    <cellStyle name="Normal 2 2 2 9 4 2 2 7 2" xfId="15161"/>
    <cellStyle name="Normal 2 2 2 9 4 2 2 8" xfId="15162"/>
    <cellStyle name="Normal 2 2 2 9 4 2 2 8 2" xfId="15163"/>
    <cellStyle name="Normal 2 2 2 9 4 2 2 9" xfId="15164"/>
    <cellStyle name="Normal 2 2 2 9 4 2 2 9 2" xfId="15165"/>
    <cellStyle name="Normal 2 2 2 9 4 2 3" xfId="15166"/>
    <cellStyle name="Normal 2 2 2 9 4 2 3 2" xfId="15167"/>
    <cellStyle name="Normal 2 2 2 9 4 2 4" xfId="15168"/>
    <cellStyle name="Normal 2 2 2 9 4 2 4 2" xfId="15169"/>
    <cellStyle name="Normal 2 2 2 9 4 2 5" xfId="15170"/>
    <cellStyle name="Normal 2 2 2 9 4 2 5 2" xfId="15171"/>
    <cellStyle name="Normal 2 2 2 9 4 2 6" xfId="15172"/>
    <cellStyle name="Normal 2 2 2 9 4 2 6 2" xfId="15173"/>
    <cellStyle name="Normal 2 2 2 9 4 2 7" xfId="15174"/>
    <cellStyle name="Normal 2 2 2 9 4 2 7 2" xfId="15175"/>
    <cellStyle name="Normal 2 2 2 9 4 2 8" xfId="15176"/>
    <cellStyle name="Normal 2 2 2 9 4 2 8 2" xfId="15177"/>
    <cellStyle name="Normal 2 2 2 9 4 2 9" xfId="15178"/>
    <cellStyle name="Normal 2 2 2 9 4 2 9 2" xfId="15179"/>
    <cellStyle name="Normal 2 2 2 9 4 3" xfId="15180"/>
    <cellStyle name="Normal 2 2 2 9 4 3 10" xfId="15181"/>
    <cellStyle name="Normal 2 2 2 9 4 3 10 2" xfId="15182"/>
    <cellStyle name="Normal 2 2 2 9 4 3 11" xfId="15183"/>
    <cellStyle name="Normal 2 2 2 9 4 3 2" xfId="15184"/>
    <cellStyle name="Normal 2 2 2 9 4 3 2 2" xfId="15185"/>
    <cellStyle name="Normal 2 2 2 9 4 3 3" xfId="15186"/>
    <cellStyle name="Normal 2 2 2 9 4 3 3 2" xfId="15187"/>
    <cellStyle name="Normal 2 2 2 9 4 3 4" xfId="15188"/>
    <cellStyle name="Normal 2 2 2 9 4 3 4 2" xfId="15189"/>
    <cellStyle name="Normal 2 2 2 9 4 3 5" xfId="15190"/>
    <cellStyle name="Normal 2 2 2 9 4 3 5 2" xfId="15191"/>
    <cellStyle name="Normal 2 2 2 9 4 3 6" xfId="15192"/>
    <cellStyle name="Normal 2 2 2 9 4 3 6 2" xfId="15193"/>
    <cellStyle name="Normal 2 2 2 9 4 3 7" xfId="15194"/>
    <cellStyle name="Normal 2 2 2 9 4 3 7 2" xfId="15195"/>
    <cellStyle name="Normal 2 2 2 9 4 3 8" xfId="15196"/>
    <cellStyle name="Normal 2 2 2 9 4 3 8 2" xfId="15197"/>
    <cellStyle name="Normal 2 2 2 9 4 3 9" xfId="15198"/>
    <cellStyle name="Normal 2 2 2 9 4 3 9 2" xfId="15199"/>
    <cellStyle name="Normal 2 2 2 9 4 4" xfId="15200"/>
    <cellStyle name="Normal 2 2 2 9 4 4 2" xfId="15201"/>
    <cellStyle name="Normal 2 2 2 9 4 5" xfId="15202"/>
    <cellStyle name="Normal 2 2 2 9 4 5 2" xfId="15203"/>
    <cellStyle name="Normal 2 2 2 9 4 6" xfId="15204"/>
    <cellStyle name="Normal 2 2 2 9 4 6 2" xfId="15205"/>
    <cellStyle name="Normal 2 2 2 9 4 7" xfId="15206"/>
    <cellStyle name="Normal 2 2 2 9 4 7 2" xfId="15207"/>
    <cellStyle name="Normal 2 2 2 9 4 8" xfId="15208"/>
    <cellStyle name="Normal 2 2 2 9 4 8 2" xfId="15209"/>
    <cellStyle name="Normal 2 2 2 9 4 9" xfId="15210"/>
    <cellStyle name="Normal 2 2 2 9 4 9 2" xfId="15211"/>
    <cellStyle name="Normal 2 2 2 9 5" xfId="15212"/>
    <cellStyle name="Normal 2 2 2 9 5 10" xfId="15213"/>
    <cellStyle name="Normal 2 2 2 9 5 10 2" xfId="15214"/>
    <cellStyle name="Normal 2 2 2 9 5 11" xfId="15215"/>
    <cellStyle name="Normal 2 2 2 9 5 11 2" xfId="15216"/>
    <cellStyle name="Normal 2 2 2 9 5 12" xfId="15217"/>
    <cellStyle name="Normal 2 2 2 9 5 12 2" xfId="15218"/>
    <cellStyle name="Normal 2 2 2 9 5 13" xfId="15219"/>
    <cellStyle name="Normal 2 2 2 9 5 2" xfId="15220"/>
    <cellStyle name="Normal 2 2 2 9 5 2 10" xfId="15221"/>
    <cellStyle name="Normal 2 2 2 9 5 2 10 2" xfId="15222"/>
    <cellStyle name="Normal 2 2 2 9 5 2 11" xfId="15223"/>
    <cellStyle name="Normal 2 2 2 9 5 2 11 2" xfId="15224"/>
    <cellStyle name="Normal 2 2 2 9 5 2 12" xfId="15225"/>
    <cellStyle name="Normal 2 2 2 9 5 2 2" xfId="15226"/>
    <cellStyle name="Normal 2 2 2 9 5 2 2 10" xfId="15227"/>
    <cellStyle name="Normal 2 2 2 9 5 2 2 10 2" xfId="15228"/>
    <cellStyle name="Normal 2 2 2 9 5 2 2 11" xfId="15229"/>
    <cellStyle name="Normal 2 2 2 9 5 2 2 2" xfId="15230"/>
    <cellStyle name="Normal 2 2 2 9 5 2 2 2 2" xfId="15231"/>
    <cellStyle name="Normal 2 2 2 9 5 2 2 3" xfId="15232"/>
    <cellStyle name="Normal 2 2 2 9 5 2 2 3 2" xfId="15233"/>
    <cellStyle name="Normal 2 2 2 9 5 2 2 4" xfId="15234"/>
    <cellStyle name="Normal 2 2 2 9 5 2 2 4 2" xfId="15235"/>
    <cellStyle name="Normal 2 2 2 9 5 2 2 5" xfId="15236"/>
    <cellStyle name="Normal 2 2 2 9 5 2 2 5 2" xfId="15237"/>
    <cellStyle name="Normal 2 2 2 9 5 2 2 6" xfId="15238"/>
    <cellStyle name="Normal 2 2 2 9 5 2 2 6 2" xfId="15239"/>
    <cellStyle name="Normal 2 2 2 9 5 2 2 7" xfId="15240"/>
    <cellStyle name="Normal 2 2 2 9 5 2 2 7 2" xfId="15241"/>
    <cellStyle name="Normal 2 2 2 9 5 2 2 8" xfId="15242"/>
    <cellStyle name="Normal 2 2 2 9 5 2 2 8 2" xfId="15243"/>
    <cellStyle name="Normal 2 2 2 9 5 2 2 9" xfId="15244"/>
    <cellStyle name="Normal 2 2 2 9 5 2 2 9 2" xfId="15245"/>
    <cellStyle name="Normal 2 2 2 9 5 2 3" xfId="15246"/>
    <cellStyle name="Normal 2 2 2 9 5 2 3 2" xfId="15247"/>
    <cellStyle name="Normal 2 2 2 9 5 2 4" xfId="15248"/>
    <cellStyle name="Normal 2 2 2 9 5 2 4 2" xfId="15249"/>
    <cellStyle name="Normal 2 2 2 9 5 2 5" xfId="15250"/>
    <cellStyle name="Normal 2 2 2 9 5 2 5 2" xfId="15251"/>
    <cellStyle name="Normal 2 2 2 9 5 2 6" xfId="15252"/>
    <cellStyle name="Normal 2 2 2 9 5 2 6 2" xfId="15253"/>
    <cellStyle name="Normal 2 2 2 9 5 2 7" xfId="15254"/>
    <cellStyle name="Normal 2 2 2 9 5 2 7 2" xfId="15255"/>
    <cellStyle name="Normal 2 2 2 9 5 2 8" xfId="15256"/>
    <cellStyle name="Normal 2 2 2 9 5 2 8 2" xfId="15257"/>
    <cellStyle name="Normal 2 2 2 9 5 2 9" xfId="15258"/>
    <cellStyle name="Normal 2 2 2 9 5 2 9 2" xfId="15259"/>
    <cellStyle name="Normal 2 2 2 9 5 3" xfId="15260"/>
    <cellStyle name="Normal 2 2 2 9 5 3 10" xfId="15261"/>
    <cellStyle name="Normal 2 2 2 9 5 3 10 2" xfId="15262"/>
    <cellStyle name="Normal 2 2 2 9 5 3 11" xfId="15263"/>
    <cellStyle name="Normal 2 2 2 9 5 3 2" xfId="15264"/>
    <cellStyle name="Normal 2 2 2 9 5 3 2 2" xfId="15265"/>
    <cellStyle name="Normal 2 2 2 9 5 3 3" xfId="15266"/>
    <cellStyle name="Normal 2 2 2 9 5 3 3 2" xfId="15267"/>
    <cellStyle name="Normal 2 2 2 9 5 3 4" xfId="15268"/>
    <cellStyle name="Normal 2 2 2 9 5 3 4 2" xfId="15269"/>
    <cellStyle name="Normal 2 2 2 9 5 3 5" xfId="15270"/>
    <cellStyle name="Normal 2 2 2 9 5 3 5 2" xfId="15271"/>
    <cellStyle name="Normal 2 2 2 9 5 3 6" xfId="15272"/>
    <cellStyle name="Normal 2 2 2 9 5 3 6 2" xfId="15273"/>
    <cellStyle name="Normal 2 2 2 9 5 3 7" xfId="15274"/>
    <cellStyle name="Normal 2 2 2 9 5 3 7 2" xfId="15275"/>
    <cellStyle name="Normal 2 2 2 9 5 3 8" xfId="15276"/>
    <cellStyle name="Normal 2 2 2 9 5 3 8 2" xfId="15277"/>
    <cellStyle name="Normal 2 2 2 9 5 3 9" xfId="15278"/>
    <cellStyle name="Normal 2 2 2 9 5 3 9 2" xfId="15279"/>
    <cellStyle name="Normal 2 2 2 9 5 4" xfId="15280"/>
    <cellStyle name="Normal 2 2 2 9 5 4 2" xfId="15281"/>
    <cellStyle name="Normal 2 2 2 9 5 5" xfId="15282"/>
    <cellStyle name="Normal 2 2 2 9 5 5 2" xfId="15283"/>
    <cellStyle name="Normal 2 2 2 9 5 6" xfId="15284"/>
    <cellStyle name="Normal 2 2 2 9 5 6 2" xfId="15285"/>
    <cellStyle name="Normal 2 2 2 9 5 7" xfId="15286"/>
    <cellStyle name="Normal 2 2 2 9 5 7 2" xfId="15287"/>
    <cellStyle name="Normal 2 2 2 9 5 8" xfId="15288"/>
    <cellStyle name="Normal 2 2 2 9 5 8 2" xfId="15289"/>
    <cellStyle name="Normal 2 2 2 9 5 9" xfId="15290"/>
    <cellStyle name="Normal 2 2 2 9 5 9 2" xfId="15291"/>
    <cellStyle name="Normal 2 2 2 9 6" xfId="15292"/>
    <cellStyle name="Normal 2 2 2 9 6 10" xfId="15293"/>
    <cellStyle name="Normal 2 2 2 9 6 10 2" xfId="15294"/>
    <cellStyle name="Normal 2 2 2 9 6 11" xfId="15295"/>
    <cellStyle name="Normal 2 2 2 9 6 11 2" xfId="15296"/>
    <cellStyle name="Normal 2 2 2 9 6 12" xfId="15297"/>
    <cellStyle name="Normal 2 2 2 9 6 12 2" xfId="15298"/>
    <cellStyle name="Normal 2 2 2 9 6 13" xfId="15299"/>
    <cellStyle name="Normal 2 2 2 9 6 2" xfId="15300"/>
    <cellStyle name="Normal 2 2 2 9 6 2 10" xfId="15301"/>
    <cellStyle name="Normal 2 2 2 9 6 2 10 2" xfId="15302"/>
    <cellStyle name="Normal 2 2 2 9 6 2 11" xfId="15303"/>
    <cellStyle name="Normal 2 2 2 9 6 2 11 2" xfId="15304"/>
    <cellStyle name="Normal 2 2 2 9 6 2 12" xfId="15305"/>
    <cellStyle name="Normal 2 2 2 9 6 2 2" xfId="15306"/>
    <cellStyle name="Normal 2 2 2 9 6 2 2 10" xfId="15307"/>
    <cellStyle name="Normal 2 2 2 9 6 2 2 10 2" xfId="15308"/>
    <cellStyle name="Normal 2 2 2 9 6 2 2 11" xfId="15309"/>
    <cellStyle name="Normal 2 2 2 9 6 2 2 2" xfId="15310"/>
    <cellStyle name="Normal 2 2 2 9 6 2 2 2 2" xfId="15311"/>
    <cellStyle name="Normal 2 2 2 9 6 2 2 3" xfId="15312"/>
    <cellStyle name="Normal 2 2 2 9 6 2 2 3 2" xfId="15313"/>
    <cellStyle name="Normal 2 2 2 9 6 2 2 4" xfId="15314"/>
    <cellStyle name="Normal 2 2 2 9 6 2 2 4 2" xfId="15315"/>
    <cellStyle name="Normal 2 2 2 9 6 2 2 5" xfId="15316"/>
    <cellStyle name="Normal 2 2 2 9 6 2 2 5 2" xfId="15317"/>
    <cellStyle name="Normal 2 2 2 9 6 2 2 6" xfId="15318"/>
    <cellStyle name="Normal 2 2 2 9 6 2 2 6 2" xfId="15319"/>
    <cellStyle name="Normal 2 2 2 9 6 2 2 7" xfId="15320"/>
    <cellStyle name="Normal 2 2 2 9 6 2 2 7 2" xfId="15321"/>
    <cellStyle name="Normal 2 2 2 9 6 2 2 8" xfId="15322"/>
    <cellStyle name="Normal 2 2 2 9 6 2 2 8 2" xfId="15323"/>
    <cellStyle name="Normal 2 2 2 9 6 2 2 9" xfId="15324"/>
    <cellStyle name="Normal 2 2 2 9 6 2 2 9 2" xfId="15325"/>
    <cellStyle name="Normal 2 2 2 9 6 2 3" xfId="15326"/>
    <cellStyle name="Normal 2 2 2 9 6 2 3 2" xfId="15327"/>
    <cellStyle name="Normal 2 2 2 9 6 2 4" xfId="15328"/>
    <cellStyle name="Normal 2 2 2 9 6 2 4 2" xfId="15329"/>
    <cellStyle name="Normal 2 2 2 9 6 2 5" xfId="15330"/>
    <cellStyle name="Normal 2 2 2 9 6 2 5 2" xfId="15331"/>
    <cellStyle name="Normal 2 2 2 9 6 2 6" xfId="15332"/>
    <cellStyle name="Normal 2 2 2 9 6 2 6 2" xfId="15333"/>
    <cellStyle name="Normal 2 2 2 9 6 2 7" xfId="15334"/>
    <cellStyle name="Normal 2 2 2 9 6 2 7 2" xfId="15335"/>
    <cellStyle name="Normal 2 2 2 9 6 2 8" xfId="15336"/>
    <cellStyle name="Normal 2 2 2 9 6 2 8 2" xfId="15337"/>
    <cellStyle name="Normal 2 2 2 9 6 2 9" xfId="15338"/>
    <cellStyle name="Normal 2 2 2 9 6 2 9 2" xfId="15339"/>
    <cellStyle name="Normal 2 2 2 9 6 3" xfId="15340"/>
    <cellStyle name="Normal 2 2 2 9 6 3 10" xfId="15341"/>
    <cellStyle name="Normal 2 2 2 9 6 3 10 2" xfId="15342"/>
    <cellStyle name="Normal 2 2 2 9 6 3 11" xfId="15343"/>
    <cellStyle name="Normal 2 2 2 9 6 3 2" xfId="15344"/>
    <cellStyle name="Normal 2 2 2 9 6 3 2 2" xfId="15345"/>
    <cellStyle name="Normal 2 2 2 9 6 3 3" xfId="15346"/>
    <cellStyle name="Normal 2 2 2 9 6 3 3 2" xfId="15347"/>
    <cellStyle name="Normal 2 2 2 9 6 3 4" xfId="15348"/>
    <cellStyle name="Normal 2 2 2 9 6 3 4 2" xfId="15349"/>
    <cellStyle name="Normal 2 2 2 9 6 3 5" xfId="15350"/>
    <cellStyle name="Normal 2 2 2 9 6 3 5 2" xfId="15351"/>
    <cellStyle name="Normal 2 2 2 9 6 3 6" xfId="15352"/>
    <cellStyle name="Normal 2 2 2 9 6 3 6 2" xfId="15353"/>
    <cellStyle name="Normal 2 2 2 9 6 3 7" xfId="15354"/>
    <cellStyle name="Normal 2 2 2 9 6 3 7 2" xfId="15355"/>
    <cellStyle name="Normal 2 2 2 9 6 3 8" xfId="15356"/>
    <cellStyle name="Normal 2 2 2 9 6 3 8 2" xfId="15357"/>
    <cellStyle name="Normal 2 2 2 9 6 3 9" xfId="15358"/>
    <cellStyle name="Normal 2 2 2 9 6 3 9 2" xfId="15359"/>
    <cellStyle name="Normal 2 2 2 9 6 4" xfId="15360"/>
    <cellStyle name="Normal 2 2 2 9 6 4 2" xfId="15361"/>
    <cellStyle name="Normal 2 2 2 9 6 5" xfId="15362"/>
    <cellStyle name="Normal 2 2 2 9 6 5 2" xfId="15363"/>
    <cellStyle name="Normal 2 2 2 9 6 6" xfId="15364"/>
    <cellStyle name="Normal 2 2 2 9 6 6 2" xfId="15365"/>
    <cellStyle name="Normal 2 2 2 9 6 7" xfId="15366"/>
    <cellStyle name="Normal 2 2 2 9 6 7 2" xfId="15367"/>
    <cellStyle name="Normal 2 2 2 9 6 8" xfId="15368"/>
    <cellStyle name="Normal 2 2 2 9 6 8 2" xfId="15369"/>
    <cellStyle name="Normal 2 2 2 9 6 9" xfId="15370"/>
    <cellStyle name="Normal 2 2 2 9 6 9 2" xfId="15371"/>
    <cellStyle name="Normal 2 2 20" xfId="15372"/>
    <cellStyle name="Normal 2 2 21" xfId="15373"/>
    <cellStyle name="Normal 2 2 22" xfId="15374"/>
    <cellStyle name="Normal 2 2 23" xfId="15375"/>
    <cellStyle name="Normal 2 2 24" xfId="15376"/>
    <cellStyle name="Normal 2 2 25" xfId="15377"/>
    <cellStyle name="Normal 2 2 26" xfId="15378"/>
    <cellStyle name="Normal 2 2 27" xfId="15379"/>
    <cellStyle name="Normal 2 2 28" xfId="15380"/>
    <cellStyle name="Normal 2 2 29" xfId="15381"/>
    <cellStyle name="Normal 2 2 3" xfId="15382"/>
    <cellStyle name="Normal 2 2 30" xfId="15383"/>
    <cellStyle name="Normal 2 2 31" xfId="15384"/>
    <cellStyle name="Normal 2 2 4" xfId="15385"/>
    <cellStyle name="Normal 2 2 4 10" xfId="15386"/>
    <cellStyle name="Normal 2 2 4 10 10" xfId="15387"/>
    <cellStyle name="Normal 2 2 4 10 10 2" xfId="15388"/>
    <cellStyle name="Normal 2 2 4 10 11" xfId="15389"/>
    <cellStyle name="Normal 2 2 4 10 11 2" xfId="15390"/>
    <cellStyle name="Normal 2 2 4 10 12" xfId="15391"/>
    <cellStyle name="Normal 2 2 4 10 2" xfId="15392"/>
    <cellStyle name="Normal 2 2 4 10 2 10" xfId="15393"/>
    <cellStyle name="Normal 2 2 4 10 2 10 2" xfId="15394"/>
    <cellStyle name="Normal 2 2 4 10 2 11" xfId="15395"/>
    <cellStyle name="Normal 2 2 4 10 2 2" xfId="15396"/>
    <cellStyle name="Normal 2 2 4 10 2 2 2" xfId="15397"/>
    <cellStyle name="Normal 2 2 4 10 2 3" xfId="15398"/>
    <cellStyle name="Normal 2 2 4 10 2 3 2" xfId="15399"/>
    <cellStyle name="Normal 2 2 4 10 2 4" xfId="15400"/>
    <cellStyle name="Normal 2 2 4 10 2 4 2" xfId="15401"/>
    <cellStyle name="Normal 2 2 4 10 2 5" xfId="15402"/>
    <cellStyle name="Normal 2 2 4 10 2 5 2" xfId="15403"/>
    <cellStyle name="Normal 2 2 4 10 2 6" xfId="15404"/>
    <cellStyle name="Normal 2 2 4 10 2 6 2" xfId="15405"/>
    <cellStyle name="Normal 2 2 4 10 2 7" xfId="15406"/>
    <cellStyle name="Normal 2 2 4 10 2 7 2" xfId="15407"/>
    <cellStyle name="Normal 2 2 4 10 2 8" xfId="15408"/>
    <cellStyle name="Normal 2 2 4 10 2 8 2" xfId="15409"/>
    <cellStyle name="Normal 2 2 4 10 2 9" xfId="15410"/>
    <cellStyle name="Normal 2 2 4 10 2 9 2" xfId="15411"/>
    <cellStyle name="Normal 2 2 4 10 3" xfId="15412"/>
    <cellStyle name="Normal 2 2 4 10 3 2" xfId="15413"/>
    <cellStyle name="Normal 2 2 4 10 4" xfId="15414"/>
    <cellStyle name="Normal 2 2 4 10 4 2" xfId="15415"/>
    <cellStyle name="Normal 2 2 4 10 5" xfId="15416"/>
    <cellStyle name="Normal 2 2 4 10 5 2" xfId="15417"/>
    <cellStyle name="Normal 2 2 4 10 6" xfId="15418"/>
    <cellStyle name="Normal 2 2 4 10 6 2" xfId="15419"/>
    <cellStyle name="Normal 2 2 4 10 7" xfId="15420"/>
    <cellStyle name="Normal 2 2 4 10 7 2" xfId="15421"/>
    <cellStyle name="Normal 2 2 4 10 8" xfId="15422"/>
    <cellStyle name="Normal 2 2 4 10 8 2" xfId="15423"/>
    <cellStyle name="Normal 2 2 4 10 9" xfId="15424"/>
    <cellStyle name="Normal 2 2 4 10 9 2" xfId="15425"/>
    <cellStyle name="Normal 2 2 4 11" xfId="15426"/>
    <cellStyle name="Normal 2 2 4 11 10" xfId="15427"/>
    <cellStyle name="Normal 2 2 4 11 10 2" xfId="15428"/>
    <cellStyle name="Normal 2 2 4 11 11" xfId="15429"/>
    <cellStyle name="Normal 2 2 4 11 2" xfId="15430"/>
    <cellStyle name="Normal 2 2 4 11 2 2" xfId="15431"/>
    <cellStyle name="Normal 2 2 4 11 3" xfId="15432"/>
    <cellStyle name="Normal 2 2 4 11 3 2" xfId="15433"/>
    <cellStyle name="Normal 2 2 4 11 4" xfId="15434"/>
    <cellStyle name="Normal 2 2 4 11 4 2" xfId="15435"/>
    <cellStyle name="Normal 2 2 4 11 5" xfId="15436"/>
    <cellStyle name="Normal 2 2 4 11 5 2" xfId="15437"/>
    <cellStyle name="Normal 2 2 4 11 6" xfId="15438"/>
    <cellStyle name="Normal 2 2 4 11 6 2" xfId="15439"/>
    <cellStyle name="Normal 2 2 4 11 7" xfId="15440"/>
    <cellStyle name="Normal 2 2 4 11 7 2" xfId="15441"/>
    <cellStyle name="Normal 2 2 4 11 8" xfId="15442"/>
    <cellStyle name="Normal 2 2 4 11 8 2" xfId="15443"/>
    <cellStyle name="Normal 2 2 4 11 9" xfId="15444"/>
    <cellStyle name="Normal 2 2 4 11 9 2" xfId="15445"/>
    <cellStyle name="Normal 2 2 4 12" xfId="15446"/>
    <cellStyle name="Normal 2 2 4 12 2" xfId="15447"/>
    <cellStyle name="Normal 2 2 4 13" xfId="15448"/>
    <cellStyle name="Normal 2 2 4 13 2" xfId="15449"/>
    <cellStyle name="Normal 2 2 4 14" xfId="15450"/>
    <cellStyle name="Normal 2 2 4 14 2" xfId="15451"/>
    <cellStyle name="Normal 2 2 4 15" xfId="15452"/>
    <cellStyle name="Normal 2 2 4 15 2" xfId="15453"/>
    <cellStyle name="Normal 2 2 4 16" xfId="15454"/>
    <cellStyle name="Normal 2 2 4 16 2" xfId="15455"/>
    <cellStyle name="Normal 2 2 4 17" xfId="15456"/>
    <cellStyle name="Normal 2 2 4 17 2" xfId="15457"/>
    <cellStyle name="Normal 2 2 4 18" xfId="15458"/>
    <cellStyle name="Normal 2 2 4 18 2" xfId="15459"/>
    <cellStyle name="Normal 2 2 4 19" xfId="15460"/>
    <cellStyle name="Normal 2 2 4 19 2" xfId="15461"/>
    <cellStyle name="Normal 2 2 4 2" xfId="15462"/>
    <cellStyle name="Normal 2 2 4 2 2" xfId="15463"/>
    <cellStyle name="Normal 2 2 4 2 2 10" xfId="15464"/>
    <cellStyle name="Normal 2 2 4 2 2 10 2" xfId="15465"/>
    <cellStyle name="Normal 2 2 4 2 2 11" xfId="15466"/>
    <cellStyle name="Normal 2 2 4 2 2 11 2" xfId="15467"/>
    <cellStyle name="Normal 2 2 4 2 2 12" xfId="15468"/>
    <cellStyle name="Normal 2 2 4 2 2 12 2" xfId="15469"/>
    <cellStyle name="Normal 2 2 4 2 2 13" xfId="15470"/>
    <cellStyle name="Normal 2 2 4 2 2 13 2" xfId="15471"/>
    <cellStyle name="Normal 2 2 4 2 2 14" xfId="15472"/>
    <cellStyle name="Normal 2 2 4 2 2 14 2" xfId="15473"/>
    <cellStyle name="Normal 2 2 4 2 2 15" xfId="15474"/>
    <cellStyle name="Normal 2 2 4 2 2 15 2" xfId="15475"/>
    <cellStyle name="Normal 2 2 4 2 2 16" xfId="15476"/>
    <cellStyle name="Normal 2 2 4 2 2 16 2" xfId="15477"/>
    <cellStyle name="Normal 2 2 4 2 2 17" xfId="15478"/>
    <cellStyle name="Normal 2 2 4 2 2 17 2" xfId="15479"/>
    <cellStyle name="Normal 2 2 4 2 2 18" xfId="15480"/>
    <cellStyle name="Normal 2 2 4 2 2 2" xfId="15481"/>
    <cellStyle name="Normal 2 2 4 2 2 2 2" xfId="15482"/>
    <cellStyle name="Normal 2 2 4 2 2 2 2 10" xfId="15483"/>
    <cellStyle name="Normal 2 2 4 2 2 2 2 10 2" xfId="15484"/>
    <cellStyle name="Normal 2 2 4 2 2 2 2 11" xfId="15485"/>
    <cellStyle name="Normal 2 2 4 2 2 2 2 11 2" xfId="15486"/>
    <cellStyle name="Normal 2 2 4 2 2 2 2 12" xfId="15487"/>
    <cellStyle name="Normal 2 2 4 2 2 2 2 12 2" xfId="15488"/>
    <cellStyle name="Normal 2 2 4 2 2 2 2 13" xfId="15489"/>
    <cellStyle name="Normal 2 2 4 2 2 2 2 13 2" xfId="15490"/>
    <cellStyle name="Normal 2 2 4 2 2 2 2 14" xfId="15491"/>
    <cellStyle name="Normal 2 2 4 2 2 2 2 14 2" xfId="15492"/>
    <cellStyle name="Normal 2 2 4 2 2 2 2 15" xfId="15493"/>
    <cellStyle name="Normal 2 2 4 2 2 2 2 15 2" xfId="15494"/>
    <cellStyle name="Normal 2 2 4 2 2 2 2 16" xfId="15495"/>
    <cellStyle name="Normal 2 2 4 2 2 2 2 16 2" xfId="15496"/>
    <cellStyle name="Normal 2 2 4 2 2 2 2 17" xfId="15497"/>
    <cellStyle name="Normal 2 2 4 2 2 2 2 2" xfId="15498"/>
    <cellStyle name="Normal 2 2 4 2 2 2 2 3" xfId="15499"/>
    <cellStyle name="Normal 2 2 4 2 2 2 2 4" xfId="15500"/>
    <cellStyle name="Normal 2 2 4 2 2 2 2 5" xfId="15501"/>
    <cellStyle name="Normal 2 2 4 2 2 2 2 6" xfId="15502"/>
    <cellStyle name="Normal 2 2 4 2 2 2 2 6 10" xfId="15503"/>
    <cellStyle name="Normal 2 2 4 2 2 2 2 6 10 2" xfId="15504"/>
    <cellStyle name="Normal 2 2 4 2 2 2 2 6 11" xfId="15505"/>
    <cellStyle name="Normal 2 2 4 2 2 2 2 6 11 2" xfId="15506"/>
    <cellStyle name="Normal 2 2 4 2 2 2 2 6 12" xfId="15507"/>
    <cellStyle name="Normal 2 2 4 2 2 2 2 6 2" xfId="15508"/>
    <cellStyle name="Normal 2 2 4 2 2 2 2 6 2 10" xfId="15509"/>
    <cellStyle name="Normal 2 2 4 2 2 2 2 6 2 10 2" xfId="15510"/>
    <cellStyle name="Normal 2 2 4 2 2 2 2 6 2 11" xfId="15511"/>
    <cellStyle name="Normal 2 2 4 2 2 2 2 6 2 2" xfId="15512"/>
    <cellStyle name="Normal 2 2 4 2 2 2 2 6 2 2 2" xfId="15513"/>
    <cellStyle name="Normal 2 2 4 2 2 2 2 6 2 3" xfId="15514"/>
    <cellStyle name="Normal 2 2 4 2 2 2 2 6 2 3 2" xfId="15515"/>
    <cellStyle name="Normal 2 2 4 2 2 2 2 6 2 4" xfId="15516"/>
    <cellStyle name="Normal 2 2 4 2 2 2 2 6 2 4 2" xfId="15517"/>
    <cellStyle name="Normal 2 2 4 2 2 2 2 6 2 5" xfId="15518"/>
    <cellStyle name="Normal 2 2 4 2 2 2 2 6 2 5 2" xfId="15519"/>
    <cellStyle name="Normal 2 2 4 2 2 2 2 6 2 6" xfId="15520"/>
    <cellStyle name="Normal 2 2 4 2 2 2 2 6 2 6 2" xfId="15521"/>
    <cellStyle name="Normal 2 2 4 2 2 2 2 6 2 7" xfId="15522"/>
    <cellStyle name="Normal 2 2 4 2 2 2 2 6 2 7 2" xfId="15523"/>
    <cellStyle name="Normal 2 2 4 2 2 2 2 6 2 8" xfId="15524"/>
    <cellStyle name="Normal 2 2 4 2 2 2 2 6 2 8 2" xfId="15525"/>
    <cellStyle name="Normal 2 2 4 2 2 2 2 6 2 9" xfId="15526"/>
    <cellStyle name="Normal 2 2 4 2 2 2 2 6 2 9 2" xfId="15527"/>
    <cellStyle name="Normal 2 2 4 2 2 2 2 6 3" xfId="15528"/>
    <cellStyle name="Normal 2 2 4 2 2 2 2 6 3 2" xfId="15529"/>
    <cellStyle name="Normal 2 2 4 2 2 2 2 6 4" xfId="15530"/>
    <cellStyle name="Normal 2 2 4 2 2 2 2 6 4 2" xfId="15531"/>
    <cellStyle name="Normal 2 2 4 2 2 2 2 6 5" xfId="15532"/>
    <cellStyle name="Normal 2 2 4 2 2 2 2 6 5 2" xfId="15533"/>
    <cellStyle name="Normal 2 2 4 2 2 2 2 6 6" xfId="15534"/>
    <cellStyle name="Normal 2 2 4 2 2 2 2 6 6 2" xfId="15535"/>
    <cellStyle name="Normal 2 2 4 2 2 2 2 6 7" xfId="15536"/>
    <cellStyle name="Normal 2 2 4 2 2 2 2 6 7 2" xfId="15537"/>
    <cellStyle name="Normal 2 2 4 2 2 2 2 6 8" xfId="15538"/>
    <cellStyle name="Normal 2 2 4 2 2 2 2 6 8 2" xfId="15539"/>
    <cellStyle name="Normal 2 2 4 2 2 2 2 6 9" xfId="15540"/>
    <cellStyle name="Normal 2 2 4 2 2 2 2 6 9 2" xfId="15541"/>
    <cellStyle name="Normal 2 2 4 2 2 2 2 7" xfId="15542"/>
    <cellStyle name="Normal 2 2 4 2 2 2 2 7 10" xfId="15543"/>
    <cellStyle name="Normal 2 2 4 2 2 2 2 7 10 2" xfId="15544"/>
    <cellStyle name="Normal 2 2 4 2 2 2 2 7 11" xfId="15545"/>
    <cellStyle name="Normal 2 2 4 2 2 2 2 7 2" xfId="15546"/>
    <cellStyle name="Normal 2 2 4 2 2 2 2 7 2 2" xfId="15547"/>
    <cellStyle name="Normal 2 2 4 2 2 2 2 7 3" xfId="15548"/>
    <cellStyle name="Normal 2 2 4 2 2 2 2 7 3 2" xfId="15549"/>
    <cellStyle name="Normal 2 2 4 2 2 2 2 7 4" xfId="15550"/>
    <cellStyle name="Normal 2 2 4 2 2 2 2 7 4 2" xfId="15551"/>
    <cellStyle name="Normal 2 2 4 2 2 2 2 7 5" xfId="15552"/>
    <cellStyle name="Normal 2 2 4 2 2 2 2 7 5 2" xfId="15553"/>
    <cellStyle name="Normal 2 2 4 2 2 2 2 7 6" xfId="15554"/>
    <cellStyle name="Normal 2 2 4 2 2 2 2 7 6 2" xfId="15555"/>
    <cellStyle name="Normal 2 2 4 2 2 2 2 7 7" xfId="15556"/>
    <cellStyle name="Normal 2 2 4 2 2 2 2 7 7 2" xfId="15557"/>
    <cellStyle name="Normal 2 2 4 2 2 2 2 7 8" xfId="15558"/>
    <cellStyle name="Normal 2 2 4 2 2 2 2 7 8 2" xfId="15559"/>
    <cellStyle name="Normal 2 2 4 2 2 2 2 7 9" xfId="15560"/>
    <cellStyle name="Normal 2 2 4 2 2 2 2 7 9 2" xfId="15561"/>
    <cellStyle name="Normal 2 2 4 2 2 2 2 8" xfId="15562"/>
    <cellStyle name="Normal 2 2 4 2 2 2 2 8 2" xfId="15563"/>
    <cellStyle name="Normal 2 2 4 2 2 2 2 9" xfId="15564"/>
    <cellStyle name="Normal 2 2 4 2 2 2 2 9 2" xfId="15565"/>
    <cellStyle name="Normal 2 2 4 2 2 2 3" xfId="15566"/>
    <cellStyle name="Normal 2 2 4 2 2 2 3 10" xfId="15567"/>
    <cellStyle name="Normal 2 2 4 2 2 2 3 10 2" xfId="15568"/>
    <cellStyle name="Normal 2 2 4 2 2 2 3 11" xfId="15569"/>
    <cellStyle name="Normal 2 2 4 2 2 2 3 11 2" xfId="15570"/>
    <cellStyle name="Normal 2 2 4 2 2 2 3 12" xfId="15571"/>
    <cellStyle name="Normal 2 2 4 2 2 2 3 12 2" xfId="15572"/>
    <cellStyle name="Normal 2 2 4 2 2 2 3 13" xfId="15573"/>
    <cellStyle name="Normal 2 2 4 2 2 2 3 2" xfId="15574"/>
    <cellStyle name="Normal 2 2 4 2 2 2 3 2 10" xfId="15575"/>
    <cellStyle name="Normal 2 2 4 2 2 2 3 2 10 2" xfId="15576"/>
    <cellStyle name="Normal 2 2 4 2 2 2 3 2 11" xfId="15577"/>
    <cellStyle name="Normal 2 2 4 2 2 2 3 2 11 2" xfId="15578"/>
    <cellStyle name="Normal 2 2 4 2 2 2 3 2 12" xfId="15579"/>
    <cellStyle name="Normal 2 2 4 2 2 2 3 2 2" xfId="15580"/>
    <cellStyle name="Normal 2 2 4 2 2 2 3 2 2 10" xfId="15581"/>
    <cellStyle name="Normal 2 2 4 2 2 2 3 2 2 10 2" xfId="15582"/>
    <cellStyle name="Normal 2 2 4 2 2 2 3 2 2 11" xfId="15583"/>
    <cellStyle name="Normal 2 2 4 2 2 2 3 2 2 2" xfId="15584"/>
    <cellStyle name="Normal 2 2 4 2 2 2 3 2 2 2 2" xfId="15585"/>
    <cellStyle name="Normal 2 2 4 2 2 2 3 2 2 3" xfId="15586"/>
    <cellStyle name="Normal 2 2 4 2 2 2 3 2 2 3 2" xfId="15587"/>
    <cellStyle name="Normal 2 2 4 2 2 2 3 2 2 4" xfId="15588"/>
    <cellStyle name="Normal 2 2 4 2 2 2 3 2 2 4 2" xfId="15589"/>
    <cellStyle name="Normal 2 2 4 2 2 2 3 2 2 5" xfId="15590"/>
    <cellStyle name="Normal 2 2 4 2 2 2 3 2 2 5 2" xfId="15591"/>
    <cellStyle name="Normal 2 2 4 2 2 2 3 2 2 6" xfId="15592"/>
    <cellStyle name="Normal 2 2 4 2 2 2 3 2 2 6 2" xfId="15593"/>
    <cellStyle name="Normal 2 2 4 2 2 2 3 2 2 7" xfId="15594"/>
    <cellStyle name="Normal 2 2 4 2 2 2 3 2 2 7 2" xfId="15595"/>
    <cellStyle name="Normal 2 2 4 2 2 2 3 2 2 8" xfId="15596"/>
    <cellStyle name="Normal 2 2 4 2 2 2 3 2 2 8 2" xfId="15597"/>
    <cellStyle name="Normal 2 2 4 2 2 2 3 2 2 9" xfId="15598"/>
    <cellStyle name="Normal 2 2 4 2 2 2 3 2 2 9 2" xfId="15599"/>
    <cellStyle name="Normal 2 2 4 2 2 2 3 2 3" xfId="15600"/>
    <cellStyle name="Normal 2 2 4 2 2 2 3 2 3 2" xfId="15601"/>
    <cellStyle name="Normal 2 2 4 2 2 2 3 2 4" xfId="15602"/>
    <cellStyle name="Normal 2 2 4 2 2 2 3 2 4 2" xfId="15603"/>
    <cellStyle name="Normal 2 2 4 2 2 2 3 2 5" xfId="15604"/>
    <cellStyle name="Normal 2 2 4 2 2 2 3 2 5 2" xfId="15605"/>
    <cellStyle name="Normal 2 2 4 2 2 2 3 2 6" xfId="15606"/>
    <cellStyle name="Normal 2 2 4 2 2 2 3 2 6 2" xfId="15607"/>
    <cellStyle name="Normal 2 2 4 2 2 2 3 2 7" xfId="15608"/>
    <cellStyle name="Normal 2 2 4 2 2 2 3 2 7 2" xfId="15609"/>
    <cellStyle name="Normal 2 2 4 2 2 2 3 2 8" xfId="15610"/>
    <cellStyle name="Normal 2 2 4 2 2 2 3 2 8 2" xfId="15611"/>
    <cellStyle name="Normal 2 2 4 2 2 2 3 2 9" xfId="15612"/>
    <cellStyle name="Normal 2 2 4 2 2 2 3 2 9 2" xfId="15613"/>
    <cellStyle name="Normal 2 2 4 2 2 2 3 3" xfId="15614"/>
    <cellStyle name="Normal 2 2 4 2 2 2 3 3 10" xfId="15615"/>
    <cellStyle name="Normal 2 2 4 2 2 2 3 3 10 2" xfId="15616"/>
    <cellStyle name="Normal 2 2 4 2 2 2 3 3 11" xfId="15617"/>
    <cellStyle name="Normal 2 2 4 2 2 2 3 3 2" xfId="15618"/>
    <cellStyle name="Normal 2 2 4 2 2 2 3 3 2 2" xfId="15619"/>
    <cellStyle name="Normal 2 2 4 2 2 2 3 3 3" xfId="15620"/>
    <cellStyle name="Normal 2 2 4 2 2 2 3 3 3 2" xfId="15621"/>
    <cellStyle name="Normal 2 2 4 2 2 2 3 3 4" xfId="15622"/>
    <cellStyle name="Normal 2 2 4 2 2 2 3 3 4 2" xfId="15623"/>
    <cellStyle name="Normal 2 2 4 2 2 2 3 3 5" xfId="15624"/>
    <cellStyle name="Normal 2 2 4 2 2 2 3 3 5 2" xfId="15625"/>
    <cellStyle name="Normal 2 2 4 2 2 2 3 3 6" xfId="15626"/>
    <cellStyle name="Normal 2 2 4 2 2 2 3 3 6 2" xfId="15627"/>
    <cellStyle name="Normal 2 2 4 2 2 2 3 3 7" xfId="15628"/>
    <cellStyle name="Normal 2 2 4 2 2 2 3 3 7 2" xfId="15629"/>
    <cellStyle name="Normal 2 2 4 2 2 2 3 3 8" xfId="15630"/>
    <cellStyle name="Normal 2 2 4 2 2 2 3 3 8 2" xfId="15631"/>
    <cellStyle name="Normal 2 2 4 2 2 2 3 3 9" xfId="15632"/>
    <cellStyle name="Normal 2 2 4 2 2 2 3 3 9 2" xfId="15633"/>
    <cellStyle name="Normal 2 2 4 2 2 2 3 4" xfId="15634"/>
    <cellStyle name="Normal 2 2 4 2 2 2 3 4 2" xfId="15635"/>
    <cellStyle name="Normal 2 2 4 2 2 2 3 5" xfId="15636"/>
    <cellStyle name="Normal 2 2 4 2 2 2 3 5 2" xfId="15637"/>
    <cellStyle name="Normal 2 2 4 2 2 2 3 6" xfId="15638"/>
    <cellStyle name="Normal 2 2 4 2 2 2 3 6 2" xfId="15639"/>
    <cellStyle name="Normal 2 2 4 2 2 2 3 7" xfId="15640"/>
    <cellStyle name="Normal 2 2 4 2 2 2 3 7 2" xfId="15641"/>
    <cellStyle name="Normal 2 2 4 2 2 2 3 8" xfId="15642"/>
    <cellStyle name="Normal 2 2 4 2 2 2 3 8 2" xfId="15643"/>
    <cellStyle name="Normal 2 2 4 2 2 2 3 9" xfId="15644"/>
    <cellStyle name="Normal 2 2 4 2 2 2 3 9 2" xfId="15645"/>
    <cellStyle name="Normal 2 2 4 2 2 2 4" xfId="15646"/>
    <cellStyle name="Normal 2 2 4 2 2 2 4 10" xfId="15647"/>
    <cellStyle name="Normal 2 2 4 2 2 2 4 10 2" xfId="15648"/>
    <cellStyle name="Normal 2 2 4 2 2 2 4 11" xfId="15649"/>
    <cellStyle name="Normal 2 2 4 2 2 2 4 11 2" xfId="15650"/>
    <cellStyle name="Normal 2 2 4 2 2 2 4 12" xfId="15651"/>
    <cellStyle name="Normal 2 2 4 2 2 2 4 12 2" xfId="15652"/>
    <cellStyle name="Normal 2 2 4 2 2 2 4 13" xfId="15653"/>
    <cellStyle name="Normal 2 2 4 2 2 2 4 2" xfId="15654"/>
    <cellStyle name="Normal 2 2 4 2 2 2 4 2 10" xfId="15655"/>
    <cellStyle name="Normal 2 2 4 2 2 2 4 2 10 2" xfId="15656"/>
    <cellStyle name="Normal 2 2 4 2 2 2 4 2 11" xfId="15657"/>
    <cellStyle name="Normal 2 2 4 2 2 2 4 2 11 2" xfId="15658"/>
    <cellStyle name="Normal 2 2 4 2 2 2 4 2 12" xfId="15659"/>
    <cellStyle name="Normal 2 2 4 2 2 2 4 2 2" xfId="15660"/>
    <cellStyle name="Normal 2 2 4 2 2 2 4 2 2 10" xfId="15661"/>
    <cellStyle name="Normal 2 2 4 2 2 2 4 2 2 10 2" xfId="15662"/>
    <cellStyle name="Normal 2 2 4 2 2 2 4 2 2 11" xfId="15663"/>
    <cellStyle name="Normal 2 2 4 2 2 2 4 2 2 2" xfId="15664"/>
    <cellStyle name="Normal 2 2 4 2 2 2 4 2 2 2 2" xfId="15665"/>
    <cellStyle name="Normal 2 2 4 2 2 2 4 2 2 3" xfId="15666"/>
    <cellStyle name="Normal 2 2 4 2 2 2 4 2 2 3 2" xfId="15667"/>
    <cellStyle name="Normal 2 2 4 2 2 2 4 2 2 4" xfId="15668"/>
    <cellStyle name="Normal 2 2 4 2 2 2 4 2 2 4 2" xfId="15669"/>
    <cellStyle name="Normal 2 2 4 2 2 2 4 2 2 5" xfId="15670"/>
    <cellStyle name="Normal 2 2 4 2 2 2 4 2 2 5 2" xfId="15671"/>
    <cellStyle name="Normal 2 2 4 2 2 2 4 2 2 6" xfId="15672"/>
    <cellStyle name="Normal 2 2 4 2 2 2 4 2 2 6 2" xfId="15673"/>
    <cellStyle name="Normal 2 2 4 2 2 2 4 2 2 7" xfId="15674"/>
    <cellStyle name="Normal 2 2 4 2 2 2 4 2 2 7 2" xfId="15675"/>
    <cellStyle name="Normal 2 2 4 2 2 2 4 2 2 8" xfId="15676"/>
    <cellStyle name="Normal 2 2 4 2 2 2 4 2 2 8 2" xfId="15677"/>
    <cellStyle name="Normal 2 2 4 2 2 2 4 2 2 9" xfId="15678"/>
    <cellStyle name="Normal 2 2 4 2 2 2 4 2 2 9 2" xfId="15679"/>
    <cellStyle name="Normal 2 2 4 2 2 2 4 2 3" xfId="15680"/>
    <cellStyle name="Normal 2 2 4 2 2 2 4 2 3 2" xfId="15681"/>
    <cellStyle name="Normal 2 2 4 2 2 2 4 2 4" xfId="15682"/>
    <cellStyle name="Normal 2 2 4 2 2 2 4 2 4 2" xfId="15683"/>
    <cellStyle name="Normal 2 2 4 2 2 2 4 2 5" xfId="15684"/>
    <cellStyle name="Normal 2 2 4 2 2 2 4 2 5 2" xfId="15685"/>
    <cellStyle name="Normal 2 2 4 2 2 2 4 2 6" xfId="15686"/>
    <cellStyle name="Normal 2 2 4 2 2 2 4 2 6 2" xfId="15687"/>
    <cellStyle name="Normal 2 2 4 2 2 2 4 2 7" xfId="15688"/>
    <cellStyle name="Normal 2 2 4 2 2 2 4 2 7 2" xfId="15689"/>
    <cellStyle name="Normal 2 2 4 2 2 2 4 2 8" xfId="15690"/>
    <cellStyle name="Normal 2 2 4 2 2 2 4 2 8 2" xfId="15691"/>
    <cellStyle name="Normal 2 2 4 2 2 2 4 2 9" xfId="15692"/>
    <cellStyle name="Normal 2 2 4 2 2 2 4 2 9 2" xfId="15693"/>
    <cellStyle name="Normal 2 2 4 2 2 2 4 3" xfId="15694"/>
    <cellStyle name="Normal 2 2 4 2 2 2 4 3 10" xfId="15695"/>
    <cellStyle name="Normal 2 2 4 2 2 2 4 3 10 2" xfId="15696"/>
    <cellStyle name="Normal 2 2 4 2 2 2 4 3 11" xfId="15697"/>
    <cellStyle name="Normal 2 2 4 2 2 2 4 3 2" xfId="15698"/>
    <cellStyle name="Normal 2 2 4 2 2 2 4 3 2 2" xfId="15699"/>
    <cellStyle name="Normal 2 2 4 2 2 2 4 3 3" xfId="15700"/>
    <cellStyle name="Normal 2 2 4 2 2 2 4 3 3 2" xfId="15701"/>
    <cellStyle name="Normal 2 2 4 2 2 2 4 3 4" xfId="15702"/>
    <cellStyle name="Normal 2 2 4 2 2 2 4 3 4 2" xfId="15703"/>
    <cellStyle name="Normal 2 2 4 2 2 2 4 3 5" xfId="15704"/>
    <cellStyle name="Normal 2 2 4 2 2 2 4 3 5 2" xfId="15705"/>
    <cellStyle name="Normal 2 2 4 2 2 2 4 3 6" xfId="15706"/>
    <cellStyle name="Normal 2 2 4 2 2 2 4 3 6 2" xfId="15707"/>
    <cellStyle name="Normal 2 2 4 2 2 2 4 3 7" xfId="15708"/>
    <cellStyle name="Normal 2 2 4 2 2 2 4 3 7 2" xfId="15709"/>
    <cellStyle name="Normal 2 2 4 2 2 2 4 3 8" xfId="15710"/>
    <cellStyle name="Normal 2 2 4 2 2 2 4 3 8 2" xfId="15711"/>
    <cellStyle name="Normal 2 2 4 2 2 2 4 3 9" xfId="15712"/>
    <cellStyle name="Normal 2 2 4 2 2 2 4 3 9 2" xfId="15713"/>
    <cellStyle name="Normal 2 2 4 2 2 2 4 4" xfId="15714"/>
    <cellStyle name="Normal 2 2 4 2 2 2 4 4 2" xfId="15715"/>
    <cellStyle name="Normal 2 2 4 2 2 2 4 5" xfId="15716"/>
    <cellStyle name="Normal 2 2 4 2 2 2 4 5 2" xfId="15717"/>
    <cellStyle name="Normal 2 2 4 2 2 2 4 6" xfId="15718"/>
    <cellStyle name="Normal 2 2 4 2 2 2 4 6 2" xfId="15719"/>
    <cellStyle name="Normal 2 2 4 2 2 2 4 7" xfId="15720"/>
    <cellStyle name="Normal 2 2 4 2 2 2 4 7 2" xfId="15721"/>
    <cellStyle name="Normal 2 2 4 2 2 2 4 8" xfId="15722"/>
    <cellStyle name="Normal 2 2 4 2 2 2 4 8 2" xfId="15723"/>
    <cellStyle name="Normal 2 2 4 2 2 2 4 9" xfId="15724"/>
    <cellStyle name="Normal 2 2 4 2 2 2 4 9 2" xfId="15725"/>
    <cellStyle name="Normal 2 2 4 2 2 2 5" xfId="15726"/>
    <cellStyle name="Normal 2 2 4 2 2 2 5 10" xfId="15727"/>
    <cellStyle name="Normal 2 2 4 2 2 2 5 10 2" xfId="15728"/>
    <cellStyle name="Normal 2 2 4 2 2 2 5 11" xfId="15729"/>
    <cellStyle name="Normal 2 2 4 2 2 2 5 11 2" xfId="15730"/>
    <cellStyle name="Normal 2 2 4 2 2 2 5 12" xfId="15731"/>
    <cellStyle name="Normal 2 2 4 2 2 2 5 12 2" xfId="15732"/>
    <cellStyle name="Normal 2 2 4 2 2 2 5 13" xfId="15733"/>
    <cellStyle name="Normal 2 2 4 2 2 2 5 2" xfId="15734"/>
    <cellStyle name="Normal 2 2 4 2 2 2 5 2 10" xfId="15735"/>
    <cellStyle name="Normal 2 2 4 2 2 2 5 2 10 2" xfId="15736"/>
    <cellStyle name="Normal 2 2 4 2 2 2 5 2 11" xfId="15737"/>
    <cellStyle name="Normal 2 2 4 2 2 2 5 2 11 2" xfId="15738"/>
    <cellStyle name="Normal 2 2 4 2 2 2 5 2 12" xfId="15739"/>
    <cellStyle name="Normal 2 2 4 2 2 2 5 2 2" xfId="15740"/>
    <cellStyle name="Normal 2 2 4 2 2 2 5 2 2 10" xfId="15741"/>
    <cellStyle name="Normal 2 2 4 2 2 2 5 2 2 10 2" xfId="15742"/>
    <cellStyle name="Normal 2 2 4 2 2 2 5 2 2 11" xfId="15743"/>
    <cellStyle name="Normal 2 2 4 2 2 2 5 2 2 2" xfId="15744"/>
    <cellStyle name="Normal 2 2 4 2 2 2 5 2 2 2 2" xfId="15745"/>
    <cellStyle name="Normal 2 2 4 2 2 2 5 2 2 3" xfId="15746"/>
    <cellStyle name="Normal 2 2 4 2 2 2 5 2 2 3 2" xfId="15747"/>
    <cellStyle name="Normal 2 2 4 2 2 2 5 2 2 4" xfId="15748"/>
    <cellStyle name="Normal 2 2 4 2 2 2 5 2 2 4 2" xfId="15749"/>
    <cellStyle name="Normal 2 2 4 2 2 2 5 2 2 5" xfId="15750"/>
    <cellStyle name="Normal 2 2 4 2 2 2 5 2 2 5 2" xfId="15751"/>
    <cellStyle name="Normal 2 2 4 2 2 2 5 2 2 6" xfId="15752"/>
    <cellStyle name="Normal 2 2 4 2 2 2 5 2 2 6 2" xfId="15753"/>
    <cellStyle name="Normal 2 2 4 2 2 2 5 2 2 7" xfId="15754"/>
    <cellStyle name="Normal 2 2 4 2 2 2 5 2 2 7 2" xfId="15755"/>
    <cellStyle name="Normal 2 2 4 2 2 2 5 2 2 8" xfId="15756"/>
    <cellStyle name="Normal 2 2 4 2 2 2 5 2 2 8 2" xfId="15757"/>
    <cellStyle name="Normal 2 2 4 2 2 2 5 2 2 9" xfId="15758"/>
    <cellStyle name="Normal 2 2 4 2 2 2 5 2 2 9 2" xfId="15759"/>
    <cellStyle name="Normal 2 2 4 2 2 2 5 2 3" xfId="15760"/>
    <cellStyle name="Normal 2 2 4 2 2 2 5 2 3 2" xfId="15761"/>
    <cellStyle name="Normal 2 2 4 2 2 2 5 2 4" xfId="15762"/>
    <cellStyle name="Normal 2 2 4 2 2 2 5 2 4 2" xfId="15763"/>
    <cellStyle name="Normal 2 2 4 2 2 2 5 2 5" xfId="15764"/>
    <cellStyle name="Normal 2 2 4 2 2 2 5 2 5 2" xfId="15765"/>
    <cellStyle name="Normal 2 2 4 2 2 2 5 2 6" xfId="15766"/>
    <cellStyle name="Normal 2 2 4 2 2 2 5 2 6 2" xfId="15767"/>
    <cellStyle name="Normal 2 2 4 2 2 2 5 2 7" xfId="15768"/>
    <cellStyle name="Normal 2 2 4 2 2 2 5 2 7 2" xfId="15769"/>
    <cellStyle name="Normal 2 2 4 2 2 2 5 2 8" xfId="15770"/>
    <cellStyle name="Normal 2 2 4 2 2 2 5 2 8 2" xfId="15771"/>
    <cellStyle name="Normal 2 2 4 2 2 2 5 2 9" xfId="15772"/>
    <cellStyle name="Normal 2 2 4 2 2 2 5 2 9 2" xfId="15773"/>
    <cellStyle name="Normal 2 2 4 2 2 2 5 3" xfId="15774"/>
    <cellStyle name="Normal 2 2 4 2 2 2 5 3 10" xfId="15775"/>
    <cellStyle name="Normal 2 2 4 2 2 2 5 3 10 2" xfId="15776"/>
    <cellStyle name="Normal 2 2 4 2 2 2 5 3 11" xfId="15777"/>
    <cellStyle name="Normal 2 2 4 2 2 2 5 3 2" xfId="15778"/>
    <cellStyle name="Normal 2 2 4 2 2 2 5 3 2 2" xfId="15779"/>
    <cellStyle name="Normal 2 2 4 2 2 2 5 3 3" xfId="15780"/>
    <cellStyle name="Normal 2 2 4 2 2 2 5 3 3 2" xfId="15781"/>
    <cellStyle name="Normal 2 2 4 2 2 2 5 3 4" xfId="15782"/>
    <cellStyle name="Normal 2 2 4 2 2 2 5 3 4 2" xfId="15783"/>
    <cellStyle name="Normal 2 2 4 2 2 2 5 3 5" xfId="15784"/>
    <cellStyle name="Normal 2 2 4 2 2 2 5 3 5 2" xfId="15785"/>
    <cellStyle name="Normal 2 2 4 2 2 2 5 3 6" xfId="15786"/>
    <cellStyle name="Normal 2 2 4 2 2 2 5 3 6 2" xfId="15787"/>
    <cellStyle name="Normal 2 2 4 2 2 2 5 3 7" xfId="15788"/>
    <cellStyle name="Normal 2 2 4 2 2 2 5 3 7 2" xfId="15789"/>
    <cellStyle name="Normal 2 2 4 2 2 2 5 3 8" xfId="15790"/>
    <cellStyle name="Normal 2 2 4 2 2 2 5 3 8 2" xfId="15791"/>
    <cellStyle name="Normal 2 2 4 2 2 2 5 3 9" xfId="15792"/>
    <cellStyle name="Normal 2 2 4 2 2 2 5 3 9 2" xfId="15793"/>
    <cellStyle name="Normal 2 2 4 2 2 2 5 4" xfId="15794"/>
    <cellStyle name="Normal 2 2 4 2 2 2 5 4 2" xfId="15795"/>
    <cellStyle name="Normal 2 2 4 2 2 2 5 5" xfId="15796"/>
    <cellStyle name="Normal 2 2 4 2 2 2 5 5 2" xfId="15797"/>
    <cellStyle name="Normal 2 2 4 2 2 2 5 6" xfId="15798"/>
    <cellStyle name="Normal 2 2 4 2 2 2 5 6 2" xfId="15799"/>
    <cellStyle name="Normal 2 2 4 2 2 2 5 7" xfId="15800"/>
    <cellStyle name="Normal 2 2 4 2 2 2 5 7 2" xfId="15801"/>
    <cellStyle name="Normal 2 2 4 2 2 2 5 8" xfId="15802"/>
    <cellStyle name="Normal 2 2 4 2 2 2 5 8 2" xfId="15803"/>
    <cellStyle name="Normal 2 2 4 2 2 2 5 9" xfId="15804"/>
    <cellStyle name="Normal 2 2 4 2 2 2 5 9 2" xfId="15805"/>
    <cellStyle name="Normal 2 2 4 2 2 3" xfId="15806"/>
    <cellStyle name="Normal 2 2 4 2 2 4" xfId="15807"/>
    <cellStyle name="Normal 2 2 4 2 2 5" xfId="15808"/>
    <cellStyle name="Normal 2 2 4 2 2 6" xfId="15809"/>
    <cellStyle name="Normal 2 2 4 2 2 7" xfId="15810"/>
    <cellStyle name="Normal 2 2 4 2 2 7 10" xfId="15811"/>
    <cellStyle name="Normal 2 2 4 2 2 7 10 2" xfId="15812"/>
    <cellStyle name="Normal 2 2 4 2 2 7 11" xfId="15813"/>
    <cellStyle name="Normal 2 2 4 2 2 7 11 2" xfId="15814"/>
    <cellStyle name="Normal 2 2 4 2 2 7 12" xfId="15815"/>
    <cellStyle name="Normal 2 2 4 2 2 7 2" xfId="15816"/>
    <cellStyle name="Normal 2 2 4 2 2 7 2 10" xfId="15817"/>
    <cellStyle name="Normal 2 2 4 2 2 7 2 10 2" xfId="15818"/>
    <cellStyle name="Normal 2 2 4 2 2 7 2 11" xfId="15819"/>
    <cellStyle name="Normal 2 2 4 2 2 7 2 2" xfId="15820"/>
    <cellStyle name="Normal 2 2 4 2 2 7 2 2 2" xfId="15821"/>
    <cellStyle name="Normal 2 2 4 2 2 7 2 3" xfId="15822"/>
    <cellStyle name="Normal 2 2 4 2 2 7 2 3 2" xfId="15823"/>
    <cellStyle name="Normal 2 2 4 2 2 7 2 4" xfId="15824"/>
    <cellStyle name="Normal 2 2 4 2 2 7 2 4 2" xfId="15825"/>
    <cellStyle name="Normal 2 2 4 2 2 7 2 5" xfId="15826"/>
    <cellStyle name="Normal 2 2 4 2 2 7 2 5 2" xfId="15827"/>
    <cellStyle name="Normal 2 2 4 2 2 7 2 6" xfId="15828"/>
    <cellStyle name="Normal 2 2 4 2 2 7 2 6 2" xfId="15829"/>
    <cellStyle name="Normal 2 2 4 2 2 7 2 7" xfId="15830"/>
    <cellStyle name="Normal 2 2 4 2 2 7 2 7 2" xfId="15831"/>
    <cellStyle name="Normal 2 2 4 2 2 7 2 8" xfId="15832"/>
    <cellStyle name="Normal 2 2 4 2 2 7 2 8 2" xfId="15833"/>
    <cellStyle name="Normal 2 2 4 2 2 7 2 9" xfId="15834"/>
    <cellStyle name="Normal 2 2 4 2 2 7 2 9 2" xfId="15835"/>
    <cellStyle name="Normal 2 2 4 2 2 7 3" xfId="15836"/>
    <cellStyle name="Normal 2 2 4 2 2 7 3 2" xfId="15837"/>
    <cellStyle name="Normal 2 2 4 2 2 7 4" xfId="15838"/>
    <cellStyle name="Normal 2 2 4 2 2 7 4 2" xfId="15839"/>
    <cellStyle name="Normal 2 2 4 2 2 7 5" xfId="15840"/>
    <cellStyle name="Normal 2 2 4 2 2 7 5 2" xfId="15841"/>
    <cellStyle name="Normal 2 2 4 2 2 7 6" xfId="15842"/>
    <cellStyle name="Normal 2 2 4 2 2 7 6 2" xfId="15843"/>
    <cellStyle name="Normal 2 2 4 2 2 7 7" xfId="15844"/>
    <cellStyle name="Normal 2 2 4 2 2 7 7 2" xfId="15845"/>
    <cellStyle name="Normal 2 2 4 2 2 7 8" xfId="15846"/>
    <cellStyle name="Normal 2 2 4 2 2 7 8 2" xfId="15847"/>
    <cellStyle name="Normal 2 2 4 2 2 7 9" xfId="15848"/>
    <cellStyle name="Normal 2 2 4 2 2 7 9 2" xfId="15849"/>
    <cellStyle name="Normal 2 2 4 2 2 8" xfId="15850"/>
    <cellStyle name="Normal 2 2 4 2 2 8 10" xfId="15851"/>
    <cellStyle name="Normal 2 2 4 2 2 8 10 2" xfId="15852"/>
    <cellStyle name="Normal 2 2 4 2 2 8 11" xfId="15853"/>
    <cellStyle name="Normal 2 2 4 2 2 8 2" xfId="15854"/>
    <cellStyle name="Normal 2 2 4 2 2 8 2 2" xfId="15855"/>
    <cellStyle name="Normal 2 2 4 2 2 8 3" xfId="15856"/>
    <cellStyle name="Normal 2 2 4 2 2 8 3 2" xfId="15857"/>
    <cellStyle name="Normal 2 2 4 2 2 8 4" xfId="15858"/>
    <cellStyle name="Normal 2 2 4 2 2 8 4 2" xfId="15859"/>
    <cellStyle name="Normal 2 2 4 2 2 8 5" xfId="15860"/>
    <cellStyle name="Normal 2 2 4 2 2 8 5 2" xfId="15861"/>
    <cellStyle name="Normal 2 2 4 2 2 8 6" xfId="15862"/>
    <cellStyle name="Normal 2 2 4 2 2 8 6 2" xfId="15863"/>
    <cellStyle name="Normal 2 2 4 2 2 8 7" xfId="15864"/>
    <cellStyle name="Normal 2 2 4 2 2 8 7 2" xfId="15865"/>
    <cellStyle name="Normal 2 2 4 2 2 8 8" xfId="15866"/>
    <cellStyle name="Normal 2 2 4 2 2 8 8 2" xfId="15867"/>
    <cellStyle name="Normal 2 2 4 2 2 8 9" xfId="15868"/>
    <cellStyle name="Normal 2 2 4 2 2 8 9 2" xfId="15869"/>
    <cellStyle name="Normal 2 2 4 2 2 9" xfId="15870"/>
    <cellStyle name="Normal 2 2 4 2 2 9 2" xfId="15871"/>
    <cellStyle name="Normal 2 2 4 2 3" xfId="15872"/>
    <cellStyle name="Normal 2 2 4 2 4" xfId="15873"/>
    <cellStyle name="Normal 2 2 4 2 5" xfId="15874"/>
    <cellStyle name="Normal 2 2 4 2 6" xfId="15875"/>
    <cellStyle name="Normal 2 2 4 2 6 10" xfId="15876"/>
    <cellStyle name="Normal 2 2 4 2 6 10 2" xfId="15877"/>
    <cellStyle name="Normal 2 2 4 2 6 11" xfId="15878"/>
    <cellStyle name="Normal 2 2 4 2 6 11 2" xfId="15879"/>
    <cellStyle name="Normal 2 2 4 2 6 12" xfId="15880"/>
    <cellStyle name="Normal 2 2 4 2 6 12 2" xfId="15881"/>
    <cellStyle name="Normal 2 2 4 2 6 13" xfId="15882"/>
    <cellStyle name="Normal 2 2 4 2 6 13 2" xfId="15883"/>
    <cellStyle name="Normal 2 2 4 2 6 14" xfId="15884"/>
    <cellStyle name="Normal 2 2 4 2 6 14 2" xfId="15885"/>
    <cellStyle name="Normal 2 2 4 2 6 15" xfId="15886"/>
    <cellStyle name="Normal 2 2 4 2 6 15 2" xfId="15887"/>
    <cellStyle name="Normal 2 2 4 2 6 16" xfId="15888"/>
    <cellStyle name="Normal 2 2 4 2 6 16 2" xfId="15889"/>
    <cellStyle name="Normal 2 2 4 2 6 17" xfId="15890"/>
    <cellStyle name="Normal 2 2 4 2 6 2" xfId="15891"/>
    <cellStyle name="Normal 2 2 4 2 6 3" xfId="15892"/>
    <cellStyle name="Normal 2 2 4 2 6 4" xfId="15893"/>
    <cellStyle name="Normal 2 2 4 2 6 5" xfId="15894"/>
    <cellStyle name="Normal 2 2 4 2 6 6" xfId="15895"/>
    <cellStyle name="Normal 2 2 4 2 6 6 10" xfId="15896"/>
    <cellStyle name="Normal 2 2 4 2 6 6 10 2" xfId="15897"/>
    <cellStyle name="Normal 2 2 4 2 6 6 11" xfId="15898"/>
    <cellStyle name="Normal 2 2 4 2 6 6 11 2" xfId="15899"/>
    <cellStyle name="Normal 2 2 4 2 6 6 12" xfId="15900"/>
    <cellStyle name="Normal 2 2 4 2 6 6 2" xfId="15901"/>
    <cellStyle name="Normal 2 2 4 2 6 6 2 10" xfId="15902"/>
    <cellStyle name="Normal 2 2 4 2 6 6 2 10 2" xfId="15903"/>
    <cellStyle name="Normal 2 2 4 2 6 6 2 11" xfId="15904"/>
    <cellStyle name="Normal 2 2 4 2 6 6 2 2" xfId="15905"/>
    <cellStyle name="Normal 2 2 4 2 6 6 2 2 2" xfId="15906"/>
    <cellStyle name="Normal 2 2 4 2 6 6 2 3" xfId="15907"/>
    <cellStyle name="Normal 2 2 4 2 6 6 2 3 2" xfId="15908"/>
    <cellStyle name="Normal 2 2 4 2 6 6 2 4" xfId="15909"/>
    <cellStyle name="Normal 2 2 4 2 6 6 2 4 2" xfId="15910"/>
    <cellStyle name="Normal 2 2 4 2 6 6 2 5" xfId="15911"/>
    <cellStyle name="Normal 2 2 4 2 6 6 2 5 2" xfId="15912"/>
    <cellStyle name="Normal 2 2 4 2 6 6 2 6" xfId="15913"/>
    <cellStyle name="Normal 2 2 4 2 6 6 2 6 2" xfId="15914"/>
    <cellStyle name="Normal 2 2 4 2 6 6 2 7" xfId="15915"/>
    <cellStyle name="Normal 2 2 4 2 6 6 2 7 2" xfId="15916"/>
    <cellStyle name="Normal 2 2 4 2 6 6 2 8" xfId="15917"/>
    <cellStyle name="Normal 2 2 4 2 6 6 2 8 2" xfId="15918"/>
    <cellStyle name="Normal 2 2 4 2 6 6 2 9" xfId="15919"/>
    <cellStyle name="Normal 2 2 4 2 6 6 2 9 2" xfId="15920"/>
    <cellStyle name="Normal 2 2 4 2 6 6 3" xfId="15921"/>
    <cellStyle name="Normal 2 2 4 2 6 6 3 2" xfId="15922"/>
    <cellStyle name="Normal 2 2 4 2 6 6 4" xfId="15923"/>
    <cellStyle name="Normal 2 2 4 2 6 6 4 2" xfId="15924"/>
    <cellStyle name="Normal 2 2 4 2 6 6 5" xfId="15925"/>
    <cellStyle name="Normal 2 2 4 2 6 6 5 2" xfId="15926"/>
    <cellStyle name="Normal 2 2 4 2 6 6 6" xfId="15927"/>
    <cellStyle name="Normal 2 2 4 2 6 6 6 2" xfId="15928"/>
    <cellStyle name="Normal 2 2 4 2 6 6 7" xfId="15929"/>
    <cellStyle name="Normal 2 2 4 2 6 6 7 2" xfId="15930"/>
    <cellStyle name="Normal 2 2 4 2 6 6 8" xfId="15931"/>
    <cellStyle name="Normal 2 2 4 2 6 6 8 2" xfId="15932"/>
    <cellStyle name="Normal 2 2 4 2 6 6 9" xfId="15933"/>
    <cellStyle name="Normal 2 2 4 2 6 6 9 2" xfId="15934"/>
    <cellStyle name="Normal 2 2 4 2 6 7" xfId="15935"/>
    <cellStyle name="Normal 2 2 4 2 6 7 10" xfId="15936"/>
    <cellStyle name="Normal 2 2 4 2 6 7 10 2" xfId="15937"/>
    <cellStyle name="Normal 2 2 4 2 6 7 11" xfId="15938"/>
    <cellStyle name="Normal 2 2 4 2 6 7 2" xfId="15939"/>
    <cellStyle name="Normal 2 2 4 2 6 7 2 2" xfId="15940"/>
    <cellStyle name="Normal 2 2 4 2 6 7 3" xfId="15941"/>
    <cellStyle name="Normal 2 2 4 2 6 7 3 2" xfId="15942"/>
    <cellStyle name="Normal 2 2 4 2 6 7 4" xfId="15943"/>
    <cellStyle name="Normal 2 2 4 2 6 7 4 2" xfId="15944"/>
    <cellStyle name="Normal 2 2 4 2 6 7 5" xfId="15945"/>
    <cellStyle name="Normal 2 2 4 2 6 7 5 2" xfId="15946"/>
    <cellStyle name="Normal 2 2 4 2 6 7 6" xfId="15947"/>
    <cellStyle name="Normal 2 2 4 2 6 7 6 2" xfId="15948"/>
    <cellStyle name="Normal 2 2 4 2 6 7 7" xfId="15949"/>
    <cellStyle name="Normal 2 2 4 2 6 7 7 2" xfId="15950"/>
    <cellStyle name="Normal 2 2 4 2 6 7 8" xfId="15951"/>
    <cellStyle name="Normal 2 2 4 2 6 7 8 2" xfId="15952"/>
    <cellStyle name="Normal 2 2 4 2 6 7 9" xfId="15953"/>
    <cellStyle name="Normal 2 2 4 2 6 7 9 2" xfId="15954"/>
    <cellStyle name="Normal 2 2 4 2 6 8" xfId="15955"/>
    <cellStyle name="Normal 2 2 4 2 6 8 2" xfId="15956"/>
    <cellStyle name="Normal 2 2 4 2 6 9" xfId="15957"/>
    <cellStyle name="Normal 2 2 4 2 6 9 2" xfId="15958"/>
    <cellStyle name="Normal 2 2 4 2 7" xfId="15959"/>
    <cellStyle name="Normal 2 2 4 2 7 10" xfId="15960"/>
    <cellStyle name="Normal 2 2 4 2 7 10 2" xfId="15961"/>
    <cellStyle name="Normal 2 2 4 2 7 11" xfId="15962"/>
    <cellStyle name="Normal 2 2 4 2 7 11 2" xfId="15963"/>
    <cellStyle name="Normal 2 2 4 2 7 12" xfId="15964"/>
    <cellStyle name="Normal 2 2 4 2 7 12 2" xfId="15965"/>
    <cellStyle name="Normal 2 2 4 2 7 13" xfId="15966"/>
    <cellStyle name="Normal 2 2 4 2 7 2" xfId="15967"/>
    <cellStyle name="Normal 2 2 4 2 7 2 10" xfId="15968"/>
    <cellStyle name="Normal 2 2 4 2 7 2 10 2" xfId="15969"/>
    <cellStyle name="Normal 2 2 4 2 7 2 11" xfId="15970"/>
    <cellStyle name="Normal 2 2 4 2 7 2 11 2" xfId="15971"/>
    <cellStyle name="Normal 2 2 4 2 7 2 12" xfId="15972"/>
    <cellStyle name="Normal 2 2 4 2 7 2 2" xfId="15973"/>
    <cellStyle name="Normal 2 2 4 2 7 2 2 10" xfId="15974"/>
    <cellStyle name="Normal 2 2 4 2 7 2 2 10 2" xfId="15975"/>
    <cellStyle name="Normal 2 2 4 2 7 2 2 11" xfId="15976"/>
    <cellStyle name="Normal 2 2 4 2 7 2 2 2" xfId="15977"/>
    <cellStyle name="Normal 2 2 4 2 7 2 2 2 2" xfId="15978"/>
    <cellStyle name="Normal 2 2 4 2 7 2 2 3" xfId="15979"/>
    <cellStyle name="Normal 2 2 4 2 7 2 2 3 2" xfId="15980"/>
    <cellStyle name="Normal 2 2 4 2 7 2 2 4" xfId="15981"/>
    <cellStyle name="Normal 2 2 4 2 7 2 2 4 2" xfId="15982"/>
    <cellStyle name="Normal 2 2 4 2 7 2 2 5" xfId="15983"/>
    <cellStyle name="Normal 2 2 4 2 7 2 2 5 2" xfId="15984"/>
    <cellStyle name="Normal 2 2 4 2 7 2 2 6" xfId="15985"/>
    <cellStyle name="Normal 2 2 4 2 7 2 2 6 2" xfId="15986"/>
    <cellStyle name="Normal 2 2 4 2 7 2 2 7" xfId="15987"/>
    <cellStyle name="Normal 2 2 4 2 7 2 2 7 2" xfId="15988"/>
    <cellStyle name="Normal 2 2 4 2 7 2 2 8" xfId="15989"/>
    <cellStyle name="Normal 2 2 4 2 7 2 2 8 2" xfId="15990"/>
    <cellStyle name="Normal 2 2 4 2 7 2 2 9" xfId="15991"/>
    <cellStyle name="Normal 2 2 4 2 7 2 2 9 2" xfId="15992"/>
    <cellStyle name="Normal 2 2 4 2 7 2 3" xfId="15993"/>
    <cellStyle name="Normal 2 2 4 2 7 2 3 2" xfId="15994"/>
    <cellStyle name="Normal 2 2 4 2 7 2 4" xfId="15995"/>
    <cellStyle name="Normal 2 2 4 2 7 2 4 2" xfId="15996"/>
    <cellStyle name="Normal 2 2 4 2 7 2 5" xfId="15997"/>
    <cellStyle name="Normal 2 2 4 2 7 2 5 2" xfId="15998"/>
    <cellStyle name="Normal 2 2 4 2 7 2 6" xfId="15999"/>
    <cellStyle name="Normal 2 2 4 2 7 2 6 2" xfId="16000"/>
    <cellStyle name="Normal 2 2 4 2 7 2 7" xfId="16001"/>
    <cellStyle name="Normal 2 2 4 2 7 2 7 2" xfId="16002"/>
    <cellStyle name="Normal 2 2 4 2 7 2 8" xfId="16003"/>
    <cellStyle name="Normal 2 2 4 2 7 2 8 2" xfId="16004"/>
    <cellStyle name="Normal 2 2 4 2 7 2 9" xfId="16005"/>
    <cellStyle name="Normal 2 2 4 2 7 2 9 2" xfId="16006"/>
    <cellStyle name="Normal 2 2 4 2 7 3" xfId="16007"/>
    <cellStyle name="Normal 2 2 4 2 7 3 10" xfId="16008"/>
    <cellStyle name="Normal 2 2 4 2 7 3 10 2" xfId="16009"/>
    <cellStyle name="Normal 2 2 4 2 7 3 11" xfId="16010"/>
    <cellStyle name="Normal 2 2 4 2 7 3 2" xfId="16011"/>
    <cellStyle name="Normal 2 2 4 2 7 3 2 2" xfId="16012"/>
    <cellStyle name="Normal 2 2 4 2 7 3 3" xfId="16013"/>
    <cellStyle name="Normal 2 2 4 2 7 3 3 2" xfId="16014"/>
    <cellStyle name="Normal 2 2 4 2 7 3 4" xfId="16015"/>
    <cellStyle name="Normal 2 2 4 2 7 3 4 2" xfId="16016"/>
    <cellStyle name="Normal 2 2 4 2 7 3 5" xfId="16017"/>
    <cellStyle name="Normal 2 2 4 2 7 3 5 2" xfId="16018"/>
    <cellStyle name="Normal 2 2 4 2 7 3 6" xfId="16019"/>
    <cellStyle name="Normal 2 2 4 2 7 3 6 2" xfId="16020"/>
    <cellStyle name="Normal 2 2 4 2 7 3 7" xfId="16021"/>
    <cellStyle name="Normal 2 2 4 2 7 3 7 2" xfId="16022"/>
    <cellStyle name="Normal 2 2 4 2 7 3 8" xfId="16023"/>
    <cellStyle name="Normal 2 2 4 2 7 3 8 2" xfId="16024"/>
    <cellStyle name="Normal 2 2 4 2 7 3 9" xfId="16025"/>
    <cellStyle name="Normal 2 2 4 2 7 3 9 2" xfId="16026"/>
    <cellStyle name="Normal 2 2 4 2 7 4" xfId="16027"/>
    <cellStyle name="Normal 2 2 4 2 7 4 2" xfId="16028"/>
    <cellStyle name="Normal 2 2 4 2 7 5" xfId="16029"/>
    <cellStyle name="Normal 2 2 4 2 7 5 2" xfId="16030"/>
    <cellStyle name="Normal 2 2 4 2 7 6" xfId="16031"/>
    <cellStyle name="Normal 2 2 4 2 7 6 2" xfId="16032"/>
    <cellStyle name="Normal 2 2 4 2 7 7" xfId="16033"/>
    <cellStyle name="Normal 2 2 4 2 7 7 2" xfId="16034"/>
    <cellStyle name="Normal 2 2 4 2 7 8" xfId="16035"/>
    <cellStyle name="Normal 2 2 4 2 7 8 2" xfId="16036"/>
    <cellStyle name="Normal 2 2 4 2 7 9" xfId="16037"/>
    <cellStyle name="Normal 2 2 4 2 7 9 2" xfId="16038"/>
    <cellStyle name="Normal 2 2 4 2 8" xfId="16039"/>
    <cellStyle name="Normal 2 2 4 2 8 10" xfId="16040"/>
    <cellStyle name="Normal 2 2 4 2 8 10 2" xfId="16041"/>
    <cellStyle name="Normal 2 2 4 2 8 11" xfId="16042"/>
    <cellStyle name="Normal 2 2 4 2 8 11 2" xfId="16043"/>
    <cellStyle name="Normal 2 2 4 2 8 12" xfId="16044"/>
    <cellStyle name="Normal 2 2 4 2 8 12 2" xfId="16045"/>
    <cellStyle name="Normal 2 2 4 2 8 13" xfId="16046"/>
    <cellStyle name="Normal 2 2 4 2 8 2" xfId="16047"/>
    <cellStyle name="Normal 2 2 4 2 8 2 10" xfId="16048"/>
    <cellStyle name="Normal 2 2 4 2 8 2 10 2" xfId="16049"/>
    <cellStyle name="Normal 2 2 4 2 8 2 11" xfId="16050"/>
    <cellStyle name="Normal 2 2 4 2 8 2 11 2" xfId="16051"/>
    <cellStyle name="Normal 2 2 4 2 8 2 12" xfId="16052"/>
    <cellStyle name="Normal 2 2 4 2 8 2 2" xfId="16053"/>
    <cellStyle name="Normal 2 2 4 2 8 2 2 10" xfId="16054"/>
    <cellStyle name="Normal 2 2 4 2 8 2 2 10 2" xfId="16055"/>
    <cellStyle name="Normal 2 2 4 2 8 2 2 11" xfId="16056"/>
    <cellStyle name="Normal 2 2 4 2 8 2 2 2" xfId="16057"/>
    <cellStyle name="Normal 2 2 4 2 8 2 2 2 2" xfId="16058"/>
    <cellStyle name="Normal 2 2 4 2 8 2 2 3" xfId="16059"/>
    <cellStyle name="Normal 2 2 4 2 8 2 2 3 2" xfId="16060"/>
    <cellStyle name="Normal 2 2 4 2 8 2 2 4" xfId="16061"/>
    <cellStyle name="Normal 2 2 4 2 8 2 2 4 2" xfId="16062"/>
    <cellStyle name="Normal 2 2 4 2 8 2 2 5" xfId="16063"/>
    <cellStyle name="Normal 2 2 4 2 8 2 2 5 2" xfId="16064"/>
    <cellStyle name="Normal 2 2 4 2 8 2 2 6" xfId="16065"/>
    <cellStyle name="Normal 2 2 4 2 8 2 2 6 2" xfId="16066"/>
    <cellStyle name="Normal 2 2 4 2 8 2 2 7" xfId="16067"/>
    <cellStyle name="Normal 2 2 4 2 8 2 2 7 2" xfId="16068"/>
    <cellStyle name="Normal 2 2 4 2 8 2 2 8" xfId="16069"/>
    <cellStyle name="Normal 2 2 4 2 8 2 2 8 2" xfId="16070"/>
    <cellStyle name="Normal 2 2 4 2 8 2 2 9" xfId="16071"/>
    <cellStyle name="Normal 2 2 4 2 8 2 2 9 2" xfId="16072"/>
    <cellStyle name="Normal 2 2 4 2 8 2 3" xfId="16073"/>
    <cellStyle name="Normal 2 2 4 2 8 2 3 2" xfId="16074"/>
    <cellStyle name="Normal 2 2 4 2 8 2 4" xfId="16075"/>
    <cellStyle name="Normal 2 2 4 2 8 2 4 2" xfId="16076"/>
    <cellStyle name="Normal 2 2 4 2 8 2 5" xfId="16077"/>
    <cellStyle name="Normal 2 2 4 2 8 2 5 2" xfId="16078"/>
    <cellStyle name="Normal 2 2 4 2 8 2 6" xfId="16079"/>
    <cellStyle name="Normal 2 2 4 2 8 2 6 2" xfId="16080"/>
    <cellStyle name="Normal 2 2 4 2 8 2 7" xfId="16081"/>
    <cellStyle name="Normal 2 2 4 2 8 2 7 2" xfId="16082"/>
    <cellStyle name="Normal 2 2 4 2 8 2 8" xfId="16083"/>
    <cellStyle name="Normal 2 2 4 2 8 2 8 2" xfId="16084"/>
    <cellStyle name="Normal 2 2 4 2 8 2 9" xfId="16085"/>
    <cellStyle name="Normal 2 2 4 2 8 2 9 2" xfId="16086"/>
    <cellStyle name="Normal 2 2 4 2 8 3" xfId="16087"/>
    <cellStyle name="Normal 2 2 4 2 8 3 10" xfId="16088"/>
    <cellStyle name="Normal 2 2 4 2 8 3 10 2" xfId="16089"/>
    <cellStyle name="Normal 2 2 4 2 8 3 11" xfId="16090"/>
    <cellStyle name="Normal 2 2 4 2 8 3 2" xfId="16091"/>
    <cellStyle name="Normal 2 2 4 2 8 3 2 2" xfId="16092"/>
    <cellStyle name="Normal 2 2 4 2 8 3 3" xfId="16093"/>
    <cellStyle name="Normal 2 2 4 2 8 3 3 2" xfId="16094"/>
    <cellStyle name="Normal 2 2 4 2 8 3 4" xfId="16095"/>
    <cellStyle name="Normal 2 2 4 2 8 3 4 2" xfId="16096"/>
    <cellStyle name="Normal 2 2 4 2 8 3 5" xfId="16097"/>
    <cellStyle name="Normal 2 2 4 2 8 3 5 2" xfId="16098"/>
    <cellStyle name="Normal 2 2 4 2 8 3 6" xfId="16099"/>
    <cellStyle name="Normal 2 2 4 2 8 3 6 2" xfId="16100"/>
    <cellStyle name="Normal 2 2 4 2 8 3 7" xfId="16101"/>
    <cellStyle name="Normal 2 2 4 2 8 3 7 2" xfId="16102"/>
    <cellStyle name="Normal 2 2 4 2 8 3 8" xfId="16103"/>
    <cellStyle name="Normal 2 2 4 2 8 3 8 2" xfId="16104"/>
    <cellStyle name="Normal 2 2 4 2 8 3 9" xfId="16105"/>
    <cellStyle name="Normal 2 2 4 2 8 3 9 2" xfId="16106"/>
    <cellStyle name="Normal 2 2 4 2 8 4" xfId="16107"/>
    <cellStyle name="Normal 2 2 4 2 8 4 2" xfId="16108"/>
    <cellStyle name="Normal 2 2 4 2 8 5" xfId="16109"/>
    <cellStyle name="Normal 2 2 4 2 8 5 2" xfId="16110"/>
    <cellStyle name="Normal 2 2 4 2 8 6" xfId="16111"/>
    <cellStyle name="Normal 2 2 4 2 8 6 2" xfId="16112"/>
    <cellStyle name="Normal 2 2 4 2 8 7" xfId="16113"/>
    <cellStyle name="Normal 2 2 4 2 8 7 2" xfId="16114"/>
    <cellStyle name="Normal 2 2 4 2 8 8" xfId="16115"/>
    <cellStyle name="Normal 2 2 4 2 8 8 2" xfId="16116"/>
    <cellStyle name="Normal 2 2 4 2 8 9" xfId="16117"/>
    <cellStyle name="Normal 2 2 4 2 8 9 2" xfId="16118"/>
    <cellStyle name="Normal 2 2 4 2 9" xfId="16119"/>
    <cellStyle name="Normal 2 2 4 2 9 10" xfId="16120"/>
    <cellStyle name="Normal 2 2 4 2 9 10 2" xfId="16121"/>
    <cellStyle name="Normal 2 2 4 2 9 11" xfId="16122"/>
    <cellStyle name="Normal 2 2 4 2 9 11 2" xfId="16123"/>
    <cellStyle name="Normal 2 2 4 2 9 12" xfId="16124"/>
    <cellStyle name="Normal 2 2 4 2 9 12 2" xfId="16125"/>
    <cellStyle name="Normal 2 2 4 2 9 13" xfId="16126"/>
    <cellStyle name="Normal 2 2 4 2 9 2" xfId="16127"/>
    <cellStyle name="Normal 2 2 4 2 9 2 10" xfId="16128"/>
    <cellStyle name="Normal 2 2 4 2 9 2 10 2" xfId="16129"/>
    <cellStyle name="Normal 2 2 4 2 9 2 11" xfId="16130"/>
    <cellStyle name="Normal 2 2 4 2 9 2 11 2" xfId="16131"/>
    <cellStyle name="Normal 2 2 4 2 9 2 12" xfId="16132"/>
    <cellStyle name="Normal 2 2 4 2 9 2 2" xfId="16133"/>
    <cellStyle name="Normal 2 2 4 2 9 2 2 10" xfId="16134"/>
    <cellStyle name="Normal 2 2 4 2 9 2 2 10 2" xfId="16135"/>
    <cellStyle name="Normal 2 2 4 2 9 2 2 11" xfId="16136"/>
    <cellStyle name="Normal 2 2 4 2 9 2 2 2" xfId="16137"/>
    <cellStyle name="Normal 2 2 4 2 9 2 2 2 2" xfId="16138"/>
    <cellStyle name="Normal 2 2 4 2 9 2 2 3" xfId="16139"/>
    <cellStyle name="Normal 2 2 4 2 9 2 2 3 2" xfId="16140"/>
    <cellStyle name="Normal 2 2 4 2 9 2 2 4" xfId="16141"/>
    <cellStyle name="Normal 2 2 4 2 9 2 2 4 2" xfId="16142"/>
    <cellStyle name="Normal 2 2 4 2 9 2 2 5" xfId="16143"/>
    <cellStyle name="Normal 2 2 4 2 9 2 2 5 2" xfId="16144"/>
    <cellStyle name="Normal 2 2 4 2 9 2 2 6" xfId="16145"/>
    <cellStyle name="Normal 2 2 4 2 9 2 2 6 2" xfId="16146"/>
    <cellStyle name="Normal 2 2 4 2 9 2 2 7" xfId="16147"/>
    <cellStyle name="Normal 2 2 4 2 9 2 2 7 2" xfId="16148"/>
    <cellStyle name="Normal 2 2 4 2 9 2 2 8" xfId="16149"/>
    <cellStyle name="Normal 2 2 4 2 9 2 2 8 2" xfId="16150"/>
    <cellStyle name="Normal 2 2 4 2 9 2 2 9" xfId="16151"/>
    <cellStyle name="Normal 2 2 4 2 9 2 2 9 2" xfId="16152"/>
    <cellStyle name="Normal 2 2 4 2 9 2 3" xfId="16153"/>
    <cellStyle name="Normal 2 2 4 2 9 2 3 2" xfId="16154"/>
    <cellStyle name="Normal 2 2 4 2 9 2 4" xfId="16155"/>
    <cellStyle name="Normal 2 2 4 2 9 2 4 2" xfId="16156"/>
    <cellStyle name="Normal 2 2 4 2 9 2 5" xfId="16157"/>
    <cellStyle name="Normal 2 2 4 2 9 2 5 2" xfId="16158"/>
    <cellStyle name="Normal 2 2 4 2 9 2 6" xfId="16159"/>
    <cellStyle name="Normal 2 2 4 2 9 2 6 2" xfId="16160"/>
    <cellStyle name="Normal 2 2 4 2 9 2 7" xfId="16161"/>
    <cellStyle name="Normal 2 2 4 2 9 2 7 2" xfId="16162"/>
    <cellStyle name="Normal 2 2 4 2 9 2 8" xfId="16163"/>
    <cellStyle name="Normal 2 2 4 2 9 2 8 2" xfId="16164"/>
    <cellStyle name="Normal 2 2 4 2 9 2 9" xfId="16165"/>
    <cellStyle name="Normal 2 2 4 2 9 2 9 2" xfId="16166"/>
    <cellStyle name="Normal 2 2 4 2 9 3" xfId="16167"/>
    <cellStyle name="Normal 2 2 4 2 9 3 10" xfId="16168"/>
    <cellStyle name="Normal 2 2 4 2 9 3 10 2" xfId="16169"/>
    <cellStyle name="Normal 2 2 4 2 9 3 11" xfId="16170"/>
    <cellStyle name="Normal 2 2 4 2 9 3 2" xfId="16171"/>
    <cellStyle name="Normal 2 2 4 2 9 3 2 2" xfId="16172"/>
    <cellStyle name="Normal 2 2 4 2 9 3 3" xfId="16173"/>
    <cellStyle name="Normal 2 2 4 2 9 3 3 2" xfId="16174"/>
    <cellStyle name="Normal 2 2 4 2 9 3 4" xfId="16175"/>
    <cellStyle name="Normal 2 2 4 2 9 3 4 2" xfId="16176"/>
    <cellStyle name="Normal 2 2 4 2 9 3 5" xfId="16177"/>
    <cellStyle name="Normal 2 2 4 2 9 3 5 2" xfId="16178"/>
    <cellStyle name="Normal 2 2 4 2 9 3 6" xfId="16179"/>
    <cellStyle name="Normal 2 2 4 2 9 3 6 2" xfId="16180"/>
    <cellStyle name="Normal 2 2 4 2 9 3 7" xfId="16181"/>
    <cellStyle name="Normal 2 2 4 2 9 3 7 2" xfId="16182"/>
    <cellStyle name="Normal 2 2 4 2 9 3 8" xfId="16183"/>
    <cellStyle name="Normal 2 2 4 2 9 3 8 2" xfId="16184"/>
    <cellStyle name="Normal 2 2 4 2 9 3 9" xfId="16185"/>
    <cellStyle name="Normal 2 2 4 2 9 3 9 2" xfId="16186"/>
    <cellStyle name="Normal 2 2 4 2 9 4" xfId="16187"/>
    <cellStyle name="Normal 2 2 4 2 9 4 2" xfId="16188"/>
    <cellStyle name="Normal 2 2 4 2 9 5" xfId="16189"/>
    <cellStyle name="Normal 2 2 4 2 9 5 2" xfId="16190"/>
    <cellStyle name="Normal 2 2 4 2 9 6" xfId="16191"/>
    <cellStyle name="Normal 2 2 4 2 9 6 2" xfId="16192"/>
    <cellStyle name="Normal 2 2 4 2 9 7" xfId="16193"/>
    <cellStyle name="Normal 2 2 4 2 9 7 2" xfId="16194"/>
    <cellStyle name="Normal 2 2 4 2 9 8" xfId="16195"/>
    <cellStyle name="Normal 2 2 4 2 9 8 2" xfId="16196"/>
    <cellStyle name="Normal 2 2 4 2 9 9" xfId="16197"/>
    <cellStyle name="Normal 2 2 4 2 9 9 2" xfId="16198"/>
    <cellStyle name="Normal 2 2 4 20" xfId="16199"/>
    <cellStyle name="Normal 2 2 4 20 2" xfId="16200"/>
    <cellStyle name="Normal 2 2 4 21" xfId="16201"/>
    <cellStyle name="Normal 2 2 4 3" xfId="16202"/>
    <cellStyle name="Normal 2 2 4 3 2" xfId="16203"/>
    <cellStyle name="Normal 2 2 4 3 2 10" xfId="16204"/>
    <cellStyle name="Normal 2 2 4 3 2 10 2" xfId="16205"/>
    <cellStyle name="Normal 2 2 4 3 2 11" xfId="16206"/>
    <cellStyle name="Normal 2 2 4 3 2 11 2" xfId="16207"/>
    <cellStyle name="Normal 2 2 4 3 2 12" xfId="16208"/>
    <cellStyle name="Normal 2 2 4 3 2 12 2" xfId="16209"/>
    <cellStyle name="Normal 2 2 4 3 2 13" xfId="16210"/>
    <cellStyle name="Normal 2 2 4 3 2 13 2" xfId="16211"/>
    <cellStyle name="Normal 2 2 4 3 2 14" xfId="16212"/>
    <cellStyle name="Normal 2 2 4 3 2 14 2" xfId="16213"/>
    <cellStyle name="Normal 2 2 4 3 2 15" xfId="16214"/>
    <cellStyle name="Normal 2 2 4 3 2 15 2" xfId="16215"/>
    <cellStyle name="Normal 2 2 4 3 2 16" xfId="16216"/>
    <cellStyle name="Normal 2 2 4 3 2 16 2" xfId="16217"/>
    <cellStyle name="Normal 2 2 4 3 2 17" xfId="16218"/>
    <cellStyle name="Normal 2 2 4 3 2 2" xfId="16219"/>
    <cellStyle name="Normal 2 2 4 3 2 2 2" xfId="16220"/>
    <cellStyle name="Normal 2 2 4 3 2 2 2 10" xfId="16221"/>
    <cellStyle name="Normal 2 2 4 3 2 2 2 10 2" xfId="16222"/>
    <cellStyle name="Normal 2 2 4 3 2 2 2 11" xfId="16223"/>
    <cellStyle name="Normal 2 2 4 3 2 2 2 11 2" xfId="16224"/>
    <cellStyle name="Normal 2 2 4 3 2 2 2 12" xfId="16225"/>
    <cellStyle name="Normal 2 2 4 3 2 2 2 12 2" xfId="16226"/>
    <cellStyle name="Normal 2 2 4 3 2 2 2 13" xfId="16227"/>
    <cellStyle name="Normal 2 2 4 3 2 2 2 2" xfId="16228"/>
    <cellStyle name="Normal 2 2 4 3 2 2 2 2 10" xfId="16229"/>
    <cellStyle name="Normal 2 2 4 3 2 2 2 2 10 2" xfId="16230"/>
    <cellStyle name="Normal 2 2 4 3 2 2 2 2 11" xfId="16231"/>
    <cellStyle name="Normal 2 2 4 3 2 2 2 2 11 2" xfId="16232"/>
    <cellStyle name="Normal 2 2 4 3 2 2 2 2 12" xfId="16233"/>
    <cellStyle name="Normal 2 2 4 3 2 2 2 2 2" xfId="16234"/>
    <cellStyle name="Normal 2 2 4 3 2 2 2 2 2 10" xfId="16235"/>
    <cellStyle name="Normal 2 2 4 3 2 2 2 2 2 10 2" xfId="16236"/>
    <cellStyle name="Normal 2 2 4 3 2 2 2 2 2 11" xfId="16237"/>
    <cellStyle name="Normal 2 2 4 3 2 2 2 2 2 2" xfId="16238"/>
    <cellStyle name="Normal 2 2 4 3 2 2 2 2 2 2 2" xfId="16239"/>
    <cellStyle name="Normal 2 2 4 3 2 2 2 2 2 3" xfId="16240"/>
    <cellStyle name="Normal 2 2 4 3 2 2 2 2 2 3 2" xfId="16241"/>
    <cellStyle name="Normal 2 2 4 3 2 2 2 2 2 4" xfId="16242"/>
    <cellStyle name="Normal 2 2 4 3 2 2 2 2 2 4 2" xfId="16243"/>
    <cellStyle name="Normal 2 2 4 3 2 2 2 2 2 5" xfId="16244"/>
    <cellStyle name="Normal 2 2 4 3 2 2 2 2 2 5 2" xfId="16245"/>
    <cellStyle name="Normal 2 2 4 3 2 2 2 2 2 6" xfId="16246"/>
    <cellStyle name="Normal 2 2 4 3 2 2 2 2 2 6 2" xfId="16247"/>
    <cellStyle name="Normal 2 2 4 3 2 2 2 2 2 7" xfId="16248"/>
    <cellStyle name="Normal 2 2 4 3 2 2 2 2 2 7 2" xfId="16249"/>
    <cellStyle name="Normal 2 2 4 3 2 2 2 2 2 8" xfId="16250"/>
    <cellStyle name="Normal 2 2 4 3 2 2 2 2 2 8 2" xfId="16251"/>
    <cellStyle name="Normal 2 2 4 3 2 2 2 2 2 9" xfId="16252"/>
    <cellStyle name="Normal 2 2 4 3 2 2 2 2 2 9 2" xfId="16253"/>
    <cellStyle name="Normal 2 2 4 3 2 2 2 2 3" xfId="16254"/>
    <cellStyle name="Normal 2 2 4 3 2 2 2 2 3 2" xfId="16255"/>
    <cellStyle name="Normal 2 2 4 3 2 2 2 2 4" xfId="16256"/>
    <cellStyle name="Normal 2 2 4 3 2 2 2 2 4 2" xfId="16257"/>
    <cellStyle name="Normal 2 2 4 3 2 2 2 2 5" xfId="16258"/>
    <cellStyle name="Normal 2 2 4 3 2 2 2 2 5 2" xfId="16259"/>
    <cellStyle name="Normal 2 2 4 3 2 2 2 2 6" xfId="16260"/>
    <cellStyle name="Normal 2 2 4 3 2 2 2 2 6 2" xfId="16261"/>
    <cellStyle name="Normal 2 2 4 3 2 2 2 2 7" xfId="16262"/>
    <cellStyle name="Normal 2 2 4 3 2 2 2 2 7 2" xfId="16263"/>
    <cellStyle name="Normal 2 2 4 3 2 2 2 2 8" xfId="16264"/>
    <cellStyle name="Normal 2 2 4 3 2 2 2 2 8 2" xfId="16265"/>
    <cellStyle name="Normal 2 2 4 3 2 2 2 2 9" xfId="16266"/>
    <cellStyle name="Normal 2 2 4 3 2 2 2 2 9 2" xfId="16267"/>
    <cellStyle name="Normal 2 2 4 3 2 2 2 3" xfId="16268"/>
    <cellStyle name="Normal 2 2 4 3 2 2 2 3 10" xfId="16269"/>
    <cellStyle name="Normal 2 2 4 3 2 2 2 3 10 2" xfId="16270"/>
    <cellStyle name="Normal 2 2 4 3 2 2 2 3 11" xfId="16271"/>
    <cellStyle name="Normal 2 2 4 3 2 2 2 3 2" xfId="16272"/>
    <cellStyle name="Normal 2 2 4 3 2 2 2 3 2 2" xfId="16273"/>
    <cellStyle name="Normal 2 2 4 3 2 2 2 3 3" xfId="16274"/>
    <cellStyle name="Normal 2 2 4 3 2 2 2 3 3 2" xfId="16275"/>
    <cellStyle name="Normal 2 2 4 3 2 2 2 3 4" xfId="16276"/>
    <cellStyle name="Normal 2 2 4 3 2 2 2 3 4 2" xfId="16277"/>
    <cellStyle name="Normal 2 2 4 3 2 2 2 3 5" xfId="16278"/>
    <cellStyle name="Normal 2 2 4 3 2 2 2 3 5 2" xfId="16279"/>
    <cellStyle name="Normal 2 2 4 3 2 2 2 3 6" xfId="16280"/>
    <cellStyle name="Normal 2 2 4 3 2 2 2 3 6 2" xfId="16281"/>
    <cellStyle name="Normal 2 2 4 3 2 2 2 3 7" xfId="16282"/>
    <cellStyle name="Normal 2 2 4 3 2 2 2 3 7 2" xfId="16283"/>
    <cellStyle name="Normal 2 2 4 3 2 2 2 3 8" xfId="16284"/>
    <cellStyle name="Normal 2 2 4 3 2 2 2 3 8 2" xfId="16285"/>
    <cellStyle name="Normal 2 2 4 3 2 2 2 3 9" xfId="16286"/>
    <cellStyle name="Normal 2 2 4 3 2 2 2 3 9 2" xfId="16287"/>
    <cellStyle name="Normal 2 2 4 3 2 2 2 4" xfId="16288"/>
    <cellStyle name="Normal 2 2 4 3 2 2 2 4 2" xfId="16289"/>
    <cellStyle name="Normal 2 2 4 3 2 2 2 5" xfId="16290"/>
    <cellStyle name="Normal 2 2 4 3 2 2 2 5 2" xfId="16291"/>
    <cellStyle name="Normal 2 2 4 3 2 2 2 6" xfId="16292"/>
    <cellStyle name="Normal 2 2 4 3 2 2 2 6 2" xfId="16293"/>
    <cellStyle name="Normal 2 2 4 3 2 2 2 7" xfId="16294"/>
    <cellStyle name="Normal 2 2 4 3 2 2 2 7 2" xfId="16295"/>
    <cellStyle name="Normal 2 2 4 3 2 2 2 8" xfId="16296"/>
    <cellStyle name="Normal 2 2 4 3 2 2 2 8 2" xfId="16297"/>
    <cellStyle name="Normal 2 2 4 3 2 2 2 9" xfId="16298"/>
    <cellStyle name="Normal 2 2 4 3 2 2 2 9 2" xfId="16299"/>
    <cellStyle name="Normal 2 2 4 3 2 2 3" xfId="16300"/>
    <cellStyle name="Normal 2 2 4 3 2 2 3 10" xfId="16301"/>
    <cellStyle name="Normal 2 2 4 3 2 2 3 10 2" xfId="16302"/>
    <cellStyle name="Normal 2 2 4 3 2 2 3 11" xfId="16303"/>
    <cellStyle name="Normal 2 2 4 3 2 2 3 11 2" xfId="16304"/>
    <cellStyle name="Normal 2 2 4 3 2 2 3 12" xfId="16305"/>
    <cellStyle name="Normal 2 2 4 3 2 2 3 12 2" xfId="16306"/>
    <cellStyle name="Normal 2 2 4 3 2 2 3 13" xfId="16307"/>
    <cellStyle name="Normal 2 2 4 3 2 2 3 2" xfId="16308"/>
    <cellStyle name="Normal 2 2 4 3 2 2 3 2 10" xfId="16309"/>
    <cellStyle name="Normal 2 2 4 3 2 2 3 2 10 2" xfId="16310"/>
    <cellStyle name="Normal 2 2 4 3 2 2 3 2 11" xfId="16311"/>
    <cellStyle name="Normal 2 2 4 3 2 2 3 2 11 2" xfId="16312"/>
    <cellStyle name="Normal 2 2 4 3 2 2 3 2 12" xfId="16313"/>
    <cellStyle name="Normal 2 2 4 3 2 2 3 2 2" xfId="16314"/>
    <cellStyle name="Normal 2 2 4 3 2 2 3 2 2 10" xfId="16315"/>
    <cellStyle name="Normal 2 2 4 3 2 2 3 2 2 10 2" xfId="16316"/>
    <cellStyle name="Normal 2 2 4 3 2 2 3 2 2 11" xfId="16317"/>
    <cellStyle name="Normal 2 2 4 3 2 2 3 2 2 2" xfId="16318"/>
    <cellStyle name="Normal 2 2 4 3 2 2 3 2 2 2 2" xfId="16319"/>
    <cellStyle name="Normal 2 2 4 3 2 2 3 2 2 3" xfId="16320"/>
    <cellStyle name="Normal 2 2 4 3 2 2 3 2 2 3 2" xfId="16321"/>
    <cellStyle name="Normal 2 2 4 3 2 2 3 2 2 4" xfId="16322"/>
    <cellStyle name="Normal 2 2 4 3 2 2 3 2 2 4 2" xfId="16323"/>
    <cellStyle name="Normal 2 2 4 3 2 2 3 2 2 5" xfId="16324"/>
    <cellStyle name="Normal 2 2 4 3 2 2 3 2 2 5 2" xfId="16325"/>
    <cellStyle name="Normal 2 2 4 3 2 2 3 2 2 6" xfId="16326"/>
    <cellStyle name="Normal 2 2 4 3 2 2 3 2 2 6 2" xfId="16327"/>
    <cellStyle name="Normal 2 2 4 3 2 2 3 2 2 7" xfId="16328"/>
    <cellStyle name="Normal 2 2 4 3 2 2 3 2 2 7 2" xfId="16329"/>
    <cellStyle name="Normal 2 2 4 3 2 2 3 2 2 8" xfId="16330"/>
    <cellStyle name="Normal 2 2 4 3 2 2 3 2 2 8 2" xfId="16331"/>
    <cellStyle name="Normal 2 2 4 3 2 2 3 2 2 9" xfId="16332"/>
    <cellStyle name="Normal 2 2 4 3 2 2 3 2 2 9 2" xfId="16333"/>
    <cellStyle name="Normal 2 2 4 3 2 2 3 2 3" xfId="16334"/>
    <cellStyle name="Normal 2 2 4 3 2 2 3 2 3 2" xfId="16335"/>
    <cellStyle name="Normal 2 2 4 3 2 2 3 2 4" xfId="16336"/>
    <cellStyle name="Normal 2 2 4 3 2 2 3 2 4 2" xfId="16337"/>
    <cellStyle name="Normal 2 2 4 3 2 2 3 2 5" xfId="16338"/>
    <cellStyle name="Normal 2 2 4 3 2 2 3 2 5 2" xfId="16339"/>
    <cellStyle name="Normal 2 2 4 3 2 2 3 2 6" xfId="16340"/>
    <cellStyle name="Normal 2 2 4 3 2 2 3 2 6 2" xfId="16341"/>
    <cellStyle name="Normal 2 2 4 3 2 2 3 2 7" xfId="16342"/>
    <cellStyle name="Normal 2 2 4 3 2 2 3 2 7 2" xfId="16343"/>
    <cellStyle name="Normal 2 2 4 3 2 2 3 2 8" xfId="16344"/>
    <cellStyle name="Normal 2 2 4 3 2 2 3 2 8 2" xfId="16345"/>
    <cellStyle name="Normal 2 2 4 3 2 2 3 2 9" xfId="16346"/>
    <cellStyle name="Normal 2 2 4 3 2 2 3 2 9 2" xfId="16347"/>
    <cellStyle name="Normal 2 2 4 3 2 2 3 3" xfId="16348"/>
    <cellStyle name="Normal 2 2 4 3 2 2 3 3 10" xfId="16349"/>
    <cellStyle name="Normal 2 2 4 3 2 2 3 3 10 2" xfId="16350"/>
    <cellStyle name="Normal 2 2 4 3 2 2 3 3 11" xfId="16351"/>
    <cellStyle name="Normal 2 2 4 3 2 2 3 3 2" xfId="16352"/>
    <cellStyle name="Normal 2 2 4 3 2 2 3 3 2 2" xfId="16353"/>
    <cellStyle name="Normal 2 2 4 3 2 2 3 3 3" xfId="16354"/>
    <cellStyle name="Normal 2 2 4 3 2 2 3 3 3 2" xfId="16355"/>
    <cellStyle name="Normal 2 2 4 3 2 2 3 3 4" xfId="16356"/>
    <cellStyle name="Normal 2 2 4 3 2 2 3 3 4 2" xfId="16357"/>
    <cellStyle name="Normal 2 2 4 3 2 2 3 3 5" xfId="16358"/>
    <cellStyle name="Normal 2 2 4 3 2 2 3 3 5 2" xfId="16359"/>
    <cellStyle name="Normal 2 2 4 3 2 2 3 3 6" xfId="16360"/>
    <cellStyle name="Normal 2 2 4 3 2 2 3 3 6 2" xfId="16361"/>
    <cellStyle name="Normal 2 2 4 3 2 2 3 3 7" xfId="16362"/>
    <cellStyle name="Normal 2 2 4 3 2 2 3 3 7 2" xfId="16363"/>
    <cellStyle name="Normal 2 2 4 3 2 2 3 3 8" xfId="16364"/>
    <cellStyle name="Normal 2 2 4 3 2 2 3 3 8 2" xfId="16365"/>
    <cellStyle name="Normal 2 2 4 3 2 2 3 3 9" xfId="16366"/>
    <cellStyle name="Normal 2 2 4 3 2 2 3 3 9 2" xfId="16367"/>
    <cellStyle name="Normal 2 2 4 3 2 2 3 4" xfId="16368"/>
    <cellStyle name="Normal 2 2 4 3 2 2 3 4 2" xfId="16369"/>
    <cellStyle name="Normal 2 2 4 3 2 2 3 5" xfId="16370"/>
    <cellStyle name="Normal 2 2 4 3 2 2 3 5 2" xfId="16371"/>
    <cellStyle name="Normal 2 2 4 3 2 2 3 6" xfId="16372"/>
    <cellStyle name="Normal 2 2 4 3 2 2 3 6 2" xfId="16373"/>
    <cellStyle name="Normal 2 2 4 3 2 2 3 7" xfId="16374"/>
    <cellStyle name="Normal 2 2 4 3 2 2 3 7 2" xfId="16375"/>
    <cellStyle name="Normal 2 2 4 3 2 2 3 8" xfId="16376"/>
    <cellStyle name="Normal 2 2 4 3 2 2 3 8 2" xfId="16377"/>
    <cellStyle name="Normal 2 2 4 3 2 2 3 9" xfId="16378"/>
    <cellStyle name="Normal 2 2 4 3 2 2 3 9 2" xfId="16379"/>
    <cellStyle name="Normal 2 2 4 3 2 2 4" xfId="16380"/>
    <cellStyle name="Normal 2 2 4 3 2 2 4 10" xfId="16381"/>
    <cellStyle name="Normal 2 2 4 3 2 2 4 10 2" xfId="16382"/>
    <cellStyle name="Normal 2 2 4 3 2 2 4 11" xfId="16383"/>
    <cellStyle name="Normal 2 2 4 3 2 2 4 11 2" xfId="16384"/>
    <cellStyle name="Normal 2 2 4 3 2 2 4 12" xfId="16385"/>
    <cellStyle name="Normal 2 2 4 3 2 2 4 12 2" xfId="16386"/>
    <cellStyle name="Normal 2 2 4 3 2 2 4 13" xfId="16387"/>
    <cellStyle name="Normal 2 2 4 3 2 2 4 2" xfId="16388"/>
    <cellStyle name="Normal 2 2 4 3 2 2 4 2 10" xfId="16389"/>
    <cellStyle name="Normal 2 2 4 3 2 2 4 2 10 2" xfId="16390"/>
    <cellStyle name="Normal 2 2 4 3 2 2 4 2 11" xfId="16391"/>
    <cellStyle name="Normal 2 2 4 3 2 2 4 2 11 2" xfId="16392"/>
    <cellStyle name="Normal 2 2 4 3 2 2 4 2 12" xfId="16393"/>
    <cellStyle name="Normal 2 2 4 3 2 2 4 2 2" xfId="16394"/>
    <cellStyle name="Normal 2 2 4 3 2 2 4 2 2 10" xfId="16395"/>
    <cellStyle name="Normal 2 2 4 3 2 2 4 2 2 10 2" xfId="16396"/>
    <cellStyle name="Normal 2 2 4 3 2 2 4 2 2 11" xfId="16397"/>
    <cellStyle name="Normal 2 2 4 3 2 2 4 2 2 2" xfId="16398"/>
    <cellStyle name="Normal 2 2 4 3 2 2 4 2 2 2 2" xfId="16399"/>
    <cellStyle name="Normal 2 2 4 3 2 2 4 2 2 3" xfId="16400"/>
    <cellStyle name="Normal 2 2 4 3 2 2 4 2 2 3 2" xfId="16401"/>
    <cellStyle name="Normal 2 2 4 3 2 2 4 2 2 4" xfId="16402"/>
    <cellStyle name="Normal 2 2 4 3 2 2 4 2 2 4 2" xfId="16403"/>
    <cellStyle name="Normal 2 2 4 3 2 2 4 2 2 5" xfId="16404"/>
    <cellStyle name="Normal 2 2 4 3 2 2 4 2 2 5 2" xfId="16405"/>
    <cellStyle name="Normal 2 2 4 3 2 2 4 2 2 6" xfId="16406"/>
    <cellStyle name="Normal 2 2 4 3 2 2 4 2 2 6 2" xfId="16407"/>
    <cellStyle name="Normal 2 2 4 3 2 2 4 2 2 7" xfId="16408"/>
    <cellStyle name="Normal 2 2 4 3 2 2 4 2 2 7 2" xfId="16409"/>
    <cellStyle name="Normal 2 2 4 3 2 2 4 2 2 8" xfId="16410"/>
    <cellStyle name="Normal 2 2 4 3 2 2 4 2 2 8 2" xfId="16411"/>
    <cellStyle name="Normal 2 2 4 3 2 2 4 2 2 9" xfId="16412"/>
    <cellStyle name="Normal 2 2 4 3 2 2 4 2 2 9 2" xfId="16413"/>
    <cellStyle name="Normal 2 2 4 3 2 2 4 2 3" xfId="16414"/>
    <cellStyle name="Normal 2 2 4 3 2 2 4 2 3 2" xfId="16415"/>
    <cellStyle name="Normal 2 2 4 3 2 2 4 2 4" xfId="16416"/>
    <cellStyle name="Normal 2 2 4 3 2 2 4 2 4 2" xfId="16417"/>
    <cellStyle name="Normal 2 2 4 3 2 2 4 2 5" xfId="16418"/>
    <cellStyle name="Normal 2 2 4 3 2 2 4 2 5 2" xfId="16419"/>
    <cellStyle name="Normal 2 2 4 3 2 2 4 2 6" xfId="16420"/>
    <cellStyle name="Normal 2 2 4 3 2 2 4 2 6 2" xfId="16421"/>
    <cellStyle name="Normal 2 2 4 3 2 2 4 2 7" xfId="16422"/>
    <cellStyle name="Normal 2 2 4 3 2 2 4 2 7 2" xfId="16423"/>
    <cellStyle name="Normal 2 2 4 3 2 2 4 2 8" xfId="16424"/>
    <cellStyle name="Normal 2 2 4 3 2 2 4 2 8 2" xfId="16425"/>
    <cellStyle name="Normal 2 2 4 3 2 2 4 2 9" xfId="16426"/>
    <cellStyle name="Normal 2 2 4 3 2 2 4 2 9 2" xfId="16427"/>
    <cellStyle name="Normal 2 2 4 3 2 2 4 3" xfId="16428"/>
    <cellStyle name="Normal 2 2 4 3 2 2 4 3 10" xfId="16429"/>
    <cellStyle name="Normal 2 2 4 3 2 2 4 3 10 2" xfId="16430"/>
    <cellStyle name="Normal 2 2 4 3 2 2 4 3 11" xfId="16431"/>
    <cellStyle name="Normal 2 2 4 3 2 2 4 3 2" xfId="16432"/>
    <cellStyle name="Normal 2 2 4 3 2 2 4 3 2 2" xfId="16433"/>
    <cellStyle name="Normal 2 2 4 3 2 2 4 3 3" xfId="16434"/>
    <cellStyle name="Normal 2 2 4 3 2 2 4 3 3 2" xfId="16435"/>
    <cellStyle name="Normal 2 2 4 3 2 2 4 3 4" xfId="16436"/>
    <cellStyle name="Normal 2 2 4 3 2 2 4 3 4 2" xfId="16437"/>
    <cellStyle name="Normal 2 2 4 3 2 2 4 3 5" xfId="16438"/>
    <cellStyle name="Normal 2 2 4 3 2 2 4 3 5 2" xfId="16439"/>
    <cellStyle name="Normal 2 2 4 3 2 2 4 3 6" xfId="16440"/>
    <cellStyle name="Normal 2 2 4 3 2 2 4 3 6 2" xfId="16441"/>
    <cellStyle name="Normal 2 2 4 3 2 2 4 3 7" xfId="16442"/>
    <cellStyle name="Normal 2 2 4 3 2 2 4 3 7 2" xfId="16443"/>
    <cellStyle name="Normal 2 2 4 3 2 2 4 3 8" xfId="16444"/>
    <cellStyle name="Normal 2 2 4 3 2 2 4 3 8 2" xfId="16445"/>
    <cellStyle name="Normal 2 2 4 3 2 2 4 3 9" xfId="16446"/>
    <cellStyle name="Normal 2 2 4 3 2 2 4 3 9 2" xfId="16447"/>
    <cellStyle name="Normal 2 2 4 3 2 2 4 4" xfId="16448"/>
    <cellStyle name="Normal 2 2 4 3 2 2 4 4 2" xfId="16449"/>
    <cellStyle name="Normal 2 2 4 3 2 2 4 5" xfId="16450"/>
    <cellStyle name="Normal 2 2 4 3 2 2 4 5 2" xfId="16451"/>
    <cellStyle name="Normal 2 2 4 3 2 2 4 6" xfId="16452"/>
    <cellStyle name="Normal 2 2 4 3 2 2 4 6 2" xfId="16453"/>
    <cellStyle name="Normal 2 2 4 3 2 2 4 7" xfId="16454"/>
    <cellStyle name="Normal 2 2 4 3 2 2 4 7 2" xfId="16455"/>
    <cellStyle name="Normal 2 2 4 3 2 2 4 8" xfId="16456"/>
    <cellStyle name="Normal 2 2 4 3 2 2 4 8 2" xfId="16457"/>
    <cellStyle name="Normal 2 2 4 3 2 2 4 9" xfId="16458"/>
    <cellStyle name="Normal 2 2 4 3 2 2 4 9 2" xfId="16459"/>
    <cellStyle name="Normal 2 2 4 3 2 2 5" xfId="16460"/>
    <cellStyle name="Normal 2 2 4 3 2 2 5 10" xfId="16461"/>
    <cellStyle name="Normal 2 2 4 3 2 2 5 10 2" xfId="16462"/>
    <cellStyle name="Normal 2 2 4 3 2 2 5 11" xfId="16463"/>
    <cellStyle name="Normal 2 2 4 3 2 2 5 11 2" xfId="16464"/>
    <cellStyle name="Normal 2 2 4 3 2 2 5 12" xfId="16465"/>
    <cellStyle name="Normal 2 2 4 3 2 2 5 12 2" xfId="16466"/>
    <cellStyle name="Normal 2 2 4 3 2 2 5 13" xfId="16467"/>
    <cellStyle name="Normal 2 2 4 3 2 2 5 2" xfId="16468"/>
    <cellStyle name="Normal 2 2 4 3 2 2 5 2 10" xfId="16469"/>
    <cellStyle name="Normal 2 2 4 3 2 2 5 2 10 2" xfId="16470"/>
    <cellStyle name="Normal 2 2 4 3 2 2 5 2 11" xfId="16471"/>
    <cellStyle name="Normal 2 2 4 3 2 2 5 2 11 2" xfId="16472"/>
    <cellStyle name="Normal 2 2 4 3 2 2 5 2 12" xfId="16473"/>
    <cellStyle name="Normal 2 2 4 3 2 2 5 2 2" xfId="16474"/>
    <cellStyle name="Normal 2 2 4 3 2 2 5 2 2 10" xfId="16475"/>
    <cellStyle name="Normal 2 2 4 3 2 2 5 2 2 10 2" xfId="16476"/>
    <cellStyle name="Normal 2 2 4 3 2 2 5 2 2 11" xfId="16477"/>
    <cellStyle name="Normal 2 2 4 3 2 2 5 2 2 2" xfId="16478"/>
    <cellStyle name="Normal 2 2 4 3 2 2 5 2 2 2 2" xfId="16479"/>
    <cellStyle name="Normal 2 2 4 3 2 2 5 2 2 3" xfId="16480"/>
    <cellStyle name="Normal 2 2 4 3 2 2 5 2 2 3 2" xfId="16481"/>
    <cellStyle name="Normal 2 2 4 3 2 2 5 2 2 4" xfId="16482"/>
    <cellStyle name="Normal 2 2 4 3 2 2 5 2 2 4 2" xfId="16483"/>
    <cellStyle name="Normal 2 2 4 3 2 2 5 2 2 5" xfId="16484"/>
    <cellStyle name="Normal 2 2 4 3 2 2 5 2 2 5 2" xfId="16485"/>
    <cellStyle name="Normal 2 2 4 3 2 2 5 2 2 6" xfId="16486"/>
    <cellStyle name="Normal 2 2 4 3 2 2 5 2 2 6 2" xfId="16487"/>
    <cellStyle name="Normal 2 2 4 3 2 2 5 2 2 7" xfId="16488"/>
    <cellStyle name="Normal 2 2 4 3 2 2 5 2 2 7 2" xfId="16489"/>
    <cellStyle name="Normal 2 2 4 3 2 2 5 2 2 8" xfId="16490"/>
    <cellStyle name="Normal 2 2 4 3 2 2 5 2 2 8 2" xfId="16491"/>
    <cellStyle name="Normal 2 2 4 3 2 2 5 2 2 9" xfId="16492"/>
    <cellStyle name="Normal 2 2 4 3 2 2 5 2 2 9 2" xfId="16493"/>
    <cellStyle name="Normal 2 2 4 3 2 2 5 2 3" xfId="16494"/>
    <cellStyle name="Normal 2 2 4 3 2 2 5 2 3 2" xfId="16495"/>
    <cellStyle name="Normal 2 2 4 3 2 2 5 2 4" xfId="16496"/>
    <cellStyle name="Normal 2 2 4 3 2 2 5 2 4 2" xfId="16497"/>
    <cellStyle name="Normal 2 2 4 3 2 2 5 2 5" xfId="16498"/>
    <cellStyle name="Normal 2 2 4 3 2 2 5 2 5 2" xfId="16499"/>
    <cellStyle name="Normal 2 2 4 3 2 2 5 2 6" xfId="16500"/>
    <cellStyle name="Normal 2 2 4 3 2 2 5 2 6 2" xfId="16501"/>
    <cellStyle name="Normal 2 2 4 3 2 2 5 2 7" xfId="16502"/>
    <cellStyle name="Normal 2 2 4 3 2 2 5 2 7 2" xfId="16503"/>
    <cellStyle name="Normal 2 2 4 3 2 2 5 2 8" xfId="16504"/>
    <cellStyle name="Normal 2 2 4 3 2 2 5 2 8 2" xfId="16505"/>
    <cellStyle name="Normal 2 2 4 3 2 2 5 2 9" xfId="16506"/>
    <cellStyle name="Normal 2 2 4 3 2 2 5 2 9 2" xfId="16507"/>
    <cellStyle name="Normal 2 2 4 3 2 2 5 3" xfId="16508"/>
    <cellStyle name="Normal 2 2 4 3 2 2 5 3 10" xfId="16509"/>
    <cellStyle name="Normal 2 2 4 3 2 2 5 3 10 2" xfId="16510"/>
    <cellStyle name="Normal 2 2 4 3 2 2 5 3 11" xfId="16511"/>
    <cellStyle name="Normal 2 2 4 3 2 2 5 3 2" xfId="16512"/>
    <cellStyle name="Normal 2 2 4 3 2 2 5 3 2 2" xfId="16513"/>
    <cellStyle name="Normal 2 2 4 3 2 2 5 3 3" xfId="16514"/>
    <cellStyle name="Normal 2 2 4 3 2 2 5 3 3 2" xfId="16515"/>
    <cellStyle name="Normal 2 2 4 3 2 2 5 3 4" xfId="16516"/>
    <cellStyle name="Normal 2 2 4 3 2 2 5 3 4 2" xfId="16517"/>
    <cellStyle name="Normal 2 2 4 3 2 2 5 3 5" xfId="16518"/>
    <cellStyle name="Normal 2 2 4 3 2 2 5 3 5 2" xfId="16519"/>
    <cellStyle name="Normal 2 2 4 3 2 2 5 3 6" xfId="16520"/>
    <cellStyle name="Normal 2 2 4 3 2 2 5 3 6 2" xfId="16521"/>
    <cellStyle name="Normal 2 2 4 3 2 2 5 3 7" xfId="16522"/>
    <cellStyle name="Normal 2 2 4 3 2 2 5 3 7 2" xfId="16523"/>
    <cellStyle name="Normal 2 2 4 3 2 2 5 3 8" xfId="16524"/>
    <cellStyle name="Normal 2 2 4 3 2 2 5 3 8 2" xfId="16525"/>
    <cellStyle name="Normal 2 2 4 3 2 2 5 3 9" xfId="16526"/>
    <cellStyle name="Normal 2 2 4 3 2 2 5 3 9 2" xfId="16527"/>
    <cellStyle name="Normal 2 2 4 3 2 2 5 4" xfId="16528"/>
    <cellStyle name="Normal 2 2 4 3 2 2 5 4 2" xfId="16529"/>
    <cellStyle name="Normal 2 2 4 3 2 2 5 5" xfId="16530"/>
    <cellStyle name="Normal 2 2 4 3 2 2 5 5 2" xfId="16531"/>
    <cellStyle name="Normal 2 2 4 3 2 2 5 6" xfId="16532"/>
    <cellStyle name="Normal 2 2 4 3 2 2 5 6 2" xfId="16533"/>
    <cellStyle name="Normal 2 2 4 3 2 2 5 7" xfId="16534"/>
    <cellStyle name="Normal 2 2 4 3 2 2 5 7 2" xfId="16535"/>
    <cellStyle name="Normal 2 2 4 3 2 2 5 8" xfId="16536"/>
    <cellStyle name="Normal 2 2 4 3 2 2 5 8 2" xfId="16537"/>
    <cellStyle name="Normal 2 2 4 3 2 2 5 9" xfId="16538"/>
    <cellStyle name="Normal 2 2 4 3 2 2 5 9 2" xfId="16539"/>
    <cellStyle name="Normal 2 2 4 3 2 3" xfId="16540"/>
    <cellStyle name="Normal 2 2 4 3 2 4" xfId="16541"/>
    <cellStyle name="Normal 2 2 4 3 2 5" xfId="16542"/>
    <cellStyle name="Normal 2 2 4 3 2 6" xfId="16543"/>
    <cellStyle name="Normal 2 2 4 3 2 6 10" xfId="16544"/>
    <cellStyle name="Normal 2 2 4 3 2 6 10 2" xfId="16545"/>
    <cellStyle name="Normal 2 2 4 3 2 6 11" xfId="16546"/>
    <cellStyle name="Normal 2 2 4 3 2 6 11 2" xfId="16547"/>
    <cellStyle name="Normal 2 2 4 3 2 6 12" xfId="16548"/>
    <cellStyle name="Normal 2 2 4 3 2 6 2" xfId="16549"/>
    <cellStyle name="Normal 2 2 4 3 2 6 2 10" xfId="16550"/>
    <cellStyle name="Normal 2 2 4 3 2 6 2 10 2" xfId="16551"/>
    <cellStyle name="Normal 2 2 4 3 2 6 2 11" xfId="16552"/>
    <cellStyle name="Normal 2 2 4 3 2 6 2 2" xfId="16553"/>
    <cellStyle name="Normal 2 2 4 3 2 6 2 2 2" xfId="16554"/>
    <cellStyle name="Normal 2 2 4 3 2 6 2 3" xfId="16555"/>
    <cellStyle name="Normal 2 2 4 3 2 6 2 3 2" xfId="16556"/>
    <cellStyle name="Normal 2 2 4 3 2 6 2 4" xfId="16557"/>
    <cellStyle name="Normal 2 2 4 3 2 6 2 4 2" xfId="16558"/>
    <cellStyle name="Normal 2 2 4 3 2 6 2 5" xfId="16559"/>
    <cellStyle name="Normal 2 2 4 3 2 6 2 5 2" xfId="16560"/>
    <cellStyle name="Normal 2 2 4 3 2 6 2 6" xfId="16561"/>
    <cellStyle name="Normal 2 2 4 3 2 6 2 6 2" xfId="16562"/>
    <cellStyle name="Normal 2 2 4 3 2 6 2 7" xfId="16563"/>
    <cellStyle name="Normal 2 2 4 3 2 6 2 7 2" xfId="16564"/>
    <cellStyle name="Normal 2 2 4 3 2 6 2 8" xfId="16565"/>
    <cellStyle name="Normal 2 2 4 3 2 6 2 8 2" xfId="16566"/>
    <cellStyle name="Normal 2 2 4 3 2 6 2 9" xfId="16567"/>
    <cellStyle name="Normal 2 2 4 3 2 6 2 9 2" xfId="16568"/>
    <cellStyle name="Normal 2 2 4 3 2 6 3" xfId="16569"/>
    <cellStyle name="Normal 2 2 4 3 2 6 3 2" xfId="16570"/>
    <cellStyle name="Normal 2 2 4 3 2 6 4" xfId="16571"/>
    <cellStyle name="Normal 2 2 4 3 2 6 4 2" xfId="16572"/>
    <cellStyle name="Normal 2 2 4 3 2 6 5" xfId="16573"/>
    <cellStyle name="Normal 2 2 4 3 2 6 5 2" xfId="16574"/>
    <cellStyle name="Normal 2 2 4 3 2 6 6" xfId="16575"/>
    <cellStyle name="Normal 2 2 4 3 2 6 6 2" xfId="16576"/>
    <cellStyle name="Normal 2 2 4 3 2 6 7" xfId="16577"/>
    <cellStyle name="Normal 2 2 4 3 2 6 7 2" xfId="16578"/>
    <cellStyle name="Normal 2 2 4 3 2 6 8" xfId="16579"/>
    <cellStyle name="Normal 2 2 4 3 2 6 8 2" xfId="16580"/>
    <cellStyle name="Normal 2 2 4 3 2 6 9" xfId="16581"/>
    <cellStyle name="Normal 2 2 4 3 2 6 9 2" xfId="16582"/>
    <cellStyle name="Normal 2 2 4 3 2 7" xfId="16583"/>
    <cellStyle name="Normal 2 2 4 3 2 7 10" xfId="16584"/>
    <cellStyle name="Normal 2 2 4 3 2 7 10 2" xfId="16585"/>
    <cellStyle name="Normal 2 2 4 3 2 7 11" xfId="16586"/>
    <cellStyle name="Normal 2 2 4 3 2 7 2" xfId="16587"/>
    <cellStyle name="Normal 2 2 4 3 2 7 2 2" xfId="16588"/>
    <cellStyle name="Normal 2 2 4 3 2 7 3" xfId="16589"/>
    <cellStyle name="Normal 2 2 4 3 2 7 3 2" xfId="16590"/>
    <cellStyle name="Normal 2 2 4 3 2 7 4" xfId="16591"/>
    <cellStyle name="Normal 2 2 4 3 2 7 4 2" xfId="16592"/>
    <cellStyle name="Normal 2 2 4 3 2 7 5" xfId="16593"/>
    <cellStyle name="Normal 2 2 4 3 2 7 5 2" xfId="16594"/>
    <cellStyle name="Normal 2 2 4 3 2 7 6" xfId="16595"/>
    <cellStyle name="Normal 2 2 4 3 2 7 6 2" xfId="16596"/>
    <cellStyle name="Normal 2 2 4 3 2 7 7" xfId="16597"/>
    <cellStyle name="Normal 2 2 4 3 2 7 7 2" xfId="16598"/>
    <cellStyle name="Normal 2 2 4 3 2 7 8" xfId="16599"/>
    <cellStyle name="Normal 2 2 4 3 2 7 8 2" xfId="16600"/>
    <cellStyle name="Normal 2 2 4 3 2 7 9" xfId="16601"/>
    <cellStyle name="Normal 2 2 4 3 2 7 9 2" xfId="16602"/>
    <cellStyle name="Normal 2 2 4 3 2 8" xfId="16603"/>
    <cellStyle name="Normal 2 2 4 3 2 8 2" xfId="16604"/>
    <cellStyle name="Normal 2 2 4 3 2 9" xfId="16605"/>
    <cellStyle name="Normal 2 2 4 3 2 9 2" xfId="16606"/>
    <cellStyle name="Normal 2 2 4 3 3" xfId="16607"/>
    <cellStyle name="Normal 2 2 4 3 3 10" xfId="16608"/>
    <cellStyle name="Normal 2 2 4 3 3 10 2" xfId="16609"/>
    <cellStyle name="Normal 2 2 4 3 3 11" xfId="16610"/>
    <cellStyle name="Normal 2 2 4 3 3 11 2" xfId="16611"/>
    <cellStyle name="Normal 2 2 4 3 3 12" xfId="16612"/>
    <cellStyle name="Normal 2 2 4 3 3 12 2" xfId="16613"/>
    <cellStyle name="Normal 2 2 4 3 3 13" xfId="16614"/>
    <cellStyle name="Normal 2 2 4 3 3 2" xfId="16615"/>
    <cellStyle name="Normal 2 2 4 3 3 2 10" xfId="16616"/>
    <cellStyle name="Normal 2 2 4 3 3 2 10 2" xfId="16617"/>
    <cellStyle name="Normal 2 2 4 3 3 2 11" xfId="16618"/>
    <cellStyle name="Normal 2 2 4 3 3 2 11 2" xfId="16619"/>
    <cellStyle name="Normal 2 2 4 3 3 2 12" xfId="16620"/>
    <cellStyle name="Normal 2 2 4 3 3 2 2" xfId="16621"/>
    <cellStyle name="Normal 2 2 4 3 3 2 2 10" xfId="16622"/>
    <cellStyle name="Normal 2 2 4 3 3 2 2 10 2" xfId="16623"/>
    <cellStyle name="Normal 2 2 4 3 3 2 2 11" xfId="16624"/>
    <cellStyle name="Normal 2 2 4 3 3 2 2 2" xfId="16625"/>
    <cellStyle name="Normal 2 2 4 3 3 2 2 2 2" xfId="16626"/>
    <cellStyle name="Normal 2 2 4 3 3 2 2 3" xfId="16627"/>
    <cellStyle name="Normal 2 2 4 3 3 2 2 3 2" xfId="16628"/>
    <cellStyle name="Normal 2 2 4 3 3 2 2 4" xfId="16629"/>
    <cellStyle name="Normal 2 2 4 3 3 2 2 4 2" xfId="16630"/>
    <cellStyle name="Normal 2 2 4 3 3 2 2 5" xfId="16631"/>
    <cellStyle name="Normal 2 2 4 3 3 2 2 5 2" xfId="16632"/>
    <cellStyle name="Normal 2 2 4 3 3 2 2 6" xfId="16633"/>
    <cellStyle name="Normal 2 2 4 3 3 2 2 6 2" xfId="16634"/>
    <cellStyle name="Normal 2 2 4 3 3 2 2 7" xfId="16635"/>
    <cellStyle name="Normal 2 2 4 3 3 2 2 7 2" xfId="16636"/>
    <cellStyle name="Normal 2 2 4 3 3 2 2 8" xfId="16637"/>
    <cellStyle name="Normal 2 2 4 3 3 2 2 8 2" xfId="16638"/>
    <cellStyle name="Normal 2 2 4 3 3 2 2 9" xfId="16639"/>
    <cellStyle name="Normal 2 2 4 3 3 2 2 9 2" xfId="16640"/>
    <cellStyle name="Normal 2 2 4 3 3 2 3" xfId="16641"/>
    <cellStyle name="Normal 2 2 4 3 3 2 3 2" xfId="16642"/>
    <cellStyle name="Normal 2 2 4 3 3 2 4" xfId="16643"/>
    <cellStyle name="Normal 2 2 4 3 3 2 4 2" xfId="16644"/>
    <cellStyle name="Normal 2 2 4 3 3 2 5" xfId="16645"/>
    <cellStyle name="Normal 2 2 4 3 3 2 5 2" xfId="16646"/>
    <cellStyle name="Normal 2 2 4 3 3 2 6" xfId="16647"/>
    <cellStyle name="Normal 2 2 4 3 3 2 6 2" xfId="16648"/>
    <cellStyle name="Normal 2 2 4 3 3 2 7" xfId="16649"/>
    <cellStyle name="Normal 2 2 4 3 3 2 7 2" xfId="16650"/>
    <cellStyle name="Normal 2 2 4 3 3 2 8" xfId="16651"/>
    <cellStyle name="Normal 2 2 4 3 3 2 8 2" xfId="16652"/>
    <cellStyle name="Normal 2 2 4 3 3 2 9" xfId="16653"/>
    <cellStyle name="Normal 2 2 4 3 3 2 9 2" xfId="16654"/>
    <cellStyle name="Normal 2 2 4 3 3 3" xfId="16655"/>
    <cellStyle name="Normal 2 2 4 3 3 3 10" xfId="16656"/>
    <cellStyle name="Normal 2 2 4 3 3 3 10 2" xfId="16657"/>
    <cellStyle name="Normal 2 2 4 3 3 3 11" xfId="16658"/>
    <cellStyle name="Normal 2 2 4 3 3 3 2" xfId="16659"/>
    <cellStyle name="Normal 2 2 4 3 3 3 2 2" xfId="16660"/>
    <cellStyle name="Normal 2 2 4 3 3 3 3" xfId="16661"/>
    <cellStyle name="Normal 2 2 4 3 3 3 3 2" xfId="16662"/>
    <cellStyle name="Normal 2 2 4 3 3 3 4" xfId="16663"/>
    <cellStyle name="Normal 2 2 4 3 3 3 4 2" xfId="16664"/>
    <cellStyle name="Normal 2 2 4 3 3 3 5" xfId="16665"/>
    <cellStyle name="Normal 2 2 4 3 3 3 5 2" xfId="16666"/>
    <cellStyle name="Normal 2 2 4 3 3 3 6" xfId="16667"/>
    <cellStyle name="Normal 2 2 4 3 3 3 6 2" xfId="16668"/>
    <cellStyle name="Normal 2 2 4 3 3 3 7" xfId="16669"/>
    <cellStyle name="Normal 2 2 4 3 3 3 7 2" xfId="16670"/>
    <cellStyle name="Normal 2 2 4 3 3 3 8" xfId="16671"/>
    <cellStyle name="Normal 2 2 4 3 3 3 8 2" xfId="16672"/>
    <cellStyle name="Normal 2 2 4 3 3 3 9" xfId="16673"/>
    <cellStyle name="Normal 2 2 4 3 3 3 9 2" xfId="16674"/>
    <cellStyle name="Normal 2 2 4 3 3 4" xfId="16675"/>
    <cellStyle name="Normal 2 2 4 3 3 4 2" xfId="16676"/>
    <cellStyle name="Normal 2 2 4 3 3 5" xfId="16677"/>
    <cellStyle name="Normal 2 2 4 3 3 5 2" xfId="16678"/>
    <cellStyle name="Normal 2 2 4 3 3 6" xfId="16679"/>
    <cellStyle name="Normal 2 2 4 3 3 6 2" xfId="16680"/>
    <cellStyle name="Normal 2 2 4 3 3 7" xfId="16681"/>
    <cellStyle name="Normal 2 2 4 3 3 7 2" xfId="16682"/>
    <cellStyle name="Normal 2 2 4 3 3 8" xfId="16683"/>
    <cellStyle name="Normal 2 2 4 3 3 8 2" xfId="16684"/>
    <cellStyle name="Normal 2 2 4 3 3 9" xfId="16685"/>
    <cellStyle name="Normal 2 2 4 3 3 9 2" xfId="16686"/>
    <cellStyle name="Normal 2 2 4 3 4" xfId="16687"/>
    <cellStyle name="Normal 2 2 4 3 4 10" xfId="16688"/>
    <cellStyle name="Normal 2 2 4 3 4 10 2" xfId="16689"/>
    <cellStyle name="Normal 2 2 4 3 4 11" xfId="16690"/>
    <cellStyle name="Normal 2 2 4 3 4 11 2" xfId="16691"/>
    <cellStyle name="Normal 2 2 4 3 4 12" xfId="16692"/>
    <cellStyle name="Normal 2 2 4 3 4 12 2" xfId="16693"/>
    <cellStyle name="Normal 2 2 4 3 4 13" xfId="16694"/>
    <cellStyle name="Normal 2 2 4 3 4 2" xfId="16695"/>
    <cellStyle name="Normal 2 2 4 3 4 2 10" xfId="16696"/>
    <cellStyle name="Normal 2 2 4 3 4 2 10 2" xfId="16697"/>
    <cellStyle name="Normal 2 2 4 3 4 2 11" xfId="16698"/>
    <cellStyle name="Normal 2 2 4 3 4 2 11 2" xfId="16699"/>
    <cellStyle name="Normal 2 2 4 3 4 2 12" xfId="16700"/>
    <cellStyle name="Normal 2 2 4 3 4 2 2" xfId="16701"/>
    <cellStyle name="Normal 2 2 4 3 4 2 2 10" xfId="16702"/>
    <cellStyle name="Normal 2 2 4 3 4 2 2 10 2" xfId="16703"/>
    <cellStyle name="Normal 2 2 4 3 4 2 2 11" xfId="16704"/>
    <cellStyle name="Normal 2 2 4 3 4 2 2 2" xfId="16705"/>
    <cellStyle name="Normal 2 2 4 3 4 2 2 2 2" xfId="16706"/>
    <cellStyle name="Normal 2 2 4 3 4 2 2 3" xfId="16707"/>
    <cellStyle name="Normal 2 2 4 3 4 2 2 3 2" xfId="16708"/>
    <cellStyle name="Normal 2 2 4 3 4 2 2 4" xfId="16709"/>
    <cellStyle name="Normal 2 2 4 3 4 2 2 4 2" xfId="16710"/>
    <cellStyle name="Normal 2 2 4 3 4 2 2 5" xfId="16711"/>
    <cellStyle name="Normal 2 2 4 3 4 2 2 5 2" xfId="16712"/>
    <cellStyle name="Normal 2 2 4 3 4 2 2 6" xfId="16713"/>
    <cellStyle name="Normal 2 2 4 3 4 2 2 6 2" xfId="16714"/>
    <cellStyle name="Normal 2 2 4 3 4 2 2 7" xfId="16715"/>
    <cellStyle name="Normal 2 2 4 3 4 2 2 7 2" xfId="16716"/>
    <cellStyle name="Normal 2 2 4 3 4 2 2 8" xfId="16717"/>
    <cellStyle name="Normal 2 2 4 3 4 2 2 8 2" xfId="16718"/>
    <cellStyle name="Normal 2 2 4 3 4 2 2 9" xfId="16719"/>
    <cellStyle name="Normal 2 2 4 3 4 2 2 9 2" xfId="16720"/>
    <cellStyle name="Normal 2 2 4 3 4 2 3" xfId="16721"/>
    <cellStyle name="Normal 2 2 4 3 4 2 3 2" xfId="16722"/>
    <cellStyle name="Normal 2 2 4 3 4 2 4" xfId="16723"/>
    <cellStyle name="Normal 2 2 4 3 4 2 4 2" xfId="16724"/>
    <cellStyle name="Normal 2 2 4 3 4 2 5" xfId="16725"/>
    <cellStyle name="Normal 2 2 4 3 4 2 5 2" xfId="16726"/>
    <cellStyle name="Normal 2 2 4 3 4 2 6" xfId="16727"/>
    <cellStyle name="Normal 2 2 4 3 4 2 6 2" xfId="16728"/>
    <cellStyle name="Normal 2 2 4 3 4 2 7" xfId="16729"/>
    <cellStyle name="Normal 2 2 4 3 4 2 7 2" xfId="16730"/>
    <cellStyle name="Normal 2 2 4 3 4 2 8" xfId="16731"/>
    <cellStyle name="Normal 2 2 4 3 4 2 8 2" xfId="16732"/>
    <cellStyle name="Normal 2 2 4 3 4 2 9" xfId="16733"/>
    <cellStyle name="Normal 2 2 4 3 4 2 9 2" xfId="16734"/>
    <cellStyle name="Normal 2 2 4 3 4 3" xfId="16735"/>
    <cellStyle name="Normal 2 2 4 3 4 3 10" xfId="16736"/>
    <cellStyle name="Normal 2 2 4 3 4 3 10 2" xfId="16737"/>
    <cellStyle name="Normal 2 2 4 3 4 3 11" xfId="16738"/>
    <cellStyle name="Normal 2 2 4 3 4 3 2" xfId="16739"/>
    <cellStyle name="Normal 2 2 4 3 4 3 2 2" xfId="16740"/>
    <cellStyle name="Normal 2 2 4 3 4 3 3" xfId="16741"/>
    <cellStyle name="Normal 2 2 4 3 4 3 3 2" xfId="16742"/>
    <cellStyle name="Normal 2 2 4 3 4 3 4" xfId="16743"/>
    <cellStyle name="Normal 2 2 4 3 4 3 4 2" xfId="16744"/>
    <cellStyle name="Normal 2 2 4 3 4 3 5" xfId="16745"/>
    <cellStyle name="Normal 2 2 4 3 4 3 5 2" xfId="16746"/>
    <cellStyle name="Normal 2 2 4 3 4 3 6" xfId="16747"/>
    <cellStyle name="Normal 2 2 4 3 4 3 6 2" xfId="16748"/>
    <cellStyle name="Normal 2 2 4 3 4 3 7" xfId="16749"/>
    <cellStyle name="Normal 2 2 4 3 4 3 7 2" xfId="16750"/>
    <cellStyle name="Normal 2 2 4 3 4 3 8" xfId="16751"/>
    <cellStyle name="Normal 2 2 4 3 4 3 8 2" xfId="16752"/>
    <cellStyle name="Normal 2 2 4 3 4 3 9" xfId="16753"/>
    <cellStyle name="Normal 2 2 4 3 4 3 9 2" xfId="16754"/>
    <cellStyle name="Normal 2 2 4 3 4 4" xfId="16755"/>
    <cellStyle name="Normal 2 2 4 3 4 4 2" xfId="16756"/>
    <cellStyle name="Normal 2 2 4 3 4 5" xfId="16757"/>
    <cellStyle name="Normal 2 2 4 3 4 5 2" xfId="16758"/>
    <cellStyle name="Normal 2 2 4 3 4 6" xfId="16759"/>
    <cellStyle name="Normal 2 2 4 3 4 6 2" xfId="16760"/>
    <cellStyle name="Normal 2 2 4 3 4 7" xfId="16761"/>
    <cellStyle name="Normal 2 2 4 3 4 7 2" xfId="16762"/>
    <cellStyle name="Normal 2 2 4 3 4 8" xfId="16763"/>
    <cellStyle name="Normal 2 2 4 3 4 8 2" xfId="16764"/>
    <cellStyle name="Normal 2 2 4 3 4 9" xfId="16765"/>
    <cellStyle name="Normal 2 2 4 3 4 9 2" xfId="16766"/>
    <cellStyle name="Normal 2 2 4 3 5" xfId="16767"/>
    <cellStyle name="Normal 2 2 4 3 5 10" xfId="16768"/>
    <cellStyle name="Normal 2 2 4 3 5 10 2" xfId="16769"/>
    <cellStyle name="Normal 2 2 4 3 5 11" xfId="16770"/>
    <cellStyle name="Normal 2 2 4 3 5 11 2" xfId="16771"/>
    <cellStyle name="Normal 2 2 4 3 5 12" xfId="16772"/>
    <cellStyle name="Normal 2 2 4 3 5 12 2" xfId="16773"/>
    <cellStyle name="Normal 2 2 4 3 5 13" xfId="16774"/>
    <cellStyle name="Normal 2 2 4 3 5 2" xfId="16775"/>
    <cellStyle name="Normal 2 2 4 3 5 2 10" xfId="16776"/>
    <cellStyle name="Normal 2 2 4 3 5 2 10 2" xfId="16777"/>
    <cellStyle name="Normal 2 2 4 3 5 2 11" xfId="16778"/>
    <cellStyle name="Normal 2 2 4 3 5 2 11 2" xfId="16779"/>
    <cellStyle name="Normal 2 2 4 3 5 2 12" xfId="16780"/>
    <cellStyle name="Normal 2 2 4 3 5 2 2" xfId="16781"/>
    <cellStyle name="Normal 2 2 4 3 5 2 2 10" xfId="16782"/>
    <cellStyle name="Normal 2 2 4 3 5 2 2 10 2" xfId="16783"/>
    <cellStyle name="Normal 2 2 4 3 5 2 2 11" xfId="16784"/>
    <cellStyle name="Normal 2 2 4 3 5 2 2 2" xfId="16785"/>
    <cellStyle name="Normal 2 2 4 3 5 2 2 2 2" xfId="16786"/>
    <cellStyle name="Normal 2 2 4 3 5 2 2 3" xfId="16787"/>
    <cellStyle name="Normal 2 2 4 3 5 2 2 3 2" xfId="16788"/>
    <cellStyle name="Normal 2 2 4 3 5 2 2 4" xfId="16789"/>
    <cellStyle name="Normal 2 2 4 3 5 2 2 4 2" xfId="16790"/>
    <cellStyle name="Normal 2 2 4 3 5 2 2 5" xfId="16791"/>
    <cellStyle name="Normal 2 2 4 3 5 2 2 5 2" xfId="16792"/>
    <cellStyle name="Normal 2 2 4 3 5 2 2 6" xfId="16793"/>
    <cellStyle name="Normal 2 2 4 3 5 2 2 6 2" xfId="16794"/>
    <cellStyle name="Normal 2 2 4 3 5 2 2 7" xfId="16795"/>
    <cellStyle name="Normal 2 2 4 3 5 2 2 7 2" xfId="16796"/>
    <cellStyle name="Normal 2 2 4 3 5 2 2 8" xfId="16797"/>
    <cellStyle name="Normal 2 2 4 3 5 2 2 8 2" xfId="16798"/>
    <cellStyle name="Normal 2 2 4 3 5 2 2 9" xfId="16799"/>
    <cellStyle name="Normal 2 2 4 3 5 2 2 9 2" xfId="16800"/>
    <cellStyle name="Normal 2 2 4 3 5 2 3" xfId="16801"/>
    <cellStyle name="Normal 2 2 4 3 5 2 3 2" xfId="16802"/>
    <cellStyle name="Normal 2 2 4 3 5 2 4" xfId="16803"/>
    <cellStyle name="Normal 2 2 4 3 5 2 4 2" xfId="16804"/>
    <cellStyle name="Normal 2 2 4 3 5 2 5" xfId="16805"/>
    <cellStyle name="Normal 2 2 4 3 5 2 5 2" xfId="16806"/>
    <cellStyle name="Normal 2 2 4 3 5 2 6" xfId="16807"/>
    <cellStyle name="Normal 2 2 4 3 5 2 6 2" xfId="16808"/>
    <cellStyle name="Normal 2 2 4 3 5 2 7" xfId="16809"/>
    <cellStyle name="Normal 2 2 4 3 5 2 7 2" xfId="16810"/>
    <cellStyle name="Normal 2 2 4 3 5 2 8" xfId="16811"/>
    <cellStyle name="Normal 2 2 4 3 5 2 8 2" xfId="16812"/>
    <cellStyle name="Normal 2 2 4 3 5 2 9" xfId="16813"/>
    <cellStyle name="Normal 2 2 4 3 5 2 9 2" xfId="16814"/>
    <cellStyle name="Normal 2 2 4 3 5 3" xfId="16815"/>
    <cellStyle name="Normal 2 2 4 3 5 3 10" xfId="16816"/>
    <cellStyle name="Normal 2 2 4 3 5 3 10 2" xfId="16817"/>
    <cellStyle name="Normal 2 2 4 3 5 3 11" xfId="16818"/>
    <cellStyle name="Normal 2 2 4 3 5 3 2" xfId="16819"/>
    <cellStyle name="Normal 2 2 4 3 5 3 2 2" xfId="16820"/>
    <cellStyle name="Normal 2 2 4 3 5 3 3" xfId="16821"/>
    <cellStyle name="Normal 2 2 4 3 5 3 3 2" xfId="16822"/>
    <cellStyle name="Normal 2 2 4 3 5 3 4" xfId="16823"/>
    <cellStyle name="Normal 2 2 4 3 5 3 4 2" xfId="16824"/>
    <cellStyle name="Normal 2 2 4 3 5 3 5" xfId="16825"/>
    <cellStyle name="Normal 2 2 4 3 5 3 5 2" xfId="16826"/>
    <cellStyle name="Normal 2 2 4 3 5 3 6" xfId="16827"/>
    <cellStyle name="Normal 2 2 4 3 5 3 6 2" xfId="16828"/>
    <cellStyle name="Normal 2 2 4 3 5 3 7" xfId="16829"/>
    <cellStyle name="Normal 2 2 4 3 5 3 7 2" xfId="16830"/>
    <cellStyle name="Normal 2 2 4 3 5 3 8" xfId="16831"/>
    <cellStyle name="Normal 2 2 4 3 5 3 8 2" xfId="16832"/>
    <cellStyle name="Normal 2 2 4 3 5 3 9" xfId="16833"/>
    <cellStyle name="Normal 2 2 4 3 5 3 9 2" xfId="16834"/>
    <cellStyle name="Normal 2 2 4 3 5 4" xfId="16835"/>
    <cellStyle name="Normal 2 2 4 3 5 4 2" xfId="16836"/>
    <cellStyle name="Normal 2 2 4 3 5 5" xfId="16837"/>
    <cellStyle name="Normal 2 2 4 3 5 5 2" xfId="16838"/>
    <cellStyle name="Normal 2 2 4 3 5 6" xfId="16839"/>
    <cellStyle name="Normal 2 2 4 3 5 6 2" xfId="16840"/>
    <cellStyle name="Normal 2 2 4 3 5 7" xfId="16841"/>
    <cellStyle name="Normal 2 2 4 3 5 7 2" xfId="16842"/>
    <cellStyle name="Normal 2 2 4 3 5 8" xfId="16843"/>
    <cellStyle name="Normal 2 2 4 3 5 8 2" xfId="16844"/>
    <cellStyle name="Normal 2 2 4 3 5 9" xfId="16845"/>
    <cellStyle name="Normal 2 2 4 3 5 9 2" xfId="16846"/>
    <cellStyle name="Normal 2 2 4 3 6" xfId="16847"/>
    <cellStyle name="Normal 2 2 4 3 6 10" xfId="16848"/>
    <cellStyle name="Normal 2 2 4 3 6 10 2" xfId="16849"/>
    <cellStyle name="Normal 2 2 4 3 6 11" xfId="16850"/>
    <cellStyle name="Normal 2 2 4 3 6 11 2" xfId="16851"/>
    <cellStyle name="Normal 2 2 4 3 6 12" xfId="16852"/>
    <cellStyle name="Normal 2 2 4 3 6 12 2" xfId="16853"/>
    <cellStyle name="Normal 2 2 4 3 6 13" xfId="16854"/>
    <cellStyle name="Normal 2 2 4 3 6 2" xfId="16855"/>
    <cellStyle name="Normal 2 2 4 3 6 2 10" xfId="16856"/>
    <cellStyle name="Normal 2 2 4 3 6 2 10 2" xfId="16857"/>
    <cellStyle name="Normal 2 2 4 3 6 2 11" xfId="16858"/>
    <cellStyle name="Normal 2 2 4 3 6 2 11 2" xfId="16859"/>
    <cellStyle name="Normal 2 2 4 3 6 2 12" xfId="16860"/>
    <cellStyle name="Normal 2 2 4 3 6 2 2" xfId="16861"/>
    <cellStyle name="Normal 2 2 4 3 6 2 2 10" xfId="16862"/>
    <cellStyle name="Normal 2 2 4 3 6 2 2 10 2" xfId="16863"/>
    <cellStyle name="Normal 2 2 4 3 6 2 2 11" xfId="16864"/>
    <cellStyle name="Normal 2 2 4 3 6 2 2 2" xfId="16865"/>
    <cellStyle name="Normal 2 2 4 3 6 2 2 2 2" xfId="16866"/>
    <cellStyle name="Normal 2 2 4 3 6 2 2 3" xfId="16867"/>
    <cellStyle name="Normal 2 2 4 3 6 2 2 3 2" xfId="16868"/>
    <cellStyle name="Normal 2 2 4 3 6 2 2 4" xfId="16869"/>
    <cellStyle name="Normal 2 2 4 3 6 2 2 4 2" xfId="16870"/>
    <cellStyle name="Normal 2 2 4 3 6 2 2 5" xfId="16871"/>
    <cellStyle name="Normal 2 2 4 3 6 2 2 5 2" xfId="16872"/>
    <cellStyle name="Normal 2 2 4 3 6 2 2 6" xfId="16873"/>
    <cellStyle name="Normal 2 2 4 3 6 2 2 6 2" xfId="16874"/>
    <cellStyle name="Normal 2 2 4 3 6 2 2 7" xfId="16875"/>
    <cellStyle name="Normal 2 2 4 3 6 2 2 7 2" xfId="16876"/>
    <cellStyle name="Normal 2 2 4 3 6 2 2 8" xfId="16877"/>
    <cellStyle name="Normal 2 2 4 3 6 2 2 8 2" xfId="16878"/>
    <cellStyle name="Normal 2 2 4 3 6 2 2 9" xfId="16879"/>
    <cellStyle name="Normal 2 2 4 3 6 2 2 9 2" xfId="16880"/>
    <cellStyle name="Normal 2 2 4 3 6 2 3" xfId="16881"/>
    <cellStyle name="Normal 2 2 4 3 6 2 3 2" xfId="16882"/>
    <cellStyle name="Normal 2 2 4 3 6 2 4" xfId="16883"/>
    <cellStyle name="Normal 2 2 4 3 6 2 4 2" xfId="16884"/>
    <cellStyle name="Normal 2 2 4 3 6 2 5" xfId="16885"/>
    <cellStyle name="Normal 2 2 4 3 6 2 5 2" xfId="16886"/>
    <cellStyle name="Normal 2 2 4 3 6 2 6" xfId="16887"/>
    <cellStyle name="Normal 2 2 4 3 6 2 6 2" xfId="16888"/>
    <cellStyle name="Normal 2 2 4 3 6 2 7" xfId="16889"/>
    <cellStyle name="Normal 2 2 4 3 6 2 7 2" xfId="16890"/>
    <cellStyle name="Normal 2 2 4 3 6 2 8" xfId="16891"/>
    <cellStyle name="Normal 2 2 4 3 6 2 8 2" xfId="16892"/>
    <cellStyle name="Normal 2 2 4 3 6 2 9" xfId="16893"/>
    <cellStyle name="Normal 2 2 4 3 6 2 9 2" xfId="16894"/>
    <cellStyle name="Normal 2 2 4 3 6 3" xfId="16895"/>
    <cellStyle name="Normal 2 2 4 3 6 3 10" xfId="16896"/>
    <cellStyle name="Normal 2 2 4 3 6 3 10 2" xfId="16897"/>
    <cellStyle name="Normal 2 2 4 3 6 3 11" xfId="16898"/>
    <cellStyle name="Normal 2 2 4 3 6 3 2" xfId="16899"/>
    <cellStyle name="Normal 2 2 4 3 6 3 2 2" xfId="16900"/>
    <cellStyle name="Normal 2 2 4 3 6 3 3" xfId="16901"/>
    <cellStyle name="Normal 2 2 4 3 6 3 3 2" xfId="16902"/>
    <cellStyle name="Normal 2 2 4 3 6 3 4" xfId="16903"/>
    <cellStyle name="Normal 2 2 4 3 6 3 4 2" xfId="16904"/>
    <cellStyle name="Normal 2 2 4 3 6 3 5" xfId="16905"/>
    <cellStyle name="Normal 2 2 4 3 6 3 5 2" xfId="16906"/>
    <cellStyle name="Normal 2 2 4 3 6 3 6" xfId="16907"/>
    <cellStyle name="Normal 2 2 4 3 6 3 6 2" xfId="16908"/>
    <cellStyle name="Normal 2 2 4 3 6 3 7" xfId="16909"/>
    <cellStyle name="Normal 2 2 4 3 6 3 7 2" xfId="16910"/>
    <cellStyle name="Normal 2 2 4 3 6 3 8" xfId="16911"/>
    <cellStyle name="Normal 2 2 4 3 6 3 8 2" xfId="16912"/>
    <cellStyle name="Normal 2 2 4 3 6 3 9" xfId="16913"/>
    <cellStyle name="Normal 2 2 4 3 6 3 9 2" xfId="16914"/>
    <cellStyle name="Normal 2 2 4 3 6 4" xfId="16915"/>
    <cellStyle name="Normal 2 2 4 3 6 4 2" xfId="16916"/>
    <cellStyle name="Normal 2 2 4 3 6 5" xfId="16917"/>
    <cellStyle name="Normal 2 2 4 3 6 5 2" xfId="16918"/>
    <cellStyle name="Normal 2 2 4 3 6 6" xfId="16919"/>
    <cellStyle name="Normal 2 2 4 3 6 6 2" xfId="16920"/>
    <cellStyle name="Normal 2 2 4 3 6 7" xfId="16921"/>
    <cellStyle name="Normal 2 2 4 3 6 7 2" xfId="16922"/>
    <cellStyle name="Normal 2 2 4 3 6 8" xfId="16923"/>
    <cellStyle name="Normal 2 2 4 3 6 8 2" xfId="16924"/>
    <cellStyle name="Normal 2 2 4 3 6 9" xfId="16925"/>
    <cellStyle name="Normal 2 2 4 3 6 9 2" xfId="16926"/>
    <cellStyle name="Normal 2 2 4 4" xfId="16927"/>
    <cellStyle name="Normal 2 2 4 4 10" xfId="16928"/>
    <cellStyle name="Normal 2 2 4 4 10 2" xfId="16929"/>
    <cellStyle name="Normal 2 2 4 4 11" xfId="16930"/>
    <cellStyle name="Normal 2 2 4 4 11 2" xfId="16931"/>
    <cellStyle name="Normal 2 2 4 4 12" xfId="16932"/>
    <cellStyle name="Normal 2 2 4 4 12 2" xfId="16933"/>
    <cellStyle name="Normal 2 2 4 4 13" xfId="16934"/>
    <cellStyle name="Normal 2 2 4 4 2" xfId="16935"/>
    <cellStyle name="Normal 2 2 4 4 2 10" xfId="16936"/>
    <cellStyle name="Normal 2 2 4 4 2 10 2" xfId="16937"/>
    <cellStyle name="Normal 2 2 4 4 2 11" xfId="16938"/>
    <cellStyle name="Normal 2 2 4 4 2 11 2" xfId="16939"/>
    <cellStyle name="Normal 2 2 4 4 2 12" xfId="16940"/>
    <cellStyle name="Normal 2 2 4 4 2 2" xfId="16941"/>
    <cellStyle name="Normal 2 2 4 4 2 2 10" xfId="16942"/>
    <cellStyle name="Normal 2 2 4 4 2 2 10 2" xfId="16943"/>
    <cellStyle name="Normal 2 2 4 4 2 2 11" xfId="16944"/>
    <cellStyle name="Normal 2 2 4 4 2 2 2" xfId="16945"/>
    <cellStyle name="Normal 2 2 4 4 2 2 2 2" xfId="16946"/>
    <cellStyle name="Normal 2 2 4 4 2 2 3" xfId="16947"/>
    <cellStyle name="Normal 2 2 4 4 2 2 3 2" xfId="16948"/>
    <cellStyle name="Normal 2 2 4 4 2 2 4" xfId="16949"/>
    <cellStyle name="Normal 2 2 4 4 2 2 4 2" xfId="16950"/>
    <cellStyle name="Normal 2 2 4 4 2 2 5" xfId="16951"/>
    <cellStyle name="Normal 2 2 4 4 2 2 5 2" xfId="16952"/>
    <cellStyle name="Normal 2 2 4 4 2 2 6" xfId="16953"/>
    <cellStyle name="Normal 2 2 4 4 2 2 6 2" xfId="16954"/>
    <cellStyle name="Normal 2 2 4 4 2 2 7" xfId="16955"/>
    <cellStyle name="Normal 2 2 4 4 2 2 7 2" xfId="16956"/>
    <cellStyle name="Normal 2 2 4 4 2 2 8" xfId="16957"/>
    <cellStyle name="Normal 2 2 4 4 2 2 8 2" xfId="16958"/>
    <cellStyle name="Normal 2 2 4 4 2 2 9" xfId="16959"/>
    <cellStyle name="Normal 2 2 4 4 2 2 9 2" xfId="16960"/>
    <cellStyle name="Normal 2 2 4 4 2 3" xfId="16961"/>
    <cellStyle name="Normal 2 2 4 4 2 3 2" xfId="16962"/>
    <cellStyle name="Normal 2 2 4 4 2 4" xfId="16963"/>
    <cellStyle name="Normal 2 2 4 4 2 4 2" xfId="16964"/>
    <cellStyle name="Normal 2 2 4 4 2 5" xfId="16965"/>
    <cellStyle name="Normal 2 2 4 4 2 5 2" xfId="16966"/>
    <cellStyle name="Normal 2 2 4 4 2 6" xfId="16967"/>
    <cellStyle name="Normal 2 2 4 4 2 6 2" xfId="16968"/>
    <cellStyle name="Normal 2 2 4 4 2 7" xfId="16969"/>
    <cellStyle name="Normal 2 2 4 4 2 7 2" xfId="16970"/>
    <cellStyle name="Normal 2 2 4 4 2 8" xfId="16971"/>
    <cellStyle name="Normal 2 2 4 4 2 8 2" xfId="16972"/>
    <cellStyle name="Normal 2 2 4 4 2 9" xfId="16973"/>
    <cellStyle name="Normal 2 2 4 4 2 9 2" xfId="16974"/>
    <cellStyle name="Normal 2 2 4 4 3" xfId="16975"/>
    <cellStyle name="Normal 2 2 4 4 3 10" xfId="16976"/>
    <cellStyle name="Normal 2 2 4 4 3 10 2" xfId="16977"/>
    <cellStyle name="Normal 2 2 4 4 3 11" xfId="16978"/>
    <cellStyle name="Normal 2 2 4 4 3 2" xfId="16979"/>
    <cellStyle name="Normal 2 2 4 4 3 2 2" xfId="16980"/>
    <cellStyle name="Normal 2 2 4 4 3 3" xfId="16981"/>
    <cellStyle name="Normal 2 2 4 4 3 3 2" xfId="16982"/>
    <cellStyle name="Normal 2 2 4 4 3 4" xfId="16983"/>
    <cellStyle name="Normal 2 2 4 4 3 4 2" xfId="16984"/>
    <cellStyle name="Normal 2 2 4 4 3 5" xfId="16985"/>
    <cellStyle name="Normal 2 2 4 4 3 5 2" xfId="16986"/>
    <cellStyle name="Normal 2 2 4 4 3 6" xfId="16987"/>
    <cellStyle name="Normal 2 2 4 4 3 6 2" xfId="16988"/>
    <cellStyle name="Normal 2 2 4 4 3 7" xfId="16989"/>
    <cellStyle name="Normal 2 2 4 4 3 7 2" xfId="16990"/>
    <cellStyle name="Normal 2 2 4 4 3 8" xfId="16991"/>
    <cellStyle name="Normal 2 2 4 4 3 8 2" xfId="16992"/>
    <cellStyle name="Normal 2 2 4 4 3 9" xfId="16993"/>
    <cellStyle name="Normal 2 2 4 4 3 9 2" xfId="16994"/>
    <cellStyle name="Normal 2 2 4 4 4" xfId="16995"/>
    <cellStyle name="Normal 2 2 4 4 4 2" xfId="16996"/>
    <cellStyle name="Normal 2 2 4 4 5" xfId="16997"/>
    <cellStyle name="Normal 2 2 4 4 5 2" xfId="16998"/>
    <cellStyle name="Normal 2 2 4 4 6" xfId="16999"/>
    <cellStyle name="Normal 2 2 4 4 6 2" xfId="17000"/>
    <cellStyle name="Normal 2 2 4 4 7" xfId="17001"/>
    <cellStyle name="Normal 2 2 4 4 7 2" xfId="17002"/>
    <cellStyle name="Normal 2 2 4 4 8" xfId="17003"/>
    <cellStyle name="Normal 2 2 4 4 8 2" xfId="17004"/>
    <cellStyle name="Normal 2 2 4 4 9" xfId="17005"/>
    <cellStyle name="Normal 2 2 4 4 9 2" xfId="17006"/>
    <cellStyle name="Normal 2 2 4 5" xfId="17007"/>
    <cellStyle name="Normal 2 2 4 5 10" xfId="17008"/>
    <cellStyle name="Normal 2 2 4 5 10 2" xfId="17009"/>
    <cellStyle name="Normal 2 2 4 5 11" xfId="17010"/>
    <cellStyle name="Normal 2 2 4 5 11 2" xfId="17011"/>
    <cellStyle name="Normal 2 2 4 5 12" xfId="17012"/>
    <cellStyle name="Normal 2 2 4 5 12 2" xfId="17013"/>
    <cellStyle name="Normal 2 2 4 5 13" xfId="17014"/>
    <cellStyle name="Normal 2 2 4 5 2" xfId="17015"/>
    <cellStyle name="Normal 2 2 4 5 2 10" xfId="17016"/>
    <cellStyle name="Normal 2 2 4 5 2 10 2" xfId="17017"/>
    <cellStyle name="Normal 2 2 4 5 2 11" xfId="17018"/>
    <cellStyle name="Normal 2 2 4 5 2 11 2" xfId="17019"/>
    <cellStyle name="Normal 2 2 4 5 2 12" xfId="17020"/>
    <cellStyle name="Normal 2 2 4 5 2 2" xfId="17021"/>
    <cellStyle name="Normal 2 2 4 5 2 2 10" xfId="17022"/>
    <cellStyle name="Normal 2 2 4 5 2 2 10 2" xfId="17023"/>
    <cellStyle name="Normal 2 2 4 5 2 2 11" xfId="17024"/>
    <cellStyle name="Normal 2 2 4 5 2 2 2" xfId="17025"/>
    <cellStyle name="Normal 2 2 4 5 2 2 2 2" xfId="17026"/>
    <cellStyle name="Normal 2 2 4 5 2 2 3" xfId="17027"/>
    <cellStyle name="Normal 2 2 4 5 2 2 3 2" xfId="17028"/>
    <cellStyle name="Normal 2 2 4 5 2 2 4" xfId="17029"/>
    <cellStyle name="Normal 2 2 4 5 2 2 4 2" xfId="17030"/>
    <cellStyle name="Normal 2 2 4 5 2 2 5" xfId="17031"/>
    <cellStyle name="Normal 2 2 4 5 2 2 5 2" xfId="17032"/>
    <cellStyle name="Normal 2 2 4 5 2 2 6" xfId="17033"/>
    <cellStyle name="Normal 2 2 4 5 2 2 6 2" xfId="17034"/>
    <cellStyle name="Normal 2 2 4 5 2 2 7" xfId="17035"/>
    <cellStyle name="Normal 2 2 4 5 2 2 7 2" xfId="17036"/>
    <cellStyle name="Normal 2 2 4 5 2 2 8" xfId="17037"/>
    <cellStyle name="Normal 2 2 4 5 2 2 8 2" xfId="17038"/>
    <cellStyle name="Normal 2 2 4 5 2 2 9" xfId="17039"/>
    <cellStyle name="Normal 2 2 4 5 2 2 9 2" xfId="17040"/>
    <cellStyle name="Normal 2 2 4 5 2 3" xfId="17041"/>
    <cellStyle name="Normal 2 2 4 5 2 3 2" xfId="17042"/>
    <cellStyle name="Normal 2 2 4 5 2 4" xfId="17043"/>
    <cellStyle name="Normal 2 2 4 5 2 4 2" xfId="17044"/>
    <cellStyle name="Normal 2 2 4 5 2 5" xfId="17045"/>
    <cellStyle name="Normal 2 2 4 5 2 5 2" xfId="17046"/>
    <cellStyle name="Normal 2 2 4 5 2 6" xfId="17047"/>
    <cellStyle name="Normal 2 2 4 5 2 6 2" xfId="17048"/>
    <cellStyle name="Normal 2 2 4 5 2 7" xfId="17049"/>
    <cellStyle name="Normal 2 2 4 5 2 7 2" xfId="17050"/>
    <cellStyle name="Normal 2 2 4 5 2 8" xfId="17051"/>
    <cellStyle name="Normal 2 2 4 5 2 8 2" xfId="17052"/>
    <cellStyle name="Normal 2 2 4 5 2 9" xfId="17053"/>
    <cellStyle name="Normal 2 2 4 5 2 9 2" xfId="17054"/>
    <cellStyle name="Normal 2 2 4 5 3" xfId="17055"/>
    <cellStyle name="Normal 2 2 4 5 3 10" xfId="17056"/>
    <cellStyle name="Normal 2 2 4 5 3 10 2" xfId="17057"/>
    <cellStyle name="Normal 2 2 4 5 3 11" xfId="17058"/>
    <cellStyle name="Normal 2 2 4 5 3 2" xfId="17059"/>
    <cellStyle name="Normal 2 2 4 5 3 2 2" xfId="17060"/>
    <cellStyle name="Normal 2 2 4 5 3 3" xfId="17061"/>
    <cellStyle name="Normal 2 2 4 5 3 3 2" xfId="17062"/>
    <cellStyle name="Normal 2 2 4 5 3 4" xfId="17063"/>
    <cellStyle name="Normal 2 2 4 5 3 4 2" xfId="17064"/>
    <cellStyle name="Normal 2 2 4 5 3 5" xfId="17065"/>
    <cellStyle name="Normal 2 2 4 5 3 5 2" xfId="17066"/>
    <cellStyle name="Normal 2 2 4 5 3 6" xfId="17067"/>
    <cellStyle name="Normal 2 2 4 5 3 6 2" xfId="17068"/>
    <cellStyle name="Normal 2 2 4 5 3 7" xfId="17069"/>
    <cellStyle name="Normal 2 2 4 5 3 7 2" xfId="17070"/>
    <cellStyle name="Normal 2 2 4 5 3 8" xfId="17071"/>
    <cellStyle name="Normal 2 2 4 5 3 8 2" xfId="17072"/>
    <cellStyle name="Normal 2 2 4 5 3 9" xfId="17073"/>
    <cellStyle name="Normal 2 2 4 5 3 9 2" xfId="17074"/>
    <cellStyle name="Normal 2 2 4 5 4" xfId="17075"/>
    <cellStyle name="Normal 2 2 4 5 4 2" xfId="17076"/>
    <cellStyle name="Normal 2 2 4 5 5" xfId="17077"/>
    <cellStyle name="Normal 2 2 4 5 5 2" xfId="17078"/>
    <cellStyle name="Normal 2 2 4 5 6" xfId="17079"/>
    <cellStyle name="Normal 2 2 4 5 6 2" xfId="17080"/>
    <cellStyle name="Normal 2 2 4 5 7" xfId="17081"/>
    <cellStyle name="Normal 2 2 4 5 7 2" xfId="17082"/>
    <cellStyle name="Normal 2 2 4 5 8" xfId="17083"/>
    <cellStyle name="Normal 2 2 4 5 8 2" xfId="17084"/>
    <cellStyle name="Normal 2 2 4 5 9" xfId="17085"/>
    <cellStyle name="Normal 2 2 4 5 9 2" xfId="17086"/>
    <cellStyle name="Normal 2 2 4 6" xfId="17087"/>
    <cellStyle name="Normal 2 2 4 6 2" xfId="17088"/>
    <cellStyle name="Normal 2 2 4 6 2 10" xfId="17089"/>
    <cellStyle name="Normal 2 2 4 6 2 10 2" xfId="17090"/>
    <cellStyle name="Normal 2 2 4 6 2 11" xfId="17091"/>
    <cellStyle name="Normal 2 2 4 6 2 11 2" xfId="17092"/>
    <cellStyle name="Normal 2 2 4 6 2 12" xfId="17093"/>
    <cellStyle name="Normal 2 2 4 6 2 12 2" xfId="17094"/>
    <cellStyle name="Normal 2 2 4 6 2 13" xfId="17095"/>
    <cellStyle name="Normal 2 2 4 6 2 2" xfId="17096"/>
    <cellStyle name="Normal 2 2 4 6 2 2 10" xfId="17097"/>
    <cellStyle name="Normal 2 2 4 6 2 2 10 2" xfId="17098"/>
    <cellStyle name="Normal 2 2 4 6 2 2 11" xfId="17099"/>
    <cellStyle name="Normal 2 2 4 6 2 2 11 2" xfId="17100"/>
    <cellStyle name="Normal 2 2 4 6 2 2 12" xfId="17101"/>
    <cellStyle name="Normal 2 2 4 6 2 2 2" xfId="17102"/>
    <cellStyle name="Normal 2 2 4 6 2 2 2 10" xfId="17103"/>
    <cellStyle name="Normal 2 2 4 6 2 2 2 10 2" xfId="17104"/>
    <cellStyle name="Normal 2 2 4 6 2 2 2 11" xfId="17105"/>
    <cellStyle name="Normal 2 2 4 6 2 2 2 2" xfId="17106"/>
    <cellStyle name="Normal 2 2 4 6 2 2 2 2 2" xfId="17107"/>
    <cellStyle name="Normal 2 2 4 6 2 2 2 3" xfId="17108"/>
    <cellStyle name="Normal 2 2 4 6 2 2 2 3 2" xfId="17109"/>
    <cellStyle name="Normal 2 2 4 6 2 2 2 4" xfId="17110"/>
    <cellStyle name="Normal 2 2 4 6 2 2 2 4 2" xfId="17111"/>
    <cellStyle name="Normal 2 2 4 6 2 2 2 5" xfId="17112"/>
    <cellStyle name="Normal 2 2 4 6 2 2 2 5 2" xfId="17113"/>
    <cellStyle name="Normal 2 2 4 6 2 2 2 6" xfId="17114"/>
    <cellStyle name="Normal 2 2 4 6 2 2 2 6 2" xfId="17115"/>
    <cellStyle name="Normal 2 2 4 6 2 2 2 7" xfId="17116"/>
    <cellStyle name="Normal 2 2 4 6 2 2 2 7 2" xfId="17117"/>
    <cellStyle name="Normal 2 2 4 6 2 2 2 8" xfId="17118"/>
    <cellStyle name="Normal 2 2 4 6 2 2 2 8 2" xfId="17119"/>
    <cellStyle name="Normal 2 2 4 6 2 2 2 9" xfId="17120"/>
    <cellStyle name="Normal 2 2 4 6 2 2 2 9 2" xfId="17121"/>
    <cellStyle name="Normal 2 2 4 6 2 2 3" xfId="17122"/>
    <cellStyle name="Normal 2 2 4 6 2 2 3 2" xfId="17123"/>
    <cellStyle name="Normal 2 2 4 6 2 2 4" xfId="17124"/>
    <cellStyle name="Normal 2 2 4 6 2 2 4 2" xfId="17125"/>
    <cellStyle name="Normal 2 2 4 6 2 2 5" xfId="17126"/>
    <cellStyle name="Normal 2 2 4 6 2 2 5 2" xfId="17127"/>
    <cellStyle name="Normal 2 2 4 6 2 2 6" xfId="17128"/>
    <cellStyle name="Normal 2 2 4 6 2 2 6 2" xfId="17129"/>
    <cellStyle name="Normal 2 2 4 6 2 2 7" xfId="17130"/>
    <cellStyle name="Normal 2 2 4 6 2 2 7 2" xfId="17131"/>
    <cellStyle name="Normal 2 2 4 6 2 2 8" xfId="17132"/>
    <cellStyle name="Normal 2 2 4 6 2 2 8 2" xfId="17133"/>
    <cellStyle name="Normal 2 2 4 6 2 2 9" xfId="17134"/>
    <cellStyle name="Normal 2 2 4 6 2 2 9 2" xfId="17135"/>
    <cellStyle name="Normal 2 2 4 6 2 3" xfId="17136"/>
    <cellStyle name="Normal 2 2 4 6 2 3 10" xfId="17137"/>
    <cellStyle name="Normal 2 2 4 6 2 3 10 2" xfId="17138"/>
    <cellStyle name="Normal 2 2 4 6 2 3 11" xfId="17139"/>
    <cellStyle name="Normal 2 2 4 6 2 3 2" xfId="17140"/>
    <cellStyle name="Normal 2 2 4 6 2 3 2 2" xfId="17141"/>
    <cellStyle name="Normal 2 2 4 6 2 3 3" xfId="17142"/>
    <cellStyle name="Normal 2 2 4 6 2 3 3 2" xfId="17143"/>
    <cellStyle name="Normal 2 2 4 6 2 3 4" xfId="17144"/>
    <cellStyle name="Normal 2 2 4 6 2 3 4 2" xfId="17145"/>
    <cellStyle name="Normal 2 2 4 6 2 3 5" xfId="17146"/>
    <cellStyle name="Normal 2 2 4 6 2 3 5 2" xfId="17147"/>
    <cellStyle name="Normal 2 2 4 6 2 3 6" xfId="17148"/>
    <cellStyle name="Normal 2 2 4 6 2 3 6 2" xfId="17149"/>
    <cellStyle name="Normal 2 2 4 6 2 3 7" xfId="17150"/>
    <cellStyle name="Normal 2 2 4 6 2 3 7 2" xfId="17151"/>
    <cellStyle name="Normal 2 2 4 6 2 3 8" xfId="17152"/>
    <cellStyle name="Normal 2 2 4 6 2 3 8 2" xfId="17153"/>
    <cellStyle name="Normal 2 2 4 6 2 3 9" xfId="17154"/>
    <cellStyle name="Normal 2 2 4 6 2 3 9 2" xfId="17155"/>
    <cellStyle name="Normal 2 2 4 6 2 4" xfId="17156"/>
    <cellStyle name="Normal 2 2 4 6 2 4 2" xfId="17157"/>
    <cellStyle name="Normal 2 2 4 6 2 5" xfId="17158"/>
    <cellStyle name="Normal 2 2 4 6 2 5 2" xfId="17159"/>
    <cellStyle name="Normal 2 2 4 6 2 6" xfId="17160"/>
    <cellStyle name="Normal 2 2 4 6 2 6 2" xfId="17161"/>
    <cellStyle name="Normal 2 2 4 6 2 7" xfId="17162"/>
    <cellStyle name="Normal 2 2 4 6 2 7 2" xfId="17163"/>
    <cellStyle name="Normal 2 2 4 6 2 8" xfId="17164"/>
    <cellStyle name="Normal 2 2 4 6 2 8 2" xfId="17165"/>
    <cellStyle name="Normal 2 2 4 6 2 9" xfId="17166"/>
    <cellStyle name="Normal 2 2 4 6 2 9 2" xfId="17167"/>
    <cellStyle name="Normal 2 2 4 6 3" xfId="17168"/>
    <cellStyle name="Normal 2 2 4 6 3 10" xfId="17169"/>
    <cellStyle name="Normal 2 2 4 6 3 10 2" xfId="17170"/>
    <cellStyle name="Normal 2 2 4 6 3 11" xfId="17171"/>
    <cellStyle name="Normal 2 2 4 6 3 11 2" xfId="17172"/>
    <cellStyle name="Normal 2 2 4 6 3 12" xfId="17173"/>
    <cellStyle name="Normal 2 2 4 6 3 12 2" xfId="17174"/>
    <cellStyle name="Normal 2 2 4 6 3 13" xfId="17175"/>
    <cellStyle name="Normal 2 2 4 6 3 2" xfId="17176"/>
    <cellStyle name="Normal 2 2 4 6 3 2 10" xfId="17177"/>
    <cellStyle name="Normal 2 2 4 6 3 2 10 2" xfId="17178"/>
    <cellStyle name="Normal 2 2 4 6 3 2 11" xfId="17179"/>
    <cellStyle name="Normal 2 2 4 6 3 2 11 2" xfId="17180"/>
    <cellStyle name="Normal 2 2 4 6 3 2 12" xfId="17181"/>
    <cellStyle name="Normal 2 2 4 6 3 2 2" xfId="17182"/>
    <cellStyle name="Normal 2 2 4 6 3 2 2 10" xfId="17183"/>
    <cellStyle name="Normal 2 2 4 6 3 2 2 10 2" xfId="17184"/>
    <cellStyle name="Normal 2 2 4 6 3 2 2 11" xfId="17185"/>
    <cellStyle name="Normal 2 2 4 6 3 2 2 2" xfId="17186"/>
    <cellStyle name="Normal 2 2 4 6 3 2 2 2 2" xfId="17187"/>
    <cellStyle name="Normal 2 2 4 6 3 2 2 3" xfId="17188"/>
    <cellStyle name="Normal 2 2 4 6 3 2 2 3 2" xfId="17189"/>
    <cellStyle name="Normal 2 2 4 6 3 2 2 4" xfId="17190"/>
    <cellStyle name="Normal 2 2 4 6 3 2 2 4 2" xfId="17191"/>
    <cellStyle name="Normal 2 2 4 6 3 2 2 5" xfId="17192"/>
    <cellStyle name="Normal 2 2 4 6 3 2 2 5 2" xfId="17193"/>
    <cellStyle name="Normal 2 2 4 6 3 2 2 6" xfId="17194"/>
    <cellStyle name="Normal 2 2 4 6 3 2 2 6 2" xfId="17195"/>
    <cellStyle name="Normal 2 2 4 6 3 2 2 7" xfId="17196"/>
    <cellStyle name="Normal 2 2 4 6 3 2 2 7 2" xfId="17197"/>
    <cellStyle name="Normal 2 2 4 6 3 2 2 8" xfId="17198"/>
    <cellStyle name="Normal 2 2 4 6 3 2 2 8 2" xfId="17199"/>
    <cellStyle name="Normal 2 2 4 6 3 2 2 9" xfId="17200"/>
    <cellStyle name="Normal 2 2 4 6 3 2 2 9 2" xfId="17201"/>
    <cellStyle name="Normal 2 2 4 6 3 2 3" xfId="17202"/>
    <cellStyle name="Normal 2 2 4 6 3 2 3 2" xfId="17203"/>
    <cellStyle name="Normal 2 2 4 6 3 2 4" xfId="17204"/>
    <cellStyle name="Normal 2 2 4 6 3 2 4 2" xfId="17205"/>
    <cellStyle name="Normal 2 2 4 6 3 2 5" xfId="17206"/>
    <cellStyle name="Normal 2 2 4 6 3 2 5 2" xfId="17207"/>
    <cellStyle name="Normal 2 2 4 6 3 2 6" xfId="17208"/>
    <cellStyle name="Normal 2 2 4 6 3 2 6 2" xfId="17209"/>
    <cellStyle name="Normal 2 2 4 6 3 2 7" xfId="17210"/>
    <cellStyle name="Normal 2 2 4 6 3 2 7 2" xfId="17211"/>
    <cellStyle name="Normal 2 2 4 6 3 2 8" xfId="17212"/>
    <cellStyle name="Normal 2 2 4 6 3 2 8 2" xfId="17213"/>
    <cellStyle name="Normal 2 2 4 6 3 2 9" xfId="17214"/>
    <cellStyle name="Normal 2 2 4 6 3 2 9 2" xfId="17215"/>
    <cellStyle name="Normal 2 2 4 6 3 3" xfId="17216"/>
    <cellStyle name="Normal 2 2 4 6 3 3 10" xfId="17217"/>
    <cellStyle name="Normal 2 2 4 6 3 3 10 2" xfId="17218"/>
    <cellStyle name="Normal 2 2 4 6 3 3 11" xfId="17219"/>
    <cellStyle name="Normal 2 2 4 6 3 3 2" xfId="17220"/>
    <cellStyle name="Normal 2 2 4 6 3 3 2 2" xfId="17221"/>
    <cellStyle name="Normal 2 2 4 6 3 3 3" xfId="17222"/>
    <cellStyle name="Normal 2 2 4 6 3 3 3 2" xfId="17223"/>
    <cellStyle name="Normal 2 2 4 6 3 3 4" xfId="17224"/>
    <cellStyle name="Normal 2 2 4 6 3 3 4 2" xfId="17225"/>
    <cellStyle name="Normal 2 2 4 6 3 3 5" xfId="17226"/>
    <cellStyle name="Normal 2 2 4 6 3 3 5 2" xfId="17227"/>
    <cellStyle name="Normal 2 2 4 6 3 3 6" xfId="17228"/>
    <cellStyle name="Normal 2 2 4 6 3 3 6 2" xfId="17229"/>
    <cellStyle name="Normal 2 2 4 6 3 3 7" xfId="17230"/>
    <cellStyle name="Normal 2 2 4 6 3 3 7 2" xfId="17231"/>
    <cellStyle name="Normal 2 2 4 6 3 3 8" xfId="17232"/>
    <cellStyle name="Normal 2 2 4 6 3 3 8 2" xfId="17233"/>
    <cellStyle name="Normal 2 2 4 6 3 3 9" xfId="17234"/>
    <cellStyle name="Normal 2 2 4 6 3 3 9 2" xfId="17235"/>
    <cellStyle name="Normal 2 2 4 6 3 4" xfId="17236"/>
    <cellStyle name="Normal 2 2 4 6 3 4 2" xfId="17237"/>
    <cellStyle name="Normal 2 2 4 6 3 5" xfId="17238"/>
    <cellStyle name="Normal 2 2 4 6 3 5 2" xfId="17239"/>
    <cellStyle name="Normal 2 2 4 6 3 6" xfId="17240"/>
    <cellStyle name="Normal 2 2 4 6 3 6 2" xfId="17241"/>
    <cellStyle name="Normal 2 2 4 6 3 7" xfId="17242"/>
    <cellStyle name="Normal 2 2 4 6 3 7 2" xfId="17243"/>
    <cellStyle name="Normal 2 2 4 6 3 8" xfId="17244"/>
    <cellStyle name="Normal 2 2 4 6 3 8 2" xfId="17245"/>
    <cellStyle name="Normal 2 2 4 6 3 9" xfId="17246"/>
    <cellStyle name="Normal 2 2 4 6 3 9 2" xfId="17247"/>
    <cellStyle name="Normal 2 2 4 6 4" xfId="17248"/>
    <cellStyle name="Normal 2 2 4 6 4 10" xfId="17249"/>
    <cellStyle name="Normal 2 2 4 6 4 10 2" xfId="17250"/>
    <cellStyle name="Normal 2 2 4 6 4 11" xfId="17251"/>
    <cellStyle name="Normal 2 2 4 6 4 11 2" xfId="17252"/>
    <cellStyle name="Normal 2 2 4 6 4 12" xfId="17253"/>
    <cellStyle name="Normal 2 2 4 6 4 12 2" xfId="17254"/>
    <cellStyle name="Normal 2 2 4 6 4 13" xfId="17255"/>
    <cellStyle name="Normal 2 2 4 6 4 2" xfId="17256"/>
    <cellStyle name="Normal 2 2 4 6 4 2 10" xfId="17257"/>
    <cellStyle name="Normal 2 2 4 6 4 2 10 2" xfId="17258"/>
    <cellStyle name="Normal 2 2 4 6 4 2 11" xfId="17259"/>
    <cellStyle name="Normal 2 2 4 6 4 2 11 2" xfId="17260"/>
    <cellStyle name="Normal 2 2 4 6 4 2 12" xfId="17261"/>
    <cellStyle name="Normal 2 2 4 6 4 2 2" xfId="17262"/>
    <cellStyle name="Normal 2 2 4 6 4 2 2 10" xfId="17263"/>
    <cellStyle name="Normal 2 2 4 6 4 2 2 10 2" xfId="17264"/>
    <cellStyle name="Normal 2 2 4 6 4 2 2 11" xfId="17265"/>
    <cellStyle name="Normal 2 2 4 6 4 2 2 2" xfId="17266"/>
    <cellStyle name="Normal 2 2 4 6 4 2 2 2 2" xfId="17267"/>
    <cellStyle name="Normal 2 2 4 6 4 2 2 3" xfId="17268"/>
    <cellStyle name="Normal 2 2 4 6 4 2 2 3 2" xfId="17269"/>
    <cellStyle name="Normal 2 2 4 6 4 2 2 4" xfId="17270"/>
    <cellStyle name="Normal 2 2 4 6 4 2 2 4 2" xfId="17271"/>
    <cellStyle name="Normal 2 2 4 6 4 2 2 5" xfId="17272"/>
    <cellStyle name="Normal 2 2 4 6 4 2 2 5 2" xfId="17273"/>
    <cellStyle name="Normal 2 2 4 6 4 2 2 6" xfId="17274"/>
    <cellStyle name="Normal 2 2 4 6 4 2 2 6 2" xfId="17275"/>
    <cellStyle name="Normal 2 2 4 6 4 2 2 7" xfId="17276"/>
    <cellStyle name="Normal 2 2 4 6 4 2 2 7 2" xfId="17277"/>
    <cellStyle name="Normal 2 2 4 6 4 2 2 8" xfId="17278"/>
    <cellStyle name="Normal 2 2 4 6 4 2 2 8 2" xfId="17279"/>
    <cellStyle name="Normal 2 2 4 6 4 2 2 9" xfId="17280"/>
    <cellStyle name="Normal 2 2 4 6 4 2 2 9 2" xfId="17281"/>
    <cellStyle name="Normal 2 2 4 6 4 2 3" xfId="17282"/>
    <cellStyle name="Normal 2 2 4 6 4 2 3 2" xfId="17283"/>
    <cellStyle name="Normal 2 2 4 6 4 2 4" xfId="17284"/>
    <cellStyle name="Normal 2 2 4 6 4 2 4 2" xfId="17285"/>
    <cellStyle name="Normal 2 2 4 6 4 2 5" xfId="17286"/>
    <cellStyle name="Normal 2 2 4 6 4 2 5 2" xfId="17287"/>
    <cellStyle name="Normal 2 2 4 6 4 2 6" xfId="17288"/>
    <cellStyle name="Normal 2 2 4 6 4 2 6 2" xfId="17289"/>
    <cellStyle name="Normal 2 2 4 6 4 2 7" xfId="17290"/>
    <cellStyle name="Normal 2 2 4 6 4 2 7 2" xfId="17291"/>
    <cellStyle name="Normal 2 2 4 6 4 2 8" xfId="17292"/>
    <cellStyle name="Normal 2 2 4 6 4 2 8 2" xfId="17293"/>
    <cellStyle name="Normal 2 2 4 6 4 2 9" xfId="17294"/>
    <cellStyle name="Normal 2 2 4 6 4 2 9 2" xfId="17295"/>
    <cellStyle name="Normal 2 2 4 6 4 3" xfId="17296"/>
    <cellStyle name="Normal 2 2 4 6 4 3 10" xfId="17297"/>
    <cellStyle name="Normal 2 2 4 6 4 3 10 2" xfId="17298"/>
    <cellStyle name="Normal 2 2 4 6 4 3 11" xfId="17299"/>
    <cellStyle name="Normal 2 2 4 6 4 3 2" xfId="17300"/>
    <cellStyle name="Normal 2 2 4 6 4 3 2 2" xfId="17301"/>
    <cellStyle name="Normal 2 2 4 6 4 3 3" xfId="17302"/>
    <cellStyle name="Normal 2 2 4 6 4 3 3 2" xfId="17303"/>
    <cellStyle name="Normal 2 2 4 6 4 3 4" xfId="17304"/>
    <cellStyle name="Normal 2 2 4 6 4 3 4 2" xfId="17305"/>
    <cellStyle name="Normal 2 2 4 6 4 3 5" xfId="17306"/>
    <cellStyle name="Normal 2 2 4 6 4 3 5 2" xfId="17307"/>
    <cellStyle name="Normal 2 2 4 6 4 3 6" xfId="17308"/>
    <cellStyle name="Normal 2 2 4 6 4 3 6 2" xfId="17309"/>
    <cellStyle name="Normal 2 2 4 6 4 3 7" xfId="17310"/>
    <cellStyle name="Normal 2 2 4 6 4 3 7 2" xfId="17311"/>
    <cellStyle name="Normal 2 2 4 6 4 3 8" xfId="17312"/>
    <cellStyle name="Normal 2 2 4 6 4 3 8 2" xfId="17313"/>
    <cellStyle name="Normal 2 2 4 6 4 3 9" xfId="17314"/>
    <cellStyle name="Normal 2 2 4 6 4 3 9 2" xfId="17315"/>
    <cellStyle name="Normal 2 2 4 6 4 4" xfId="17316"/>
    <cellStyle name="Normal 2 2 4 6 4 4 2" xfId="17317"/>
    <cellStyle name="Normal 2 2 4 6 4 5" xfId="17318"/>
    <cellStyle name="Normal 2 2 4 6 4 5 2" xfId="17319"/>
    <cellStyle name="Normal 2 2 4 6 4 6" xfId="17320"/>
    <cellStyle name="Normal 2 2 4 6 4 6 2" xfId="17321"/>
    <cellStyle name="Normal 2 2 4 6 4 7" xfId="17322"/>
    <cellStyle name="Normal 2 2 4 6 4 7 2" xfId="17323"/>
    <cellStyle name="Normal 2 2 4 6 4 8" xfId="17324"/>
    <cellStyle name="Normal 2 2 4 6 4 8 2" xfId="17325"/>
    <cellStyle name="Normal 2 2 4 6 4 9" xfId="17326"/>
    <cellStyle name="Normal 2 2 4 6 4 9 2" xfId="17327"/>
    <cellStyle name="Normal 2 2 4 6 5" xfId="17328"/>
    <cellStyle name="Normal 2 2 4 6 5 10" xfId="17329"/>
    <cellStyle name="Normal 2 2 4 6 5 10 2" xfId="17330"/>
    <cellStyle name="Normal 2 2 4 6 5 11" xfId="17331"/>
    <cellStyle name="Normal 2 2 4 6 5 11 2" xfId="17332"/>
    <cellStyle name="Normal 2 2 4 6 5 12" xfId="17333"/>
    <cellStyle name="Normal 2 2 4 6 5 12 2" xfId="17334"/>
    <cellStyle name="Normal 2 2 4 6 5 13" xfId="17335"/>
    <cellStyle name="Normal 2 2 4 6 5 2" xfId="17336"/>
    <cellStyle name="Normal 2 2 4 6 5 2 10" xfId="17337"/>
    <cellStyle name="Normal 2 2 4 6 5 2 10 2" xfId="17338"/>
    <cellStyle name="Normal 2 2 4 6 5 2 11" xfId="17339"/>
    <cellStyle name="Normal 2 2 4 6 5 2 11 2" xfId="17340"/>
    <cellStyle name="Normal 2 2 4 6 5 2 12" xfId="17341"/>
    <cellStyle name="Normal 2 2 4 6 5 2 2" xfId="17342"/>
    <cellStyle name="Normal 2 2 4 6 5 2 2 10" xfId="17343"/>
    <cellStyle name="Normal 2 2 4 6 5 2 2 10 2" xfId="17344"/>
    <cellStyle name="Normal 2 2 4 6 5 2 2 11" xfId="17345"/>
    <cellStyle name="Normal 2 2 4 6 5 2 2 2" xfId="17346"/>
    <cellStyle name="Normal 2 2 4 6 5 2 2 2 2" xfId="17347"/>
    <cellStyle name="Normal 2 2 4 6 5 2 2 3" xfId="17348"/>
    <cellStyle name="Normal 2 2 4 6 5 2 2 3 2" xfId="17349"/>
    <cellStyle name="Normal 2 2 4 6 5 2 2 4" xfId="17350"/>
    <cellStyle name="Normal 2 2 4 6 5 2 2 4 2" xfId="17351"/>
    <cellStyle name="Normal 2 2 4 6 5 2 2 5" xfId="17352"/>
    <cellStyle name="Normal 2 2 4 6 5 2 2 5 2" xfId="17353"/>
    <cellStyle name="Normal 2 2 4 6 5 2 2 6" xfId="17354"/>
    <cellStyle name="Normal 2 2 4 6 5 2 2 6 2" xfId="17355"/>
    <cellStyle name="Normal 2 2 4 6 5 2 2 7" xfId="17356"/>
    <cellStyle name="Normal 2 2 4 6 5 2 2 7 2" xfId="17357"/>
    <cellStyle name="Normal 2 2 4 6 5 2 2 8" xfId="17358"/>
    <cellStyle name="Normal 2 2 4 6 5 2 2 8 2" xfId="17359"/>
    <cellStyle name="Normal 2 2 4 6 5 2 2 9" xfId="17360"/>
    <cellStyle name="Normal 2 2 4 6 5 2 2 9 2" xfId="17361"/>
    <cellStyle name="Normal 2 2 4 6 5 2 3" xfId="17362"/>
    <cellStyle name="Normal 2 2 4 6 5 2 3 2" xfId="17363"/>
    <cellStyle name="Normal 2 2 4 6 5 2 4" xfId="17364"/>
    <cellStyle name="Normal 2 2 4 6 5 2 4 2" xfId="17365"/>
    <cellStyle name="Normal 2 2 4 6 5 2 5" xfId="17366"/>
    <cellStyle name="Normal 2 2 4 6 5 2 5 2" xfId="17367"/>
    <cellStyle name="Normal 2 2 4 6 5 2 6" xfId="17368"/>
    <cellStyle name="Normal 2 2 4 6 5 2 6 2" xfId="17369"/>
    <cellStyle name="Normal 2 2 4 6 5 2 7" xfId="17370"/>
    <cellStyle name="Normal 2 2 4 6 5 2 7 2" xfId="17371"/>
    <cellStyle name="Normal 2 2 4 6 5 2 8" xfId="17372"/>
    <cellStyle name="Normal 2 2 4 6 5 2 8 2" xfId="17373"/>
    <cellStyle name="Normal 2 2 4 6 5 2 9" xfId="17374"/>
    <cellStyle name="Normal 2 2 4 6 5 2 9 2" xfId="17375"/>
    <cellStyle name="Normal 2 2 4 6 5 3" xfId="17376"/>
    <cellStyle name="Normal 2 2 4 6 5 3 10" xfId="17377"/>
    <cellStyle name="Normal 2 2 4 6 5 3 10 2" xfId="17378"/>
    <cellStyle name="Normal 2 2 4 6 5 3 11" xfId="17379"/>
    <cellStyle name="Normal 2 2 4 6 5 3 2" xfId="17380"/>
    <cellStyle name="Normal 2 2 4 6 5 3 2 2" xfId="17381"/>
    <cellStyle name="Normal 2 2 4 6 5 3 3" xfId="17382"/>
    <cellStyle name="Normal 2 2 4 6 5 3 3 2" xfId="17383"/>
    <cellStyle name="Normal 2 2 4 6 5 3 4" xfId="17384"/>
    <cellStyle name="Normal 2 2 4 6 5 3 4 2" xfId="17385"/>
    <cellStyle name="Normal 2 2 4 6 5 3 5" xfId="17386"/>
    <cellStyle name="Normal 2 2 4 6 5 3 5 2" xfId="17387"/>
    <cellStyle name="Normal 2 2 4 6 5 3 6" xfId="17388"/>
    <cellStyle name="Normal 2 2 4 6 5 3 6 2" xfId="17389"/>
    <cellStyle name="Normal 2 2 4 6 5 3 7" xfId="17390"/>
    <cellStyle name="Normal 2 2 4 6 5 3 7 2" xfId="17391"/>
    <cellStyle name="Normal 2 2 4 6 5 3 8" xfId="17392"/>
    <cellStyle name="Normal 2 2 4 6 5 3 8 2" xfId="17393"/>
    <cellStyle name="Normal 2 2 4 6 5 3 9" xfId="17394"/>
    <cellStyle name="Normal 2 2 4 6 5 3 9 2" xfId="17395"/>
    <cellStyle name="Normal 2 2 4 6 5 4" xfId="17396"/>
    <cellStyle name="Normal 2 2 4 6 5 4 2" xfId="17397"/>
    <cellStyle name="Normal 2 2 4 6 5 5" xfId="17398"/>
    <cellStyle name="Normal 2 2 4 6 5 5 2" xfId="17399"/>
    <cellStyle name="Normal 2 2 4 6 5 6" xfId="17400"/>
    <cellStyle name="Normal 2 2 4 6 5 6 2" xfId="17401"/>
    <cellStyle name="Normal 2 2 4 6 5 7" xfId="17402"/>
    <cellStyle name="Normal 2 2 4 6 5 7 2" xfId="17403"/>
    <cellStyle name="Normal 2 2 4 6 5 8" xfId="17404"/>
    <cellStyle name="Normal 2 2 4 6 5 8 2" xfId="17405"/>
    <cellStyle name="Normal 2 2 4 6 5 9" xfId="17406"/>
    <cellStyle name="Normal 2 2 4 6 5 9 2" xfId="17407"/>
    <cellStyle name="Normal 2 2 4 7" xfId="17408"/>
    <cellStyle name="Normal 2 2 4 8" xfId="17409"/>
    <cellStyle name="Normal 2 2 4 9" xfId="17410"/>
    <cellStyle name="Normal 2 2 5" xfId="17411"/>
    <cellStyle name="Normal 2 2 6" xfId="17412"/>
    <cellStyle name="Normal 2 2 7" xfId="17413"/>
    <cellStyle name="Normal 2 2 8" xfId="17414"/>
    <cellStyle name="Normal 2 2 9" xfId="17415"/>
    <cellStyle name="Normal 2 20" xfId="17416"/>
    <cellStyle name="Normal 2 21" xfId="17417"/>
    <cellStyle name="Normal 2 22" xfId="17418"/>
    <cellStyle name="Normal 2 3" xfId="179"/>
    <cellStyle name="Normal 2 3 10" xfId="17419"/>
    <cellStyle name="Normal 2 3 11" xfId="17420"/>
    <cellStyle name="Normal 2 3 12" xfId="17421"/>
    <cellStyle name="Normal 2 3 13" xfId="17422"/>
    <cellStyle name="Normal 2 3 13 10" xfId="17423"/>
    <cellStyle name="Normal 2 3 13 10 2" xfId="17424"/>
    <cellStyle name="Normal 2 3 13 11" xfId="17425"/>
    <cellStyle name="Normal 2 3 13 11 2" xfId="17426"/>
    <cellStyle name="Normal 2 3 13 12" xfId="17427"/>
    <cellStyle name="Normal 2 3 13 12 2" xfId="17428"/>
    <cellStyle name="Normal 2 3 13 13" xfId="17429"/>
    <cellStyle name="Normal 2 3 13 13 2" xfId="17430"/>
    <cellStyle name="Normal 2 3 13 14" xfId="17431"/>
    <cellStyle name="Normal 2 3 13 14 2" xfId="17432"/>
    <cellStyle name="Normal 2 3 13 15" xfId="17433"/>
    <cellStyle name="Normal 2 3 13 15 2" xfId="17434"/>
    <cellStyle name="Normal 2 3 13 16" xfId="17435"/>
    <cellStyle name="Normal 2 3 13 16 2" xfId="17436"/>
    <cellStyle name="Normal 2 3 13 17" xfId="17437"/>
    <cellStyle name="Normal 2 3 13 2" xfId="17438"/>
    <cellStyle name="Normal 2 3 13 3" xfId="17439"/>
    <cellStyle name="Normal 2 3 13 4" xfId="17440"/>
    <cellStyle name="Normal 2 3 13 5" xfId="17441"/>
    <cellStyle name="Normal 2 3 13 6" xfId="17442"/>
    <cellStyle name="Normal 2 3 13 6 10" xfId="17443"/>
    <cellStyle name="Normal 2 3 13 6 10 2" xfId="17444"/>
    <cellStyle name="Normal 2 3 13 6 11" xfId="17445"/>
    <cellStyle name="Normal 2 3 13 6 11 2" xfId="17446"/>
    <cellStyle name="Normal 2 3 13 6 12" xfId="17447"/>
    <cellStyle name="Normal 2 3 13 6 2" xfId="17448"/>
    <cellStyle name="Normal 2 3 13 6 2 10" xfId="17449"/>
    <cellStyle name="Normal 2 3 13 6 2 10 2" xfId="17450"/>
    <cellStyle name="Normal 2 3 13 6 2 11" xfId="17451"/>
    <cellStyle name="Normal 2 3 13 6 2 2" xfId="17452"/>
    <cellStyle name="Normal 2 3 13 6 2 2 2" xfId="17453"/>
    <cellStyle name="Normal 2 3 13 6 2 3" xfId="17454"/>
    <cellStyle name="Normal 2 3 13 6 2 3 2" xfId="17455"/>
    <cellStyle name="Normal 2 3 13 6 2 4" xfId="17456"/>
    <cellStyle name="Normal 2 3 13 6 2 4 2" xfId="17457"/>
    <cellStyle name="Normal 2 3 13 6 2 5" xfId="17458"/>
    <cellStyle name="Normal 2 3 13 6 2 5 2" xfId="17459"/>
    <cellStyle name="Normal 2 3 13 6 2 6" xfId="17460"/>
    <cellStyle name="Normal 2 3 13 6 2 6 2" xfId="17461"/>
    <cellStyle name="Normal 2 3 13 6 2 7" xfId="17462"/>
    <cellStyle name="Normal 2 3 13 6 2 7 2" xfId="17463"/>
    <cellStyle name="Normal 2 3 13 6 2 8" xfId="17464"/>
    <cellStyle name="Normal 2 3 13 6 2 8 2" xfId="17465"/>
    <cellStyle name="Normal 2 3 13 6 2 9" xfId="17466"/>
    <cellStyle name="Normal 2 3 13 6 2 9 2" xfId="17467"/>
    <cellStyle name="Normal 2 3 13 6 3" xfId="17468"/>
    <cellStyle name="Normal 2 3 13 6 3 2" xfId="17469"/>
    <cellStyle name="Normal 2 3 13 6 4" xfId="17470"/>
    <cellStyle name="Normal 2 3 13 6 4 2" xfId="17471"/>
    <cellStyle name="Normal 2 3 13 6 5" xfId="17472"/>
    <cellStyle name="Normal 2 3 13 6 5 2" xfId="17473"/>
    <cellStyle name="Normal 2 3 13 6 6" xfId="17474"/>
    <cellStyle name="Normal 2 3 13 6 6 2" xfId="17475"/>
    <cellStyle name="Normal 2 3 13 6 7" xfId="17476"/>
    <cellStyle name="Normal 2 3 13 6 7 2" xfId="17477"/>
    <cellStyle name="Normal 2 3 13 6 8" xfId="17478"/>
    <cellStyle name="Normal 2 3 13 6 8 2" xfId="17479"/>
    <cellStyle name="Normal 2 3 13 6 9" xfId="17480"/>
    <cellStyle name="Normal 2 3 13 6 9 2" xfId="17481"/>
    <cellStyle name="Normal 2 3 13 7" xfId="17482"/>
    <cellStyle name="Normal 2 3 13 7 10" xfId="17483"/>
    <cellStyle name="Normal 2 3 13 7 10 2" xfId="17484"/>
    <cellStyle name="Normal 2 3 13 7 11" xfId="17485"/>
    <cellStyle name="Normal 2 3 13 7 2" xfId="17486"/>
    <cellStyle name="Normal 2 3 13 7 2 2" xfId="17487"/>
    <cellStyle name="Normal 2 3 13 7 3" xfId="17488"/>
    <cellStyle name="Normal 2 3 13 7 3 2" xfId="17489"/>
    <cellStyle name="Normal 2 3 13 7 4" xfId="17490"/>
    <cellStyle name="Normal 2 3 13 7 4 2" xfId="17491"/>
    <cellStyle name="Normal 2 3 13 7 5" xfId="17492"/>
    <cellStyle name="Normal 2 3 13 7 5 2" xfId="17493"/>
    <cellStyle name="Normal 2 3 13 7 6" xfId="17494"/>
    <cellStyle name="Normal 2 3 13 7 6 2" xfId="17495"/>
    <cellStyle name="Normal 2 3 13 7 7" xfId="17496"/>
    <cellStyle name="Normal 2 3 13 7 7 2" xfId="17497"/>
    <cellStyle name="Normal 2 3 13 7 8" xfId="17498"/>
    <cellStyle name="Normal 2 3 13 7 8 2" xfId="17499"/>
    <cellStyle name="Normal 2 3 13 7 9" xfId="17500"/>
    <cellStyle name="Normal 2 3 13 7 9 2" xfId="17501"/>
    <cellStyle name="Normal 2 3 13 8" xfId="17502"/>
    <cellStyle name="Normal 2 3 13 8 2" xfId="17503"/>
    <cellStyle name="Normal 2 3 13 9" xfId="17504"/>
    <cellStyle name="Normal 2 3 13 9 2" xfId="17505"/>
    <cellStyle name="Normal 2 3 14" xfId="17506"/>
    <cellStyle name="Normal 2 3 14 10" xfId="17507"/>
    <cellStyle name="Normal 2 3 14 10 2" xfId="17508"/>
    <cellStyle name="Normal 2 3 14 11" xfId="17509"/>
    <cellStyle name="Normal 2 3 14 11 2" xfId="17510"/>
    <cellStyle name="Normal 2 3 14 12" xfId="17511"/>
    <cellStyle name="Normal 2 3 14 12 2" xfId="17512"/>
    <cellStyle name="Normal 2 3 14 13" xfId="17513"/>
    <cellStyle name="Normal 2 3 14 2" xfId="17514"/>
    <cellStyle name="Normal 2 3 14 2 10" xfId="17515"/>
    <cellStyle name="Normal 2 3 14 2 10 2" xfId="17516"/>
    <cellStyle name="Normal 2 3 14 2 11" xfId="17517"/>
    <cellStyle name="Normal 2 3 14 2 11 2" xfId="17518"/>
    <cellStyle name="Normal 2 3 14 2 12" xfId="17519"/>
    <cellStyle name="Normal 2 3 14 2 2" xfId="17520"/>
    <cellStyle name="Normal 2 3 14 2 2 10" xfId="17521"/>
    <cellStyle name="Normal 2 3 14 2 2 10 2" xfId="17522"/>
    <cellStyle name="Normal 2 3 14 2 2 11" xfId="17523"/>
    <cellStyle name="Normal 2 3 14 2 2 2" xfId="17524"/>
    <cellStyle name="Normal 2 3 14 2 2 2 2" xfId="17525"/>
    <cellStyle name="Normal 2 3 14 2 2 3" xfId="17526"/>
    <cellStyle name="Normal 2 3 14 2 2 3 2" xfId="17527"/>
    <cellStyle name="Normal 2 3 14 2 2 4" xfId="17528"/>
    <cellStyle name="Normal 2 3 14 2 2 4 2" xfId="17529"/>
    <cellStyle name="Normal 2 3 14 2 2 5" xfId="17530"/>
    <cellStyle name="Normal 2 3 14 2 2 5 2" xfId="17531"/>
    <cellStyle name="Normal 2 3 14 2 2 6" xfId="17532"/>
    <cellStyle name="Normal 2 3 14 2 2 6 2" xfId="17533"/>
    <cellStyle name="Normal 2 3 14 2 2 7" xfId="17534"/>
    <cellStyle name="Normal 2 3 14 2 2 7 2" xfId="17535"/>
    <cellStyle name="Normal 2 3 14 2 2 8" xfId="17536"/>
    <cellStyle name="Normal 2 3 14 2 2 8 2" xfId="17537"/>
    <cellStyle name="Normal 2 3 14 2 2 9" xfId="17538"/>
    <cellStyle name="Normal 2 3 14 2 2 9 2" xfId="17539"/>
    <cellStyle name="Normal 2 3 14 2 3" xfId="17540"/>
    <cellStyle name="Normal 2 3 14 2 3 2" xfId="17541"/>
    <cellStyle name="Normal 2 3 14 2 4" xfId="17542"/>
    <cellStyle name="Normal 2 3 14 2 4 2" xfId="17543"/>
    <cellStyle name="Normal 2 3 14 2 5" xfId="17544"/>
    <cellStyle name="Normal 2 3 14 2 5 2" xfId="17545"/>
    <cellStyle name="Normal 2 3 14 2 6" xfId="17546"/>
    <cellStyle name="Normal 2 3 14 2 6 2" xfId="17547"/>
    <cellStyle name="Normal 2 3 14 2 7" xfId="17548"/>
    <cellStyle name="Normal 2 3 14 2 7 2" xfId="17549"/>
    <cellStyle name="Normal 2 3 14 2 8" xfId="17550"/>
    <cellStyle name="Normal 2 3 14 2 8 2" xfId="17551"/>
    <cellStyle name="Normal 2 3 14 2 9" xfId="17552"/>
    <cellStyle name="Normal 2 3 14 2 9 2" xfId="17553"/>
    <cellStyle name="Normal 2 3 14 3" xfId="17554"/>
    <cellStyle name="Normal 2 3 14 3 10" xfId="17555"/>
    <cellStyle name="Normal 2 3 14 3 10 2" xfId="17556"/>
    <cellStyle name="Normal 2 3 14 3 11" xfId="17557"/>
    <cellStyle name="Normal 2 3 14 3 2" xfId="17558"/>
    <cellStyle name="Normal 2 3 14 3 2 2" xfId="17559"/>
    <cellStyle name="Normal 2 3 14 3 3" xfId="17560"/>
    <cellStyle name="Normal 2 3 14 3 3 2" xfId="17561"/>
    <cellStyle name="Normal 2 3 14 3 4" xfId="17562"/>
    <cellStyle name="Normal 2 3 14 3 4 2" xfId="17563"/>
    <cellStyle name="Normal 2 3 14 3 5" xfId="17564"/>
    <cellStyle name="Normal 2 3 14 3 5 2" xfId="17565"/>
    <cellStyle name="Normal 2 3 14 3 6" xfId="17566"/>
    <cellStyle name="Normal 2 3 14 3 6 2" xfId="17567"/>
    <cellStyle name="Normal 2 3 14 3 7" xfId="17568"/>
    <cellStyle name="Normal 2 3 14 3 7 2" xfId="17569"/>
    <cellStyle name="Normal 2 3 14 3 8" xfId="17570"/>
    <cellStyle name="Normal 2 3 14 3 8 2" xfId="17571"/>
    <cellStyle name="Normal 2 3 14 3 9" xfId="17572"/>
    <cellStyle name="Normal 2 3 14 3 9 2" xfId="17573"/>
    <cellStyle name="Normal 2 3 14 4" xfId="17574"/>
    <cellStyle name="Normal 2 3 14 4 2" xfId="17575"/>
    <cellStyle name="Normal 2 3 14 5" xfId="17576"/>
    <cellStyle name="Normal 2 3 14 5 2" xfId="17577"/>
    <cellStyle name="Normal 2 3 14 6" xfId="17578"/>
    <cellStyle name="Normal 2 3 14 6 2" xfId="17579"/>
    <cellStyle name="Normal 2 3 14 7" xfId="17580"/>
    <cellStyle name="Normal 2 3 14 7 2" xfId="17581"/>
    <cellStyle name="Normal 2 3 14 8" xfId="17582"/>
    <cellStyle name="Normal 2 3 14 8 2" xfId="17583"/>
    <cellStyle name="Normal 2 3 14 9" xfId="17584"/>
    <cellStyle name="Normal 2 3 14 9 2" xfId="17585"/>
    <cellStyle name="Normal 2 3 15" xfId="17586"/>
    <cellStyle name="Normal 2 3 15 10" xfId="17587"/>
    <cellStyle name="Normal 2 3 15 10 2" xfId="17588"/>
    <cellStyle name="Normal 2 3 15 11" xfId="17589"/>
    <cellStyle name="Normal 2 3 15 11 2" xfId="17590"/>
    <cellStyle name="Normal 2 3 15 12" xfId="17591"/>
    <cellStyle name="Normal 2 3 15 12 2" xfId="17592"/>
    <cellStyle name="Normal 2 3 15 13" xfId="17593"/>
    <cellStyle name="Normal 2 3 15 2" xfId="17594"/>
    <cellStyle name="Normal 2 3 15 2 10" xfId="17595"/>
    <cellStyle name="Normal 2 3 15 2 10 2" xfId="17596"/>
    <cellStyle name="Normal 2 3 15 2 11" xfId="17597"/>
    <cellStyle name="Normal 2 3 15 2 11 2" xfId="17598"/>
    <cellStyle name="Normal 2 3 15 2 12" xfId="17599"/>
    <cellStyle name="Normal 2 3 15 2 2" xfId="17600"/>
    <cellStyle name="Normal 2 3 15 2 2 10" xfId="17601"/>
    <cellStyle name="Normal 2 3 15 2 2 10 2" xfId="17602"/>
    <cellStyle name="Normal 2 3 15 2 2 11" xfId="17603"/>
    <cellStyle name="Normal 2 3 15 2 2 2" xfId="17604"/>
    <cellStyle name="Normal 2 3 15 2 2 2 2" xfId="17605"/>
    <cellStyle name="Normal 2 3 15 2 2 3" xfId="17606"/>
    <cellStyle name="Normal 2 3 15 2 2 3 2" xfId="17607"/>
    <cellStyle name="Normal 2 3 15 2 2 4" xfId="17608"/>
    <cellStyle name="Normal 2 3 15 2 2 4 2" xfId="17609"/>
    <cellStyle name="Normal 2 3 15 2 2 5" xfId="17610"/>
    <cellStyle name="Normal 2 3 15 2 2 5 2" xfId="17611"/>
    <cellStyle name="Normal 2 3 15 2 2 6" xfId="17612"/>
    <cellStyle name="Normal 2 3 15 2 2 6 2" xfId="17613"/>
    <cellStyle name="Normal 2 3 15 2 2 7" xfId="17614"/>
    <cellStyle name="Normal 2 3 15 2 2 7 2" xfId="17615"/>
    <cellStyle name="Normal 2 3 15 2 2 8" xfId="17616"/>
    <cellStyle name="Normal 2 3 15 2 2 8 2" xfId="17617"/>
    <cellStyle name="Normal 2 3 15 2 2 9" xfId="17618"/>
    <cellStyle name="Normal 2 3 15 2 2 9 2" xfId="17619"/>
    <cellStyle name="Normal 2 3 15 2 3" xfId="17620"/>
    <cellStyle name="Normal 2 3 15 2 3 2" xfId="17621"/>
    <cellStyle name="Normal 2 3 15 2 4" xfId="17622"/>
    <cellStyle name="Normal 2 3 15 2 4 2" xfId="17623"/>
    <cellStyle name="Normal 2 3 15 2 5" xfId="17624"/>
    <cellStyle name="Normal 2 3 15 2 5 2" xfId="17625"/>
    <cellStyle name="Normal 2 3 15 2 6" xfId="17626"/>
    <cellStyle name="Normal 2 3 15 2 6 2" xfId="17627"/>
    <cellStyle name="Normal 2 3 15 2 7" xfId="17628"/>
    <cellStyle name="Normal 2 3 15 2 7 2" xfId="17629"/>
    <cellStyle name="Normal 2 3 15 2 8" xfId="17630"/>
    <cellStyle name="Normal 2 3 15 2 8 2" xfId="17631"/>
    <cellStyle name="Normal 2 3 15 2 9" xfId="17632"/>
    <cellStyle name="Normal 2 3 15 2 9 2" xfId="17633"/>
    <cellStyle name="Normal 2 3 15 3" xfId="17634"/>
    <cellStyle name="Normal 2 3 15 3 10" xfId="17635"/>
    <cellStyle name="Normal 2 3 15 3 10 2" xfId="17636"/>
    <cellStyle name="Normal 2 3 15 3 11" xfId="17637"/>
    <cellStyle name="Normal 2 3 15 3 2" xfId="17638"/>
    <cellStyle name="Normal 2 3 15 3 2 2" xfId="17639"/>
    <cellStyle name="Normal 2 3 15 3 3" xfId="17640"/>
    <cellStyle name="Normal 2 3 15 3 3 2" xfId="17641"/>
    <cellStyle name="Normal 2 3 15 3 4" xfId="17642"/>
    <cellStyle name="Normal 2 3 15 3 4 2" xfId="17643"/>
    <cellStyle name="Normal 2 3 15 3 5" xfId="17644"/>
    <cellStyle name="Normal 2 3 15 3 5 2" xfId="17645"/>
    <cellStyle name="Normal 2 3 15 3 6" xfId="17646"/>
    <cellStyle name="Normal 2 3 15 3 6 2" xfId="17647"/>
    <cellStyle name="Normal 2 3 15 3 7" xfId="17648"/>
    <cellStyle name="Normal 2 3 15 3 7 2" xfId="17649"/>
    <cellStyle name="Normal 2 3 15 3 8" xfId="17650"/>
    <cellStyle name="Normal 2 3 15 3 8 2" xfId="17651"/>
    <cellStyle name="Normal 2 3 15 3 9" xfId="17652"/>
    <cellStyle name="Normal 2 3 15 3 9 2" xfId="17653"/>
    <cellStyle name="Normal 2 3 15 4" xfId="17654"/>
    <cellStyle name="Normal 2 3 15 4 2" xfId="17655"/>
    <cellStyle name="Normal 2 3 15 5" xfId="17656"/>
    <cellStyle name="Normal 2 3 15 5 2" xfId="17657"/>
    <cellStyle name="Normal 2 3 15 6" xfId="17658"/>
    <cellStyle name="Normal 2 3 15 6 2" xfId="17659"/>
    <cellStyle name="Normal 2 3 15 7" xfId="17660"/>
    <cellStyle name="Normal 2 3 15 7 2" xfId="17661"/>
    <cellStyle name="Normal 2 3 15 8" xfId="17662"/>
    <cellStyle name="Normal 2 3 15 8 2" xfId="17663"/>
    <cellStyle name="Normal 2 3 15 9" xfId="17664"/>
    <cellStyle name="Normal 2 3 15 9 2" xfId="17665"/>
    <cellStyle name="Normal 2 3 16" xfId="17666"/>
    <cellStyle name="Normal 2 3 16 10" xfId="17667"/>
    <cellStyle name="Normal 2 3 16 10 2" xfId="17668"/>
    <cellStyle name="Normal 2 3 16 11" xfId="17669"/>
    <cellStyle name="Normal 2 3 16 11 2" xfId="17670"/>
    <cellStyle name="Normal 2 3 16 12" xfId="17671"/>
    <cellStyle name="Normal 2 3 16 12 2" xfId="17672"/>
    <cellStyle name="Normal 2 3 16 13" xfId="17673"/>
    <cellStyle name="Normal 2 3 16 2" xfId="17674"/>
    <cellStyle name="Normal 2 3 16 2 10" xfId="17675"/>
    <cellStyle name="Normal 2 3 16 2 10 2" xfId="17676"/>
    <cellStyle name="Normal 2 3 16 2 11" xfId="17677"/>
    <cellStyle name="Normal 2 3 16 2 11 2" xfId="17678"/>
    <cellStyle name="Normal 2 3 16 2 12" xfId="17679"/>
    <cellStyle name="Normal 2 3 16 2 2" xfId="17680"/>
    <cellStyle name="Normal 2 3 16 2 2 10" xfId="17681"/>
    <cellStyle name="Normal 2 3 16 2 2 10 2" xfId="17682"/>
    <cellStyle name="Normal 2 3 16 2 2 11" xfId="17683"/>
    <cellStyle name="Normal 2 3 16 2 2 2" xfId="17684"/>
    <cellStyle name="Normal 2 3 16 2 2 2 2" xfId="17685"/>
    <cellStyle name="Normal 2 3 16 2 2 3" xfId="17686"/>
    <cellStyle name="Normal 2 3 16 2 2 3 2" xfId="17687"/>
    <cellStyle name="Normal 2 3 16 2 2 4" xfId="17688"/>
    <cellStyle name="Normal 2 3 16 2 2 4 2" xfId="17689"/>
    <cellStyle name="Normal 2 3 16 2 2 5" xfId="17690"/>
    <cellStyle name="Normal 2 3 16 2 2 5 2" xfId="17691"/>
    <cellStyle name="Normal 2 3 16 2 2 6" xfId="17692"/>
    <cellStyle name="Normal 2 3 16 2 2 6 2" xfId="17693"/>
    <cellStyle name="Normal 2 3 16 2 2 7" xfId="17694"/>
    <cellStyle name="Normal 2 3 16 2 2 7 2" xfId="17695"/>
    <cellStyle name="Normal 2 3 16 2 2 8" xfId="17696"/>
    <cellStyle name="Normal 2 3 16 2 2 8 2" xfId="17697"/>
    <cellStyle name="Normal 2 3 16 2 2 9" xfId="17698"/>
    <cellStyle name="Normal 2 3 16 2 2 9 2" xfId="17699"/>
    <cellStyle name="Normal 2 3 16 2 3" xfId="17700"/>
    <cellStyle name="Normal 2 3 16 2 3 2" xfId="17701"/>
    <cellStyle name="Normal 2 3 16 2 4" xfId="17702"/>
    <cellStyle name="Normal 2 3 16 2 4 2" xfId="17703"/>
    <cellStyle name="Normal 2 3 16 2 5" xfId="17704"/>
    <cellStyle name="Normal 2 3 16 2 5 2" xfId="17705"/>
    <cellStyle name="Normal 2 3 16 2 6" xfId="17706"/>
    <cellStyle name="Normal 2 3 16 2 6 2" xfId="17707"/>
    <cellStyle name="Normal 2 3 16 2 7" xfId="17708"/>
    <cellStyle name="Normal 2 3 16 2 7 2" xfId="17709"/>
    <cellStyle name="Normal 2 3 16 2 8" xfId="17710"/>
    <cellStyle name="Normal 2 3 16 2 8 2" xfId="17711"/>
    <cellStyle name="Normal 2 3 16 2 9" xfId="17712"/>
    <cellStyle name="Normal 2 3 16 2 9 2" xfId="17713"/>
    <cellStyle name="Normal 2 3 16 3" xfId="17714"/>
    <cellStyle name="Normal 2 3 16 3 10" xfId="17715"/>
    <cellStyle name="Normal 2 3 16 3 10 2" xfId="17716"/>
    <cellStyle name="Normal 2 3 16 3 11" xfId="17717"/>
    <cellStyle name="Normal 2 3 16 3 2" xfId="17718"/>
    <cellStyle name="Normal 2 3 16 3 2 2" xfId="17719"/>
    <cellStyle name="Normal 2 3 16 3 3" xfId="17720"/>
    <cellStyle name="Normal 2 3 16 3 3 2" xfId="17721"/>
    <cellStyle name="Normal 2 3 16 3 4" xfId="17722"/>
    <cellStyle name="Normal 2 3 16 3 4 2" xfId="17723"/>
    <cellStyle name="Normal 2 3 16 3 5" xfId="17724"/>
    <cellStyle name="Normal 2 3 16 3 5 2" xfId="17725"/>
    <cellStyle name="Normal 2 3 16 3 6" xfId="17726"/>
    <cellStyle name="Normal 2 3 16 3 6 2" xfId="17727"/>
    <cellStyle name="Normal 2 3 16 3 7" xfId="17728"/>
    <cellStyle name="Normal 2 3 16 3 7 2" xfId="17729"/>
    <cellStyle name="Normal 2 3 16 3 8" xfId="17730"/>
    <cellStyle name="Normal 2 3 16 3 8 2" xfId="17731"/>
    <cellStyle name="Normal 2 3 16 3 9" xfId="17732"/>
    <cellStyle name="Normal 2 3 16 3 9 2" xfId="17733"/>
    <cellStyle name="Normal 2 3 16 4" xfId="17734"/>
    <cellStyle name="Normal 2 3 16 4 2" xfId="17735"/>
    <cellStyle name="Normal 2 3 16 5" xfId="17736"/>
    <cellStyle name="Normal 2 3 16 5 2" xfId="17737"/>
    <cellStyle name="Normal 2 3 16 6" xfId="17738"/>
    <cellStyle name="Normal 2 3 16 6 2" xfId="17739"/>
    <cellStyle name="Normal 2 3 16 7" xfId="17740"/>
    <cellStyle name="Normal 2 3 16 7 2" xfId="17741"/>
    <cellStyle name="Normal 2 3 16 8" xfId="17742"/>
    <cellStyle name="Normal 2 3 16 8 2" xfId="17743"/>
    <cellStyle name="Normal 2 3 16 9" xfId="17744"/>
    <cellStyle name="Normal 2 3 16 9 2" xfId="17745"/>
    <cellStyle name="Normal 2 3 17" xfId="17746"/>
    <cellStyle name="Normal 2 3 18" xfId="17747"/>
    <cellStyle name="Normal 2 3 19" xfId="17748"/>
    <cellStyle name="Normal 2 3 2" xfId="180"/>
    <cellStyle name="Normal 2 3 2 10" xfId="17749"/>
    <cellStyle name="Normal 2 3 2 10 10" xfId="17750"/>
    <cellStyle name="Normal 2 3 2 10 10 2" xfId="17751"/>
    <cellStyle name="Normal 2 3 2 10 11" xfId="17752"/>
    <cellStyle name="Normal 2 3 2 10 11 2" xfId="17753"/>
    <cellStyle name="Normal 2 3 2 10 12" xfId="17754"/>
    <cellStyle name="Normal 2 3 2 10 12 2" xfId="17755"/>
    <cellStyle name="Normal 2 3 2 10 13" xfId="17756"/>
    <cellStyle name="Normal 2 3 2 10 2" xfId="17757"/>
    <cellStyle name="Normal 2 3 2 10 2 10" xfId="17758"/>
    <cellStyle name="Normal 2 3 2 10 2 10 2" xfId="17759"/>
    <cellStyle name="Normal 2 3 2 10 2 11" xfId="17760"/>
    <cellStyle name="Normal 2 3 2 10 2 11 2" xfId="17761"/>
    <cellStyle name="Normal 2 3 2 10 2 12" xfId="17762"/>
    <cellStyle name="Normal 2 3 2 10 2 2" xfId="17763"/>
    <cellStyle name="Normal 2 3 2 10 2 2 10" xfId="17764"/>
    <cellStyle name="Normal 2 3 2 10 2 2 10 2" xfId="17765"/>
    <cellStyle name="Normal 2 3 2 10 2 2 11" xfId="17766"/>
    <cellStyle name="Normal 2 3 2 10 2 2 2" xfId="17767"/>
    <cellStyle name="Normal 2 3 2 10 2 2 2 2" xfId="17768"/>
    <cellStyle name="Normal 2 3 2 10 2 2 3" xfId="17769"/>
    <cellStyle name="Normal 2 3 2 10 2 2 3 2" xfId="17770"/>
    <cellStyle name="Normal 2 3 2 10 2 2 4" xfId="17771"/>
    <cellStyle name="Normal 2 3 2 10 2 2 4 2" xfId="17772"/>
    <cellStyle name="Normal 2 3 2 10 2 2 5" xfId="17773"/>
    <cellStyle name="Normal 2 3 2 10 2 2 5 2" xfId="17774"/>
    <cellStyle name="Normal 2 3 2 10 2 2 6" xfId="17775"/>
    <cellStyle name="Normal 2 3 2 10 2 2 6 2" xfId="17776"/>
    <cellStyle name="Normal 2 3 2 10 2 2 7" xfId="17777"/>
    <cellStyle name="Normal 2 3 2 10 2 2 7 2" xfId="17778"/>
    <cellStyle name="Normal 2 3 2 10 2 2 8" xfId="17779"/>
    <cellStyle name="Normal 2 3 2 10 2 2 8 2" xfId="17780"/>
    <cellStyle name="Normal 2 3 2 10 2 2 9" xfId="17781"/>
    <cellStyle name="Normal 2 3 2 10 2 2 9 2" xfId="17782"/>
    <cellStyle name="Normal 2 3 2 10 2 3" xfId="17783"/>
    <cellStyle name="Normal 2 3 2 10 2 3 2" xfId="17784"/>
    <cellStyle name="Normal 2 3 2 10 2 4" xfId="17785"/>
    <cellStyle name="Normal 2 3 2 10 2 4 2" xfId="17786"/>
    <cellStyle name="Normal 2 3 2 10 2 5" xfId="17787"/>
    <cellStyle name="Normal 2 3 2 10 2 5 2" xfId="17788"/>
    <cellStyle name="Normal 2 3 2 10 2 6" xfId="17789"/>
    <cellStyle name="Normal 2 3 2 10 2 6 2" xfId="17790"/>
    <cellStyle name="Normal 2 3 2 10 2 7" xfId="17791"/>
    <cellStyle name="Normal 2 3 2 10 2 7 2" xfId="17792"/>
    <cellStyle name="Normal 2 3 2 10 2 8" xfId="17793"/>
    <cellStyle name="Normal 2 3 2 10 2 8 2" xfId="17794"/>
    <cellStyle name="Normal 2 3 2 10 2 9" xfId="17795"/>
    <cellStyle name="Normal 2 3 2 10 2 9 2" xfId="17796"/>
    <cellStyle name="Normal 2 3 2 10 3" xfId="17797"/>
    <cellStyle name="Normal 2 3 2 10 3 10" xfId="17798"/>
    <cellStyle name="Normal 2 3 2 10 3 10 2" xfId="17799"/>
    <cellStyle name="Normal 2 3 2 10 3 11" xfId="17800"/>
    <cellStyle name="Normal 2 3 2 10 3 2" xfId="17801"/>
    <cellStyle name="Normal 2 3 2 10 3 2 2" xfId="17802"/>
    <cellStyle name="Normal 2 3 2 10 3 3" xfId="17803"/>
    <cellStyle name="Normal 2 3 2 10 3 3 2" xfId="17804"/>
    <cellStyle name="Normal 2 3 2 10 3 4" xfId="17805"/>
    <cellStyle name="Normal 2 3 2 10 3 4 2" xfId="17806"/>
    <cellStyle name="Normal 2 3 2 10 3 5" xfId="17807"/>
    <cellStyle name="Normal 2 3 2 10 3 5 2" xfId="17808"/>
    <cellStyle name="Normal 2 3 2 10 3 6" xfId="17809"/>
    <cellStyle name="Normal 2 3 2 10 3 6 2" xfId="17810"/>
    <cellStyle name="Normal 2 3 2 10 3 7" xfId="17811"/>
    <cellStyle name="Normal 2 3 2 10 3 7 2" xfId="17812"/>
    <cellStyle name="Normal 2 3 2 10 3 8" xfId="17813"/>
    <cellStyle name="Normal 2 3 2 10 3 8 2" xfId="17814"/>
    <cellStyle name="Normal 2 3 2 10 3 9" xfId="17815"/>
    <cellStyle name="Normal 2 3 2 10 3 9 2" xfId="17816"/>
    <cellStyle name="Normal 2 3 2 10 4" xfId="17817"/>
    <cellStyle name="Normal 2 3 2 10 4 2" xfId="17818"/>
    <cellStyle name="Normal 2 3 2 10 5" xfId="17819"/>
    <cellStyle name="Normal 2 3 2 10 5 2" xfId="17820"/>
    <cellStyle name="Normal 2 3 2 10 6" xfId="17821"/>
    <cellStyle name="Normal 2 3 2 10 6 2" xfId="17822"/>
    <cellStyle name="Normal 2 3 2 10 7" xfId="17823"/>
    <cellStyle name="Normal 2 3 2 10 7 2" xfId="17824"/>
    <cellStyle name="Normal 2 3 2 10 8" xfId="17825"/>
    <cellStyle name="Normal 2 3 2 10 8 2" xfId="17826"/>
    <cellStyle name="Normal 2 3 2 10 9" xfId="17827"/>
    <cellStyle name="Normal 2 3 2 10 9 2" xfId="17828"/>
    <cellStyle name="Normal 2 3 2 11" xfId="17829"/>
    <cellStyle name="Normal 2 3 2 11 10" xfId="17830"/>
    <cellStyle name="Normal 2 3 2 11 10 2" xfId="17831"/>
    <cellStyle name="Normal 2 3 2 11 11" xfId="17832"/>
    <cellStyle name="Normal 2 3 2 11 11 2" xfId="17833"/>
    <cellStyle name="Normal 2 3 2 11 12" xfId="17834"/>
    <cellStyle name="Normal 2 3 2 11 12 2" xfId="17835"/>
    <cellStyle name="Normal 2 3 2 11 13" xfId="17836"/>
    <cellStyle name="Normal 2 3 2 11 2" xfId="17837"/>
    <cellStyle name="Normal 2 3 2 11 2 10" xfId="17838"/>
    <cellStyle name="Normal 2 3 2 11 2 10 2" xfId="17839"/>
    <cellStyle name="Normal 2 3 2 11 2 11" xfId="17840"/>
    <cellStyle name="Normal 2 3 2 11 2 11 2" xfId="17841"/>
    <cellStyle name="Normal 2 3 2 11 2 12" xfId="17842"/>
    <cellStyle name="Normal 2 3 2 11 2 2" xfId="17843"/>
    <cellStyle name="Normal 2 3 2 11 2 2 10" xfId="17844"/>
    <cellStyle name="Normal 2 3 2 11 2 2 10 2" xfId="17845"/>
    <cellStyle name="Normal 2 3 2 11 2 2 11" xfId="17846"/>
    <cellStyle name="Normal 2 3 2 11 2 2 2" xfId="17847"/>
    <cellStyle name="Normal 2 3 2 11 2 2 2 2" xfId="17848"/>
    <cellStyle name="Normal 2 3 2 11 2 2 3" xfId="17849"/>
    <cellStyle name="Normal 2 3 2 11 2 2 3 2" xfId="17850"/>
    <cellStyle name="Normal 2 3 2 11 2 2 4" xfId="17851"/>
    <cellStyle name="Normal 2 3 2 11 2 2 4 2" xfId="17852"/>
    <cellStyle name="Normal 2 3 2 11 2 2 5" xfId="17853"/>
    <cellStyle name="Normal 2 3 2 11 2 2 5 2" xfId="17854"/>
    <cellStyle name="Normal 2 3 2 11 2 2 6" xfId="17855"/>
    <cellStyle name="Normal 2 3 2 11 2 2 6 2" xfId="17856"/>
    <cellStyle name="Normal 2 3 2 11 2 2 7" xfId="17857"/>
    <cellStyle name="Normal 2 3 2 11 2 2 7 2" xfId="17858"/>
    <cellStyle name="Normal 2 3 2 11 2 2 8" xfId="17859"/>
    <cellStyle name="Normal 2 3 2 11 2 2 8 2" xfId="17860"/>
    <cellStyle name="Normal 2 3 2 11 2 2 9" xfId="17861"/>
    <cellStyle name="Normal 2 3 2 11 2 2 9 2" xfId="17862"/>
    <cellStyle name="Normal 2 3 2 11 2 3" xfId="17863"/>
    <cellStyle name="Normal 2 3 2 11 2 3 2" xfId="17864"/>
    <cellStyle name="Normal 2 3 2 11 2 4" xfId="17865"/>
    <cellStyle name="Normal 2 3 2 11 2 4 2" xfId="17866"/>
    <cellStyle name="Normal 2 3 2 11 2 5" xfId="17867"/>
    <cellStyle name="Normal 2 3 2 11 2 5 2" xfId="17868"/>
    <cellStyle name="Normal 2 3 2 11 2 6" xfId="17869"/>
    <cellStyle name="Normal 2 3 2 11 2 6 2" xfId="17870"/>
    <cellStyle name="Normal 2 3 2 11 2 7" xfId="17871"/>
    <cellStyle name="Normal 2 3 2 11 2 7 2" xfId="17872"/>
    <cellStyle name="Normal 2 3 2 11 2 8" xfId="17873"/>
    <cellStyle name="Normal 2 3 2 11 2 8 2" xfId="17874"/>
    <cellStyle name="Normal 2 3 2 11 2 9" xfId="17875"/>
    <cellStyle name="Normal 2 3 2 11 2 9 2" xfId="17876"/>
    <cellStyle name="Normal 2 3 2 11 3" xfId="17877"/>
    <cellStyle name="Normal 2 3 2 11 3 10" xfId="17878"/>
    <cellStyle name="Normal 2 3 2 11 3 10 2" xfId="17879"/>
    <cellStyle name="Normal 2 3 2 11 3 11" xfId="17880"/>
    <cellStyle name="Normal 2 3 2 11 3 2" xfId="17881"/>
    <cellStyle name="Normal 2 3 2 11 3 2 2" xfId="17882"/>
    <cellStyle name="Normal 2 3 2 11 3 3" xfId="17883"/>
    <cellStyle name="Normal 2 3 2 11 3 3 2" xfId="17884"/>
    <cellStyle name="Normal 2 3 2 11 3 4" xfId="17885"/>
    <cellStyle name="Normal 2 3 2 11 3 4 2" xfId="17886"/>
    <cellStyle name="Normal 2 3 2 11 3 5" xfId="17887"/>
    <cellStyle name="Normal 2 3 2 11 3 5 2" xfId="17888"/>
    <cellStyle name="Normal 2 3 2 11 3 6" xfId="17889"/>
    <cellStyle name="Normal 2 3 2 11 3 6 2" xfId="17890"/>
    <cellStyle name="Normal 2 3 2 11 3 7" xfId="17891"/>
    <cellStyle name="Normal 2 3 2 11 3 7 2" xfId="17892"/>
    <cellStyle name="Normal 2 3 2 11 3 8" xfId="17893"/>
    <cellStyle name="Normal 2 3 2 11 3 8 2" xfId="17894"/>
    <cellStyle name="Normal 2 3 2 11 3 9" xfId="17895"/>
    <cellStyle name="Normal 2 3 2 11 3 9 2" xfId="17896"/>
    <cellStyle name="Normal 2 3 2 11 4" xfId="17897"/>
    <cellStyle name="Normal 2 3 2 11 4 2" xfId="17898"/>
    <cellStyle name="Normal 2 3 2 11 5" xfId="17899"/>
    <cellStyle name="Normal 2 3 2 11 5 2" xfId="17900"/>
    <cellStyle name="Normal 2 3 2 11 6" xfId="17901"/>
    <cellStyle name="Normal 2 3 2 11 6 2" xfId="17902"/>
    <cellStyle name="Normal 2 3 2 11 7" xfId="17903"/>
    <cellStyle name="Normal 2 3 2 11 7 2" xfId="17904"/>
    <cellStyle name="Normal 2 3 2 11 8" xfId="17905"/>
    <cellStyle name="Normal 2 3 2 11 8 2" xfId="17906"/>
    <cellStyle name="Normal 2 3 2 11 9" xfId="17907"/>
    <cellStyle name="Normal 2 3 2 11 9 2" xfId="17908"/>
    <cellStyle name="Normal 2 3 2 12" xfId="17909"/>
    <cellStyle name="Normal 2 3 2 12 10" xfId="17910"/>
    <cellStyle name="Normal 2 3 2 12 10 2" xfId="17911"/>
    <cellStyle name="Normal 2 3 2 12 11" xfId="17912"/>
    <cellStyle name="Normal 2 3 2 12 11 2" xfId="17913"/>
    <cellStyle name="Normal 2 3 2 12 12" xfId="17914"/>
    <cellStyle name="Normal 2 3 2 12 12 2" xfId="17915"/>
    <cellStyle name="Normal 2 3 2 12 13" xfId="17916"/>
    <cellStyle name="Normal 2 3 2 12 2" xfId="17917"/>
    <cellStyle name="Normal 2 3 2 12 2 10" xfId="17918"/>
    <cellStyle name="Normal 2 3 2 12 2 10 2" xfId="17919"/>
    <cellStyle name="Normal 2 3 2 12 2 11" xfId="17920"/>
    <cellStyle name="Normal 2 3 2 12 2 11 2" xfId="17921"/>
    <cellStyle name="Normal 2 3 2 12 2 12" xfId="17922"/>
    <cellStyle name="Normal 2 3 2 12 2 2" xfId="17923"/>
    <cellStyle name="Normal 2 3 2 12 2 2 10" xfId="17924"/>
    <cellStyle name="Normal 2 3 2 12 2 2 10 2" xfId="17925"/>
    <cellStyle name="Normal 2 3 2 12 2 2 11" xfId="17926"/>
    <cellStyle name="Normal 2 3 2 12 2 2 2" xfId="17927"/>
    <cellStyle name="Normal 2 3 2 12 2 2 2 2" xfId="17928"/>
    <cellStyle name="Normal 2 3 2 12 2 2 3" xfId="17929"/>
    <cellStyle name="Normal 2 3 2 12 2 2 3 2" xfId="17930"/>
    <cellStyle name="Normal 2 3 2 12 2 2 4" xfId="17931"/>
    <cellStyle name="Normal 2 3 2 12 2 2 4 2" xfId="17932"/>
    <cellStyle name="Normal 2 3 2 12 2 2 5" xfId="17933"/>
    <cellStyle name="Normal 2 3 2 12 2 2 5 2" xfId="17934"/>
    <cellStyle name="Normal 2 3 2 12 2 2 6" xfId="17935"/>
    <cellStyle name="Normal 2 3 2 12 2 2 6 2" xfId="17936"/>
    <cellStyle name="Normal 2 3 2 12 2 2 7" xfId="17937"/>
    <cellStyle name="Normal 2 3 2 12 2 2 7 2" xfId="17938"/>
    <cellStyle name="Normal 2 3 2 12 2 2 8" xfId="17939"/>
    <cellStyle name="Normal 2 3 2 12 2 2 8 2" xfId="17940"/>
    <cellStyle name="Normal 2 3 2 12 2 2 9" xfId="17941"/>
    <cellStyle name="Normal 2 3 2 12 2 2 9 2" xfId="17942"/>
    <cellStyle name="Normal 2 3 2 12 2 3" xfId="17943"/>
    <cellStyle name="Normal 2 3 2 12 2 3 2" xfId="17944"/>
    <cellStyle name="Normal 2 3 2 12 2 4" xfId="17945"/>
    <cellStyle name="Normal 2 3 2 12 2 4 2" xfId="17946"/>
    <cellStyle name="Normal 2 3 2 12 2 5" xfId="17947"/>
    <cellStyle name="Normal 2 3 2 12 2 5 2" xfId="17948"/>
    <cellStyle name="Normal 2 3 2 12 2 6" xfId="17949"/>
    <cellStyle name="Normal 2 3 2 12 2 6 2" xfId="17950"/>
    <cellStyle name="Normal 2 3 2 12 2 7" xfId="17951"/>
    <cellStyle name="Normal 2 3 2 12 2 7 2" xfId="17952"/>
    <cellStyle name="Normal 2 3 2 12 2 8" xfId="17953"/>
    <cellStyle name="Normal 2 3 2 12 2 8 2" xfId="17954"/>
    <cellStyle name="Normal 2 3 2 12 2 9" xfId="17955"/>
    <cellStyle name="Normal 2 3 2 12 2 9 2" xfId="17956"/>
    <cellStyle name="Normal 2 3 2 12 3" xfId="17957"/>
    <cellStyle name="Normal 2 3 2 12 3 10" xfId="17958"/>
    <cellStyle name="Normal 2 3 2 12 3 10 2" xfId="17959"/>
    <cellStyle name="Normal 2 3 2 12 3 11" xfId="17960"/>
    <cellStyle name="Normal 2 3 2 12 3 2" xfId="17961"/>
    <cellStyle name="Normal 2 3 2 12 3 2 2" xfId="17962"/>
    <cellStyle name="Normal 2 3 2 12 3 3" xfId="17963"/>
    <cellStyle name="Normal 2 3 2 12 3 3 2" xfId="17964"/>
    <cellStyle name="Normal 2 3 2 12 3 4" xfId="17965"/>
    <cellStyle name="Normal 2 3 2 12 3 4 2" xfId="17966"/>
    <cellStyle name="Normal 2 3 2 12 3 5" xfId="17967"/>
    <cellStyle name="Normal 2 3 2 12 3 5 2" xfId="17968"/>
    <cellStyle name="Normal 2 3 2 12 3 6" xfId="17969"/>
    <cellStyle name="Normal 2 3 2 12 3 6 2" xfId="17970"/>
    <cellStyle name="Normal 2 3 2 12 3 7" xfId="17971"/>
    <cellStyle name="Normal 2 3 2 12 3 7 2" xfId="17972"/>
    <cellStyle name="Normal 2 3 2 12 3 8" xfId="17973"/>
    <cellStyle name="Normal 2 3 2 12 3 8 2" xfId="17974"/>
    <cellStyle name="Normal 2 3 2 12 3 9" xfId="17975"/>
    <cellStyle name="Normal 2 3 2 12 3 9 2" xfId="17976"/>
    <cellStyle name="Normal 2 3 2 12 4" xfId="17977"/>
    <cellStyle name="Normal 2 3 2 12 4 2" xfId="17978"/>
    <cellStyle name="Normal 2 3 2 12 5" xfId="17979"/>
    <cellStyle name="Normal 2 3 2 12 5 2" xfId="17980"/>
    <cellStyle name="Normal 2 3 2 12 6" xfId="17981"/>
    <cellStyle name="Normal 2 3 2 12 6 2" xfId="17982"/>
    <cellStyle name="Normal 2 3 2 12 7" xfId="17983"/>
    <cellStyle name="Normal 2 3 2 12 7 2" xfId="17984"/>
    <cellStyle name="Normal 2 3 2 12 8" xfId="17985"/>
    <cellStyle name="Normal 2 3 2 12 8 2" xfId="17986"/>
    <cellStyle name="Normal 2 3 2 12 9" xfId="17987"/>
    <cellStyle name="Normal 2 3 2 12 9 2" xfId="17988"/>
    <cellStyle name="Normal 2 3 2 13" xfId="17989"/>
    <cellStyle name="Normal 2 3 2 13 2" xfId="17990"/>
    <cellStyle name="Normal 2 3 2 13 2 10" xfId="17991"/>
    <cellStyle name="Normal 2 3 2 13 2 10 2" xfId="17992"/>
    <cellStyle name="Normal 2 3 2 13 2 11" xfId="17993"/>
    <cellStyle name="Normal 2 3 2 13 2 11 2" xfId="17994"/>
    <cellStyle name="Normal 2 3 2 13 2 12" xfId="17995"/>
    <cellStyle name="Normal 2 3 2 13 2 12 2" xfId="17996"/>
    <cellStyle name="Normal 2 3 2 13 2 13" xfId="17997"/>
    <cellStyle name="Normal 2 3 2 13 2 2" xfId="17998"/>
    <cellStyle name="Normal 2 3 2 13 2 2 10" xfId="17999"/>
    <cellStyle name="Normal 2 3 2 13 2 2 10 2" xfId="18000"/>
    <cellStyle name="Normal 2 3 2 13 2 2 11" xfId="18001"/>
    <cellStyle name="Normal 2 3 2 13 2 2 11 2" xfId="18002"/>
    <cellStyle name="Normal 2 3 2 13 2 2 12" xfId="18003"/>
    <cellStyle name="Normal 2 3 2 13 2 2 2" xfId="18004"/>
    <cellStyle name="Normal 2 3 2 13 2 2 2 10" xfId="18005"/>
    <cellStyle name="Normal 2 3 2 13 2 2 2 10 2" xfId="18006"/>
    <cellStyle name="Normal 2 3 2 13 2 2 2 11" xfId="18007"/>
    <cellStyle name="Normal 2 3 2 13 2 2 2 2" xfId="18008"/>
    <cellStyle name="Normal 2 3 2 13 2 2 2 2 2" xfId="18009"/>
    <cellStyle name="Normal 2 3 2 13 2 2 2 3" xfId="18010"/>
    <cellStyle name="Normal 2 3 2 13 2 2 2 3 2" xfId="18011"/>
    <cellStyle name="Normal 2 3 2 13 2 2 2 4" xfId="18012"/>
    <cellStyle name="Normal 2 3 2 13 2 2 2 4 2" xfId="18013"/>
    <cellStyle name="Normal 2 3 2 13 2 2 2 5" xfId="18014"/>
    <cellStyle name="Normal 2 3 2 13 2 2 2 5 2" xfId="18015"/>
    <cellStyle name="Normal 2 3 2 13 2 2 2 6" xfId="18016"/>
    <cellStyle name="Normal 2 3 2 13 2 2 2 6 2" xfId="18017"/>
    <cellStyle name="Normal 2 3 2 13 2 2 2 7" xfId="18018"/>
    <cellStyle name="Normal 2 3 2 13 2 2 2 7 2" xfId="18019"/>
    <cellStyle name="Normal 2 3 2 13 2 2 2 8" xfId="18020"/>
    <cellStyle name="Normal 2 3 2 13 2 2 2 8 2" xfId="18021"/>
    <cellStyle name="Normal 2 3 2 13 2 2 2 9" xfId="18022"/>
    <cellStyle name="Normal 2 3 2 13 2 2 2 9 2" xfId="18023"/>
    <cellStyle name="Normal 2 3 2 13 2 2 3" xfId="18024"/>
    <cellStyle name="Normal 2 3 2 13 2 2 3 2" xfId="18025"/>
    <cellStyle name="Normal 2 3 2 13 2 2 4" xfId="18026"/>
    <cellStyle name="Normal 2 3 2 13 2 2 4 2" xfId="18027"/>
    <cellStyle name="Normal 2 3 2 13 2 2 5" xfId="18028"/>
    <cellStyle name="Normal 2 3 2 13 2 2 5 2" xfId="18029"/>
    <cellStyle name="Normal 2 3 2 13 2 2 6" xfId="18030"/>
    <cellStyle name="Normal 2 3 2 13 2 2 6 2" xfId="18031"/>
    <cellStyle name="Normal 2 3 2 13 2 2 7" xfId="18032"/>
    <cellStyle name="Normal 2 3 2 13 2 2 7 2" xfId="18033"/>
    <cellStyle name="Normal 2 3 2 13 2 2 8" xfId="18034"/>
    <cellStyle name="Normal 2 3 2 13 2 2 8 2" xfId="18035"/>
    <cellStyle name="Normal 2 3 2 13 2 2 9" xfId="18036"/>
    <cellStyle name="Normal 2 3 2 13 2 2 9 2" xfId="18037"/>
    <cellStyle name="Normal 2 3 2 13 2 3" xfId="18038"/>
    <cellStyle name="Normal 2 3 2 13 2 3 10" xfId="18039"/>
    <cellStyle name="Normal 2 3 2 13 2 3 10 2" xfId="18040"/>
    <cellStyle name="Normal 2 3 2 13 2 3 11" xfId="18041"/>
    <cellStyle name="Normal 2 3 2 13 2 3 2" xfId="18042"/>
    <cellStyle name="Normal 2 3 2 13 2 3 2 2" xfId="18043"/>
    <cellStyle name="Normal 2 3 2 13 2 3 3" xfId="18044"/>
    <cellStyle name="Normal 2 3 2 13 2 3 3 2" xfId="18045"/>
    <cellStyle name="Normal 2 3 2 13 2 3 4" xfId="18046"/>
    <cellStyle name="Normal 2 3 2 13 2 3 4 2" xfId="18047"/>
    <cellStyle name="Normal 2 3 2 13 2 3 5" xfId="18048"/>
    <cellStyle name="Normal 2 3 2 13 2 3 5 2" xfId="18049"/>
    <cellStyle name="Normal 2 3 2 13 2 3 6" xfId="18050"/>
    <cellStyle name="Normal 2 3 2 13 2 3 6 2" xfId="18051"/>
    <cellStyle name="Normal 2 3 2 13 2 3 7" xfId="18052"/>
    <cellStyle name="Normal 2 3 2 13 2 3 7 2" xfId="18053"/>
    <cellStyle name="Normal 2 3 2 13 2 3 8" xfId="18054"/>
    <cellStyle name="Normal 2 3 2 13 2 3 8 2" xfId="18055"/>
    <cellStyle name="Normal 2 3 2 13 2 3 9" xfId="18056"/>
    <cellStyle name="Normal 2 3 2 13 2 3 9 2" xfId="18057"/>
    <cellStyle name="Normal 2 3 2 13 2 4" xfId="18058"/>
    <cellStyle name="Normal 2 3 2 13 2 4 2" xfId="18059"/>
    <cellStyle name="Normal 2 3 2 13 2 5" xfId="18060"/>
    <cellStyle name="Normal 2 3 2 13 2 5 2" xfId="18061"/>
    <cellStyle name="Normal 2 3 2 13 2 6" xfId="18062"/>
    <cellStyle name="Normal 2 3 2 13 2 6 2" xfId="18063"/>
    <cellStyle name="Normal 2 3 2 13 2 7" xfId="18064"/>
    <cellStyle name="Normal 2 3 2 13 2 7 2" xfId="18065"/>
    <cellStyle name="Normal 2 3 2 13 2 8" xfId="18066"/>
    <cellStyle name="Normal 2 3 2 13 2 8 2" xfId="18067"/>
    <cellStyle name="Normal 2 3 2 13 2 9" xfId="18068"/>
    <cellStyle name="Normal 2 3 2 13 2 9 2" xfId="18069"/>
    <cellStyle name="Normal 2 3 2 13 3" xfId="18070"/>
    <cellStyle name="Normal 2 3 2 13 3 10" xfId="18071"/>
    <cellStyle name="Normal 2 3 2 13 3 10 2" xfId="18072"/>
    <cellStyle name="Normal 2 3 2 13 3 11" xfId="18073"/>
    <cellStyle name="Normal 2 3 2 13 3 11 2" xfId="18074"/>
    <cellStyle name="Normal 2 3 2 13 3 12" xfId="18075"/>
    <cellStyle name="Normal 2 3 2 13 3 12 2" xfId="18076"/>
    <cellStyle name="Normal 2 3 2 13 3 13" xfId="18077"/>
    <cellStyle name="Normal 2 3 2 13 3 2" xfId="18078"/>
    <cellStyle name="Normal 2 3 2 13 3 2 10" xfId="18079"/>
    <cellStyle name="Normal 2 3 2 13 3 2 10 2" xfId="18080"/>
    <cellStyle name="Normal 2 3 2 13 3 2 11" xfId="18081"/>
    <cellStyle name="Normal 2 3 2 13 3 2 11 2" xfId="18082"/>
    <cellStyle name="Normal 2 3 2 13 3 2 12" xfId="18083"/>
    <cellStyle name="Normal 2 3 2 13 3 2 2" xfId="18084"/>
    <cellStyle name="Normal 2 3 2 13 3 2 2 10" xfId="18085"/>
    <cellStyle name="Normal 2 3 2 13 3 2 2 10 2" xfId="18086"/>
    <cellStyle name="Normal 2 3 2 13 3 2 2 11" xfId="18087"/>
    <cellStyle name="Normal 2 3 2 13 3 2 2 2" xfId="18088"/>
    <cellStyle name="Normal 2 3 2 13 3 2 2 2 2" xfId="18089"/>
    <cellStyle name="Normal 2 3 2 13 3 2 2 3" xfId="18090"/>
    <cellStyle name="Normal 2 3 2 13 3 2 2 3 2" xfId="18091"/>
    <cellStyle name="Normal 2 3 2 13 3 2 2 4" xfId="18092"/>
    <cellStyle name="Normal 2 3 2 13 3 2 2 4 2" xfId="18093"/>
    <cellStyle name="Normal 2 3 2 13 3 2 2 5" xfId="18094"/>
    <cellStyle name="Normal 2 3 2 13 3 2 2 5 2" xfId="18095"/>
    <cellStyle name="Normal 2 3 2 13 3 2 2 6" xfId="18096"/>
    <cellStyle name="Normal 2 3 2 13 3 2 2 6 2" xfId="18097"/>
    <cellStyle name="Normal 2 3 2 13 3 2 2 7" xfId="18098"/>
    <cellStyle name="Normal 2 3 2 13 3 2 2 7 2" xfId="18099"/>
    <cellStyle name="Normal 2 3 2 13 3 2 2 8" xfId="18100"/>
    <cellStyle name="Normal 2 3 2 13 3 2 2 8 2" xfId="18101"/>
    <cellStyle name="Normal 2 3 2 13 3 2 2 9" xfId="18102"/>
    <cellStyle name="Normal 2 3 2 13 3 2 2 9 2" xfId="18103"/>
    <cellStyle name="Normal 2 3 2 13 3 2 3" xfId="18104"/>
    <cellStyle name="Normal 2 3 2 13 3 2 3 2" xfId="18105"/>
    <cellStyle name="Normal 2 3 2 13 3 2 4" xfId="18106"/>
    <cellStyle name="Normal 2 3 2 13 3 2 4 2" xfId="18107"/>
    <cellStyle name="Normal 2 3 2 13 3 2 5" xfId="18108"/>
    <cellStyle name="Normal 2 3 2 13 3 2 5 2" xfId="18109"/>
    <cellStyle name="Normal 2 3 2 13 3 2 6" xfId="18110"/>
    <cellStyle name="Normal 2 3 2 13 3 2 6 2" xfId="18111"/>
    <cellStyle name="Normal 2 3 2 13 3 2 7" xfId="18112"/>
    <cellStyle name="Normal 2 3 2 13 3 2 7 2" xfId="18113"/>
    <cellStyle name="Normal 2 3 2 13 3 2 8" xfId="18114"/>
    <cellStyle name="Normal 2 3 2 13 3 2 8 2" xfId="18115"/>
    <cellStyle name="Normal 2 3 2 13 3 2 9" xfId="18116"/>
    <cellStyle name="Normal 2 3 2 13 3 2 9 2" xfId="18117"/>
    <cellStyle name="Normal 2 3 2 13 3 3" xfId="18118"/>
    <cellStyle name="Normal 2 3 2 13 3 3 10" xfId="18119"/>
    <cellStyle name="Normal 2 3 2 13 3 3 10 2" xfId="18120"/>
    <cellStyle name="Normal 2 3 2 13 3 3 11" xfId="18121"/>
    <cellStyle name="Normal 2 3 2 13 3 3 2" xfId="18122"/>
    <cellStyle name="Normal 2 3 2 13 3 3 2 2" xfId="18123"/>
    <cellStyle name="Normal 2 3 2 13 3 3 3" xfId="18124"/>
    <cellStyle name="Normal 2 3 2 13 3 3 3 2" xfId="18125"/>
    <cellStyle name="Normal 2 3 2 13 3 3 4" xfId="18126"/>
    <cellStyle name="Normal 2 3 2 13 3 3 4 2" xfId="18127"/>
    <cellStyle name="Normal 2 3 2 13 3 3 5" xfId="18128"/>
    <cellStyle name="Normal 2 3 2 13 3 3 5 2" xfId="18129"/>
    <cellStyle name="Normal 2 3 2 13 3 3 6" xfId="18130"/>
    <cellStyle name="Normal 2 3 2 13 3 3 6 2" xfId="18131"/>
    <cellStyle name="Normal 2 3 2 13 3 3 7" xfId="18132"/>
    <cellStyle name="Normal 2 3 2 13 3 3 7 2" xfId="18133"/>
    <cellStyle name="Normal 2 3 2 13 3 3 8" xfId="18134"/>
    <cellStyle name="Normal 2 3 2 13 3 3 8 2" xfId="18135"/>
    <cellStyle name="Normal 2 3 2 13 3 3 9" xfId="18136"/>
    <cellStyle name="Normal 2 3 2 13 3 3 9 2" xfId="18137"/>
    <cellStyle name="Normal 2 3 2 13 3 4" xfId="18138"/>
    <cellStyle name="Normal 2 3 2 13 3 4 2" xfId="18139"/>
    <cellStyle name="Normal 2 3 2 13 3 5" xfId="18140"/>
    <cellStyle name="Normal 2 3 2 13 3 5 2" xfId="18141"/>
    <cellStyle name="Normal 2 3 2 13 3 6" xfId="18142"/>
    <cellStyle name="Normal 2 3 2 13 3 6 2" xfId="18143"/>
    <cellStyle name="Normal 2 3 2 13 3 7" xfId="18144"/>
    <cellStyle name="Normal 2 3 2 13 3 7 2" xfId="18145"/>
    <cellStyle name="Normal 2 3 2 13 3 8" xfId="18146"/>
    <cellStyle name="Normal 2 3 2 13 3 8 2" xfId="18147"/>
    <cellStyle name="Normal 2 3 2 13 3 9" xfId="18148"/>
    <cellStyle name="Normal 2 3 2 13 3 9 2" xfId="18149"/>
    <cellStyle name="Normal 2 3 2 13 4" xfId="18150"/>
    <cellStyle name="Normal 2 3 2 13 4 10" xfId="18151"/>
    <cellStyle name="Normal 2 3 2 13 4 10 2" xfId="18152"/>
    <cellStyle name="Normal 2 3 2 13 4 11" xfId="18153"/>
    <cellStyle name="Normal 2 3 2 13 4 11 2" xfId="18154"/>
    <cellStyle name="Normal 2 3 2 13 4 12" xfId="18155"/>
    <cellStyle name="Normal 2 3 2 13 4 12 2" xfId="18156"/>
    <cellStyle name="Normal 2 3 2 13 4 13" xfId="18157"/>
    <cellStyle name="Normal 2 3 2 13 4 2" xfId="18158"/>
    <cellStyle name="Normal 2 3 2 13 4 2 10" xfId="18159"/>
    <cellStyle name="Normal 2 3 2 13 4 2 10 2" xfId="18160"/>
    <cellStyle name="Normal 2 3 2 13 4 2 11" xfId="18161"/>
    <cellStyle name="Normal 2 3 2 13 4 2 11 2" xfId="18162"/>
    <cellStyle name="Normal 2 3 2 13 4 2 12" xfId="18163"/>
    <cellStyle name="Normal 2 3 2 13 4 2 2" xfId="18164"/>
    <cellStyle name="Normal 2 3 2 13 4 2 2 10" xfId="18165"/>
    <cellStyle name="Normal 2 3 2 13 4 2 2 10 2" xfId="18166"/>
    <cellStyle name="Normal 2 3 2 13 4 2 2 11" xfId="18167"/>
    <cellStyle name="Normal 2 3 2 13 4 2 2 2" xfId="18168"/>
    <cellStyle name="Normal 2 3 2 13 4 2 2 2 2" xfId="18169"/>
    <cellStyle name="Normal 2 3 2 13 4 2 2 3" xfId="18170"/>
    <cellStyle name="Normal 2 3 2 13 4 2 2 3 2" xfId="18171"/>
    <cellStyle name="Normal 2 3 2 13 4 2 2 4" xfId="18172"/>
    <cellStyle name="Normal 2 3 2 13 4 2 2 4 2" xfId="18173"/>
    <cellStyle name="Normal 2 3 2 13 4 2 2 5" xfId="18174"/>
    <cellStyle name="Normal 2 3 2 13 4 2 2 5 2" xfId="18175"/>
    <cellStyle name="Normal 2 3 2 13 4 2 2 6" xfId="18176"/>
    <cellStyle name="Normal 2 3 2 13 4 2 2 6 2" xfId="18177"/>
    <cellStyle name="Normal 2 3 2 13 4 2 2 7" xfId="18178"/>
    <cellStyle name="Normal 2 3 2 13 4 2 2 7 2" xfId="18179"/>
    <cellStyle name="Normal 2 3 2 13 4 2 2 8" xfId="18180"/>
    <cellStyle name="Normal 2 3 2 13 4 2 2 8 2" xfId="18181"/>
    <cellStyle name="Normal 2 3 2 13 4 2 2 9" xfId="18182"/>
    <cellStyle name="Normal 2 3 2 13 4 2 2 9 2" xfId="18183"/>
    <cellStyle name="Normal 2 3 2 13 4 2 3" xfId="18184"/>
    <cellStyle name="Normal 2 3 2 13 4 2 3 2" xfId="18185"/>
    <cellStyle name="Normal 2 3 2 13 4 2 4" xfId="18186"/>
    <cellStyle name="Normal 2 3 2 13 4 2 4 2" xfId="18187"/>
    <cellStyle name="Normal 2 3 2 13 4 2 5" xfId="18188"/>
    <cellStyle name="Normal 2 3 2 13 4 2 5 2" xfId="18189"/>
    <cellStyle name="Normal 2 3 2 13 4 2 6" xfId="18190"/>
    <cellStyle name="Normal 2 3 2 13 4 2 6 2" xfId="18191"/>
    <cellStyle name="Normal 2 3 2 13 4 2 7" xfId="18192"/>
    <cellStyle name="Normal 2 3 2 13 4 2 7 2" xfId="18193"/>
    <cellStyle name="Normal 2 3 2 13 4 2 8" xfId="18194"/>
    <cellStyle name="Normal 2 3 2 13 4 2 8 2" xfId="18195"/>
    <cellStyle name="Normal 2 3 2 13 4 2 9" xfId="18196"/>
    <cellStyle name="Normal 2 3 2 13 4 2 9 2" xfId="18197"/>
    <cellStyle name="Normal 2 3 2 13 4 3" xfId="18198"/>
    <cellStyle name="Normal 2 3 2 13 4 3 10" xfId="18199"/>
    <cellStyle name="Normal 2 3 2 13 4 3 10 2" xfId="18200"/>
    <cellStyle name="Normal 2 3 2 13 4 3 11" xfId="18201"/>
    <cellStyle name="Normal 2 3 2 13 4 3 2" xfId="18202"/>
    <cellStyle name="Normal 2 3 2 13 4 3 2 2" xfId="18203"/>
    <cellStyle name="Normal 2 3 2 13 4 3 3" xfId="18204"/>
    <cellStyle name="Normal 2 3 2 13 4 3 3 2" xfId="18205"/>
    <cellStyle name="Normal 2 3 2 13 4 3 4" xfId="18206"/>
    <cellStyle name="Normal 2 3 2 13 4 3 4 2" xfId="18207"/>
    <cellStyle name="Normal 2 3 2 13 4 3 5" xfId="18208"/>
    <cellStyle name="Normal 2 3 2 13 4 3 5 2" xfId="18209"/>
    <cellStyle name="Normal 2 3 2 13 4 3 6" xfId="18210"/>
    <cellStyle name="Normal 2 3 2 13 4 3 6 2" xfId="18211"/>
    <cellStyle name="Normal 2 3 2 13 4 3 7" xfId="18212"/>
    <cellStyle name="Normal 2 3 2 13 4 3 7 2" xfId="18213"/>
    <cellStyle name="Normal 2 3 2 13 4 3 8" xfId="18214"/>
    <cellStyle name="Normal 2 3 2 13 4 3 8 2" xfId="18215"/>
    <cellStyle name="Normal 2 3 2 13 4 3 9" xfId="18216"/>
    <cellStyle name="Normal 2 3 2 13 4 3 9 2" xfId="18217"/>
    <cellStyle name="Normal 2 3 2 13 4 4" xfId="18218"/>
    <cellStyle name="Normal 2 3 2 13 4 4 2" xfId="18219"/>
    <cellStyle name="Normal 2 3 2 13 4 5" xfId="18220"/>
    <cellStyle name="Normal 2 3 2 13 4 5 2" xfId="18221"/>
    <cellStyle name="Normal 2 3 2 13 4 6" xfId="18222"/>
    <cellStyle name="Normal 2 3 2 13 4 6 2" xfId="18223"/>
    <cellStyle name="Normal 2 3 2 13 4 7" xfId="18224"/>
    <cellStyle name="Normal 2 3 2 13 4 7 2" xfId="18225"/>
    <cellStyle name="Normal 2 3 2 13 4 8" xfId="18226"/>
    <cellStyle name="Normal 2 3 2 13 4 8 2" xfId="18227"/>
    <cellStyle name="Normal 2 3 2 13 4 9" xfId="18228"/>
    <cellStyle name="Normal 2 3 2 13 4 9 2" xfId="18229"/>
    <cellStyle name="Normal 2 3 2 13 5" xfId="18230"/>
    <cellStyle name="Normal 2 3 2 13 5 10" xfId="18231"/>
    <cellStyle name="Normal 2 3 2 13 5 10 2" xfId="18232"/>
    <cellStyle name="Normal 2 3 2 13 5 11" xfId="18233"/>
    <cellStyle name="Normal 2 3 2 13 5 11 2" xfId="18234"/>
    <cellStyle name="Normal 2 3 2 13 5 12" xfId="18235"/>
    <cellStyle name="Normal 2 3 2 13 5 12 2" xfId="18236"/>
    <cellStyle name="Normal 2 3 2 13 5 13" xfId="18237"/>
    <cellStyle name="Normal 2 3 2 13 5 2" xfId="18238"/>
    <cellStyle name="Normal 2 3 2 13 5 2 10" xfId="18239"/>
    <cellStyle name="Normal 2 3 2 13 5 2 10 2" xfId="18240"/>
    <cellStyle name="Normal 2 3 2 13 5 2 11" xfId="18241"/>
    <cellStyle name="Normal 2 3 2 13 5 2 11 2" xfId="18242"/>
    <cellStyle name="Normal 2 3 2 13 5 2 12" xfId="18243"/>
    <cellStyle name="Normal 2 3 2 13 5 2 2" xfId="18244"/>
    <cellStyle name="Normal 2 3 2 13 5 2 2 10" xfId="18245"/>
    <cellStyle name="Normal 2 3 2 13 5 2 2 10 2" xfId="18246"/>
    <cellStyle name="Normal 2 3 2 13 5 2 2 11" xfId="18247"/>
    <cellStyle name="Normal 2 3 2 13 5 2 2 2" xfId="18248"/>
    <cellStyle name="Normal 2 3 2 13 5 2 2 2 2" xfId="18249"/>
    <cellStyle name="Normal 2 3 2 13 5 2 2 3" xfId="18250"/>
    <cellStyle name="Normal 2 3 2 13 5 2 2 3 2" xfId="18251"/>
    <cellStyle name="Normal 2 3 2 13 5 2 2 4" xfId="18252"/>
    <cellStyle name="Normal 2 3 2 13 5 2 2 4 2" xfId="18253"/>
    <cellStyle name="Normal 2 3 2 13 5 2 2 5" xfId="18254"/>
    <cellStyle name="Normal 2 3 2 13 5 2 2 5 2" xfId="18255"/>
    <cellStyle name="Normal 2 3 2 13 5 2 2 6" xfId="18256"/>
    <cellStyle name="Normal 2 3 2 13 5 2 2 6 2" xfId="18257"/>
    <cellStyle name="Normal 2 3 2 13 5 2 2 7" xfId="18258"/>
    <cellStyle name="Normal 2 3 2 13 5 2 2 7 2" xfId="18259"/>
    <cellStyle name="Normal 2 3 2 13 5 2 2 8" xfId="18260"/>
    <cellStyle name="Normal 2 3 2 13 5 2 2 8 2" xfId="18261"/>
    <cellStyle name="Normal 2 3 2 13 5 2 2 9" xfId="18262"/>
    <cellStyle name="Normal 2 3 2 13 5 2 2 9 2" xfId="18263"/>
    <cellStyle name="Normal 2 3 2 13 5 2 3" xfId="18264"/>
    <cellStyle name="Normal 2 3 2 13 5 2 3 2" xfId="18265"/>
    <cellStyle name="Normal 2 3 2 13 5 2 4" xfId="18266"/>
    <cellStyle name="Normal 2 3 2 13 5 2 4 2" xfId="18267"/>
    <cellStyle name="Normal 2 3 2 13 5 2 5" xfId="18268"/>
    <cellStyle name="Normal 2 3 2 13 5 2 5 2" xfId="18269"/>
    <cellStyle name="Normal 2 3 2 13 5 2 6" xfId="18270"/>
    <cellStyle name="Normal 2 3 2 13 5 2 6 2" xfId="18271"/>
    <cellStyle name="Normal 2 3 2 13 5 2 7" xfId="18272"/>
    <cellStyle name="Normal 2 3 2 13 5 2 7 2" xfId="18273"/>
    <cellStyle name="Normal 2 3 2 13 5 2 8" xfId="18274"/>
    <cellStyle name="Normal 2 3 2 13 5 2 8 2" xfId="18275"/>
    <cellStyle name="Normal 2 3 2 13 5 2 9" xfId="18276"/>
    <cellStyle name="Normal 2 3 2 13 5 2 9 2" xfId="18277"/>
    <cellStyle name="Normal 2 3 2 13 5 3" xfId="18278"/>
    <cellStyle name="Normal 2 3 2 13 5 3 10" xfId="18279"/>
    <cellStyle name="Normal 2 3 2 13 5 3 10 2" xfId="18280"/>
    <cellStyle name="Normal 2 3 2 13 5 3 11" xfId="18281"/>
    <cellStyle name="Normal 2 3 2 13 5 3 2" xfId="18282"/>
    <cellStyle name="Normal 2 3 2 13 5 3 2 2" xfId="18283"/>
    <cellStyle name="Normal 2 3 2 13 5 3 3" xfId="18284"/>
    <cellStyle name="Normal 2 3 2 13 5 3 3 2" xfId="18285"/>
    <cellStyle name="Normal 2 3 2 13 5 3 4" xfId="18286"/>
    <cellStyle name="Normal 2 3 2 13 5 3 4 2" xfId="18287"/>
    <cellStyle name="Normal 2 3 2 13 5 3 5" xfId="18288"/>
    <cellStyle name="Normal 2 3 2 13 5 3 5 2" xfId="18289"/>
    <cellStyle name="Normal 2 3 2 13 5 3 6" xfId="18290"/>
    <cellStyle name="Normal 2 3 2 13 5 3 6 2" xfId="18291"/>
    <cellStyle name="Normal 2 3 2 13 5 3 7" xfId="18292"/>
    <cellStyle name="Normal 2 3 2 13 5 3 7 2" xfId="18293"/>
    <cellStyle name="Normal 2 3 2 13 5 3 8" xfId="18294"/>
    <cellStyle name="Normal 2 3 2 13 5 3 8 2" xfId="18295"/>
    <cellStyle name="Normal 2 3 2 13 5 3 9" xfId="18296"/>
    <cellStyle name="Normal 2 3 2 13 5 3 9 2" xfId="18297"/>
    <cellStyle name="Normal 2 3 2 13 5 4" xfId="18298"/>
    <cellStyle name="Normal 2 3 2 13 5 4 2" xfId="18299"/>
    <cellStyle name="Normal 2 3 2 13 5 5" xfId="18300"/>
    <cellStyle name="Normal 2 3 2 13 5 5 2" xfId="18301"/>
    <cellStyle name="Normal 2 3 2 13 5 6" xfId="18302"/>
    <cellStyle name="Normal 2 3 2 13 5 6 2" xfId="18303"/>
    <cellStyle name="Normal 2 3 2 13 5 7" xfId="18304"/>
    <cellStyle name="Normal 2 3 2 13 5 7 2" xfId="18305"/>
    <cellStyle name="Normal 2 3 2 13 5 8" xfId="18306"/>
    <cellStyle name="Normal 2 3 2 13 5 8 2" xfId="18307"/>
    <cellStyle name="Normal 2 3 2 13 5 9" xfId="18308"/>
    <cellStyle name="Normal 2 3 2 13 5 9 2" xfId="18309"/>
    <cellStyle name="Normal 2 3 2 14" xfId="18310"/>
    <cellStyle name="Normal 2 3 2 15" xfId="18311"/>
    <cellStyle name="Normal 2 3 2 16" xfId="18312"/>
    <cellStyle name="Normal 2 3 2 17" xfId="18313"/>
    <cellStyle name="Normal 2 3 2 17 10" xfId="18314"/>
    <cellStyle name="Normal 2 3 2 17 10 2" xfId="18315"/>
    <cellStyle name="Normal 2 3 2 17 11" xfId="18316"/>
    <cellStyle name="Normal 2 3 2 17 11 2" xfId="18317"/>
    <cellStyle name="Normal 2 3 2 17 12" xfId="18318"/>
    <cellStyle name="Normal 2 3 2 17 12 2" xfId="18319"/>
    <cellStyle name="Normal 2 3 2 17 13" xfId="18320"/>
    <cellStyle name="Normal 2 3 2 17 2" xfId="18321"/>
    <cellStyle name="Normal 2 3 2 17 2 10" xfId="18322"/>
    <cellStyle name="Normal 2 3 2 17 2 10 2" xfId="18323"/>
    <cellStyle name="Normal 2 3 2 17 2 11" xfId="18324"/>
    <cellStyle name="Normal 2 3 2 17 2 11 2" xfId="18325"/>
    <cellStyle name="Normal 2 3 2 17 2 12" xfId="18326"/>
    <cellStyle name="Normal 2 3 2 17 2 2" xfId="18327"/>
    <cellStyle name="Normal 2 3 2 17 2 2 10" xfId="18328"/>
    <cellStyle name="Normal 2 3 2 17 2 2 10 2" xfId="18329"/>
    <cellStyle name="Normal 2 3 2 17 2 2 11" xfId="18330"/>
    <cellStyle name="Normal 2 3 2 17 2 2 2" xfId="18331"/>
    <cellStyle name="Normal 2 3 2 17 2 2 2 2" xfId="18332"/>
    <cellStyle name="Normal 2 3 2 17 2 2 3" xfId="18333"/>
    <cellStyle name="Normal 2 3 2 17 2 2 3 2" xfId="18334"/>
    <cellStyle name="Normal 2 3 2 17 2 2 4" xfId="18335"/>
    <cellStyle name="Normal 2 3 2 17 2 2 4 2" xfId="18336"/>
    <cellStyle name="Normal 2 3 2 17 2 2 5" xfId="18337"/>
    <cellStyle name="Normal 2 3 2 17 2 2 5 2" xfId="18338"/>
    <cellStyle name="Normal 2 3 2 17 2 2 6" xfId="18339"/>
    <cellStyle name="Normal 2 3 2 17 2 2 6 2" xfId="18340"/>
    <cellStyle name="Normal 2 3 2 17 2 2 7" xfId="18341"/>
    <cellStyle name="Normal 2 3 2 17 2 2 7 2" xfId="18342"/>
    <cellStyle name="Normal 2 3 2 17 2 2 8" xfId="18343"/>
    <cellStyle name="Normal 2 3 2 17 2 2 8 2" xfId="18344"/>
    <cellStyle name="Normal 2 3 2 17 2 2 9" xfId="18345"/>
    <cellStyle name="Normal 2 3 2 17 2 2 9 2" xfId="18346"/>
    <cellStyle name="Normal 2 3 2 17 2 3" xfId="18347"/>
    <cellStyle name="Normal 2 3 2 17 2 3 2" xfId="18348"/>
    <cellStyle name="Normal 2 3 2 17 2 4" xfId="18349"/>
    <cellStyle name="Normal 2 3 2 17 2 4 2" xfId="18350"/>
    <cellStyle name="Normal 2 3 2 17 2 5" xfId="18351"/>
    <cellStyle name="Normal 2 3 2 17 2 5 2" xfId="18352"/>
    <cellStyle name="Normal 2 3 2 17 2 6" xfId="18353"/>
    <cellStyle name="Normal 2 3 2 17 2 6 2" xfId="18354"/>
    <cellStyle name="Normal 2 3 2 17 2 7" xfId="18355"/>
    <cellStyle name="Normal 2 3 2 17 2 7 2" xfId="18356"/>
    <cellStyle name="Normal 2 3 2 17 2 8" xfId="18357"/>
    <cellStyle name="Normal 2 3 2 17 2 8 2" xfId="18358"/>
    <cellStyle name="Normal 2 3 2 17 2 9" xfId="18359"/>
    <cellStyle name="Normal 2 3 2 17 2 9 2" xfId="18360"/>
    <cellStyle name="Normal 2 3 2 17 3" xfId="18361"/>
    <cellStyle name="Normal 2 3 2 17 3 10" xfId="18362"/>
    <cellStyle name="Normal 2 3 2 17 3 10 2" xfId="18363"/>
    <cellStyle name="Normal 2 3 2 17 3 11" xfId="18364"/>
    <cellStyle name="Normal 2 3 2 17 3 2" xfId="18365"/>
    <cellStyle name="Normal 2 3 2 17 3 2 2" xfId="18366"/>
    <cellStyle name="Normal 2 3 2 17 3 3" xfId="18367"/>
    <cellStyle name="Normal 2 3 2 17 3 3 2" xfId="18368"/>
    <cellStyle name="Normal 2 3 2 17 3 4" xfId="18369"/>
    <cellStyle name="Normal 2 3 2 17 3 4 2" xfId="18370"/>
    <cellStyle name="Normal 2 3 2 17 3 5" xfId="18371"/>
    <cellStyle name="Normal 2 3 2 17 3 5 2" xfId="18372"/>
    <cellStyle name="Normal 2 3 2 17 3 6" xfId="18373"/>
    <cellStyle name="Normal 2 3 2 17 3 6 2" xfId="18374"/>
    <cellStyle name="Normal 2 3 2 17 3 7" xfId="18375"/>
    <cellStyle name="Normal 2 3 2 17 3 7 2" xfId="18376"/>
    <cellStyle name="Normal 2 3 2 17 3 8" xfId="18377"/>
    <cellStyle name="Normal 2 3 2 17 3 8 2" xfId="18378"/>
    <cellStyle name="Normal 2 3 2 17 3 9" xfId="18379"/>
    <cellStyle name="Normal 2 3 2 17 3 9 2" xfId="18380"/>
    <cellStyle name="Normal 2 3 2 17 4" xfId="18381"/>
    <cellStyle name="Normal 2 3 2 17 4 2" xfId="18382"/>
    <cellStyle name="Normal 2 3 2 17 5" xfId="18383"/>
    <cellStyle name="Normal 2 3 2 17 5 2" xfId="18384"/>
    <cellStyle name="Normal 2 3 2 17 6" xfId="18385"/>
    <cellStyle name="Normal 2 3 2 17 6 2" xfId="18386"/>
    <cellStyle name="Normal 2 3 2 17 7" xfId="18387"/>
    <cellStyle name="Normal 2 3 2 17 7 2" xfId="18388"/>
    <cellStyle name="Normal 2 3 2 17 8" xfId="18389"/>
    <cellStyle name="Normal 2 3 2 17 8 2" xfId="18390"/>
    <cellStyle name="Normal 2 3 2 17 9" xfId="18391"/>
    <cellStyle name="Normal 2 3 2 17 9 2" xfId="18392"/>
    <cellStyle name="Normal 2 3 2 18" xfId="18393"/>
    <cellStyle name="Normal 2 3 2 19" xfId="18394"/>
    <cellStyle name="Normal 2 3 2 2" xfId="18395"/>
    <cellStyle name="Normal 2 3 2 2 2" xfId="18396"/>
    <cellStyle name="Normal 2 3 2 2 2 10" xfId="18397"/>
    <cellStyle name="Normal 2 3 2 2 2 10 10" xfId="18398"/>
    <cellStyle name="Normal 2 3 2 2 2 10 10 2" xfId="18399"/>
    <cellStyle name="Normal 2 3 2 2 2 10 11" xfId="18400"/>
    <cellStyle name="Normal 2 3 2 2 2 10 11 2" xfId="18401"/>
    <cellStyle name="Normal 2 3 2 2 2 10 12" xfId="18402"/>
    <cellStyle name="Normal 2 3 2 2 2 10 2" xfId="18403"/>
    <cellStyle name="Normal 2 3 2 2 2 10 2 10" xfId="18404"/>
    <cellStyle name="Normal 2 3 2 2 2 10 2 10 2" xfId="18405"/>
    <cellStyle name="Normal 2 3 2 2 2 10 2 11" xfId="18406"/>
    <cellStyle name="Normal 2 3 2 2 2 10 2 2" xfId="18407"/>
    <cellStyle name="Normal 2 3 2 2 2 10 2 2 2" xfId="18408"/>
    <cellStyle name="Normal 2 3 2 2 2 10 2 3" xfId="18409"/>
    <cellStyle name="Normal 2 3 2 2 2 10 2 3 2" xfId="18410"/>
    <cellStyle name="Normal 2 3 2 2 2 10 2 4" xfId="18411"/>
    <cellStyle name="Normal 2 3 2 2 2 10 2 4 2" xfId="18412"/>
    <cellStyle name="Normal 2 3 2 2 2 10 2 5" xfId="18413"/>
    <cellStyle name="Normal 2 3 2 2 2 10 2 5 2" xfId="18414"/>
    <cellStyle name="Normal 2 3 2 2 2 10 2 6" xfId="18415"/>
    <cellStyle name="Normal 2 3 2 2 2 10 2 6 2" xfId="18416"/>
    <cellStyle name="Normal 2 3 2 2 2 10 2 7" xfId="18417"/>
    <cellStyle name="Normal 2 3 2 2 2 10 2 7 2" xfId="18418"/>
    <cellStyle name="Normal 2 3 2 2 2 10 2 8" xfId="18419"/>
    <cellStyle name="Normal 2 3 2 2 2 10 2 8 2" xfId="18420"/>
    <cellStyle name="Normal 2 3 2 2 2 10 2 9" xfId="18421"/>
    <cellStyle name="Normal 2 3 2 2 2 10 2 9 2" xfId="18422"/>
    <cellStyle name="Normal 2 3 2 2 2 10 3" xfId="18423"/>
    <cellStyle name="Normal 2 3 2 2 2 10 3 2" xfId="18424"/>
    <cellStyle name="Normal 2 3 2 2 2 10 4" xfId="18425"/>
    <cellStyle name="Normal 2 3 2 2 2 10 4 2" xfId="18426"/>
    <cellStyle name="Normal 2 3 2 2 2 10 5" xfId="18427"/>
    <cellStyle name="Normal 2 3 2 2 2 10 5 2" xfId="18428"/>
    <cellStyle name="Normal 2 3 2 2 2 10 6" xfId="18429"/>
    <cellStyle name="Normal 2 3 2 2 2 10 6 2" xfId="18430"/>
    <cellStyle name="Normal 2 3 2 2 2 10 7" xfId="18431"/>
    <cellStyle name="Normal 2 3 2 2 2 10 7 2" xfId="18432"/>
    <cellStyle name="Normal 2 3 2 2 2 10 8" xfId="18433"/>
    <cellStyle name="Normal 2 3 2 2 2 10 8 2" xfId="18434"/>
    <cellStyle name="Normal 2 3 2 2 2 10 9" xfId="18435"/>
    <cellStyle name="Normal 2 3 2 2 2 10 9 2" xfId="18436"/>
    <cellStyle name="Normal 2 3 2 2 2 11" xfId="18437"/>
    <cellStyle name="Normal 2 3 2 2 2 11 10" xfId="18438"/>
    <cellStyle name="Normal 2 3 2 2 2 11 10 2" xfId="18439"/>
    <cellStyle name="Normal 2 3 2 2 2 11 11" xfId="18440"/>
    <cellStyle name="Normal 2 3 2 2 2 11 2" xfId="18441"/>
    <cellStyle name="Normal 2 3 2 2 2 11 2 2" xfId="18442"/>
    <cellStyle name="Normal 2 3 2 2 2 11 3" xfId="18443"/>
    <cellStyle name="Normal 2 3 2 2 2 11 3 2" xfId="18444"/>
    <cellStyle name="Normal 2 3 2 2 2 11 4" xfId="18445"/>
    <cellStyle name="Normal 2 3 2 2 2 11 4 2" xfId="18446"/>
    <cellStyle name="Normal 2 3 2 2 2 11 5" xfId="18447"/>
    <cellStyle name="Normal 2 3 2 2 2 11 5 2" xfId="18448"/>
    <cellStyle name="Normal 2 3 2 2 2 11 6" xfId="18449"/>
    <cellStyle name="Normal 2 3 2 2 2 11 6 2" xfId="18450"/>
    <cellStyle name="Normal 2 3 2 2 2 11 7" xfId="18451"/>
    <cellStyle name="Normal 2 3 2 2 2 11 7 2" xfId="18452"/>
    <cellStyle name="Normal 2 3 2 2 2 11 8" xfId="18453"/>
    <cellStyle name="Normal 2 3 2 2 2 11 8 2" xfId="18454"/>
    <cellStyle name="Normal 2 3 2 2 2 11 9" xfId="18455"/>
    <cellStyle name="Normal 2 3 2 2 2 11 9 2" xfId="18456"/>
    <cellStyle name="Normal 2 3 2 2 2 12" xfId="18457"/>
    <cellStyle name="Normal 2 3 2 2 2 12 2" xfId="18458"/>
    <cellStyle name="Normal 2 3 2 2 2 13" xfId="18459"/>
    <cellStyle name="Normal 2 3 2 2 2 13 2" xfId="18460"/>
    <cellStyle name="Normal 2 3 2 2 2 14" xfId="18461"/>
    <cellStyle name="Normal 2 3 2 2 2 14 2" xfId="18462"/>
    <cellStyle name="Normal 2 3 2 2 2 15" xfId="18463"/>
    <cellStyle name="Normal 2 3 2 2 2 15 2" xfId="18464"/>
    <cellStyle name="Normal 2 3 2 2 2 16" xfId="18465"/>
    <cellStyle name="Normal 2 3 2 2 2 16 2" xfId="18466"/>
    <cellStyle name="Normal 2 3 2 2 2 17" xfId="18467"/>
    <cellStyle name="Normal 2 3 2 2 2 17 2" xfId="18468"/>
    <cellStyle name="Normal 2 3 2 2 2 18" xfId="18469"/>
    <cellStyle name="Normal 2 3 2 2 2 18 2" xfId="18470"/>
    <cellStyle name="Normal 2 3 2 2 2 19" xfId="18471"/>
    <cellStyle name="Normal 2 3 2 2 2 19 2" xfId="18472"/>
    <cellStyle name="Normal 2 3 2 2 2 2" xfId="18473"/>
    <cellStyle name="Normal 2 3 2 2 2 2 2" xfId="18474"/>
    <cellStyle name="Normal 2 3 2 2 2 2 2 10" xfId="18475"/>
    <cellStyle name="Normal 2 3 2 2 2 2 2 10 2" xfId="18476"/>
    <cellStyle name="Normal 2 3 2 2 2 2 2 11" xfId="18477"/>
    <cellStyle name="Normal 2 3 2 2 2 2 2 11 2" xfId="18478"/>
    <cellStyle name="Normal 2 3 2 2 2 2 2 12" xfId="18479"/>
    <cellStyle name="Normal 2 3 2 2 2 2 2 12 2" xfId="18480"/>
    <cellStyle name="Normal 2 3 2 2 2 2 2 13" xfId="18481"/>
    <cellStyle name="Normal 2 3 2 2 2 2 2 13 2" xfId="18482"/>
    <cellStyle name="Normal 2 3 2 2 2 2 2 14" xfId="18483"/>
    <cellStyle name="Normal 2 3 2 2 2 2 2 14 2" xfId="18484"/>
    <cellStyle name="Normal 2 3 2 2 2 2 2 15" xfId="18485"/>
    <cellStyle name="Normal 2 3 2 2 2 2 2 15 2" xfId="18486"/>
    <cellStyle name="Normal 2 3 2 2 2 2 2 16" xfId="18487"/>
    <cellStyle name="Normal 2 3 2 2 2 2 2 16 2" xfId="18488"/>
    <cellStyle name="Normal 2 3 2 2 2 2 2 17" xfId="18489"/>
    <cellStyle name="Normal 2 3 2 2 2 2 2 2" xfId="18490"/>
    <cellStyle name="Normal 2 3 2 2 2 2 2 2 2" xfId="18491"/>
    <cellStyle name="Normal 2 3 2 2 2 2 2 2 2 10" xfId="18492"/>
    <cellStyle name="Normal 2 3 2 2 2 2 2 2 2 10 2" xfId="18493"/>
    <cellStyle name="Normal 2 3 2 2 2 2 2 2 2 11" xfId="18494"/>
    <cellStyle name="Normal 2 3 2 2 2 2 2 2 2 11 2" xfId="18495"/>
    <cellStyle name="Normal 2 3 2 2 2 2 2 2 2 12" xfId="18496"/>
    <cellStyle name="Normal 2 3 2 2 2 2 2 2 2 12 2" xfId="18497"/>
    <cellStyle name="Normal 2 3 2 2 2 2 2 2 2 13" xfId="18498"/>
    <cellStyle name="Normal 2 3 2 2 2 2 2 2 2 2" xfId="18499"/>
    <cellStyle name="Normal 2 3 2 2 2 2 2 2 2 2 10" xfId="18500"/>
    <cellStyle name="Normal 2 3 2 2 2 2 2 2 2 2 10 2" xfId="18501"/>
    <cellStyle name="Normal 2 3 2 2 2 2 2 2 2 2 11" xfId="18502"/>
    <cellStyle name="Normal 2 3 2 2 2 2 2 2 2 2 11 2" xfId="18503"/>
    <cellStyle name="Normal 2 3 2 2 2 2 2 2 2 2 12" xfId="18504"/>
    <cellStyle name="Normal 2 3 2 2 2 2 2 2 2 2 2" xfId="18505"/>
    <cellStyle name="Normal 2 3 2 2 2 2 2 2 2 2 2 10" xfId="18506"/>
    <cellStyle name="Normal 2 3 2 2 2 2 2 2 2 2 2 10 2" xfId="18507"/>
    <cellStyle name="Normal 2 3 2 2 2 2 2 2 2 2 2 11" xfId="18508"/>
    <cellStyle name="Normal 2 3 2 2 2 2 2 2 2 2 2 2" xfId="18509"/>
    <cellStyle name="Normal 2 3 2 2 2 2 2 2 2 2 2 2 2" xfId="18510"/>
    <cellStyle name="Normal 2 3 2 2 2 2 2 2 2 2 2 3" xfId="18511"/>
    <cellStyle name="Normal 2 3 2 2 2 2 2 2 2 2 2 3 2" xfId="18512"/>
    <cellStyle name="Normal 2 3 2 2 2 2 2 2 2 2 2 4" xfId="18513"/>
    <cellStyle name="Normal 2 3 2 2 2 2 2 2 2 2 2 4 2" xfId="18514"/>
    <cellStyle name="Normal 2 3 2 2 2 2 2 2 2 2 2 5" xfId="18515"/>
    <cellStyle name="Normal 2 3 2 2 2 2 2 2 2 2 2 5 2" xfId="18516"/>
    <cellStyle name="Normal 2 3 2 2 2 2 2 2 2 2 2 6" xfId="18517"/>
    <cellStyle name="Normal 2 3 2 2 2 2 2 2 2 2 2 6 2" xfId="18518"/>
    <cellStyle name="Normal 2 3 2 2 2 2 2 2 2 2 2 7" xfId="18519"/>
    <cellStyle name="Normal 2 3 2 2 2 2 2 2 2 2 2 7 2" xfId="18520"/>
    <cellStyle name="Normal 2 3 2 2 2 2 2 2 2 2 2 8" xfId="18521"/>
    <cellStyle name="Normal 2 3 2 2 2 2 2 2 2 2 2 8 2" xfId="18522"/>
    <cellStyle name="Normal 2 3 2 2 2 2 2 2 2 2 2 9" xfId="18523"/>
    <cellStyle name="Normal 2 3 2 2 2 2 2 2 2 2 2 9 2" xfId="18524"/>
    <cellStyle name="Normal 2 3 2 2 2 2 2 2 2 2 3" xfId="18525"/>
    <cellStyle name="Normal 2 3 2 2 2 2 2 2 2 2 3 2" xfId="18526"/>
    <cellStyle name="Normal 2 3 2 2 2 2 2 2 2 2 4" xfId="18527"/>
    <cellStyle name="Normal 2 3 2 2 2 2 2 2 2 2 4 2" xfId="18528"/>
    <cellStyle name="Normal 2 3 2 2 2 2 2 2 2 2 5" xfId="18529"/>
    <cellStyle name="Normal 2 3 2 2 2 2 2 2 2 2 5 2" xfId="18530"/>
    <cellStyle name="Normal 2 3 2 2 2 2 2 2 2 2 6" xfId="18531"/>
    <cellStyle name="Normal 2 3 2 2 2 2 2 2 2 2 6 2" xfId="18532"/>
    <cellStyle name="Normal 2 3 2 2 2 2 2 2 2 2 7" xfId="18533"/>
    <cellStyle name="Normal 2 3 2 2 2 2 2 2 2 2 7 2" xfId="18534"/>
    <cellStyle name="Normal 2 3 2 2 2 2 2 2 2 2 8" xfId="18535"/>
    <cellStyle name="Normal 2 3 2 2 2 2 2 2 2 2 8 2" xfId="18536"/>
    <cellStyle name="Normal 2 3 2 2 2 2 2 2 2 2 9" xfId="18537"/>
    <cellStyle name="Normal 2 3 2 2 2 2 2 2 2 2 9 2" xfId="18538"/>
    <cellStyle name="Normal 2 3 2 2 2 2 2 2 2 3" xfId="18539"/>
    <cellStyle name="Normal 2 3 2 2 2 2 2 2 2 3 10" xfId="18540"/>
    <cellStyle name="Normal 2 3 2 2 2 2 2 2 2 3 10 2" xfId="18541"/>
    <cellStyle name="Normal 2 3 2 2 2 2 2 2 2 3 11" xfId="18542"/>
    <cellStyle name="Normal 2 3 2 2 2 2 2 2 2 3 2" xfId="18543"/>
    <cellStyle name="Normal 2 3 2 2 2 2 2 2 2 3 2 2" xfId="18544"/>
    <cellStyle name="Normal 2 3 2 2 2 2 2 2 2 3 3" xfId="18545"/>
    <cellStyle name="Normal 2 3 2 2 2 2 2 2 2 3 3 2" xfId="18546"/>
    <cellStyle name="Normal 2 3 2 2 2 2 2 2 2 3 4" xfId="18547"/>
    <cellStyle name="Normal 2 3 2 2 2 2 2 2 2 3 4 2" xfId="18548"/>
    <cellStyle name="Normal 2 3 2 2 2 2 2 2 2 3 5" xfId="18549"/>
    <cellStyle name="Normal 2 3 2 2 2 2 2 2 2 3 5 2" xfId="18550"/>
    <cellStyle name="Normal 2 3 2 2 2 2 2 2 2 3 6" xfId="18551"/>
    <cellStyle name="Normal 2 3 2 2 2 2 2 2 2 3 6 2" xfId="18552"/>
    <cellStyle name="Normal 2 3 2 2 2 2 2 2 2 3 7" xfId="18553"/>
    <cellStyle name="Normal 2 3 2 2 2 2 2 2 2 3 7 2" xfId="18554"/>
    <cellStyle name="Normal 2 3 2 2 2 2 2 2 2 3 8" xfId="18555"/>
    <cellStyle name="Normal 2 3 2 2 2 2 2 2 2 3 8 2" xfId="18556"/>
    <cellStyle name="Normal 2 3 2 2 2 2 2 2 2 3 9" xfId="18557"/>
    <cellStyle name="Normal 2 3 2 2 2 2 2 2 2 3 9 2" xfId="18558"/>
    <cellStyle name="Normal 2 3 2 2 2 2 2 2 2 4" xfId="18559"/>
    <cellStyle name="Normal 2 3 2 2 2 2 2 2 2 4 2" xfId="18560"/>
    <cellStyle name="Normal 2 3 2 2 2 2 2 2 2 5" xfId="18561"/>
    <cellStyle name="Normal 2 3 2 2 2 2 2 2 2 5 2" xfId="18562"/>
    <cellStyle name="Normal 2 3 2 2 2 2 2 2 2 6" xfId="18563"/>
    <cellStyle name="Normal 2 3 2 2 2 2 2 2 2 6 2" xfId="18564"/>
    <cellStyle name="Normal 2 3 2 2 2 2 2 2 2 7" xfId="18565"/>
    <cellStyle name="Normal 2 3 2 2 2 2 2 2 2 7 2" xfId="18566"/>
    <cellStyle name="Normal 2 3 2 2 2 2 2 2 2 8" xfId="18567"/>
    <cellStyle name="Normal 2 3 2 2 2 2 2 2 2 8 2" xfId="18568"/>
    <cellStyle name="Normal 2 3 2 2 2 2 2 2 2 9" xfId="18569"/>
    <cellStyle name="Normal 2 3 2 2 2 2 2 2 2 9 2" xfId="18570"/>
    <cellStyle name="Normal 2 3 2 2 2 2 2 2 3" xfId="18571"/>
    <cellStyle name="Normal 2 3 2 2 2 2 2 2 3 10" xfId="18572"/>
    <cellStyle name="Normal 2 3 2 2 2 2 2 2 3 10 2" xfId="18573"/>
    <cellStyle name="Normal 2 3 2 2 2 2 2 2 3 11" xfId="18574"/>
    <cellStyle name="Normal 2 3 2 2 2 2 2 2 3 11 2" xfId="18575"/>
    <cellStyle name="Normal 2 3 2 2 2 2 2 2 3 12" xfId="18576"/>
    <cellStyle name="Normal 2 3 2 2 2 2 2 2 3 12 2" xfId="18577"/>
    <cellStyle name="Normal 2 3 2 2 2 2 2 2 3 13" xfId="18578"/>
    <cellStyle name="Normal 2 3 2 2 2 2 2 2 3 2" xfId="18579"/>
    <cellStyle name="Normal 2 3 2 2 2 2 2 2 3 2 10" xfId="18580"/>
    <cellStyle name="Normal 2 3 2 2 2 2 2 2 3 2 10 2" xfId="18581"/>
    <cellStyle name="Normal 2 3 2 2 2 2 2 2 3 2 11" xfId="18582"/>
    <cellStyle name="Normal 2 3 2 2 2 2 2 2 3 2 11 2" xfId="18583"/>
    <cellStyle name="Normal 2 3 2 2 2 2 2 2 3 2 12" xfId="18584"/>
    <cellStyle name="Normal 2 3 2 2 2 2 2 2 3 2 2" xfId="18585"/>
    <cellStyle name="Normal 2 3 2 2 2 2 2 2 3 2 2 10" xfId="18586"/>
    <cellStyle name="Normal 2 3 2 2 2 2 2 2 3 2 2 10 2" xfId="18587"/>
    <cellStyle name="Normal 2 3 2 2 2 2 2 2 3 2 2 11" xfId="18588"/>
    <cellStyle name="Normal 2 3 2 2 2 2 2 2 3 2 2 2" xfId="18589"/>
    <cellStyle name="Normal 2 3 2 2 2 2 2 2 3 2 2 2 2" xfId="18590"/>
    <cellStyle name="Normal 2 3 2 2 2 2 2 2 3 2 2 3" xfId="18591"/>
    <cellStyle name="Normal 2 3 2 2 2 2 2 2 3 2 2 3 2" xfId="18592"/>
    <cellStyle name="Normal 2 3 2 2 2 2 2 2 3 2 2 4" xfId="18593"/>
    <cellStyle name="Normal 2 3 2 2 2 2 2 2 3 2 2 4 2" xfId="18594"/>
    <cellStyle name="Normal 2 3 2 2 2 2 2 2 3 2 2 5" xfId="18595"/>
    <cellStyle name="Normal 2 3 2 2 2 2 2 2 3 2 2 5 2" xfId="18596"/>
    <cellStyle name="Normal 2 3 2 2 2 2 2 2 3 2 2 6" xfId="18597"/>
    <cellStyle name="Normal 2 3 2 2 2 2 2 2 3 2 2 6 2" xfId="18598"/>
    <cellStyle name="Normal 2 3 2 2 2 2 2 2 3 2 2 7" xfId="18599"/>
    <cellStyle name="Normal 2 3 2 2 2 2 2 2 3 2 2 7 2" xfId="18600"/>
    <cellStyle name="Normal 2 3 2 2 2 2 2 2 3 2 2 8" xfId="18601"/>
    <cellStyle name="Normal 2 3 2 2 2 2 2 2 3 2 2 8 2" xfId="18602"/>
    <cellStyle name="Normal 2 3 2 2 2 2 2 2 3 2 2 9" xfId="18603"/>
    <cellStyle name="Normal 2 3 2 2 2 2 2 2 3 2 2 9 2" xfId="18604"/>
    <cellStyle name="Normal 2 3 2 2 2 2 2 2 3 2 3" xfId="18605"/>
    <cellStyle name="Normal 2 3 2 2 2 2 2 2 3 2 3 2" xfId="18606"/>
    <cellStyle name="Normal 2 3 2 2 2 2 2 2 3 2 4" xfId="18607"/>
    <cellStyle name="Normal 2 3 2 2 2 2 2 2 3 2 4 2" xfId="18608"/>
    <cellStyle name="Normal 2 3 2 2 2 2 2 2 3 2 5" xfId="18609"/>
    <cellStyle name="Normal 2 3 2 2 2 2 2 2 3 2 5 2" xfId="18610"/>
    <cellStyle name="Normal 2 3 2 2 2 2 2 2 3 2 6" xfId="18611"/>
    <cellStyle name="Normal 2 3 2 2 2 2 2 2 3 2 6 2" xfId="18612"/>
    <cellStyle name="Normal 2 3 2 2 2 2 2 2 3 2 7" xfId="18613"/>
    <cellStyle name="Normal 2 3 2 2 2 2 2 2 3 2 7 2" xfId="18614"/>
    <cellStyle name="Normal 2 3 2 2 2 2 2 2 3 2 8" xfId="18615"/>
    <cellStyle name="Normal 2 3 2 2 2 2 2 2 3 2 8 2" xfId="18616"/>
    <cellStyle name="Normal 2 3 2 2 2 2 2 2 3 2 9" xfId="18617"/>
    <cellStyle name="Normal 2 3 2 2 2 2 2 2 3 2 9 2" xfId="18618"/>
    <cellStyle name="Normal 2 3 2 2 2 2 2 2 3 3" xfId="18619"/>
    <cellStyle name="Normal 2 3 2 2 2 2 2 2 3 3 10" xfId="18620"/>
    <cellStyle name="Normal 2 3 2 2 2 2 2 2 3 3 10 2" xfId="18621"/>
    <cellStyle name="Normal 2 3 2 2 2 2 2 2 3 3 11" xfId="18622"/>
    <cellStyle name="Normal 2 3 2 2 2 2 2 2 3 3 2" xfId="18623"/>
    <cellStyle name="Normal 2 3 2 2 2 2 2 2 3 3 2 2" xfId="18624"/>
    <cellStyle name="Normal 2 3 2 2 2 2 2 2 3 3 3" xfId="18625"/>
    <cellStyle name="Normal 2 3 2 2 2 2 2 2 3 3 3 2" xfId="18626"/>
    <cellStyle name="Normal 2 3 2 2 2 2 2 2 3 3 4" xfId="18627"/>
    <cellStyle name="Normal 2 3 2 2 2 2 2 2 3 3 4 2" xfId="18628"/>
    <cellStyle name="Normal 2 3 2 2 2 2 2 2 3 3 5" xfId="18629"/>
    <cellStyle name="Normal 2 3 2 2 2 2 2 2 3 3 5 2" xfId="18630"/>
    <cellStyle name="Normal 2 3 2 2 2 2 2 2 3 3 6" xfId="18631"/>
    <cellStyle name="Normal 2 3 2 2 2 2 2 2 3 3 6 2" xfId="18632"/>
    <cellStyle name="Normal 2 3 2 2 2 2 2 2 3 3 7" xfId="18633"/>
    <cellStyle name="Normal 2 3 2 2 2 2 2 2 3 3 7 2" xfId="18634"/>
    <cellStyle name="Normal 2 3 2 2 2 2 2 2 3 3 8" xfId="18635"/>
    <cellStyle name="Normal 2 3 2 2 2 2 2 2 3 3 8 2" xfId="18636"/>
    <cellStyle name="Normal 2 3 2 2 2 2 2 2 3 3 9" xfId="18637"/>
    <cellStyle name="Normal 2 3 2 2 2 2 2 2 3 3 9 2" xfId="18638"/>
    <cellStyle name="Normal 2 3 2 2 2 2 2 2 3 4" xfId="18639"/>
    <cellStyle name="Normal 2 3 2 2 2 2 2 2 3 4 2" xfId="18640"/>
    <cellStyle name="Normal 2 3 2 2 2 2 2 2 3 5" xfId="18641"/>
    <cellStyle name="Normal 2 3 2 2 2 2 2 2 3 5 2" xfId="18642"/>
    <cellStyle name="Normal 2 3 2 2 2 2 2 2 3 6" xfId="18643"/>
    <cellStyle name="Normal 2 3 2 2 2 2 2 2 3 6 2" xfId="18644"/>
    <cellStyle name="Normal 2 3 2 2 2 2 2 2 3 7" xfId="18645"/>
    <cellStyle name="Normal 2 3 2 2 2 2 2 2 3 7 2" xfId="18646"/>
    <cellStyle name="Normal 2 3 2 2 2 2 2 2 3 8" xfId="18647"/>
    <cellStyle name="Normal 2 3 2 2 2 2 2 2 3 8 2" xfId="18648"/>
    <cellStyle name="Normal 2 3 2 2 2 2 2 2 3 9" xfId="18649"/>
    <cellStyle name="Normal 2 3 2 2 2 2 2 2 3 9 2" xfId="18650"/>
    <cellStyle name="Normal 2 3 2 2 2 2 2 2 4" xfId="18651"/>
    <cellStyle name="Normal 2 3 2 2 2 2 2 2 4 10" xfId="18652"/>
    <cellStyle name="Normal 2 3 2 2 2 2 2 2 4 10 2" xfId="18653"/>
    <cellStyle name="Normal 2 3 2 2 2 2 2 2 4 11" xfId="18654"/>
    <cellStyle name="Normal 2 3 2 2 2 2 2 2 4 11 2" xfId="18655"/>
    <cellStyle name="Normal 2 3 2 2 2 2 2 2 4 12" xfId="18656"/>
    <cellStyle name="Normal 2 3 2 2 2 2 2 2 4 12 2" xfId="18657"/>
    <cellStyle name="Normal 2 3 2 2 2 2 2 2 4 13" xfId="18658"/>
    <cellStyle name="Normal 2 3 2 2 2 2 2 2 4 2" xfId="18659"/>
    <cellStyle name="Normal 2 3 2 2 2 2 2 2 4 2 10" xfId="18660"/>
    <cellStyle name="Normal 2 3 2 2 2 2 2 2 4 2 10 2" xfId="18661"/>
    <cellStyle name="Normal 2 3 2 2 2 2 2 2 4 2 11" xfId="18662"/>
    <cellStyle name="Normal 2 3 2 2 2 2 2 2 4 2 11 2" xfId="18663"/>
    <cellStyle name="Normal 2 3 2 2 2 2 2 2 4 2 12" xfId="18664"/>
    <cellStyle name="Normal 2 3 2 2 2 2 2 2 4 2 2" xfId="18665"/>
    <cellStyle name="Normal 2 3 2 2 2 2 2 2 4 2 2 10" xfId="18666"/>
    <cellStyle name="Normal 2 3 2 2 2 2 2 2 4 2 2 10 2" xfId="18667"/>
    <cellStyle name="Normal 2 3 2 2 2 2 2 2 4 2 2 11" xfId="18668"/>
    <cellStyle name="Normal 2 3 2 2 2 2 2 2 4 2 2 2" xfId="18669"/>
    <cellStyle name="Normal 2 3 2 2 2 2 2 2 4 2 2 2 2" xfId="18670"/>
    <cellStyle name="Normal 2 3 2 2 2 2 2 2 4 2 2 3" xfId="18671"/>
    <cellStyle name="Normal 2 3 2 2 2 2 2 2 4 2 2 3 2" xfId="18672"/>
    <cellStyle name="Normal 2 3 2 2 2 2 2 2 4 2 2 4" xfId="18673"/>
    <cellStyle name="Normal 2 3 2 2 2 2 2 2 4 2 2 4 2" xfId="18674"/>
    <cellStyle name="Normal 2 3 2 2 2 2 2 2 4 2 2 5" xfId="18675"/>
    <cellStyle name="Normal 2 3 2 2 2 2 2 2 4 2 2 5 2" xfId="18676"/>
    <cellStyle name="Normal 2 3 2 2 2 2 2 2 4 2 2 6" xfId="18677"/>
    <cellStyle name="Normal 2 3 2 2 2 2 2 2 4 2 2 6 2" xfId="18678"/>
    <cellStyle name="Normal 2 3 2 2 2 2 2 2 4 2 2 7" xfId="18679"/>
    <cellStyle name="Normal 2 3 2 2 2 2 2 2 4 2 2 7 2" xfId="18680"/>
    <cellStyle name="Normal 2 3 2 2 2 2 2 2 4 2 2 8" xfId="18681"/>
    <cellStyle name="Normal 2 3 2 2 2 2 2 2 4 2 2 8 2" xfId="18682"/>
    <cellStyle name="Normal 2 3 2 2 2 2 2 2 4 2 2 9" xfId="18683"/>
    <cellStyle name="Normal 2 3 2 2 2 2 2 2 4 2 2 9 2" xfId="18684"/>
    <cellStyle name="Normal 2 3 2 2 2 2 2 2 4 2 3" xfId="18685"/>
    <cellStyle name="Normal 2 3 2 2 2 2 2 2 4 2 3 2" xfId="18686"/>
    <cellStyle name="Normal 2 3 2 2 2 2 2 2 4 2 4" xfId="18687"/>
    <cellStyle name="Normal 2 3 2 2 2 2 2 2 4 2 4 2" xfId="18688"/>
    <cellStyle name="Normal 2 3 2 2 2 2 2 2 4 2 5" xfId="18689"/>
    <cellStyle name="Normal 2 3 2 2 2 2 2 2 4 2 5 2" xfId="18690"/>
    <cellStyle name="Normal 2 3 2 2 2 2 2 2 4 2 6" xfId="18691"/>
    <cellStyle name="Normal 2 3 2 2 2 2 2 2 4 2 6 2" xfId="18692"/>
    <cellStyle name="Normal 2 3 2 2 2 2 2 2 4 2 7" xfId="18693"/>
    <cellStyle name="Normal 2 3 2 2 2 2 2 2 4 2 7 2" xfId="18694"/>
    <cellStyle name="Normal 2 3 2 2 2 2 2 2 4 2 8" xfId="18695"/>
    <cellStyle name="Normal 2 3 2 2 2 2 2 2 4 2 8 2" xfId="18696"/>
    <cellStyle name="Normal 2 3 2 2 2 2 2 2 4 2 9" xfId="18697"/>
    <cellStyle name="Normal 2 3 2 2 2 2 2 2 4 2 9 2" xfId="18698"/>
    <cellStyle name="Normal 2 3 2 2 2 2 2 2 4 3" xfId="18699"/>
    <cellStyle name="Normal 2 3 2 2 2 2 2 2 4 3 10" xfId="18700"/>
    <cellStyle name="Normal 2 3 2 2 2 2 2 2 4 3 10 2" xfId="18701"/>
    <cellStyle name="Normal 2 3 2 2 2 2 2 2 4 3 11" xfId="18702"/>
    <cellStyle name="Normal 2 3 2 2 2 2 2 2 4 3 2" xfId="18703"/>
    <cellStyle name="Normal 2 3 2 2 2 2 2 2 4 3 2 2" xfId="18704"/>
    <cellStyle name="Normal 2 3 2 2 2 2 2 2 4 3 3" xfId="18705"/>
    <cellStyle name="Normal 2 3 2 2 2 2 2 2 4 3 3 2" xfId="18706"/>
    <cellStyle name="Normal 2 3 2 2 2 2 2 2 4 3 4" xfId="18707"/>
    <cellStyle name="Normal 2 3 2 2 2 2 2 2 4 3 4 2" xfId="18708"/>
    <cellStyle name="Normal 2 3 2 2 2 2 2 2 4 3 5" xfId="18709"/>
    <cellStyle name="Normal 2 3 2 2 2 2 2 2 4 3 5 2" xfId="18710"/>
    <cellStyle name="Normal 2 3 2 2 2 2 2 2 4 3 6" xfId="18711"/>
    <cellStyle name="Normal 2 3 2 2 2 2 2 2 4 3 6 2" xfId="18712"/>
    <cellStyle name="Normal 2 3 2 2 2 2 2 2 4 3 7" xfId="18713"/>
    <cellStyle name="Normal 2 3 2 2 2 2 2 2 4 3 7 2" xfId="18714"/>
    <cellStyle name="Normal 2 3 2 2 2 2 2 2 4 3 8" xfId="18715"/>
    <cellStyle name="Normal 2 3 2 2 2 2 2 2 4 3 8 2" xfId="18716"/>
    <cellStyle name="Normal 2 3 2 2 2 2 2 2 4 3 9" xfId="18717"/>
    <cellStyle name="Normal 2 3 2 2 2 2 2 2 4 3 9 2" xfId="18718"/>
    <cellStyle name="Normal 2 3 2 2 2 2 2 2 4 4" xfId="18719"/>
    <cellStyle name="Normal 2 3 2 2 2 2 2 2 4 4 2" xfId="18720"/>
    <cellStyle name="Normal 2 3 2 2 2 2 2 2 4 5" xfId="18721"/>
    <cellStyle name="Normal 2 3 2 2 2 2 2 2 4 5 2" xfId="18722"/>
    <cellStyle name="Normal 2 3 2 2 2 2 2 2 4 6" xfId="18723"/>
    <cellStyle name="Normal 2 3 2 2 2 2 2 2 4 6 2" xfId="18724"/>
    <cellStyle name="Normal 2 3 2 2 2 2 2 2 4 7" xfId="18725"/>
    <cellStyle name="Normal 2 3 2 2 2 2 2 2 4 7 2" xfId="18726"/>
    <cellStyle name="Normal 2 3 2 2 2 2 2 2 4 8" xfId="18727"/>
    <cellStyle name="Normal 2 3 2 2 2 2 2 2 4 8 2" xfId="18728"/>
    <cellStyle name="Normal 2 3 2 2 2 2 2 2 4 9" xfId="18729"/>
    <cellStyle name="Normal 2 3 2 2 2 2 2 2 4 9 2" xfId="18730"/>
    <cellStyle name="Normal 2 3 2 2 2 2 2 2 5" xfId="18731"/>
    <cellStyle name="Normal 2 3 2 2 2 2 2 2 5 10" xfId="18732"/>
    <cellStyle name="Normal 2 3 2 2 2 2 2 2 5 10 2" xfId="18733"/>
    <cellStyle name="Normal 2 3 2 2 2 2 2 2 5 11" xfId="18734"/>
    <cellStyle name="Normal 2 3 2 2 2 2 2 2 5 11 2" xfId="18735"/>
    <cellStyle name="Normal 2 3 2 2 2 2 2 2 5 12" xfId="18736"/>
    <cellStyle name="Normal 2 3 2 2 2 2 2 2 5 12 2" xfId="18737"/>
    <cellStyle name="Normal 2 3 2 2 2 2 2 2 5 13" xfId="18738"/>
    <cellStyle name="Normal 2 3 2 2 2 2 2 2 5 2" xfId="18739"/>
    <cellStyle name="Normal 2 3 2 2 2 2 2 2 5 2 10" xfId="18740"/>
    <cellStyle name="Normal 2 3 2 2 2 2 2 2 5 2 10 2" xfId="18741"/>
    <cellStyle name="Normal 2 3 2 2 2 2 2 2 5 2 11" xfId="18742"/>
    <cellStyle name="Normal 2 3 2 2 2 2 2 2 5 2 11 2" xfId="18743"/>
    <cellStyle name="Normal 2 3 2 2 2 2 2 2 5 2 12" xfId="18744"/>
    <cellStyle name="Normal 2 3 2 2 2 2 2 2 5 2 2" xfId="18745"/>
    <cellStyle name="Normal 2 3 2 2 2 2 2 2 5 2 2 10" xfId="18746"/>
    <cellStyle name="Normal 2 3 2 2 2 2 2 2 5 2 2 10 2" xfId="18747"/>
    <cellStyle name="Normal 2 3 2 2 2 2 2 2 5 2 2 11" xfId="18748"/>
    <cellStyle name="Normal 2 3 2 2 2 2 2 2 5 2 2 2" xfId="18749"/>
    <cellStyle name="Normal 2 3 2 2 2 2 2 2 5 2 2 2 2" xfId="18750"/>
    <cellStyle name="Normal 2 3 2 2 2 2 2 2 5 2 2 3" xfId="18751"/>
    <cellStyle name="Normal 2 3 2 2 2 2 2 2 5 2 2 3 2" xfId="18752"/>
    <cellStyle name="Normal 2 3 2 2 2 2 2 2 5 2 2 4" xfId="18753"/>
    <cellStyle name="Normal 2 3 2 2 2 2 2 2 5 2 2 4 2" xfId="18754"/>
    <cellStyle name="Normal 2 3 2 2 2 2 2 2 5 2 2 5" xfId="18755"/>
    <cellStyle name="Normal 2 3 2 2 2 2 2 2 5 2 2 5 2" xfId="18756"/>
    <cellStyle name="Normal 2 3 2 2 2 2 2 2 5 2 2 6" xfId="18757"/>
    <cellStyle name="Normal 2 3 2 2 2 2 2 2 5 2 2 6 2" xfId="18758"/>
    <cellStyle name="Normal 2 3 2 2 2 2 2 2 5 2 2 7" xfId="18759"/>
    <cellStyle name="Normal 2 3 2 2 2 2 2 2 5 2 2 7 2" xfId="18760"/>
    <cellStyle name="Normal 2 3 2 2 2 2 2 2 5 2 2 8" xfId="18761"/>
    <cellStyle name="Normal 2 3 2 2 2 2 2 2 5 2 2 8 2" xfId="18762"/>
    <cellStyle name="Normal 2 3 2 2 2 2 2 2 5 2 2 9" xfId="18763"/>
    <cellStyle name="Normal 2 3 2 2 2 2 2 2 5 2 2 9 2" xfId="18764"/>
    <cellStyle name="Normal 2 3 2 2 2 2 2 2 5 2 3" xfId="18765"/>
    <cellStyle name="Normal 2 3 2 2 2 2 2 2 5 2 3 2" xfId="18766"/>
    <cellStyle name="Normal 2 3 2 2 2 2 2 2 5 2 4" xfId="18767"/>
    <cellStyle name="Normal 2 3 2 2 2 2 2 2 5 2 4 2" xfId="18768"/>
    <cellStyle name="Normal 2 3 2 2 2 2 2 2 5 2 5" xfId="18769"/>
    <cellStyle name="Normal 2 3 2 2 2 2 2 2 5 2 5 2" xfId="18770"/>
    <cellStyle name="Normal 2 3 2 2 2 2 2 2 5 2 6" xfId="18771"/>
    <cellStyle name="Normal 2 3 2 2 2 2 2 2 5 2 6 2" xfId="18772"/>
    <cellStyle name="Normal 2 3 2 2 2 2 2 2 5 2 7" xfId="18773"/>
    <cellStyle name="Normal 2 3 2 2 2 2 2 2 5 2 7 2" xfId="18774"/>
    <cellStyle name="Normal 2 3 2 2 2 2 2 2 5 2 8" xfId="18775"/>
    <cellStyle name="Normal 2 3 2 2 2 2 2 2 5 2 8 2" xfId="18776"/>
    <cellStyle name="Normal 2 3 2 2 2 2 2 2 5 2 9" xfId="18777"/>
    <cellStyle name="Normal 2 3 2 2 2 2 2 2 5 2 9 2" xfId="18778"/>
    <cellStyle name="Normal 2 3 2 2 2 2 2 2 5 3" xfId="18779"/>
    <cellStyle name="Normal 2 3 2 2 2 2 2 2 5 3 10" xfId="18780"/>
    <cellStyle name="Normal 2 3 2 2 2 2 2 2 5 3 10 2" xfId="18781"/>
    <cellStyle name="Normal 2 3 2 2 2 2 2 2 5 3 11" xfId="18782"/>
    <cellStyle name="Normal 2 3 2 2 2 2 2 2 5 3 2" xfId="18783"/>
    <cellStyle name="Normal 2 3 2 2 2 2 2 2 5 3 2 2" xfId="18784"/>
    <cellStyle name="Normal 2 3 2 2 2 2 2 2 5 3 3" xfId="18785"/>
    <cellStyle name="Normal 2 3 2 2 2 2 2 2 5 3 3 2" xfId="18786"/>
    <cellStyle name="Normal 2 3 2 2 2 2 2 2 5 3 4" xfId="18787"/>
    <cellStyle name="Normal 2 3 2 2 2 2 2 2 5 3 4 2" xfId="18788"/>
    <cellStyle name="Normal 2 3 2 2 2 2 2 2 5 3 5" xfId="18789"/>
    <cellStyle name="Normal 2 3 2 2 2 2 2 2 5 3 5 2" xfId="18790"/>
    <cellStyle name="Normal 2 3 2 2 2 2 2 2 5 3 6" xfId="18791"/>
    <cellStyle name="Normal 2 3 2 2 2 2 2 2 5 3 6 2" xfId="18792"/>
    <cellStyle name="Normal 2 3 2 2 2 2 2 2 5 3 7" xfId="18793"/>
    <cellStyle name="Normal 2 3 2 2 2 2 2 2 5 3 7 2" xfId="18794"/>
    <cellStyle name="Normal 2 3 2 2 2 2 2 2 5 3 8" xfId="18795"/>
    <cellStyle name="Normal 2 3 2 2 2 2 2 2 5 3 8 2" xfId="18796"/>
    <cellStyle name="Normal 2 3 2 2 2 2 2 2 5 3 9" xfId="18797"/>
    <cellStyle name="Normal 2 3 2 2 2 2 2 2 5 3 9 2" xfId="18798"/>
    <cellStyle name="Normal 2 3 2 2 2 2 2 2 5 4" xfId="18799"/>
    <cellStyle name="Normal 2 3 2 2 2 2 2 2 5 4 2" xfId="18800"/>
    <cellStyle name="Normal 2 3 2 2 2 2 2 2 5 5" xfId="18801"/>
    <cellStyle name="Normal 2 3 2 2 2 2 2 2 5 5 2" xfId="18802"/>
    <cellStyle name="Normal 2 3 2 2 2 2 2 2 5 6" xfId="18803"/>
    <cellStyle name="Normal 2 3 2 2 2 2 2 2 5 6 2" xfId="18804"/>
    <cellStyle name="Normal 2 3 2 2 2 2 2 2 5 7" xfId="18805"/>
    <cellStyle name="Normal 2 3 2 2 2 2 2 2 5 7 2" xfId="18806"/>
    <cellStyle name="Normal 2 3 2 2 2 2 2 2 5 8" xfId="18807"/>
    <cellStyle name="Normal 2 3 2 2 2 2 2 2 5 8 2" xfId="18808"/>
    <cellStyle name="Normal 2 3 2 2 2 2 2 2 5 9" xfId="18809"/>
    <cellStyle name="Normal 2 3 2 2 2 2 2 2 5 9 2" xfId="18810"/>
    <cellStyle name="Normal 2 3 2 2 2 2 2 3" xfId="18811"/>
    <cellStyle name="Normal 2 3 2 2 2 2 2 4" xfId="18812"/>
    <cellStyle name="Normal 2 3 2 2 2 2 2 5" xfId="18813"/>
    <cellStyle name="Normal 2 3 2 2 2 2 2 6" xfId="18814"/>
    <cellStyle name="Normal 2 3 2 2 2 2 2 6 10" xfId="18815"/>
    <cellStyle name="Normal 2 3 2 2 2 2 2 6 10 2" xfId="18816"/>
    <cellStyle name="Normal 2 3 2 2 2 2 2 6 11" xfId="18817"/>
    <cellStyle name="Normal 2 3 2 2 2 2 2 6 11 2" xfId="18818"/>
    <cellStyle name="Normal 2 3 2 2 2 2 2 6 12" xfId="18819"/>
    <cellStyle name="Normal 2 3 2 2 2 2 2 6 2" xfId="18820"/>
    <cellStyle name="Normal 2 3 2 2 2 2 2 6 2 10" xfId="18821"/>
    <cellStyle name="Normal 2 3 2 2 2 2 2 6 2 10 2" xfId="18822"/>
    <cellStyle name="Normal 2 3 2 2 2 2 2 6 2 11" xfId="18823"/>
    <cellStyle name="Normal 2 3 2 2 2 2 2 6 2 2" xfId="18824"/>
    <cellStyle name="Normal 2 3 2 2 2 2 2 6 2 2 2" xfId="18825"/>
    <cellStyle name="Normal 2 3 2 2 2 2 2 6 2 3" xfId="18826"/>
    <cellStyle name="Normal 2 3 2 2 2 2 2 6 2 3 2" xfId="18827"/>
    <cellStyle name="Normal 2 3 2 2 2 2 2 6 2 4" xfId="18828"/>
    <cellStyle name="Normal 2 3 2 2 2 2 2 6 2 4 2" xfId="18829"/>
    <cellStyle name="Normal 2 3 2 2 2 2 2 6 2 5" xfId="18830"/>
    <cellStyle name="Normal 2 3 2 2 2 2 2 6 2 5 2" xfId="18831"/>
    <cellStyle name="Normal 2 3 2 2 2 2 2 6 2 6" xfId="18832"/>
    <cellStyle name="Normal 2 3 2 2 2 2 2 6 2 6 2" xfId="18833"/>
    <cellStyle name="Normal 2 3 2 2 2 2 2 6 2 7" xfId="18834"/>
    <cellStyle name="Normal 2 3 2 2 2 2 2 6 2 7 2" xfId="18835"/>
    <cellStyle name="Normal 2 3 2 2 2 2 2 6 2 8" xfId="18836"/>
    <cellStyle name="Normal 2 3 2 2 2 2 2 6 2 8 2" xfId="18837"/>
    <cellStyle name="Normal 2 3 2 2 2 2 2 6 2 9" xfId="18838"/>
    <cellStyle name="Normal 2 3 2 2 2 2 2 6 2 9 2" xfId="18839"/>
    <cellStyle name="Normal 2 3 2 2 2 2 2 6 3" xfId="18840"/>
    <cellStyle name="Normal 2 3 2 2 2 2 2 6 3 2" xfId="18841"/>
    <cellStyle name="Normal 2 3 2 2 2 2 2 6 4" xfId="18842"/>
    <cellStyle name="Normal 2 3 2 2 2 2 2 6 4 2" xfId="18843"/>
    <cellStyle name="Normal 2 3 2 2 2 2 2 6 5" xfId="18844"/>
    <cellStyle name="Normal 2 3 2 2 2 2 2 6 5 2" xfId="18845"/>
    <cellStyle name="Normal 2 3 2 2 2 2 2 6 6" xfId="18846"/>
    <cellStyle name="Normal 2 3 2 2 2 2 2 6 6 2" xfId="18847"/>
    <cellStyle name="Normal 2 3 2 2 2 2 2 6 7" xfId="18848"/>
    <cellStyle name="Normal 2 3 2 2 2 2 2 6 7 2" xfId="18849"/>
    <cellStyle name="Normal 2 3 2 2 2 2 2 6 8" xfId="18850"/>
    <cellStyle name="Normal 2 3 2 2 2 2 2 6 8 2" xfId="18851"/>
    <cellStyle name="Normal 2 3 2 2 2 2 2 6 9" xfId="18852"/>
    <cellStyle name="Normal 2 3 2 2 2 2 2 6 9 2" xfId="18853"/>
    <cellStyle name="Normal 2 3 2 2 2 2 2 7" xfId="18854"/>
    <cellStyle name="Normal 2 3 2 2 2 2 2 7 10" xfId="18855"/>
    <cellStyle name="Normal 2 3 2 2 2 2 2 7 10 2" xfId="18856"/>
    <cellStyle name="Normal 2 3 2 2 2 2 2 7 11" xfId="18857"/>
    <cellStyle name="Normal 2 3 2 2 2 2 2 7 2" xfId="18858"/>
    <cellStyle name="Normal 2 3 2 2 2 2 2 7 2 2" xfId="18859"/>
    <cellStyle name="Normal 2 3 2 2 2 2 2 7 3" xfId="18860"/>
    <cellStyle name="Normal 2 3 2 2 2 2 2 7 3 2" xfId="18861"/>
    <cellStyle name="Normal 2 3 2 2 2 2 2 7 4" xfId="18862"/>
    <cellStyle name="Normal 2 3 2 2 2 2 2 7 4 2" xfId="18863"/>
    <cellStyle name="Normal 2 3 2 2 2 2 2 7 5" xfId="18864"/>
    <cellStyle name="Normal 2 3 2 2 2 2 2 7 5 2" xfId="18865"/>
    <cellStyle name="Normal 2 3 2 2 2 2 2 7 6" xfId="18866"/>
    <cellStyle name="Normal 2 3 2 2 2 2 2 7 6 2" xfId="18867"/>
    <cellStyle name="Normal 2 3 2 2 2 2 2 7 7" xfId="18868"/>
    <cellStyle name="Normal 2 3 2 2 2 2 2 7 7 2" xfId="18869"/>
    <cellStyle name="Normal 2 3 2 2 2 2 2 7 8" xfId="18870"/>
    <cellStyle name="Normal 2 3 2 2 2 2 2 7 8 2" xfId="18871"/>
    <cellStyle name="Normal 2 3 2 2 2 2 2 7 9" xfId="18872"/>
    <cellStyle name="Normal 2 3 2 2 2 2 2 7 9 2" xfId="18873"/>
    <cellStyle name="Normal 2 3 2 2 2 2 2 8" xfId="18874"/>
    <cellStyle name="Normal 2 3 2 2 2 2 2 8 2" xfId="18875"/>
    <cellStyle name="Normal 2 3 2 2 2 2 2 9" xfId="18876"/>
    <cellStyle name="Normal 2 3 2 2 2 2 2 9 2" xfId="18877"/>
    <cellStyle name="Normal 2 3 2 2 2 2 3" xfId="18878"/>
    <cellStyle name="Normal 2 3 2 2 2 2 3 10" xfId="18879"/>
    <cellStyle name="Normal 2 3 2 2 2 2 3 10 2" xfId="18880"/>
    <cellStyle name="Normal 2 3 2 2 2 2 3 11" xfId="18881"/>
    <cellStyle name="Normal 2 3 2 2 2 2 3 11 2" xfId="18882"/>
    <cellStyle name="Normal 2 3 2 2 2 2 3 12" xfId="18883"/>
    <cellStyle name="Normal 2 3 2 2 2 2 3 12 2" xfId="18884"/>
    <cellStyle name="Normal 2 3 2 2 2 2 3 13" xfId="18885"/>
    <cellStyle name="Normal 2 3 2 2 2 2 3 2" xfId="18886"/>
    <cellStyle name="Normal 2 3 2 2 2 2 3 2 10" xfId="18887"/>
    <cellStyle name="Normal 2 3 2 2 2 2 3 2 10 2" xfId="18888"/>
    <cellStyle name="Normal 2 3 2 2 2 2 3 2 11" xfId="18889"/>
    <cellStyle name="Normal 2 3 2 2 2 2 3 2 11 2" xfId="18890"/>
    <cellStyle name="Normal 2 3 2 2 2 2 3 2 12" xfId="18891"/>
    <cellStyle name="Normal 2 3 2 2 2 2 3 2 2" xfId="18892"/>
    <cellStyle name="Normal 2 3 2 2 2 2 3 2 2 10" xfId="18893"/>
    <cellStyle name="Normal 2 3 2 2 2 2 3 2 2 10 2" xfId="18894"/>
    <cellStyle name="Normal 2 3 2 2 2 2 3 2 2 11" xfId="18895"/>
    <cellStyle name="Normal 2 3 2 2 2 2 3 2 2 2" xfId="18896"/>
    <cellStyle name="Normal 2 3 2 2 2 2 3 2 2 2 2" xfId="18897"/>
    <cellStyle name="Normal 2 3 2 2 2 2 3 2 2 3" xfId="18898"/>
    <cellStyle name="Normal 2 3 2 2 2 2 3 2 2 3 2" xfId="18899"/>
    <cellStyle name="Normal 2 3 2 2 2 2 3 2 2 4" xfId="18900"/>
    <cellStyle name="Normal 2 3 2 2 2 2 3 2 2 4 2" xfId="18901"/>
    <cellStyle name="Normal 2 3 2 2 2 2 3 2 2 5" xfId="18902"/>
    <cellStyle name="Normal 2 3 2 2 2 2 3 2 2 5 2" xfId="18903"/>
    <cellStyle name="Normal 2 3 2 2 2 2 3 2 2 6" xfId="18904"/>
    <cellStyle name="Normal 2 3 2 2 2 2 3 2 2 6 2" xfId="18905"/>
    <cellStyle name="Normal 2 3 2 2 2 2 3 2 2 7" xfId="18906"/>
    <cellStyle name="Normal 2 3 2 2 2 2 3 2 2 7 2" xfId="18907"/>
    <cellStyle name="Normal 2 3 2 2 2 2 3 2 2 8" xfId="18908"/>
    <cellStyle name="Normal 2 3 2 2 2 2 3 2 2 8 2" xfId="18909"/>
    <cellStyle name="Normal 2 3 2 2 2 2 3 2 2 9" xfId="18910"/>
    <cellStyle name="Normal 2 3 2 2 2 2 3 2 2 9 2" xfId="18911"/>
    <cellStyle name="Normal 2 3 2 2 2 2 3 2 3" xfId="18912"/>
    <cellStyle name="Normal 2 3 2 2 2 2 3 2 3 2" xfId="18913"/>
    <cellStyle name="Normal 2 3 2 2 2 2 3 2 4" xfId="18914"/>
    <cellStyle name="Normal 2 3 2 2 2 2 3 2 4 2" xfId="18915"/>
    <cellStyle name="Normal 2 3 2 2 2 2 3 2 5" xfId="18916"/>
    <cellStyle name="Normal 2 3 2 2 2 2 3 2 5 2" xfId="18917"/>
    <cellStyle name="Normal 2 3 2 2 2 2 3 2 6" xfId="18918"/>
    <cellStyle name="Normal 2 3 2 2 2 2 3 2 6 2" xfId="18919"/>
    <cellStyle name="Normal 2 3 2 2 2 2 3 2 7" xfId="18920"/>
    <cellStyle name="Normal 2 3 2 2 2 2 3 2 7 2" xfId="18921"/>
    <cellStyle name="Normal 2 3 2 2 2 2 3 2 8" xfId="18922"/>
    <cellStyle name="Normal 2 3 2 2 2 2 3 2 8 2" xfId="18923"/>
    <cellStyle name="Normal 2 3 2 2 2 2 3 2 9" xfId="18924"/>
    <cellStyle name="Normal 2 3 2 2 2 2 3 2 9 2" xfId="18925"/>
    <cellStyle name="Normal 2 3 2 2 2 2 3 3" xfId="18926"/>
    <cellStyle name="Normal 2 3 2 2 2 2 3 3 10" xfId="18927"/>
    <cellStyle name="Normal 2 3 2 2 2 2 3 3 10 2" xfId="18928"/>
    <cellStyle name="Normal 2 3 2 2 2 2 3 3 11" xfId="18929"/>
    <cellStyle name="Normal 2 3 2 2 2 2 3 3 2" xfId="18930"/>
    <cellStyle name="Normal 2 3 2 2 2 2 3 3 2 2" xfId="18931"/>
    <cellStyle name="Normal 2 3 2 2 2 2 3 3 3" xfId="18932"/>
    <cellStyle name="Normal 2 3 2 2 2 2 3 3 3 2" xfId="18933"/>
    <cellStyle name="Normal 2 3 2 2 2 2 3 3 4" xfId="18934"/>
    <cellStyle name="Normal 2 3 2 2 2 2 3 3 4 2" xfId="18935"/>
    <cellStyle name="Normal 2 3 2 2 2 2 3 3 5" xfId="18936"/>
    <cellStyle name="Normal 2 3 2 2 2 2 3 3 5 2" xfId="18937"/>
    <cellStyle name="Normal 2 3 2 2 2 2 3 3 6" xfId="18938"/>
    <cellStyle name="Normal 2 3 2 2 2 2 3 3 6 2" xfId="18939"/>
    <cellStyle name="Normal 2 3 2 2 2 2 3 3 7" xfId="18940"/>
    <cellStyle name="Normal 2 3 2 2 2 2 3 3 7 2" xfId="18941"/>
    <cellStyle name="Normal 2 3 2 2 2 2 3 3 8" xfId="18942"/>
    <cellStyle name="Normal 2 3 2 2 2 2 3 3 8 2" xfId="18943"/>
    <cellStyle name="Normal 2 3 2 2 2 2 3 3 9" xfId="18944"/>
    <cellStyle name="Normal 2 3 2 2 2 2 3 3 9 2" xfId="18945"/>
    <cellStyle name="Normal 2 3 2 2 2 2 3 4" xfId="18946"/>
    <cellStyle name="Normal 2 3 2 2 2 2 3 4 2" xfId="18947"/>
    <cellStyle name="Normal 2 3 2 2 2 2 3 5" xfId="18948"/>
    <cellStyle name="Normal 2 3 2 2 2 2 3 5 2" xfId="18949"/>
    <cellStyle name="Normal 2 3 2 2 2 2 3 6" xfId="18950"/>
    <cellStyle name="Normal 2 3 2 2 2 2 3 6 2" xfId="18951"/>
    <cellStyle name="Normal 2 3 2 2 2 2 3 7" xfId="18952"/>
    <cellStyle name="Normal 2 3 2 2 2 2 3 7 2" xfId="18953"/>
    <cellStyle name="Normal 2 3 2 2 2 2 3 8" xfId="18954"/>
    <cellStyle name="Normal 2 3 2 2 2 2 3 8 2" xfId="18955"/>
    <cellStyle name="Normal 2 3 2 2 2 2 3 9" xfId="18956"/>
    <cellStyle name="Normal 2 3 2 2 2 2 3 9 2" xfId="18957"/>
    <cellStyle name="Normal 2 3 2 2 2 2 4" xfId="18958"/>
    <cellStyle name="Normal 2 3 2 2 2 2 4 10" xfId="18959"/>
    <cellStyle name="Normal 2 3 2 2 2 2 4 10 2" xfId="18960"/>
    <cellStyle name="Normal 2 3 2 2 2 2 4 11" xfId="18961"/>
    <cellStyle name="Normal 2 3 2 2 2 2 4 11 2" xfId="18962"/>
    <cellStyle name="Normal 2 3 2 2 2 2 4 12" xfId="18963"/>
    <cellStyle name="Normal 2 3 2 2 2 2 4 12 2" xfId="18964"/>
    <cellStyle name="Normal 2 3 2 2 2 2 4 13" xfId="18965"/>
    <cellStyle name="Normal 2 3 2 2 2 2 4 2" xfId="18966"/>
    <cellStyle name="Normal 2 3 2 2 2 2 4 2 10" xfId="18967"/>
    <cellStyle name="Normal 2 3 2 2 2 2 4 2 10 2" xfId="18968"/>
    <cellStyle name="Normal 2 3 2 2 2 2 4 2 11" xfId="18969"/>
    <cellStyle name="Normal 2 3 2 2 2 2 4 2 11 2" xfId="18970"/>
    <cellStyle name="Normal 2 3 2 2 2 2 4 2 12" xfId="18971"/>
    <cellStyle name="Normal 2 3 2 2 2 2 4 2 2" xfId="18972"/>
    <cellStyle name="Normal 2 3 2 2 2 2 4 2 2 10" xfId="18973"/>
    <cellStyle name="Normal 2 3 2 2 2 2 4 2 2 10 2" xfId="18974"/>
    <cellStyle name="Normal 2 3 2 2 2 2 4 2 2 11" xfId="18975"/>
    <cellStyle name="Normal 2 3 2 2 2 2 4 2 2 2" xfId="18976"/>
    <cellStyle name="Normal 2 3 2 2 2 2 4 2 2 2 2" xfId="18977"/>
    <cellStyle name="Normal 2 3 2 2 2 2 4 2 2 3" xfId="18978"/>
    <cellStyle name="Normal 2 3 2 2 2 2 4 2 2 3 2" xfId="18979"/>
    <cellStyle name="Normal 2 3 2 2 2 2 4 2 2 4" xfId="18980"/>
    <cellStyle name="Normal 2 3 2 2 2 2 4 2 2 4 2" xfId="18981"/>
    <cellStyle name="Normal 2 3 2 2 2 2 4 2 2 5" xfId="18982"/>
    <cellStyle name="Normal 2 3 2 2 2 2 4 2 2 5 2" xfId="18983"/>
    <cellStyle name="Normal 2 3 2 2 2 2 4 2 2 6" xfId="18984"/>
    <cellStyle name="Normal 2 3 2 2 2 2 4 2 2 6 2" xfId="18985"/>
    <cellStyle name="Normal 2 3 2 2 2 2 4 2 2 7" xfId="18986"/>
    <cellStyle name="Normal 2 3 2 2 2 2 4 2 2 7 2" xfId="18987"/>
    <cellStyle name="Normal 2 3 2 2 2 2 4 2 2 8" xfId="18988"/>
    <cellStyle name="Normal 2 3 2 2 2 2 4 2 2 8 2" xfId="18989"/>
    <cellStyle name="Normal 2 3 2 2 2 2 4 2 2 9" xfId="18990"/>
    <cellStyle name="Normal 2 3 2 2 2 2 4 2 2 9 2" xfId="18991"/>
    <cellStyle name="Normal 2 3 2 2 2 2 4 2 3" xfId="18992"/>
    <cellStyle name="Normal 2 3 2 2 2 2 4 2 3 2" xfId="18993"/>
    <cellStyle name="Normal 2 3 2 2 2 2 4 2 4" xfId="18994"/>
    <cellStyle name="Normal 2 3 2 2 2 2 4 2 4 2" xfId="18995"/>
    <cellStyle name="Normal 2 3 2 2 2 2 4 2 5" xfId="18996"/>
    <cellStyle name="Normal 2 3 2 2 2 2 4 2 5 2" xfId="18997"/>
    <cellStyle name="Normal 2 3 2 2 2 2 4 2 6" xfId="18998"/>
    <cellStyle name="Normal 2 3 2 2 2 2 4 2 6 2" xfId="18999"/>
    <cellStyle name="Normal 2 3 2 2 2 2 4 2 7" xfId="19000"/>
    <cellStyle name="Normal 2 3 2 2 2 2 4 2 7 2" xfId="19001"/>
    <cellStyle name="Normal 2 3 2 2 2 2 4 2 8" xfId="19002"/>
    <cellStyle name="Normal 2 3 2 2 2 2 4 2 8 2" xfId="19003"/>
    <cellStyle name="Normal 2 3 2 2 2 2 4 2 9" xfId="19004"/>
    <cellStyle name="Normal 2 3 2 2 2 2 4 2 9 2" xfId="19005"/>
    <cellStyle name="Normal 2 3 2 2 2 2 4 3" xfId="19006"/>
    <cellStyle name="Normal 2 3 2 2 2 2 4 3 10" xfId="19007"/>
    <cellStyle name="Normal 2 3 2 2 2 2 4 3 10 2" xfId="19008"/>
    <cellStyle name="Normal 2 3 2 2 2 2 4 3 11" xfId="19009"/>
    <cellStyle name="Normal 2 3 2 2 2 2 4 3 2" xfId="19010"/>
    <cellStyle name="Normal 2 3 2 2 2 2 4 3 2 2" xfId="19011"/>
    <cellStyle name="Normal 2 3 2 2 2 2 4 3 3" xfId="19012"/>
    <cellStyle name="Normal 2 3 2 2 2 2 4 3 3 2" xfId="19013"/>
    <cellStyle name="Normal 2 3 2 2 2 2 4 3 4" xfId="19014"/>
    <cellStyle name="Normal 2 3 2 2 2 2 4 3 4 2" xfId="19015"/>
    <cellStyle name="Normal 2 3 2 2 2 2 4 3 5" xfId="19016"/>
    <cellStyle name="Normal 2 3 2 2 2 2 4 3 5 2" xfId="19017"/>
    <cellStyle name="Normal 2 3 2 2 2 2 4 3 6" xfId="19018"/>
    <cellStyle name="Normal 2 3 2 2 2 2 4 3 6 2" xfId="19019"/>
    <cellStyle name="Normal 2 3 2 2 2 2 4 3 7" xfId="19020"/>
    <cellStyle name="Normal 2 3 2 2 2 2 4 3 7 2" xfId="19021"/>
    <cellStyle name="Normal 2 3 2 2 2 2 4 3 8" xfId="19022"/>
    <cellStyle name="Normal 2 3 2 2 2 2 4 3 8 2" xfId="19023"/>
    <cellStyle name="Normal 2 3 2 2 2 2 4 3 9" xfId="19024"/>
    <cellStyle name="Normal 2 3 2 2 2 2 4 3 9 2" xfId="19025"/>
    <cellStyle name="Normal 2 3 2 2 2 2 4 4" xfId="19026"/>
    <cellStyle name="Normal 2 3 2 2 2 2 4 4 2" xfId="19027"/>
    <cellStyle name="Normal 2 3 2 2 2 2 4 5" xfId="19028"/>
    <cellStyle name="Normal 2 3 2 2 2 2 4 5 2" xfId="19029"/>
    <cellStyle name="Normal 2 3 2 2 2 2 4 6" xfId="19030"/>
    <cellStyle name="Normal 2 3 2 2 2 2 4 6 2" xfId="19031"/>
    <cellStyle name="Normal 2 3 2 2 2 2 4 7" xfId="19032"/>
    <cellStyle name="Normal 2 3 2 2 2 2 4 7 2" xfId="19033"/>
    <cellStyle name="Normal 2 3 2 2 2 2 4 8" xfId="19034"/>
    <cellStyle name="Normal 2 3 2 2 2 2 4 8 2" xfId="19035"/>
    <cellStyle name="Normal 2 3 2 2 2 2 4 9" xfId="19036"/>
    <cellStyle name="Normal 2 3 2 2 2 2 4 9 2" xfId="19037"/>
    <cellStyle name="Normal 2 3 2 2 2 2 5" xfId="19038"/>
    <cellStyle name="Normal 2 3 2 2 2 2 5 10" xfId="19039"/>
    <cellStyle name="Normal 2 3 2 2 2 2 5 10 2" xfId="19040"/>
    <cellStyle name="Normal 2 3 2 2 2 2 5 11" xfId="19041"/>
    <cellStyle name="Normal 2 3 2 2 2 2 5 11 2" xfId="19042"/>
    <cellStyle name="Normal 2 3 2 2 2 2 5 12" xfId="19043"/>
    <cellStyle name="Normal 2 3 2 2 2 2 5 12 2" xfId="19044"/>
    <cellStyle name="Normal 2 3 2 2 2 2 5 13" xfId="19045"/>
    <cellStyle name="Normal 2 3 2 2 2 2 5 2" xfId="19046"/>
    <cellStyle name="Normal 2 3 2 2 2 2 5 2 10" xfId="19047"/>
    <cellStyle name="Normal 2 3 2 2 2 2 5 2 10 2" xfId="19048"/>
    <cellStyle name="Normal 2 3 2 2 2 2 5 2 11" xfId="19049"/>
    <cellStyle name="Normal 2 3 2 2 2 2 5 2 11 2" xfId="19050"/>
    <cellStyle name="Normal 2 3 2 2 2 2 5 2 12" xfId="19051"/>
    <cellStyle name="Normal 2 3 2 2 2 2 5 2 2" xfId="19052"/>
    <cellStyle name="Normal 2 3 2 2 2 2 5 2 2 10" xfId="19053"/>
    <cellStyle name="Normal 2 3 2 2 2 2 5 2 2 10 2" xfId="19054"/>
    <cellStyle name="Normal 2 3 2 2 2 2 5 2 2 11" xfId="19055"/>
    <cellStyle name="Normal 2 3 2 2 2 2 5 2 2 2" xfId="19056"/>
    <cellStyle name="Normal 2 3 2 2 2 2 5 2 2 2 2" xfId="19057"/>
    <cellStyle name="Normal 2 3 2 2 2 2 5 2 2 3" xfId="19058"/>
    <cellStyle name="Normal 2 3 2 2 2 2 5 2 2 3 2" xfId="19059"/>
    <cellStyle name="Normal 2 3 2 2 2 2 5 2 2 4" xfId="19060"/>
    <cellStyle name="Normal 2 3 2 2 2 2 5 2 2 4 2" xfId="19061"/>
    <cellStyle name="Normal 2 3 2 2 2 2 5 2 2 5" xfId="19062"/>
    <cellStyle name="Normal 2 3 2 2 2 2 5 2 2 5 2" xfId="19063"/>
    <cellStyle name="Normal 2 3 2 2 2 2 5 2 2 6" xfId="19064"/>
    <cellStyle name="Normal 2 3 2 2 2 2 5 2 2 6 2" xfId="19065"/>
    <cellStyle name="Normal 2 3 2 2 2 2 5 2 2 7" xfId="19066"/>
    <cellStyle name="Normal 2 3 2 2 2 2 5 2 2 7 2" xfId="19067"/>
    <cellStyle name="Normal 2 3 2 2 2 2 5 2 2 8" xfId="19068"/>
    <cellStyle name="Normal 2 3 2 2 2 2 5 2 2 8 2" xfId="19069"/>
    <cellStyle name="Normal 2 3 2 2 2 2 5 2 2 9" xfId="19070"/>
    <cellStyle name="Normal 2 3 2 2 2 2 5 2 2 9 2" xfId="19071"/>
    <cellStyle name="Normal 2 3 2 2 2 2 5 2 3" xfId="19072"/>
    <cellStyle name="Normal 2 3 2 2 2 2 5 2 3 2" xfId="19073"/>
    <cellStyle name="Normal 2 3 2 2 2 2 5 2 4" xfId="19074"/>
    <cellStyle name="Normal 2 3 2 2 2 2 5 2 4 2" xfId="19075"/>
    <cellStyle name="Normal 2 3 2 2 2 2 5 2 5" xfId="19076"/>
    <cellStyle name="Normal 2 3 2 2 2 2 5 2 5 2" xfId="19077"/>
    <cellStyle name="Normal 2 3 2 2 2 2 5 2 6" xfId="19078"/>
    <cellStyle name="Normal 2 3 2 2 2 2 5 2 6 2" xfId="19079"/>
    <cellStyle name="Normal 2 3 2 2 2 2 5 2 7" xfId="19080"/>
    <cellStyle name="Normal 2 3 2 2 2 2 5 2 7 2" xfId="19081"/>
    <cellStyle name="Normal 2 3 2 2 2 2 5 2 8" xfId="19082"/>
    <cellStyle name="Normal 2 3 2 2 2 2 5 2 8 2" xfId="19083"/>
    <cellStyle name="Normal 2 3 2 2 2 2 5 2 9" xfId="19084"/>
    <cellStyle name="Normal 2 3 2 2 2 2 5 2 9 2" xfId="19085"/>
    <cellStyle name="Normal 2 3 2 2 2 2 5 3" xfId="19086"/>
    <cellStyle name="Normal 2 3 2 2 2 2 5 3 10" xfId="19087"/>
    <cellStyle name="Normal 2 3 2 2 2 2 5 3 10 2" xfId="19088"/>
    <cellStyle name="Normal 2 3 2 2 2 2 5 3 11" xfId="19089"/>
    <cellStyle name="Normal 2 3 2 2 2 2 5 3 2" xfId="19090"/>
    <cellStyle name="Normal 2 3 2 2 2 2 5 3 2 2" xfId="19091"/>
    <cellStyle name="Normal 2 3 2 2 2 2 5 3 3" xfId="19092"/>
    <cellStyle name="Normal 2 3 2 2 2 2 5 3 3 2" xfId="19093"/>
    <cellStyle name="Normal 2 3 2 2 2 2 5 3 4" xfId="19094"/>
    <cellStyle name="Normal 2 3 2 2 2 2 5 3 4 2" xfId="19095"/>
    <cellStyle name="Normal 2 3 2 2 2 2 5 3 5" xfId="19096"/>
    <cellStyle name="Normal 2 3 2 2 2 2 5 3 5 2" xfId="19097"/>
    <cellStyle name="Normal 2 3 2 2 2 2 5 3 6" xfId="19098"/>
    <cellStyle name="Normal 2 3 2 2 2 2 5 3 6 2" xfId="19099"/>
    <cellStyle name="Normal 2 3 2 2 2 2 5 3 7" xfId="19100"/>
    <cellStyle name="Normal 2 3 2 2 2 2 5 3 7 2" xfId="19101"/>
    <cellStyle name="Normal 2 3 2 2 2 2 5 3 8" xfId="19102"/>
    <cellStyle name="Normal 2 3 2 2 2 2 5 3 8 2" xfId="19103"/>
    <cellStyle name="Normal 2 3 2 2 2 2 5 3 9" xfId="19104"/>
    <cellStyle name="Normal 2 3 2 2 2 2 5 3 9 2" xfId="19105"/>
    <cellStyle name="Normal 2 3 2 2 2 2 5 4" xfId="19106"/>
    <cellStyle name="Normal 2 3 2 2 2 2 5 4 2" xfId="19107"/>
    <cellStyle name="Normal 2 3 2 2 2 2 5 5" xfId="19108"/>
    <cellStyle name="Normal 2 3 2 2 2 2 5 5 2" xfId="19109"/>
    <cellStyle name="Normal 2 3 2 2 2 2 5 6" xfId="19110"/>
    <cellStyle name="Normal 2 3 2 2 2 2 5 6 2" xfId="19111"/>
    <cellStyle name="Normal 2 3 2 2 2 2 5 7" xfId="19112"/>
    <cellStyle name="Normal 2 3 2 2 2 2 5 7 2" xfId="19113"/>
    <cellStyle name="Normal 2 3 2 2 2 2 5 8" xfId="19114"/>
    <cellStyle name="Normal 2 3 2 2 2 2 5 8 2" xfId="19115"/>
    <cellStyle name="Normal 2 3 2 2 2 2 5 9" xfId="19116"/>
    <cellStyle name="Normal 2 3 2 2 2 2 5 9 2" xfId="19117"/>
    <cellStyle name="Normal 2 3 2 2 2 2 6" xfId="19118"/>
    <cellStyle name="Normal 2 3 2 2 2 2 6 10" xfId="19119"/>
    <cellStyle name="Normal 2 3 2 2 2 2 6 10 2" xfId="19120"/>
    <cellStyle name="Normal 2 3 2 2 2 2 6 11" xfId="19121"/>
    <cellStyle name="Normal 2 3 2 2 2 2 6 11 2" xfId="19122"/>
    <cellStyle name="Normal 2 3 2 2 2 2 6 12" xfId="19123"/>
    <cellStyle name="Normal 2 3 2 2 2 2 6 12 2" xfId="19124"/>
    <cellStyle name="Normal 2 3 2 2 2 2 6 13" xfId="19125"/>
    <cellStyle name="Normal 2 3 2 2 2 2 6 2" xfId="19126"/>
    <cellStyle name="Normal 2 3 2 2 2 2 6 2 10" xfId="19127"/>
    <cellStyle name="Normal 2 3 2 2 2 2 6 2 10 2" xfId="19128"/>
    <cellStyle name="Normal 2 3 2 2 2 2 6 2 11" xfId="19129"/>
    <cellStyle name="Normal 2 3 2 2 2 2 6 2 11 2" xfId="19130"/>
    <cellStyle name="Normal 2 3 2 2 2 2 6 2 12" xfId="19131"/>
    <cellStyle name="Normal 2 3 2 2 2 2 6 2 2" xfId="19132"/>
    <cellStyle name="Normal 2 3 2 2 2 2 6 2 2 10" xfId="19133"/>
    <cellStyle name="Normal 2 3 2 2 2 2 6 2 2 10 2" xfId="19134"/>
    <cellStyle name="Normal 2 3 2 2 2 2 6 2 2 11" xfId="19135"/>
    <cellStyle name="Normal 2 3 2 2 2 2 6 2 2 2" xfId="19136"/>
    <cellStyle name="Normal 2 3 2 2 2 2 6 2 2 2 2" xfId="19137"/>
    <cellStyle name="Normal 2 3 2 2 2 2 6 2 2 3" xfId="19138"/>
    <cellStyle name="Normal 2 3 2 2 2 2 6 2 2 3 2" xfId="19139"/>
    <cellStyle name="Normal 2 3 2 2 2 2 6 2 2 4" xfId="19140"/>
    <cellStyle name="Normal 2 3 2 2 2 2 6 2 2 4 2" xfId="19141"/>
    <cellStyle name="Normal 2 3 2 2 2 2 6 2 2 5" xfId="19142"/>
    <cellStyle name="Normal 2 3 2 2 2 2 6 2 2 5 2" xfId="19143"/>
    <cellStyle name="Normal 2 3 2 2 2 2 6 2 2 6" xfId="19144"/>
    <cellStyle name="Normal 2 3 2 2 2 2 6 2 2 6 2" xfId="19145"/>
    <cellStyle name="Normal 2 3 2 2 2 2 6 2 2 7" xfId="19146"/>
    <cellStyle name="Normal 2 3 2 2 2 2 6 2 2 7 2" xfId="19147"/>
    <cellStyle name="Normal 2 3 2 2 2 2 6 2 2 8" xfId="19148"/>
    <cellStyle name="Normal 2 3 2 2 2 2 6 2 2 8 2" xfId="19149"/>
    <cellStyle name="Normal 2 3 2 2 2 2 6 2 2 9" xfId="19150"/>
    <cellStyle name="Normal 2 3 2 2 2 2 6 2 2 9 2" xfId="19151"/>
    <cellStyle name="Normal 2 3 2 2 2 2 6 2 3" xfId="19152"/>
    <cellStyle name="Normal 2 3 2 2 2 2 6 2 3 2" xfId="19153"/>
    <cellStyle name="Normal 2 3 2 2 2 2 6 2 4" xfId="19154"/>
    <cellStyle name="Normal 2 3 2 2 2 2 6 2 4 2" xfId="19155"/>
    <cellStyle name="Normal 2 3 2 2 2 2 6 2 5" xfId="19156"/>
    <cellStyle name="Normal 2 3 2 2 2 2 6 2 5 2" xfId="19157"/>
    <cellStyle name="Normal 2 3 2 2 2 2 6 2 6" xfId="19158"/>
    <cellStyle name="Normal 2 3 2 2 2 2 6 2 6 2" xfId="19159"/>
    <cellStyle name="Normal 2 3 2 2 2 2 6 2 7" xfId="19160"/>
    <cellStyle name="Normal 2 3 2 2 2 2 6 2 7 2" xfId="19161"/>
    <cellStyle name="Normal 2 3 2 2 2 2 6 2 8" xfId="19162"/>
    <cellStyle name="Normal 2 3 2 2 2 2 6 2 8 2" xfId="19163"/>
    <cellStyle name="Normal 2 3 2 2 2 2 6 2 9" xfId="19164"/>
    <cellStyle name="Normal 2 3 2 2 2 2 6 2 9 2" xfId="19165"/>
    <cellStyle name="Normal 2 3 2 2 2 2 6 3" xfId="19166"/>
    <cellStyle name="Normal 2 3 2 2 2 2 6 3 10" xfId="19167"/>
    <cellStyle name="Normal 2 3 2 2 2 2 6 3 10 2" xfId="19168"/>
    <cellStyle name="Normal 2 3 2 2 2 2 6 3 11" xfId="19169"/>
    <cellStyle name="Normal 2 3 2 2 2 2 6 3 2" xfId="19170"/>
    <cellStyle name="Normal 2 3 2 2 2 2 6 3 2 2" xfId="19171"/>
    <cellStyle name="Normal 2 3 2 2 2 2 6 3 3" xfId="19172"/>
    <cellStyle name="Normal 2 3 2 2 2 2 6 3 3 2" xfId="19173"/>
    <cellStyle name="Normal 2 3 2 2 2 2 6 3 4" xfId="19174"/>
    <cellStyle name="Normal 2 3 2 2 2 2 6 3 4 2" xfId="19175"/>
    <cellStyle name="Normal 2 3 2 2 2 2 6 3 5" xfId="19176"/>
    <cellStyle name="Normal 2 3 2 2 2 2 6 3 5 2" xfId="19177"/>
    <cellStyle name="Normal 2 3 2 2 2 2 6 3 6" xfId="19178"/>
    <cellStyle name="Normal 2 3 2 2 2 2 6 3 6 2" xfId="19179"/>
    <cellStyle name="Normal 2 3 2 2 2 2 6 3 7" xfId="19180"/>
    <cellStyle name="Normal 2 3 2 2 2 2 6 3 7 2" xfId="19181"/>
    <cellStyle name="Normal 2 3 2 2 2 2 6 3 8" xfId="19182"/>
    <cellStyle name="Normal 2 3 2 2 2 2 6 3 8 2" xfId="19183"/>
    <cellStyle name="Normal 2 3 2 2 2 2 6 3 9" xfId="19184"/>
    <cellStyle name="Normal 2 3 2 2 2 2 6 3 9 2" xfId="19185"/>
    <cellStyle name="Normal 2 3 2 2 2 2 6 4" xfId="19186"/>
    <cellStyle name="Normal 2 3 2 2 2 2 6 4 2" xfId="19187"/>
    <cellStyle name="Normal 2 3 2 2 2 2 6 5" xfId="19188"/>
    <cellStyle name="Normal 2 3 2 2 2 2 6 5 2" xfId="19189"/>
    <cellStyle name="Normal 2 3 2 2 2 2 6 6" xfId="19190"/>
    <cellStyle name="Normal 2 3 2 2 2 2 6 6 2" xfId="19191"/>
    <cellStyle name="Normal 2 3 2 2 2 2 6 7" xfId="19192"/>
    <cellStyle name="Normal 2 3 2 2 2 2 6 7 2" xfId="19193"/>
    <cellStyle name="Normal 2 3 2 2 2 2 6 8" xfId="19194"/>
    <cellStyle name="Normal 2 3 2 2 2 2 6 8 2" xfId="19195"/>
    <cellStyle name="Normal 2 3 2 2 2 2 6 9" xfId="19196"/>
    <cellStyle name="Normal 2 3 2 2 2 2 6 9 2" xfId="19197"/>
    <cellStyle name="Normal 2 3 2 2 2 20" xfId="19198"/>
    <cellStyle name="Normal 2 3 2 2 2 20 2" xfId="19199"/>
    <cellStyle name="Normal 2 3 2 2 2 21" xfId="19200"/>
    <cellStyle name="Normal 2 3 2 2 2 3" xfId="19201"/>
    <cellStyle name="Normal 2 3 2 2 2 3 10" xfId="19202"/>
    <cellStyle name="Normal 2 3 2 2 2 3 10 2" xfId="19203"/>
    <cellStyle name="Normal 2 3 2 2 2 3 11" xfId="19204"/>
    <cellStyle name="Normal 2 3 2 2 2 3 11 2" xfId="19205"/>
    <cellStyle name="Normal 2 3 2 2 2 3 12" xfId="19206"/>
    <cellStyle name="Normal 2 3 2 2 2 3 12 2" xfId="19207"/>
    <cellStyle name="Normal 2 3 2 2 2 3 13" xfId="19208"/>
    <cellStyle name="Normal 2 3 2 2 2 3 2" xfId="19209"/>
    <cellStyle name="Normal 2 3 2 2 2 3 2 10" xfId="19210"/>
    <cellStyle name="Normal 2 3 2 2 2 3 2 10 2" xfId="19211"/>
    <cellStyle name="Normal 2 3 2 2 2 3 2 11" xfId="19212"/>
    <cellStyle name="Normal 2 3 2 2 2 3 2 11 2" xfId="19213"/>
    <cellStyle name="Normal 2 3 2 2 2 3 2 12" xfId="19214"/>
    <cellStyle name="Normal 2 3 2 2 2 3 2 2" xfId="19215"/>
    <cellStyle name="Normal 2 3 2 2 2 3 2 2 10" xfId="19216"/>
    <cellStyle name="Normal 2 3 2 2 2 3 2 2 10 2" xfId="19217"/>
    <cellStyle name="Normal 2 3 2 2 2 3 2 2 11" xfId="19218"/>
    <cellStyle name="Normal 2 3 2 2 2 3 2 2 2" xfId="19219"/>
    <cellStyle name="Normal 2 3 2 2 2 3 2 2 2 2" xfId="19220"/>
    <cellStyle name="Normal 2 3 2 2 2 3 2 2 3" xfId="19221"/>
    <cellStyle name="Normal 2 3 2 2 2 3 2 2 3 2" xfId="19222"/>
    <cellStyle name="Normal 2 3 2 2 2 3 2 2 4" xfId="19223"/>
    <cellStyle name="Normal 2 3 2 2 2 3 2 2 4 2" xfId="19224"/>
    <cellStyle name="Normal 2 3 2 2 2 3 2 2 5" xfId="19225"/>
    <cellStyle name="Normal 2 3 2 2 2 3 2 2 5 2" xfId="19226"/>
    <cellStyle name="Normal 2 3 2 2 2 3 2 2 6" xfId="19227"/>
    <cellStyle name="Normal 2 3 2 2 2 3 2 2 6 2" xfId="19228"/>
    <cellStyle name="Normal 2 3 2 2 2 3 2 2 7" xfId="19229"/>
    <cellStyle name="Normal 2 3 2 2 2 3 2 2 7 2" xfId="19230"/>
    <cellStyle name="Normal 2 3 2 2 2 3 2 2 8" xfId="19231"/>
    <cellStyle name="Normal 2 3 2 2 2 3 2 2 8 2" xfId="19232"/>
    <cellStyle name="Normal 2 3 2 2 2 3 2 2 9" xfId="19233"/>
    <cellStyle name="Normal 2 3 2 2 2 3 2 2 9 2" xfId="19234"/>
    <cellStyle name="Normal 2 3 2 2 2 3 2 3" xfId="19235"/>
    <cellStyle name="Normal 2 3 2 2 2 3 2 3 2" xfId="19236"/>
    <cellStyle name="Normal 2 3 2 2 2 3 2 4" xfId="19237"/>
    <cellStyle name="Normal 2 3 2 2 2 3 2 4 2" xfId="19238"/>
    <cellStyle name="Normal 2 3 2 2 2 3 2 5" xfId="19239"/>
    <cellStyle name="Normal 2 3 2 2 2 3 2 5 2" xfId="19240"/>
    <cellStyle name="Normal 2 3 2 2 2 3 2 6" xfId="19241"/>
    <cellStyle name="Normal 2 3 2 2 2 3 2 6 2" xfId="19242"/>
    <cellStyle name="Normal 2 3 2 2 2 3 2 7" xfId="19243"/>
    <cellStyle name="Normal 2 3 2 2 2 3 2 7 2" xfId="19244"/>
    <cellStyle name="Normal 2 3 2 2 2 3 2 8" xfId="19245"/>
    <cellStyle name="Normal 2 3 2 2 2 3 2 8 2" xfId="19246"/>
    <cellStyle name="Normal 2 3 2 2 2 3 2 9" xfId="19247"/>
    <cellStyle name="Normal 2 3 2 2 2 3 2 9 2" xfId="19248"/>
    <cellStyle name="Normal 2 3 2 2 2 3 3" xfId="19249"/>
    <cellStyle name="Normal 2 3 2 2 2 3 3 10" xfId="19250"/>
    <cellStyle name="Normal 2 3 2 2 2 3 3 10 2" xfId="19251"/>
    <cellStyle name="Normal 2 3 2 2 2 3 3 11" xfId="19252"/>
    <cellStyle name="Normal 2 3 2 2 2 3 3 2" xfId="19253"/>
    <cellStyle name="Normal 2 3 2 2 2 3 3 2 2" xfId="19254"/>
    <cellStyle name="Normal 2 3 2 2 2 3 3 3" xfId="19255"/>
    <cellStyle name="Normal 2 3 2 2 2 3 3 3 2" xfId="19256"/>
    <cellStyle name="Normal 2 3 2 2 2 3 3 4" xfId="19257"/>
    <cellStyle name="Normal 2 3 2 2 2 3 3 4 2" xfId="19258"/>
    <cellStyle name="Normal 2 3 2 2 2 3 3 5" xfId="19259"/>
    <cellStyle name="Normal 2 3 2 2 2 3 3 5 2" xfId="19260"/>
    <cellStyle name="Normal 2 3 2 2 2 3 3 6" xfId="19261"/>
    <cellStyle name="Normal 2 3 2 2 2 3 3 6 2" xfId="19262"/>
    <cellStyle name="Normal 2 3 2 2 2 3 3 7" xfId="19263"/>
    <cellStyle name="Normal 2 3 2 2 2 3 3 7 2" xfId="19264"/>
    <cellStyle name="Normal 2 3 2 2 2 3 3 8" xfId="19265"/>
    <cellStyle name="Normal 2 3 2 2 2 3 3 8 2" xfId="19266"/>
    <cellStyle name="Normal 2 3 2 2 2 3 3 9" xfId="19267"/>
    <cellStyle name="Normal 2 3 2 2 2 3 3 9 2" xfId="19268"/>
    <cellStyle name="Normal 2 3 2 2 2 3 4" xfId="19269"/>
    <cellStyle name="Normal 2 3 2 2 2 3 4 2" xfId="19270"/>
    <cellStyle name="Normal 2 3 2 2 2 3 5" xfId="19271"/>
    <cellStyle name="Normal 2 3 2 2 2 3 5 2" xfId="19272"/>
    <cellStyle name="Normal 2 3 2 2 2 3 6" xfId="19273"/>
    <cellStyle name="Normal 2 3 2 2 2 3 6 2" xfId="19274"/>
    <cellStyle name="Normal 2 3 2 2 2 3 7" xfId="19275"/>
    <cellStyle name="Normal 2 3 2 2 2 3 7 2" xfId="19276"/>
    <cellStyle name="Normal 2 3 2 2 2 3 8" xfId="19277"/>
    <cellStyle name="Normal 2 3 2 2 2 3 8 2" xfId="19278"/>
    <cellStyle name="Normal 2 3 2 2 2 3 9" xfId="19279"/>
    <cellStyle name="Normal 2 3 2 2 2 3 9 2" xfId="19280"/>
    <cellStyle name="Normal 2 3 2 2 2 4" xfId="19281"/>
    <cellStyle name="Normal 2 3 2 2 2 4 10" xfId="19282"/>
    <cellStyle name="Normal 2 3 2 2 2 4 10 2" xfId="19283"/>
    <cellStyle name="Normal 2 3 2 2 2 4 11" xfId="19284"/>
    <cellStyle name="Normal 2 3 2 2 2 4 11 2" xfId="19285"/>
    <cellStyle name="Normal 2 3 2 2 2 4 12" xfId="19286"/>
    <cellStyle name="Normal 2 3 2 2 2 4 12 2" xfId="19287"/>
    <cellStyle name="Normal 2 3 2 2 2 4 13" xfId="19288"/>
    <cellStyle name="Normal 2 3 2 2 2 4 2" xfId="19289"/>
    <cellStyle name="Normal 2 3 2 2 2 4 2 10" xfId="19290"/>
    <cellStyle name="Normal 2 3 2 2 2 4 2 10 2" xfId="19291"/>
    <cellStyle name="Normal 2 3 2 2 2 4 2 11" xfId="19292"/>
    <cellStyle name="Normal 2 3 2 2 2 4 2 11 2" xfId="19293"/>
    <cellStyle name="Normal 2 3 2 2 2 4 2 12" xfId="19294"/>
    <cellStyle name="Normal 2 3 2 2 2 4 2 2" xfId="19295"/>
    <cellStyle name="Normal 2 3 2 2 2 4 2 2 10" xfId="19296"/>
    <cellStyle name="Normal 2 3 2 2 2 4 2 2 10 2" xfId="19297"/>
    <cellStyle name="Normal 2 3 2 2 2 4 2 2 11" xfId="19298"/>
    <cellStyle name="Normal 2 3 2 2 2 4 2 2 2" xfId="19299"/>
    <cellStyle name="Normal 2 3 2 2 2 4 2 2 2 2" xfId="19300"/>
    <cellStyle name="Normal 2 3 2 2 2 4 2 2 3" xfId="19301"/>
    <cellStyle name="Normal 2 3 2 2 2 4 2 2 3 2" xfId="19302"/>
    <cellStyle name="Normal 2 3 2 2 2 4 2 2 4" xfId="19303"/>
    <cellStyle name="Normal 2 3 2 2 2 4 2 2 4 2" xfId="19304"/>
    <cellStyle name="Normal 2 3 2 2 2 4 2 2 5" xfId="19305"/>
    <cellStyle name="Normal 2 3 2 2 2 4 2 2 5 2" xfId="19306"/>
    <cellStyle name="Normal 2 3 2 2 2 4 2 2 6" xfId="19307"/>
    <cellStyle name="Normal 2 3 2 2 2 4 2 2 6 2" xfId="19308"/>
    <cellStyle name="Normal 2 3 2 2 2 4 2 2 7" xfId="19309"/>
    <cellStyle name="Normal 2 3 2 2 2 4 2 2 7 2" xfId="19310"/>
    <cellStyle name="Normal 2 3 2 2 2 4 2 2 8" xfId="19311"/>
    <cellStyle name="Normal 2 3 2 2 2 4 2 2 8 2" xfId="19312"/>
    <cellStyle name="Normal 2 3 2 2 2 4 2 2 9" xfId="19313"/>
    <cellStyle name="Normal 2 3 2 2 2 4 2 2 9 2" xfId="19314"/>
    <cellStyle name="Normal 2 3 2 2 2 4 2 3" xfId="19315"/>
    <cellStyle name="Normal 2 3 2 2 2 4 2 3 2" xfId="19316"/>
    <cellStyle name="Normal 2 3 2 2 2 4 2 4" xfId="19317"/>
    <cellStyle name="Normal 2 3 2 2 2 4 2 4 2" xfId="19318"/>
    <cellStyle name="Normal 2 3 2 2 2 4 2 5" xfId="19319"/>
    <cellStyle name="Normal 2 3 2 2 2 4 2 5 2" xfId="19320"/>
    <cellStyle name="Normal 2 3 2 2 2 4 2 6" xfId="19321"/>
    <cellStyle name="Normal 2 3 2 2 2 4 2 6 2" xfId="19322"/>
    <cellStyle name="Normal 2 3 2 2 2 4 2 7" xfId="19323"/>
    <cellStyle name="Normal 2 3 2 2 2 4 2 7 2" xfId="19324"/>
    <cellStyle name="Normal 2 3 2 2 2 4 2 8" xfId="19325"/>
    <cellStyle name="Normal 2 3 2 2 2 4 2 8 2" xfId="19326"/>
    <cellStyle name="Normal 2 3 2 2 2 4 2 9" xfId="19327"/>
    <cellStyle name="Normal 2 3 2 2 2 4 2 9 2" xfId="19328"/>
    <cellStyle name="Normal 2 3 2 2 2 4 3" xfId="19329"/>
    <cellStyle name="Normal 2 3 2 2 2 4 3 10" xfId="19330"/>
    <cellStyle name="Normal 2 3 2 2 2 4 3 10 2" xfId="19331"/>
    <cellStyle name="Normal 2 3 2 2 2 4 3 11" xfId="19332"/>
    <cellStyle name="Normal 2 3 2 2 2 4 3 2" xfId="19333"/>
    <cellStyle name="Normal 2 3 2 2 2 4 3 2 2" xfId="19334"/>
    <cellStyle name="Normal 2 3 2 2 2 4 3 3" xfId="19335"/>
    <cellStyle name="Normal 2 3 2 2 2 4 3 3 2" xfId="19336"/>
    <cellStyle name="Normal 2 3 2 2 2 4 3 4" xfId="19337"/>
    <cellStyle name="Normal 2 3 2 2 2 4 3 4 2" xfId="19338"/>
    <cellStyle name="Normal 2 3 2 2 2 4 3 5" xfId="19339"/>
    <cellStyle name="Normal 2 3 2 2 2 4 3 5 2" xfId="19340"/>
    <cellStyle name="Normal 2 3 2 2 2 4 3 6" xfId="19341"/>
    <cellStyle name="Normal 2 3 2 2 2 4 3 6 2" xfId="19342"/>
    <cellStyle name="Normal 2 3 2 2 2 4 3 7" xfId="19343"/>
    <cellStyle name="Normal 2 3 2 2 2 4 3 7 2" xfId="19344"/>
    <cellStyle name="Normal 2 3 2 2 2 4 3 8" xfId="19345"/>
    <cellStyle name="Normal 2 3 2 2 2 4 3 8 2" xfId="19346"/>
    <cellStyle name="Normal 2 3 2 2 2 4 3 9" xfId="19347"/>
    <cellStyle name="Normal 2 3 2 2 2 4 3 9 2" xfId="19348"/>
    <cellStyle name="Normal 2 3 2 2 2 4 4" xfId="19349"/>
    <cellStyle name="Normal 2 3 2 2 2 4 4 2" xfId="19350"/>
    <cellStyle name="Normal 2 3 2 2 2 4 5" xfId="19351"/>
    <cellStyle name="Normal 2 3 2 2 2 4 5 2" xfId="19352"/>
    <cellStyle name="Normal 2 3 2 2 2 4 6" xfId="19353"/>
    <cellStyle name="Normal 2 3 2 2 2 4 6 2" xfId="19354"/>
    <cellStyle name="Normal 2 3 2 2 2 4 7" xfId="19355"/>
    <cellStyle name="Normal 2 3 2 2 2 4 7 2" xfId="19356"/>
    <cellStyle name="Normal 2 3 2 2 2 4 8" xfId="19357"/>
    <cellStyle name="Normal 2 3 2 2 2 4 8 2" xfId="19358"/>
    <cellStyle name="Normal 2 3 2 2 2 4 9" xfId="19359"/>
    <cellStyle name="Normal 2 3 2 2 2 4 9 2" xfId="19360"/>
    <cellStyle name="Normal 2 3 2 2 2 5" xfId="19361"/>
    <cellStyle name="Normal 2 3 2 2 2 5 10" xfId="19362"/>
    <cellStyle name="Normal 2 3 2 2 2 5 10 2" xfId="19363"/>
    <cellStyle name="Normal 2 3 2 2 2 5 11" xfId="19364"/>
    <cellStyle name="Normal 2 3 2 2 2 5 11 2" xfId="19365"/>
    <cellStyle name="Normal 2 3 2 2 2 5 12" xfId="19366"/>
    <cellStyle name="Normal 2 3 2 2 2 5 12 2" xfId="19367"/>
    <cellStyle name="Normal 2 3 2 2 2 5 13" xfId="19368"/>
    <cellStyle name="Normal 2 3 2 2 2 5 2" xfId="19369"/>
    <cellStyle name="Normal 2 3 2 2 2 5 2 10" xfId="19370"/>
    <cellStyle name="Normal 2 3 2 2 2 5 2 10 2" xfId="19371"/>
    <cellStyle name="Normal 2 3 2 2 2 5 2 11" xfId="19372"/>
    <cellStyle name="Normal 2 3 2 2 2 5 2 11 2" xfId="19373"/>
    <cellStyle name="Normal 2 3 2 2 2 5 2 12" xfId="19374"/>
    <cellStyle name="Normal 2 3 2 2 2 5 2 2" xfId="19375"/>
    <cellStyle name="Normal 2 3 2 2 2 5 2 2 10" xfId="19376"/>
    <cellStyle name="Normal 2 3 2 2 2 5 2 2 10 2" xfId="19377"/>
    <cellStyle name="Normal 2 3 2 2 2 5 2 2 11" xfId="19378"/>
    <cellStyle name="Normal 2 3 2 2 2 5 2 2 2" xfId="19379"/>
    <cellStyle name="Normal 2 3 2 2 2 5 2 2 2 2" xfId="19380"/>
    <cellStyle name="Normal 2 3 2 2 2 5 2 2 3" xfId="19381"/>
    <cellStyle name="Normal 2 3 2 2 2 5 2 2 3 2" xfId="19382"/>
    <cellStyle name="Normal 2 3 2 2 2 5 2 2 4" xfId="19383"/>
    <cellStyle name="Normal 2 3 2 2 2 5 2 2 4 2" xfId="19384"/>
    <cellStyle name="Normal 2 3 2 2 2 5 2 2 5" xfId="19385"/>
    <cellStyle name="Normal 2 3 2 2 2 5 2 2 5 2" xfId="19386"/>
    <cellStyle name="Normal 2 3 2 2 2 5 2 2 6" xfId="19387"/>
    <cellStyle name="Normal 2 3 2 2 2 5 2 2 6 2" xfId="19388"/>
    <cellStyle name="Normal 2 3 2 2 2 5 2 2 7" xfId="19389"/>
    <cellStyle name="Normal 2 3 2 2 2 5 2 2 7 2" xfId="19390"/>
    <cellStyle name="Normal 2 3 2 2 2 5 2 2 8" xfId="19391"/>
    <cellStyle name="Normal 2 3 2 2 2 5 2 2 8 2" xfId="19392"/>
    <cellStyle name="Normal 2 3 2 2 2 5 2 2 9" xfId="19393"/>
    <cellStyle name="Normal 2 3 2 2 2 5 2 2 9 2" xfId="19394"/>
    <cellStyle name="Normal 2 3 2 2 2 5 2 3" xfId="19395"/>
    <cellStyle name="Normal 2 3 2 2 2 5 2 3 2" xfId="19396"/>
    <cellStyle name="Normal 2 3 2 2 2 5 2 4" xfId="19397"/>
    <cellStyle name="Normal 2 3 2 2 2 5 2 4 2" xfId="19398"/>
    <cellStyle name="Normal 2 3 2 2 2 5 2 5" xfId="19399"/>
    <cellStyle name="Normal 2 3 2 2 2 5 2 5 2" xfId="19400"/>
    <cellStyle name="Normal 2 3 2 2 2 5 2 6" xfId="19401"/>
    <cellStyle name="Normal 2 3 2 2 2 5 2 6 2" xfId="19402"/>
    <cellStyle name="Normal 2 3 2 2 2 5 2 7" xfId="19403"/>
    <cellStyle name="Normal 2 3 2 2 2 5 2 7 2" xfId="19404"/>
    <cellStyle name="Normal 2 3 2 2 2 5 2 8" xfId="19405"/>
    <cellStyle name="Normal 2 3 2 2 2 5 2 8 2" xfId="19406"/>
    <cellStyle name="Normal 2 3 2 2 2 5 2 9" xfId="19407"/>
    <cellStyle name="Normal 2 3 2 2 2 5 2 9 2" xfId="19408"/>
    <cellStyle name="Normal 2 3 2 2 2 5 3" xfId="19409"/>
    <cellStyle name="Normal 2 3 2 2 2 5 3 10" xfId="19410"/>
    <cellStyle name="Normal 2 3 2 2 2 5 3 10 2" xfId="19411"/>
    <cellStyle name="Normal 2 3 2 2 2 5 3 11" xfId="19412"/>
    <cellStyle name="Normal 2 3 2 2 2 5 3 2" xfId="19413"/>
    <cellStyle name="Normal 2 3 2 2 2 5 3 2 2" xfId="19414"/>
    <cellStyle name="Normal 2 3 2 2 2 5 3 3" xfId="19415"/>
    <cellStyle name="Normal 2 3 2 2 2 5 3 3 2" xfId="19416"/>
    <cellStyle name="Normal 2 3 2 2 2 5 3 4" xfId="19417"/>
    <cellStyle name="Normal 2 3 2 2 2 5 3 4 2" xfId="19418"/>
    <cellStyle name="Normal 2 3 2 2 2 5 3 5" xfId="19419"/>
    <cellStyle name="Normal 2 3 2 2 2 5 3 5 2" xfId="19420"/>
    <cellStyle name="Normal 2 3 2 2 2 5 3 6" xfId="19421"/>
    <cellStyle name="Normal 2 3 2 2 2 5 3 6 2" xfId="19422"/>
    <cellStyle name="Normal 2 3 2 2 2 5 3 7" xfId="19423"/>
    <cellStyle name="Normal 2 3 2 2 2 5 3 7 2" xfId="19424"/>
    <cellStyle name="Normal 2 3 2 2 2 5 3 8" xfId="19425"/>
    <cellStyle name="Normal 2 3 2 2 2 5 3 8 2" xfId="19426"/>
    <cellStyle name="Normal 2 3 2 2 2 5 3 9" xfId="19427"/>
    <cellStyle name="Normal 2 3 2 2 2 5 3 9 2" xfId="19428"/>
    <cellStyle name="Normal 2 3 2 2 2 5 4" xfId="19429"/>
    <cellStyle name="Normal 2 3 2 2 2 5 4 2" xfId="19430"/>
    <cellStyle name="Normal 2 3 2 2 2 5 5" xfId="19431"/>
    <cellStyle name="Normal 2 3 2 2 2 5 5 2" xfId="19432"/>
    <cellStyle name="Normal 2 3 2 2 2 5 6" xfId="19433"/>
    <cellStyle name="Normal 2 3 2 2 2 5 6 2" xfId="19434"/>
    <cellStyle name="Normal 2 3 2 2 2 5 7" xfId="19435"/>
    <cellStyle name="Normal 2 3 2 2 2 5 7 2" xfId="19436"/>
    <cellStyle name="Normal 2 3 2 2 2 5 8" xfId="19437"/>
    <cellStyle name="Normal 2 3 2 2 2 5 8 2" xfId="19438"/>
    <cellStyle name="Normal 2 3 2 2 2 5 9" xfId="19439"/>
    <cellStyle name="Normal 2 3 2 2 2 5 9 2" xfId="19440"/>
    <cellStyle name="Normal 2 3 2 2 2 6" xfId="19441"/>
    <cellStyle name="Normal 2 3 2 2 2 6 2" xfId="19442"/>
    <cellStyle name="Normal 2 3 2 2 2 6 2 10" xfId="19443"/>
    <cellStyle name="Normal 2 3 2 2 2 6 2 10 2" xfId="19444"/>
    <cellStyle name="Normal 2 3 2 2 2 6 2 11" xfId="19445"/>
    <cellStyle name="Normal 2 3 2 2 2 6 2 11 2" xfId="19446"/>
    <cellStyle name="Normal 2 3 2 2 2 6 2 12" xfId="19447"/>
    <cellStyle name="Normal 2 3 2 2 2 6 2 12 2" xfId="19448"/>
    <cellStyle name="Normal 2 3 2 2 2 6 2 13" xfId="19449"/>
    <cellStyle name="Normal 2 3 2 2 2 6 2 2" xfId="19450"/>
    <cellStyle name="Normal 2 3 2 2 2 6 2 2 10" xfId="19451"/>
    <cellStyle name="Normal 2 3 2 2 2 6 2 2 10 2" xfId="19452"/>
    <cellStyle name="Normal 2 3 2 2 2 6 2 2 11" xfId="19453"/>
    <cellStyle name="Normal 2 3 2 2 2 6 2 2 11 2" xfId="19454"/>
    <cellStyle name="Normal 2 3 2 2 2 6 2 2 12" xfId="19455"/>
    <cellStyle name="Normal 2 3 2 2 2 6 2 2 2" xfId="19456"/>
    <cellStyle name="Normal 2 3 2 2 2 6 2 2 2 10" xfId="19457"/>
    <cellStyle name="Normal 2 3 2 2 2 6 2 2 2 10 2" xfId="19458"/>
    <cellStyle name="Normal 2 3 2 2 2 6 2 2 2 11" xfId="19459"/>
    <cellStyle name="Normal 2 3 2 2 2 6 2 2 2 2" xfId="19460"/>
    <cellStyle name="Normal 2 3 2 2 2 6 2 2 2 2 2" xfId="19461"/>
    <cellStyle name="Normal 2 3 2 2 2 6 2 2 2 3" xfId="19462"/>
    <cellStyle name="Normal 2 3 2 2 2 6 2 2 2 3 2" xfId="19463"/>
    <cellStyle name="Normal 2 3 2 2 2 6 2 2 2 4" xfId="19464"/>
    <cellStyle name="Normal 2 3 2 2 2 6 2 2 2 4 2" xfId="19465"/>
    <cellStyle name="Normal 2 3 2 2 2 6 2 2 2 5" xfId="19466"/>
    <cellStyle name="Normal 2 3 2 2 2 6 2 2 2 5 2" xfId="19467"/>
    <cellStyle name="Normal 2 3 2 2 2 6 2 2 2 6" xfId="19468"/>
    <cellStyle name="Normal 2 3 2 2 2 6 2 2 2 6 2" xfId="19469"/>
    <cellStyle name="Normal 2 3 2 2 2 6 2 2 2 7" xfId="19470"/>
    <cellStyle name="Normal 2 3 2 2 2 6 2 2 2 7 2" xfId="19471"/>
    <cellStyle name="Normal 2 3 2 2 2 6 2 2 2 8" xfId="19472"/>
    <cellStyle name="Normal 2 3 2 2 2 6 2 2 2 8 2" xfId="19473"/>
    <cellStyle name="Normal 2 3 2 2 2 6 2 2 2 9" xfId="19474"/>
    <cellStyle name="Normal 2 3 2 2 2 6 2 2 2 9 2" xfId="19475"/>
    <cellStyle name="Normal 2 3 2 2 2 6 2 2 3" xfId="19476"/>
    <cellStyle name="Normal 2 3 2 2 2 6 2 2 3 2" xfId="19477"/>
    <cellStyle name="Normal 2 3 2 2 2 6 2 2 4" xfId="19478"/>
    <cellStyle name="Normal 2 3 2 2 2 6 2 2 4 2" xfId="19479"/>
    <cellStyle name="Normal 2 3 2 2 2 6 2 2 5" xfId="19480"/>
    <cellStyle name="Normal 2 3 2 2 2 6 2 2 5 2" xfId="19481"/>
    <cellStyle name="Normal 2 3 2 2 2 6 2 2 6" xfId="19482"/>
    <cellStyle name="Normal 2 3 2 2 2 6 2 2 6 2" xfId="19483"/>
    <cellStyle name="Normal 2 3 2 2 2 6 2 2 7" xfId="19484"/>
    <cellStyle name="Normal 2 3 2 2 2 6 2 2 7 2" xfId="19485"/>
    <cellStyle name="Normal 2 3 2 2 2 6 2 2 8" xfId="19486"/>
    <cellStyle name="Normal 2 3 2 2 2 6 2 2 8 2" xfId="19487"/>
    <cellStyle name="Normal 2 3 2 2 2 6 2 2 9" xfId="19488"/>
    <cellStyle name="Normal 2 3 2 2 2 6 2 2 9 2" xfId="19489"/>
    <cellStyle name="Normal 2 3 2 2 2 6 2 3" xfId="19490"/>
    <cellStyle name="Normal 2 3 2 2 2 6 2 3 10" xfId="19491"/>
    <cellStyle name="Normal 2 3 2 2 2 6 2 3 10 2" xfId="19492"/>
    <cellStyle name="Normal 2 3 2 2 2 6 2 3 11" xfId="19493"/>
    <cellStyle name="Normal 2 3 2 2 2 6 2 3 2" xfId="19494"/>
    <cellStyle name="Normal 2 3 2 2 2 6 2 3 2 2" xfId="19495"/>
    <cellStyle name="Normal 2 3 2 2 2 6 2 3 3" xfId="19496"/>
    <cellStyle name="Normal 2 3 2 2 2 6 2 3 3 2" xfId="19497"/>
    <cellStyle name="Normal 2 3 2 2 2 6 2 3 4" xfId="19498"/>
    <cellStyle name="Normal 2 3 2 2 2 6 2 3 4 2" xfId="19499"/>
    <cellStyle name="Normal 2 3 2 2 2 6 2 3 5" xfId="19500"/>
    <cellStyle name="Normal 2 3 2 2 2 6 2 3 5 2" xfId="19501"/>
    <cellStyle name="Normal 2 3 2 2 2 6 2 3 6" xfId="19502"/>
    <cellStyle name="Normal 2 3 2 2 2 6 2 3 6 2" xfId="19503"/>
    <cellStyle name="Normal 2 3 2 2 2 6 2 3 7" xfId="19504"/>
    <cellStyle name="Normal 2 3 2 2 2 6 2 3 7 2" xfId="19505"/>
    <cellStyle name="Normal 2 3 2 2 2 6 2 3 8" xfId="19506"/>
    <cellStyle name="Normal 2 3 2 2 2 6 2 3 8 2" xfId="19507"/>
    <cellStyle name="Normal 2 3 2 2 2 6 2 3 9" xfId="19508"/>
    <cellStyle name="Normal 2 3 2 2 2 6 2 3 9 2" xfId="19509"/>
    <cellStyle name="Normal 2 3 2 2 2 6 2 4" xfId="19510"/>
    <cellStyle name="Normal 2 3 2 2 2 6 2 4 2" xfId="19511"/>
    <cellStyle name="Normal 2 3 2 2 2 6 2 5" xfId="19512"/>
    <cellStyle name="Normal 2 3 2 2 2 6 2 5 2" xfId="19513"/>
    <cellStyle name="Normal 2 3 2 2 2 6 2 6" xfId="19514"/>
    <cellStyle name="Normal 2 3 2 2 2 6 2 6 2" xfId="19515"/>
    <cellStyle name="Normal 2 3 2 2 2 6 2 7" xfId="19516"/>
    <cellStyle name="Normal 2 3 2 2 2 6 2 7 2" xfId="19517"/>
    <cellStyle name="Normal 2 3 2 2 2 6 2 8" xfId="19518"/>
    <cellStyle name="Normal 2 3 2 2 2 6 2 8 2" xfId="19519"/>
    <cellStyle name="Normal 2 3 2 2 2 6 2 9" xfId="19520"/>
    <cellStyle name="Normal 2 3 2 2 2 6 2 9 2" xfId="19521"/>
    <cellStyle name="Normal 2 3 2 2 2 6 3" xfId="19522"/>
    <cellStyle name="Normal 2 3 2 2 2 6 3 10" xfId="19523"/>
    <cellStyle name="Normal 2 3 2 2 2 6 3 10 2" xfId="19524"/>
    <cellStyle name="Normal 2 3 2 2 2 6 3 11" xfId="19525"/>
    <cellStyle name="Normal 2 3 2 2 2 6 3 11 2" xfId="19526"/>
    <cellStyle name="Normal 2 3 2 2 2 6 3 12" xfId="19527"/>
    <cellStyle name="Normal 2 3 2 2 2 6 3 12 2" xfId="19528"/>
    <cellStyle name="Normal 2 3 2 2 2 6 3 13" xfId="19529"/>
    <cellStyle name="Normal 2 3 2 2 2 6 3 2" xfId="19530"/>
    <cellStyle name="Normal 2 3 2 2 2 6 3 2 10" xfId="19531"/>
    <cellStyle name="Normal 2 3 2 2 2 6 3 2 10 2" xfId="19532"/>
    <cellStyle name="Normal 2 3 2 2 2 6 3 2 11" xfId="19533"/>
    <cellStyle name="Normal 2 3 2 2 2 6 3 2 11 2" xfId="19534"/>
    <cellStyle name="Normal 2 3 2 2 2 6 3 2 12" xfId="19535"/>
    <cellStyle name="Normal 2 3 2 2 2 6 3 2 2" xfId="19536"/>
    <cellStyle name="Normal 2 3 2 2 2 6 3 2 2 10" xfId="19537"/>
    <cellStyle name="Normal 2 3 2 2 2 6 3 2 2 10 2" xfId="19538"/>
    <cellStyle name="Normal 2 3 2 2 2 6 3 2 2 11" xfId="19539"/>
    <cellStyle name="Normal 2 3 2 2 2 6 3 2 2 2" xfId="19540"/>
    <cellStyle name="Normal 2 3 2 2 2 6 3 2 2 2 2" xfId="19541"/>
    <cellStyle name="Normal 2 3 2 2 2 6 3 2 2 3" xfId="19542"/>
    <cellStyle name="Normal 2 3 2 2 2 6 3 2 2 3 2" xfId="19543"/>
    <cellStyle name="Normal 2 3 2 2 2 6 3 2 2 4" xfId="19544"/>
    <cellStyle name="Normal 2 3 2 2 2 6 3 2 2 4 2" xfId="19545"/>
    <cellStyle name="Normal 2 3 2 2 2 6 3 2 2 5" xfId="19546"/>
    <cellStyle name="Normal 2 3 2 2 2 6 3 2 2 5 2" xfId="19547"/>
    <cellStyle name="Normal 2 3 2 2 2 6 3 2 2 6" xfId="19548"/>
    <cellStyle name="Normal 2 3 2 2 2 6 3 2 2 6 2" xfId="19549"/>
    <cellStyle name="Normal 2 3 2 2 2 6 3 2 2 7" xfId="19550"/>
    <cellStyle name="Normal 2 3 2 2 2 6 3 2 2 7 2" xfId="19551"/>
    <cellStyle name="Normal 2 3 2 2 2 6 3 2 2 8" xfId="19552"/>
    <cellStyle name="Normal 2 3 2 2 2 6 3 2 2 8 2" xfId="19553"/>
    <cellStyle name="Normal 2 3 2 2 2 6 3 2 2 9" xfId="19554"/>
    <cellStyle name="Normal 2 3 2 2 2 6 3 2 2 9 2" xfId="19555"/>
    <cellStyle name="Normal 2 3 2 2 2 6 3 2 3" xfId="19556"/>
    <cellStyle name="Normal 2 3 2 2 2 6 3 2 3 2" xfId="19557"/>
    <cellStyle name="Normal 2 3 2 2 2 6 3 2 4" xfId="19558"/>
    <cellStyle name="Normal 2 3 2 2 2 6 3 2 4 2" xfId="19559"/>
    <cellStyle name="Normal 2 3 2 2 2 6 3 2 5" xfId="19560"/>
    <cellStyle name="Normal 2 3 2 2 2 6 3 2 5 2" xfId="19561"/>
    <cellStyle name="Normal 2 3 2 2 2 6 3 2 6" xfId="19562"/>
    <cellStyle name="Normal 2 3 2 2 2 6 3 2 6 2" xfId="19563"/>
    <cellStyle name="Normal 2 3 2 2 2 6 3 2 7" xfId="19564"/>
    <cellStyle name="Normal 2 3 2 2 2 6 3 2 7 2" xfId="19565"/>
    <cellStyle name="Normal 2 3 2 2 2 6 3 2 8" xfId="19566"/>
    <cellStyle name="Normal 2 3 2 2 2 6 3 2 8 2" xfId="19567"/>
    <cellStyle name="Normal 2 3 2 2 2 6 3 2 9" xfId="19568"/>
    <cellStyle name="Normal 2 3 2 2 2 6 3 2 9 2" xfId="19569"/>
    <cellStyle name="Normal 2 3 2 2 2 6 3 3" xfId="19570"/>
    <cellStyle name="Normal 2 3 2 2 2 6 3 3 10" xfId="19571"/>
    <cellStyle name="Normal 2 3 2 2 2 6 3 3 10 2" xfId="19572"/>
    <cellStyle name="Normal 2 3 2 2 2 6 3 3 11" xfId="19573"/>
    <cellStyle name="Normal 2 3 2 2 2 6 3 3 2" xfId="19574"/>
    <cellStyle name="Normal 2 3 2 2 2 6 3 3 2 2" xfId="19575"/>
    <cellStyle name="Normal 2 3 2 2 2 6 3 3 3" xfId="19576"/>
    <cellStyle name="Normal 2 3 2 2 2 6 3 3 3 2" xfId="19577"/>
    <cellStyle name="Normal 2 3 2 2 2 6 3 3 4" xfId="19578"/>
    <cellStyle name="Normal 2 3 2 2 2 6 3 3 4 2" xfId="19579"/>
    <cellStyle name="Normal 2 3 2 2 2 6 3 3 5" xfId="19580"/>
    <cellStyle name="Normal 2 3 2 2 2 6 3 3 5 2" xfId="19581"/>
    <cellStyle name="Normal 2 3 2 2 2 6 3 3 6" xfId="19582"/>
    <cellStyle name="Normal 2 3 2 2 2 6 3 3 6 2" xfId="19583"/>
    <cellStyle name="Normal 2 3 2 2 2 6 3 3 7" xfId="19584"/>
    <cellStyle name="Normal 2 3 2 2 2 6 3 3 7 2" xfId="19585"/>
    <cellStyle name="Normal 2 3 2 2 2 6 3 3 8" xfId="19586"/>
    <cellStyle name="Normal 2 3 2 2 2 6 3 3 8 2" xfId="19587"/>
    <cellStyle name="Normal 2 3 2 2 2 6 3 3 9" xfId="19588"/>
    <cellStyle name="Normal 2 3 2 2 2 6 3 3 9 2" xfId="19589"/>
    <cellStyle name="Normal 2 3 2 2 2 6 3 4" xfId="19590"/>
    <cellStyle name="Normal 2 3 2 2 2 6 3 4 2" xfId="19591"/>
    <cellStyle name="Normal 2 3 2 2 2 6 3 5" xfId="19592"/>
    <cellStyle name="Normal 2 3 2 2 2 6 3 5 2" xfId="19593"/>
    <cellStyle name="Normal 2 3 2 2 2 6 3 6" xfId="19594"/>
    <cellStyle name="Normal 2 3 2 2 2 6 3 6 2" xfId="19595"/>
    <cellStyle name="Normal 2 3 2 2 2 6 3 7" xfId="19596"/>
    <cellStyle name="Normal 2 3 2 2 2 6 3 7 2" xfId="19597"/>
    <cellStyle name="Normal 2 3 2 2 2 6 3 8" xfId="19598"/>
    <cellStyle name="Normal 2 3 2 2 2 6 3 8 2" xfId="19599"/>
    <cellStyle name="Normal 2 3 2 2 2 6 3 9" xfId="19600"/>
    <cellStyle name="Normal 2 3 2 2 2 6 3 9 2" xfId="19601"/>
    <cellStyle name="Normal 2 3 2 2 2 6 4" xfId="19602"/>
    <cellStyle name="Normal 2 3 2 2 2 6 4 10" xfId="19603"/>
    <cellStyle name="Normal 2 3 2 2 2 6 4 10 2" xfId="19604"/>
    <cellStyle name="Normal 2 3 2 2 2 6 4 11" xfId="19605"/>
    <cellStyle name="Normal 2 3 2 2 2 6 4 11 2" xfId="19606"/>
    <cellStyle name="Normal 2 3 2 2 2 6 4 12" xfId="19607"/>
    <cellStyle name="Normal 2 3 2 2 2 6 4 12 2" xfId="19608"/>
    <cellStyle name="Normal 2 3 2 2 2 6 4 13" xfId="19609"/>
    <cellStyle name="Normal 2 3 2 2 2 6 4 2" xfId="19610"/>
    <cellStyle name="Normal 2 3 2 2 2 6 4 2 10" xfId="19611"/>
    <cellStyle name="Normal 2 3 2 2 2 6 4 2 10 2" xfId="19612"/>
    <cellStyle name="Normal 2 3 2 2 2 6 4 2 11" xfId="19613"/>
    <cellStyle name="Normal 2 3 2 2 2 6 4 2 11 2" xfId="19614"/>
    <cellStyle name="Normal 2 3 2 2 2 6 4 2 12" xfId="19615"/>
    <cellStyle name="Normal 2 3 2 2 2 6 4 2 2" xfId="19616"/>
    <cellStyle name="Normal 2 3 2 2 2 6 4 2 2 10" xfId="19617"/>
    <cellStyle name="Normal 2 3 2 2 2 6 4 2 2 10 2" xfId="19618"/>
    <cellStyle name="Normal 2 3 2 2 2 6 4 2 2 11" xfId="19619"/>
    <cellStyle name="Normal 2 3 2 2 2 6 4 2 2 2" xfId="19620"/>
    <cellStyle name="Normal 2 3 2 2 2 6 4 2 2 2 2" xfId="19621"/>
    <cellStyle name="Normal 2 3 2 2 2 6 4 2 2 3" xfId="19622"/>
    <cellStyle name="Normal 2 3 2 2 2 6 4 2 2 3 2" xfId="19623"/>
    <cellStyle name="Normal 2 3 2 2 2 6 4 2 2 4" xfId="19624"/>
    <cellStyle name="Normal 2 3 2 2 2 6 4 2 2 4 2" xfId="19625"/>
    <cellStyle name="Normal 2 3 2 2 2 6 4 2 2 5" xfId="19626"/>
    <cellStyle name="Normal 2 3 2 2 2 6 4 2 2 5 2" xfId="19627"/>
    <cellStyle name="Normal 2 3 2 2 2 6 4 2 2 6" xfId="19628"/>
    <cellStyle name="Normal 2 3 2 2 2 6 4 2 2 6 2" xfId="19629"/>
    <cellStyle name="Normal 2 3 2 2 2 6 4 2 2 7" xfId="19630"/>
    <cellStyle name="Normal 2 3 2 2 2 6 4 2 2 7 2" xfId="19631"/>
    <cellStyle name="Normal 2 3 2 2 2 6 4 2 2 8" xfId="19632"/>
    <cellStyle name="Normal 2 3 2 2 2 6 4 2 2 8 2" xfId="19633"/>
    <cellStyle name="Normal 2 3 2 2 2 6 4 2 2 9" xfId="19634"/>
    <cellStyle name="Normal 2 3 2 2 2 6 4 2 2 9 2" xfId="19635"/>
    <cellStyle name="Normal 2 3 2 2 2 6 4 2 3" xfId="19636"/>
    <cellStyle name="Normal 2 3 2 2 2 6 4 2 3 2" xfId="19637"/>
    <cellStyle name="Normal 2 3 2 2 2 6 4 2 4" xfId="19638"/>
    <cellStyle name="Normal 2 3 2 2 2 6 4 2 4 2" xfId="19639"/>
    <cellStyle name="Normal 2 3 2 2 2 6 4 2 5" xfId="19640"/>
    <cellStyle name="Normal 2 3 2 2 2 6 4 2 5 2" xfId="19641"/>
    <cellStyle name="Normal 2 3 2 2 2 6 4 2 6" xfId="19642"/>
    <cellStyle name="Normal 2 3 2 2 2 6 4 2 6 2" xfId="19643"/>
    <cellStyle name="Normal 2 3 2 2 2 6 4 2 7" xfId="19644"/>
    <cellStyle name="Normal 2 3 2 2 2 6 4 2 7 2" xfId="19645"/>
    <cellStyle name="Normal 2 3 2 2 2 6 4 2 8" xfId="19646"/>
    <cellStyle name="Normal 2 3 2 2 2 6 4 2 8 2" xfId="19647"/>
    <cellStyle name="Normal 2 3 2 2 2 6 4 2 9" xfId="19648"/>
    <cellStyle name="Normal 2 3 2 2 2 6 4 2 9 2" xfId="19649"/>
    <cellStyle name="Normal 2 3 2 2 2 6 4 3" xfId="19650"/>
    <cellStyle name="Normal 2 3 2 2 2 6 4 3 10" xfId="19651"/>
    <cellStyle name="Normal 2 3 2 2 2 6 4 3 10 2" xfId="19652"/>
    <cellStyle name="Normal 2 3 2 2 2 6 4 3 11" xfId="19653"/>
    <cellStyle name="Normal 2 3 2 2 2 6 4 3 2" xfId="19654"/>
    <cellStyle name="Normal 2 3 2 2 2 6 4 3 2 2" xfId="19655"/>
    <cellStyle name="Normal 2 3 2 2 2 6 4 3 3" xfId="19656"/>
    <cellStyle name="Normal 2 3 2 2 2 6 4 3 3 2" xfId="19657"/>
    <cellStyle name="Normal 2 3 2 2 2 6 4 3 4" xfId="19658"/>
    <cellStyle name="Normal 2 3 2 2 2 6 4 3 4 2" xfId="19659"/>
    <cellStyle name="Normal 2 3 2 2 2 6 4 3 5" xfId="19660"/>
    <cellStyle name="Normal 2 3 2 2 2 6 4 3 5 2" xfId="19661"/>
    <cellStyle name="Normal 2 3 2 2 2 6 4 3 6" xfId="19662"/>
    <cellStyle name="Normal 2 3 2 2 2 6 4 3 6 2" xfId="19663"/>
    <cellStyle name="Normal 2 3 2 2 2 6 4 3 7" xfId="19664"/>
    <cellStyle name="Normal 2 3 2 2 2 6 4 3 7 2" xfId="19665"/>
    <cellStyle name="Normal 2 3 2 2 2 6 4 3 8" xfId="19666"/>
    <cellStyle name="Normal 2 3 2 2 2 6 4 3 8 2" xfId="19667"/>
    <cellStyle name="Normal 2 3 2 2 2 6 4 3 9" xfId="19668"/>
    <cellStyle name="Normal 2 3 2 2 2 6 4 3 9 2" xfId="19669"/>
    <cellStyle name="Normal 2 3 2 2 2 6 4 4" xfId="19670"/>
    <cellStyle name="Normal 2 3 2 2 2 6 4 4 2" xfId="19671"/>
    <cellStyle name="Normal 2 3 2 2 2 6 4 5" xfId="19672"/>
    <cellStyle name="Normal 2 3 2 2 2 6 4 5 2" xfId="19673"/>
    <cellStyle name="Normal 2 3 2 2 2 6 4 6" xfId="19674"/>
    <cellStyle name="Normal 2 3 2 2 2 6 4 6 2" xfId="19675"/>
    <cellStyle name="Normal 2 3 2 2 2 6 4 7" xfId="19676"/>
    <cellStyle name="Normal 2 3 2 2 2 6 4 7 2" xfId="19677"/>
    <cellStyle name="Normal 2 3 2 2 2 6 4 8" xfId="19678"/>
    <cellStyle name="Normal 2 3 2 2 2 6 4 8 2" xfId="19679"/>
    <cellStyle name="Normal 2 3 2 2 2 6 4 9" xfId="19680"/>
    <cellStyle name="Normal 2 3 2 2 2 6 4 9 2" xfId="19681"/>
    <cellStyle name="Normal 2 3 2 2 2 6 5" xfId="19682"/>
    <cellStyle name="Normal 2 3 2 2 2 6 5 10" xfId="19683"/>
    <cellStyle name="Normal 2 3 2 2 2 6 5 10 2" xfId="19684"/>
    <cellStyle name="Normal 2 3 2 2 2 6 5 11" xfId="19685"/>
    <cellStyle name="Normal 2 3 2 2 2 6 5 11 2" xfId="19686"/>
    <cellStyle name="Normal 2 3 2 2 2 6 5 12" xfId="19687"/>
    <cellStyle name="Normal 2 3 2 2 2 6 5 12 2" xfId="19688"/>
    <cellStyle name="Normal 2 3 2 2 2 6 5 13" xfId="19689"/>
    <cellStyle name="Normal 2 3 2 2 2 6 5 2" xfId="19690"/>
    <cellStyle name="Normal 2 3 2 2 2 6 5 2 10" xfId="19691"/>
    <cellStyle name="Normal 2 3 2 2 2 6 5 2 10 2" xfId="19692"/>
    <cellStyle name="Normal 2 3 2 2 2 6 5 2 11" xfId="19693"/>
    <cellStyle name="Normal 2 3 2 2 2 6 5 2 11 2" xfId="19694"/>
    <cellStyle name="Normal 2 3 2 2 2 6 5 2 12" xfId="19695"/>
    <cellStyle name="Normal 2 3 2 2 2 6 5 2 2" xfId="19696"/>
    <cellStyle name="Normal 2 3 2 2 2 6 5 2 2 10" xfId="19697"/>
    <cellStyle name="Normal 2 3 2 2 2 6 5 2 2 10 2" xfId="19698"/>
    <cellStyle name="Normal 2 3 2 2 2 6 5 2 2 11" xfId="19699"/>
    <cellStyle name="Normal 2 3 2 2 2 6 5 2 2 2" xfId="19700"/>
    <cellStyle name="Normal 2 3 2 2 2 6 5 2 2 2 2" xfId="19701"/>
    <cellStyle name="Normal 2 3 2 2 2 6 5 2 2 3" xfId="19702"/>
    <cellStyle name="Normal 2 3 2 2 2 6 5 2 2 3 2" xfId="19703"/>
    <cellStyle name="Normal 2 3 2 2 2 6 5 2 2 4" xfId="19704"/>
    <cellStyle name="Normal 2 3 2 2 2 6 5 2 2 4 2" xfId="19705"/>
    <cellStyle name="Normal 2 3 2 2 2 6 5 2 2 5" xfId="19706"/>
    <cellStyle name="Normal 2 3 2 2 2 6 5 2 2 5 2" xfId="19707"/>
    <cellStyle name="Normal 2 3 2 2 2 6 5 2 2 6" xfId="19708"/>
    <cellStyle name="Normal 2 3 2 2 2 6 5 2 2 6 2" xfId="19709"/>
    <cellStyle name="Normal 2 3 2 2 2 6 5 2 2 7" xfId="19710"/>
    <cellStyle name="Normal 2 3 2 2 2 6 5 2 2 7 2" xfId="19711"/>
    <cellStyle name="Normal 2 3 2 2 2 6 5 2 2 8" xfId="19712"/>
    <cellStyle name="Normal 2 3 2 2 2 6 5 2 2 8 2" xfId="19713"/>
    <cellStyle name="Normal 2 3 2 2 2 6 5 2 2 9" xfId="19714"/>
    <cellStyle name="Normal 2 3 2 2 2 6 5 2 2 9 2" xfId="19715"/>
    <cellStyle name="Normal 2 3 2 2 2 6 5 2 3" xfId="19716"/>
    <cellStyle name="Normal 2 3 2 2 2 6 5 2 3 2" xfId="19717"/>
    <cellStyle name="Normal 2 3 2 2 2 6 5 2 4" xfId="19718"/>
    <cellStyle name="Normal 2 3 2 2 2 6 5 2 4 2" xfId="19719"/>
    <cellStyle name="Normal 2 3 2 2 2 6 5 2 5" xfId="19720"/>
    <cellStyle name="Normal 2 3 2 2 2 6 5 2 5 2" xfId="19721"/>
    <cellStyle name="Normal 2 3 2 2 2 6 5 2 6" xfId="19722"/>
    <cellStyle name="Normal 2 3 2 2 2 6 5 2 6 2" xfId="19723"/>
    <cellStyle name="Normal 2 3 2 2 2 6 5 2 7" xfId="19724"/>
    <cellStyle name="Normal 2 3 2 2 2 6 5 2 7 2" xfId="19725"/>
    <cellStyle name="Normal 2 3 2 2 2 6 5 2 8" xfId="19726"/>
    <cellStyle name="Normal 2 3 2 2 2 6 5 2 8 2" xfId="19727"/>
    <cellStyle name="Normal 2 3 2 2 2 6 5 2 9" xfId="19728"/>
    <cellStyle name="Normal 2 3 2 2 2 6 5 2 9 2" xfId="19729"/>
    <cellStyle name="Normal 2 3 2 2 2 6 5 3" xfId="19730"/>
    <cellStyle name="Normal 2 3 2 2 2 6 5 3 10" xfId="19731"/>
    <cellStyle name="Normal 2 3 2 2 2 6 5 3 10 2" xfId="19732"/>
    <cellStyle name="Normal 2 3 2 2 2 6 5 3 11" xfId="19733"/>
    <cellStyle name="Normal 2 3 2 2 2 6 5 3 2" xfId="19734"/>
    <cellStyle name="Normal 2 3 2 2 2 6 5 3 2 2" xfId="19735"/>
    <cellStyle name="Normal 2 3 2 2 2 6 5 3 3" xfId="19736"/>
    <cellStyle name="Normal 2 3 2 2 2 6 5 3 3 2" xfId="19737"/>
    <cellStyle name="Normal 2 3 2 2 2 6 5 3 4" xfId="19738"/>
    <cellStyle name="Normal 2 3 2 2 2 6 5 3 4 2" xfId="19739"/>
    <cellStyle name="Normal 2 3 2 2 2 6 5 3 5" xfId="19740"/>
    <cellStyle name="Normal 2 3 2 2 2 6 5 3 5 2" xfId="19741"/>
    <cellStyle name="Normal 2 3 2 2 2 6 5 3 6" xfId="19742"/>
    <cellStyle name="Normal 2 3 2 2 2 6 5 3 6 2" xfId="19743"/>
    <cellStyle name="Normal 2 3 2 2 2 6 5 3 7" xfId="19744"/>
    <cellStyle name="Normal 2 3 2 2 2 6 5 3 7 2" xfId="19745"/>
    <cellStyle name="Normal 2 3 2 2 2 6 5 3 8" xfId="19746"/>
    <cellStyle name="Normal 2 3 2 2 2 6 5 3 8 2" xfId="19747"/>
    <cellStyle name="Normal 2 3 2 2 2 6 5 3 9" xfId="19748"/>
    <cellStyle name="Normal 2 3 2 2 2 6 5 3 9 2" xfId="19749"/>
    <cellStyle name="Normal 2 3 2 2 2 6 5 4" xfId="19750"/>
    <cellStyle name="Normal 2 3 2 2 2 6 5 4 2" xfId="19751"/>
    <cellStyle name="Normal 2 3 2 2 2 6 5 5" xfId="19752"/>
    <cellStyle name="Normal 2 3 2 2 2 6 5 5 2" xfId="19753"/>
    <cellStyle name="Normal 2 3 2 2 2 6 5 6" xfId="19754"/>
    <cellStyle name="Normal 2 3 2 2 2 6 5 6 2" xfId="19755"/>
    <cellStyle name="Normal 2 3 2 2 2 6 5 7" xfId="19756"/>
    <cellStyle name="Normal 2 3 2 2 2 6 5 7 2" xfId="19757"/>
    <cellStyle name="Normal 2 3 2 2 2 6 5 8" xfId="19758"/>
    <cellStyle name="Normal 2 3 2 2 2 6 5 8 2" xfId="19759"/>
    <cellStyle name="Normal 2 3 2 2 2 6 5 9" xfId="19760"/>
    <cellStyle name="Normal 2 3 2 2 2 6 5 9 2" xfId="19761"/>
    <cellStyle name="Normal 2 3 2 2 2 7" xfId="19762"/>
    <cellStyle name="Normal 2 3 2 2 2 8" xfId="19763"/>
    <cellStyle name="Normal 2 3 2 2 2 9" xfId="19764"/>
    <cellStyle name="Normal 2 3 2 2 3" xfId="19765"/>
    <cellStyle name="Normal 2 3 2 2 3 10" xfId="19766"/>
    <cellStyle name="Normal 2 3 2 2 3 10 2" xfId="19767"/>
    <cellStyle name="Normal 2 3 2 2 3 11" xfId="19768"/>
    <cellStyle name="Normal 2 3 2 2 3 11 2" xfId="19769"/>
    <cellStyle name="Normal 2 3 2 2 3 12" xfId="19770"/>
    <cellStyle name="Normal 2 3 2 2 3 12 2" xfId="19771"/>
    <cellStyle name="Normal 2 3 2 2 3 13" xfId="19772"/>
    <cellStyle name="Normal 2 3 2 2 3 13 2" xfId="19773"/>
    <cellStyle name="Normal 2 3 2 2 3 14" xfId="19774"/>
    <cellStyle name="Normal 2 3 2 2 3 14 2" xfId="19775"/>
    <cellStyle name="Normal 2 3 2 2 3 15" xfId="19776"/>
    <cellStyle name="Normal 2 3 2 2 3 15 2" xfId="19777"/>
    <cellStyle name="Normal 2 3 2 2 3 16" xfId="19778"/>
    <cellStyle name="Normal 2 3 2 2 3 16 2" xfId="19779"/>
    <cellStyle name="Normal 2 3 2 2 3 17" xfId="19780"/>
    <cellStyle name="Normal 2 3 2 2 3 17 2" xfId="19781"/>
    <cellStyle name="Normal 2 3 2 2 3 18" xfId="19782"/>
    <cellStyle name="Normal 2 3 2 2 3 2" xfId="19783"/>
    <cellStyle name="Normal 2 3 2 2 3 2 2" xfId="19784"/>
    <cellStyle name="Normal 2 3 2 2 3 2 2 10" xfId="19785"/>
    <cellStyle name="Normal 2 3 2 2 3 2 2 10 2" xfId="19786"/>
    <cellStyle name="Normal 2 3 2 2 3 2 2 11" xfId="19787"/>
    <cellStyle name="Normal 2 3 2 2 3 2 2 11 2" xfId="19788"/>
    <cellStyle name="Normal 2 3 2 2 3 2 2 12" xfId="19789"/>
    <cellStyle name="Normal 2 3 2 2 3 2 2 12 2" xfId="19790"/>
    <cellStyle name="Normal 2 3 2 2 3 2 2 13" xfId="19791"/>
    <cellStyle name="Normal 2 3 2 2 3 2 2 13 2" xfId="19792"/>
    <cellStyle name="Normal 2 3 2 2 3 2 2 14" xfId="19793"/>
    <cellStyle name="Normal 2 3 2 2 3 2 2 14 2" xfId="19794"/>
    <cellStyle name="Normal 2 3 2 2 3 2 2 15" xfId="19795"/>
    <cellStyle name="Normal 2 3 2 2 3 2 2 15 2" xfId="19796"/>
    <cellStyle name="Normal 2 3 2 2 3 2 2 16" xfId="19797"/>
    <cellStyle name="Normal 2 3 2 2 3 2 2 16 2" xfId="19798"/>
    <cellStyle name="Normal 2 3 2 2 3 2 2 17" xfId="19799"/>
    <cellStyle name="Normal 2 3 2 2 3 2 2 2" xfId="19800"/>
    <cellStyle name="Normal 2 3 2 2 3 2 2 3" xfId="19801"/>
    <cellStyle name="Normal 2 3 2 2 3 2 2 4" xfId="19802"/>
    <cellStyle name="Normal 2 3 2 2 3 2 2 5" xfId="19803"/>
    <cellStyle name="Normal 2 3 2 2 3 2 2 6" xfId="19804"/>
    <cellStyle name="Normal 2 3 2 2 3 2 2 6 10" xfId="19805"/>
    <cellStyle name="Normal 2 3 2 2 3 2 2 6 10 2" xfId="19806"/>
    <cellStyle name="Normal 2 3 2 2 3 2 2 6 11" xfId="19807"/>
    <cellStyle name="Normal 2 3 2 2 3 2 2 6 11 2" xfId="19808"/>
    <cellStyle name="Normal 2 3 2 2 3 2 2 6 12" xfId="19809"/>
    <cellStyle name="Normal 2 3 2 2 3 2 2 6 2" xfId="19810"/>
    <cellStyle name="Normal 2 3 2 2 3 2 2 6 2 10" xfId="19811"/>
    <cellStyle name="Normal 2 3 2 2 3 2 2 6 2 10 2" xfId="19812"/>
    <cellStyle name="Normal 2 3 2 2 3 2 2 6 2 11" xfId="19813"/>
    <cellStyle name="Normal 2 3 2 2 3 2 2 6 2 2" xfId="19814"/>
    <cellStyle name="Normal 2 3 2 2 3 2 2 6 2 2 2" xfId="19815"/>
    <cellStyle name="Normal 2 3 2 2 3 2 2 6 2 3" xfId="19816"/>
    <cellStyle name="Normal 2 3 2 2 3 2 2 6 2 3 2" xfId="19817"/>
    <cellStyle name="Normal 2 3 2 2 3 2 2 6 2 4" xfId="19818"/>
    <cellStyle name="Normal 2 3 2 2 3 2 2 6 2 4 2" xfId="19819"/>
    <cellStyle name="Normal 2 3 2 2 3 2 2 6 2 5" xfId="19820"/>
    <cellStyle name="Normal 2 3 2 2 3 2 2 6 2 5 2" xfId="19821"/>
    <cellStyle name="Normal 2 3 2 2 3 2 2 6 2 6" xfId="19822"/>
    <cellStyle name="Normal 2 3 2 2 3 2 2 6 2 6 2" xfId="19823"/>
    <cellStyle name="Normal 2 3 2 2 3 2 2 6 2 7" xfId="19824"/>
    <cellStyle name="Normal 2 3 2 2 3 2 2 6 2 7 2" xfId="19825"/>
    <cellStyle name="Normal 2 3 2 2 3 2 2 6 2 8" xfId="19826"/>
    <cellStyle name="Normal 2 3 2 2 3 2 2 6 2 8 2" xfId="19827"/>
    <cellStyle name="Normal 2 3 2 2 3 2 2 6 2 9" xfId="19828"/>
    <cellStyle name="Normal 2 3 2 2 3 2 2 6 2 9 2" xfId="19829"/>
    <cellStyle name="Normal 2 3 2 2 3 2 2 6 3" xfId="19830"/>
    <cellStyle name="Normal 2 3 2 2 3 2 2 6 3 2" xfId="19831"/>
    <cellStyle name="Normal 2 3 2 2 3 2 2 6 4" xfId="19832"/>
    <cellStyle name="Normal 2 3 2 2 3 2 2 6 4 2" xfId="19833"/>
    <cellStyle name="Normal 2 3 2 2 3 2 2 6 5" xfId="19834"/>
    <cellStyle name="Normal 2 3 2 2 3 2 2 6 5 2" xfId="19835"/>
    <cellStyle name="Normal 2 3 2 2 3 2 2 6 6" xfId="19836"/>
    <cellStyle name="Normal 2 3 2 2 3 2 2 6 6 2" xfId="19837"/>
    <cellStyle name="Normal 2 3 2 2 3 2 2 6 7" xfId="19838"/>
    <cellStyle name="Normal 2 3 2 2 3 2 2 6 7 2" xfId="19839"/>
    <cellStyle name="Normal 2 3 2 2 3 2 2 6 8" xfId="19840"/>
    <cellStyle name="Normal 2 3 2 2 3 2 2 6 8 2" xfId="19841"/>
    <cellStyle name="Normal 2 3 2 2 3 2 2 6 9" xfId="19842"/>
    <cellStyle name="Normal 2 3 2 2 3 2 2 6 9 2" xfId="19843"/>
    <cellStyle name="Normal 2 3 2 2 3 2 2 7" xfId="19844"/>
    <cellStyle name="Normal 2 3 2 2 3 2 2 7 10" xfId="19845"/>
    <cellStyle name="Normal 2 3 2 2 3 2 2 7 10 2" xfId="19846"/>
    <cellStyle name="Normal 2 3 2 2 3 2 2 7 11" xfId="19847"/>
    <cellStyle name="Normal 2 3 2 2 3 2 2 7 2" xfId="19848"/>
    <cellStyle name="Normal 2 3 2 2 3 2 2 7 2 2" xfId="19849"/>
    <cellStyle name="Normal 2 3 2 2 3 2 2 7 3" xfId="19850"/>
    <cellStyle name="Normal 2 3 2 2 3 2 2 7 3 2" xfId="19851"/>
    <cellStyle name="Normal 2 3 2 2 3 2 2 7 4" xfId="19852"/>
    <cellStyle name="Normal 2 3 2 2 3 2 2 7 4 2" xfId="19853"/>
    <cellStyle name="Normal 2 3 2 2 3 2 2 7 5" xfId="19854"/>
    <cellStyle name="Normal 2 3 2 2 3 2 2 7 5 2" xfId="19855"/>
    <cellStyle name="Normal 2 3 2 2 3 2 2 7 6" xfId="19856"/>
    <cellStyle name="Normal 2 3 2 2 3 2 2 7 6 2" xfId="19857"/>
    <cellStyle name="Normal 2 3 2 2 3 2 2 7 7" xfId="19858"/>
    <cellStyle name="Normal 2 3 2 2 3 2 2 7 7 2" xfId="19859"/>
    <cellStyle name="Normal 2 3 2 2 3 2 2 7 8" xfId="19860"/>
    <cellStyle name="Normal 2 3 2 2 3 2 2 7 8 2" xfId="19861"/>
    <cellStyle name="Normal 2 3 2 2 3 2 2 7 9" xfId="19862"/>
    <cellStyle name="Normal 2 3 2 2 3 2 2 7 9 2" xfId="19863"/>
    <cellStyle name="Normal 2 3 2 2 3 2 2 8" xfId="19864"/>
    <cellStyle name="Normal 2 3 2 2 3 2 2 8 2" xfId="19865"/>
    <cellStyle name="Normal 2 3 2 2 3 2 2 9" xfId="19866"/>
    <cellStyle name="Normal 2 3 2 2 3 2 2 9 2" xfId="19867"/>
    <cellStyle name="Normal 2 3 2 2 3 2 3" xfId="19868"/>
    <cellStyle name="Normal 2 3 2 2 3 2 3 10" xfId="19869"/>
    <cellStyle name="Normal 2 3 2 2 3 2 3 10 2" xfId="19870"/>
    <cellStyle name="Normal 2 3 2 2 3 2 3 11" xfId="19871"/>
    <cellStyle name="Normal 2 3 2 2 3 2 3 11 2" xfId="19872"/>
    <cellStyle name="Normal 2 3 2 2 3 2 3 12" xfId="19873"/>
    <cellStyle name="Normal 2 3 2 2 3 2 3 12 2" xfId="19874"/>
    <cellStyle name="Normal 2 3 2 2 3 2 3 13" xfId="19875"/>
    <cellStyle name="Normal 2 3 2 2 3 2 3 2" xfId="19876"/>
    <cellStyle name="Normal 2 3 2 2 3 2 3 2 10" xfId="19877"/>
    <cellStyle name="Normal 2 3 2 2 3 2 3 2 10 2" xfId="19878"/>
    <cellStyle name="Normal 2 3 2 2 3 2 3 2 11" xfId="19879"/>
    <cellStyle name="Normal 2 3 2 2 3 2 3 2 11 2" xfId="19880"/>
    <cellStyle name="Normal 2 3 2 2 3 2 3 2 12" xfId="19881"/>
    <cellStyle name="Normal 2 3 2 2 3 2 3 2 2" xfId="19882"/>
    <cellStyle name="Normal 2 3 2 2 3 2 3 2 2 10" xfId="19883"/>
    <cellStyle name="Normal 2 3 2 2 3 2 3 2 2 10 2" xfId="19884"/>
    <cellStyle name="Normal 2 3 2 2 3 2 3 2 2 11" xfId="19885"/>
    <cellStyle name="Normal 2 3 2 2 3 2 3 2 2 2" xfId="19886"/>
    <cellStyle name="Normal 2 3 2 2 3 2 3 2 2 2 2" xfId="19887"/>
    <cellStyle name="Normal 2 3 2 2 3 2 3 2 2 3" xfId="19888"/>
    <cellStyle name="Normal 2 3 2 2 3 2 3 2 2 3 2" xfId="19889"/>
    <cellStyle name="Normal 2 3 2 2 3 2 3 2 2 4" xfId="19890"/>
    <cellStyle name="Normal 2 3 2 2 3 2 3 2 2 4 2" xfId="19891"/>
    <cellStyle name="Normal 2 3 2 2 3 2 3 2 2 5" xfId="19892"/>
    <cellStyle name="Normal 2 3 2 2 3 2 3 2 2 5 2" xfId="19893"/>
    <cellStyle name="Normal 2 3 2 2 3 2 3 2 2 6" xfId="19894"/>
    <cellStyle name="Normal 2 3 2 2 3 2 3 2 2 6 2" xfId="19895"/>
    <cellStyle name="Normal 2 3 2 2 3 2 3 2 2 7" xfId="19896"/>
    <cellStyle name="Normal 2 3 2 2 3 2 3 2 2 7 2" xfId="19897"/>
    <cellStyle name="Normal 2 3 2 2 3 2 3 2 2 8" xfId="19898"/>
    <cellStyle name="Normal 2 3 2 2 3 2 3 2 2 8 2" xfId="19899"/>
    <cellStyle name="Normal 2 3 2 2 3 2 3 2 2 9" xfId="19900"/>
    <cellStyle name="Normal 2 3 2 2 3 2 3 2 2 9 2" xfId="19901"/>
    <cellStyle name="Normal 2 3 2 2 3 2 3 2 3" xfId="19902"/>
    <cellStyle name="Normal 2 3 2 2 3 2 3 2 3 2" xfId="19903"/>
    <cellStyle name="Normal 2 3 2 2 3 2 3 2 4" xfId="19904"/>
    <cellStyle name="Normal 2 3 2 2 3 2 3 2 4 2" xfId="19905"/>
    <cellStyle name="Normal 2 3 2 2 3 2 3 2 5" xfId="19906"/>
    <cellStyle name="Normal 2 3 2 2 3 2 3 2 5 2" xfId="19907"/>
    <cellStyle name="Normal 2 3 2 2 3 2 3 2 6" xfId="19908"/>
    <cellStyle name="Normal 2 3 2 2 3 2 3 2 6 2" xfId="19909"/>
    <cellStyle name="Normal 2 3 2 2 3 2 3 2 7" xfId="19910"/>
    <cellStyle name="Normal 2 3 2 2 3 2 3 2 7 2" xfId="19911"/>
    <cellStyle name="Normal 2 3 2 2 3 2 3 2 8" xfId="19912"/>
    <cellStyle name="Normal 2 3 2 2 3 2 3 2 8 2" xfId="19913"/>
    <cellStyle name="Normal 2 3 2 2 3 2 3 2 9" xfId="19914"/>
    <cellStyle name="Normal 2 3 2 2 3 2 3 2 9 2" xfId="19915"/>
    <cellStyle name="Normal 2 3 2 2 3 2 3 3" xfId="19916"/>
    <cellStyle name="Normal 2 3 2 2 3 2 3 3 10" xfId="19917"/>
    <cellStyle name="Normal 2 3 2 2 3 2 3 3 10 2" xfId="19918"/>
    <cellStyle name="Normal 2 3 2 2 3 2 3 3 11" xfId="19919"/>
    <cellStyle name="Normal 2 3 2 2 3 2 3 3 2" xfId="19920"/>
    <cellStyle name="Normal 2 3 2 2 3 2 3 3 2 2" xfId="19921"/>
    <cellStyle name="Normal 2 3 2 2 3 2 3 3 3" xfId="19922"/>
    <cellStyle name="Normal 2 3 2 2 3 2 3 3 3 2" xfId="19923"/>
    <cellStyle name="Normal 2 3 2 2 3 2 3 3 4" xfId="19924"/>
    <cellStyle name="Normal 2 3 2 2 3 2 3 3 4 2" xfId="19925"/>
    <cellStyle name="Normal 2 3 2 2 3 2 3 3 5" xfId="19926"/>
    <cellStyle name="Normal 2 3 2 2 3 2 3 3 5 2" xfId="19927"/>
    <cellStyle name="Normal 2 3 2 2 3 2 3 3 6" xfId="19928"/>
    <cellStyle name="Normal 2 3 2 2 3 2 3 3 6 2" xfId="19929"/>
    <cellStyle name="Normal 2 3 2 2 3 2 3 3 7" xfId="19930"/>
    <cellStyle name="Normal 2 3 2 2 3 2 3 3 7 2" xfId="19931"/>
    <cellStyle name="Normal 2 3 2 2 3 2 3 3 8" xfId="19932"/>
    <cellStyle name="Normal 2 3 2 2 3 2 3 3 8 2" xfId="19933"/>
    <cellStyle name="Normal 2 3 2 2 3 2 3 3 9" xfId="19934"/>
    <cellStyle name="Normal 2 3 2 2 3 2 3 3 9 2" xfId="19935"/>
    <cellStyle name="Normal 2 3 2 2 3 2 3 4" xfId="19936"/>
    <cellStyle name="Normal 2 3 2 2 3 2 3 4 2" xfId="19937"/>
    <cellStyle name="Normal 2 3 2 2 3 2 3 5" xfId="19938"/>
    <cellStyle name="Normal 2 3 2 2 3 2 3 5 2" xfId="19939"/>
    <cellStyle name="Normal 2 3 2 2 3 2 3 6" xfId="19940"/>
    <cellStyle name="Normal 2 3 2 2 3 2 3 6 2" xfId="19941"/>
    <cellStyle name="Normal 2 3 2 2 3 2 3 7" xfId="19942"/>
    <cellStyle name="Normal 2 3 2 2 3 2 3 7 2" xfId="19943"/>
    <cellStyle name="Normal 2 3 2 2 3 2 3 8" xfId="19944"/>
    <cellStyle name="Normal 2 3 2 2 3 2 3 8 2" xfId="19945"/>
    <cellStyle name="Normal 2 3 2 2 3 2 3 9" xfId="19946"/>
    <cellStyle name="Normal 2 3 2 2 3 2 3 9 2" xfId="19947"/>
    <cellStyle name="Normal 2 3 2 2 3 2 4" xfId="19948"/>
    <cellStyle name="Normal 2 3 2 2 3 2 4 10" xfId="19949"/>
    <cellStyle name="Normal 2 3 2 2 3 2 4 10 2" xfId="19950"/>
    <cellStyle name="Normal 2 3 2 2 3 2 4 11" xfId="19951"/>
    <cellStyle name="Normal 2 3 2 2 3 2 4 11 2" xfId="19952"/>
    <cellStyle name="Normal 2 3 2 2 3 2 4 12" xfId="19953"/>
    <cellStyle name="Normal 2 3 2 2 3 2 4 12 2" xfId="19954"/>
    <cellStyle name="Normal 2 3 2 2 3 2 4 13" xfId="19955"/>
    <cellStyle name="Normal 2 3 2 2 3 2 4 2" xfId="19956"/>
    <cellStyle name="Normal 2 3 2 2 3 2 4 2 10" xfId="19957"/>
    <cellStyle name="Normal 2 3 2 2 3 2 4 2 10 2" xfId="19958"/>
    <cellStyle name="Normal 2 3 2 2 3 2 4 2 11" xfId="19959"/>
    <cellStyle name="Normal 2 3 2 2 3 2 4 2 11 2" xfId="19960"/>
    <cellStyle name="Normal 2 3 2 2 3 2 4 2 12" xfId="19961"/>
    <cellStyle name="Normal 2 3 2 2 3 2 4 2 2" xfId="19962"/>
    <cellStyle name="Normal 2 3 2 2 3 2 4 2 2 10" xfId="19963"/>
    <cellStyle name="Normal 2 3 2 2 3 2 4 2 2 10 2" xfId="19964"/>
    <cellStyle name="Normal 2 3 2 2 3 2 4 2 2 11" xfId="19965"/>
    <cellStyle name="Normal 2 3 2 2 3 2 4 2 2 2" xfId="19966"/>
    <cellStyle name="Normal 2 3 2 2 3 2 4 2 2 2 2" xfId="19967"/>
    <cellStyle name="Normal 2 3 2 2 3 2 4 2 2 3" xfId="19968"/>
    <cellStyle name="Normal 2 3 2 2 3 2 4 2 2 3 2" xfId="19969"/>
    <cellStyle name="Normal 2 3 2 2 3 2 4 2 2 4" xfId="19970"/>
    <cellStyle name="Normal 2 3 2 2 3 2 4 2 2 4 2" xfId="19971"/>
    <cellStyle name="Normal 2 3 2 2 3 2 4 2 2 5" xfId="19972"/>
    <cellStyle name="Normal 2 3 2 2 3 2 4 2 2 5 2" xfId="19973"/>
    <cellStyle name="Normal 2 3 2 2 3 2 4 2 2 6" xfId="19974"/>
    <cellStyle name="Normal 2 3 2 2 3 2 4 2 2 6 2" xfId="19975"/>
    <cellStyle name="Normal 2 3 2 2 3 2 4 2 2 7" xfId="19976"/>
    <cellStyle name="Normal 2 3 2 2 3 2 4 2 2 7 2" xfId="19977"/>
    <cellStyle name="Normal 2 3 2 2 3 2 4 2 2 8" xfId="19978"/>
    <cellStyle name="Normal 2 3 2 2 3 2 4 2 2 8 2" xfId="19979"/>
    <cellStyle name="Normal 2 3 2 2 3 2 4 2 2 9" xfId="19980"/>
    <cellStyle name="Normal 2 3 2 2 3 2 4 2 2 9 2" xfId="19981"/>
    <cellStyle name="Normal 2 3 2 2 3 2 4 2 3" xfId="19982"/>
    <cellStyle name="Normal 2 3 2 2 3 2 4 2 3 2" xfId="19983"/>
    <cellStyle name="Normal 2 3 2 2 3 2 4 2 4" xfId="19984"/>
    <cellStyle name="Normal 2 3 2 2 3 2 4 2 4 2" xfId="19985"/>
    <cellStyle name="Normal 2 3 2 2 3 2 4 2 5" xfId="19986"/>
    <cellStyle name="Normal 2 3 2 2 3 2 4 2 5 2" xfId="19987"/>
    <cellStyle name="Normal 2 3 2 2 3 2 4 2 6" xfId="19988"/>
    <cellStyle name="Normal 2 3 2 2 3 2 4 2 6 2" xfId="19989"/>
    <cellStyle name="Normal 2 3 2 2 3 2 4 2 7" xfId="19990"/>
    <cellStyle name="Normal 2 3 2 2 3 2 4 2 7 2" xfId="19991"/>
    <cellStyle name="Normal 2 3 2 2 3 2 4 2 8" xfId="19992"/>
    <cellStyle name="Normal 2 3 2 2 3 2 4 2 8 2" xfId="19993"/>
    <cellStyle name="Normal 2 3 2 2 3 2 4 2 9" xfId="19994"/>
    <cellStyle name="Normal 2 3 2 2 3 2 4 2 9 2" xfId="19995"/>
    <cellStyle name="Normal 2 3 2 2 3 2 4 3" xfId="19996"/>
    <cellStyle name="Normal 2 3 2 2 3 2 4 3 10" xfId="19997"/>
    <cellStyle name="Normal 2 3 2 2 3 2 4 3 10 2" xfId="19998"/>
    <cellStyle name="Normal 2 3 2 2 3 2 4 3 11" xfId="19999"/>
    <cellStyle name="Normal 2 3 2 2 3 2 4 3 2" xfId="20000"/>
    <cellStyle name="Normal 2 3 2 2 3 2 4 3 2 2" xfId="20001"/>
    <cellStyle name="Normal 2 3 2 2 3 2 4 3 3" xfId="20002"/>
    <cellStyle name="Normal 2 3 2 2 3 2 4 3 3 2" xfId="20003"/>
    <cellStyle name="Normal 2 3 2 2 3 2 4 3 4" xfId="20004"/>
    <cellStyle name="Normal 2 3 2 2 3 2 4 3 4 2" xfId="20005"/>
    <cellStyle name="Normal 2 3 2 2 3 2 4 3 5" xfId="20006"/>
    <cellStyle name="Normal 2 3 2 2 3 2 4 3 5 2" xfId="20007"/>
    <cellStyle name="Normal 2 3 2 2 3 2 4 3 6" xfId="20008"/>
    <cellStyle name="Normal 2 3 2 2 3 2 4 3 6 2" xfId="20009"/>
    <cellStyle name="Normal 2 3 2 2 3 2 4 3 7" xfId="20010"/>
    <cellStyle name="Normal 2 3 2 2 3 2 4 3 7 2" xfId="20011"/>
    <cellStyle name="Normal 2 3 2 2 3 2 4 3 8" xfId="20012"/>
    <cellStyle name="Normal 2 3 2 2 3 2 4 3 8 2" xfId="20013"/>
    <cellStyle name="Normal 2 3 2 2 3 2 4 3 9" xfId="20014"/>
    <cellStyle name="Normal 2 3 2 2 3 2 4 3 9 2" xfId="20015"/>
    <cellStyle name="Normal 2 3 2 2 3 2 4 4" xfId="20016"/>
    <cellStyle name="Normal 2 3 2 2 3 2 4 4 2" xfId="20017"/>
    <cellStyle name="Normal 2 3 2 2 3 2 4 5" xfId="20018"/>
    <cellStyle name="Normal 2 3 2 2 3 2 4 5 2" xfId="20019"/>
    <cellStyle name="Normal 2 3 2 2 3 2 4 6" xfId="20020"/>
    <cellStyle name="Normal 2 3 2 2 3 2 4 6 2" xfId="20021"/>
    <cellStyle name="Normal 2 3 2 2 3 2 4 7" xfId="20022"/>
    <cellStyle name="Normal 2 3 2 2 3 2 4 7 2" xfId="20023"/>
    <cellStyle name="Normal 2 3 2 2 3 2 4 8" xfId="20024"/>
    <cellStyle name="Normal 2 3 2 2 3 2 4 8 2" xfId="20025"/>
    <cellStyle name="Normal 2 3 2 2 3 2 4 9" xfId="20026"/>
    <cellStyle name="Normal 2 3 2 2 3 2 4 9 2" xfId="20027"/>
    <cellStyle name="Normal 2 3 2 2 3 2 5" xfId="20028"/>
    <cellStyle name="Normal 2 3 2 2 3 2 5 10" xfId="20029"/>
    <cellStyle name="Normal 2 3 2 2 3 2 5 10 2" xfId="20030"/>
    <cellStyle name="Normal 2 3 2 2 3 2 5 11" xfId="20031"/>
    <cellStyle name="Normal 2 3 2 2 3 2 5 11 2" xfId="20032"/>
    <cellStyle name="Normal 2 3 2 2 3 2 5 12" xfId="20033"/>
    <cellStyle name="Normal 2 3 2 2 3 2 5 12 2" xfId="20034"/>
    <cellStyle name="Normal 2 3 2 2 3 2 5 13" xfId="20035"/>
    <cellStyle name="Normal 2 3 2 2 3 2 5 2" xfId="20036"/>
    <cellStyle name="Normal 2 3 2 2 3 2 5 2 10" xfId="20037"/>
    <cellStyle name="Normal 2 3 2 2 3 2 5 2 10 2" xfId="20038"/>
    <cellStyle name="Normal 2 3 2 2 3 2 5 2 11" xfId="20039"/>
    <cellStyle name="Normal 2 3 2 2 3 2 5 2 11 2" xfId="20040"/>
    <cellStyle name="Normal 2 3 2 2 3 2 5 2 12" xfId="20041"/>
    <cellStyle name="Normal 2 3 2 2 3 2 5 2 2" xfId="20042"/>
    <cellStyle name="Normal 2 3 2 2 3 2 5 2 2 10" xfId="20043"/>
    <cellStyle name="Normal 2 3 2 2 3 2 5 2 2 10 2" xfId="20044"/>
    <cellStyle name="Normal 2 3 2 2 3 2 5 2 2 11" xfId="20045"/>
    <cellStyle name="Normal 2 3 2 2 3 2 5 2 2 2" xfId="20046"/>
    <cellStyle name="Normal 2 3 2 2 3 2 5 2 2 2 2" xfId="20047"/>
    <cellStyle name="Normal 2 3 2 2 3 2 5 2 2 3" xfId="20048"/>
    <cellStyle name="Normal 2 3 2 2 3 2 5 2 2 3 2" xfId="20049"/>
    <cellStyle name="Normal 2 3 2 2 3 2 5 2 2 4" xfId="20050"/>
    <cellStyle name="Normal 2 3 2 2 3 2 5 2 2 4 2" xfId="20051"/>
    <cellStyle name="Normal 2 3 2 2 3 2 5 2 2 5" xfId="20052"/>
    <cellStyle name="Normal 2 3 2 2 3 2 5 2 2 5 2" xfId="20053"/>
    <cellStyle name="Normal 2 3 2 2 3 2 5 2 2 6" xfId="20054"/>
    <cellStyle name="Normal 2 3 2 2 3 2 5 2 2 6 2" xfId="20055"/>
    <cellStyle name="Normal 2 3 2 2 3 2 5 2 2 7" xfId="20056"/>
    <cellStyle name="Normal 2 3 2 2 3 2 5 2 2 7 2" xfId="20057"/>
    <cellStyle name="Normal 2 3 2 2 3 2 5 2 2 8" xfId="20058"/>
    <cellStyle name="Normal 2 3 2 2 3 2 5 2 2 8 2" xfId="20059"/>
    <cellStyle name="Normal 2 3 2 2 3 2 5 2 2 9" xfId="20060"/>
    <cellStyle name="Normal 2 3 2 2 3 2 5 2 2 9 2" xfId="20061"/>
    <cellStyle name="Normal 2 3 2 2 3 2 5 2 3" xfId="20062"/>
    <cellStyle name="Normal 2 3 2 2 3 2 5 2 3 2" xfId="20063"/>
    <cellStyle name="Normal 2 3 2 2 3 2 5 2 4" xfId="20064"/>
    <cellStyle name="Normal 2 3 2 2 3 2 5 2 4 2" xfId="20065"/>
    <cellStyle name="Normal 2 3 2 2 3 2 5 2 5" xfId="20066"/>
    <cellStyle name="Normal 2 3 2 2 3 2 5 2 5 2" xfId="20067"/>
    <cellStyle name="Normal 2 3 2 2 3 2 5 2 6" xfId="20068"/>
    <cellStyle name="Normal 2 3 2 2 3 2 5 2 6 2" xfId="20069"/>
    <cellStyle name="Normal 2 3 2 2 3 2 5 2 7" xfId="20070"/>
    <cellStyle name="Normal 2 3 2 2 3 2 5 2 7 2" xfId="20071"/>
    <cellStyle name="Normal 2 3 2 2 3 2 5 2 8" xfId="20072"/>
    <cellStyle name="Normal 2 3 2 2 3 2 5 2 8 2" xfId="20073"/>
    <cellStyle name="Normal 2 3 2 2 3 2 5 2 9" xfId="20074"/>
    <cellStyle name="Normal 2 3 2 2 3 2 5 2 9 2" xfId="20075"/>
    <cellStyle name="Normal 2 3 2 2 3 2 5 3" xfId="20076"/>
    <cellStyle name="Normal 2 3 2 2 3 2 5 3 10" xfId="20077"/>
    <cellStyle name="Normal 2 3 2 2 3 2 5 3 10 2" xfId="20078"/>
    <cellStyle name="Normal 2 3 2 2 3 2 5 3 11" xfId="20079"/>
    <cellStyle name="Normal 2 3 2 2 3 2 5 3 2" xfId="20080"/>
    <cellStyle name="Normal 2 3 2 2 3 2 5 3 2 2" xfId="20081"/>
    <cellStyle name="Normal 2 3 2 2 3 2 5 3 3" xfId="20082"/>
    <cellStyle name="Normal 2 3 2 2 3 2 5 3 3 2" xfId="20083"/>
    <cellStyle name="Normal 2 3 2 2 3 2 5 3 4" xfId="20084"/>
    <cellStyle name="Normal 2 3 2 2 3 2 5 3 4 2" xfId="20085"/>
    <cellStyle name="Normal 2 3 2 2 3 2 5 3 5" xfId="20086"/>
    <cellStyle name="Normal 2 3 2 2 3 2 5 3 5 2" xfId="20087"/>
    <cellStyle name="Normal 2 3 2 2 3 2 5 3 6" xfId="20088"/>
    <cellStyle name="Normal 2 3 2 2 3 2 5 3 6 2" xfId="20089"/>
    <cellStyle name="Normal 2 3 2 2 3 2 5 3 7" xfId="20090"/>
    <cellStyle name="Normal 2 3 2 2 3 2 5 3 7 2" xfId="20091"/>
    <cellStyle name="Normal 2 3 2 2 3 2 5 3 8" xfId="20092"/>
    <cellStyle name="Normal 2 3 2 2 3 2 5 3 8 2" xfId="20093"/>
    <cellStyle name="Normal 2 3 2 2 3 2 5 3 9" xfId="20094"/>
    <cellStyle name="Normal 2 3 2 2 3 2 5 3 9 2" xfId="20095"/>
    <cellStyle name="Normal 2 3 2 2 3 2 5 4" xfId="20096"/>
    <cellStyle name="Normal 2 3 2 2 3 2 5 4 2" xfId="20097"/>
    <cellStyle name="Normal 2 3 2 2 3 2 5 5" xfId="20098"/>
    <cellStyle name="Normal 2 3 2 2 3 2 5 5 2" xfId="20099"/>
    <cellStyle name="Normal 2 3 2 2 3 2 5 6" xfId="20100"/>
    <cellStyle name="Normal 2 3 2 2 3 2 5 6 2" xfId="20101"/>
    <cellStyle name="Normal 2 3 2 2 3 2 5 7" xfId="20102"/>
    <cellStyle name="Normal 2 3 2 2 3 2 5 7 2" xfId="20103"/>
    <cellStyle name="Normal 2 3 2 2 3 2 5 8" xfId="20104"/>
    <cellStyle name="Normal 2 3 2 2 3 2 5 8 2" xfId="20105"/>
    <cellStyle name="Normal 2 3 2 2 3 2 5 9" xfId="20106"/>
    <cellStyle name="Normal 2 3 2 2 3 2 5 9 2" xfId="20107"/>
    <cellStyle name="Normal 2 3 2 2 3 3" xfId="20108"/>
    <cellStyle name="Normal 2 3 2 2 3 4" xfId="20109"/>
    <cellStyle name="Normal 2 3 2 2 3 5" xfId="20110"/>
    <cellStyle name="Normal 2 3 2 2 3 6" xfId="20111"/>
    <cellStyle name="Normal 2 3 2 2 3 7" xfId="20112"/>
    <cellStyle name="Normal 2 3 2 2 3 7 10" xfId="20113"/>
    <cellStyle name="Normal 2 3 2 2 3 7 10 2" xfId="20114"/>
    <cellStyle name="Normal 2 3 2 2 3 7 11" xfId="20115"/>
    <cellStyle name="Normal 2 3 2 2 3 7 11 2" xfId="20116"/>
    <cellStyle name="Normal 2 3 2 2 3 7 12" xfId="20117"/>
    <cellStyle name="Normal 2 3 2 2 3 7 2" xfId="20118"/>
    <cellStyle name="Normal 2 3 2 2 3 7 2 10" xfId="20119"/>
    <cellStyle name="Normal 2 3 2 2 3 7 2 10 2" xfId="20120"/>
    <cellStyle name="Normal 2 3 2 2 3 7 2 11" xfId="20121"/>
    <cellStyle name="Normal 2 3 2 2 3 7 2 2" xfId="20122"/>
    <cellStyle name="Normal 2 3 2 2 3 7 2 2 2" xfId="20123"/>
    <cellStyle name="Normal 2 3 2 2 3 7 2 3" xfId="20124"/>
    <cellStyle name="Normal 2 3 2 2 3 7 2 3 2" xfId="20125"/>
    <cellStyle name="Normal 2 3 2 2 3 7 2 4" xfId="20126"/>
    <cellStyle name="Normal 2 3 2 2 3 7 2 4 2" xfId="20127"/>
    <cellStyle name="Normal 2 3 2 2 3 7 2 5" xfId="20128"/>
    <cellStyle name="Normal 2 3 2 2 3 7 2 5 2" xfId="20129"/>
    <cellStyle name="Normal 2 3 2 2 3 7 2 6" xfId="20130"/>
    <cellStyle name="Normal 2 3 2 2 3 7 2 6 2" xfId="20131"/>
    <cellStyle name="Normal 2 3 2 2 3 7 2 7" xfId="20132"/>
    <cellStyle name="Normal 2 3 2 2 3 7 2 7 2" xfId="20133"/>
    <cellStyle name="Normal 2 3 2 2 3 7 2 8" xfId="20134"/>
    <cellStyle name="Normal 2 3 2 2 3 7 2 8 2" xfId="20135"/>
    <cellStyle name="Normal 2 3 2 2 3 7 2 9" xfId="20136"/>
    <cellStyle name="Normal 2 3 2 2 3 7 2 9 2" xfId="20137"/>
    <cellStyle name="Normal 2 3 2 2 3 7 3" xfId="20138"/>
    <cellStyle name="Normal 2 3 2 2 3 7 3 2" xfId="20139"/>
    <cellStyle name="Normal 2 3 2 2 3 7 4" xfId="20140"/>
    <cellStyle name="Normal 2 3 2 2 3 7 4 2" xfId="20141"/>
    <cellStyle name="Normal 2 3 2 2 3 7 5" xfId="20142"/>
    <cellStyle name="Normal 2 3 2 2 3 7 5 2" xfId="20143"/>
    <cellStyle name="Normal 2 3 2 2 3 7 6" xfId="20144"/>
    <cellStyle name="Normal 2 3 2 2 3 7 6 2" xfId="20145"/>
    <cellStyle name="Normal 2 3 2 2 3 7 7" xfId="20146"/>
    <cellStyle name="Normal 2 3 2 2 3 7 7 2" xfId="20147"/>
    <cellStyle name="Normal 2 3 2 2 3 7 8" xfId="20148"/>
    <cellStyle name="Normal 2 3 2 2 3 7 8 2" xfId="20149"/>
    <cellStyle name="Normal 2 3 2 2 3 7 9" xfId="20150"/>
    <cellStyle name="Normal 2 3 2 2 3 7 9 2" xfId="20151"/>
    <cellStyle name="Normal 2 3 2 2 3 8" xfId="20152"/>
    <cellStyle name="Normal 2 3 2 2 3 8 10" xfId="20153"/>
    <cellStyle name="Normal 2 3 2 2 3 8 10 2" xfId="20154"/>
    <cellStyle name="Normal 2 3 2 2 3 8 11" xfId="20155"/>
    <cellStyle name="Normal 2 3 2 2 3 8 2" xfId="20156"/>
    <cellStyle name="Normal 2 3 2 2 3 8 2 2" xfId="20157"/>
    <cellStyle name="Normal 2 3 2 2 3 8 3" xfId="20158"/>
    <cellStyle name="Normal 2 3 2 2 3 8 3 2" xfId="20159"/>
    <cellStyle name="Normal 2 3 2 2 3 8 4" xfId="20160"/>
    <cellStyle name="Normal 2 3 2 2 3 8 4 2" xfId="20161"/>
    <cellStyle name="Normal 2 3 2 2 3 8 5" xfId="20162"/>
    <cellStyle name="Normal 2 3 2 2 3 8 5 2" xfId="20163"/>
    <cellStyle name="Normal 2 3 2 2 3 8 6" xfId="20164"/>
    <cellStyle name="Normal 2 3 2 2 3 8 6 2" xfId="20165"/>
    <cellStyle name="Normal 2 3 2 2 3 8 7" xfId="20166"/>
    <cellStyle name="Normal 2 3 2 2 3 8 7 2" xfId="20167"/>
    <cellStyle name="Normal 2 3 2 2 3 8 8" xfId="20168"/>
    <cellStyle name="Normal 2 3 2 2 3 8 8 2" xfId="20169"/>
    <cellStyle name="Normal 2 3 2 2 3 8 9" xfId="20170"/>
    <cellStyle name="Normal 2 3 2 2 3 8 9 2" xfId="20171"/>
    <cellStyle name="Normal 2 3 2 2 3 9" xfId="20172"/>
    <cellStyle name="Normal 2 3 2 2 3 9 2" xfId="20173"/>
    <cellStyle name="Normal 2 3 2 2 4" xfId="20174"/>
    <cellStyle name="Normal 2 3 2 2 5" xfId="20175"/>
    <cellStyle name="Normal 2 3 2 2 6" xfId="20176"/>
    <cellStyle name="Normal 2 3 2 2 6 10" xfId="20177"/>
    <cellStyle name="Normal 2 3 2 2 6 10 2" xfId="20178"/>
    <cellStyle name="Normal 2 3 2 2 6 11" xfId="20179"/>
    <cellStyle name="Normal 2 3 2 2 6 11 2" xfId="20180"/>
    <cellStyle name="Normal 2 3 2 2 6 12" xfId="20181"/>
    <cellStyle name="Normal 2 3 2 2 6 12 2" xfId="20182"/>
    <cellStyle name="Normal 2 3 2 2 6 13" xfId="20183"/>
    <cellStyle name="Normal 2 3 2 2 6 13 2" xfId="20184"/>
    <cellStyle name="Normal 2 3 2 2 6 14" xfId="20185"/>
    <cellStyle name="Normal 2 3 2 2 6 14 2" xfId="20186"/>
    <cellStyle name="Normal 2 3 2 2 6 15" xfId="20187"/>
    <cellStyle name="Normal 2 3 2 2 6 15 2" xfId="20188"/>
    <cellStyle name="Normal 2 3 2 2 6 16" xfId="20189"/>
    <cellStyle name="Normal 2 3 2 2 6 16 2" xfId="20190"/>
    <cellStyle name="Normal 2 3 2 2 6 17" xfId="20191"/>
    <cellStyle name="Normal 2 3 2 2 6 2" xfId="20192"/>
    <cellStyle name="Normal 2 3 2 2 6 3" xfId="20193"/>
    <cellStyle name="Normal 2 3 2 2 6 4" xfId="20194"/>
    <cellStyle name="Normal 2 3 2 2 6 5" xfId="20195"/>
    <cellStyle name="Normal 2 3 2 2 6 6" xfId="20196"/>
    <cellStyle name="Normal 2 3 2 2 6 6 10" xfId="20197"/>
    <cellStyle name="Normal 2 3 2 2 6 6 10 2" xfId="20198"/>
    <cellStyle name="Normal 2 3 2 2 6 6 11" xfId="20199"/>
    <cellStyle name="Normal 2 3 2 2 6 6 11 2" xfId="20200"/>
    <cellStyle name="Normal 2 3 2 2 6 6 12" xfId="20201"/>
    <cellStyle name="Normal 2 3 2 2 6 6 2" xfId="20202"/>
    <cellStyle name="Normal 2 3 2 2 6 6 2 10" xfId="20203"/>
    <cellStyle name="Normal 2 3 2 2 6 6 2 10 2" xfId="20204"/>
    <cellStyle name="Normal 2 3 2 2 6 6 2 11" xfId="20205"/>
    <cellStyle name="Normal 2 3 2 2 6 6 2 2" xfId="20206"/>
    <cellStyle name="Normal 2 3 2 2 6 6 2 2 2" xfId="20207"/>
    <cellStyle name="Normal 2 3 2 2 6 6 2 3" xfId="20208"/>
    <cellStyle name="Normal 2 3 2 2 6 6 2 3 2" xfId="20209"/>
    <cellStyle name="Normal 2 3 2 2 6 6 2 4" xfId="20210"/>
    <cellStyle name="Normal 2 3 2 2 6 6 2 4 2" xfId="20211"/>
    <cellStyle name="Normal 2 3 2 2 6 6 2 5" xfId="20212"/>
    <cellStyle name="Normal 2 3 2 2 6 6 2 5 2" xfId="20213"/>
    <cellStyle name="Normal 2 3 2 2 6 6 2 6" xfId="20214"/>
    <cellStyle name="Normal 2 3 2 2 6 6 2 6 2" xfId="20215"/>
    <cellStyle name="Normal 2 3 2 2 6 6 2 7" xfId="20216"/>
    <cellStyle name="Normal 2 3 2 2 6 6 2 7 2" xfId="20217"/>
    <cellStyle name="Normal 2 3 2 2 6 6 2 8" xfId="20218"/>
    <cellStyle name="Normal 2 3 2 2 6 6 2 8 2" xfId="20219"/>
    <cellStyle name="Normal 2 3 2 2 6 6 2 9" xfId="20220"/>
    <cellStyle name="Normal 2 3 2 2 6 6 2 9 2" xfId="20221"/>
    <cellStyle name="Normal 2 3 2 2 6 6 3" xfId="20222"/>
    <cellStyle name="Normal 2 3 2 2 6 6 3 2" xfId="20223"/>
    <cellStyle name="Normal 2 3 2 2 6 6 4" xfId="20224"/>
    <cellStyle name="Normal 2 3 2 2 6 6 4 2" xfId="20225"/>
    <cellStyle name="Normal 2 3 2 2 6 6 5" xfId="20226"/>
    <cellStyle name="Normal 2 3 2 2 6 6 5 2" xfId="20227"/>
    <cellStyle name="Normal 2 3 2 2 6 6 6" xfId="20228"/>
    <cellStyle name="Normal 2 3 2 2 6 6 6 2" xfId="20229"/>
    <cellStyle name="Normal 2 3 2 2 6 6 7" xfId="20230"/>
    <cellStyle name="Normal 2 3 2 2 6 6 7 2" xfId="20231"/>
    <cellStyle name="Normal 2 3 2 2 6 6 8" xfId="20232"/>
    <cellStyle name="Normal 2 3 2 2 6 6 8 2" xfId="20233"/>
    <cellStyle name="Normal 2 3 2 2 6 6 9" xfId="20234"/>
    <cellStyle name="Normal 2 3 2 2 6 6 9 2" xfId="20235"/>
    <cellStyle name="Normal 2 3 2 2 6 7" xfId="20236"/>
    <cellStyle name="Normal 2 3 2 2 6 7 10" xfId="20237"/>
    <cellStyle name="Normal 2 3 2 2 6 7 10 2" xfId="20238"/>
    <cellStyle name="Normal 2 3 2 2 6 7 11" xfId="20239"/>
    <cellStyle name="Normal 2 3 2 2 6 7 2" xfId="20240"/>
    <cellStyle name="Normal 2 3 2 2 6 7 2 2" xfId="20241"/>
    <cellStyle name="Normal 2 3 2 2 6 7 3" xfId="20242"/>
    <cellStyle name="Normal 2 3 2 2 6 7 3 2" xfId="20243"/>
    <cellStyle name="Normal 2 3 2 2 6 7 4" xfId="20244"/>
    <cellStyle name="Normal 2 3 2 2 6 7 4 2" xfId="20245"/>
    <cellStyle name="Normal 2 3 2 2 6 7 5" xfId="20246"/>
    <cellStyle name="Normal 2 3 2 2 6 7 5 2" xfId="20247"/>
    <cellStyle name="Normal 2 3 2 2 6 7 6" xfId="20248"/>
    <cellStyle name="Normal 2 3 2 2 6 7 6 2" xfId="20249"/>
    <cellStyle name="Normal 2 3 2 2 6 7 7" xfId="20250"/>
    <cellStyle name="Normal 2 3 2 2 6 7 7 2" xfId="20251"/>
    <cellStyle name="Normal 2 3 2 2 6 7 8" xfId="20252"/>
    <cellStyle name="Normal 2 3 2 2 6 7 8 2" xfId="20253"/>
    <cellStyle name="Normal 2 3 2 2 6 7 9" xfId="20254"/>
    <cellStyle name="Normal 2 3 2 2 6 7 9 2" xfId="20255"/>
    <cellStyle name="Normal 2 3 2 2 6 8" xfId="20256"/>
    <cellStyle name="Normal 2 3 2 2 6 8 2" xfId="20257"/>
    <cellStyle name="Normal 2 3 2 2 6 9" xfId="20258"/>
    <cellStyle name="Normal 2 3 2 2 6 9 2" xfId="20259"/>
    <cellStyle name="Normal 2 3 2 2 7" xfId="20260"/>
    <cellStyle name="Normal 2 3 2 2 7 10" xfId="20261"/>
    <cellStyle name="Normal 2 3 2 2 7 10 2" xfId="20262"/>
    <cellStyle name="Normal 2 3 2 2 7 11" xfId="20263"/>
    <cellStyle name="Normal 2 3 2 2 7 11 2" xfId="20264"/>
    <cellStyle name="Normal 2 3 2 2 7 12" xfId="20265"/>
    <cellStyle name="Normal 2 3 2 2 7 12 2" xfId="20266"/>
    <cellStyle name="Normal 2 3 2 2 7 13" xfId="20267"/>
    <cellStyle name="Normal 2 3 2 2 7 2" xfId="20268"/>
    <cellStyle name="Normal 2 3 2 2 7 2 10" xfId="20269"/>
    <cellStyle name="Normal 2 3 2 2 7 2 10 2" xfId="20270"/>
    <cellStyle name="Normal 2 3 2 2 7 2 11" xfId="20271"/>
    <cellStyle name="Normal 2 3 2 2 7 2 11 2" xfId="20272"/>
    <cellStyle name="Normal 2 3 2 2 7 2 12" xfId="20273"/>
    <cellStyle name="Normal 2 3 2 2 7 2 2" xfId="20274"/>
    <cellStyle name="Normal 2 3 2 2 7 2 2 10" xfId="20275"/>
    <cellStyle name="Normal 2 3 2 2 7 2 2 10 2" xfId="20276"/>
    <cellStyle name="Normal 2 3 2 2 7 2 2 11" xfId="20277"/>
    <cellStyle name="Normal 2 3 2 2 7 2 2 2" xfId="20278"/>
    <cellStyle name="Normal 2 3 2 2 7 2 2 2 2" xfId="20279"/>
    <cellStyle name="Normal 2 3 2 2 7 2 2 3" xfId="20280"/>
    <cellStyle name="Normal 2 3 2 2 7 2 2 3 2" xfId="20281"/>
    <cellStyle name="Normal 2 3 2 2 7 2 2 4" xfId="20282"/>
    <cellStyle name="Normal 2 3 2 2 7 2 2 4 2" xfId="20283"/>
    <cellStyle name="Normal 2 3 2 2 7 2 2 5" xfId="20284"/>
    <cellStyle name="Normal 2 3 2 2 7 2 2 5 2" xfId="20285"/>
    <cellStyle name="Normal 2 3 2 2 7 2 2 6" xfId="20286"/>
    <cellStyle name="Normal 2 3 2 2 7 2 2 6 2" xfId="20287"/>
    <cellStyle name="Normal 2 3 2 2 7 2 2 7" xfId="20288"/>
    <cellStyle name="Normal 2 3 2 2 7 2 2 7 2" xfId="20289"/>
    <cellStyle name="Normal 2 3 2 2 7 2 2 8" xfId="20290"/>
    <cellStyle name="Normal 2 3 2 2 7 2 2 8 2" xfId="20291"/>
    <cellStyle name="Normal 2 3 2 2 7 2 2 9" xfId="20292"/>
    <cellStyle name="Normal 2 3 2 2 7 2 2 9 2" xfId="20293"/>
    <cellStyle name="Normal 2 3 2 2 7 2 3" xfId="20294"/>
    <cellStyle name="Normal 2 3 2 2 7 2 3 2" xfId="20295"/>
    <cellStyle name="Normal 2 3 2 2 7 2 4" xfId="20296"/>
    <cellStyle name="Normal 2 3 2 2 7 2 4 2" xfId="20297"/>
    <cellStyle name="Normal 2 3 2 2 7 2 5" xfId="20298"/>
    <cellStyle name="Normal 2 3 2 2 7 2 5 2" xfId="20299"/>
    <cellStyle name="Normal 2 3 2 2 7 2 6" xfId="20300"/>
    <cellStyle name="Normal 2 3 2 2 7 2 6 2" xfId="20301"/>
    <cellStyle name="Normal 2 3 2 2 7 2 7" xfId="20302"/>
    <cellStyle name="Normal 2 3 2 2 7 2 7 2" xfId="20303"/>
    <cellStyle name="Normal 2 3 2 2 7 2 8" xfId="20304"/>
    <cellStyle name="Normal 2 3 2 2 7 2 8 2" xfId="20305"/>
    <cellStyle name="Normal 2 3 2 2 7 2 9" xfId="20306"/>
    <cellStyle name="Normal 2 3 2 2 7 2 9 2" xfId="20307"/>
    <cellStyle name="Normal 2 3 2 2 7 3" xfId="20308"/>
    <cellStyle name="Normal 2 3 2 2 7 3 10" xfId="20309"/>
    <cellStyle name="Normal 2 3 2 2 7 3 10 2" xfId="20310"/>
    <cellStyle name="Normal 2 3 2 2 7 3 11" xfId="20311"/>
    <cellStyle name="Normal 2 3 2 2 7 3 2" xfId="20312"/>
    <cellStyle name="Normal 2 3 2 2 7 3 2 2" xfId="20313"/>
    <cellStyle name="Normal 2 3 2 2 7 3 3" xfId="20314"/>
    <cellStyle name="Normal 2 3 2 2 7 3 3 2" xfId="20315"/>
    <cellStyle name="Normal 2 3 2 2 7 3 4" xfId="20316"/>
    <cellStyle name="Normal 2 3 2 2 7 3 4 2" xfId="20317"/>
    <cellStyle name="Normal 2 3 2 2 7 3 5" xfId="20318"/>
    <cellStyle name="Normal 2 3 2 2 7 3 5 2" xfId="20319"/>
    <cellStyle name="Normal 2 3 2 2 7 3 6" xfId="20320"/>
    <cellStyle name="Normal 2 3 2 2 7 3 6 2" xfId="20321"/>
    <cellStyle name="Normal 2 3 2 2 7 3 7" xfId="20322"/>
    <cellStyle name="Normal 2 3 2 2 7 3 7 2" xfId="20323"/>
    <cellStyle name="Normal 2 3 2 2 7 3 8" xfId="20324"/>
    <cellStyle name="Normal 2 3 2 2 7 3 8 2" xfId="20325"/>
    <cellStyle name="Normal 2 3 2 2 7 3 9" xfId="20326"/>
    <cellStyle name="Normal 2 3 2 2 7 3 9 2" xfId="20327"/>
    <cellStyle name="Normal 2 3 2 2 7 4" xfId="20328"/>
    <cellStyle name="Normal 2 3 2 2 7 4 2" xfId="20329"/>
    <cellStyle name="Normal 2 3 2 2 7 5" xfId="20330"/>
    <cellStyle name="Normal 2 3 2 2 7 5 2" xfId="20331"/>
    <cellStyle name="Normal 2 3 2 2 7 6" xfId="20332"/>
    <cellStyle name="Normal 2 3 2 2 7 6 2" xfId="20333"/>
    <cellStyle name="Normal 2 3 2 2 7 7" xfId="20334"/>
    <cellStyle name="Normal 2 3 2 2 7 7 2" xfId="20335"/>
    <cellStyle name="Normal 2 3 2 2 7 8" xfId="20336"/>
    <cellStyle name="Normal 2 3 2 2 7 8 2" xfId="20337"/>
    <cellStyle name="Normal 2 3 2 2 7 9" xfId="20338"/>
    <cellStyle name="Normal 2 3 2 2 7 9 2" xfId="20339"/>
    <cellStyle name="Normal 2 3 2 2 8" xfId="20340"/>
    <cellStyle name="Normal 2 3 2 2 8 10" xfId="20341"/>
    <cellStyle name="Normal 2 3 2 2 8 10 2" xfId="20342"/>
    <cellStyle name="Normal 2 3 2 2 8 11" xfId="20343"/>
    <cellStyle name="Normal 2 3 2 2 8 11 2" xfId="20344"/>
    <cellStyle name="Normal 2 3 2 2 8 12" xfId="20345"/>
    <cellStyle name="Normal 2 3 2 2 8 12 2" xfId="20346"/>
    <cellStyle name="Normal 2 3 2 2 8 13" xfId="20347"/>
    <cellStyle name="Normal 2 3 2 2 8 2" xfId="20348"/>
    <cellStyle name="Normal 2 3 2 2 8 2 10" xfId="20349"/>
    <cellStyle name="Normal 2 3 2 2 8 2 10 2" xfId="20350"/>
    <cellStyle name="Normal 2 3 2 2 8 2 11" xfId="20351"/>
    <cellStyle name="Normal 2 3 2 2 8 2 11 2" xfId="20352"/>
    <cellStyle name="Normal 2 3 2 2 8 2 12" xfId="20353"/>
    <cellStyle name="Normal 2 3 2 2 8 2 2" xfId="20354"/>
    <cellStyle name="Normal 2 3 2 2 8 2 2 10" xfId="20355"/>
    <cellStyle name="Normal 2 3 2 2 8 2 2 10 2" xfId="20356"/>
    <cellStyle name="Normal 2 3 2 2 8 2 2 11" xfId="20357"/>
    <cellStyle name="Normal 2 3 2 2 8 2 2 2" xfId="20358"/>
    <cellStyle name="Normal 2 3 2 2 8 2 2 2 2" xfId="20359"/>
    <cellStyle name="Normal 2 3 2 2 8 2 2 3" xfId="20360"/>
    <cellStyle name="Normal 2 3 2 2 8 2 2 3 2" xfId="20361"/>
    <cellStyle name="Normal 2 3 2 2 8 2 2 4" xfId="20362"/>
    <cellStyle name="Normal 2 3 2 2 8 2 2 4 2" xfId="20363"/>
    <cellStyle name="Normal 2 3 2 2 8 2 2 5" xfId="20364"/>
    <cellStyle name="Normal 2 3 2 2 8 2 2 5 2" xfId="20365"/>
    <cellStyle name="Normal 2 3 2 2 8 2 2 6" xfId="20366"/>
    <cellStyle name="Normal 2 3 2 2 8 2 2 6 2" xfId="20367"/>
    <cellStyle name="Normal 2 3 2 2 8 2 2 7" xfId="20368"/>
    <cellStyle name="Normal 2 3 2 2 8 2 2 7 2" xfId="20369"/>
    <cellStyle name="Normal 2 3 2 2 8 2 2 8" xfId="20370"/>
    <cellStyle name="Normal 2 3 2 2 8 2 2 8 2" xfId="20371"/>
    <cellStyle name="Normal 2 3 2 2 8 2 2 9" xfId="20372"/>
    <cellStyle name="Normal 2 3 2 2 8 2 2 9 2" xfId="20373"/>
    <cellStyle name="Normal 2 3 2 2 8 2 3" xfId="20374"/>
    <cellStyle name="Normal 2 3 2 2 8 2 3 2" xfId="20375"/>
    <cellStyle name="Normal 2 3 2 2 8 2 4" xfId="20376"/>
    <cellStyle name="Normal 2 3 2 2 8 2 4 2" xfId="20377"/>
    <cellStyle name="Normal 2 3 2 2 8 2 5" xfId="20378"/>
    <cellStyle name="Normal 2 3 2 2 8 2 5 2" xfId="20379"/>
    <cellStyle name="Normal 2 3 2 2 8 2 6" xfId="20380"/>
    <cellStyle name="Normal 2 3 2 2 8 2 6 2" xfId="20381"/>
    <cellStyle name="Normal 2 3 2 2 8 2 7" xfId="20382"/>
    <cellStyle name="Normal 2 3 2 2 8 2 7 2" xfId="20383"/>
    <cellStyle name="Normal 2 3 2 2 8 2 8" xfId="20384"/>
    <cellStyle name="Normal 2 3 2 2 8 2 8 2" xfId="20385"/>
    <cellStyle name="Normal 2 3 2 2 8 2 9" xfId="20386"/>
    <cellStyle name="Normal 2 3 2 2 8 2 9 2" xfId="20387"/>
    <cellStyle name="Normal 2 3 2 2 8 3" xfId="20388"/>
    <cellStyle name="Normal 2 3 2 2 8 3 10" xfId="20389"/>
    <cellStyle name="Normal 2 3 2 2 8 3 10 2" xfId="20390"/>
    <cellStyle name="Normal 2 3 2 2 8 3 11" xfId="20391"/>
    <cellStyle name="Normal 2 3 2 2 8 3 2" xfId="20392"/>
    <cellStyle name="Normal 2 3 2 2 8 3 2 2" xfId="20393"/>
    <cellStyle name="Normal 2 3 2 2 8 3 3" xfId="20394"/>
    <cellStyle name="Normal 2 3 2 2 8 3 3 2" xfId="20395"/>
    <cellStyle name="Normal 2 3 2 2 8 3 4" xfId="20396"/>
    <cellStyle name="Normal 2 3 2 2 8 3 4 2" xfId="20397"/>
    <cellStyle name="Normal 2 3 2 2 8 3 5" xfId="20398"/>
    <cellStyle name="Normal 2 3 2 2 8 3 5 2" xfId="20399"/>
    <cellStyle name="Normal 2 3 2 2 8 3 6" xfId="20400"/>
    <cellStyle name="Normal 2 3 2 2 8 3 6 2" xfId="20401"/>
    <cellStyle name="Normal 2 3 2 2 8 3 7" xfId="20402"/>
    <cellStyle name="Normal 2 3 2 2 8 3 7 2" xfId="20403"/>
    <cellStyle name="Normal 2 3 2 2 8 3 8" xfId="20404"/>
    <cellStyle name="Normal 2 3 2 2 8 3 8 2" xfId="20405"/>
    <cellStyle name="Normal 2 3 2 2 8 3 9" xfId="20406"/>
    <cellStyle name="Normal 2 3 2 2 8 3 9 2" xfId="20407"/>
    <cellStyle name="Normal 2 3 2 2 8 4" xfId="20408"/>
    <cellStyle name="Normal 2 3 2 2 8 4 2" xfId="20409"/>
    <cellStyle name="Normal 2 3 2 2 8 5" xfId="20410"/>
    <cellStyle name="Normal 2 3 2 2 8 5 2" xfId="20411"/>
    <cellStyle name="Normal 2 3 2 2 8 6" xfId="20412"/>
    <cellStyle name="Normal 2 3 2 2 8 6 2" xfId="20413"/>
    <cellStyle name="Normal 2 3 2 2 8 7" xfId="20414"/>
    <cellStyle name="Normal 2 3 2 2 8 7 2" xfId="20415"/>
    <cellStyle name="Normal 2 3 2 2 8 8" xfId="20416"/>
    <cellStyle name="Normal 2 3 2 2 8 8 2" xfId="20417"/>
    <cellStyle name="Normal 2 3 2 2 8 9" xfId="20418"/>
    <cellStyle name="Normal 2 3 2 2 8 9 2" xfId="20419"/>
    <cellStyle name="Normal 2 3 2 2 9" xfId="20420"/>
    <cellStyle name="Normal 2 3 2 2 9 10" xfId="20421"/>
    <cellStyle name="Normal 2 3 2 2 9 10 2" xfId="20422"/>
    <cellStyle name="Normal 2 3 2 2 9 11" xfId="20423"/>
    <cellStyle name="Normal 2 3 2 2 9 11 2" xfId="20424"/>
    <cellStyle name="Normal 2 3 2 2 9 12" xfId="20425"/>
    <cellStyle name="Normal 2 3 2 2 9 12 2" xfId="20426"/>
    <cellStyle name="Normal 2 3 2 2 9 13" xfId="20427"/>
    <cellStyle name="Normal 2 3 2 2 9 2" xfId="20428"/>
    <cellStyle name="Normal 2 3 2 2 9 2 10" xfId="20429"/>
    <cellStyle name="Normal 2 3 2 2 9 2 10 2" xfId="20430"/>
    <cellStyle name="Normal 2 3 2 2 9 2 11" xfId="20431"/>
    <cellStyle name="Normal 2 3 2 2 9 2 11 2" xfId="20432"/>
    <cellStyle name="Normal 2 3 2 2 9 2 12" xfId="20433"/>
    <cellStyle name="Normal 2 3 2 2 9 2 2" xfId="20434"/>
    <cellStyle name="Normal 2 3 2 2 9 2 2 10" xfId="20435"/>
    <cellStyle name="Normal 2 3 2 2 9 2 2 10 2" xfId="20436"/>
    <cellStyle name="Normal 2 3 2 2 9 2 2 11" xfId="20437"/>
    <cellStyle name="Normal 2 3 2 2 9 2 2 2" xfId="20438"/>
    <cellStyle name="Normal 2 3 2 2 9 2 2 2 2" xfId="20439"/>
    <cellStyle name="Normal 2 3 2 2 9 2 2 3" xfId="20440"/>
    <cellStyle name="Normal 2 3 2 2 9 2 2 3 2" xfId="20441"/>
    <cellStyle name="Normal 2 3 2 2 9 2 2 4" xfId="20442"/>
    <cellStyle name="Normal 2 3 2 2 9 2 2 4 2" xfId="20443"/>
    <cellStyle name="Normal 2 3 2 2 9 2 2 5" xfId="20444"/>
    <cellStyle name="Normal 2 3 2 2 9 2 2 5 2" xfId="20445"/>
    <cellStyle name="Normal 2 3 2 2 9 2 2 6" xfId="20446"/>
    <cellStyle name="Normal 2 3 2 2 9 2 2 6 2" xfId="20447"/>
    <cellStyle name="Normal 2 3 2 2 9 2 2 7" xfId="20448"/>
    <cellStyle name="Normal 2 3 2 2 9 2 2 7 2" xfId="20449"/>
    <cellStyle name="Normal 2 3 2 2 9 2 2 8" xfId="20450"/>
    <cellStyle name="Normal 2 3 2 2 9 2 2 8 2" xfId="20451"/>
    <cellStyle name="Normal 2 3 2 2 9 2 2 9" xfId="20452"/>
    <cellStyle name="Normal 2 3 2 2 9 2 2 9 2" xfId="20453"/>
    <cellStyle name="Normal 2 3 2 2 9 2 3" xfId="20454"/>
    <cellStyle name="Normal 2 3 2 2 9 2 3 2" xfId="20455"/>
    <cellStyle name="Normal 2 3 2 2 9 2 4" xfId="20456"/>
    <cellStyle name="Normal 2 3 2 2 9 2 4 2" xfId="20457"/>
    <cellStyle name="Normal 2 3 2 2 9 2 5" xfId="20458"/>
    <cellStyle name="Normal 2 3 2 2 9 2 5 2" xfId="20459"/>
    <cellStyle name="Normal 2 3 2 2 9 2 6" xfId="20460"/>
    <cellStyle name="Normal 2 3 2 2 9 2 6 2" xfId="20461"/>
    <cellStyle name="Normal 2 3 2 2 9 2 7" xfId="20462"/>
    <cellStyle name="Normal 2 3 2 2 9 2 7 2" xfId="20463"/>
    <cellStyle name="Normal 2 3 2 2 9 2 8" xfId="20464"/>
    <cellStyle name="Normal 2 3 2 2 9 2 8 2" xfId="20465"/>
    <cellStyle name="Normal 2 3 2 2 9 2 9" xfId="20466"/>
    <cellStyle name="Normal 2 3 2 2 9 2 9 2" xfId="20467"/>
    <cellStyle name="Normal 2 3 2 2 9 3" xfId="20468"/>
    <cellStyle name="Normal 2 3 2 2 9 3 10" xfId="20469"/>
    <cellStyle name="Normal 2 3 2 2 9 3 10 2" xfId="20470"/>
    <cellStyle name="Normal 2 3 2 2 9 3 11" xfId="20471"/>
    <cellStyle name="Normal 2 3 2 2 9 3 2" xfId="20472"/>
    <cellStyle name="Normal 2 3 2 2 9 3 2 2" xfId="20473"/>
    <cellStyle name="Normal 2 3 2 2 9 3 3" xfId="20474"/>
    <cellStyle name="Normal 2 3 2 2 9 3 3 2" xfId="20475"/>
    <cellStyle name="Normal 2 3 2 2 9 3 4" xfId="20476"/>
    <cellStyle name="Normal 2 3 2 2 9 3 4 2" xfId="20477"/>
    <cellStyle name="Normal 2 3 2 2 9 3 5" xfId="20478"/>
    <cellStyle name="Normal 2 3 2 2 9 3 5 2" xfId="20479"/>
    <cellStyle name="Normal 2 3 2 2 9 3 6" xfId="20480"/>
    <cellStyle name="Normal 2 3 2 2 9 3 6 2" xfId="20481"/>
    <cellStyle name="Normal 2 3 2 2 9 3 7" xfId="20482"/>
    <cellStyle name="Normal 2 3 2 2 9 3 7 2" xfId="20483"/>
    <cellStyle name="Normal 2 3 2 2 9 3 8" xfId="20484"/>
    <cellStyle name="Normal 2 3 2 2 9 3 8 2" xfId="20485"/>
    <cellStyle name="Normal 2 3 2 2 9 3 9" xfId="20486"/>
    <cellStyle name="Normal 2 3 2 2 9 3 9 2" xfId="20487"/>
    <cellStyle name="Normal 2 3 2 2 9 4" xfId="20488"/>
    <cellStyle name="Normal 2 3 2 2 9 4 2" xfId="20489"/>
    <cellStyle name="Normal 2 3 2 2 9 5" xfId="20490"/>
    <cellStyle name="Normal 2 3 2 2 9 5 2" xfId="20491"/>
    <cellStyle name="Normal 2 3 2 2 9 6" xfId="20492"/>
    <cellStyle name="Normal 2 3 2 2 9 6 2" xfId="20493"/>
    <cellStyle name="Normal 2 3 2 2 9 7" xfId="20494"/>
    <cellStyle name="Normal 2 3 2 2 9 7 2" xfId="20495"/>
    <cellStyle name="Normal 2 3 2 2 9 8" xfId="20496"/>
    <cellStyle name="Normal 2 3 2 2 9 8 2" xfId="20497"/>
    <cellStyle name="Normal 2 3 2 2 9 9" xfId="20498"/>
    <cellStyle name="Normal 2 3 2 2 9 9 2" xfId="20499"/>
    <cellStyle name="Normal 2 3 2 20" xfId="20500"/>
    <cellStyle name="Normal 2 3 2 21" xfId="20501"/>
    <cellStyle name="Normal 2 3 2 22" xfId="20502"/>
    <cellStyle name="Normal 2 3 2 23" xfId="20503"/>
    <cellStyle name="Normal 2 3 2 24" xfId="20504"/>
    <cellStyle name="Normal 2 3 2 25" xfId="20505"/>
    <cellStyle name="Normal 2 3 2 26" xfId="20506"/>
    <cellStyle name="Normal 2 3 2 27" xfId="20507"/>
    <cellStyle name="Normal 2 3 2 28" xfId="20508"/>
    <cellStyle name="Normal 2 3 2 29" xfId="20509"/>
    <cellStyle name="Normal 2 3 2 3" xfId="20510"/>
    <cellStyle name="Normal 2 3 2 3 10" xfId="20511"/>
    <cellStyle name="Normal 2 3 2 3 10 2" xfId="20512"/>
    <cellStyle name="Normal 2 3 2 3 11" xfId="20513"/>
    <cellStyle name="Normal 2 3 2 3 11 2" xfId="20514"/>
    <cellStyle name="Normal 2 3 2 3 12" xfId="20515"/>
    <cellStyle name="Normal 2 3 2 3 12 2" xfId="20516"/>
    <cellStyle name="Normal 2 3 2 3 13" xfId="20517"/>
    <cellStyle name="Normal 2 3 2 3 2" xfId="20518"/>
    <cellStyle name="Normal 2 3 2 3 2 10" xfId="20519"/>
    <cellStyle name="Normal 2 3 2 3 2 10 2" xfId="20520"/>
    <cellStyle name="Normal 2 3 2 3 2 11" xfId="20521"/>
    <cellStyle name="Normal 2 3 2 3 2 11 2" xfId="20522"/>
    <cellStyle name="Normal 2 3 2 3 2 12" xfId="20523"/>
    <cellStyle name="Normal 2 3 2 3 2 2" xfId="20524"/>
    <cellStyle name="Normal 2 3 2 3 2 2 10" xfId="20525"/>
    <cellStyle name="Normal 2 3 2 3 2 2 10 2" xfId="20526"/>
    <cellStyle name="Normal 2 3 2 3 2 2 11" xfId="20527"/>
    <cellStyle name="Normal 2 3 2 3 2 2 2" xfId="20528"/>
    <cellStyle name="Normal 2 3 2 3 2 2 2 2" xfId="20529"/>
    <cellStyle name="Normal 2 3 2 3 2 2 3" xfId="20530"/>
    <cellStyle name="Normal 2 3 2 3 2 2 3 2" xfId="20531"/>
    <cellStyle name="Normal 2 3 2 3 2 2 4" xfId="20532"/>
    <cellStyle name="Normal 2 3 2 3 2 2 4 2" xfId="20533"/>
    <cellStyle name="Normal 2 3 2 3 2 2 5" xfId="20534"/>
    <cellStyle name="Normal 2 3 2 3 2 2 5 2" xfId="20535"/>
    <cellStyle name="Normal 2 3 2 3 2 2 6" xfId="20536"/>
    <cellStyle name="Normal 2 3 2 3 2 2 6 2" xfId="20537"/>
    <cellStyle name="Normal 2 3 2 3 2 2 7" xfId="20538"/>
    <cellStyle name="Normal 2 3 2 3 2 2 7 2" xfId="20539"/>
    <cellStyle name="Normal 2 3 2 3 2 2 8" xfId="20540"/>
    <cellStyle name="Normal 2 3 2 3 2 2 8 2" xfId="20541"/>
    <cellStyle name="Normal 2 3 2 3 2 2 9" xfId="20542"/>
    <cellStyle name="Normal 2 3 2 3 2 2 9 2" xfId="20543"/>
    <cellStyle name="Normal 2 3 2 3 2 3" xfId="20544"/>
    <cellStyle name="Normal 2 3 2 3 2 3 2" xfId="20545"/>
    <cellStyle name="Normal 2 3 2 3 2 4" xfId="20546"/>
    <cellStyle name="Normal 2 3 2 3 2 4 2" xfId="20547"/>
    <cellStyle name="Normal 2 3 2 3 2 5" xfId="20548"/>
    <cellStyle name="Normal 2 3 2 3 2 5 2" xfId="20549"/>
    <cellStyle name="Normal 2 3 2 3 2 6" xfId="20550"/>
    <cellStyle name="Normal 2 3 2 3 2 6 2" xfId="20551"/>
    <cellStyle name="Normal 2 3 2 3 2 7" xfId="20552"/>
    <cellStyle name="Normal 2 3 2 3 2 7 2" xfId="20553"/>
    <cellStyle name="Normal 2 3 2 3 2 8" xfId="20554"/>
    <cellStyle name="Normal 2 3 2 3 2 8 2" xfId="20555"/>
    <cellStyle name="Normal 2 3 2 3 2 9" xfId="20556"/>
    <cellStyle name="Normal 2 3 2 3 2 9 2" xfId="20557"/>
    <cellStyle name="Normal 2 3 2 3 3" xfId="20558"/>
    <cellStyle name="Normal 2 3 2 3 3 10" xfId="20559"/>
    <cellStyle name="Normal 2 3 2 3 3 10 2" xfId="20560"/>
    <cellStyle name="Normal 2 3 2 3 3 11" xfId="20561"/>
    <cellStyle name="Normal 2 3 2 3 3 2" xfId="20562"/>
    <cellStyle name="Normal 2 3 2 3 3 2 2" xfId="20563"/>
    <cellStyle name="Normal 2 3 2 3 3 3" xfId="20564"/>
    <cellStyle name="Normal 2 3 2 3 3 3 2" xfId="20565"/>
    <cellStyle name="Normal 2 3 2 3 3 4" xfId="20566"/>
    <cellStyle name="Normal 2 3 2 3 3 4 2" xfId="20567"/>
    <cellStyle name="Normal 2 3 2 3 3 5" xfId="20568"/>
    <cellStyle name="Normal 2 3 2 3 3 5 2" xfId="20569"/>
    <cellStyle name="Normal 2 3 2 3 3 6" xfId="20570"/>
    <cellStyle name="Normal 2 3 2 3 3 6 2" xfId="20571"/>
    <cellStyle name="Normal 2 3 2 3 3 7" xfId="20572"/>
    <cellStyle name="Normal 2 3 2 3 3 7 2" xfId="20573"/>
    <cellStyle name="Normal 2 3 2 3 3 8" xfId="20574"/>
    <cellStyle name="Normal 2 3 2 3 3 8 2" xfId="20575"/>
    <cellStyle name="Normal 2 3 2 3 3 9" xfId="20576"/>
    <cellStyle name="Normal 2 3 2 3 3 9 2" xfId="20577"/>
    <cellStyle name="Normal 2 3 2 3 4" xfId="20578"/>
    <cellStyle name="Normal 2 3 2 3 4 2" xfId="20579"/>
    <cellStyle name="Normal 2 3 2 3 5" xfId="20580"/>
    <cellStyle name="Normal 2 3 2 3 5 2" xfId="20581"/>
    <cellStyle name="Normal 2 3 2 3 6" xfId="20582"/>
    <cellStyle name="Normal 2 3 2 3 6 2" xfId="20583"/>
    <cellStyle name="Normal 2 3 2 3 7" xfId="20584"/>
    <cellStyle name="Normal 2 3 2 3 7 2" xfId="20585"/>
    <cellStyle name="Normal 2 3 2 3 8" xfId="20586"/>
    <cellStyle name="Normal 2 3 2 3 8 2" xfId="20587"/>
    <cellStyle name="Normal 2 3 2 3 9" xfId="20588"/>
    <cellStyle name="Normal 2 3 2 3 9 2" xfId="20589"/>
    <cellStyle name="Normal 2 3 2 4" xfId="20590"/>
    <cellStyle name="Normal 2 3 2 4 10" xfId="20591"/>
    <cellStyle name="Normal 2 3 2 4 10 2" xfId="20592"/>
    <cellStyle name="Normal 2 3 2 4 11" xfId="20593"/>
    <cellStyle name="Normal 2 3 2 4 11 2" xfId="20594"/>
    <cellStyle name="Normal 2 3 2 4 12" xfId="20595"/>
    <cellStyle name="Normal 2 3 2 4 12 2" xfId="20596"/>
    <cellStyle name="Normal 2 3 2 4 13" xfId="20597"/>
    <cellStyle name="Normal 2 3 2 4 2" xfId="20598"/>
    <cellStyle name="Normal 2 3 2 4 2 10" xfId="20599"/>
    <cellStyle name="Normal 2 3 2 4 2 10 2" xfId="20600"/>
    <cellStyle name="Normal 2 3 2 4 2 11" xfId="20601"/>
    <cellStyle name="Normal 2 3 2 4 2 11 2" xfId="20602"/>
    <cellStyle name="Normal 2 3 2 4 2 12" xfId="20603"/>
    <cellStyle name="Normal 2 3 2 4 2 2" xfId="20604"/>
    <cellStyle name="Normal 2 3 2 4 2 2 10" xfId="20605"/>
    <cellStyle name="Normal 2 3 2 4 2 2 10 2" xfId="20606"/>
    <cellStyle name="Normal 2 3 2 4 2 2 11" xfId="20607"/>
    <cellStyle name="Normal 2 3 2 4 2 2 2" xfId="20608"/>
    <cellStyle name="Normal 2 3 2 4 2 2 2 2" xfId="20609"/>
    <cellStyle name="Normal 2 3 2 4 2 2 3" xfId="20610"/>
    <cellStyle name="Normal 2 3 2 4 2 2 3 2" xfId="20611"/>
    <cellStyle name="Normal 2 3 2 4 2 2 4" xfId="20612"/>
    <cellStyle name="Normal 2 3 2 4 2 2 4 2" xfId="20613"/>
    <cellStyle name="Normal 2 3 2 4 2 2 5" xfId="20614"/>
    <cellStyle name="Normal 2 3 2 4 2 2 5 2" xfId="20615"/>
    <cellStyle name="Normal 2 3 2 4 2 2 6" xfId="20616"/>
    <cellStyle name="Normal 2 3 2 4 2 2 6 2" xfId="20617"/>
    <cellStyle name="Normal 2 3 2 4 2 2 7" xfId="20618"/>
    <cellStyle name="Normal 2 3 2 4 2 2 7 2" xfId="20619"/>
    <cellStyle name="Normal 2 3 2 4 2 2 8" xfId="20620"/>
    <cellStyle name="Normal 2 3 2 4 2 2 8 2" xfId="20621"/>
    <cellStyle name="Normal 2 3 2 4 2 2 9" xfId="20622"/>
    <cellStyle name="Normal 2 3 2 4 2 2 9 2" xfId="20623"/>
    <cellStyle name="Normal 2 3 2 4 2 3" xfId="20624"/>
    <cellStyle name="Normal 2 3 2 4 2 3 2" xfId="20625"/>
    <cellStyle name="Normal 2 3 2 4 2 4" xfId="20626"/>
    <cellStyle name="Normal 2 3 2 4 2 4 2" xfId="20627"/>
    <cellStyle name="Normal 2 3 2 4 2 5" xfId="20628"/>
    <cellStyle name="Normal 2 3 2 4 2 5 2" xfId="20629"/>
    <cellStyle name="Normal 2 3 2 4 2 6" xfId="20630"/>
    <cellStyle name="Normal 2 3 2 4 2 6 2" xfId="20631"/>
    <cellStyle name="Normal 2 3 2 4 2 7" xfId="20632"/>
    <cellStyle name="Normal 2 3 2 4 2 7 2" xfId="20633"/>
    <cellStyle name="Normal 2 3 2 4 2 8" xfId="20634"/>
    <cellStyle name="Normal 2 3 2 4 2 8 2" xfId="20635"/>
    <cellStyle name="Normal 2 3 2 4 2 9" xfId="20636"/>
    <cellStyle name="Normal 2 3 2 4 2 9 2" xfId="20637"/>
    <cellStyle name="Normal 2 3 2 4 3" xfId="20638"/>
    <cellStyle name="Normal 2 3 2 4 3 10" xfId="20639"/>
    <cellStyle name="Normal 2 3 2 4 3 10 2" xfId="20640"/>
    <cellStyle name="Normal 2 3 2 4 3 11" xfId="20641"/>
    <cellStyle name="Normal 2 3 2 4 3 2" xfId="20642"/>
    <cellStyle name="Normal 2 3 2 4 3 2 2" xfId="20643"/>
    <cellStyle name="Normal 2 3 2 4 3 3" xfId="20644"/>
    <cellStyle name="Normal 2 3 2 4 3 3 2" xfId="20645"/>
    <cellStyle name="Normal 2 3 2 4 3 4" xfId="20646"/>
    <cellStyle name="Normal 2 3 2 4 3 4 2" xfId="20647"/>
    <cellStyle name="Normal 2 3 2 4 3 5" xfId="20648"/>
    <cellStyle name="Normal 2 3 2 4 3 5 2" xfId="20649"/>
    <cellStyle name="Normal 2 3 2 4 3 6" xfId="20650"/>
    <cellStyle name="Normal 2 3 2 4 3 6 2" xfId="20651"/>
    <cellStyle name="Normal 2 3 2 4 3 7" xfId="20652"/>
    <cellStyle name="Normal 2 3 2 4 3 7 2" xfId="20653"/>
    <cellStyle name="Normal 2 3 2 4 3 8" xfId="20654"/>
    <cellStyle name="Normal 2 3 2 4 3 8 2" xfId="20655"/>
    <cellStyle name="Normal 2 3 2 4 3 9" xfId="20656"/>
    <cellStyle name="Normal 2 3 2 4 3 9 2" xfId="20657"/>
    <cellStyle name="Normal 2 3 2 4 4" xfId="20658"/>
    <cellStyle name="Normal 2 3 2 4 4 2" xfId="20659"/>
    <cellStyle name="Normal 2 3 2 4 5" xfId="20660"/>
    <cellStyle name="Normal 2 3 2 4 5 2" xfId="20661"/>
    <cellStyle name="Normal 2 3 2 4 6" xfId="20662"/>
    <cellStyle name="Normal 2 3 2 4 6 2" xfId="20663"/>
    <cellStyle name="Normal 2 3 2 4 7" xfId="20664"/>
    <cellStyle name="Normal 2 3 2 4 7 2" xfId="20665"/>
    <cellStyle name="Normal 2 3 2 4 8" xfId="20666"/>
    <cellStyle name="Normal 2 3 2 4 8 2" xfId="20667"/>
    <cellStyle name="Normal 2 3 2 4 9" xfId="20668"/>
    <cellStyle name="Normal 2 3 2 4 9 2" xfId="20669"/>
    <cellStyle name="Normal 2 3 2 5" xfId="20670"/>
    <cellStyle name="Normal 2 3 2 5 10" xfId="20671"/>
    <cellStyle name="Normal 2 3 2 5 10 2" xfId="20672"/>
    <cellStyle name="Normal 2 3 2 5 11" xfId="20673"/>
    <cellStyle name="Normal 2 3 2 5 11 2" xfId="20674"/>
    <cellStyle name="Normal 2 3 2 5 12" xfId="20675"/>
    <cellStyle name="Normal 2 3 2 5 12 2" xfId="20676"/>
    <cellStyle name="Normal 2 3 2 5 13" xfId="20677"/>
    <cellStyle name="Normal 2 3 2 5 2" xfId="20678"/>
    <cellStyle name="Normal 2 3 2 5 2 10" xfId="20679"/>
    <cellStyle name="Normal 2 3 2 5 2 10 2" xfId="20680"/>
    <cellStyle name="Normal 2 3 2 5 2 11" xfId="20681"/>
    <cellStyle name="Normal 2 3 2 5 2 11 2" xfId="20682"/>
    <cellStyle name="Normal 2 3 2 5 2 12" xfId="20683"/>
    <cellStyle name="Normal 2 3 2 5 2 2" xfId="20684"/>
    <cellStyle name="Normal 2 3 2 5 2 2 10" xfId="20685"/>
    <cellStyle name="Normal 2 3 2 5 2 2 10 2" xfId="20686"/>
    <cellStyle name="Normal 2 3 2 5 2 2 11" xfId="20687"/>
    <cellStyle name="Normal 2 3 2 5 2 2 2" xfId="20688"/>
    <cellStyle name="Normal 2 3 2 5 2 2 2 2" xfId="20689"/>
    <cellStyle name="Normal 2 3 2 5 2 2 3" xfId="20690"/>
    <cellStyle name="Normal 2 3 2 5 2 2 3 2" xfId="20691"/>
    <cellStyle name="Normal 2 3 2 5 2 2 4" xfId="20692"/>
    <cellStyle name="Normal 2 3 2 5 2 2 4 2" xfId="20693"/>
    <cellStyle name="Normal 2 3 2 5 2 2 5" xfId="20694"/>
    <cellStyle name="Normal 2 3 2 5 2 2 5 2" xfId="20695"/>
    <cellStyle name="Normal 2 3 2 5 2 2 6" xfId="20696"/>
    <cellStyle name="Normal 2 3 2 5 2 2 6 2" xfId="20697"/>
    <cellStyle name="Normal 2 3 2 5 2 2 7" xfId="20698"/>
    <cellStyle name="Normal 2 3 2 5 2 2 7 2" xfId="20699"/>
    <cellStyle name="Normal 2 3 2 5 2 2 8" xfId="20700"/>
    <cellStyle name="Normal 2 3 2 5 2 2 8 2" xfId="20701"/>
    <cellStyle name="Normal 2 3 2 5 2 2 9" xfId="20702"/>
    <cellStyle name="Normal 2 3 2 5 2 2 9 2" xfId="20703"/>
    <cellStyle name="Normal 2 3 2 5 2 3" xfId="20704"/>
    <cellStyle name="Normal 2 3 2 5 2 3 2" xfId="20705"/>
    <cellStyle name="Normal 2 3 2 5 2 4" xfId="20706"/>
    <cellStyle name="Normal 2 3 2 5 2 4 2" xfId="20707"/>
    <cellStyle name="Normal 2 3 2 5 2 5" xfId="20708"/>
    <cellStyle name="Normal 2 3 2 5 2 5 2" xfId="20709"/>
    <cellStyle name="Normal 2 3 2 5 2 6" xfId="20710"/>
    <cellStyle name="Normal 2 3 2 5 2 6 2" xfId="20711"/>
    <cellStyle name="Normal 2 3 2 5 2 7" xfId="20712"/>
    <cellStyle name="Normal 2 3 2 5 2 7 2" xfId="20713"/>
    <cellStyle name="Normal 2 3 2 5 2 8" xfId="20714"/>
    <cellStyle name="Normal 2 3 2 5 2 8 2" xfId="20715"/>
    <cellStyle name="Normal 2 3 2 5 2 9" xfId="20716"/>
    <cellStyle name="Normal 2 3 2 5 2 9 2" xfId="20717"/>
    <cellStyle name="Normal 2 3 2 5 3" xfId="20718"/>
    <cellStyle name="Normal 2 3 2 5 3 10" xfId="20719"/>
    <cellStyle name="Normal 2 3 2 5 3 10 2" xfId="20720"/>
    <cellStyle name="Normal 2 3 2 5 3 11" xfId="20721"/>
    <cellStyle name="Normal 2 3 2 5 3 2" xfId="20722"/>
    <cellStyle name="Normal 2 3 2 5 3 2 2" xfId="20723"/>
    <cellStyle name="Normal 2 3 2 5 3 3" xfId="20724"/>
    <cellStyle name="Normal 2 3 2 5 3 3 2" xfId="20725"/>
    <cellStyle name="Normal 2 3 2 5 3 4" xfId="20726"/>
    <cellStyle name="Normal 2 3 2 5 3 4 2" xfId="20727"/>
    <cellStyle name="Normal 2 3 2 5 3 5" xfId="20728"/>
    <cellStyle name="Normal 2 3 2 5 3 5 2" xfId="20729"/>
    <cellStyle name="Normal 2 3 2 5 3 6" xfId="20730"/>
    <cellStyle name="Normal 2 3 2 5 3 6 2" xfId="20731"/>
    <cellStyle name="Normal 2 3 2 5 3 7" xfId="20732"/>
    <cellStyle name="Normal 2 3 2 5 3 7 2" xfId="20733"/>
    <cellStyle name="Normal 2 3 2 5 3 8" xfId="20734"/>
    <cellStyle name="Normal 2 3 2 5 3 8 2" xfId="20735"/>
    <cellStyle name="Normal 2 3 2 5 3 9" xfId="20736"/>
    <cellStyle name="Normal 2 3 2 5 3 9 2" xfId="20737"/>
    <cellStyle name="Normal 2 3 2 5 4" xfId="20738"/>
    <cellStyle name="Normal 2 3 2 5 4 2" xfId="20739"/>
    <cellStyle name="Normal 2 3 2 5 5" xfId="20740"/>
    <cellStyle name="Normal 2 3 2 5 5 2" xfId="20741"/>
    <cellStyle name="Normal 2 3 2 5 6" xfId="20742"/>
    <cellStyle name="Normal 2 3 2 5 6 2" xfId="20743"/>
    <cellStyle name="Normal 2 3 2 5 7" xfId="20744"/>
    <cellStyle name="Normal 2 3 2 5 7 2" xfId="20745"/>
    <cellStyle name="Normal 2 3 2 5 8" xfId="20746"/>
    <cellStyle name="Normal 2 3 2 5 8 2" xfId="20747"/>
    <cellStyle name="Normal 2 3 2 5 9" xfId="20748"/>
    <cellStyle name="Normal 2 3 2 5 9 2" xfId="20749"/>
    <cellStyle name="Normal 2 3 2 6" xfId="20750"/>
    <cellStyle name="Normal 2 3 2 6 10" xfId="20751"/>
    <cellStyle name="Normal 2 3 2 6 10 2" xfId="20752"/>
    <cellStyle name="Normal 2 3 2 6 11" xfId="20753"/>
    <cellStyle name="Normal 2 3 2 6 11 2" xfId="20754"/>
    <cellStyle name="Normal 2 3 2 6 12" xfId="20755"/>
    <cellStyle name="Normal 2 3 2 6 12 2" xfId="20756"/>
    <cellStyle name="Normal 2 3 2 6 13" xfId="20757"/>
    <cellStyle name="Normal 2 3 2 6 2" xfId="20758"/>
    <cellStyle name="Normal 2 3 2 6 2 10" xfId="20759"/>
    <cellStyle name="Normal 2 3 2 6 2 10 2" xfId="20760"/>
    <cellStyle name="Normal 2 3 2 6 2 11" xfId="20761"/>
    <cellStyle name="Normal 2 3 2 6 2 11 2" xfId="20762"/>
    <cellStyle name="Normal 2 3 2 6 2 12" xfId="20763"/>
    <cellStyle name="Normal 2 3 2 6 2 2" xfId="20764"/>
    <cellStyle name="Normal 2 3 2 6 2 2 10" xfId="20765"/>
    <cellStyle name="Normal 2 3 2 6 2 2 10 2" xfId="20766"/>
    <cellStyle name="Normal 2 3 2 6 2 2 11" xfId="20767"/>
    <cellStyle name="Normal 2 3 2 6 2 2 2" xfId="20768"/>
    <cellStyle name="Normal 2 3 2 6 2 2 2 2" xfId="20769"/>
    <cellStyle name="Normal 2 3 2 6 2 2 3" xfId="20770"/>
    <cellStyle name="Normal 2 3 2 6 2 2 3 2" xfId="20771"/>
    <cellStyle name="Normal 2 3 2 6 2 2 4" xfId="20772"/>
    <cellStyle name="Normal 2 3 2 6 2 2 4 2" xfId="20773"/>
    <cellStyle name="Normal 2 3 2 6 2 2 5" xfId="20774"/>
    <cellStyle name="Normal 2 3 2 6 2 2 5 2" xfId="20775"/>
    <cellStyle name="Normal 2 3 2 6 2 2 6" xfId="20776"/>
    <cellStyle name="Normal 2 3 2 6 2 2 6 2" xfId="20777"/>
    <cellStyle name="Normal 2 3 2 6 2 2 7" xfId="20778"/>
    <cellStyle name="Normal 2 3 2 6 2 2 7 2" xfId="20779"/>
    <cellStyle name="Normal 2 3 2 6 2 2 8" xfId="20780"/>
    <cellStyle name="Normal 2 3 2 6 2 2 8 2" xfId="20781"/>
    <cellStyle name="Normal 2 3 2 6 2 2 9" xfId="20782"/>
    <cellStyle name="Normal 2 3 2 6 2 2 9 2" xfId="20783"/>
    <cellStyle name="Normal 2 3 2 6 2 3" xfId="20784"/>
    <cellStyle name="Normal 2 3 2 6 2 3 2" xfId="20785"/>
    <cellStyle name="Normal 2 3 2 6 2 4" xfId="20786"/>
    <cellStyle name="Normal 2 3 2 6 2 4 2" xfId="20787"/>
    <cellStyle name="Normal 2 3 2 6 2 5" xfId="20788"/>
    <cellStyle name="Normal 2 3 2 6 2 5 2" xfId="20789"/>
    <cellStyle name="Normal 2 3 2 6 2 6" xfId="20790"/>
    <cellStyle name="Normal 2 3 2 6 2 6 2" xfId="20791"/>
    <cellStyle name="Normal 2 3 2 6 2 7" xfId="20792"/>
    <cellStyle name="Normal 2 3 2 6 2 7 2" xfId="20793"/>
    <cellStyle name="Normal 2 3 2 6 2 8" xfId="20794"/>
    <cellStyle name="Normal 2 3 2 6 2 8 2" xfId="20795"/>
    <cellStyle name="Normal 2 3 2 6 2 9" xfId="20796"/>
    <cellStyle name="Normal 2 3 2 6 2 9 2" xfId="20797"/>
    <cellStyle name="Normal 2 3 2 6 3" xfId="20798"/>
    <cellStyle name="Normal 2 3 2 6 3 10" xfId="20799"/>
    <cellStyle name="Normal 2 3 2 6 3 10 2" xfId="20800"/>
    <cellStyle name="Normal 2 3 2 6 3 11" xfId="20801"/>
    <cellStyle name="Normal 2 3 2 6 3 2" xfId="20802"/>
    <cellStyle name="Normal 2 3 2 6 3 2 2" xfId="20803"/>
    <cellStyle name="Normal 2 3 2 6 3 3" xfId="20804"/>
    <cellStyle name="Normal 2 3 2 6 3 3 2" xfId="20805"/>
    <cellStyle name="Normal 2 3 2 6 3 4" xfId="20806"/>
    <cellStyle name="Normal 2 3 2 6 3 4 2" xfId="20807"/>
    <cellStyle name="Normal 2 3 2 6 3 5" xfId="20808"/>
    <cellStyle name="Normal 2 3 2 6 3 5 2" xfId="20809"/>
    <cellStyle name="Normal 2 3 2 6 3 6" xfId="20810"/>
    <cellStyle name="Normal 2 3 2 6 3 6 2" xfId="20811"/>
    <cellStyle name="Normal 2 3 2 6 3 7" xfId="20812"/>
    <cellStyle name="Normal 2 3 2 6 3 7 2" xfId="20813"/>
    <cellStyle name="Normal 2 3 2 6 3 8" xfId="20814"/>
    <cellStyle name="Normal 2 3 2 6 3 8 2" xfId="20815"/>
    <cellStyle name="Normal 2 3 2 6 3 9" xfId="20816"/>
    <cellStyle name="Normal 2 3 2 6 3 9 2" xfId="20817"/>
    <cellStyle name="Normal 2 3 2 6 4" xfId="20818"/>
    <cellStyle name="Normal 2 3 2 6 4 2" xfId="20819"/>
    <cellStyle name="Normal 2 3 2 6 5" xfId="20820"/>
    <cellStyle name="Normal 2 3 2 6 5 2" xfId="20821"/>
    <cellStyle name="Normal 2 3 2 6 6" xfId="20822"/>
    <cellStyle name="Normal 2 3 2 6 6 2" xfId="20823"/>
    <cellStyle name="Normal 2 3 2 6 7" xfId="20824"/>
    <cellStyle name="Normal 2 3 2 6 7 2" xfId="20825"/>
    <cellStyle name="Normal 2 3 2 6 8" xfId="20826"/>
    <cellStyle name="Normal 2 3 2 6 8 2" xfId="20827"/>
    <cellStyle name="Normal 2 3 2 6 9" xfId="20828"/>
    <cellStyle name="Normal 2 3 2 6 9 2" xfId="20829"/>
    <cellStyle name="Normal 2 3 2 7" xfId="20830"/>
    <cellStyle name="Normal 2 3 2 7 10" xfId="20831"/>
    <cellStyle name="Normal 2 3 2 7 10 2" xfId="20832"/>
    <cellStyle name="Normal 2 3 2 7 11" xfId="20833"/>
    <cellStyle name="Normal 2 3 2 7 11 2" xfId="20834"/>
    <cellStyle name="Normal 2 3 2 7 12" xfId="20835"/>
    <cellStyle name="Normal 2 3 2 7 12 2" xfId="20836"/>
    <cellStyle name="Normal 2 3 2 7 13" xfId="20837"/>
    <cellStyle name="Normal 2 3 2 7 2" xfId="20838"/>
    <cellStyle name="Normal 2 3 2 7 2 10" xfId="20839"/>
    <cellStyle name="Normal 2 3 2 7 2 10 2" xfId="20840"/>
    <cellStyle name="Normal 2 3 2 7 2 11" xfId="20841"/>
    <cellStyle name="Normal 2 3 2 7 2 11 2" xfId="20842"/>
    <cellStyle name="Normal 2 3 2 7 2 12" xfId="20843"/>
    <cellStyle name="Normal 2 3 2 7 2 2" xfId="20844"/>
    <cellStyle name="Normal 2 3 2 7 2 2 10" xfId="20845"/>
    <cellStyle name="Normal 2 3 2 7 2 2 10 2" xfId="20846"/>
    <cellStyle name="Normal 2 3 2 7 2 2 11" xfId="20847"/>
    <cellStyle name="Normal 2 3 2 7 2 2 2" xfId="20848"/>
    <cellStyle name="Normal 2 3 2 7 2 2 2 2" xfId="20849"/>
    <cellStyle name="Normal 2 3 2 7 2 2 3" xfId="20850"/>
    <cellStyle name="Normal 2 3 2 7 2 2 3 2" xfId="20851"/>
    <cellStyle name="Normal 2 3 2 7 2 2 4" xfId="20852"/>
    <cellStyle name="Normal 2 3 2 7 2 2 4 2" xfId="20853"/>
    <cellStyle name="Normal 2 3 2 7 2 2 5" xfId="20854"/>
    <cellStyle name="Normal 2 3 2 7 2 2 5 2" xfId="20855"/>
    <cellStyle name="Normal 2 3 2 7 2 2 6" xfId="20856"/>
    <cellStyle name="Normal 2 3 2 7 2 2 6 2" xfId="20857"/>
    <cellStyle name="Normal 2 3 2 7 2 2 7" xfId="20858"/>
    <cellStyle name="Normal 2 3 2 7 2 2 7 2" xfId="20859"/>
    <cellStyle name="Normal 2 3 2 7 2 2 8" xfId="20860"/>
    <cellStyle name="Normal 2 3 2 7 2 2 8 2" xfId="20861"/>
    <cellStyle name="Normal 2 3 2 7 2 2 9" xfId="20862"/>
    <cellStyle name="Normal 2 3 2 7 2 2 9 2" xfId="20863"/>
    <cellStyle name="Normal 2 3 2 7 2 3" xfId="20864"/>
    <cellStyle name="Normal 2 3 2 7 2 3 2" xfId="20865"/>
    <cellStyle name="Normal 2 3 2 7 2 4" xfId="20866"/>
    <cellStyle name="Normal 2 3 2 7 2 4 2" xfId="20867"/>
    <cellStyle name="Normal 2 3 2 7 2 5" xfId="20868"/>
    <cellStyle name="Normal 2 3 2 7 2 5 2" xfId="20869"/>
    <cellStyle name="Normal 2 3 2 7 2 6" xfId="20870"/>
    <cellStyle name="Normal 2 3 2 7 2 6 2" xfId="20871"/>
    <cellStyle name="Normal 2 3 2 7 2 7" xfId="20872"/>
    <cellStyle name="Normal 2 3 2 7 2 7 2" xfId="20873"/>
    <cellStyle name="Normal 2 3 2 7 2 8" xfId="20874"/>
    <cellStyle name="Normal 2 3 2 7 2 8 2" xfId="20875"/>
    <cellStyle name="Normal 2 3 2 7 2 9" xfId="20876"/>
    <cellStyle name="Normal 2 3 2 7 2 9 2" xfId="20877"/>
    <cellStyle name="Normal 2 3 2 7 3" xfId="20878"/>
    <cellStyle name="Normal 2 3 2 7 3 10" xfId="20879"/>
    <cellStyle name="Normal 2 3 2 7 3 10 2" xfId="20880"/>
    <cellStyle name="Normal 2 3 2 7 3 11" xfId="20881"/>
    <cellStyle name="Normal 2 3 2 7 3 2" xfId="20882"/>
    <cellStyle name="Normal 2 3 2 7 3 2 2" xfId="20883"/>
    <cellStyle name="Normal 2 3 2 7 3 3" xfId="20884"/>
    <cellStyle name="Normal 2 3 2 7 3 3 2" xfId="20885"/>
    <cellStyle name="Normal 2 3 2 7 3 4" xfId="20886"/>
    <cellStyle name="Normal 2 3 2 7 3 4 2" xfId="20887"/>
    <cellStyle name="Normal 2 3 2 7 3 5" xfId="20888"/>
    <cellStyle name="Normal 2 3 2 7 3 5 2" xfId="20889"/>
    <cellStyle name="Normal 2 3 2 7 3 6" xfId="20890"/>
    <cellStyle name="Normal 2 3 2 7 3 6 2" xfId="20891"/>
    <cellStyle name="Normal 2 3 2 7 3 7" xfId="20892"/>
    <cellStyle name="Normal 2 3 2 7 3 7 2" xfId="20893"/>
    <cellStyle name="Normal 2 3 2 7 3 8" xfId="20894"/>
    <cellStyle name="Normal 2 3 2 7 3 8 2" xfId="20895"/>
    <cellStyle name="Normal 2 3 2 7 3 9" xfId="20896"/>
    <cellStyle name="Normal 2 3 2 7 3 9 2" xfId="20897"/>
    <cellStyle name="Normal 2 3 2 7 4" xfId="20898"/>
    <cellStyle name="Normal 2 3 2 7 4 2" xfId="20899"/>
    <cellStyle name="Normal 2 3 2 7 5" xfId="20900"/>
    <cellStyle name="Normal 2 3 2 7 5 2" xfId="20901"/>
    <cellStyle name="Normal 2 3 2 7 6" xfId="20902"/>
    <cellStyle name="Normal 2 3 2 7 6 2" xfId="20903"/>
    <cellStyle name="Normal 2 3 2 7 7" xfId="20904"/>
    <cellStyle name="Normal 2 3 2 7 7 2" xfId="20905"/>
    <cellStyle name="Normal 2 3 2 7 8" xfId="20906"/>
    <cellStyle name="Normal 2 3 2 7 8 2" xfId="20907"/>
    <cellStyle name="Normal 2 3 2 7 9" xfId="20908"/>
    <cellStyle name="Normal 2 3 2 7 9 2" xfId="20909"/>
    <cellStyle name="Normal 2 3 2 8" xfId="20910"/>
    <cellStyle name="Normal 2 3 2 8 10" xfId="20911"/>
    <cellStyle name="Normal 2 3 2 8 10 2" xfId="20912"/>
    <cellStyle name="Normal 2 3 2 8 11" xfId="20913"/>
    <cellStyle name="Normal 2 3 2 8 11 2" xfId="20914"/>
    <cellStyle name="Normal 2 3 2 8 12" xfId="20915"/>
    <cellStyle name="Normal 2 3 2 8 12 2" xfId="20916"/>
    <cellStyle name="Normal 2 3 2 8 13" xfId="20917"/>
    <cellStyle name="Normal 2 3 2 8 2" xfId="20918"/>
    <cellStyle name="Normal 2 3 2 8 2 10" xfId="20919"/>
    <cellStyle name="Normal 2 3 2 8 2 10 2" xfId="20920"/>
    <cellStyle name="Normal 2 3 2 8 2 11" xfId="20921"/>
    <cellStyle name="Normal 2 3 2 8 2 11 2" xfId="20922"/>
    <cellStyle name="Normal 2 3 2 8 2 12" xfId="20923"/>
    <cellStyle name="Normal 2 3 2 8 2 2" xfId="20924"/>
    <cellStyle name="Normal 2 3 2 8 2 2 10" xfId="20925"/>
    <cellStyle name="Normal 2 3 2 8 2 2 10 2" xfId="20926"/>
    <cellStyle name="Normal 2 3 2 8 2 2 11" xfId="20927"/>
    <cellStyle name="Normal 2 3 2 8 2 2 2" xfId="20928"/>
    <cellStyle name="Normal 2 3 2 8 2 2 2 2" xfId="20929"/>
    <cellStyle name="Normal 2 3 2 8 2 2 3" xfId="20930"/>
    <cellStyle name="Normal 2 3 2 8 2 2 3 2" xfId="20931"/>
    <cellStyle name="Normal 2 3 2 8 2 2 4" xfId="20932"/>
    <cellStyle name="Normal 2 3 2 8 2 2 4 2" xfId="20933"/>
    <cellStyle name="Normal 2 3 2 8 2 2 5" xfId="20934"/>
    <cellStyle name="Normal 2 3 2 8 2 2 5 2" xfId="20935"/>
    <cellStyle name="Normal 2 3 2 8 2 2 6" xfId="20936"/>
    <cellStyle name="Normal 2 3 2 8 2 2 6 2" xfId="20937"/>
    <cellStyle name="Normal 2 3 2 8 2 2 7" xfId="20938"/>
    <cellStyle name="Normal 2 3 2 8 2 2 7 2" xfId="20939"/>
    <cellStyle name="Normal 2 3 2 8 2 2 8" xfId="20940"/>
    <cellStyle name="Normal 2 3 2 8 2 2 8 2" xfId="20941"/>
    <cellStyle name="Normal 2 3 2 8 2 2 9" xfId="20942"/>
    <cellStyle name="Normal 2 3 2 8 2 2 9 2" xfId="20943"/>
    <cellStyle name="Normal 2 3 2 8 2 3" xfId="20944"/>
    <cellStyle name="Normal 2 3 2 8 2 3 2" xfId="20945"/>
    <cellStyle name="Normal 2 3 2 8 2 4" xfId="20946"/>
    <cellStyle name="Normal 2 3 2 8 2 4 2" xfId="20947"/>
    <cellStyle name="Normal 2 3 2 8 2 5" xfId="20948"/>
    <cellStyle name="Normal 2 3 2 8 2 5 2" xfId="20949"/>
    <cellStyle name="Normal 2 3 2 8 2 6" xfId="20950"/>
    <cellStyle name="Normal 2 3 2 8 2 6 2" xfId="20951"/>
    <cellStyle name="Normal 2 3 2 8 2 7" xfId="20952"/>
    <cellStyle name="Normal 2 3 2 8 2 7 2" xfId="20953"/>
    <cellStyle name="Normal 2 3 2 8 2 8" xfId="20954"/>
    <cellStyle name="Normal 2 3 2 8 2 8 2" xfId="20955"/>
    <cellStyle name="Normal 2 3 2 8 2 9" xfId="20956"/>
    <cellStyle name="Normal 2 3 2 8 2 9 2" xfId="20957"/>
    <cellStyle name="Normal 2 3 2 8 3" xfId="20958"/>
    <cellStyle name="Normal 2 3 2 8 3 10" xfId="20959"/>
    <cellStyle name="Normal 2 3 2 8 3 10 2" xfId="20960"/>
    <cellStyle name="Normal 2 3 2 8 3 11" xfId="20961"/>
    <cellStyle name="Normal 2 3 2 8 3 2" xfId="20962"/>
    <cellStyle name="Normal 2 3 2 8 3 2 2" xfId="20963"/>
    <cellStyle name="Normal 2 3 2 8 3 3" xfId="20964"/>
    <cellStyle name="Normal 2 3 2 8 3 3 2" xfId="20965"/>
    <cellStyle name="Normal 2 3 2 8 3 4" xfId="20966"/>
    <cellStyle name="Normal 2 3 2 8 3 4 2" xfId="20967"/>
    <cellStyle name="Normal 2 3 2 8 3 5" xfId="20968"/>
    <cellStyle name="Normal 2 3 2 8 3 5 2" xfId="20969"/>
    <cellStyle name="Normal 2 3 2 8 3 6" xfId="20970"/>
    <cellStyle name="Normal 2 3 2 8 3 6 2" xfId="20971"/>
    <cellStyle name="Normal 2 3 2 8 3 7" xfId="20972"/>
    <cellStyle name="Normal 2 3 2 8 3 7 2" xfId="20973"/>
    <cellStyle name="Normal 2 3 2 8 3 8" xfId="20974"/>
    <cellStyle name="Normal 2 3 2 8 3 8 2" xfId="20975"/>
    <cellStyle name="Normal 2 3 2 8 3 9" xfId="20976"/>
    <cellStyle name="Normal 2 3 2 8 3 9 2" xfId="20977"/>
    <cellStyle name="Normal 2 3 2 8 4" xfId="20978"/>
    <cellStyle name="Normal 2 3 2 8 4 2" xfId="20979"/>
    <cellStyle name="Normal 2 3 2 8 5" xfId="20980"/>
    <cellStyle name="Normal 2 3 2 8 5 2" xfId="20981"/>
    <cellStyle name="Normal 2 3 2 8 6" xfId="20982"/>
    <cellStyle name="Normal 2 3 2 8 6 2" xfId="20983"/>
    <cellStyle name="Normal 2 3 2 8 7" xfId="20984"/>
    <cellStyle name="Normal 2 3 2 8 7 2" xfId="20985"/>
    <cellStyle name="Normal 2 3 2 8 8" xfId="20986"/>
    <cellStyle name="Normal 2 3 2 8 8 2" xfId="20987"/>
    <cellStyle name="Normal 2 3 2 8 9" xfId="20988"/>
    <cellStyle name="Normal 2 3 2 8 9 2" xfId="20989"/>
    <cellStyle name="Normal 2 3 2 9" xfId="20990"/>
    <cellStyle name="Normal 2 3 2 9 2" xfId="20991"/>
    <cellStyle name="Normal 2 3 2 9 2 10" xfId="20992"/>
    <cellStyle name="Normal 2 3 2 9 2 10 2" xfId="20993"/>
    <cellStyle name="Normal 2 3 2 9 2 11" xfId="20994"/>
    <cellStyle name="Normal 2 3 2 9 2 11 2" xfId="20995"/>
    <cellStyle name="Normal 2 3 2 9 2 12" xfId="20996"/>
    <cellStyle name="Normal 2 3 2 9 2 12 2" xfId="20997"/>
    <cellStyle name="Normal 2 3 2 9 2 13" xfId="20998"/>
    <cellStyle name="Normal 2 3 2 9 2 13 2" xfId="20999"/>
    <cellStyle name="Normal 2 3 2 9 2 14" xfId="21000"/>
    <cellStyle name="Normal 2 3 2 9 2 14 2" xfId="21001"/>
    <cellStyle name="Normal 2 3 2 9 2 15" xfId="21002"/>
    <cellStyle name="Normal 2 3 2 9 2 15 2" xfId="21003"/>
    <cellStyle name="Normal 2 3 2 9 2 16" xfId="21004"/>
    <cellStyle name="Normal 2 3 2 9 2 16 2" xfId="21005"/>
    <cellStyle name="Normal 2 3 2 9 2 17" xfId="21006"/>
    <cellStyle name="Normal 2 3 2 9 2 2" xfId="21007"/>
    <cellStyle name="Normal 2 3 2 9 2 2 2" xfId="21008"/>
    <cellStyle name="Normal 2 3 2 9 2 2 2 10" xfId="21009"/>
    <cellStyle name="Normal 2 3 2 9 2 2 2 10 2" xfId="21010"/>
    <cellStyle name="Normal 2 3 2 9 2 2 2 11" xfId="21011"/>
    <cellStyle name="Normal 2 3 2 9 2 2 2 11 2" xfId="21012"/>
    <cellStyle name="Normal 2 3 2 9 2 2 2 12" xfId="21013"/>
    <cellStyle name="Normal 2 3 2 9 2 2 2 12 2" xfId="21014"/>
    <cellStyle name="Normal 2 3 2 9 2 2 2 13" xfId="21015"/>
    <cellStyle name="Normal 2 3 2 9 2 2 2 2" xfId="21016"/>
    <cellStyle name="Normal 2 3 2 9 2 2 2 2 10" xfId="21017"/>
    <cellStyle name="Normal 2 3 2 9 2 2 2 2 10 2" xfId="21018"/>
    <cellStyle name="Normal 2 3 2 9 2 2 2 2 11" xfId="21019"/>
    <cellStyle name="Normal 2 3 2 9 2 2 2 2 11 2" xfId="21020"/>
    <cellStyle name="Normal 2 3 2 9 2 2 2 2 12" xfId="21021"/>
    <cellStyle name="Normal 2 3 2 9 2 2 2 2 2" xfId="21022"/>
    <cellStyle name="Normal 2 3 2 9 2 2 2 2 2 10" xfId="21023"/>
    <cellStyle name="Normal 2 3 2 9 2 2 2 2 2 10 2" xfId="21024"/>
    <cellStyle name="Normal 2 3 2 9 2 2 2 2 2 11" xfId="21025"/>
    <cellStyle name="Normal 2 3 2 9 2 2 2 2 2 2" xfId="21026"/>
    <cellStyle name="Normal 2 3 2 9 2 2 2 2 2 2 2" xfId="21027"/>
    <cellStyle name="Normal 2 3 2 9 2 2 2 2 2 3" xfId="21028"/>
    <cellStyle name="Normal 2 3 2 9 2 2 2 2 2 3 2" xfId="21029"/>
    <cellStyle name="Normal 2 3 2 9 2 2 2 2 2 4" xfId="21030"/>
    <cellStyle name="Normal 2 3 2 9 2 2 2 2 2 4 2" xfId="21031"/>
    <cellStyle name="Normal 2 3 2 9 2 2 2 2 2 5" xfId="21032"/>
    <cellStyle name="Normal 2 3 2 9 2 2 2 2 2 5 2" xfId="21033"/>
    <cellStyle name="Normal 2 3 2 9 2 2 2 2 2 6" xfId="21034"/>
    <cellStyle name="Normal 2 3 2 9 2 2 2 2 2 6 2" xfId="21035"/>
    <cellStyle name="Normal 2 3 2 9 2 2 2 2 2 7" xfId="21036"/>
    <cellStyle name="Normal 2 3 2 9 2 2 2 2 2 7 2" xfId="21037"/>
    <cellStyle name="Normal 2 3 2 9 2 2 2 2 2 8" xfId="21038"/>
    <cellStyle name="Normal 2 3 2 9 2 2 2 2 2 8 2" xfId="21039"/>
    <cellStyle name="Normal 2 3 2 9 2 2 2 2 2 9" xfId="21040"/>
    <cellStyle name="Normal 2 3 2 9 2 2 2 2 2 9 2" xfId="21041"/>
    <cellStyle name="Normal 2 3 2 9 2 2 2 2 3" xfId="21042"/>
    <cellStyle name="Normal 2 3 2 9 2 2 2 2 3 2" xfId="21043"/>
    <cellStyle name="Normal 2 3 2 9 2 2 2 2 4" xfId="21044"/>
    <cellStyle name="Normal 2 3 2 9 2 2 2 2 4 2" xfId="21045"/>
    <cellStyle name="Normal 2 3 2 9 2 2 2 2 5" xfId="21046"/>
    <cellStyle name="Normal 2 3 2 9 2 2 2 2 5 2" xfId="21047"/>
    <cellStyle name="Normal 2 3 2 9 2 2 2 2 6" xfId="21048"/>
    <cellStyle name="Normal 2 3 2 9 2 2 2 2 6 2" xfId="21049"/>
    <cellStyle name="Normal 2 3 2 9 2 2 2 2 7" xfId="21050"/>
    <cellStyle name="Normal 2 3 2 9 2 2 2 2 7 2" xfId="21051"/>
    <cellStyle name="Normal 2 3 2 9 2 2 2 2 8" xfId="21052"/>
    <cellStyle name="Normal 2 3 2 9 2 2 2 2 8 2" xfId="21053"/>
    <cellStyle name="Normal 2 3 2 9 2 2 2 2 9" xfId="21054"/>
    <cellStyle name="Normal 2 3 2 9 2 2 2 2 9 2" xfId="21055"/>
    <cellStyle name="Normal 2 3 2 9 2 2 2 3" xfId="21056"/>
    <cellStyle name="Normal 2 3 2 9 2 2 2 3 10" xfId="21057"/>
    <cellStyle name="Normal 2 3 2 9 2 2 2 3 10 2" xfId="21058"/>
    <cellStyle name="Normal 2 3 2 9 2 2 2 3 11" xfId="21059"/>
    <cellStyle name="Normal 2 3 2 9 2 2 2 3 2" xfId="21060"/>
    <cellStyle name="Normal 2 3 2 9 2 2 2 3 2 2" xfId="21061"/>
    <cellStyle name="Normal 2 3 2 9 2 2 2 3 3" xfId="21062"/>
    <cellStyle name="Normal 2 3 2 9 2 2 2 3 3 2" xfId="21063"/>
    <cellStyle name="Normal 2 3 2 9 2 2 2 3 4" xfId="21064"/>
    <cellStyle name="Normal 2 3 2 9 2 2 2 3 4 2" xfId="21065"/>
    <cellStyle name="Normal 2 3 2 9 2 2 2 3 5" xfId="21066"/>
    <cellStyle name="Normal 2 3 2 9 2 2 2 3 5 2" xfId="21067"/>
    <cellStyle name="Normal 2 3 2 9 2 2 2 3 6" xfId="21068"/>
    <cellStyle name="Normal 2 3 2 9 2 2 2 3 6 2" xfId="21069"/>
    <cellStyle name="Normal 2 3 2 9 2 2 2 3 7" xfId="21070"/>
    <cellStyle name="Normal 2 3 2 9 2 2 2 3 7 2" xfId="21071"/>
    <cellStyle name="Normal 2 3 2 9 2 2 2 3 8" xfId="21072"/>
    <cellStyle name="Normal 2 3 2 9 2 2 2 3 8 2" xfId="21073"/>
    <cellStyle name="Normal 2 3 2 9 2 2 2 3 9" xfId="21074"/>
    <cellStyle name="Normal 2 3 2 9 2 2 2 3 9 2" xfId="21075"/>
    <cellStyle name="Normal 2 3 2 9 2 2 2 4" xfId="21076"/>
    <cellStyle name="Normal 2 3 2 9 2 2 2 4 2" xfId="21077"/>
    <cellStyle name="Normal 2 3 2 9 2 2 2 5" xfId="21078"/>
    <cellStyle name="Normal 2 3 2 9 2 2 2 5 2" xfId="21079"/>
    <cellStyle name="Normal 2 3 2 9 2 2 2 6" xfId="21080"/>
    <cellStyle name="Normal 2 3 2 9 2 2 2 6 2" xfId="21081"/>
    <cellStyle name="Normal 2 3 2 9 2 2 2 7" xfId="21082"/>
    <cellStyle name="Normal 2 3 2 9 2 2 2 7 2" xfId="21083"/>
    <cellStyle name="Normal 2 3 2 9 2 2 2 8" xfId="21084"/>
    <cellStyle name="Normal 2 3 2 9 2 2 2 8 2" xfId="21085"/>
    <cellStyle name="Normal 2 3 2 9 2 2 2 9" xfId="21086"/>
    <cellStyle name="Normal 2 3 2 9 2 2 2 9 2" xfId="21087"/>
    <cellStyle name="Normal 2 3 2 9 2 2 3" xfId="21088"/>
    <cellStyle name="Normal 2 3 2 9 2 2 3 10" xfId="21089"/>
    <cellStyle name="Normal 2 3 2 9 2 2 3 10 2" xfId="21090"/>
    <cellStyle name="Normal 2 3 2 9 2 2 3 11" xfId="21091"/>
    <cellStyle name="Normal 2 3 2 9 2 2 3 11 2" xfId="21092"/>
    <cellStyle name="Normal 2 3 2 9 2 2 3 12" xfId="21093"/>
    <cellStyle name="Normal 2 3 2 9 2 2 3 12 2" xfId="21094"/>
    <cellStyle name="Normal 2 3 2 9 2 2 3 13" xfId="21095"/>
    <cellStyle name="Normal 2 3 2 9 2 2 3 2" xfId="21096"/>
    <cellStyle name="Normal 2 3 2 9 2 2 3 2 10" xfId="21097"/>
    <cellStyle name="Normal 2 3 2 9 2 2 3 2 10 2" xfId="21098"/>
    <cellStyle name="Normal 2 3 2 9 2 2 3 2 11" xfId="21099"/>
    <cellStyle name="Normal 2 3 2 9 2 2 3 2 11 2" xfId="21100"/>
    <cellStyle name="Normal 2 3 2 9 2 2 3 2 12" xfId="21101"/>
    <cellStyle name="Normal 2 3 2 9 2 2 3 2 2" xfId="21102"/>
    <cellStyle name="Normal 2 3 2 9 2 2 3 2 2 10" xfId="21103"/>
    <cellStyle name="Normal 2 3 2 9 2 2 3 2 2 10 2" xfId="21104"/>
    <cellStyle name="Normal 2 3 2 9 2 2 3 2 2 11" xfId="21105"/>
    <cellStyle name="Normal 2 3 2 9 2 2 3 2 2 2" xfId="21106"/>
    <cellStyle name="Normal 2 3 2 9 2 2 3 2 2 2 2" xfId="21107"/>
    <cellStyle name="Normal 2 3 2 9 2 2 3 2 2 3" xfId="21108"/>
    <cellStyle name="Normal 2 3 2 9 2 2 3 2 2 3 2" xfId="21109"/>
    <cellStyle name="Normal 2 3 2 9 2 2 3 2 2 4" xfId="21110"/>
    <cellStyle name="Normal 2 3 2 9 2 2 3 2 2 4 2" xfId="21111"/>
    <cellStyle name="Normal 2 3 2 9 2 2 3 2 2 5" xfId="21112"/>
    <cellStyle name="Normal 2 3 2 9 2 2 3 2 2 5 2" xfId="21113"/>
    <cellStyle name="Normal 2 3 2 9 2 2 3 2 2 6" xfId="21114"/>
    <cellStyle name="Normal 2 3 2 9 2 2 3 2 2 6 2" xfId="21115"/>
    <cellStyle name="Normal 2 3 2 9 2 2 3 2 2 7" xfId="21116"/>
    <cellStyle name="Normal 2 3 2 9 2 2 3 2 2 7 2" xfId="21117"/>
    <cellStyle name="Normal 2 3 2 9 2 2 3 2 2 8" xfId="21118"/>
    <cellStyle name="Normal 2 3 2 9 2 2 3 2 2 8 2" xfId="21119"/>
    <cellStyle name="Normal 2 3 2 9 2 2 3 2 2 9" xfId="21120"/>
    <cellStyle name="Normal 2 3 2 9 2 2 3 2 2 9 2" xfId="21121"/>
    <cellStyle name="Normal 2 3 2 9 2 2 3 2 3" xfId="21122"/>
    <cellStyle name="Normal 2 3 2 9 2 2 3 2 3 2" xfId="21123"/>
    <cellStyle name="Normal 2 3 2 9 2 2 3 2 4" xfId="21124"/>
    <cellStyle name="Normal 2 3 2 9 2 2 3 2 4 2" xfId="21125"/>
    <cellStyle name="Normal 2 3 2 9 2 2 3 2 5" xfId="21126"/>
    <cellStyle name="Normal 2 3 2 9 2 2 3 2 5 2" xfId="21127"/>
    <cellStyle name="Normal 2 3 2 9 2 2 3 2 6" xfId="21128"/>
    <cellStyle name="Normal 2 3 2 9 2 2 3 2 6 2" xfId="21129"/>
    <cellStyle name="Normal 2 3 2 9 2 2 3 2 7" xfId="21130"/>
    <cellStyle name="Normal 2 3 2 9 2 2 3 2 7 2" xfId="21131"/>
    <cellStyle name="Normal 2 3 2 9 2 2 3 2 8" xfId="21132"/>
    <cellStyle name="Normal 2 3 2 9 2 2 3 2 8 2" xfId="21133"/>
    <cellStyle name="Normal 2 3 2 9 2 2 3 2 9" xfId="21134"/>
    <cellStyle name="Normal 2 3 2 9 2 2 3 2 9 2" xfId="21135"/>
    <cellStyle name="Normal 2 3 2 9 2 2 3 3" xfId="21136"/>
    <cellStyle name="Normal 2 3 2 9 2 2 3 3 10" xfId="21137"/>
    <cellStyle name="Normal 2 3 2 9 2 2 3 3 10 2" xfId="21138"/>
    <cellStyle name="Normal 2 3 2 9 2 2 3 3 11" xfId="21139"/>
    <cellStyle name="Normal 2 3 2 9 2 2 3 3 2" xfId="21140"/>
    <cellStyle name="Normal 2 3 2 9 2 2 3 3 2 2" xfId="21141"/>
    <cellStyle name="Normal 2 3 2 9 2 2 3 3 3" xfId="21142"/>
    <cellStyle name="Normal 2 3 2 9 2 2 3 3 3 2" xfId="21143"/>
    <cellStyle name="Normal 2 3 2 9 2 2 3 3 4" xfId="21144"/>
    <cellStyle name="Normal 2 3 2 9 2 2 3 3 4 2" xfId="21145"/>
    <cellStyle name="Normal 2 3 2 9 2 2 3 3 5" xfId="21146"/>
    <cellStyle name="Normal 2 3 2 9 2 2 3 3 5 2" xfId="21147"/>
    <cellStyle name="Normal 2 3 2 9 2 2 3 3 6" xfId="21148"/>
    <cellStyle name="Normal 2 3 2 9 2 2 3 3 6 2" xfId="21149"/>
    <cellStyle name="Normal 2 3 2 9 2 2 3 3 7" xfId="21150"/>
    <cellStyle name="Normal 2 3 2 9 2 2 3 3 7 2" xfId="21151"/>
    <cellStyle name="Normal 2 3 2 9 2 2 3 3 8" xfId="21152"/>
    <cellStyle name="Normal 2 3 2 9 2 2 3 3 8 2" xfId="21153"/>
    <cellStyle name="Normal 2 3 2 9 2 2 3 3 9" xfId="21154"/>
    <cellStyle name="Normal 2 3 2 9 2 2 3 3 9 2" xfId="21155"/>
    <cellStyle name="Normal 2 3 2 9 2 2 3 4" xfId="21156"/>
    <cellStyle name="Normal 2 3 2 9 2 2 3 4 2" xfId="21157"/>
    <cellStyle name="Normal 2 3 2 9 2 2 3 5" xfId="21158"/>
    <cellStyle name="Normal 2 3 2 9 2 2 3 5 2" xfId="21159"/>
    <cellStyle name="Normal 2 3 2 9 2 2 3 6" xfId="21160"/>
    <cellStyle name="Normal 2 3 2 9 2 2 3 6 2" xfId="21161"/>
    <cellStyle name="Normal 2 3 2 9 2 2 3 7" xfId="21162"/>
    <cellStyle name="Normal 2 3 2 9 2 2 3 7 2" xfId="21163"/>
    <cellStyle name="Normal 2 3 2 9 2 2 3 8" xfId="21164"/>
    <cellStyle name="Normal 2 3 2 9 2 2 3 8 2" xfId="21165"/>
    <cellStyle name="Normal 2 3 2 9 2 2 3 9" xfId="21166"/>
    <cellStyle name="Normal 2 3 2 9 2 2 3 9 2" xfId="21167"/>
    <cellStyle name="Normal 2 3 2 9 2 2 4" xfId="21168"/>
    <cellStyle name="Normal 2 3 2 9 2 2 4 10" xfId="21169"/>
    <cellStyle name="Normal 2 3 2 9 2 2 4 10 2" xfId="21170"/>
    <cellStyle name="Normal 2 3 2 9 2 2 4 11" xfId="21171"/>
    <cellStyle name="Normal 2 3 2 9 2 2 4 11 2" xfId="21172"/>
    <cellStyle name="Normal 2 3 2 9 2 2 4 12" xfId="21173"/>
    <cellStyle name="Normal 2 3 2 9 2 2 4 12 2" xfId="21174"/>
    <cellStyle name="Normal 2 3 2 9 2 2 4 13" xfId="21175"/>
    <cellStyle name="Normal 2 3 2 9 2 2 4 2" xfId="21176"/>
    <cellStyle name="Normal 2 3 2 9 2 2 4 2 10" xfId="21177"/>
    <cellStyle name="Normal 2 3 2 9 2 2 4 2 10 2" xfId="21178"/>
    <cellStyle name="Normal 2 3 2 9 2 2 4 2 11" xfId="21179"/>
    <cellStyle name="Normal 2 3 2 9 2 2 4 2 11 2" xfId="21180"/>
    <cellStyle name="Normal 2 3 2 9 2 2 4 2 12" xfId="21181"/>
    <cellStyle name="Normal 2 3 2 9 2 2 4 2 2" xfId="21182"/>
    <cellStyle name="Normal 2 3 2 9 2 2 4 2 2 10" xfId="21183"/>
    <cellStyle name="Normal 2 3 2 9 2 2 4 2 2 10 2" xfId="21184"/>
    <cellStyle name="Normal 2 3 2 9 2 2 4 2 2 11" xfId="21185"/>
    <cellStyle name="Normal 2 3 2 9 2 2 4 2 2 2" xfId="21186"/>
    <cellStyle name="Normal 2 3 2 9 2 2 4 2 2 2 2" xfId="21187"/>
    <cellStyle name="Normal 2 3 2 9 2 2 4 2 2 3" xfId="21188"/>
    <cellStyle name="Normal 2 3 2 9 2 2 4 2 2 3 2" xfId="21189"/>
    <cellStyle name="Normal 2 3 2 9 2 2 4 2 2 4" xfId="21190"/>
    <cellStyle name="Normal 2 3 2 9 2 2 4 2 2 4 2" xfId="21191"/>
    <cellStyle name="Normal 2 3 2 9 2 2 4 2 2 5" xfId="21192"/>
    <cellStyle name="Normal 2 3 2 9 2 2 4 2 2 5 2" xfId="21193"/>
    <cellStyle name="Normal 2 3 2 9 2 2 4 2 2 6" xfId="21194"/>
    <cellStyle name="Normal 2 3 2 9 2 2 4 2 2 6 2" xfId="21195"/>
    <cellStyle name="Normal 2 3 2 9 2 2 4 2 2 7" xfId="21196"/>
    <cellStyle name="Normal 2 3 2 9 2 2 4 2 2 7 2" xfId="21197"/>
    <cellStyle name="Normal 2 3 2 9 2 2 4 2 2 8" xfId="21198"/>
    <cellStyle name="Normal 2 3 2 9 2 2 4 2 2 8 2" xfId="21199"/>
    <cellStyle name="Normal 2 3 2 9 2 2 4 2 2 9" xfId="21200"/>
    <cellStyle name="Normal 2 3 2 9 2 2 4 2 2 9 2" xfId="21201"/>
    <cellStyle name="Normal 2 3 2 9 2 2 4 2 3" xfId="21202"/>
    <cellStyle name="Normal 2 3 2 9 2 2 4 2 3 2" xfId="21203"/>
    <cellStyle name="Normal 2 3 2 9 2 2 4 2 4" xfId="21204"/>
    <cellStyle name="Normal 2 3 2 9 2 2 4 2 4 2" xfId="21205"/>
    <cellStyle name="Normal 2 3 2 9 2 2 4 2 5" xfId="21206"/>
    <cellStyle name="Normal 2 3 2 9 2 2 4 2 5 2" xfId="21207"/>
    <cellStyle name="Normal 2 3 2 9 2 2 4 2 6" xfId="21208"/>
    <cellStyle name="Normal 2 3 2 9 2 2 4 2 6 2" xfId="21209"/>
    <cellStyle name="Normal 2 3 2 9 2 2 4 2 7" xfId="21210"/>
    <cellStyle name="Normal 2 3 2 9 2 2 4 2 7 2" xfId="21211"/>
    <cellStyle name="Normal 2 3 2 9 2 2 4 2 8" xfId="21212"/>
    <cellStyle name="Normal 2 3 2 9 2 2 4 2 8 2" xfId="21213"/>
    <cellStyle name="Normal 2 3 2 9 2 2 4 2 9" xfId="21214"/>
    <cellStyle name="Normal 2 3 2 9 2 2 4 2 9 2" xfId="21215"/>
    <cellStyle name="Normal 2 3 2 9 2 2 4 3" xfId="21216"/>
    <cellStyle name="Normal 2 3 2 9 2 2 4 3 10" xfId="21217"/>
    <cellStyle name="Normal 2 3 2 9 2 2 4 3 10 2" xfId="21218"/>
    <cellStyle name="Normal 2 3 2 9 2 2 4 3 11" xfId="21219"/>
    <cellStyle name="Normal 2 3 2 9 2 2 4 3 2" xfId="21220"/>
    <cellStyle name="Normal 2 3 2 9 2 2 4 3 2 2" xfId="21221"/>
    <cellStyle name="Normal 2 3 2 9 2 2 4 3 3" xfId="21222"/>
    <cellStyle name="Normal 2 3 2 9 2 2 4 3 3 2" xfId="21223"/>
    <cellStyle name="Normal 2 3 2 9 2 2 4 3 4" xfId="21224"/>
    <cellStyle name="Normal 2 3 2 9 2 2 4 3 4 2" xfId="21225"/>
    <cellStyle name="Normal 2 3 2 9 2 2 4 3 5" xfId="21226"/>
    <cellStyle name="Normal 2 3 2 9 2 2 4 3 5 2" xfId="21227"/>
    <cellStyle name="Normal 2 3 2 9 2 2 4 3 6" xfId="21228"/>
    <cellStyle name="Normal 2 3 2 9 2 2 4 3 6 2" xfId="21229"/>
    <cellStyle name="Normal 2 3 2 9 2 2 4 3 7" xfId="21230"/>
    <cellStyle name="Normal 2 3 2 9 2 2 4 3 7 2" xfId="21231"/>
    <cellStyle name="Normal 2 3 2 9 2 2 4 3 8" xfId="21232"/>
    <cellStyle name="Normal 2 3 2 9 2 2 4 3 8 2" xfId="21233"/>
    <cellStyle name="Normal 2 3 2 9 2 2 4 3 9" xfId="21234"/>
    <cellStyle name="Normal 2 3 2 9 2 2 4 3 9 2" xfId="21235"/>
    <cellStyle name="Normal 2 3 2 9 2 2 4 4" xfId="21236"/>
    <cellStyle name="Normal 2 3 2 9 2 2 4 4 2" xfId="21237"/>
    <cellStyle name="Normal 2 3 2 9 2 2 4 5" xfId="21238"/>
    <cellStyle name="Normal 2 3 2 9 2 2 4 5 2" xfId="21239"/>
    <cellStyle name="Normal 2 3 2 9 2 2 4 6" xfId="21240"/>
    <cellStyle name="Normal 2 3 2 9 2 2 4 6 2" xfId="21241"/>
    <cellStyle name="Normal 2 3 2 9 2 2 4 7" xfId="21242"/>
    <cellStyle name="Normal 2 3 2 9 2 2 4 7 2" xfId="21243"/>
    <cellStyle name="Normal 2 3 2 9 2 2 4 8" xfId="21244"/>
    <cellStyle name="Normal 2 3 2 9 2 2 4 8 2" xfId="21245"/>
    <cellStyle name="Normal 2 3 2 9 2 2 4 9" xfId="21246"/>
    <cellStyle name="Normal 2 3 2 9 2 2 4 9 2" xfId="21247"/>
    <cellStyle name="Normal 2 3 2 9 2 2 5" xfId="21248"/>
    <cellStyle name="Normal 2 3 2 9 2 2 5 10" xfId="21249"/>
    <cellStyle name="Normal 2 3 2 9 2 2 5 10 2" xfId="21250"/>
    <cellStyle name="Normal 2 3 2 9 2 2 5 11" xfId="21251"/>
    <cellStyle name="Normal 2 3 2 9 2 2 5 11 2" xfId="21252"/>
    <cellStyle name="Normal 2 3 2 9 2 2 5 12" xfId="21253"/>
    <cellStyle name="Normal 2 3 2 9 2 2 5 12 2" xfId="21254"/>
    <cellStyle name="Normal 2 3 2 9 2 2 5 13" xfId="21255"/>
    <cellStyle name="Normal 2 3 2 9 2 2 5 2" xfId="21256"/>
    <cellStyle name="Normal 2 3 2 9 2 2 5 2 10" xfId="21257"/>
    <cellStyle name="Normal 2 3 2 9 2 2 5 2 10 2" xfId="21258"/>
    <cellStyle name="Normal 2 3 2 9 2 2 5 2 11" xfId="21259"/>
    <cellStyle name="Normal 2 3 2 9 2 2 5 2 11 2" xfId="21260"/>
    <cellStyle name="Normal 2 3 2 9 2 2 5 2 12" xfId="21261"/>
    <cellStyle name="Normal 2 3 2 9 2 2 5 2 2" xfId="21262"/>
    <cellStyle name="Normal 2 3 2 9 2 2 5 2 2 10" xfId="21263"/>
    <cellStyle name="Normal 2 3 2 9 2 2 5 2 2 10 2" xfId="21264"/>
    <cellStyle name="Normal 2 3 2 9 2 2 5 2 2 11" xfId="21265"/>
    <cellStyle name="Normal 2 3 2 9 2 2 5 2 2 2" xfId="21266"/>
    <cellStyle name="Normal 2 3 2 9 2 2 5 2 2 2 2" xfId="21267"/>
    <cellStyle name="Normal 2 3 2 9 2 2 5 2 2 3" xfId="21268"/>
    <cellStyle name="Normal 2 3 2 9 2 2 5 2 2 3 2" xfId="21269"/>
    <cellStyle name="Normal 2 3 2 9 2 2 5 2 2 4" xfId="21270"/>
    <cellStyle name="Normal 2 3 2 9 2 2 5 2 2 4 2" xfId="21271"/>
    <cellStyle name="Normal 2 3 2 9 2 2 5 2 2 5" xfId="21272"/>
    <cellStyle name="Normal 2 3 2 9 2 2 5 2 2 5 2" xfId="21273"/>
    <cellStyle name="Normal 2 3 2 9 2 2 5 2 2 6" xfId="21274"/>
    <cellStyle name="Normal 2 3 2 9 2 2 5 2 2 6 2" xfId="21275"/>
    <cellStyle name="Normal 2 3 2 9 2 2 5 2 2 7" xfId="21276"/>
    <cellStyle name="Normal 2 3 2 9 2 2 5 2 2 7 2" xfId="21277"/>
    <cellStyle name="Normal 2 3 2 9 2 2 5 2 2 8" xfId="21278"/>
    <cellStyle name="Normal 2 3 2 9 2 2 5 2 2 8 2" xfId="21279"/>
    <cellStyle name="Normal 2 3 2 9 2 2 5 2 2 9" xfId="21280"/>
    <cellStyle name="Normal 2 3 2 9 2 2 5 2 2 9 2" xfId="21281"/>
    <cellStyle name="Normal 2 3 2 9 2 2 5 2 3" xfId="21282"/>
    <cellStyle name="Normal 2 3 2 9 2 2 5 2 3 2" xfId="21283"/>
    <cellStyle name="Normal 2 3 2 9 2 2 5 2 4" xfId="21284"/>
    <cellStyle name="Normal 2 3 2 9 2 2 5 2 4 2" xfId="21285"/>
    <cellStyle name="Normal 2 3 2 9 2 2 5 2 5" xfId="21286"/>
    <cellStyle name="Normal 2 3 2 9 2 2 5 2 5 2" xfId="21287"/>
    <cellStyle name="Normal 2 3 2 9 2 2 5 2 6" xfId="21288"/>
    <cellStyle name="Normal 2 3 2 9 2 2 5 2 6 2" xfId="21289"/>
    <cellStyle name="Normal 2 3 2 9 2 2 5 2 7" xfId="21290"/>
    <cellStyle name="Normal 2 3 2 9 2 2 5 2 7 2" xfId="21291"/>
    <cellStyle name="Normal 2 3 2 9 2 2 5 2 8" xfId="21292"/>
    <cellStyle name="Normal 2 3 2 9 2 2 5 2 8 2" xfId="21293"/>
    <cellStyle name="Normal 2 3 2 9 2 2 5 2 9" xfId="21294"/>
    <cellStyle name="Normal 2 3 2 9 2 2 5 2 9 2" xfId="21295"/>
    <cellStyle name="Normal 2 3 2 9 2 2 5 3" xfId="21296"/>
    <cellStyle name="Normal 2 3 2 9 2 2 5 3 10" xfId="21297"/>
    <cellStyle name="Normal 2 3 2 9 2 2 5 3 10 2" xfId="21298"/>
    <cellStyle name="Normal 2 3 2 9 2 2 5 3 11" xfId="21299"/>
    <cellStyle name="Normal 2 3 2 9 2 2 5 3 2" xfId="21300"/>
    <cellStyle name="Normal 2 3 2 9 2 2 5 3 2 2" xfId="21301"/>
    <cellStyle name="Normal 2 3 2 9 2 2 5 3 3" xfId="21302"/>
    <cellStyle name="Normal 2 3 2 9 2 2 5 3 3 2" xfId="21303"/>
    <cellStyle name="Normal 2 3 2 9 2 2 5 3 4" xfId="21304"/>
    <cellStyle name="Normal 2 3 2 9 2 2 5 3 4 2" xfId="21305"/>
    <cellStyle name="Normal 2 3 2 9 2 2 5 3 5" xfId="21306"/>
    <cellStyle name="Normal 2 3 2 9 2 2 5 3 5 2" xfId="21307"/>
    <cellStyle name="Normal 2 3 2 9 2 2 5 3 6" xfId="21308"/>
    <cellStyle name="Normal 2 3 2 9 2 2 5 3 6 2" xfId="21309"/>
    <cellStyle name="Normal 2 3 2 9 2 2 5 3 7" xfId="21310"/>
    <cellStyle name="Normal 2 3 2 9 2 2 5 3 7 2" xfId="21311"/>
    <cellStyle name="Normal 2 3 2 9 2 2 5 3 8" xfId="21312"/>
    <cellStyle name="Normal 2 3 2 9 2 2 5 3 8 2" xfId="21313"/>
    <cellStyle name="Normal 2 3 2 9 2 2 5 3 9" xfId="21314"/>
    <cellStyle name="Normal 2 3 2 9 2 2 5 3 9 2" xfId="21315"/>
    <cellStyle name="Normal 2 3 2 9 2 2 5 4" xfId="21316"/>
    <cellStyle name="Normal 2 3 2 9 2 2 5 4 2" xfId="21317"/>
    <cellStyle name="Normal 2 3 2 9 2 2 5 5" xfId="21318"/>
    <cellStyle name="Normal 2 3 2 9 2 2 5 5 2" xfId="21319"/>
    <cellStyle name="Normal 2 3 2 9 2 2 5 6" xfId="21320"/>
    <cellStyle name="Normal 2 3 2 9 2 2 5 6 2" xfId="21321"/>
    <cellStyle name="Normal 2 3 2 9 2 2 5 7" xfId="21322"/>
    <cellStyle name="Normal 2 3 2 9 2 2 5 7 2" xfId="21323"/>
    <cellStyle name="Normal 2 3 2 9 2 2 5 8" xfId="21324"/>
    <cellStyle name="Normal 2 3 2 9 2 2 5 8 2" xfId="21325"/>
    <cellStyle name="Normal 2 3 2 9 2 2 5 9" xfId="21326"/>
    <cellStyle name="Normal 2 3 2 9 2 2 5 9 2" xfId="21327"/>
    <cellStyle name="Normal 2 3 2 9 2 3" xfId="21328"/>
    <cellStyle name="Normal 2 3 2 9 2 4" xfId="21329"/>
    <cellStyle name="Normal 2 3 2 9 2 5" xfId="21330"/>
    <cellStyle name="Normal 2 3 2 9 2 6" xfId="21331"/>
    <cellStyle name="Normal 2 3 2 9 2 6 10" xfId="21332"/>
    <cellStyle name="Normal 2 3 2 9 2 6 10 2" xfId="21333"/>
    <cellStyle name="Normal 2 3 2 9 2 6 11" xfId="21334"/>
    <cellStyle name="Normal 2 3 2 9 2 6 11 2" xfId="21335"/>
    <cellStyle name="Normal 2 3 2 9 2 6 12" xfId="21336"/>
    <cellStyle name="Normal 2 3 2 9 2 6 2" xfId="21337"/>
    <cellStyle name="Normal 2 3 2 9 2 6 2 10" xfId="21338"/>
    <cellStyle name="Normal 2 3 2 9 2 6 2 10 2" xfId="21339"/>
    <cellStyle name="Normal 2 3 2 9 2 6 2 11" xfId="21340"/>
    <cellStyle name="Normal 2 3 2 9 2 6 2 2" xfId="21341"/>
    <cellStyle name="Normal 2 3 2 9 2 6 2 2 2" xfId="21342"/>
    <cellStyle name="Normal 2 3 2 9 2 6 2 3" xfId="21343"/>
    <cellStyle name="Normal 2 3 2 9 2 6 2 3 2" xfId="21344"/>
    <cellStyle name="Normal 2 3 2 9 2 6 2 4" xfId="21345"/>
    <cellStyle name="Normal 2 3 2 9 2 6 2 4 2" xfId="21346"/>
    <cellStyle name="Normal 2 3 2 9 2 6 2 5" xfId="21347"/>
    <cellStyle name="Normal 2 3 2 9 2 6 2 5 2" xfId="21348"/>
    <cellStyle name="Normal 2 3 2 9 2 6 2 6" xfId="21349"/>
    <cellStyle name="Normal 2 3 2 9 2 6 2 6 2" xfId="21350"/>
    <cellStyle name="Normal 2 3 2 9 2 6 2 7" xfId="21351"/>
    <cellStyle name="Normal 2 3 2 9 2 6 2 7 2" xfId="21352"/>
    <cellStyle name="Normal 2 3 2 9 2 6 2 8" xfId="21353"/>
    <cellStyle name="Normal 2 3 2 9 2 6 2 8 2" xfId="21354"/>
    <cellStyle name="Normal 2 3 2 9 2 6 2 9" xfId="21355"/>
    <cellStyle name="Normal 2 3 2 9 2 6 2 9 2" xfId="21356"/>
    <cellStyle name="Normal 2 3 2 9 2 6 3" xfId="21357"/>
    <cellStyle name="Normal 2 3 2 9 2 6 3 2" xfId="21358"/>
    <cellStyle name="Normal 2 3 2 9 2 6 4" xfId="21359"/>
    <cellStyle name="Normal 2 3 2 9 2 6 4 2" xfId="21360"/>
    <cellStyle name="Normal 2 3 2 9 2 6 5" xfId="21361"/>
    <cellStyle name="Normal 2 3 2 9 2 6 5 2" xfId="21362"/>
    <cellStyle name="Normal 2 3 2 9 2 6 6" xfId="21363"/>
    <cellStyle name="Normal 2 3 2 9 2 6 6 2" xfId="21364"/>
    <cellStyle name="Normal 2 3 2 9 2 6 7" xfId="21365"/>
    <cellStyle name="Normal 2 3 2 9 2 6 7 2" xfId="21366"/>
    <cellStyle name="Normal 2 3 2 9 2 6 8" xfId="21367"/>
    <cellStyle name="Normal 2 3 2 9 2 6 8 2" xfId="21368"/>
    <cellStyle name="Normal 2 3 2 9 2 6 9" xfId="21369"/>
    <cellStyle name="Normal 2 3 2 9 2 6 9 2" xfId="21370"/>
    <cellStyle name="Normal 2 3 2 9 2 7" xfId="21371"/>
    <cellStyle name="Normal 2 3 2 9 2 7 10" xfId="21372"/>
    <cellStyle name="Normal 2 3 2 9 2 7 10 2" xfId="21373"/>
    <cellStyle name="Normal 2 3 2 9 2 7 11" xfId="21374"/>
    <cellStyle name="Normal 2 3 2 9 2 7 2" xfId="21375"/>
    <cellStyle name="Normal 2 3 2 9 2 7 2 2" xfId="21376"/>
    <cellStyle name="Normal 2 3 2 9 2 7 3" xfId="21377"/>
    <cellStyle name="Normal 2 3 2 9 2 7 3 2" xfId="21378"/>
    <cellStyle name="Normal 2 3 2 9 2 7 4" xfId="21379"/>
    <cellStyle name="Normal 2 3 2 9 2 7 4 2" xfId="21380"/>
    <cellStyle name="Normal 2 3 2 9 2 7 5" xfId="21381"/>
    <cellStyle name="Normal 2 3 2 9 2 7 5 2" xfId="21382"/>
    <cellStyle name="Normal 2 3 2 9 2 7 6" xfId="21383"/>
    <cellStyle name="Normal 2 3 2 9 2 7 6 2" xfId="21384"/>
    <cellStyle name="Normal 2 3 2 9 2 7 7" xfId="21385"/>
    <cellStyle name="Normal 2 3 2 9 2 7 7 2" xfId="21386"/>
    <cellStyle name="Normal 2 3 2 9 2 7 8" xfId="21387"/>
    <cellStyle name="Normal 2 3 2 9 2 7 8 2" xfId="21388"/>
    <cellStyle name="Normal 2 3 2 9 2 7 9" xfId="21389"/>
    <cellStyle name="Normal 2 3 2 9 2 7 9 2" xfId="21390"/>
    <cellStyle name="Normal 2 3 2 9 2 8" xfId="21391"/>
    <cellStyle name="Normal 2 3 2 9 2 8 2" xfId="21392"/>
    <cellStyle name="Normal 2 3 2 9 2 9" xfId="21393"/>
    <cellStyle name="Normal 2 3 2 9 2 9 2" xfId="21394"/>
    <cellStyle name="Normal 2 3 2 9 3" xfId="21395"/>
    <cellStyle name="Normal 2 3 2 9 3 10" xfId="21396"/>
    <cellStyle name="Normal 2 3 2 9 3 10 2" xfId="21397"/>
    <cellStyle name="Normal 2 3 2 9 3 11" xfId="21398"/>
    <cellStyle name="Normal 2 3 2 9 3 11 2" xfId="21399"/>
    <cellStyle name="Normal 2 3 2 9 3 12" xfId="21400"/>
    <cellStyle name="Normal 2 3 2 9 3 12 2" xfId="21401"/>
    <cellStyle name="Normal 2 3 2 9 3 13" xfId="21402"/>
    <cellStyle name="Normal 2 3 2 9 3 2" xfId="21403"/>
    <cellStyle name="Normal 2 3 2 9 3 2 10" xfId="21404"/>
    <cellStyle name="Normal 2 3 2 9 3 2 10 2" xfId="21405"/>
    <cellStyle name="Normal 2 3 2 9 3 2 11" xfId="21406"/>
    <cellStyle name="Normal 2 3 2 9 3 2 11 2" xfId="21407"/>
    <cellStyle name="Normal 2 3 2 9 3 2 12" xfId="21408"/>
    <cellStyle name="Normal 2 3 2 9 3 2 2" xfId="21409"/>
    <cellStyle name="Normal 2 3 2 9 3 2 2 10" xfId="21410"/>
    <cellStyle name="Normal 2 3 2 9 3 2 2 10 2" xfId="21411"/>
    <cellStyle name="Normal 2 3 2 9 3 2 2 11" xfId="21412"/>
    <cellStyle name="Normal 2 3 2 9 3 2 2 2" xfId="21413"/>
    <cellStyle name="Normal 2 3 2 9 3 2 2 2 2" xfId="21414"/>
    <cellStyle name="Normal 2 3 2 9 3 2 2 3" xfId="21415"/>
    <cellStyle name="Normal 2 3 2 9 3 2 2 3 2" xfId="21416"/>
    <cellStyle name="Normal 2 3 2 9 3 2 2 4" xfId="21417"/>
    <cellStyle name="Normal 2 3 2 9 3 2 2 4 2" xfId="21418"/>
    <cellStyle name="Normal 2 3 2 9 3 2 2 5" xfId="21419"/>
    <cellStyle name="Normal 2 3 2 9 3 2 2 5 2" xfId="21420"/>
    <cellStyle name="Normal 2 3 2 9 3 2 2 6" xfId="21421"/>
    <cellStyle name="Normal 2 3 2 9 3 2 2 6 2" xfId="21422"/>
    <cellStyle name="Normal 2 3 2 9 3 2 2 7" xfId="21423"/>
    <cellStyle name="Normal 2 3 2 9 3 2 2 7 2" xfId="21424"/>
    <cellStyle name="Normal 2 3 2 9 3 2 2 8" xfId="21425"/>
    <cellStyle name="Normal 2 3 2 9 3 2 2 8 2" xfId="21426"/>
    <cellStyle name="Normal 2 3 2 9 3 2 2 9" xfId="21427"/>
    <cellStyle name="Normal 2 3 2 9 3 2 2 9 2" xfId="21428"/>
    <cellStyle name="Normal 2 3 2 9 3 2 3" xfId="21429"/>
    <cellStyle name="Normal 2 3 2 9 3 2 3 2" xfId="21430"/>
    <cellStyle name="Normal 2 3 2 9 3 2 4" xfId="21431"/>
    <cellStyle name="Normal 2 3 2 9 3 2 4 2" xfId="21432"/>
    <cellStyle name="Normal 2 3 2 9 3 2 5" xfId="21433"/>
    <cellStyle name="Normal 2 3 2 9 3 2 5 2" xfId="21434"/>
    <cellStyle name="Normal 2 3 2 9 3 2 6" xfId="21435"/>
    <cellStyle name="Normal 2 3 2 9 3 2 6 2" xfId="21436"/>
    <cellStyle name="Normal 2 3 2 9 3 2 7" xfId="21437"/>
    <cellStyle name="Normal 2 3 2 9 3 2 7 2" xfId="21438"/>
    <cellStyle name="Normal 2 3 2 9 3 2 8" xfId="21439"/>
    <cellStyle name="Normal 2 3 2 9 3 2 8 2" xfId="21440"/>
    <cellStyle name="Normal 2 3 2 9 3 2 9" xfId="21441"/>
    <cellStyle name="Normal 2 3 2 9 3 2 9 2" xfId="21442"/>
    <cellStyle name="Normal 2 3 2 9 3 3" xfId="21443"/>
    <cellStyle name="Normal 2 3 2 9 3 3 10" xfId="21444"/>
    <cellStyle name="Normal 2 3 2 9 3 3 10 2" xfId="21445"/>
    <cellStyle name="Normal 2 3 2 9 3 3 11" xfId="21446"/>
    <cellStyle name="Normal 2 3 2 9 3 3 2" xfId="21447"/>
    <cellStyle name="Normal 2 3 2 9 3 3 2 2" xfId="21448"/>
    <cellStyle name="Normal 2 3 2 9 3 3 3" xfId="21449"/>
    <cellStyle name="Normal 2 3 2 9 3 3 3 2" xfId="21450"/>
    <cellStyle name="Normal 2 3 2 9 3 3 4" xfId="21451"/>
    <cellStyle name="Normal 2 3 2 9 3 3 4 2" xfId="21452"/>
    <cellStyle name="Normal 2 3 2 9 3 3 5" xfId="21453"/>
    <cellStyle name="Normal 2 3 2 9 3 3 5 2" xfId="21454"/>
    <cellStyle name="Normal 2 3 2 9 3 3 6" xfId="21455"/>
    <cellStyle name="Normal 2 3 2 9 3 3 6 2" xfId="21456"/>
    <cellStyle name="Normal 2 3 2 9 3 3 7" xfId="21457"/>
    <cellStyle name="Normal 2 3 2 9 3 3 7 2" xfId="21458"/>
    <cellStyle name="Normal 2 3 2 9 3 3 8" xfId="21459"/>
    <cellStyle name="Normal 2 3 2 9 3 3 8 2" xfId="21460"/>
    <cellStyle name="Normal 2 3 2 9 3 3 9" xfId="21461"/>
    <cellStyle name="Normal 2 3 2 9 3 3 9 2" xfId="21462"/>
    <cellStyle name="Normal 2 3 2 9 3 4" xfId="21463"/>
    <cellStyle name="Normal 2 3 2 9 3 4 2" xfId="21464"/>
    <cellStyle name="Normal 2 3 2 9 3 5" xfId="21465"/>
    <cellStyle name="Normal 2 3 2 9 3 5 2" xfId="21466"/>
    <cellStyle name="Normal 2 3 2 9 3 6" xfId="21467"/>
    <cellStyle name="Normal 2 3 2 9 3 6 2" xfId="21468"/>
    <cellStyle name="Normal 2 3 2 9 3 7" xfId="21469"/>
    <cellStyle name="Normal 2 3 2 9 3 7 2" xfId="21470"/>
    <cellStyle name="Normal 2 3 2 9 3 8" xfId="21471"/>
    <cellStyle name="Normal 2 3 2 9 3 8 2" xfId="21472"/>
    <cellStyle name="Normal 2 3 2 9 3 9" xfId="21473"/>
    <cellStyle name="Normal 2 3 2 9 3 9 2" xfId="21474"/>
    <cellStyle name="Normal 2 3 2 9 4" xfId="21475"/>
    <cellStyle name="Normal 2 3 2 9 4 10" xfId="21476"/>
    <cellStyle name="Normal 2 3 2 9 4 10 2" xfId="21477"/>
    <cellStyle name="Normal 2 3 2 9 4 11" xfId="21478"/>
    <cellStyle name="Normal 2 3 2 9 4 11 2" xfId="21479"/>
    <cellStyle name="Normal 2 3 2 9 4 12" xfId="21480"/>
    <cellStyle name="Normal 2 3 2 9 4 12 2" xfId="21481"/>
    <cellStyle name="Normal 2 3 2 9 4 13" xfId="21482"/>
    <cellStyle name="Normal 2 3 2 9 4 2" xfId="21483"/>
    <cellStyle name="Normal 2 3 2 9 4 2 10" xfId="21484"/>
    <cellStyle name="Normal 2 3 2 9 4 2 10 2" xfId="21485"/>
    <cellStyle name="Normal 2 3 2 9 4 2 11" xfId="21486"/>
    <cellStyle name="Normal 2 3 2 9 4 2 11 2" xfId="21487"/>
    <cellStyle name="Normal 2 3 2 9 4 2 12" xfId="21488"/>
    <cellStyle name="Normal 2 3 2 9 4 2 2" xfId="21489"/>
    <cellStyle name="Normal 2 3 2 9 4 2 2 10" xfId="21490"/>
    <cellStyle name="Normal 2 3 2 9 4 2 2 10 2" xfId="21491"/>
    <cellStyle name="Normal 2 3 2 9 4 2 2 11" xfId="21492"/>
    <cellStyle name="Normal 2 3 2 9 4 2 2 2" xfId="21493"/>
    <cellStyle name="Normal 2 3 2 9 4 2 2 2 2" xfId="21494"/>
    <cellStyle name="Normal 2 3 2 9 4 2 2 3" xfId="21495"/>
    <cellStyle name="Normal 2 3 2 9 4 2 2 3 2" xfId="21496"/>
    <cellStyle name="Normal 2 3 2 9 4 2 2 4" xfId="21497"/>
    <cellStyle name="Normal 2 3 2 9 4 2 2 4 2" xfId="21498"/>
    <cellStyle name="Normal 2 3 2 9 4 2 2 5" xfId="21499"/>
    <cellStyle name="Normal 2 3 2 9 4 2 2 5 2" xfId="21500"/>
    <cellStyle name="Normal 2 3 2 9 4 2 2 6" xfId="21501"/>
    <cellStyle name="Normal 2 3 2 9 4 2 2 6 2" xfId="21502"/>
    <cellStyle name="Normal 2 3 2 9 4 2 2 7" xfId="21503"/>
    <cellStyle name="Normal 2 3 2 9 4 2 2 7 2" xfId="21504"/>
    <cellStyle name="Normal 2 3 2 9 4 2 2 8" xfId="21505"/>
    <cellStyle name="Normal 2 3 2 9 4 2 2 8 2" xfId="21506"/>
    <cellStyle name="Normal 2 3 2 9 4 2 2 9" xfId="21507"/>
    <cellStyle name="Normal 2 3 2 9 4 2 2 9 2" xfId="21508"/>
    <cellStyle name="Normal 2 3 2 9 4 2 3" xfId="21509"/>
    <cellStyle name="Normal 2 3 2 9 4 2 3 2" xfId="21510"/>
    <cellStyle name="Normal 2 3 2 9 4 2 4" xfId="21511"/>
    <cellStyle name="Normal 2 3 2 9 4 2 4 2" xfId="21512"/>
    <cellStyle name="Normal 2 3 2 9 4 2 5" xfId="21513"/>
    <cellStyle name="Normal 2 3 2 9 4 2 5 2" xfId="21514"/>
    <cellStyle name="Normal 2 3 2 9 4 2 6" xfId="21515"/>
    <cellStyle name="Normal 2 3 2 9 4 2 6 2" xfId="21516"/>
    <cellStyle name="Normal 2 3 2 9 4 2 7" xfId="21517"/>
    <cellStyle name="Normal 2 3 2 9 4 2 7 2" xfId="21518"/>
    <cellStyle name="Normal 2 3 2 9 4 2 8" xfId="21519"/>
    <cellStyle name="Normal 2 3 2 9 4 2 8 2" xfId="21520"/>
    <cellStyle name="Normal 2 3 2 9 4 2 9" xfId="21521"/>
    <cellStyle name="Normal 2 3 2 9 4 2 9 2" xfId="21522"/>
    <cellStyle name="Normal 2 3 2 9 4 3" xfId="21523"/>
    <cellStyle name="Normal 2 3 2 9 4 3 10" xfId="21524"/>
    <cellStyle name="Normal 2 3 2 9 4 3 10 2" xfId="21525"/>
    <cellStyle name="Normal 2 3 2 9 4 3 11" xfId="21526"/>
    <cellStyle name="Normal 2 3 2 9 4 3 2" xfId="21527"/>
    <cellStyle name="Normal 2 3 2 9 4 3 2 2" xfId="21528"/>
    <cellStyle name="Normal 2 3 2 9 4 3 3" xfId="21529"/>
    <cellStyle name="Normal 2 3 2 9 4 3 3 2" xfId="21530"/>
    <cellStyle name="Normal 2 3 2 9 4 3 4" xfId="21531"/>
    <cellStyle name="Normal 2 3 2 9 4 3 4 2" xfId="21532"/>
    <cellStyle name="Normal 2 3 2 9 4 3 5" xfId="21533"/>
    <cellStyle name="Normal 2 3 2 9 4 3 5 2" xfId="21534"/>
    <cellStyle name="Normal 2 3 2 9 4 3 6" xfId="21535"/>
    <cellStyle name="Normal 2 3 2 9 4 3 6 2" xfId="21536"/>
    <cellStyle name="Normal 2 3 2 9 4 3 7" xfId="21537"/>
    <cellStyle name="Normal 2 3 2 9 4 3 7 2" xfId="21538"/>
    <cellStyle name="Normal 2 3 2 9 4 3 8" xfId="21539"/>
    <cellStyle name="Normal 2 3 2 9 4 3 8 2" xfId="21540"/>
    <cellStyle name="Normal 2 3 2 9 4 3 9" xfId="21541"/>
    <cellStyle name="Normal 2 3 2 9 4 3 9 2" xfId="21542"/>
    <cellStyle name="Normal 2 3 2 9 4 4" xfId="21543"/>
    <cellStyle name="Normal 2 3 2 9 4 4 2" xfId="21544"/>
    <cellStyle name="Normal 2 3 2 9 4 5" xfId="21545"/>
    <cellStyle name="Normal 2 3 2 9 4 5 2" xfId="21546"/>
    <cellStyle name="Normal 2 3 2 9 4 6" xfId="21547"/>
    <cellStyle name="Normal 2 3 2 9 4 6 2" xfId="21548"/>
    <cellStyle name="Normal 2 3 2 9 4 7" xfId="21549"/>
    <cellStyle name="Normal 2 3 2 9 4 7 2" xfId="21550"/>
    <cellStyle name="Normal 2 3 2 9 4 8" xfId="21551"/>
    <cellStyle name="Normal 2 3 2 9 4 8 2" xfId="21552"/>
    <cellStyle name="Normal 2 3 2 9 4 9" xfId="21553"/>
    <cellStyle name="Normal 2 3 2 9 4 9 2" xfId="21554"/>
    <cellStyle name="Normal 2 3 2 9 5" xfId="21555"/>
    <cellStyle name="Normal 2 3 2 9 5 10" xfId="21556"/>
    <cellStyle name="Normal 2 3 2 9 5 10 2" xfId="21557"/>
    <cellStyle name="Normal 2 3 2 9 5 11" xfId="21558"/>
    <cellStyle name="Normal 2 3 2 9 5 11 2" xfId="21559"/>
    <cellStyle name="Normal 2 3 2 9 5 12" xfId="21560"/>
    <cellStyle name="Normal 2 3 2 9 5 12 2" xfId="21561"/>
    <cellStyle name="Normal 2 3 2 9 5 13" xfId="21562"/>
    <cellStyle name="Normal 2 3 2 9 5 2" xfId="21563"/>
    <cellStyle name="Normal 2 3 2 9 5 2 10" xfId="21564"/>
    <cellStyle name="Normal 2 3 2 9 5 2 10 2" xfId="21565"/>
    <cellStyle name="Normal 2 3 2 9 5 2 11" xfId="21566"/>
    <cellStyle name="Normal 2 3 2 9 5 2 11 2" xfId="21567"/>
    <cellStyle name="Normal 2 3 2 9 5 2 12" xfId="21568"/>
    <cellStyle name="Normal 2 3 2 9 5 2 2" xfId="21569"/>
    <cellStyle name="Normal 2 3 2 9 5 2 2 10" xfId="21570"/>
    <cellStyle name="Normal 2 3 2 9 5 2 2 10 2" xfId="21571"/>
    <cellStyle name="Normal 2 3 2 9 5 2 2 11" xfId="21572"/>
    <cellStyle name="Normal 2 3 2 9 5 2 2 2" xfId="21573"/>
    <cellStyle name="Normal 2 3 2 9 5 2 2 2 2" xfId="21574"/>
    <cellStyle name="Normal 2 3 2 9 5 2 2 3" xfId="21575"/>
    <cellStyle name="Normal 2 3 2 9 5 2 2 3 2" xfId="21576"/>
    <cellStyle name="Normal 2 3 2 9 5 2 2 4" xfId="21577"/>
    <cellStyle name="Normal 2 3 2 9 5 2 2 4 2" xfId="21578"/>
    <cellStyle name="Normal 2 3 2 9 5 2 2 5" xfId="21579"/>
    <cellStyle name="Normal 2 3 2 9 5 2 2 5 2" xfId="21580"/>
    <cellStyle name="Normal 2 3 2 9 5 2 2 6" xfId="21581"/>
    <cellStyle name="Normal 2 3 2 9 5 2 2 6 2" xfId="21582"/>
    <cellStyle name="Normal 2 3 2 9 5 2 2 7" xfId="21583"/>
    <cellStyle name="Normal 2 3 2 9 5 2 2 7 2" xfId="21584"/>
    <cellStyle name="Normal 2 3 2 9 5 2 2 8" xfId="21585"/>
    <cellStyle name="Normal 2 3 2 9 5 2 2 8 2" xfId="21586"/>
    <cellStyle name="Normal 2 3 2 9 5 2 2 9" xfId="21587"/>
    <cellStyle name="Normal 2 3 2 9 5 2 2 9 2" xfId="21588"/>
    <cellStyle name="Normal 2 3 2 9 5 2 3" xfId="21589"/>
    <cellStyle name="Normal 2 3 2 9 5 2 3 2" xfId="21590"/>
    <cellStyle name="Normal 2 3 2 9 5 2 4" xfId="21591"/>
    <cellStyle name="Normal 2 3 2 9 5 2 4 2" xfId="21592"/>
    <cellStyle name="Normal 2 3 2 9 5 2 5" xfId="21593"/>
    <cellStyle name="Normal 2 3 2 9 5 2 5 2" xfId="21594"/>
    <cellStyle name="Normal 2 3 2 9 5 2 6" xfId="21595"/>
    <cellStyle name="Normal 2 3 2 9 5 2 6 2" xfId="21596"/>
    <cellStyle name="Normal 2 3 2 9 5 2 7" xfId="21597"/>
    <cellStyle name="Normal 2 3 2 9 5 2 7 2" xfId="21598"/>
    <cellStyle name="Normal 2 3 2 9 5 2 8" xfId="21599"/>
    <cellStyle name="Normal 2 3 2 9 5 2 8 2" xfId="21600"/>
    <cellStyle name="Normal 2 3 2 9 5 2 9" xfId="21601"/>
    <cellStyle name="Normal 2 3 2 9 5 2 9 2" xfId="21602"/>
    <cellStyle name="Normal 2 3 2 9 5 3" xfId="21603"/>
    <cellStyle name="Normal 2 3 2 9 5 3 10" xfId="21604"/>
    <cellStyle name="Normal 2 3 2 9 5 3 10 2" xfId="21605"/>
    <cellStyle name="Normal 2 3 2 9 5 3 11" xfId="21606"/>
    <cellStyle name="Normal 2 3 2 9 5 3 2" xfId="21607"/>
    <cellStyle name="Normal 2 3 2 9 5 3 2 2" xfId="21608"/>
    <cellStyle name="Normal 2 3 2 9 5 3 3" xfId="21609"/>
    <cellStyle name="Normal 2 3 2 9 5 3 3 2" xfId="21610"/>
    <cellStyle name="Normal 2 3 2 9 5 3 4" xfId="21611"/>
    <cellStyle name="Normal 2 3 2 9 5 3 4 2" xfId="21612"/>
    <cellStyle name="Normal 2 3 2 9 5 3 5" xfId="21613"/>
    <cellStyle name="Normal 2 3 2 9 5 3 5 2" xfId="21614"/>
    <cellStyle name="Normal 2 3 2 9 5 3 6" xfId="21615"/>
    <cellStyle name="Normal 2 3 2 9 5 3 6 2" xfId="21616"/>
    <cellStyle name="Normal 2 3 2 9 5 3 7" xfId="21617"/>
    <cellStyle name="Normal 2 3 2 9 5 3 7 2" xfId="21618"/>
    <cellStyle name="Normal 2 3 2 9 5 3 8" xfId="21619"/>
    <cellStyle name="Normal 2 3 2 9 5 3 8 2" xfId="21620"/>
    <cellStyle name="Normal 2 3 2 9 5 3 9" xfId="21621"/>
    <cellStyle name="Normal 2 3 2 9 5 3 9 2" xfId="21622"/>
    <cellStyle name="Normal 2 3 2 9 5 4" xfId="21623"/>
    <cellStyle name="Normal 2 3 2 9 5 4 2" xfId="21624"/>
    <cellStyle name="Normal 2 3 2 9 5 5" xfId="21625"/>
    <cellStyle name="Normal 2 3 2 9 5 5 2" xfId="21626"/>
    <cellStyle name="Normal 2 3 2 9 5 6" xfId="21627"/>
    <cellStyle name="Normal 2 3 2 9 5 6 2" xfId="21628"/>
    <cellStyle name="Normal 2 3 2 9 5 7" xfId="21629"/>
    <cellStyle name="Normal 2 3 2 9 5 7 2" xfId="21630"/>
    <cellStyle name="Normal 2 3 2 9 5 8" xfId="21631"/>
    <cellStyle name="Normal 2 3 2 9 5 8 2" xfId="21632"/>
    <cellStyle name="Normal 2 3 2 9 5 9" xfId="21633"/>
    <cellStyle name="Normal 2 3 2 9 5 9 2" xfId="21634"/>
    <cellStyle name="Normal 2 3 2 9 6" xfId="21635"/>
    <cellStyle name="Normal 2 3 2 9 6 10" xfId="21636"/>
    <cellStyle name="Normal 2 3 2 9 6 10 2" xfId="21637"/>
    <cellStyle name="Normal 2 3 2 9 6 11" xfId="21638"/>
    <cellStyle name="Normal 2 3 2 9 6 11 2" xfId="21639"/>
    <cellStyle name="Normal 2 3 2 9 6 12" xfId="21640"/>
    <cellStyle name="Normal 2 3 2 9 6 12 2" xfId="21641"/>
    <cellStyle name="Normal 2 3 2 9 6 13" xfId="21642"/>
    <cellStyle name="Normal 2 3 2 9 6 2" xfId="21643"/>
    <cellStyle name="Normal 2 3 2 9 6 2 10" xfId="21644"/>
    <cellStyle name="Normal 2 3 2 9 6 2 10 2" xfId="21645"/>
    <cellStyle name="Normal 2 3 2 9 6 2 11" xfId="21646"/>
    <cellStyle name="Normal 2 3 2 9 6 2 11 2" xfId="21647"/>
    <cellStyle name="Normal 2 3 2 9 6 2 12" xfId="21648"/>
    <cellStyle name="Normal 2 3 2 9 6 2 2" xfId="21649"/>
    <cellStyle name="Normal 2 3 2 9 6 2 2 10" xfId="21650"/>
    <cellStyle name="Normal 2 3 2 9 6 2 2 10 2" xfId="21651"/>
    <cellStyle name="Normal 2 3 2 9 6 2 2 11" xfId="21652"/>
    <cellStyle name="Normal 2 3 2 9 6 2 2 2" xfId="21653"/>
    <cellStyle name="Normal 2 3 2 9 6 2 2 2 2" xfId="21654"/>
    <cellStyle name="Normal 2 3 2 9 6 2 2 3" xfId="21655"/>
    <cellStyle name="Normal 2 3 2 9 6 2 2 3 2" xfId="21656"/>
    <cellStyle name="Normal 2 3 2 9 6 2 2 4" xfId="21657"/>
    <cellStyle name="Normal 2 3 2 9 6 2 2 4 2" xfId="21658"/>
    <cellStyle name="Normal 2 3 2 9 6 2 2 5" xfId="21659"/>
    <cellStyle name="Normal 2 3 2 9 6 2 2 5 2" xfId="21660"/>
    <cellStyle name="Normal 2 3 2 9 6 2 2 6" xfId="21661"/>
    <cellStyle name="Normal 2 3 2 9 6 2 2 6 2" xfId="21662"/>
    <cellStyle name="Normal 2 3 2 9 6 2 2 7" xfId="21663"/>
    <cellStyle name="Normal 2 3 2 9 6 2 2 7 2" xfId="21664"/>
    <cellStyle name="Normal 2 3 2 9 6 2 2 8" xfId="21665"/>
    <cellStyle name="Normal 2 3 2 9 6 2 2 8 2" xfId="21666"/>
    <cellStyle name="Normal 2 3 2 9 6 2 2 9" xfId="21667"/>
    <cellStyle name="Normal 2 3 2 9 6 2 2 9 2" xfId="21668"/>
    <cellStyle name="Normal 2 3 2 9 6 2 3" xfId="21669"/>
    <cellStyle name="Normal 2 3 2 9 6 2 3 2" xfId="21670"/>
    <cellStyle name="Normal 2 3 2 9 6 2 4" xfId="21671"/>
    <cellStyle name="Normal 2 3 2 9 6 2 4 2" xfId="21672"/>
    <cellStyle name="Normal 2 3 2 9 6 2 5" xfId="21673"/>
    <cellStyle name="Normal 2 3 2 9 6 2 5 2" xfId="21674"/>
    <cellStyle name="Normal 2 3 2 9 6 2 6" xfId="21675"/>
    <cellStyle name="Normal 2 3 2 9 6 2 6 2" xfId="21676"/>
    <cellStyle name="Normal 2 3 2 9 6 2 7" xfId="21677"/>
    <cellStyle name="Normal 2 3 2 9 6 2 7 2" xfId="21678"/>
    <cellStyle name="Normal 2 3 2 9 6 2 8" xfId="21679"/>
    <cellStyle name="Normal 2 3 2 9 6 2 8 2" xfId="21680"/>
    <cellStyle name="Normal 2 3 2 9 6 2 9" xfId="21681"/>
    <cellStyle name="Normal 2 3 2 9 6 2 9 2" xfId="21682"/>
    <cellStyle name="Normal 2 3 2 9 6 3" xfId="21683"/>
    <cellStyle name="Normal 2 3 2 9 6 3 10" xfId="21684"/>
    <cellStyle name="Normal 2 3 2 9 6 3 10 2" xfId="21685"/>
    <cellStyle name="Normal 2 3 2 9 6 3 11" xfId="21686"/>
    <cellStyle name="Normal 2 3 2 9 6 3 2" xfId="21687"/>
    <cellStyle name="Normal 2 3 2 9 6 3 2 2" xfId="21688"/>
    <cellStyle name="Normal 2 3 2 9 6 3 3" xfId="21689"/>
    <cellStyle name="Normal 2 3 2 9 6 3 3 2" xfId="21690"/>
    <cellStyle name="Normal 2 3 2 9 6 3 4" xfId="21691"/>
    <cellStyle name="Normal 2 3 2 9 6 3 4 2" xfId="21692"/>
    <cellStyle name="Normal 2 3 2 9 6 3 5" xfId="21693"/>
    <cellStyle name="Normal 2 3 2 9 6 3 5 2" xfId="21694"/>
    <cellStyle name="Normal 2 3 2 9 6 3 6" xfId="21695"/>
    <cellStyle name="Normal 2 3 2 9 6 3 6 2" xfId="21696"/>
    <cellStyle name="Normal 2 3 2 9 6 3 7" xfId="21697"/>
    <cellStyle name="Normal 2 3 2 9 6 3 7 2" xfId="21698"/>
    <cellStyle name="Normal 2 3 2 9 6 3 8" xfId="21699"/>
    <cellStyle name="Normal 2 3 2 9 6 3 8 2" xfId="21700"/>
    <cellStyle name="Normal 2 3 2 9 6 3 9" xfId="21701"/>
    <cellStyle name="Normal 2 3 2 9 6 3 9 2" xfId="21702"/>
    <cellStyle name="Normal 2 3 2 9 6 4" xfId="21703"/>
    <cellStyle name="Normal 2 3 2 9 6 4 2" xfId="21704"/>
    <cellStyle name="Normal 2 3 2 9 6 5" xfId="21705"/>
    <cellStyle name="Normal 2 3 2 9 6 5 2" xfId="21706"/>
    <cellStyle name="Normal 2 3 2 9 6 6" xfId="21707"/>
    <cellStyle name="Normal 2 3 2 9 6 6 2" xfId="21708"/>
    <cellStyle name="Normal 2 3 2 9 6 7" xfId="21709"/>
    <cellStyle name="Normal 2 3 2 9 6 7 2" xfId="21710"/>
    <cellStyle name="Normal 2 3 2 9 6 8" xfId="21711"/>
    <cellStyle name="Normal 2 3 2 9 6 8 2" xfId="21712"/>
    <cellStyle name="Normal 2 3 2 9 6 9" xfId="21713"/>
    <cellStyle name="Normal 2 3 2 9 6 9 2" xfId="21714"/>
    <cellStyle name="Normal 2 3 20" xfId="21715"/>
    <cellStyle name="Normal 2 3 21" xfId="21716"/>
    <cellStyle name="Normal 2 3 22" xfId="21717"/>
    <cellStyle name="Normal 2 3 23" xfId="21718"/>
    <cellStyle name="Normal 2 3 24" xfId="21719"/>
    <cellStyle name="Normal 2 3 25" xfId="21720"/>
    <cellStyle name="Normal 2 3 26" xfId="21721"/>
    <cellStyle name="Normal 2 3 27" xfId="21722"/>
    <cellStyle name="Normal 2 3 28" xfId="21723"/>
    <cellStyle name="Normal 2 3 29" xfId="21724"/>
    <cellStyle name="Normal 2 3 3" xfId="21725"/>
    <cellStyle name="Normal 2 3 3 10" xfId="21726"/>
    <cellStyle name="Normal 2 3 3 10 10" xfId="21727"/>
    <cellStyle name="Normal 2 3 3 10 10 2" xfId="21728"/>
    <cellStyle name="Normal 2 3 3 10 11" xfId="21729"/>
    <cellStyle name="Normal 2 3 3 10 11 2" xfId="21730"/>
    <cellStyle name="Normal 2 3 3 10 12" xfId="21731"/>
    <cellStyle name="Normal 2 3 3 10 12 2" xfId="21732"/>
    <cellStyle name="Normal 2 3 3 10 13" xfId="21733"/>
    <cellStyle name="Normal 2 3 3 10 2" xfId="21734"/>
    <cellStyle name="Normal 2 3 3 10 2 10" xfId="21735"/>
    <cellStyle name="Normal 2 3 3 10 2 10 2" xfId="21736"/>
    <cellStyle name="Normal 2 3 3 10 2 11" xfId="21737"/>
    <cellStyle name="Normal 2 3 3 10 2 11 2" xfId="21738"/>
    <cellStyle name="Normal 2 3 3 10 2 12" xfId="21739"/>
    <cellStyle name="Normal 2 3 3 10 2 2" xfId="21740"/>
    <cellStyle name="Normal 2 3 3 10 2 2 10" xfId="21741"/>
    <cellStyle name="Normal 2 3 3 10 2 2 10 2" xfId="21742"/>
    <cellStyle name="Normal 2 3 3 10 2 2 11" xfId="21743"/>
    <cellStyle name="Normal 2 3 3 10 2 2 2" xfId="21744"/>
    <cellStyle name="Normal 2 3 3 10 2 2 2 2" xfId="21745"/>
    <cellStyle name="Normal 2 3 3 10 2 2 3" xfId="21746"/>
    <cellStyle name="Normal 2 3 3 10 2 2 3 2" xfId="21747"/>
    <cellStyle name="Normal 2 3 3 10 2 2 4" xfId="21748"/>
    <cellStyle name="Normal 2 3 3 10 2 2 4 2" xfId="21749"/>
    <cellStyle name="Normal 2 3 3 10 2 2 5" xfId="21750"/>
    <cellStyle name="Normal 2 3 3 10 2 2 5 2" xfId="21751"/>
    <cellStyle name="Normal 2 3 3 10 2 2 6" xfId="21752"/>
    <cellStyle name="Normal 2 3 3 10 2 2 6 2" xfId="21753"/>
    <cellStyle name="Normal 2 3 3 10 2 2 7" xfId="21754"/>
    <cellStyle name="Normal 2 3 3 10 2 2 7 2" xfId="21755"/>
    <cellStyle name="Normal 2 3 3 10 2 2 8" xfId="21756"/>
    <cellStyle name="Normal 2 3 3 10 2 2 8 2" xfId="21757"/>
    <cellStyle name="Normal 2 3 3 10 2 2 9" xfId="21758"/>
    <cellStyle name="Normal 2 3 3 10 2 2 9 2" xfId="21759"/>
    <cellStyle name="Normal 2 3 3 10 2 3" xfId="21760"/>
    <cellStyle name="Normal 2 3 3 10 2 3 2" xfId="21761"/>
    <cellStyle name="Normal 2 3 3 10 2 4" xfId="21762"/>
    <cellStyle name="Normal 2 3 3 10 2 4 2" xfId="21763"/>
    <cellStyle name="Normal 2 3 3 10 2 5" xfId="21764"/>
    <cellStyle name="Normal 2 3 3 10 2 5 2" xfId="21765"/>
    <cellStyle name="Normal 2 3 3 10 2 6" xfId="21766"/>
    <cellStyle name="Normal 2 3 3 10 2 6 2" xfId="21767"/>
    <cellStyle name="Normal 2 3 3 10 2 7" xfId="21768"/>
    <cellStyle name="Normal 2 3 3 10 2 7 2" xfId="21769"/>
    <cellStyle name="Normal 2 3 3 10 2 8" xfId="21770"/>
    <cellStyle name="Normal 2 3 3 10 2 8 2" xfId="21771"/>
    <cellStyle name="Normal 2 3 3 10 2 9" xfId="21772"/>
    <cellStyle name="Normal 2 3 3 10 2 9 2" xfId="21773"/>
    <cellStyle name="Normal 2 3 3 10 3" xfId="21774"/>
    <cellStyle name="Normal 2 3 3 10 3 10" xfId="21775"/>
    <cellStyle name="Normal 2 3 3 10 3 10 2" xfId="21776"/>
    <cellStyle name="Normal 2 3 3 10 3 11" xfId="21777"/>
    <cellStyle name="Normal 2 3 3 10 3 2" xfId="21778"/>
    <cellStyle name="Normal 2 3 3 10 3 2 2" xfId="21779"/>
    <cellStyle name="Normal 2 3 3 10 3 3" xfId="21780"/>
    <cellStyle name="Normal 2 3 3 10 3 3 2" xfId="21781"/>
    <cellStyle name="Normal 2 3 3 10 3 4" xfId="21782"/>
    <cellStyle name="Normal 2 3 3 10 3 4 2" xfId="21783"/>
    <cellStyle name="Normal 2 3 3 10 3 5" xfId="21784"/>
    <cellStyle name="Normal 2 3 3 10 3 5 2" xfId="21785"/>
    <cellStyle name="Normal 2 3 3 10 3 6" xfId="21786"/>
    <cellStyle name="Normal 2 3 3 10 3 6 2" xfId="21787"/>
    <cellStyle name="Normal 2 3 3 10 3 7" xfId="21788"/>
    <cellStyle name="Normal 2 3 3 10 3 7 2" xfId="21789"/>
    <cellStyle name="Normal 2 3 3 10 3 8" xfId="21790"/>
    <cellStyle name="Normal 2 3 3 10 3 8 2" xfId="21791"/>
    <cellStyle name="Normal 2 3 3 10 3 9" xfId="21792"/>
    <cellStyle name="Normal 2 3 3 10 3 9 2" xfId="21793"/>
    <cellStyle name="Normal 2 3 3 10 4" xfId="21794"/>
    <cellStyle name="Normal 2 3 3 10 4 2" xfId="21795"/>
    <cellStyle name="Normal 2 3 3 10 5" xfId="21796"/>
    <cellStyle name="Normal 2 3 3 10 5 2" xfId="21797"/>
    <cellStyle name="Normal 2 3 3 10 6" xfId="21798"/>
    <cellStyle name="Normal 2 3 3 10 6 2" xfId="21799"/>
    <cellStyle name="Normal 2 3 3 10 7" xfId="21800"/>
    <cellStyle name="Normal 2 3 3 10 7 2" xfId="21801"/>
    <cellStyle name="Normal 2 3 3 10 8" xfId="21802"/>
    <cellStyle name="Normal 2 3 3 10 8 2" xfId="21803"/>
    <cellStyle name="Normal 2 3 3 10 9" xfId="21804"/>
    <cellStyle name="Normal 2 3 3 10 9 2" xfId="21805"/>
    <cellStyle name="Normal 2 3 3 2" xfId="21806"/>
    <cellStyle name="Normal 2 3 3 2 2" xfId="21807"/>
    <cellStyle name="Normal 2 3 3 2 2 10" xfId="21808"/>
    <cellStyle name="Normal 2 3 3 2 2 10 2" xfId="21809"/>
    <cellStyle name="Normal 2 3 3 2 2 11" xfId="21810"/>
    <cellStyle name="Normal 2 3 3 2 2 11 2" xfId="21811"/>
    <cellStyle name="Normal 2 3 3 2 2 12" xfId="21812"/>
    <cellStyle name="Normal 2 3 3 2 2 12 2" xfId="21813"/>
    <cellStyle name="Normal 2 3 3 2 2 13" xfId="21814"/>
    <cellStyle name="Normal 2 3 3 2 2 13 2" xfId="21815"/>
    <cellStyle name="Normal 2 3 3 2 2 14" xfId="21816"/>
    <cellStyle name="Normal 2 3 3 2 2 14 2" xfId="21817"/>
    <cellStyle name="Normal 2 3 3 2 2 15" xfId="21818"/>
    <cellStyle name="Normal 2 3 3 2 2 15 2" xfId="21819"/>
    <cellStyle name="Normal 2 3 3 2 2 16" xfId="21820"/>
    <cellStyle name="Normal 2 3 3 2 2 16 2" xfId="21821"/>
    <cellStyle name="Normal 2 3 3 2 2 17" xfId="21822"/>
    <cellStyle name="Normal 2 3 3 2 2 17 2" xfId="21823"/>
    <cellStyle name="Normal 2 3 3 2 2 18" xfId="21824"/>
    <cellStyle name="Normal 2 3 3 2 2 2" xfId="21825"/>
    <cellStyle name="Normal 2 3 3 2 2 2 2" xfId="21826"/>
    <cellStyle name="Normal 2 3 3 2 2 2 2 10" xfId="21827"/>
    <cellStyle name="Normal 2 3 3 2 2 2 2 10 2" xfId="21828"/>
    <cellStyle name="Normal 2 3 3 2 2 2 2 11" xfId="21829"/>
    <cellStyle name="Normal 2 3 3 2 2 2 2 11 2" xfId="21830"/>
    <cellStyle name="Normal 2 3 3 2 2 2 2 12" xfId="21831"/>
    <cellStyle name="Normal 2 3 3 2 2 2 2 12 2" xfId="21832"/>
    <cellStyle name="Normal 2 3 3 2 2 2 2 13" xfId="21833"/>
    <cellStyle name="Normal 2 3 3 2 2 2 2 13 2" xfId="21834"/>
    <cellStyle name="Normal 2 3 3 2 2 2 2 14" xfId="21835"/>
    <cellStyle name="Normal 2 3 3 2 2 2 2 14 2" xfId="21836"/>
    <cellStyle name="Normal 2 3 3 2 2 2 2 15" xfId="21837"/>
    <cellStyle name="Normal 2 3 3 2 2 2 2 15 2" xfId="21838"/>
    <cellStyle name="Normal 2 3 3 2 2 2 2 16" xfId="21839"/>
    <cellStyle name="Normal 2 3 3 2 2 2 2 16 2" xfId="21840"/>
    <cellStyle name="Normal 2 3 3 2 2 2 2 17" xfId="21841"/>
    <cellStyle name="Normal 2 3 3 2 2 2 2 2" xfId="21842"/>
    <cellStyle name="Normal 2 3 3 2 2 2 2 3" xfId="21843"/>
    <cellStyle name="Normal 2 3 3 2 2 2 2 4" xfId="21844"/>
    <cellStyle name="Normal 2 3 3 2 2 2 2 5" xfId="21845"/>
    <cellStyle name="Normal 2 3 3 2 2 2 2 6" xfId="21846"/>
    <cellStyle name="Normal 2 3 3 2 2 2 2 6 10" xfId="21847"/>
    <cellStyle name="Normal 2 3 3 2 2 2 2 6 10 2" xfId="21848"/>
    <cellStyle name="Normal 2 3 3 2 2 2 2 6 11" xfId="21849"/>
    <cellStyle name="Normal 2 3 3 2 2 2 2 6 11 2" xfId="21850"/>
    <cellStyle name="Normal 2 3 3 2 2 2 2 6 12" xfId="21851"/>
    <cellStyle name="Normal 2 3 3 2 2 2 2 6 2" xfId="21852"/>
    <cellStyle name="Normal 2 3 3 2 2 2 2 6 2 10" xfId="21853"/>
    <cellStyle name="Normal 2 3 3 2 2 2 2 6 2 10 2" xfId="21854"/>
    <cellStyle name="Normal 2 3 3 2 2 2 2 6 2 11" xfId="21855"/>
    <cellStyle name="Normal 2 3 3 2 2 2 2 6 2 2" xfId="21856"/>
    <cellStyle name="Normal 2 3 3 2 2 2 2 6 2 2 2" xfId="21857"/>
    <cellStyle name="Normal 2 3 3 2 2 2 2 6 2 3" xfId="21858"/>
    <cellStyle name="Normal 2 3 3 2 2 2 2 6 2 3 2" xfId="21859"/>
    <cellStyle name="Normal 2 3 3 2 2 2 2 6 2 4" xfId="21860"/>
    <cellStyle name="Normal 2 3 3 2 2 2 2 6 2 4 2" xfId="21861"/>
    <cellStyle name="Normal 2 3 3 2 2 2 2 6 2 5" xfId="21862"/>
    <cellStyle name="Normal 2 3 3 2 2 2 2 6 2 5 2" xfId="21863"/>
    <cellStyle name="Normal 2 3 3 2 2 2 2 6 2 6" xfId="21864"/>
    <cellStyle name="Normal 2 3 3 2 2 2 2 6 2 6 2" xfId="21865"/>
    <cellStyle name="Normal 2 3 3 2 2 2 2 6 2 7" xfId="21866"/>
    <cellStyle name="Normal 2 3 3 2 2 2 2 6 2 7 2" xfId="21867"/>
    <cellStyle name="Normal 2 3 3 2 2 2 2 6 2 8" xfId="21868"/>
    <cellStyle name="Normal 2 3 3 2 2 2 2 6 2 8 2" xfId="21869"/>
    <cellStyle name="Normal 2 3 3 2 2 2 2 6 2 9" xfId="21870"/>
    <cellStyle name="Normal 2 3 3 2 2 2 2 6 2 9 2" xfId="21871"/>
    <cellStyle name="Normal 2 3 3 2 2 2 2 6 3" xfId="21872"/>
    <cellStyle name="Normal 2 3 3 2 2 2 2 6 3 2" xfId="21873"/>
    <cellStyle name="Normal 2 3 3 2 2 2 2 6 4" xfId="21874"/>
    <cellStyle name="Normal 2 3 3 2 2 2 2 6 4 2" xfId="21875"/>
    <cellStyle name="Normal 2 3 3 2 2 2 2 6 5" xfId="21876"/>
    <cellStyle name="Normal 2 3 3 2 2 2 2 6 5 2" xfId="21877"/>
    <cellStyle name="Normal 2 3 3 2 2 2 2 6 6" xfId="21878"/>
    <cellStyle name="Normal 2 3 3 2 2 2 2 6 6 2" xfId="21879"/>
    <cellStyle name="Normal 2 3 3 2 2 2 2 6 7" xfId="21880"/>
    <cellStyle name="Normal 2 3 3 2 2 2 2 6 7 2" xfId="21881"/>
    <cellStyle name="Normal 2 3 3 2 2 2 2 6 8" xfId="21882"/>
    <cellStyle name="Normal 2 3 3 2 2 2 2 6 8 2" xfId="21883"/>
    <cellStyle name="Normal 2 3 3 2 2 2 2 6 9" xfId="21884"/>
    <cellStyle name="Normal 2 3 3 2 2 2 2 6 9 2" xfId="21885"/>
    <cellStyle name="Normal 2 3 3 2 2 2 2 7" xfId="21886"/>
    <cellStyle name="Normal 2 3 3 2 2 2 2 7 10" xfId="21887"/>
    <cellStyle name="Normal 2 3 3 2 2 2 2 7 10 2" xfId="21888"/>
    <cellStyle name="Normal 2 3 3 2 2 2 2 7 11" xfId="21889"/>
    <cellStyle name="Normal 2 3 3 2 2 2 2 7 2" xfId="21890"/>
    <cellStyle name="Normal 2 3 3 2 2 2 2 7 2 2" xfId="21891"/>
    <cellStyle name="Normal 2 3 3 2 2 2 2 7 3" xfId="21892"/>
    <cellStyle name="Normal 2 3 3 2 2 2 2 7 3 2" xfId="21893"/>
    <cellStyle name="Normal 2 3 3 2 2 2 2 7 4" xfId="21894"/>
    <cellStyle name="Normal 2 3 3 2 2 2 2 7 4 2" xfId="21895"/>
    <cellStyle name="Normal 2 3 3 2 2 2 2 7 5" xfId="21896"/>
    <cellStyle name="Normal 2 3 3 2 2 2 2 7 5 2" xfId="21897"/>
    <cellStyle name="Normal 2 3 3 2 2 2 2 7 6" xfId="21898"/>
    <cellStyle name="Normal 2 3 3 2 2 2 2 7 6 2" xfId="21899"/>
    <cellStyle name="Normal 2 3 3 2 2 2 2 7 7" xfId="21900"/>
    <cellStyle name="Normal 2 3 3 2 2 2 2 7 7 2" xfId="21901"/>
    <cellStyle name="Normal 2 3 3 2 2 2 2 7 8" xfId="21902"/>
    <cellStyle name="Normal 2 3 3 2 2 2 2 7 8 2" xfId="21903"/>
    <cellStyle name="Normal 2 3 3 2 2 2 2 7 9" xfId="21904"/>
    <cellStyle name="Normal 2 3 3 2 2 2 2 7 9 2" xfId="21905"/>
    <cellStyle name="Normal 2 3 3 2 2 2 2 8" xfId="21906"/>
    <cellStyle name="Normal 2 3 3 2 2 2 2 8 2" xfId="21907"/>
    <cellStyle name="Normal 2 3 3 2 2 2 2 9" xfId="21908"/>
    <cellStyle name="Normal 2 3 3 2 2 2 2 9 2" xfId="21909"/>
    <cellStyle name="Normal 2 3 3 2 2 2 3" xfId="21910"/>
    <cellStyle name="Normal 2 3 3 2 2 2 3 10" xfId="21911"/>
    <cellStyle name="Normal 2 3 3 2 2 2 3 10 2" xfId="21912"/>
    <cellStyle name="Normal 2 3 3 2 2 2 3 11" xfId="21913"/>
    <cellStyle name="Normal 2 3 3 2 2 2 3 11 2" xfId="21914"/>
    <cellStyle name="Normal 2 3 3 2 2 2 3 12" xfId="21915"/>
    <cellStyle name="Normal 2 3 3 2 2 2 3 12 2" xfId="21916"/>
    <cellStyle name="Normal 2 3 3 2 2 2 3 13" xfId="21917"/>
    <cellStyle name="Normal 2 3 3 2 2 2 3 2" xfId="21918"/>
    <cellStyle name="Normal 2 3 3 2 2 2 3 2 10" xfId="21919"/>
    <cellStyle name="Normal 2 3 3 2 2 2 3 2 10 2" xfId="21920"/>
    <cellStyle name="Normal 2 3 3 2 2 2 3 2 11" xfId="21921"/>
    <cellStyle name="Normal 2 3 3 2 2 2 3 2 11 2" xfId="21922"/>
    <cellStyle name="Normal 2 3 3 2 2 2 3 2 12" xfId="21923"/>
    <cellStyle name="Normal 2 3 3 2 2 2 3 2 2" xfId="21924"/>
    <cellStyle name="Normal 2 3 3 2 2 2 3 2 2 10" xfId="21925"/>
    <cellStyle name="Normal 2 3 3 2 2 2 3 2 2 10 2" xfId="21926"/>
    <cellStyle name="Normal 2 3 3 2 2 2 3 2 2 11" xfId="21927"/>
    <cellStyle name="Normal 2 3 3 2 2 2 3 2 2 2" xfId="21928"/>
    <cellStyle name="Normal 2 3 3 2 2 2 3 2 2 2 2" xfId="21929"/>
    <cellStyle name="Normal 2 3 3 2 2 2 3 2 2 3" xfId="21930"/>
    <cellStyle name="Normal 2 3 3 2 2 2 3 2 2 3 2" xfId="21931"/>
    <cellStyle name="Normal 2 3 3 2 2 2 3 2 2 4" xfId="21932"/>
    <cellStyle name="Normal 2 3 3 2 2 2 3 2 2 4 2" xfId="21933"/>
    <cellStyle name="Normal 2 3 3 2 2 2 3 2 2 5" xfId="21934"/>
    <cellStyle name="Normal 2 3 3 2 2 2 3 2 2 5 2" xfId="21935"/>
    <cellStyle name="Normal 2 3 3 2 2 2 3 2 2 6" xfId="21936"/>
    <cellStyle name="Normal 2 3 3 2 2 2 3 2 2 6 2" xfId="21937"/>
    <cellStyle name="Normal 2 3 3 2 2 2 3 2 2 7" xfId="21938"/>
    <cellStyle name="Normal 2 3 3 2 2 2 3 2 2 7 2" xfId="21939"/>
    <cellStyle name="Normal 2 3 3 2 2 2 3 2 2 8" xfId="21940"/>
    <cellStyle name="Normal 2 3 3 2 2 2 3 2 2 8 2" xfId="21941"/>
    <cellStyle name="Normal 2 3 3 2 2 2 3 2 2 9" xfId="21942"/>
    <cellStyle name="Normal 2 3 3 2 2 2 3 2 2 9 2" xfId="21943"/>
    <cellStyle name="Normal 2 3 3 2 2 2 3 2 3" xfId="21944"/>
    <cellStyle name="Normal 2 3 3 2 2 2 3 2 3 2" xfId="21945"/>
    <cellStyle name="Normal 2 3 3 2 2 2 3 2 4" xfId="21946"/>
    <cellStyle name="Normal 2 3 3 2 2 2 3 2 4 2" xfId="21947"/>
    <cellStyle name="Normal 2 3 3 2 2 2 3 2 5" xfId="21948"/>
    <cellStyle name="Normal 2 3 3 2 2 2 3 2 5 2" xfId="21949"/>
    <cellStyle name="Normal 2 3 3 2 2 2 3 2 6" xfId="21950"/>
    <cellStyle name="Normal 2 3 3 2 2 2 3 2 6 2" xfId="21951"/>
    <cellStyle name="Normal 2 3 3 2 2 2 3 2 7" xfId="21952"/>
    <cellStyle name="Normal 2 3 3 2 2 2 3 2 7 2" xfId="21953"/>
    <cellStyle name="Normal 2 3 3 2 2 2 3 2 8" xfId="21954"/>
    <cellStyle name="Normal 2 3 3 2 2 2 3 2 8 2" xfId="21955"/>
    <cellStyle name="Normal 2 3 3 2 2 2 3 2 9" xfId="21956"/>
    <cellStyle name="Normal 2 3 3 2 2 2 3 2 9 2" xfId="21957"/>
    <cellStyle name="Normal 2 3 3 2 2 2 3 3" xfId="21958"/>
    <cellStyle name="Normal 2 3 3 2 2 2 3 3 10" xfId="21959"/>
    <cellStyle name="Normal 2 3 3 2 2 2 3 3 10 2" xfId="21960"/>
    <cellStyle name="Normal 2 3 3 2 2 2 3 3 11" xfId="21961"/>
    <cellStyle name="Normal 2 3 3 2 2 2 3 3 2" xfId="21962"/>
    <cellStyle name="Normal 2 3 3 2 2 2 3 3 2 2" xfId="21963"/>
    <cellStyle name="Normal 2 3 3 2 2 2 3 3 3" xfId="21964"/>
    <cellStyle name="Normal 2 3 3 2 2 2 3 3 3 2" xfId="21965"/>
    <cellStyle name="Normal 2 3 3 2 2 2 3 3 4" xfId="21966"/>
    <cellStyle name="Normal 2 3 3 2 2 2 3 3 4 2" xfId="21967"/>
    <cellStyle name="Normal 2 3 3 2 2 2 3 3 5" xfId="21968"/>
    <cellStyle name="Normal 2 3 3 2 2 2 3 3 5 2" xfId="21969"/>
    <cellStyle name="Normal 2 3 3 2 2 2 3 3 6" xfId="21970"/>
    <cellStyle name="Normal 2 3 3 2 2 2 3 3 6 2" xfId="21971"/>
    <cellStyle name="Normal 2 3 3 2 2 2 3 3 7" xfId="21972"/>
    <cellStyle name="Normal 2 3 3 2 2 2 3 3 7 2" xfId="21973"/>
    <cellStyle name="Normal 2 3 3 2 2 2 3 3 8" xfId="21974"/>
    <cellStyle name="Normal 2 3 3 2 2 2 3 3 8 2" xfId="21975"/>
    <cellStyle name="Normal 2 3 3 2 2 2 3 3 9" xfId="21976"/>
    <cellStyle name="Normal 2 3 3 2 2 2 3 3 9 2" xfId="21977"/>
    <cellStyle name="Normal 2 3 3 2 2 2 3 4" xfId="21978"/>
    <cellStyle name="Normal 2 3 3 2 2 2 3 4 2" xfId="21979"/>
    <cellStyle name="Normal 2 3 3 2 2 2 3 5" xfId="21980"/>
    <cellStyle name="Normal 2 3 3 2 2 2 3 5 2" xfId="21981"/>
    <cellStyle name="Normal 2 3 3 2 2 2 3 6" xfId="21982"/>
    <cellStyle name="Normal 2 3 3 2 2 2 3 6 2" xfId="21983"/>
    <cellStyle name="Normal 2 3 3 2 2 2 3 7" xfId="21984"/>
    <cellStyle name="Normal 2 3 3 2 2 2 3 7 2" xfId="21985"/>
    <cellStyle name="Normal 2 3 3 2 2 2 3 8" xfId="21986"/>
    <cellStyle name="Normal 2 3 3 2 2 2 3 8 2" xfId="21987"/>
    <cellStyle name="Normal 2 3 3 2 2 2 3 9" xfId="21988"/>
    <cellStyle name="Normal 2 3 3 2 2 2 3 9 2" xfId="21989"/>
    <cellStyle name="Normal 2 3 3 2 2 2 4" xfId="21990"/>
    <cellStyle name="Normal 2 3 3 2 2 2 4 10" xfId="21991"/>
    <cellStyle name="Normal 2 3 3 2 2 2 4 10 2" xfId="21992"/>
    <cellStyle name="Normal 2 3 3 2 2 2 4 11" xfId="21993"/>
    <cellStyle name="Normal 2 3 3 2 2 2 4 11 2" xfId="21994"/>
    <cellStyle name="Normal 2 3 3 2 2 2 4 12" xfId="21995"/>
    <cellStyle name="Normal 2 3 3 2 2 2 4 12 2" xfId="21996"/>
    <cellStyle name="Normal 2 3 3 2 2 2 4 13" xfId="21997"/>
    <cellStyle name="Normal 2 3 3 2 2 2 4 2" xfId="21998"/>
    <cellStyle name="Normal 2 3 3 2 2 2 4 2 10" xfId="21999"/>
    <cellStyle name="Normal 2 3 3 2 2 2 4 2 10 2" xfId="22000"/>
    <cellStyle name="Normal 2 3 3 2 2 2 4 2 11" xfId="22001"/>
    <cellStyle name="Normal 2 3 3 2 2 2 4 2 11 2" xfId="22002"/>
    <cellStyle name="Normal 2 3 3 2 2 2 4 2 12" xfId="22003"/>
    <cellStyle name="Normal 2 3 3 2 2 2 4 2 2" xfId="22004"/>
    <cellStyle name="Normal 2 3 3 2 2 2 4 2 2 10" xfId="22005"/>
    <cellStyle name="Normal 2 3 3 2 2 2 4 2 2 10 2" xfId="22006"/>
    <cellStyle name="Normal 2 3 3 2 2 2 4 2 2 11" xfId="22007"/>
    <cellStyle name="Normal 2 3 3 2 2 2 4 2 2 2" xfId="22008"/>
    <cellStyle name="Normal 2 3 3 2 2 2 4 2 2 2 2" xfId="22009"/>
    <cellStyle name="Normal 2 3 3 2 2 2 4 2 2 3" xfId="22010"/>
    <cellStyle name="Normal 2 3 3 2 2 2 4 2 2 3 2" xfId="22011"/>
    <cellStyle name="Normal 2 3 3 2 2 2 4 2 2 4" xfId="22012"/>
    <cellStyle name="Normal 2 3 3 2 2 2 4 2 2 4 2" xfId="22013"/>
    <cellStyle name="Normal 2 3 3 2 2 2 4 2 2 5" xfId="22014"/>
    <cellStyle name="Normal 2 3 3 2 2 2 4 2 2 5 2" xfId="22015"/>
    <cellStyle name="Normal 2 3 3 2 2 2 4 2 2 6" xfId="22016"/>
    <cellStyle name="Normal 2 3 3 2 2 2 4 2 2 6 2" xfId="22017"/>
    <cellStyle name="Normal 2 3 3 2 2 2 4 2 2 7" xfId="22018"/>
    <cellStyle name="Normal 2 3 3 2 2 2 4 2 2 7 2" xfId="22019"/>
    <cellStyle name="Normal 2 3 3 2 2 2 4 2 2 8" xfId="22020"/>
    <cellStyle name="Normal 2 3 3 2 2 2 4 2 2 8 2" xfId="22021"/>
    <cellStyle name="Normal 2 3 3 2 2 2 4 2 2 9" xfId="22022"/>
    <cellStyle name="Normal 2 3 3 2 2 2 4 2 2 9 2" xfId="22023"/>
    <cellStyle name="Normal 2 3 3 2 2 2 4 2 3" xfId="22024"/>
    <cellStyle name="Normal 2 3 3 2 2 2 4 2 3 2" xfId="22025"/>
    <cellStyle name="Normal 2 3 3 2 2 2 4 2 4" xfId="22026"/>
    <cellStyle name="Normal 2 3 3 2 2 2 4 2 4 2" xfId="22027"/>
    <cellStyle name="Normal 2 3 3 2 2 2 4 2 5" xfId="22028"/>
    <cellStyle name="Normal 2 3 3 2 2 2 4 2 5 2" xfId="22029"/>
    <cellStyle name="Normal 2 3 3 2 2 2 4 2 6" xfId="22030"/>
    <cellStyle name="Normal 2 3 3 2 2 2 4 2 6 2" xfId="22031"/>
    <cellStyle name="Normal 2 3 3 2 2 2 4 2 7" xfId="22032"/>
    <cellStyle name="Normal 2 3 3 2 2 2 4 2 7 2" xfId="22033"/>
    <cellStyle name="Normal 2 3 3 2 2 2 4 2 8" xfId="22034"/>
    <cellStyle name="Normal 2 3 3 2 2 2 4 2 8 2" xfId="22035"/>
    <cellStyle name="Normal 2 3 3 2 2 2 4 2 9" xfId="22036"/>
    <cellStyle name="Normal 2 3 3 2 2 2 4 2 9 2" xfId="22037"/>
    <cellStyle name="Normal 2 3 3 2 2 2 4 3" xfId="22038"/>
    <cellStyle name="Normal 2 3 3 2 2 2 4 3 10" xfId="22039"/>
    <cellStyle name="Normal 2 3 3 2 2 2 4 3 10 2" xfId="22040"/>
    <cellStyle name="Normal 2 3 3 2 2 2 4 3 11" xfId="22041"/>
    <cellStyle name="Normal 2 3 3 2 2 2 4 3 2" xfId="22042"/>
    <cellStyle name="Normal 2 3 3 2 2 2 4 3 2 2" xfId="22043"/>
    <cellStyle name="Normal 2 3 3 2 2 2 4 3 3" xfId="22044"/>
    <cellStyle name="Normal 2 3 3 2 2 2 4 3 3 2" xfId="22045"/>
    <cellStyle name="Normal 2 3 3 2 2 2 4 3 4" xfId="22046"/>
    <cellStyle name="Normal 2 3 3 2 2 2 4 3 4 2" xfId="22047"/>
    <cellStyle name="Normal 2 3 3 2 2 2 4 3 5" xfId="22048"/>
    <cellStyle name="Normal 2 3 3 2 2 2 4 3 5 2" xfId="22049"/>
    <cellStyle name="Normal 2 3 3 2 2 2 4 3 6" xfId="22050"/>
    <cellStyle name="Normal 2 3 3 2 2 2 4 3 6 2" xfId="22051"/>
    <cellStyle name="Normal 2 3 3 2 2 2 4 3 7" xfId="22052"/>
    <cellStyle name="Normal 2 3 3 2 2 2 4 3 7 2" xfId="22053"/>
    <cellStyle name="Normal 2 3 3 2 2 2 4 3 8" xfId="22054"/>
    <cellStyle name="Normal 2 3 3 2 2 2 4 3 8 2" xfId="22055"/>
    <cellStyle name="Normal 2 3 3 2 2 2 4 3 9" xfId="22056"/>
    <cellStyle name="Normal 2 3 3 2 2 2 4 3 9 2" xfId="22057"/>
    <cellStyle name="Normal 2 3 3 2 2 2 4 4" xfId="22058"/>
    <cellStyle name="Normal 2 3 3 2 2 2 4 4 2" xfId="22059"/>
    <cellStyle name="Normal 2 3 3 2 2 2 4 5" xfId="22060"/>
    <cellStyle name="Normal 2 3 3 2 2 2 4 5 2" xfId="22061"/>
    <cellStyle name="Normal 2 3 3 2 2 2 4 6" xfId="22062"/>
    <cellStyle name="Normal 2 3 3 2 2 2 4 6 2" xfId="22063"/>
    <cellStyle name="Normal 2 3 3 2 2 2 4 7" xfId="22064"/>
    <cellStyle name="Normal 2 3 3 2 2 2 4 7 2" xfId="22065"/>
    <cellStyle name="Normal 2 3 3 2 2 2 4 8" xfId="22066"/>
    <cellStyle name="Normal 2 3 3 2 2 2 4 8 2" xfId="22067"/>
    <cellStyle name="Normal 2 3 3 2 2 2 4 9" xfId="22068"/>
    <cellStyle name="Normal 2 3 3 2 2 2 4 9 2" xfId="22069"/>
    <cellStyle name="Normal 2 3 3 2 2 2 5" xfId="22070"/>
    <cellStyle name="Normal 2 3 3 2 2 2 5 10" xfId="22071"/>
    <cellStyle name="Normal 2 3 3 2 2 2 5 10 2" xfId="22072"/>
    <cellStyle name="Normal 2 3 3 2 2 2 5 11" xfId="22073"/>
    <cellStyle name="Normal 2 3 3 2 2 2 5 11 2" xfId="22074"/>
    <cellStyle name="Normal 2 3 3 2 2 2 5 12" xfId="22075"/>
    <cellStyle name="Normal 2 3 3 2 2 2 5 12 2" xfId="22076"/>
    <cellStyle name="Normal 2 3 3 2 2 2 5 13" xfId="22077"/>
    <cellStyle name="Normal 2 3 3 2 2 2 5 2" xfId="22078"/>
    <cellStyle name="Normal 2 3 3 2 2 2 5 2 10" xfId="22079"/>
    <cellStyle name="Normal 2 3 3 2 2 2 5 2 10 2" xfId="22080"/>
    <cellStyle name="Normal 2 3 3 2 2 2 5 2 11" xfId="22081"/>
    <cellStyle name="Normal 2 3 3 2 2 2 5 2 11 2" xfId="22082"/>
    <cellStyle name="Normal 2 3 3 2 2 2 5 2 12" xfId="22083"/>
    <cellStyle name="Normal 2 3 3 2 2 2 5 2 2" xfId="22084"/>
    <cellStyle name="Normal 2 3 3 2 2 2 5 2 2 10" xfId="22085"/>
    <cellStyle name="Normal 2 3 3 2 2 2 5 2 2 10 2" xfId="22086"/>
    <cellStyle name="Normal 2 3 3 2 2 2 5 2 2 11" xfId="22087"/>
    <cellStyle name="Normal 2 3 3 2 2 2 5 2 2 2" xfId="22088"/>
    <cellStyle name="Normal 2 3 3 2 2 2 5 2 2 2 2" xfId="22089"/>
    <cellStyle name="Normal 2 3 3 2 2 2 5 2 2 3" xfId="22090"/>
    <cellStyle name="Normal 2 3 3 2 2 2 5 2 2 3 2" xfId="22091"/>
    <cellStyle name="Normal 2 3 3 2 2 2 5 2 2 4" xfId="22092"/>
    <cellStyle name="Normal 2 3 3 2 2 2 5 2 2 4 2" xfId="22093"/>
    <cellStyle name="Normal 2 3 3 2 2 2 5 2 2 5" xfId="22094"/>
    <cellStyle name="Normal 2 3 3 2 2 2 5 2 2 5 2" xfId="22095"/>
    <cellStyle name="Normal 2 3 3 2 2 2 5 2 2 6" xfId="22096"/>
    <cellStyle name="Normal 2 3 3 2 2 2 5 2 2 6 2" xfId="22097"/>
    <cellStyle name="Normal 2 3 3 2 2 2 5 2 2 7" xfId="22098"/>
    <cellStyle name="Normal 2 3 3 2 2 2 5 2 2 7 2" xfId="22099"/>
    <cellStyle name="Normal 2 3 3 2 2 2 5 2 2 8" xfId="22100"/>
    <cellStyle name="Normal 2 3 3 2 2 2 5 2 2 8 2" xfId="22101"/>
    <cellStyle name="Normal 2 3 3 2 2 2 5 2 2 9" xfId="22102"/>
    <cellStyle name="Normal 2 3 3 2 2 2 5 2 2 9 2" xfId="22103"/>
    <cellStyle name="Normal 2 3 3 2 2 2 5 2 3" xfId="22104"/>
    <cellStyle name="Normal 2 3 3 2 2 2 5 2 3 2" xfId="22105"/>
    <cellStyle name="Normal 2 3 3 2 2 2 5 2 4" xfId="22106"/>
    <cellStyle name="Normal 2 3 3 2 2 2 5 2 4 2" xfId="22107"/>
    <cellStyle name="Normal 2 3 3 2 2 2 5 2 5" xfId="22108"/>
    <cellStyle name="Normal 2 3 3 2 2 2 5 2 5 2" xfId="22109"/>
    <cellStyle name="Normal 2 3 3 2 2 2 5 2 6" xfId="22110"/>
    <cellStyle name="Normal 2 3 3 2 2 2 5 2 6 2" xfId="22111"/>
    <cellStyle name="Normal 2 3 3 2 2 2 5 2 7" xfId="22112"/>
    <cellStyle name="Normal 2 3 3 2 2 2 5 2 7 2" xfId="22113"/>
    <cellStyle name="Normal 2 3 3 2 2 2 5 2 8" xfId="22114"/>
    <cellStyle name="Normal 2 3 3 2 2 2 5 2 8 2" xfId="22115"/>
    <cellStyle name="Normal 2 3 3 2 2 2 5 2 9" xfId="22116"/>
    <cellStyle name="Normal 2 3 3 2 2 2 5 2 9 2" xfId="22117"/>
    <cellStyle name="Normal 2 3 3 2 2 2 5 3" xfId="22118"/>
    <cellStyle name="Normal 2 3 3 2 2 2 5 3 10" xfId="22119"/>
    <cellStyle name="Normal 2 3 3 2 2 2 5 3 10 2" xfId="22120"/>
    <cellStyle name="Normal 2 3 3 2 2 2 5 3 11" xfId="22121"/>
    <cellStyle name="Normal 2 3 3 2 2 2 5 3 2" xfId="22122"/>
    <cellStyle name="Normal 2 3 3 2 2 2 5 3 2 2" xfId="22123"/>
    <cellStyle name="Normal 2 3 3 2 2 2 5 3 3" xfId="22124"/>
    <cellStyle name="Normal 2 3 3 2 2 2 5 3 3 2" xfId="22125"/>
    <cellStyle name="Normal 2 3 3 2 2 2 5 3 4" xfId="22126"/>
    <cellStyle name="Normal 2 3 3 2 2 2 5 3 4 2" xfId="22127"/>
    <cellStyle name="Normal 2 3 3 2 2 2 5 3 5" xfId="22128"/>
    <cellStyle name="Normal 2 3 3 2 2 2 5 3 5 2" xfId="22129"/>
    <cellStyle name="Normal 2 3 3 2 2 2 5 3 6" xfId="22130"/>
    <cellStyle name="Normal 2 3 3 2 2 2 5 3 6 2" xfId="22131"/>
    <cellStyle name="Normal 2 3 3 2 2 2 5 3 7" xfId="22132"/>
    <cellStyle name="Normal 2 3 3 2 2 2 5 3 7 2" xfId="22133"/>
    <cellStyle name="Normal 2 3 3 2 2 2 5 3 8" xfId="22134"/>
    <cellStyle name="Normal 2 3 3 2 2 2 5 3 8 2" xfId="22135"/>
    <cellStyle name="Normal 2 3 3 2 2 2 5 3 9" xfId="22136"/>
    <cellStyle name="Normal 2 3 3 2 2 2 5 3 9 2" xfId="22137"/>
    <cellStyle name="Normal 2 3 3 2 2 2 5 4" xfId="22138"/>
    <cellStyle name="Normal 2 3 3 2 2 2 5 4 2" xfId="22139"/>
    <cellStyle name="Normal 2 3 3 2 2 2 5 5" xfId="22140"/>
    <cellStyle name="Normal 2 3 3 2 2 2 5 5 2" xfId="22141"/>
    <cellStyle name="Normal 2 3 3 2 2 2 5 6" xfId="22142"/>
    <cellStyle name="Normal 2 3 3 2 2 2 5 6 2" xfId="22143"/>
    <cellStyle name="Normal 2 3 3 2 2 2 5 7" xfId="22144"/>
    <cellStyle name="Normal 2 3 3 2 2 2 5 7 2" xfId="22145"/>
    <cellStyle name="Normal 2 3 3 2 2 2 5 8" xfId="22146"/>
    <cellStyle name="Normal 2 3 3 2 2 2 5 8 2" xfId="22147"/>
    <cellStyle name="Normal 2 3 3 2 2 2 5 9" xfId="22148"/>
    <cellStyle name="Normal 2 3 3 2 2 2 5 9 2" xfId="22149"/>
    <cellStyle name="Normal 2 3 3 2 2 3" xfId="22150"/>
    <cellStyle name="Normal 2 3 3 2 2 4" xfId="22151"/>
    <cellStyle name="Normal 2 3 3 2 2 5" xfId="22152"/>
    <cellStyle name="Normal 2 3 3 2 2 6" xfId="22153"/>
    <cellStyle name="Normal 2 3 3 2 2 7" xfId="22154"/>
    <cellStyle name="Normal 2 3 3 2 2 7 10" xfId="22155"/>
    <cellStyle name="Normal 2 3 3 2 2 7 10 2" xfId="22156"/>
    <cellStyle name="Normal 2 3 3 2 2 7 11" xfId="22157"/>
    <cellStyle name="Normal 2 3 3 2 2 7 11 2" xfId="22158"/>
    <cellStyle name="Normal 2 3 3 2 2 7 12" xfId="22159"/>
    <cellStyle name="Normal 2 3 3 2 2 7 2" xfId="22160"/>
    <cellStyle name="Normal 2 3 3 2 2 7 2 10" xfId="22161"/>
    <cellStyle name="Normal 2 3 3 2 2 7 2 10 2" xfId="22162"/>
    <cellStyle name="Normal 2 3 3 2 2 7 2 11" xfId="22163"/>
    <cellStyle name="Normal 2 3 3 2 2 7 2 2" xfId="22164"/>
    <cellStyle name="Normal 2 3 3 2 2 7 2 2 2" xfId="22165"/>
    <cellStyle name="Normal 2 3 3 2 2 7 2 3" xfId="22166"/>
    <cellStyle name="Normal 2 3 3 2 2 7 2 3 2" xfId="22167"/>
    <cellStyle name="Normal 2 3 3 2 2 7 2 4" xfId="22168"/>
    <cellStyle name="Normal 2 3 3 2 2 7 2 4 2" xfId="22169"/>
    <cellStyle name="Normal 2 3 3 2 2 7 2 5" xfId="22170"/>
    <cellStyle name="Normal 2 3 3 2 2 7 2 5 2" xfId="22171"/>
    <cellStyle name="Normal 2 3 3 2 2 7 2 6" xfId="22172"/>
    <cellStyle name="Normal 2 3 3 2 2 7 2 6 2" xfId="22173"/>
    <cellStyle name="Normal 2 3 3 2 2 7 2 7" xfId="22174"/>
    <cellStyle name="Normal 2 3 3 2 2 7 2 7 2" xfId="22175"/>
    <cellStyle name="Normal 2 3 3 2 2 7 2 8" xfId="22176"/>
    <cellStyle name="Normal 2 3 3 2 2 7 2 8 2" xfId="22177"/>
    <cellStyle name="Normal 2 3 3 2 2 7 2 9" xfId="22178"/>
    <cellStyle name="Normal 2 3 3 2 2 7 2 9 2" xfId="22179"/>
    <cellStyle name="Normal 2 3 3 2 2 7 3" xfId="22180"/>
    <cellStyle name="Normal 2 3 3 2 2 7 3 2" xfId="22181"/>
    <cellStyle name="Normal 2 3 3 2 2 7 4" xfId="22182"/>
    <cellStyle name="Normal 2 3 3 2 2 7 4 2" xfId="22183"/>
    <cellStyle name="Normal 2 3 3 2 2 7 5" xfId="22184"/>
    <cellStyle name="Normal 2 3 3 2 2 7 5 2" xfId="22185"/>
    <cellStyle name="Normal 2 3 3 2 2 7 6" xfId="22186"/>
    <cellStyle name="Normal 2 3 3 2 2 7 6 2" xfId="22187"/>
    <cellStyle name="Normal 2 3 3 2 2 7 7" xfId="22188"/>
    <cellStyle name="Normal 2 3 3 2 2 7 7 2" xfId="22189"/>
    <cellStyle name="Normal 2 3 3 2 2 7 8" xfId="22190"/>
    <cellStyle name="Normal 2 3 3 2 2 7 8 2" xfId="22191"/>
    <cellStyle name="Normal 2 3 3 2 2 7 9" xfId="22192"/>
    <cellStyle name="Normal 2 3 3 2 2 7 9 2" xfId="22193"/>
    <cellStyle name="Normal 2 3 3 2 2 8" xfId="22194"/>
    <cellStyle name="Normal 2 3 3 2 2 8 10" xfId="22195"/>
    <cellStyle name="Normal 2 3 3 2 2 8 10 2" xfId="22196"/>
    <cellStyle name="Normal 2 3 3 2 2 8 11" xfId="22197"/>
    <cellStyle name="Normal 2 3 3 2 2 8 2" xfId="22198"/>
    <cellStyle name="Normal 2 3 3 2 2 8 2 2" xfId="22199"/>
    <cellStyle name="Normal 2 3 3 2 2 8 3" xfId="22200"/>
    <cellStyle name="Normal 2 3 3 2 2 8 3 2" xfId="22201"/>
    <cellStyle name="Normal 2 3 3 2 2 8 4" xfId="22202"/>
    <cellStyle name="Normal 2 3 3 2 2 8 4 2" xfId="22203"/>
    <cellStyle name="Normal 2 3 3 2 2 8 5" xfId="22204"/>
    <cellStyle name="Normal 2 3 3 2 2 8 5 2" xfId="22205"/>
    <cellStyle name="Normal 2 3 3 2 2 8 6" xfId="22206"/>
    <cellStyle name="Normal 2 3 3 2 2 8 6 2" xfId="22207"/>
    <cellStyle name="Normal 2 3 3 2 2 8 7" xfId="22208"/>
    <cellStyle name="Normal 2 3 3 2 2 8 7 2" xfId="22209"/>
    <cellStyle name="Normal 2 3 3 2 2 8 8" xfId="22210"/>
    <cellStyle name="Normal 2 3 3 2 2 8 8 2" xfId="22211"/>
    <cellStyle name="Normal 2 3 3 2 2 8 9" xfId="22212"/>
    <cellStyle name="Normal 2 3 3 2 2 8 9 2" xfId="22213"/>
    <cellStyle name="Normal 2 3 3 2 2 9" xfId="22214"/>
    <cellStyle name="Normal 2 3 3 2 2 9 2" xfId="22215"/>
    <cellStyle name="Normal 2 3 3 2 3" xfId="22216"/>
    <cellStyle name="Normal 2 3 3 2 4" xfId="22217"/>
    <cellStyle name="Normal 2 3 3 2 5" xfId="22218"/>
    <cellStyle name="Normal 2 3 3 2 6" xfId="22219"/>
    <cellStyle name="Normal 2 3 3 2 6 10" xfId="22220"/>
    <cellStyle name="Normal 2 3 3 2 6 10 2" xfId="22221"/>
    <cellStyle name="Normal 2 3 3 2 6 11" xfId="22222"/>
    <cellStyle name="Normal 2 3 3 2 6 11 2" xfId="22223"/>
    <cellStyle name="Normal 2 3 3 2 6 12" xfId="22224"/>
    <cellStyle name="Normal 2 3 3 2 6 12 2" xfId="22225"/>
    <cellStyle name="Normal 2 3 3 2 6 13" xfId="22226"/>
    <cellStyle name="Normal 2 3 3 2 6 13 2" xfId="22227"/>
    <cellStyle name="Normal 2 3 3 2 6 14" xfId="22228"/>
    <cellStyle name="Normal 2 3 3 2 6 14 2" xfId="22229"/>
    <cellStyle name="Normal 2 3 3 2 6 15" xfId="22230"/>
    <cellStyle name="Normal 2 3 3 2 6 15 2" xfId="22231"/>
    <cellStyle name="Normal 2 3 3 2 6 16" xfId="22232"/>
    <cellStyle name="Normal 2 3 3 2 6 16 2" xfId="22233"/>
    <cellStyle name="Normal 2 3 3 2 6 17" xfId="22234"/>
    <cellStyle name="Normal 2 3 3 2 6 2" xfId="22235"/>
    <cellStyle name="Normal 2 3 3 2 6 3" xfId="22236"/>
    <cellStyle name="Normal 2 3 3 2 6 4" xfId="22237"/>
    <cellStyle name="Normal 2 3 3 2 6 5" xfId="22238"/>
    <cellStyle name="Normal 2 3 3 2 6 6" xfId="22239"/>
    <cellStyle name="Normal 2 3 3 2 6 6 10" xfId="22240"/>
    <cellStyle name="Normal 2 3 3 2 6 6 10 2" xfId="22241"/>
    <cellStyle name="Normal 2 3 3 2 6 6 11" xfId="22242"/>
    <cellStyle name="Normal 2 3 3 2 6 6 11 2" xfId="22243"/>
    <cellStyle name="Normal 2 3 3 2 6 6 12" xfId="22244"/>
    <cellStyle name="Normal 2 3 3 2 6 6 2" xfId="22245"/>
    <cellStyle name="Normal 2 3 3 2 6 6 2 10" xfId="22246"/>
    <cellStyle name="Normal 2 3 3 2 6 6 2 10 2" xfId="22247"/>
    <cellStyle name="Normal 2 3 3 2 6 6 2 11" xfId="22248"/>
    <cellStyle name="Normal 2 3 3 2 6 6 2 2" xfId="22249"/>
    <cellStyle name="Normal 2 3 3 2 6 6 2 2 2" xfId="22250"/>
    <cellStyle name="Normal 2 3 3 2 6 6 2 3" xfId="22251"/>
    <cellStyle name="Normal 2 3 3 2 6 6 2 3 2" xfId="22252"/>
    <cellStyle name="Normal 2 3 3 2 6 6 2 4" xfId="22253"/>
    <cellStyle name="Normal 2 3 3 2 6 6 2 4 2" xfId="22254"/>
    <cellStyle name="Normal 2 3 3 2 6 6 2 5" xfId="22255"/>
    <cellStyle name="Normal 2 3 3 2 6 6 2 5 2" xfId="22256"/>
    <cellStyle name="Normal 2 3 3 2 6 6 2 6" xfId="22257"/>
    <cellStyle name="Normal 2 3 3 2 6 6 2 6 2" xfId="22258"/>
    <cellStyle name="Normal 2 3 3 2 6 6 2 7" xfId="22259"/>
    <cellStyle name="Normal 2 3 3 2 6 6 2 7 2" xfId="22260"/>
    <cellStyle name="Normal 2 3 3 2 6 6 2 8" xfId="22261"/>
    <cellStyle name="Normal 2 3 3 2 6 6 2 8 2" xfId="22262"/>
    <cellStyle name="Normal 2 3 3 2 6 6 2 9" xfId="22263"/>
    <cellStyle name="Normal 2 3 3 2 6 6 2 9 2" xfId="22264"/>
    <cellStyle name="Normal 2 3 3 2 6 6 3" xfId="22265"/>
    <cellStyle name="Normal 2 3 3 2 6 6 3 2" xfId="22266"/>
    <cellStyle name="Normal 2 3 3 2 6 6 4" xfId="22267"/>
    <cellStyle name="Normal 2 3 3 2 6 6 4 2" xfId="22268"/>
    <cellStyle name="Normal 2 3 3 2 6 6 5" xfId="22269"/>
    <cellStyle name="Normal 2 3 3 2 6 6 5 2" xfId="22270"/>
    <cellStyle name="Normal 2 3 3 2 6 6 6" xfId="22271"/>
    <cellStyle name="Normal 2 3 3 2 6 6 6 2" xfId="22272"/>
    <cellStyle name="Normal 2 3 3 2 6 6 7" xfId="22273"/>
    <cellStyle name="Normal 2 3 3 2 6 6 7 2" xfId="22274"/>
    <cellStyle name="Normal 2 3 3 2 6 6 8" xfId="22275"/>
    <cellStyle name="Normal 2 3 3 2 6 6 8 2" xfId="22276"/>
    <cellStyle name="Normal 2 3 3 2 6 6 9" xfId="22277"/>
    <cellStyle name="Normal 2 3 3 2 6 6 9 2" xfId="22278"/>
    <cellStyle name="Normal 2 3 3 2 6 7" xfId="22279"/>
    <cellStyle name="Normal 2 3 3 2 6 7 10" xfId="22280"/>
    <cellStyle name="Normal 2 3 3 2 6 7 10 2" xfId="22281"/>
    <cellStyle name="Normal 2 3 3 2 6 7 11" xfId="22282"/>
    <cellStyle name="Normal 2 3 3 2 6 7 2" xfId="22283"/>
    <cellStyle name="Normal 2 3 3 2 6 7 2 2" xfId="22284"/>
    <cellStyle name="Normal 2 3 3 2 6 7 3" xfId="22285"/>
    <cellStyle name="Normal 2 3 3 2 6 7 3 2" xfId="22286"/>
    <cellStyle name="Normal 2 3 3 2 6 7 4" xfId="22287"/>
    <cellStyle name="Normal 2 3 3 2 6 7 4 2" xfId="22288"/>
    <cellStyle name="Normal 2 3 3 2 6 7 5" xfId="22289"/>
    <cellStyle name="Normal 2 3 3 2 6 7 5 2" xfId="22290"/>
    <cellStyle name="Normal 2 3 3 2 6 7 6" xfId="22291"/>
    <cellStyle name="Normal 2 3 3 2 6 7 6 2" xfId="22292"/>
    <cellStyle name="Normal 2 3 3 2 6 7 7" xfId="22293"/>
    <cellStyle name="Normal 2 3 3 2 6 7 7 2" xfId="22294"/>
    <cellStyle name="Normal 2 3 3 2 6 7 8" xfId="22295"/>
    <cellStyle name="Normal 2 3 3 2 6 7 8 2" xfId="22296"/>
    <cellStyle name="Normal 2 3 3 2 6 7 9" xfId="22297"/>
    <cellStyle name="Normal 2 3 3 2 6 7 9 2" xfId="22298"/>
    <cellStyle name="Normal 2 3 3 2 6 8" xfId="22299"/>
    <cellStyle name="Normal 2 3 3 2 6 8 2" xfId="22300"/>
    <cellStyle name="Normal 2 3 3 2 6 9" xfId="22301"/>
    <cellStyle name="Normal 2 3 3 2 6 9 2" xfId="22302"/>
    <cellStyle name="Normal 2 3 3 2 7" xfId="22303"/>
    <cellStyle name="Normal 2 3 3 2 7 10" xfId="22304"/>
    <cellStyle name="Normal 2 3 3 2 7 10 2" xfId="22305"/>
    <cellStyle name="Normal 2 3 3 2 7 11" xfId="22306"/>
    <cellStyle name="Normal 2 3 3 2 7 11 2" xfId="22307"/>
    <cellStyle name="Normal 2 3 3 2 7 12" xfId="22308"/>
    <cellStyle name="Normal 2 3 3 2 7 12 2" xfId="22309"/>
    <cellStyle name="Normal 2 3 3 2 7 13" xfId="22310"/>
    <cellStyle name="Normal 2 3 3 2 7 2" xfId="22311"/>
    <cellStyle name="Normal 2 3 3 2 7 2 10" xfId="22312"/>
    <cellStyle name="Normal 2 3 3 2 7 2 10 2" xfId="22313"/>
    <cellStyle name="Normal 2 3 3 2 7 2 11" xfId="22314"/>
    <cellStyle name="Normal 2 3 3 2 7 2 11 2" xfId="22315"/>
    <cellStyle name="Normal 2 3 3 2 7 2 12" xfId="22316"/>
    <cellStyle name="Normal 2 3 3 2 7 2 2" xfId="22317"/>
    <cellStyle name="Normal 2 3 3 2 7 2 2 10" xfId="22318"/>
    <cellStyle name="Normal 2 3 3 2 7 2 2 10 2" xfId="22319"/>
    <cellStyle name="Normal 2 3 3 2 7 2 2 11" xfId="22320"/>
    <cellStyle name="Normal 2 3 3 2 7 2 2 2" xfId="22321"/>
    <cellStyle name="Normal 2 3 3 2 7 2 2 2 2" xfId="22322"/>
    <cellStyle name="Normal 2 3 3 2 7 2 2 3" xfId="22323"/>
    <cellStyle name="Normal 2 3 3 2 7 2 2 3 2" xfId="22324"/>
    <cellStyle name="Normal 2 3 3 2 7 2 2 4" xfId="22325"/>
    <cellStyle name="Normal 2 3 3 2 7 2 2 4 2" xfId="22326"/>
    <cellStyle name="Normal 2 3 3 2 7 2 2 5" xfId="22327"/>
    <cellStyle name="Normal 2 3 3 2 7 2 2 5 2" xfId="22328"/>
    <cellStyle name="Normal 2 3 3 2 7 2 2 6" xfId="22329"/>
    <cellStyle name="Normal 2 3 3 2 7 2 2 6 2" xfId="22330"/>
    <cellStyle name="Normal 2 3 3 2 7 2 2 7" xfId="22331"/>
    <cellStyle name="Normal 2 3 3 2 7 2 2 7 2" xfId="22332"/>
    <cellStyle name="Normal 2 3 3 2 7 2 2 8" xfId="22333"/>
    <cellStyle name="Normal 2 3 3 2 7 2 2 8 2" xfId="22334"/>
    <cellStyle name="Normal 2 3 3 2 7 2 2 9" xfId="22335"/>
    <cellStyle name="Normal 2 3 3 2 7 2 2 9 2" xfId="22336"/>
    <cellStyle name="Normal 2 3 3 2 7 2 3" xfId="22337"/>
    <cellStyle name="Normal 2 3 3 2 7 2 3 2" xfId="22338"/>
    <cellStyle name="Normal 2 3 3 2 7 2 4" xfId="22339"/>
    <cellStyle name="Normal 2 3 3 2 7 2 4 2" xfId="22340"/>
    <cellStyle name="Normal 2 3 3 2 7 2 5" xfId="22341"/>
    <cellStyle name="Normal 2 3 3 2 7 2 5 2" xfId="22342"/>
    <cellStyle name="Normal 2 3 3 2 7 2 6" xfId="22343"/>
    <cellStyle name="Normal 2 3 3 2 7 2 6 2" xfId="22344"/>
    <cellStyle name="Normal 2 3 3 2 7 2 7" xfId="22345"/>
    <cellStyle name="Normal 2 3 3 2 7 2 7 2" xfId="22346"/>
    <cellStyle name="Normal 2 3 3 2 7 2 8" xfId="22347"/>
    <cellStyle name="Normal 2 3 3 2 7 2 8 2" xfId="22348"/>
    <cellStyle name="Normal 2 3 3 2 7 2 9" xfId="22349"/>
    <cellStyle name="Normal 2 3 3 2 7 2 9 2" xfId="22350"/>
    <cellStyle name="Normal 2 3 3 2 7 3" xfId="22351"/>
    <cellStyle name="Normal 2 3 3 2 7 3 10" xfId="22352"/>
    <cellStyle name="Normal 2 3 3 2 7 3 10 2" xfId="22353"/>
    <cellStyle name="Normal 2 3 3 2 7 3 11" xfId="22354"/>
    <cellStyle name="Normal 2 3 3 2 7 3 2" xfId="22355"/>
    <cellStyle name="Normal 2 3 3 2 7 3 2 2" xfId="22356"/>
    <cellStyle name="Normal 2 3 3 2 7 3 3" xfId="22357"/>
    <cellStyle name="Normal 2 3 3 2 7 3 3 2" xfId="22358"/>
    <cellStyle name="Normal 2 3 3 2 7 3 4" xfId="22359"/>
    <cellStyle name="Normal 2 3 3 2 7 3 4 2" xfId="22360"/>
    <cellStyle name="Normal 2 3 3 2 7 3 5" xfId="22361"/>
    <cellStyle name="Normal 2 3 3 2 7 3 5 2" xfId="22362"/>
    <cellStyle name="Normal 2 3 3 2 7 3 6" xfId="22363"/>
    <cellStyle name="Normal 2 3 3 2 7 3 6 2" xfId="22364"/>
    <cellStyle name="Normal 2 3 3 2 7 3 7" xfId="22365"/>
    <cellStyle name="Normal 2 3 3 2 7 3 7 2" xfId="22366"/>
    <cellStyle name="Normal 2 3 3 2 7 3 8" xfId="22367"/>
    <cellStyle name="Normal 2 3 3 2 7 3 8 2" xfId="22368"/>
    <cellStyle name="Normal 2 3 3 2 7 3 9" xfId="22369"/>
    <cellStyle name="Normal 2 3 3 2 7 3 9 2" xfId="22370"/>
    <cellStyle name="Normal 2 3 3 2 7 4" xfId="22371"/>
    <cellStyle name="Normal 2 3 3 2 7 4 2" xfId="22372"/>
    <cellStyle name="Normal 2 3 3 2 7 5" xfId="22373"/>
    <cellStyle name="Normal 2 3 3 2 7 5 2" xfId="22374"/>
    <cellStyle name="Normal 2 3 3 2 7 6" xfId="22375"/>
    <cellStyle name="Normal 2 3 3 2 7 6 2" xfId="22376"/>
    <cellStyle name="Normal 2 3 3 2 7 7" xfId="22377"/>
    <cellStyle name="Normal 2 3 3 2 7 7 2" xfId="22378"/>
    <cellStyle name="Normal 2 3 3 2 7 8" xfId="22379"/>
    <cellStyle name="Normal 2 3 3 2 7 8 2" xfId="22380"/>
    <cellStyle name="Normal 2 3 3 2 7 9" xfId="22381"/>
    <cellStyle name="Normal 2 3 3 2 7 9 2" xfId="22382"/>
    <cellStyle name="Normal 2 3 3 2 8" xfId="22383"/>
    <cellStyle name="Normal 2 3 3 2 8 10" xfId="22384"/>
    <cellStyle name="Normal 2 3 3 2 8 10 2" xfId="22385"/>
    <cellStyle name="Normal 2 3 3 2 8 11" xfId="22386"/>
    <cellStyle name="Normal 2 3 3 2 8 11 2" xfId="22387"/>
    <cellStyle name="Normal 2 3 3 2 8 12" xfId="22388"/>
    <cellStyle name="Normal 2 3 3 2 8 12 2" xfId="22389"/>
    <cellStyle name="Normal 2 3 3 2 8 13" xfId="22390"/>
    <cellStyle name="Normal 2 3 3 2 8 2" xfId="22391"/>
    <cellStyle name="Normal 2 3 3 2 8 2 10" xfId="22392"/>
    <cellStyle name="Normal 2 3 3 2 8 2 10 2" xfId="22393"/>
    <cellStyle name="Normal 2 3 3 2 8 2 11" xfId="22394"/>
    <cellStyle name="Normal 2 3 3 2 8 2 11 2" xfId="22395"/>
    <cellStyle name="Normal 2 3 3 2 8 2 12" xfId="22396"/>
    <cellStyle name="Normal 2 3 3 2 8 2 2" xfId="22397"/>
    <cellStyle name="Normal 2 3 3 2 8 2 2 10" xfId="22398"/>
    <cellStyle name="Normal 2 3 3 2 8 2 2 10 2" xfId="22399"/>
    <cellStyle name="Normal 2 3 3 2 8 2 2 11" xfId="22400"/>
    <cellStyle name="Normal 2 3 3 2 8 2 2 2" xfId="22401"/>
    <cellStyle name="Normal 2 3 3 2 8 2 2 2 2" xfId="22402"/>
    <cellStyle name="Normal 2 3 3 2 8 2 2 3" xfId="22403"/>
    <cellStyle name="Normal 2 3 3 2 8 2 2 3 2" xfId="22404"/>
    <cellStyle name="Normal 2 3 3 2 8 2 2 4" xfId="22405"/>
    <cellStyle name="Normal 2 3 3 2 8 2 2 4 2" xfId="22406"/>
    <cellStyle name="Normal 2 3 3 2 8 2 2 5" xfId="22407"/>
    <cellStyle name="Normal 2 3 3 2 8 2 2 5 2" xfId="22408"/>
    <cellStyle name="Normal 2 3 3 2 8 2 2 6" xfId="22409"/>
    <cellStyle name="Normal 2 3 3 2 8 2 2 6 2" xfId="22410"/>
    <cellStyle name="Normal 2 3 3 2 8 2 2 7" xfId="22411"/>
    <cellStyle name="Normal 2 3 3 2 8 2 2 7 2" xfId="22412"/>
    <cellStyle name="Normal 2 3 3 2 8 2 2 8" xfId="22413"/>
    <cellStyle name="Normal 2 3 3 2 8 2 2 8 2" xfId="22414"/>
    <cellStyle name="Normal 2 3 3 2 8 2 2 9" xfId="22415"/>
    <cellStyle name="Normal 2 3 3 2 8 2 2 9 2" xfId="22416"/>
    <cellStyle name="Normal 2 3 3 2 8 2 3" xfId="22417"/>
    <cellStyle name="Normal 2 3 3 2 8 2 3 2" xfId="22418"/>
    <cellStyle name="Normal 2 3 3 2 8 2 4" xfId="22419"/>
    <cellStyle name="Normal 2 3 3 2 8 2 4 2" xfId="22420"/>
    <cellStyle name="Normal 2 3 3 2 8 2 5" xfId="22421"/>
    <cellStyle name="Normal 2 3 3 2 8 2 5 2" xfId="22422"/>
    <cellStyle name="Normal 2 3 3 2 8 2 6" xfId="22423"/>
    <cellStyle name="Normal 2 3 3 2 8 2 6 2" xfId="22424"/>
    <cellStyle name="Normal 2 3 3 2 8 2 7" xfId="22425"/>
    <cellStyle name="Normal 2 3 3 2 8 2 7 2" xfId="22426"/>
    <cellStyle name="Normal 2 3 3 2 8 2 8" xfId="22427"/>
    <cellStyle name="Normal 2 3 3 2 8 2 8 2" xfId="22428"/>
    <cellStyle name="Normal 2 3 3 2 8 2 9" xfId="22429"/>
    <cellStyle name="Normal 2 3 3 2 8 2 9 2" xfId="22430"/>
    <cellStyle name="Normal 2 3 3 2 8 3" xfId="22431"/>
    <cellStyle name="Normal 2 3 3 2 8 3 10" xfId="22432"/>
    <cellStyle name="Normal 2 3 3 2 8 3 10 2" xfId="22433"/>
    <cellStyle name="Normal 2 3 3 2 8 3 11" xfId="22434"/>
    <cellStyle name="Normal 2 3 3 2 8 3 2" xfId="22435"/>
    <cellStyle name="Normal 2 3 3 2 8 3 2 2" xfId="22436"/>
    <cellStyle name="Normal 2 3 3 2 8 3 3" xfId="22437"/>
    <cellStyle name="Normal 2 3 3 2 8 3 3 2" xfId="22438"/>
    <cellStyle name="Normal 2 3 3 2 8 3 4" xfId="22439"/>
    <cellStyle name="Normal 2 3 3 2 8 3 4 2" xfId="22440"/>
    <cellStyle name="Normal 2 3 3 2 8 3 5" xfId="22441"/>
    <cellStyle name="Normal 2 3 3 2 8 3 5 2" xfId="22442"/>
    <cellStyle name="Normal 2 3 3 2 8 3 6" xfId="22443"/>
    <cellStyle name="Normal 2 3 3 2 8 3 6 2" xfId="22444"/>
    <cellStyle name="Normal 2 3 3 2 8 3 7" xfId="22445"/>
    <cellStyle name="Normal 2 3 3 2 8 3 7 2" xfId="22446"/>
    <cellStyle name="Normal 2 3 3 2 8 3 8" xfId="22447"/>
    <cellStyle name="Normal 2 3 3 2 8 3 8 2" xfId="22448"/>
    <cellStyle name="Normal 2 3 3 2 8 3 9" xfId="22449"/>
    <cellStyle name="Normal 2 3 3 2 8 3 9 2" xfId="22450"/>
    <cellStyle name="Normal 2 3 3 2 8 4" xfId="22451"/>
    <cellStyle name="Normal 2 3 3 2 8 4 2" xfId="22452"/>
    <cellStyle name="Normal 2 3 3 2 8 5" xfId="22453"/>
    <cellStyle name="Normal 2 3 3 2 8 5 2" xfId="22454"/>
    <cellStyle name="Normal 2 3 3 2 8 6" xfId="22455"/>
    <cellStyle name="Normal 2 3 3 2 8 6 2" xfId="22456"/>
    <cellStyle name="Normal 2 3 3 2 8 7" xfId="22457"/>
    <cellStyle name="Normal 2 3 3 2 8 7 2" xfId="22458"/>
    <cellStyle name="Normal 2 3 3 2 8 8" xfId="22459"/>
    <cellStyle name="Normal 2 3 3 2 8 8 2" xfId="22460"/>
    <cellStyle name="Normal 2 3 3 2 8 9" xfId="22461"/>
    <cellStyle name="Normal 2 3 3 2 8 9 2" xfId="22462"/>
    <cellStyle name="Normal 2 3 3 2 9" xfId="22463"/>
    <cellStyle name="Normal 2 3 3 2 9 10" xfId="22464"/>
    <cellStyle name="Normal 2 3 3 2 9 10 2" xfId="22465"/>
    <cellStyle name="Normal 2 3 3 2 9 11" xfId="22466"/>
    <cellStyle name="Normal 2 3 3 2 9 11 2" xfId="22467"/>
    <cellStyle name="Normal 2 3 3 2 9 12" xfId="22468"/>
    <cellStyle name="Normal 2 3 3 2 9 12 2" xfId="22469"/>
    <cellStyle name="Normal 2 3 3 2 9 13" xfId="22470"/>
    <cellStyle name="Normal 2 3 3 2 9 2" xfId="22471"/>
    <cellStyle name="Normal 2 3 3 2 9 2 10" xfId="22472"/>
    <cellStyle name="Normal 2 3 3 2 9 2 10 2" xfId="22473"/>
    <cellStyle name="Normal 2 3 3 2 9 2 11" xfId="22474"/>
    <cellStyle name="Normal 2 3 3 2 9 2 11 2" xfId="22475"/>
    <cellStyle name="Normal 2 3 3 2 9 2 12" xfId="22476"/>
    <cellStyle name="Normal 2 3 3 2 9 2 2" xfId="22477"/>
    <cellStyle name="Normal 2 3 3 2 9 2 2 10" xfId="22478"/>
    <cellStyle name="Normal 2 3 3 2 9 2 2 10 2" xfId="22479"/>
    <cellStyle name="Normal 2 3 3 2 9 2 2 11" xfId="22480"/>
    <cellStyle name="Normal 2 3 3 2 9 2 2 2" xfId="22481"/>
    <cellStyle name="Normal 2 3 3 2 9 2 2 2 2" xfId="22482"/>
    <cellStyle name="Normal 2 3 3 2 9 2 2 3" xfId="22483"/>
    <cellStyle name="Normal 2 3 3 2 9 2 2 3 2" xfId="22484"/>
    <cellStyle name="Normal 2 3 3 2 9 2 2 4" xfId="22485"/>
    <cellStyle name="Normal 2 3 3 2 9 2 2 4 2" xfId="22486"/>
    <cellStyle name="Normal 2 3 3 2 9 2 2 5" xfId="22487"/>
    <cellStyle name="Normal 2 3 3 2 9 2 2 5 2" xfId="22488"/>
    <cellStyle name="Normal 2 3 3 2 9 2 2 6" xfId="22489"/>
    <cellStyle name="Normal 2 3 3 2 9 2 2 6 2" xfId="22490"/>
    <cellStyle name="Normal 2 3 3 2 9 2 2 7" xfId="22491"/>
    <cellStyle name="Normal 2 3 3 2 9 2 2 7 2" xfId="22492"/>
    <cellStyle name="Normal 2 3 3 2 9 2 2 8" xfId="22493"/>
    <cellStyle name="Normal 2 3 3 2 9 2 2 8 2" xfId="22494"/>
    <cellStyle name="Normal 2 3 3 2 9 2 2 9" xfId="22495"/>
    <cellStyle name="Normal 2 3 3 2 9 2 2 9 2" xfId="22496"/>
    <cellStyle name="Normal 2 3 3 2 9 2 3" xfId="22497"/>
    <cellStyle name="Normal 2 3 3 2 9 2 3 2" xfId="22498"/>
    <cellStyle name="Normal 2 3 3 2 9 2 4" xfId="22499"/>
    <cellStyle name="Normal 2 3 3 2 9 2 4 2" xfId="22500"/>
    <cellStyle name="Normal 2 3 3 2 9 2 5" xfId="22501"/>
    <cellStyle name="Normal 2 3 3 2 9 2 5 2" xfId="22502"/>
    <cellStyle name="Normal 2 3 3 2 9 2 6" xfId="22503"/>
    <cellStyle name="Normal 2 3 3 2 9 2 6 2" xfId="22504"/>
    <cellStyle name="Normal 2 3 3 2 9 2 7" xfId="22505"/>
    <cellStyle name="Normal 2 3 3 2 9 2 7 2" xfId="22506"/>
    <cellStyle name="Normal 2 3 3 2 9 2 8" xfId="22507"/>
    <cellStyle name="Normal 2 3 3 2 9 2 8 2" xfId="22508"/>
    <cellStyle name="Normal 2 3 3 2 9 2 9" xfId="22509"/>
    <cellStyle name="Normal 2 3 3 2 9 2 9 2" xfId="22510"/>
    <cellStyle name="Normal 2 3 3 2 9 3" xfId="22511"/>
    <cellStyle name="Normal 2 3 3 2 9 3 10" xfId="22512"/>
    <cellStyle name="Normal 2 3 3 2 9 3 10 2" xfId="22513"/>
    <cellStyle name="Normal 2 3 3 2 9 3 11" xfId="22514"/>
    <cellStyle name="Normal 2 3 3 2 9 3 2" xfId="22515"/>
    <cellStyle name="Normal 2 3 3 2 9 3 2 2" xfId="22516"/>
    <cellStyle name="Normal 2 3 3 2 9 3 3" xfId="22517"/>
    <cellStyle name="Normal 2 3 3 2 9 3 3 2" xfId="22518"/>
    <cellStyle name="Normal 2 3 3 2 9 3 4" xfId="22519"/>
    <cellStyle name="Normal 2 3 3 2 9 3 4 2" xfId="22520"/>
    <cellStyle name="Normal 2 3 3 2 9 3 5" xfId="22521"/>
    <cellStyle name="Normal 2 3 3 2 9 3 5 2" xfId="22522"/>
    <cellStyle name="Normal 2 3 3 2 9 3 6" xfId="22523"/>
    <cellStyle name="Normal 2 3 3 2 9 3 6 2" xfId="22524"/>
    <cellStyle name="Normal 2 3 3 2 9 3 7" xfId="22525"/>
    <cellStyle name="Normal 2 3 3 2 9 3 7 2" xfId="22526"/>
    <cellStyle name="Normal 2 3 3 2 9 3 8" xfId="22527"/>
    <cellStyle name="Normal 2 3 3 2 9 3 8 2" xfId="22528"/>
    <cellStyle name="Normal 2 3 3 2 9 3 9" xfId="22529"/>
    <cellStyle name="Normal 2 3 3 2 9 3 9 2" xfId="22530"/>
    <cellStyle name="Normal 2 3 3 2 9 4" xfId="22531"/>
    <cellStyle name="Normal 2 3 3 2 9 4 2" xfId="22532"/>
    <cellStyle name="Normal 2 3 3 2 9 5" xfId="22533"/>
    <cellStyle name="Normal 2 3 3 2 9 5 2" xfId="22534"/>
    <cellStyle name="Normal 2 3 3 2 9 6" xfId="22535"/>
    <cellStyle name="Normal 2 3 3 2 9 6 2" xfId="22536"/>
    <cellStyle name="Normal 2 3 3 2 9 7" xfId="22537"/>
    <cellStyle name="Normal 2 3 3 2 9 7 2" xfId="22538"/>
    <cellStyle name="Normal 2 3 3 2 9 8" xfId="22539"/>
    <cellStyle name="Normal 2 3 3 2 9 8 2" xfId="22540"/>
    <cellStyle name="Normal 2 3 3 2 9 9" xfId="22541"/>
    <cellStyle name="Normal 2 3 3 2 9 9 2" xfId="22542"/>
    <cellStyle name="Normal 2 3 3 3" xfId="22543"/>
    <cellStyle name="Normal 2 3 3 3 2" xfId="22544"/>
    <cellStyle name="Normal 2 3 3 3 2 10" xfId="22545"/>
    <cellStyle name="Normal 2 3 3 3 2 10 2" xfId="22546"/>
    <cellStyle name="Normal 2 3 3 3 2 11" xfId="22547"/>
    <cellStyle name="Normal 2 3 3 3 2 11 2" xfId="22548"/>
    <cellStyle name="Normal 2 3 3 3 2 12" xfId="22549"/>
    <cellStyle name="Normal 2 3 3 3 2 12 2" xfId="22550"/>
    <cellStyle name="Normal 2 3 3 3 2 13" xfId="22551"/>
    <cellStyle name="Normal 2 3 3 3 2 13 2" xfId="22552"/>
    <cellStyle name="Normal 2 3 3 3 2 14" xfId="22553"/>
    <cellStyle name="Normal 2 3 3 3 2 14 2" xfId="22554"/>
    <cellStyle name="Normal 2 3 3 3 2 15" xfId="22555"/>
    <cellStyle name="Normal 2 3 3 3 2 15 2" xfId="22556"/>
    <cellStyle name="Normal 2 3 3 3 2 16" xfId="22557"/>
    <cellStyle name="Normal 2 3 3 3 2 16 2" xfId="22558"/>
    <cellStyle name="Normal 2 3 3 3 2 17" xfId="22559"/>
    <cellStyle name="Normal 2 3 3 3 2 2" xfId="22560"/>
    <cellStyle name="Normal 2 3 3 3 2 2 2" xfId="22561"/>
    <cellStyle name="Normal 2 3 3 3 2 2 2 10" xfId="22562"/>
    <cellStyle name="Normal 2 3 3 3 2 2 2 10 2" xfId="22563"/>
    <cellStyle name="Normal 2 3 3 3 2 2 2 11" xfId="22564"/>
    <cellStyle name="Normal 2 3 3 3 2 2 2 11 2" xfId="22565"/>
    <cellStyle name="Normal 2 3 3 3 2 2 2 12" xfId="22566"/>
    <cellStyle name="Normal 2 3 3 3 2 2 2 12 2" xfId="22567"/>
    <cellStyle name="Normal 2 3 3 3 2 2 2 13" xfId="22568"/>
    <cellStyle name="Normal 2 3 3 3 2 2 2 2" xfId="22569"/>
    <cellStyle name="Normal 2 3 3 3 2 2 2 2 10" xfId="22570"/>
    <cellStyle name="Normal 2 3 3 3 2 2 2 2 10 2" xfId="22571"/>
    <cellStyle name="Normal 2 3 3 3 2 2 2 2 11" xfId="22572"/>
    <cellStyle name="Normal 2 3 3 3 2 2 2 2 11 2" xfId="22573"/>
    <cellStyle name="Normal 2 3 3 3 2 2 2 2 12" xfId="22574"/>
    <cellStyle name="Normal 2 3 3 3 2 2 2 2 2" xfId="22575"/>
    <cellStyle name="Normal 2 3 3 3 2 2 2 2 2 10" xfId="22576"/>
    <cellStyle name="Normal 2 3 3 3 2 2 2 2 2 10 2" xfId="22577"/>
    <cellStyle name="Normal 2 3 3 3 2 2 2 2 2 11" xfId="22578"/>
    <cellStyle name="Normal 2 3 3 3 2 2 2 2 2 2" xfId="22579"/>
    <cellStyle name="Normal 2 3 3 3 2 2 2 2 2 2 2" xfId="22580"/>
    <cellStyle name="Normal 2 3 3 3 2 2 2 2 2 3" xfId="22581"/>
    <cellStyle name="Normal 2 3 3 3 2 2 2 2 2 3 2" xfId="22582"/>
    <cellStyle name="Normal 2 3 3 3 2 2 2 2 2 4" xfId="22583"/>
    <cellStyle name="Normal 2 3 3 3 2 2 2 2 2 4 2" xfId="22584"/>
    <cellStyle name="Normal 2 3 3 3 2 2 2 2 2 5" xfId="22585"/>
    <cellStyle name="Normal 2 3 3 3 2 2 2 2 2 5 2" xfId="22586"/>
    <cellStyle name="Normal 2 3 3 3 2 2 2 2 2 6" xfId="22587"/>
    <cellStyle name="Normal 2 3 3 3 2 2 2 2 2 6 2" xfId="22588"/>
    <cellStyle name="Normal 2 3 3 3 2 2 2 2 2 7" xfId="22589"/>
    <cellStyle name="Normal 2 3 3 3 2 2 2 2 2 7 2" xfId="22590"/>
    <cellStyle name="Normal 2 3 3 3 2 2 2 2 2 8" xfId="22591"/>
    <cellStyle name="Normal 2 3 3 3 2 2 2 2 2 8 2" xfId="22592"/>
    <cellStyle name="Normal 2 3 3 3 2 2 2 2 2 9" xfId="22593"/>
    <cellStyle name="Normal 2 3 3 3 2 2 2 2 2 9 2" xfId="22594"/>
    <cellStyle name="Normal 2 3 3 3 2 2 2 2 3" xfId="22595"/>
    <cellStyle name="Normal 2 3 3 3 2 2 2 2 3 2" xfId="22596"/>
    <cellStyle name="Normal 2 3 3 3 2 2 2 2 4" xfId="22597"/>
    <cellStyle name="Normal 2 3 3 3 2 2 2 2 4 2" xfId="22598"/>
    <cellStyle name="Normal 2 3 3 3 2 2 2 2 5" xfId="22599"/>
    <cellStyle name="Normal 2 3 3 3 2 2 2 2 5 2" xfId="22600"/>
    <cellStyle name="Normal 2 3 3 3 2 2 2 2 6" xfId="22601"/>
    <cellStyle name="Normal 2 3 3 3 2 2 2 2 6 2" xfId="22602"/>
    <cellStyle name="Normal 2 3 3 3 2 2 2 2 7" xfId="22603"/>
    <cellStyle name="Normal 2 3 3 3 2 2 2 2 7 2" xfId="22604"/>
    <cellStyle name="Normal 2 3 3 3 2 2 2 2 8" xfId="22605"/>
    <cellStyle name="Normal 2 3 3 3 2 2 2 2 8 2" xfId="22606"/>
    <cellStyle name="Normal 2 3 3 3 2 2 2 2 9" xfId="22607"/>
    <cellStyle name="Normal 2 3 3 3 2 2 2 2 9 2" xfId="22608"/>
    <cellStyle name="Normal 2 3 3 3 2 2 2 3" xfId="22609"/>
    <cellStyle name="Normal 2 3 3 3 2 2 2 3 10" xfId="22610"/>
    <cellStyle name="Normal 2 3 3 3 2 2 2 3 10 2" xfId="22611"/>
    <cellStyle name="Normal 2 3 3 3 2 2 2 3 11" xfId="22612"/>
    <cellStyle name="Normal 2 3 3 3 2 2 2 3 2" xfId="22613"/>
    <cellStyle name="Normal 2 3 3 3 2 2 2 3 2 2" xfId="22614"/>
    <cellStyle name="Normal 2 3 3 3 2 2 2 3 3" xfId="22615"/>
    <cellStyle name="Normal 2 3 3 3 2 2 2 3 3 2" xfId="22616"/>
    <cellStyle name="Normal 2 3 3 3 2 2 2 3 4" xfId="22617"/>
    <cellStyle name="Normal 2 3 3 3 2 2 2 3 4 2" xfId="22618"/>
    <cellStyle name="Normal 2 3 3 3 2 2 2 3 5" xfId="22619"/>
    <cellStyle name="Normal 2 3 3 3 2 2 2 3 5 2" xfId="22620"/>
    <cellStyle name="Normal 2 3 3 3 2 2 2 3 6" xfId="22621"/>
    <cellStyle name="Normal 2 3 3 3 2 2 2 3 6 2" xfId="22622"/>
    <cellStyle name="Normal 2 3 3 3 2 2 2 3 7" xfId="22623"/>
    <cellStyle name="Normal 2 3 3 3 2 2 2 3 7 2" xfId="22624"/>
    <cellStyle name="Normal 2 3 3 3 2 2 2 3 8" xfId="22625"/>
    <cellStyle name="Normal 2 3 3 3 2 2 2 3 8 2" xfId="22626"/>
    <cellStyle name="Normal 2 3 3 3 2 2 2 3 9" xfId="22627"/>
    <cellStyle name="Normal 2 3 3 3 2 2 2 3 9 2" xfId="22628"/>
    <cellStyle name="Normal 2 3 3 3 2 2 2 4" xfId="22629"/>
    <cellStyle name="Normal 2 3 3 3 2 2 2 4 2" xfId="22630"/>
    <cellStyle name="Normal 2 3 3 3 2 2 2 5" xfId="22631"/>
    <cellStyle name="Normal 2 3 3 3 2 2 2 5 2" xfId="22632"/>
    <cellStyle name="Normal 2 3 3 3 2 2 2 6" xfId="22633"/>
    <cellStyle name="Normal 2 3 3 3 2 2 2 6 2" xfId="22634"/>
    <cellStyle name="Normal 2 3 3 3 2 2 2 7" xfId="22635"/>
    <cellStyle name="Normal 2 3 3 3 2 2 2 7 2" xfId="22636"/>
    <cellStyle name="Normal 2 3 3 3 2 2 2 8" xfId="22637"/>
    <cellStyle name="Normal 2 3 3 3 2 2 2 8 2" xfId="22638"/>
    <cellStyle name="Normal 2 3 3 3 2 2 2 9" xfId="22639"/>
    <cellStyle name="Normal 2 3 3 3 2 2 2 9 2" xfId="22640"/>
    <cellStyle name="Normal 2 3 3 3 2 2 3" xfId="22641"/>
    <cellStyle name="Normal 2 3 3 3 2 2 3 10" xfId="22642"/>
    <cellStyle name="Normal 2 3 3 3 2 2 3 10 2" xfId="22643"/>
    <cellStyle name="Normal 2 3 3 3 2 2 3 11" xfId="22644"/>
    <cellStyle name="Normal 2 3 3 3 2 2 3 11 2" xfId="22645"/>
    <cellStyle name="Normal 2 3 3 3 2 2 3 12" xfId="22646"/>
    <cellStyle name="Normal 2 3 3 3 2 2 3 12 2" xfId="22647"/>
    <cellStyle name="Normal 2 3 3 3 2 2 3 13" xfId="22648"/>
    <cellStyle name="Normal 2 3 3 3 2 2 3 2" xfId="22649"/>
    <cellStyle name="Normal 2 3 3 3 2 2 3 2 10" xfId="22650"/>
    <cellStyle name="Normal 2 3 3 3 2 2 3 2 10 2" xfId="22651"/>
    <cellStyle name="Normal 2 3 3 3 2 2 3 2 11" xfId="22652"/>
    <cellStyle name="Normal 2 3 3 3 2 2 3 2 11 2" xfId="22653"/>
    <cellStyle name="Normal 2 3 3 3 2 2 3 2 12" xfId="22654"/>
    <cellStyle name="Normal 2 3 3 3 2 2 3 2 2" xfId="22655"/>
    <cellStyle name="Normal 2 3 3 3 2 2 3 2 2 10" xfId="22656"/>
    <cellStyle name="Normal 2 3 3 3 2 2 3 2 2 10 2" xfId="22657"/>
    <cellStyle name="Normal 2 3 3 3 2 2 3 2 2 11" xfId="22658"/>
    <cellStyle name="Normal 2 3 3 3 2 2 3 2 2 2" xfId="22659"/>
    <cellStyle name="Normal 2 3 3 3 2 2 3 2 2 2 2" xfId="22660"/>
    <cellStyle name="Normal 2 3 3 3 2 2 3 2 2 3" xfId="22661"/>
    <cellStyle name="Normal 2 3 3 3 2 2 3 2 2 3 2" xfId="22662"/>
    <cellStyle name="Normal 2 3 3 3 2 2 3 2 2 4" xfId="22663"/>
    <cellStyle name="Normal 2 3 3 3 2 2 3 2 2 4 2" xfId="22664"/>
    <cellStyle name="Normal 2 3 3 3 2 2 3 2 2 5" xfId="22665"/>
    <cellStyle name="Normal 2 3 3 3 2 2 3 2 2 5 2" xfId="22666"/>
    <cellStyle name="Normal 2 3 3 3 2 2 3 2 2 6" xfId="22667"/>
    <cellStyle name="Normal 2 3 3 3 2 2 3 2 2 6 2" xfId="22668"/>
    <cellStyle name="Normal 2 3 3 3 2 2 3 2 2 7" xfId="22669"/>
    <cellStyle name="Normal 2 3 3 3 2 2 3 2 2 7 2" xfId="22670"/>
    <cellStyle name="Normal 2 3 3 3 2 2 3 2 2 8" xfId="22671"/>
    <cellStyle name="Normal 2 3 3 3 2 2 3 2 2 8 2" xfId="22672"/>
    <cellStyle name="Normal 2 3 3 3 2 2 3 2 2 9" xfId="22673"/>
    <cellStyle name="Normal 2 3 3 3 2 2 3 2 2 9 2" xfId="22674"/>
    <cellStyle name="Normal 2 3 3 3 2 2 3 2 3" xfId="22675"/>
    <cellStyle name="Normal 2 3 3 3 2 2 3 2 3 2" xfId="22676"/>
    <cellStyle name="Normal 2 3 3 3 2 2 3 2 4" xfId="22677"/>
    <cellStyle name="Normal 2 3 3 3 2 2 3 2 4 2" xfId="22678"/>
    <cellStyle name="Normal 2 3 3 3 2 2 3 2 5" xfId="22679"/>
    <cellStyle name="Normal 2 3 3 3 2 2 3 2 5 2" xfId="22680"/>
    <cellStyle name="Normal 2 3 3 3 2 2 3 2 6" xfId="22681"/>
    <cellStyle name="Normal 2 3 3 3 2 2 3 2 6 2" xfId="22682"/>
    <cellStyle name="Normal 2 3 3 3 2 2 3 2 7" xfId="22683"/>
    <cellStyle name="Normal 2 3 3 3 2 2 3 2 7 2" xfId="22684"/>
    <cellStyle name="Normal 2 3 3 3 2 2 3 2 8" xfId="22685"/>
    <cellStyle name="Normal 2 3 3 3 2 2 3 2 8 2" xfId="22686"/>
    <cellStyle name="Normal 2 3 3 3 2 2 3 2 9" xfId="22687"/>
    <cellStyle name="Normal 2 3 3 3 2 2 3 2 9 2" xfId="22688"/>
    <cellStyle name="Normal 2 3 3 3 2 2 3 3" xfId="22689"/>
    <cellStyle name="Normal 2 3 3 3 2 2 3 3 10" xfId="22690"/>
    <cellStyle name="Normal 2 3 3 3 2 2 3 3 10 2" xfId="22691"/>
    <cellStyle name="Normal 2 3 3 3 2 2 3 3 11" xfId="22692"/>
    <cellStyle name="Normal 2 3 3 3 2 2 3 3 2" xfId="22693"/>
    <cellStyle name="Normal 2 3 3 3 2 2 3 3 2 2" xfId="22694"/>
    <cellStyle name="Normal 2 3 3 3 2 2 3 3 3" xfId="22695"/>
    <cellStyle name="Normal 2 3 3 3 2 2 3 3 3 2" xfId="22696"/>
    <cellStyle name="Normal 2 3 3 3 2 2 3 3 4" xfId="22697"/>
    <cellStyle name="Normal 2 3 3 3 2 2 3 3 4 2" xfId="22698"/>
    <cellStyle name="Normal 2 3 3 3 2 2 3 3 5" xfId="22699"/>
    <cellStyle name="Normal 2 3 3 3 2 2 3 3 5 2" xfId="22700"/>
    <cellStyle name="Normal 2 3 3 3 2 2 3 3 6" xfId="22701"/>
    <cellStyle name="Normal 2 3 3 3 2 2 3 3 6 2" xfId="22702"/>
    <cellStyle name="Normal 2 3 3 3 2 2 3 3 7" xfId="22703"/>
    <cellStyle name="Normal 2 3 3 3 2 2 3 3 7 2" xfId="22704"/>
    <cellStyle name="Normal 2 3 3 3 2 2 3 3 8" xfId="22705"/>
    <cellStyle name="Normal 2 3 3 3 2 2 3 3 8 2" xfId="22706"/>
    <cellStyle name="Normal 2 3 3 3 2 2 3 3 9" xfId="22707"/>
    <cellStyle name="Normal 2 3 3 3 2 2 3 3 9 2" xfId="22708"/>
    <cellStyle name="Normal 2 3 3 3 2 2 3 4" xfId="22709"/>
    <cellStyle name="Normal 2 3 3 3 2 2 3 4 2" xfId="22710"/>
    <cellStyle name="Normal 2 3 3 3 2 2 3 5" xfId="22711"/>
    <cellStyle name="Normal 2 3 3 3 2 2 3 5 2" xfId="22712"/>
    <cellStyle name="Normal 2 3 3 3 2 2 3 6" xfId="22713"/>
    <cellStyle name="Normal 2 3 3 3 2 2 3 6 2" xfId="22714"/>
    <cellStyle name="Normal 2 3 3 3 2 2 3 7" xfId="22715"/>
    <cellStyle name="Normal 2 3 3 3 2 2 3 7 2" xfId="22716"/>
    <cellStyle name="Normal 2 3 3 3 2 2 3 8" xfId="22717"/>
    <cellStyle name="Normal 2 3 3 3 2 2 3 8 2" xfId="22718"/>
    <cellStyle name="Normal 2 3 3 3 2 2 3 9" xfId="22719"/>
    <cellStyle name="Normal 2 3 3 3 2 2 3 9 2" xfId="22720"/>
    <cellStyle name="Normal 2 3 3 3 2 2 4" xfId="22721"/>
    <cellStyle name="Normal 2 3 3 3 2 2 4 10" xfId="22722"/>
    <cellStyle name="Normal 2 3 3 3 2 2 4 10 2" xfId="22723"/>
    <cellStyle name="Normal 2 3 3 3 2 2 4 11" xfId="22724"/>
    <cellStyle name="Normal 2 3 3 3 2 2 4 11 2" xfId="22725"/>
    <cellStyle name="Normal 2 3 3 3 2 2 4 12" xfId="22726"/>
    <cellStyle name="Normal 2 3 3 3 2 2 4 12 2" xfId="22727"/>
    <cellStyle name="Normal 2 3 3 3 2 2 4 13" xfId="22728"/>
    <cellStyle name="Normal 2 3 3 3 2 2 4 2" xfId="22729"/>
    <cellStyle name="Normal 2 3 3 3 2 2 4 2 10" xfId="22730"/>
    <cellStyle name="Normal 2 3 3 3 2 2 4 2 10 2" xfId="22731"/>
    <cellStyle name="Normal 2 3 3 3 2 2 4 2 11" xfId="22732"/>
    <cellStyle name="Normal 2 3 3 3 2 2 4 2 11 2" xfId="22733"/>
    <cellStyle name="Normal 2 3 3 3 2 2 4 2 12" xfId="22734"/>
    <cellStyle name="Normal 2 3 3 3 2 2 4 2 2" xfId="22735"/>
    <cellStyle name="Normal 2 3 3 3 2 2 4 2 2 10" xfId="22736"/>
    <cellStyle name="Normal 2 3 3 3 2 2 4 2 2 10 2" xfId="22737"/>
    <cellStyle name="Normal 2 3 3 3 2 2 4 2 2 11" xfId="22738"/>
    <cellStyle name="Normal 2 3 3 3 2 2 4 2 2 2" xfId="22739"/>
    <cellStyle name="Normal 2 3 3 3 2 2 4 2 2 2 2" xfId="22740"/>
    <cellStyle name="Normal 2 3 3 3 2 2 4 2 2 3" xfId="22741"/>
    <cellStyle name="Normal 2 3 3 3 2 2 4 2 2 3 2" xfId="22742"/>
    <cellStyle name="Normal 2 3 3 3 2 2 4 2 2 4" xfId="22743"/>
    <cellStyle name="Normal 2 3 3 3 2 2 4 2 2 4 2" xfId="22744"/>
    <cellStyle name="Normal 2 3 3 3 2 2 4 2 2 5" xfId="22745"/>
    <cellStyle name="Normal 2 3 3 3 2 2 4 2 2 5 2" xfId="22746"/>
    <cellStyle name="Normal 2 3 3 3 2 2 4 2 2 6" xfId="22747"/>
    <cellStyle name="Normal 2 3 3 3 2 2 4 2 2 6 2" xfId="22748"/>
    <cellStyle name="Normal 2 3 3 3 2 2 4 2 2 7" xfId="22749"/>
    <cellStyle name="Normal 2 3 3 3 2 2 4 2 2 7 2" xfId="22750"/>
    <cellStyle name="Normal 2 3 3 3 2 2 4 2 2 8" xfId="22751"/>
    <cellStyle name="Normal 2 3 3 3 2 2 4 2 2 8 2" xfId="22752"/>
    <cellStyle name="Normal 2 3 3 3 2 2 4 2 2 9" xfId="22753"/>
    <cellStyle name="Normal 2 3 3 3 2 2 4 2 2 9 2" xfId="22754"/>
    <cellStyle name="Normal 2 3 3 3 2 2 4 2 3" xfId="22755"/>
    <cellStyle name="Normal 2 3 3 3 2 2 4 2 3 2" xfId="22756"/>
    <cellStyle name="Normal 2 3 3 3 2 2 4 2 4" xfId="22757"/>
    <cellStyle name="Normal 2 3 3 3 2 2 4 2 4 2" xfId="22758"/>
    <cellStyle name="Normal 2 3 3 3 2 2 4 2 5" xfId="22759"/>
    <cellStyle name="Normal 2 3 3 3 2 2 4 2 5 2" xfId="22760"/>
    <cellStyle name="Normal 2 3 3 3 2 2 4 2 6" xfId="22761"/>
    <cellStyle name="Normal 2 3 3 3 2 2 4 2 6 2" xfId="22762"/>
    <cellStyle name="Normal 2 3 3 3 2 2 4 2 7" xfId="22763"/>
    <cellStyle name="Normal 2 3 3 3 2 2 4 2 7 2" xfId="22764"/>
    <cellStyle name="Normal 2 3 3 3 2 2 4 2 8" xfId="22765"/>
    <cellStyle name="Normal 2 3 3 3 2 2 4 2 8 2" xfId="22766"/>
    <cellStyle name="Normal 2 3 3 3 2 2 4 2 9" xfId="22767"/>
    <cellStyle name="Normal 2 3 3 3 2 2 4 2 9 2" xfId="22768"/>
    <cellStyle name="Normal 2 3 3 3 2 2 4 3" xfId="22769"/>
    <cellStyle name="Normal 2 3 3 3 2 2 4 3 10" xfId="22770"/>
    <cellStyle name="Normal 2 3 3 3 2 2 4 3 10 2" xfId="22771"/>
    <cellStyle name="Normal 2 3 3 3 2 2 4 3 11" xfId="22772"/>
    <cellStyle name="Normal 2 3 3 3 2 2 4 3 2" xfId="22773"/>
    <cellStyle name="Normal 2 3 3 3 2 2 4 3 2 2" xfId="22774"/>
    <cellStyle name="Normal 2 3 3 3 2 2 4 3 3" xfId="22775"/>
    <cellStyle name="Normal 2 3 3 3 2 2 4 3 3 2" xfId="22776"/>
    <cellStyle name="Normal 2 3 3 3 2 2 4 3 4" xfId="22777"/>
    <cellStyle name="Normal 2 3 3 3 2 2 4 3 4 2" xfId="22778"/>
    <cellStyle name="Normal 2 3 3 3 2 2 4 3 5" xfId="22779"/>
    <cellStyle name="Normal 2 3 3 3 2 2 4 3 5 2" xfId="22780"/>
    <cellStyle name="Normal 2 3 3 3 2 2 4 3 6" xfId="22781"/>
    <cellStyle name="Normal 2 3 3 3 2 2 4 3 6 2" xfId="22782"/>
    <cellStyle name="Normal 2 3 3 3 2 2 4 3 7" xfId="22783"/>
    <cellStyle name="Normal 2 3 3 3 2 2 4 3 7 2" xfId="22784"/>
    <cellStyle name="Normal 2 3 3 3 2 2 4 3 8" xfId="22785"/>
    <cellStyle name="Normal 2 3 3 3 2 2 4 3 8 2" xfId="22786"/>
    <cellStyle name="Normal 2 3 3 3 2 2 4 3 9" xfId="22787"/>
    <cellStyle name="Normal 2 3 3 3 2 2 4 3 9 2" xfId="22788"/>
    <cellStyle name="Normal 2 3 3 3 2 2 4 4" xfId="22789"/>
    <cellStyle name="Normal 2 3 3 3 2 2 4 4 2" xfId="22790"/>
    <cellStyle name="Normal 2 3 3 3 2 2 4 5" xfId="22791"/>
    <cellStyle name="Normal 2 3 3 3 2 2 4 5 2" xfId="22792"/>
    <cellStyle name="Normal 2 3 3 3 2 2 4 6" xfId="22793"/>
    <cellStyle name="Normal 2 3 3 3 2 2 4 6 2" xfId="22794"/>
    <cellStyle name="Normal 2 3 3 3 2 2 4 7" xfId="22795"/>
    <cellStyle name="Normal 2 3 3 3 2 2 4 7 2" xfId="22796"/>
    <cellStyle name="Normal 2 3 3 3 2 2 4 8" xfId="22797"/>
    <cellStyle name="Normal 2 3 3 3 2 2 4 8 2" xfId="22798"/>
    <cellStyle name="Normal 2 3 3 3 2 2 4 9" xfId="22799"/>
    <cellStyle name="Normal 2 3 3 3 2 2 4 9 2" xfId="22800"/>
    <cellStyle name="Normal 2 3 3 3 2 2 5" xfId="22801"/>
    <cellStyle name="Normal 2 3 3 3 2 2 5 10" xfId="22802"/>
    <cellStyle name="Normal 2 3 3 3 2 2 5 10 2" xfId="22803"/>
    <cellStyle name="Normal 2 3 3 3 2 2 5 11" xfId="22804"/>
    <cellStyle name="Normal 2 3 3 3 2 2 5 11 2" xfId="22805"/>
    <cellStyle name="Normal 2 3 3 3 2 2 5 12" xfId="22806"/>
    <cellStyle name="Normal 2 3 3 3 2 2 5 12 2" xfId="22807"/>
    <cellStyle name="Normal 2 3 3 3 2 2 5 13" xfId="22808"/>
    <cellStyle name="Normal 2 3 3 3 2 2 5 2" xfId="22809"/>
    <cellStyle name="Normal 2 3 3 3 2 2 5 2 10" xfId="22810"/>
    <cellStyle name="Normal 2 3 3 3 2 2 5 2 10 2" xfId="22811"/>
    <cellStyle name="Normal 2 3 3 3 2 2 5 2 11" xfId="22812"/>
    <cellStyle name="Normal 2 3 3 3 2 2 5 2 11 2" xfId="22813"/>
    <cellStyle name="Normal 2 3 3 3 2 2 5 2 12" xfId="22814"/>
    <cellStyle name="Normal 2 3 3 3 2 2 5 2 2" xfId="22815"/>
    <cellStyle name="Normal 2 3 3 3 2 2 5 2 2 10" xfId="22816"/>
    <cellStyle name="Normal 2 3 3 3 2 2 5 2 2 10 2" xfId="22817"/>
    <cellStyle name="Normal 2 3 3 3 2 2 5 2 2 11" xfId="22818"/>
    <cellStyle name="Normal 2 3 3 3 2 2 5 2 2 2" xfId="22819"/>
    <cellStyle name="Normal 2 3 3 3 2 2 5 2 2 2 2" xfId="22820"/>
    <cellStyle name="Normal 2 3 3 3 2 2 5 2 2 3" xfId="22821"/>
    <cellStyle name="Normal 2 3 3 3 2 2 5 2 2 3 2" xfId="22822"/>
    <cellStyle name="Normal 2 3 3 3 2 2 5 2 2 4" xfId="22823"/>
    <cellStyle name="Normal 2 3 3 3 2 2 5 2 2 4 2" xfId="22824"/>
    <cellStyle name="Normal 2 3 3 3 2 2 5 2 2 5" xfId="22825"/>
    <cellStyle name="Normal 2 3 3 3 2 2 5 2 2 5 2" xfId="22826"/>
    <cellStyle name="Normal 2 3 3 3 2 2 5 2 2 6" xfId="22827"/>
    <cellStyle name="Normal 2 3 3 3 2 2 5 2 2 6 2" xfId="22828"/>
    <cellStyle name="Normal 2 3 3 3 2 2 5 2 2 7" xfId="22829"/>
    <cellStyle name="Normal 2 3 3 3 2 2 5 2 2 7 2" xfId="22830"/>
    <cellStyle name="Normal 2 3 3 3 2 2 5 2 2 8" xfId="22831"/>
    <cellStyle name="Normal 2 3 3 3 2 2 5 2 2 8 2" xfId="22832"/>
    <cellStyle name="Normal 2 3 3 3 2 2 5 2 2 9" xfId="22833"/>
    <cellStyle name="Normal 2 3 3 3 2 2 5 2 2 9 2" xfId="22834"/>
    <cellStyle name="Normal 2 3 3 3 2 2 5 2 3" xfId="22835"/>
    <cellStyle name="Normal 2 3 3 3 2 2 5 2 3 2" xfId="22836"/>
    <cellStyle name="Normal 2 3 3 3 2 2 5 2 4" xfId="22837"/>
    <cellStyle name="Normal 2 3 3 3 2 2 5 2 4 2" xfId="22838"/>
    <cellStyle name="Normal 2 3 3 3 2 2 5 2 5" xfId="22839"/>
    <cellStyle name="Normal 2 3 3 3 2 2 5 2 5 2" xfId="22840"/>
    <cellStyle name="Normal 2 3 3 3 2 2 5 2 6" xfId="22841"/>
    <cellStyle name="Normal 2 3 3 3 2 2 5 2 6 2" xfId="22842"/>
    <cellStyle name="Normal 2 3 3 3 2 2 5 2 7" xfId="22843"/>
    <cellStyle name="Normal 2 3 3 3 2 2 5 2 7 2" xfId="22844"/>
    <cellStyle name="Normal 2 3 3 3 2 2 5 2 8" xfId="22845"/>
    <cellStyle name="Normal 2 3 3 3 2 2 5 2 8 2" xfId="22846"/>
    <cellStyle name="Normal 2 3 3 3 2 2 5 2 9" xfId="22847"/>
    <cellStyle name="Normal 2 3 3 3 2 2 5 2 9 2" xfId="22848"/>
    <cellStyle name="Normal 2 3 3 3 2 2 5 3" xfId="22849"/>
    <cellStyle name="Normal 2 3 3 3 2 2 5 3 10" xfId="22850"/>
    <cellStyle name="Normal 2 3 3 3 2 2 5 3 10 2" xfId="22851"/>
    <cellStyle name="Normal 2 3 3 3 2 2 5 3 11" xfId="22852"/>
    <cellStyle name="Normal 2 3 3 3 2 2 5 3 2" xfId="22853"/>
    <cellStyle name="Normal 2 3 3 3 2 2 5 3 2 2" xfId="22854"/>
    <cellStyle name="Normal 2 3 3 3 2 2 5 3 3" xfId="22855"/>
    <cellStyle name="Normal 2 3 3 3 2 2 5 3 3 2" xfId="22856"/>
    <cellStyle name="Normal 2 3 3 3 2 2 5 3 4" xfId="22857"/>
    <cellStyle name="Normal 2 3 3 3 2 2 5 3 4 2" xfId="22858"/>
    <cellStyle name="Normal 2 3 3 3 2 2 5 3 5" xfId="22859"/>
    <cellStyle name="Normal 2 3 3 3 2 2 5 3 5 2" xfId="22860"/>
    <cellStyle name="Normal 2 3 3 3 2 2 5 3 6" xfId="22861"/>
    <cellStyle name="Normal 2 3 3 3 2 2 5 3 6 2" xfId="22862"/>
    <cellStyle name="Normal 2 3 3 3 2 2 5 3 7" xfId="22863"/>
    <cellStyle name="Normal 2 3 3 3 2 2 5 3 7 2" xfId="22864"/>
    <cellStyle name="Normal 2 3 3 3 2 2 5 3 8" xfId="22865"/>
    <cellStyle name="Normal 2 3 3 3 2 2 5 3 8 2" xfId="22866"/>
    <cellStyle name="Normal 2 3 3 3 2 2 5 3 9" xfId="22867"/>
    <cellStyle name="Normal 2 3 3 3 2 2 5 3 9 2" xfId="22868"/>
    <cellStyle name="Normal 2 3 3 3 2 2 5 4" xfId="22869"/>
    <cellStyle name="Normal 2 3 3 3 2 2 5 4 2" xfId="22870"/>
    <cellStyle name="Normal 2 3 3 3 2 2 5 5" xfId="22871"/>
    <cellStyle name="Normal 2 3 3 3 2 2 5 5 2" xfId="22872"/>
    <cellStyle name="Normal 2 3 3 3 2 2 5 6" xfId="22873"/>
    <cellStyle name="Normal 2 3 3 3 2 2 5 6 2" xfId="22874"/>
    <cellStyle name="Normal 2 3 3 3 2 2 5 7" xfId="22875"/>
    <cellStyle name="Normal 2 3 3 3 2 2 5 7 2" xfId="22876"/>
    <cellStyle name="Normal 2 3 3 3 2 2 5 8" xfId="22877"/>
    <cellStyle name="Normal 2 3 3 3 2 2 5 8 2" xfId="22878"/>
    <cellStyle name="Normal 2 3 3 3 2 2 5 9" xfId="22879"/>
    <cellStyle name="Normal 2 3 3 3 2 2 5 9 2" xfId="22880"/>
    <cellStyle name="Normal 2 3 3 3 2 3" xfId="22881"/>
    <cellStyle name="Normal 2 3 3 3 2 4" xfId="22882"/>
    <cellStyle name="Normal 2 3 3 3 2 5" xfId="22883"/>
    <cellStyle name="Normal 2 3 3 3 2 6" xfId="22884"/>
    <cellStyle name="Normal 2 3 3 3 2 6 10" xfId="22885"/>
    <cellStyle name="Normal 2 3 3 3 2 6 10 2" xfId="22886"/>
    <cellStyle name="Normal 2 3 3 3 2 6 11" xfId="22887"/>
    <cellStyle name="Normal 2 3 3 3 2 6 11 2" xfId="22888"/>
    <cellStyle name="Normal 2 3 3 3 2 6 12" xfId="22889"/>
    <cellStyle name="Normal 2 3 3 3 2 6 2" xfId="22890"/>
    <cellStyle name="Normal 2 3 3 3 2 6 2 10" xfId="22891"/>
    <cellStyle name="Normal 2 3 3 3 2 6 2 10 2" xfId="22892"/>
    <cellStyle name="Normal 2 3 3 3 2 6 2 11" xfId="22893"/>
    <cellStyle name="Normal 2 3 3 3 2 6 2 2" xfId="22894"/>
    <cellStyle name="Normal 2 3 3 3 2 6 2 2 2" xfId="22895"/>
    <cellStyle name="Normal 2 3 3 3 2 6 2 3" xfId="22896"/>
    <cellStyle name="Normal 2 3 3 3 2 6 2 3 2" xfId="22897"/>
    <cellStyle name="Normal 2 3 3 3 2 6 2 4" xfId="22898"/>
    <cellStyle name="Normal 2 3 3 3 2 6 2 4 2" xfId="22899"/>
    <cellStyle name="Normal 2 3 3 3 2 6 2 5" xfId="22900"/>
    <cellStyle name="Normal 2 3 3 3 2 6 2 5 2" xfId="22901"/>
    <cellStyle name="Normal 2 3 3 3 2 6 2 6" xfId="22902"/>
    <cellStyle name="Normal 2 3 3 3 2 6 2 6 2" xfId="22903"/>
    <cellStyle name="Normal 2 3 3 3 2 6 2 7" xfId="22904"/>
    <cellStyle name="Normal 2 3 3 3 2 6 2 7 2" xfId="22905"/>
    <cellStyle name="Normal 2 3 3 3 2 6 2 8" xfId="22906"/>
    <cellStyle name="Normal 2 3 3 3 2 6 2 8 2" xfId="22907"/>
    <cellStyle name="Normal 2 3 3 3 2 6 2 9" xfId="22908"/>
    <cellStyle name="Normal 2 3 3 3 2 6 2 9 2" xfId="22909"/>
    <cellStyle name="Normal 2 3 3 3 2 6 3" xfId="22910"/>
    <cellStyle name="Normal 2 3 3 3 2 6 3 2" xfId="22911"/>
    <cellStyle name="Normal 2 3 3 3 2 6 4" xfId="22912"/>
    <cellStyle name="Normal 2 3 3 3 2 6 4 2" xfId="22913"/>
    <cellStyle name="Normal 2 3 3 3 2 6 5" xfId="22914"/>
    <cellStyle name="Normal 2 3 3 3 2 6 5 2" xfId="22915"/>
    <cellStyle name="Normal 2 3 3 3 2 6 6" xfId="22916"/>
    <cellStyle name="Normal 2 3 3 3 2 6 6 2" xfId="22917"/>
    <cellStyle name="Normal 2 3 3 3 2 6 7" xfId="22918"/>
    <cellStyle name="Normal 2 3 3 3 2 6 7 2" xfId="22919"/>
    <cellStyle name="Normal 2 3 3 3 2 6 8" xfId="22920"/>
    <cellStyle name="Normal 2 3 3 3 2 6 8 2" xfId="22921"/>
    <cellStyle name="Normal 2 3 3 3 2 6 9" xfId="22922"/>
    <cellStyle name="Normal 2 3 3 3 2 6 9 2" xfId="22923"/>
    <cellStyle name="Normal 2 3 3 3 2 7" xfId="22924"/>
    <cellStyle name="Normal 2 3 3 3 2 7 10" xfId="22925"/>
    <cellStyle name="Normal 2 3 3 3 2 7 10 2" xfId="22926"/>
    <cellStyle name="Normal 2 3 3 3 2 7 11" xfId="22927"/>
    <cellStyle name="Normal 2 3 3 3 2 7 2" xfId="22928"/>
    <cellStyle name="Normal 2 3 3 3 2 7 2 2" xfId="22929"/>
    <cellStyle name="Normal 2 3 3 3 2 7 3" xfId="22930"/>
    <cellStyle name="Normal 2 3 3 3 2 7 3 2" xfId="22931"/>
    <cellStyle name="Normal 2 3 3 3 2 7 4" xfId="22932"/>
    <cellStyle name="Normal 2 3 3 3 2 7 4 2" xfId="22933"/>
    <cellStyle name="Normal 2 3 3 3 2 7 5" xfId="22934"/>
    <cellStyle name="Normal 2 3 3 3 2 7 5 2" xfId="22935"/>
    <cellStyle name="Normal 2 3 3 3 2 7 6" xfId="22936"/>
    <cellStyle name="Normal 2 3 3 3 2 7 6 2" xfId="22937"/>
    <cellStyle name="Normal 2 3 3 3 2 7 7" xfId="22938"/>
    <cellStyle name="Normal 2 3 3 3 2 7 7 2" xfId="22939"/>
    <cellStyle name="Normal 2 3 3 3 2 7 8" xfId="22940"/>
    <cellStyle name="Normal 2 3 3 3 2 7 8 2" xfId="22941"/>
    <cellStyle name="Normal 2 3 3 3 2 7 9" xfId="22942"/>
    <cellStyle name="Normal 2 3 3 3 2 7 9 2" xfId="22943"/>
    <cellStyle name="Normal 2 3 3 3 2 8" xfId="22944"/>
    <cellStyle name="Normal 2 3 3 3 2 8 2" xfId="22945"/>
    <cellStyle name="Normal 2 3 3 3 2 9" xfId="22946"/>
    <cellStyle name="Normal 2 3 3 3 2 9 2" xfId="22947"/>
    <cellStyle name="Normal 2 3 3 3 3" xfId="22948"/>
    <cellStyle name="Normal 2 3 3 3 3 10" xfId="22949"/>
    <cellStyle name="Normal 2 3 3 3 3 10 2" xfId="22950"/>
    <cellStyle name="Normal 2 3 3 3 3 11" xfId="22951"/>
    <cellStyle name="Normal 2 3 3 3 3 11 2" xfId="22952"/>
    <cellStyle name="Normal 2 3 3 3 3 12" xfId="22953"/>
    <cellStyle name="Normal 2 3 3 3 3 12 2" xfId="22954"/>
    <cellStyle name="Normal 2 3 3 3 3 13" xfId="22955"/>
    <cellStyle name="Normal 2 3 3 3 3 2" xfId="22956"/>
    <cellStyle name="Normal 2 3 3 3 3 2 10" xfId="22957"/>
    <cellStyle name="Normal 2 3 3 3 3 2 10 2" xfId="22958"/>
    <cellStyle name="Normal 2 3 3 3 3 2 11" xfId="22959"/>
    <cellStyle name="Normal 2 3 3 3 3 2 11 2" xfId="22960"/>
    <cellStyle name="Normal 2 3 3 3 3 2 12" xfId="22961"/>
    <cellStyle name="Normal 2 3 3 3 3 2 2" xfId="22962"/>
    <cellStyle name="Normal 2 3 3 3 3 2 2 10" xfId="22963"/>
    <cellStyle name="Normal 2 3 3 3 3 2 2 10 2" xfId="22964"/>
    <cellStyle name="Normal 2 3 3 3 3 2 2 11" xfId="22965"/>
    <cellStyle name="Normal 2 3 3 3 3 2 2 2" xfId="22966"/>
    <cellStyle name="Normal 2 3 3 3 3 2 2 2 2" xfId="22967"/>
    <cellStyle name="Normal 2 3 3 3 3 2 2 3" xfId="22968"/>
    <cellStyle name="Normal 2 3 3 3 3 2 2 3 2" xfId="22969"/>
    <cellStyle name="Normal 2 3 3 3 3 2 2 4" xfId="22970"/>
    <cellStyle name="Normal 2 3 3 3 3 2 2 4 2" xfId="22971"/>
    <cellStyle name="Normal 2 3 3 3 3 2 2 5" xfId="22972"/>
    <cellStyle name="Normal 2 3 3 3 3 2 2 5 2" xfId="22973"/>
    <cellStyle name="Normal 2 3 3 3 3 2 2 6" xfId="22974"/>
    <cellStyle name="Normal 2 3 3 3 3 2 2 6 2" xfId="22975"/>
    <cellStyle name="Normal 2 3 3 3 3 2 2 7" xfId="22976"/>
    <cellStyle name="Normal 2 3 3 3 3 2 2 7 2" xfId="22977"/>
    <cellStyle name="Normal 2 3 3 3 3 2 2 8" xfId="22978"/>
    <cellStyle name="Normal 2 3 3 3 3 2 2 8 2" xfId="22979"/>
    <cellStyle name="Normal 2 3 3 3 3 2 2 9" xfId="22980"/>
    <cellStyle name="Normal 2 3 3 3 3 2 2 9 2" xfId="22981"/>
    <cellStyle name="Normal 2 3 3 3 3 2 3" xfId="22982"/>
    <cellStyle name="Normal 2 3 3 3 3 2 3 2" xfId="22983"/>
    <cellStyle name="Normal 2 3 3 3 3 2 4" xfId="22984"/>
    <cellStyle name="Normal 2 3 3 3 3 2 4 2" xfId="22985"/>
    <cellStyle name="Normal 2 3 3 3 3 2 5" xfId="22986"/>
    <cellStyle name="Normal 2 3 3 3 3 2 5 2" xfId="22987"/>
    <cellStyle name="Normal 2 3 3 3 3 2 6" xfId="22988"/>
    <cellStyle name="Normal 2 3 3 3 3 2 6 2" xfId="22989"/>
    <cellStyle name="Normal 2 3 3 3 3 2 7" xfId="22990"/>
    <cellStyle name="Normal 2 3 3 3 3 2 7 2" xfId="22991"/>
    <cellStyle name="Normal 2 3 3 3 3 2 8" xfId="22992"/>
    <cellStyle name="Normal 2 3 3 3 3 2 8 2" xfId="22993"/>
    <cellStyle name="Normal 2 3 3 3 3 2 9" xfId="22994"/>
    <cellStyle name="Normal 2 3 3 3 3 2 9 2" xfId="22995"/>
    <cellStyle name="Normal 2 3 3 3 3 3" xfId="22996"/>
    <cellStyle name="Normal 2 3 3 3 3 3 10" xfId="22997"/>
    <cellStyle name="Normal 2 3 3 3 3 3 10 2" xfId="22998"/>
    <cellStyle name="Normal 2 3 3 3 3 3 11" xfId="22999"/>
    <cellStyle name="Normal 2 3 3 3 3 3 2" xfId="23000"/>
    <cellStyle name="Normal 2 3 3 3 3 3 2 2" xfId="23001"/>
    <cellStyle name="Normal 2 3 3 3 3 3 3" xfId="23002"/>
    <cellStyle name="Normal 2 3 3 3 3 3 3 2" xfId="23003"/>
    <cellStyle name="Normal 2 3 3 3 3 3 4" xfId="23004"/>
    <cellStyle name="Normal 2 3 3 3 3 3 4 2" xfId="23005"/>
    <cellStyle name="Normal 2 3 3 3 3 3 5" xfId="23006"/>
    <cellStyle name="Normal 2 3 3 3 3 3 5 2" xfId="23007"/>
    <cellStyle name="Normal 2 3 3 3 3 3 6" xfId="23008"/>
    <cellStyle name="Normal 2 3 3 3 3 3 6 2" xfId="23009"/>
    <cellStyle name="Normal 2 3 3 3 3 3 7" xfId="23010"/>
    <cellStyle name="Normal 2 3 3 3 3 3 7 2" xfId="23011"/>
    <cellStyle name="Normal 2 3 3 3 3 3 8" xfId="23012"/>
    <cellStyle name="Normal 2 3 3 3 3 3 8 2" xfId="23013"/>
    <cellStyle name="Normal 2 3 3 3 3 3 9" xfId="23014"/>
    <cellStyle name="Normal 2 3 3 3 3 3 9 2" xfId="23015"/>
    <cellStyle name="Normal 2 3 3 3 3 4" xfId="23016"/>
    <cellStyle name="Normal 2 3 3 3 3 4 2" xfId="23017"/>
    <cellStyle name="Normal 2 3 3 3 3 5" xfId="23018"/>
    <cellStyle name="Normal 2 3 3 3 3 5 2" xfId="23019"/>
    <cellStyle name="Normal 2 3 3 3 3 6" xfId="23020"/>
    <cellStyle name="Normal 2 3 3 3 3 6 2" xfId="23021"/>
    <cellStyle name="Normal 2 3 3 3 3 7" xfId="23022"/>
    <cellStyle name="Normal 2 3 3 3 3 7 2" xfId="23023"/>
    <cellStyle name="Normal 2 3 3 3 3 8" xfId="23024"/>
    <cellStyle name="Normal 2 3 3 3 3 8 2" xfId="23025"/>
    <cellStyle name="Normal 2 3 3 3 3 9" xfId="23026"/>
    <cellStyle name="Normal 2 3 3 3 3 9 2" xfId="23027"/>
    <cellStyle name="Normal 2 3 3 3 4" xfId="23028"/>
    <cellStyle name="Normal 2 3 3 3 4 10" xfId="23029"/>
    <cellStyle name="Normal 2 3 3 3 4 10 2" xfId="23030"/>
    <cellStyle name="Normal 2 3 3 3 4 11" xfId="23031"/>
    <cellStyle name="Normal 2 3 3 3 4 11 2" xfId="23032"/>
    <cellStyle name="Normal 2 3 3 3 4 12" xfId="23033"/>
    <cellStyle name="Normal 2 3 3 3 4 12 2" xfId="23034"/>
    <cellStyle name="Normal 2 3 3 3 4 13" xfId="23035"/>
    <cellStyle name="Normal 2 3 3 3 4 2" xfId="23036"/>
    <cellStyle name="Normal 2 3 3 3 4 2 10" xfId="23037"/>
    <cellStyle name="Normal 2 3 3 3 4 2 10 2" xfId="23038"/>
    <cellStyle name="Normal 2 3 3 3 4 2 11" xfId="23039"/>
    <cellStyle name="Normal 2 3 3 3 4 2 11 2" xfId="23040"/>
    <cellStyle name="Normal 2 3 3 3 4 2 12" xfId="23041"/>
    <cellStyle name="Normal 2 3 3 3 4 2 2" xfId="23042"/>
    <cellStyle name="Normal 2 3 3 3 4 2 2 10" xfId="23043"/>
    <cellStyle name="Normal 2 3 3 3 4 2 2 10 2" xfId="23044"/>
    <cellStyle name="Normal 2 3 3 3 4 2 2 11" xfId="23045"/>
    <cellStyle name="Normal 2 3 3 3 4 2 2 2" xfId="23046"/>
    <cellStyle name="Normal 2 3 3 3 4 2 2 2 2" xfId="23047"/>
    <cellStyle name="Normal 2 3 3 3 4 2 2 3" xfId="23048"/>
    <cellStyle name="Normal 2 3 3 3 4 2 2 3 2" xfId="23049"/>
    <cellStyle name="Normal 2 3 3 3 4 2 2 4" xfId="23050"/>
    <cellStyle name="Normal 2 3 3 3 4 2 2 4 2" xfId="23051"/>
    <cellStyle name="Normal 2 3 3 3 4 2 2 5" xfId="23052"/>
    <cellStyle name="Normal 2 3 3 3 4 2 2 5 2" xfId="23053"/>
    <cellStyle name="Normal 2 3 3 3 4 2 2 6" xfId="23054"/>
    <cellStyle name="Normal 2 3 3 3 4 2 2 6 2" xfId="23055"/>
    <cellStyle name="Normal 2 3 3 3 4 2 2 7" xfId="23056"/>
    <cellStyle name="Normal 2 3 3 3 4 2 2 7 2" xfId="23057"/>
    <cellStyle name="Normal 2 3 3 3 4 2 2 8" xfId="23058"/>
    <cellStyle name="Normal 2 3 3 3 4 2 2 8 2" xfId="23059"/>
    <cellStyle name="Normal 2 3 3 3 4 2 2 9" xfId="23060"/>
    <cellStyle name="Normal 2 3 3 3 4 2 2 9 2" xfId="23061"/>
    <cellStyle name="Normal 2 3 3 3 4 2 3" xfId="23062"/>
    <cellStyle name="Normal 2 3 3 3 4 2 3 2" xfId="23063"/>
    <cellStyle name="Normal 2 3 3 3 4 2 4" xfId="23064"/>
    <cellStyle name="Normal 2 3 3 3 4 2 4 2" xfId="23065"/>
    <cellStyle name="Normal 2 3 3 3 4 2 5" xfId="23066"/>
    <cellStyle name="Normal 2 3 3 3 4 2 5 2" xfId="23067"/>
    <cellStyle name="Normal 2 3 3 3 4 2 6" xfId="23068"/>
    <cellStyle name="Normal 2 3 3 3 4 2 6 2" xfId="23069"/>
    <cellStyle name="Normal 2 3 3 3 4 2 7" xfId="23070"/>
    <cellStyle name="Normal 2 3 3 3 4 2 7 2" xfId="23071"/>
    <cellStyle name="Normal 2 3 3 3 4 2 8" xfId="23072"/>
    <cellStyle name="Normal 2 3 3 3 4 2 8 2" xfId="23073"/>
    <cellStyle name="Normal 2 3 3 3 4 2 9" xfId="23074"/>
    <cellStyle name="Normal 2 3 3 3 4 2 9 2" xfId="23075"/>
    <cellStyle name="Normal 2 3 3 3 4 3" xfId="23076"/>
    <cellStyle name="Normal 2 3 3 3 4 3 10" xfId="23077"/>
    <cellStyle name="Normal 2 3 3 3 4 3 10 2" xfId="23078"/>
    <cellStyle name="Normal 2 3 3 3 4 3 11" xfId="23079"/>
    <cellStyle name="Normal 2 3 3 3 4 3 2" xfId="23080"/>
    <cellStyle name="Normal 2 3 3 3 4 3 2 2" xfId="23081"/>
    <cellStyle name="Normal 2 3 3 3 4 3 3" xfId="23082"/>
    <cellStyle name="Normal 2 3 3 3 4 3 3 2" xfId="23083"/>
    <cellStyle name="Normal 2 3 3 3 4 3 4" xfId="23084"/>
    <cellStyle name="Normal 2 3 3 3 4 3 4 2" xfId="23085"/>
    <cellStyle name="Normal 2 3 3 3 4 3 5" xfId="23086"/>
    <cellStyle name="Normal 2 3 3 3 4 3 5 2" xfId="23087"/>
    <cellStyle name="Normal 2 3 3 3 4 3 6" xfId="23088"/>
    <cellStyle name="Normal 2 3 3 3 4 3 6 2" xfId="23089"/>
    <cellStyle name="Normal 2 3 3 3 4 3 7" xfId="23090"/>
    <cellStyle name="Normal 2 3 3 3 4 3 7 2" xfId="23091"/>
    <cellStyle name="Normal 2 3 3 3 4 3 8" xfId="23092"/>
    <cellStyle name="Normal 2 3 3 3 4 3 8 2" xfId="23093"/>
    <cellStyle name="Normal 2 3 3 3 4 3 9" xfId="23094"/>
    <cellStyle name="Normal 2 3 3 3 4 3 9 2" xfId="23095"/>
    <cellStyle name="Normal 2 3 3 3 4 4" xfId="23096"/>
    <cellStyle name="Normal 2 3 3 3 4 4 2" xfId="23097"/>
    <cellStyle name="Normal 2 3 3 3 4 5" xfId="23098"/>
    <cellStyle name="Normal 2 3 3 3 4 5 2" xfId="23099"/>
    <cellStyle name="Normal 2 3 3 3 4 6" xfId="23100"/>
    <cellStyle name="Normal 2 3 3 3 4 6 2" xfId="23101"/>
    <cellStyle name="Normal 2 3 3 3 4 7" xfId="23102"/>
    <cellStyle name="Normal 2 3 3 3 4 7 2" xfId="23103"/>
    <cellStyle name="Normal 2 3 3 3 4 8" xfId="23104"/>
    <cellStyle name="Normal 2 3 3 3 4 8 2" xfId="23105"/>
    <cellStyle name="Normal 2 3 3 3 4 9" xfId="23106"/>
    <cellStyle name="Normal 2 3 3 3 4 9 2" xfId="23107"/>
    <cellStyle name="Normal 2 3 3 3 5" xfId="23108"/>
    <cellStyle name="Normal 2 3 3 3 5 10" xfId="23109"/>
    <cellStyle name="Normal 2 3 3 3 5 10 2" xfId="23110"/>
    <cellStyle name="Normal 2 3 3 3 5 11" xfId="23111"/>
    <cellStyle name="Normal 2 3 3 3 5 11 2" xfId="23112"/>
    <cellStyle name="Normal 2 3 3 3 5 12" xfId="23113"/>
    <cellStyle name="Normal 2 3 3 3 5 12 2" xfId="23114"/>
    <cellStyle name="Normal 2 3 3 3 5 13" xfId="23115"/>
    <cellStyle name="Normal 2 3 3 3 5 2" xfId="23116"/>
    <cellStyle name="Normal 2 3 3 3 5 2 10" xfId="23117"/>
    <cellStyle name="Normal 2 3 3 3 5 2 10 2" xfId="23118"/>
    <cellStyle name="Normal 2 3 3 3 5 2 11" xfId="23119"/>
    <cellStyle name="Normal 2 3 3 3 5 2 11 2" xfId="23120"/>
    <cellStyle name="Normal 2 3 3 3 5 2 12" xfId="23121"/>
    <cellStyle name="Normal 2 3 3 3 5 2 2" xfId="23122"/>
    <cellStyle name="Normal 2 3 3 3 5 2 2 10" xfId="23123"/>
    <cellStyle name="Normal 2 3 3 3 5 2 2 10 2" xfId="23124"/>
    <cellStyle name="Normal 2 3 3 3 5 2 2 11" xfId="23125"/>
    <cellStyle name="Normal 2 3 3 3 5 2 2 2" xfId="23126"/>
    <cellStyle name="Normal 2 3 3 3 5 2 2 2 2" xfId="23127"/>
    <cellStyle name="Normal 2 3 3 3 5 2 2 3" xfId="23128"/>
    <cellStyle name="Normal 2 3 3 3 5 2 2 3 2" xfId="23129"/>
    <cellStyle name="Normal 2 3 3 3 5 2 2 4" xfId="23130"/>
    <cellStyle name="Normal 2 3 3 3 5 2 2 4 2" xfId="23131"/>
    <cellStyle name="Normal 2 3 3 3 5 2 2 5" xfId="23132"/>
    <cellStyle name="Normal 2 3 3 3 5 2 2 5 2" xfId="23133"/>
    <cellStyle name="Normal 2 3 3 3 5 2 2 6" xfId="23134"/>
    <cellStyle name="Normal 2 3 3 3 5 2 2 6 2" xfId="23135"/>
    <cellStyle name="Normal 2 3 3 3 5 2 2 7" xfId="23136"/>
    <cellStyle name="Normal 2 3 3 3 5 2 2 7 2" xfId="23137"/>
    <cellStyle name="Normal 2 3 3 3 5 2 2 8" xfId="23138"/>
    <cellStyle name="Normal 2 3 3 3 5 2 2 8 2" xfId="23139"/>
    <cellStyle name="Normal 2 3 3 3 5 2 2 9" xfId="23140"/>
    <cellStyle name="Normal 2 3 3 3 5 2 2 9 2" xfId="23141"/>
    <cellStyle name="Normal 2 3 3 3 5 2 3" xfId="23142"/>
    <cellStyle name="Normal 2 3 3 3 5 2 3 2" xfId="23143"/>
    <cellStyle name="Normal 2 3 3 3 5 2 4" xfId="23144"/>
    <cellStyle name="Normal 2 3 3 3 5 2 4 2" xfId="23145"/>
    <cellStyle name="Normal 2 3 3 3 5 2 5" xfId="23146"/>
    <cellStyle name="Normal 2 3 3 3 5 2 5 2" xfId="23147"/>
    <cellStyle name="Normal 2 3 3 3 5 2 6" xfId="23148"/>
    <cellStyle name="Normal 2 3 3 3 5 2 6 2" xfId="23149"/>
    <cellStyle name="Normal 2 3 3 3 5 2 7" xfId="23150"/>
    <cellStyle name="Normal 2 3 3 3 5 2 7 2" xfId="23151"/>
    <cellStyle name="Normal 2 3 3 3 5 2 8" xfId="23152"/>
    <cellStyle name="Normal 2 3 3 3 5 2 8 2" xfId="23153"/>
    <cellStyle name="Normal 2 3 3 3 5 2 9" xfId="23154"/>
    <cellStyle name="Normal 2 3 3 3 5 2 9 2" xfId="23155"/>
    <cellStyle name="Normal 2 3 3 3 5 3" xfId="23156"/>
    <cellStyle name="Normal 2 3 3 3 5 3 10" xfId="23157"/>
    <cellStyle name="Normal 2 3 3 3 5 3 10 2" xfId="23158"/>
    <cellStyle name="Normal 2 3 3 3 5 3 11" xfId="23159"/>
    <cellStyle name="Normal 2 3 3 3 5 3 2" xfId="23160"/>
    <cellStyle name="Normal 2 3 3 3 5 3 2 2" xfId="23161"/>
    <cellStyle name="Normal 2 3 3 3 5 3 3" xfId="23162"/>
    <cellStyle name="Normal 2 3 3 3 5 3 3 2" xfId="23163"/>
    <cellStyle name="Normal 2 3 3 3 5 3 4" xfId="23164"/>
    <cellStyle name="Normal 2 3 3 3 5 3 4 2" xfId="23165"/>
    <cellStyle name="Normal 2 3 3 3 5 3 5" xfId="23166"/>
    <cellStyle name="Normal 2 3 3 3 5 3 5 2" xfId="23167"/>
    <cellStyle name="Normal 2 3 3 3 5 3 6" xfId="23168"/>
    <cellStyle name="Normal 2 3 3 3 5 3 6 2" xfId="23169"/>
    <cellStyle name="Normal 2 3 3 3 5 3 7" xfId="23170"/>
    <cellStyle name="Normal 2 3 3 3 5 3 7 2" xfId="23171"/>
    <cellStyle name="Normal 2 3 3 3 5 3 8" xfId="23172"/>
    <cellStyle name="Normal 2 3 3 3 5 3 8 2" xfId="23173"/>
    <cellStyle name="Normal 2 3 3 3 5 3 9" xfId="23174"/>
    <cellStyle name="Normal 2 3 3 3 5 3 9 2" xfId="23175"/>
    <cellStyle name="Normal 2 3 3 3 5 4" xfId="23176"/>
    <cellStyle name="Normal 2 3 3 3 5 4 2" xfId="23177"/>
    <cellStyle name="Normal 2 3 3 3 5 5" xfId="23178"/>
    <cellStyle name="Normal 2 3 3 3 5 5 2" xfId="23179"/>
    <cellStyle name="Normal 2 3 3 3 5 6" xfId="23180"/>
    <cellStyle name="Normal 2 3 3 3 5 6 2" xfId="23181"/>
    <cellStyle name="Normal 2 3 3 3 5 7" xfId="23182"/>
    <cellStyle name="Normal 2 3 3 3 5 7 2" xfId="23183"/>
    <cellStyle name="Normal 2 3 3 3 5 8" xfId="23184"/>
    <cellStyle name="Normal 2 3 3 3 5 8 2" xfId="23185"/>
    <cellStyle name="Normal 2 3 3 3 5 9" xfId="23186"/>
    <cellStyle name="Normal 2 3 3 3 5 9 2" xfId="23187"/>
    <cellStyle name="Normal 2 3 3 3 6" xfId="23188"/>
    <cellStyle name="Normal 2 3 3 3 6 10" xfId="23189"/>
    <cellStyle name="Normal 2 3 3 3 6 10 2" xfId="23190"/>
    <cellStyle name="Normal 2 3 3 3 6 11" xfId="23191"/>
    <cellStyle name="Normal 2 3 3 3 6 11 2" xfId="23192"/>
    <cellStyle name="Normal 2 3 3 3 6 12" xfId="23193"/>
    <cellStyle name="Normal 2 3 3 3 6 12 2" xfId="23194"/>
    <cellStyle name="Normal 2 3 3 3 6 13" xfId="23195"/>
    <cellStyle name="Normal 2 3 3 3 6 2" xfId="23196"/>
    <cellStyle name="Normal 2 3 3 3 6 2 10" xfId="23197"/>
    <cellStyle name="Normal 2 3 3 3 6 2 10 2" xfId="23198"/>
    <cellStyle name="Normal 2 3 3 3 6 2 11" xfId="23199"/>
    <cellStyle name="Normal 2 3 3 3 6 2 11 2" xfId="23200"/>
    <cellStyle name="Normal 2 3 3 3 6 2 12" xfId="23201"/>
    <cellStyle name="Normal 2 3 3 3 6 2 2" xfId="23202"/>
    <cellStyle name="Normal 2 3 3 3 6 2 2 10" xfId="23203"/>
    <cellStyle name="Normal 2 3 3 3 6 2 2 10 2" xfId="23204"/>
    <cellStyle name="Normal 2 3 3 3 6 2 2 11" xfId="23205"/>
    <cellStyle name="Normal 2 3 3 3 6 2 2 2" xfId="23206"/>
    <cellStyle name="Normal 2 3 3 3 6 2 2 2 2" xfId="23207"/>
    <cellStyle name="Normal 2 3 3 3 6 2 2 3" xfId="23208"/>
    <cellStyle name="Normal 2 3 3 3 6 2 2 3 2" xfId="23209"/>
    <cellStyle name="Normal 2 3 3 3 6 2 2 4" xfId="23210"/>
    <cellStyle name="Normal 2 3 3 3 6 2 2 4 2" xfId="23211"/>
    <cellStyle name="Normal 2 3 3 3 6 2 2 5" xfId="23212"/>
    <cellStyle name="Normal 2 3 3 3 6 2 2 5 2" xfId="23213"/>
    <cellStyle name="Normal 2 3 3 3 6 2 2 6" xfId="23214"/>
    <cellStyle name="Normal 2 3 3 3 6 2 2 6 2" xfId="23215"/>
    <cellStyle name="Normal 2 3 3 3 6 2 2 7" xfId="23216"/>
    <cellStyle name="Normal 2 3 3 3 6 2 2 7 2" xfId="23217"/>
    <cellStyle name="Normal 2 3 3 3 6 2 2 8" xfId="23218"/>
    <cellStyle name="Normal 2 3 3 3 6 2 2 8 2" xfId="23219"/>
    <cellStyle name="Normal 2 3 3 3 6 2 2 9" xfId="23220"/>
    <cellStyle name="Normal 2 3 3 3 6 2 2 9 2" xfId="23221"/>
    <cellStyle name="Normal 2 3 3 3 6 2 3" xfId="23222"/>
    <cellStyle name="Normal 2 3 3 3 6 2 3 2" xfId="23223"/>
    <cellStyle name="Normal 2 3 3 3 6 2 4" xfId="23224"/>
    <cellStyle name="Normal 2 3 3 3 6 2 4 2" xfId="23225"/>
    <cellStyle name="Normal 2 3 3 3 6 2 5" xfId="23226"/>
    <cellStyle name="Normal 2 3 3 3 6 2 5 2" xfId="23227"/>
    <cellStyle name="Normal 2 3 3 3 6 2 6" xfId="23228"/>
    <cellStyle name="Normal 2 3 3 3 6 2 6 2" xfId="23229"/>
    <cellStyle name="Normal 2 3 3 3 6 2 7" xfId="23230"/>
    <cellStyle name="Normal 2 3 3 3 6 2 7 2" xfId="23231"/>
    <cellStyle name="Normal 2 3 3 3 6 2 8" xfId="23232"/>
    <cellStyle name="Normal 2 3 3 3 6 2 8 2" xfId="23233"/>
    <cellStyle name="Normal 2 3 3 3 6 2 9" xfId="23234"/>
    <cellStyle name="Normal 2 3 3 3 6 2 9 2" xfId="23235"/>
    <cellStyle name="Normal 2 3 3 3 6 3" xfId="23236"/>
    <cellStyle name="Normal 2 3 3 3 6 3 10" xfId="23237"/>
    <cellStyle name="Normal 2 3 3 3 6 3 10 2" xfId="23238"/>
    <cellStyle name="Normal 2 3 3 3 6 3 11" xfId="23239"/>
    <cellStyle name="Normal 2 3 3 3 6 3 2" xfId="23240"/>
    <cellStyle name="Normal 2 3 3 3 6 3 2 2" xfId="23241"/>
    <cellStyle name="Normal 2 3 3 3 6 3 3" xfId="23242"/>
    <cellStyle name="Normal 2 3 3 3 6 3 3 2" xfId="23243"/>
    <cellStyle name="Normal 2 3 3 3 6 3 4" xfId="23244"/>
    <cellStyle name="Normal 2 3 3 3 6 3 4 2" xfId="23245"/>
    <cellStyle name="Normal 2 3 3 3 6 3 5" xfId="23246"/>
    <cellStyle name="Normal 2 3 3 3 6 3 5 2" xfId="23247"/>
    <cellStyle name="Normal 2 3 3 3 6 3 6" xfId="23248"/>
    <cellStyle name="Normal 2 3 3 3 6 3 6 2" xfId="23249"/>
    <cellStyle name="Normal 2 3 3 3 6 3 7" xfId="23250"/>
    <cellStyle name="Normal 2 3 3 3 6 3 7 2" xfId="23251"/>
    <cellStyle name="Normal 2 3 3 3 6 3 8" xfId="23252"/>
    <cellStyle name="Normal 2 3 3 3 6 3 8 2" xfId="23253"/>
    <cellStyle name="Normal 2 3 3 3 6 3 9" xfId="23254"/>
    <cellStyle name="Normal 2 3 3 3 6 3 9 2" xfId="23255"/>
    <cellStyle name="Normal 2 3 3 3 6 4" xfId="23256"/>
    <cellStyle name="Normal 2 3 3 3 6 4 2" xfId="23257"/>
    <cellStyle name="Normal 2 3 3 3 6 5" xfId="23258"/>
    <cellStyle name="Normal 2 3 3 3 6 5 2" xfId="23259"/>
    <cellStyle name="Normal 2 3 3 3 6 6" xfId="23260"/>
    <cellStyle name="Normal 2 3 3 3 6 6 2" xfId="23261"/>
    <cellStyle name="Normal 2 3 3 3 6 7" xfId="23262"/>
    <cellStyle name="Normal 2 3 3 3 6 7 2" xfId="23263"/>
    <cellStyle name="Normal 2 3 3 3 6 8" xfId="23264"/>
    <cellStyle name="Normal 2 3 3 3 6 8 2" xfId="23265"/>
    <cellStyle name="Normal 2 3 3 3 6 9" xfId="23266"/>
    <cellStyle name="Normal 2 3 3 3 6 9 2" xfId="23267"/>
    <cellStyle name="Normal 2 3 3 4" xfId="23268"/>
    <cellStyle name="Normal 2 3 3 4 10" xfId="23269"/>
    <cellStyle name="Normal 2 3 3 4 10 2" xfId="23270"/>
    <cellStyle name="Normal 2 3 3 4 11" xfId="23271"/>
    <cellStyle name="Normal 2 3 3 4 11 2" xfId="23272"/>
    <cellStyle name="Normal 2 3 3 4 12" xfId="23273"/>
    <cellStyle name="Normal 2 3 3 4 12 2" xfId="23274"/>
    <cellStyle name="Normal 2 3 3 4 13" xfId="23275"/>
    <cellStyle name="Normal 2 3 3 4 2" xfId="23276"/>
    <cellStyle name="Normal 2 3 3 4 2 10" xfId="23277"/>
    <cellStyle name="Normal 2 3 3 4 2 10 2" xfId="23278"/>
    <cellStyle name="Normal 2 3 3 4 2 11" xfId="23279"/>
    <cellStyle name="Normal 2 3 3 4 2 11 2" xfId="23280"/>
    <cellStyle name="Normal 2 3 3 4 2 12" xfId="23281"/>
    <cellStyle name="Normal 2 3 3 4 2 2" xfId="23282"/>
    <cellStyle name="Normal 2 3 3 4 2 2 10" xfId="23283"/>
    <cellStyle name="Normal 2 3 3 4 2 2 10 2" xfId="23284"/>
    <cellStyle name="Normal 2 3 3 4 2 2 11" xfId="23285"/>
    <cellStyle name="Normal 2 3 3 4 2 2 2" xfId="23286"/>
    <cellStyle name="Normal 2 3 3 4 2 2 2 2" xfId="23287"/>
    <cellStyle name="Normal 2 3 3 4 2 2 3" xfId="23288"/>
    <cellStyle name="Normal 2 3 3 4 2 2 3 2" xfId="23289"/>
    <cellStyle name="Normal 2 3 3 4 2 2 4" xfId="23290"/>
    <cellStyle name="Normal 2 3 3 4 2 2 4 2" xfId="23291"/>
    <cellStyle name="Normal 2 3 3 4 2 2 5" xfId="23292"/>
    <cellStyle name="Normal 2 3 3 4 2 2 5 2" xfId="23293"/>
    <cellStyle name="Normal 2 3 3 4 2 2 6" xfId="23294"/>
    <cellStyle name="Normal 2 3 3 4 2 2 6 2" xfId="23295"/>
    <cellStyle name="Normal 2 3 3 4 2 2 7" xfId="23296"/>
    <cellStyle name="Normal 2 3 3 4 2 2 7 2" xfId="23297"/>
    <cellStyle name="Normal 2 3 3 4 2 2 8" xfId="23298"/>
    <cellStyle name="Normal 2 3 3 4 2 2 8 2" xfId="23299"/>
    <cellStyle name="Normal 2 3 3 4 2 2 9" xfId="23300"/>
    <cellStyle name="Normal 2 3 3 4 2 2 9 2" xfId="23301"/>
    <cellStyle name="Normal 2 3 3 4 2 3" xfId="23302"/>
    <cellStyle name="Normal 2 3 3 4 2 3 2" xfId="23303"/>
    <cellStyle name="Normal 2 3 3 4 2 4" xfId="23304"/>
    <cellStyle name="Normal 2 3 3 4 2 4 2" xfId="23305"/>
    <cellStyle name="Normal 2 3 3 4 2 5" xfId="23306"/>
    <cellStyle name="Normal 2 3 3 4 2 5 2" xfId="23307"/>
    <cellStyle name="Normal 2 3 3 4 2 6" xfId="23308"/>
    <cellStyle name="Normal 2 3 3 4 2 6 2" xfId="23309"/>
    <cellStyle name="Normal 2 3 3 4 2 7" xfId="23310"/>
    <cellStyle name="Normal 2 3 3 4 2 7 2" xfId="23311"/>
    <cellStyle name="Normal 2 3 3 4 2 8" xfId="23312"/>
    <cellStyle name="Normal 2 3 3 4 2 8 2" xfId="23313"/>
    <cellStyle name="Normal 2 3 3 4 2 9" xfId="23314"/>
    <cellStyle name="Normal 2 3 3 4 2 9 2" xfId="23315"/>
    <cellStyle name="Normal 2 3 3 4 3" xfId="23316"/>
    <cellStyle name="Normal 2 3 3 4 3 10" xfId="23317"/>
    <cellStyle name="Normal 2 3 3 4 3 10 2" xfId="23318"/>
    <cellStyle name="Normal 2 3 3 4 3 11" xfId="23319"/>
    <cellStyle name="Normal 2 3 3 4 3 2" xfId="23320"/>
    <cellStyle name="Normal 2 3 3 4 3 2 2" xfId="23321"/>
    <cellStyle name="Normal 2 3 3 4 3 3" xfId="23322"/>
    <cellStyle name="Normal 2 3 3 4 3 3 2" xfId="23323"/>
    <cellStyle name="Normal 2 3 3 4 3 4" xfId="23324"/>
    <cellStyle name="Normal 2 3 3 4 3 4 2" xfId="23325"/>
    <cellStyle name="Normal 2 3 3 4 3 5" xfId="23326"/>
    <cellStyle name="Normal 2 3 3 4 3 5 2" xfId="23327"/>
    <cellStyle name="Normal 2 3 3 4 3 6" xfId="23328"/>
    <cellStyle name="Normal 2 3 3 4 3 6 2" xfId="23329"/>
    <cellStyle name="Normal 2 3 3 4 3 7" xfId="23330"/>
    <cellStyle name="Normal 2 3 3 4 3 7 2" xfId="23331"/>
    <cellStyle name="Normal 2 3 3 4 3 8" xfId="23332"/>
    <cellStyle name="Normal 2 3 3 4 3 8 2" xfId="23333"/>
    <cellStyle name="Normal 2 3 3 4 3 9" xfId="23334"/>
    <cellStyle name="Normal 2 3 3 4 3 9 2" xfId="23335"/>
    <cellStyle name="Normal 2 3 3 4 4" xfId="23336"/>
    <cellStyle name="Normal 2 3 3 4 4 2" xfId="23337"/>
    <cellStyle name="Normal 2 3 3 4 5" xfId="23338"/>
    <cellStyle name="Normal 2 3 3 4 5 2" xfId="23339"/>
    <cellStyle name="Normal 2 3 3 4 6" xfId="23340"/>
    <cellStyle name="Normal 2 3 3 4 6 2" xfId="23341"/>
    <cellStyle name="Normal 2 3 3 4 7" xfId="23342"/>
    <cellStyle name="Normal 2 3 3 4 7 2" xfId="23343"/>
    <cellStyle name="Normal 2 3 3 4 8" xfId="23344"/>
    <cellStyle name="Normal 2 3 3 4 8 2" xfId="23345"/>
    <cellStyle name="Normal 2 3 3 4 9" xfId="23346"/>
    <cellStyle name="Normal 2 3 3 4 9 2" xfId="23347"/>
    <cellStyle name="Normal 2 3 3 5" xfId="23348"/>
    <cellStyle name="Normal 2 3 3 5 10" xfId="23349"/>
    <cellStyle name="Normal 2 3 3 5 10 2" xfId="23350"/>
    <cellStyle name="Normal 2 3 3 5 11" xfId="23351"/>
    <cellStyle name="Normal 2 3 3 5 11 2" xfId="23352"/>
    <cellStyle name="Normal 2 3 3 5 12" xfId="23353"/>
    <cellStyle name="Normal 2 3 3 5 12 2" xfId="23354"/>
    <cellStyle name="Normal 2 3 3 5 13" xfId="23355"/>
    <cellStyle name="Normal 2 3 3 5 2" xfId="23356"/>
    <cellStyle name="Normal 2 3 3 5 2 10" xfId="23357"/>
    <cellStyle name="Normal 2 3 3 5 2 10 2" xfId="23358"/>
    <cellStyle name="Normal 2 3 3 5 2 11" xfId="23359"/>
    <cellStyle name="Normal 2 3 3 5 2 11 2" xfId="23360"/>
    <cellStyle name="Normal 2 3 3 5 2 12" xfId="23361"/>
    <cellStyle name="Normal 2 3 3 5 2 2" xfId="23362"/>
    <cellStyle name="Normal 2 3 3 5 2 2 10" xfId="23363"/>
    <cellStyle name="Normal 2 3 3 5 2 2 10 2" xfId="23364"/>
    <cellStyle name="Normal 2 3 3 5 2 2 11" xfId="23365"/>
    <cellStyle name="Normal 2 3 3 5 2 2 2" xfId="23366"/>
    <cellStyle name="Normal 2 3 3 5 2 2 2 2" xfId="23367"/>
    <cellStyle name="Normal 2 3 3 5 2 2 3" xfId="23368"/>
    <cellStyle name="Normal 2 3 3 5 2 2 3 2" xfId="23369"/>
    <cellStyle name="Normal 2 3 3 5 2 2 4" xfId="23370"/>
    <cellStyle name="Normal 2 3 3 5 2 2 4 2" xfId="23371"/>
    <cellStyle name="Normal 2 3 3 5 2 2 5" xfId="23372"/>
    <cellStyle name="Normal 2 3 3 5 2 2 5 2" xfId="23373"/>
    <cellStyle name="Normal 2 3 3 5 2 2 6" xfId="23374"/>
    <cellStyle name="Normal 2 3 3 5 2 2 6 2" xfId="23375"/>
    <cellStyle name="Normal 2 3 3 5 2 2 7" xfId="23376"/>
    <cellStyle name="Normal 2 3 3 5 2 2 7 2" xfId="23377"/>
    <cellStyle name="Normal 2 3 3 5 2 2 8" xfId="23378"/>
    <cellStyle name="Normal 2 3 3 5 2 2 8 2" xfId="23379"/>
    <cellStyle name="Normal 2 3 3 5 2 2 9" xfId="23380"/>
    <cellStyle name="Normal 2 3 3 5 2 2 9 2" xfId="23381"/>
    <cellStyle name="Normal 2 3 3 5 2 3" xfId="23382"/>
    <cellStyle name="Normal 2 3 3 5 2 3 2" xfId="23383"/>
    <cellStyle name="Normal 2 3 3 5 2 4" xfId="23384"/>
    <cellStyle name="Normal 2 3 3 5 2 4 2" xfId="23385"/>
    <cellStyle name="Normal 2 3 3 5 2 5" xfId="23386"/>
    <cellStyle name="Normal 2 3 3 5 2 5 2" xfId="23387"/>
    <cellStyle name="Normal 2 3 3 5 2 6" xfId="23388"/>
    <cellStyle name="Normal 2 3 3 5 2 6 2" xfId="23389"/>
    <cellStyle name="Normal 2 3 3 5 2 7" xfId="23390"/>
    <cellStyle name="Normal 2 3 3 5 2 7 2" xfId="23391"/>
    <cellStyle name="Normal 2 3 3 5 2 8" xfId="23392"/>
    <cellStyle name="Normal 2 3 3 5 2 8 2" xfId="23393"/>
    <cellStyle name="Normal 2 3 3 5 2 9" xfId="23394"/>
    <cellStyle name="Normal 2 3 3 5 2 9 2" xfId="23395"/>
    <cellStyle name="Normal 2 3 3 5 3" xfId="23396"/>
    <cellStyle name="Normal 2 3 3 5 3 10" xfId="23397"/>
    <cellStyle name="Normal 2 3 3 5 3 10 2" xfId="23398"/>
    <cellStyle name="Normal 2 3 3 5 3 11" xfId="23399"/>
    <cellStyle name="Normal 2 3 3 5 3 2" xfId="23400"/>
    <cellStyle name="Normal 2 3 3 5 3 2 2" xfId="23401"/>
    <cellStyle name="Normal 2 3 3 5 3 3" xfId="23402"/>
    <cellStyle name="Normal 2 3 3 5 3 3 2" xfId="23403"/>
    <cellStyle name="Normal 2 3 3 5 3 4" xfId="23404"/>
    <cellStyle name="Normal 2 3 3 5 3 4 2" xfId="23405"/>
    <cellStyle name="Normal 2 3 3 5 3 5" xfId="23406"/>
    <cellStyle name="Normal 2 3 3 5 3 5 2" xfId="23407"/>
    <cellStyle name="Normal 2 3 3 5 3 6" xfId="23408"/>
    <cellStyle name="Normal 2 3 3 5 3 6 2" xfId="23409"/>
    <cellStyle name="Normal 2 3 3 5 3 7" xfId="23410"/>
    <cellStyle name="Normal 2 3 3 5 3 7 2" xfId="23411"/>
    <cellStyle name="Normal 2 3 3 5 3 8" xfId="23412"/>
    <cellStyle name="Normal 2 3 3 5 3 8 2" xfId="23413"/>
    <cellStyle name="Normal 2 3 3 5 3 9" xfId="23414"/>
    <cellStyle name="Normal 2 3 3 5 3 9 2" xfId="23415"/>
    <cellStyle name="Normal 2 3 3 5 4" xfId="23416"/>
    <cellStyle name="Normal 2 3 3 5 4 2" xfId="23417"/>
    <cellStyle name="Normal 2 3 3 5 5" xfId="23418"/>
    <cellStyle name="Normal 2 3 3 5 5 2" xfId="23419"/>
    <cellStyle name="Normal 2 3 3 5 6" xfId="23420"/>
    <cellStyle name="Normal 2 3 3 5 6 2" xfId="23421"/>
    <cellStyle name="Normal 2 3 3 5 7" xfId="23422"/>
    <cellStyle name="Normal 2 3 3 5 7 2" xfId="23423"/>
    <cellStyle name="Normal 2 3 3 5 8" xfId="23424"/>
    <cellStyle name="Normal 2 3 3 5 8 2" xfId="23425"/>
    <cellStyle name="Normal 2 3 3 5 9" xfId="23426"/>
    <cellStyle name="Normal 2 3 3 5 9 2" xfId="23427"/>
    <cellStyle name="Normal 2 3 3 6" xfId="23428"/>
    <cellStyle name="Normal 2 3 3 6 2" xfId="23429"/>
    <cellStyle name="Normal 2 3 3 6 2 10" xfId="23430"/>
    <cellStyle name="Normal 2 3 3 6 2 10 2" xfId="23431"/>
    <cellStyle name="Normal 2 3 3 6 2 11" xfId="23432"/>
    <cellStyle name="Normal 2 3 3 6 2 11 2" xfId="23433"/>
    <cellStyle name="Normal 2 3 3 6 2 12" xfId="23434"/>
    <cellStyle name="Normal 2 3 3 6 2 12 2" xfId="23435"/>
    <cellStyle name="Normal 2 3 3 6 2 13" xfId="23436"/>
    <cellStyle name="Normal 2 3 3 6 2 2" xfId="23437"/>
    <cellStyle name="Normal 2 3 3 6 2 2 10" xfId="23438"/>
    <cellStyle name="Normal 2 3 3 6 2 2 10 2" xfId="23439"/>
    <cellStyle name="Normal 2 3 3 6 2 2 11" xfId="23440"/>
    <cellStyle name="Normal 2 3 3 6 2 2 11 2" xfId="23441"/>
    <cellStyle name="Normal 2 3 3 6 2 2 12" xfId="23442"/>
    <cellStyle name="Normal 2 3 3 6 2 2 2" xfId="23443"/>
    <cellStyle name="Normal 2 3 3 6 2 2 2 10" xfId="23444"/>
    <cellStyle name="Normal 2 3 3 6 2 2 2 10 2" xfId="23445"/>
    <cellStyle name="Normal 2 3 3 6 2 2 2 11" xfId="23446"/>
    <cellStyle name="Normal 2 3 3 6 2 2 2 2" xfId="23447"/>
    <cellStyle name="Normal 2 3 3 6 2 2 2 2 2" xfId="23448"/>
    <cellStyle name="Normal 2 3 3 6 2 2 2 3" xfId="23449"/>
    <cellStyle name="Normal 2 3 3 6 2 2 2 3 2" xfId="23450"/>
    <cellStyle name="Normal 2 3 3 6 2 2 2 4" xfId="23451"/>
    <cellStyle name="Normal 2 3 3 6 2 2 2 4 2" xfId="23452"/>
    <cellStyle name="Normal 2 3 3 6 2 2 2 5" xfId="23453"/>
    <cellStyle name="Normal 2 3 3 6 2 2 2 5 2" xfId="23454"/>
    <cellStyle name="Normal 2 3 3 6 2 2 2 6" xfId="23455"/>
    <cellStyle name="Normal 2 3 3 6 2 2 2 6 2" xfId="23456"/>
    <cellStyle name="Normal 2 3 3 6 2 2 2 7" xfId="23457"/>
    <cellStyle name="Normal 2 3 3 6 2 2 2 7 2" xfId="23458"/>
    <cellStyle name="Normal 2 3 3 6 2 2 2 8" xfId="23459"/>
    <cellStyle name="Normal 2 3 3 6 2 2 2 8 2" xfId="23460"/>
    <cellStyle name="Normal 2 3 3 6 2 2 2 9" xfId="23461"/>
    <cellStyle name="Normal 2 3 3 6 2 2 2 9 2" xfId="23462"/>
    <cellStyle name="Normal 2 3 3 6 2 2 3" xfId="23463"/>
    <cellStyle name="Normal 2 3 3 6 2 2 3 2" xfId="23464"/>
    <cellStyle name="Normal 2 3 3 6 2 2 4" xfId="23465"/>
    <cellStyle name="Normal 2 3 3 6 2 2 4 2" xfId="23466"/>
    <cellStyle name="Normal 2 3 3 6 2 2 5" xfId="23467"/>
    <cellStyle name="Normal 2 3 3 6 2 2 5 2" xfId="23468"/>
    <cellStyle name="Normal 2 3 3 6 2 2 6" xfId="23469"/>
    <cellStyle name="Normal 2 3 3 6 2 2 6 2" xfId="23470"/>
    <cellStyle name="Normal 2 3 3 6 2 2 7" xfId="23471"/>
    <cellStyle name="Normal 2 3 3 6 2 2 7 2" xfId="23472"/>
    <cellStyle name="Normal 2 3 3 6 2 2 8" xfId="23473"/>
    <cellStyle name="Normal 2 3 3 6 2 2 8 2" xfId="23474"/>
    <cellStyle name="Normal 2 3 3 6 2 2 9" xfId="23475"/>
    <cellStyle name="Normal 2 3 3 6 2 2 9 2" xfId="23476"/>
    <cellStyle name="Normal 2 3 3 6 2 3" xfId="23477"/>
    <cellStyle name="Normal 2 3 3 6 2 3 10" xfId="23478"/>
    <cellStyle name="Normal 2 3 3 6 2 3 10 2" xfId="23479"/>
    <cellStyle name="Normal 2 3 3 6 2 3 11" xfId="23480"/>
    <cellStyle name="Normal 2 3 3 6 2 3 2" xfId="23481"/>
    <cellStyle name="Normal 2 3 3 6 2 3 2 2" xfId="23482"/>
    <cellStyle name="Normal 2 3 3 6 2 3 3" xfId="23483"/>
    <cellStyle name="Normal 2 3 3 6 2 3 3 2" xfId="23484"/>
    <cellStyle name="Normal 2 3 3 6 2 3 4" xfId="23485"/>
    <cellStyle name="Normal 2 3 3 6 2 3 4 2" xfId="23486"/>
    <cellStyle name="Normal 2 3 3 6 2 3 5" xfId="23487"/>
    <cellStyle name="Normal 2 3 3 6 2 3 5 2" xfId="23488"/>
    <cellStyle name="Normal 2 3 3 6 2 3 6" xfId="23489"/>
    <cellStyle name="Normal 2 3 3 6 2 3 6 2" xfId="23490"/>
    <cellStyle name="Normal 2 3 3 6 2 3 7" xfId="23491"/>
    <cellStyle name="Normal 2 3 3 6 2 3 7 2" xfId="23492"/>
    <cellStyle name="Normal 2 3 3 6 2 3 8" xfId="23493"/>
    <cellStyle name="Normal 2 3 3 6 2 3 8 2" xfId="23494"/>
    <cellStyle name="Normal 2 3 3 6 2 3 9" xfId="23495"/>
    <cellStyle name="Normal 2 3 3 6 2 3 9 2" xfId="23496"/>
    <cellStyle name="Normal 2 3 3 6 2 4" xfId="23497"/>
    <cellStyle name="Normal 2 3 3 6 2 4 2" xfId="23498"/>
    <cellStyle name="Normal 2 3 3 6 2 5" xfId="23499"/>
    <cellStyle name="Normal 2 3 3 6 2 5 2" xfId="23500"/>
    <cellStyle name="Normal 2 3 3 6 2 6" xfId="23501"/>
    <cellStyle name="Normal 2 3 3 6 2 6 2" xfId="23502"/>
    <cellStyle name="Normal 2 3 3 6 2 7" xfId="23503"/>
    <cellStyle name="Normal 2 3 3 6 2 7 2" xfId="23504"/>
    <cellStyle name="Normal 2 3 3 6 2 8" xfId="23505"/>
    <cellStyle name="Normal 2 3 3 6 2 8 2" xfId="23506"/>
    <cellStyle name="Normal 2 3 3 6 2 9" xfId="23507"/>
    <cellStyle name="Normal 2 3 3 6 2 9 2" xfId="23508"/>
    <cellStyle name="Normal 2 3 3 6 3" xfId="23509"/>
    <cellStyle name="Normal 2 3 3 6 3 10" xfId="23510"/>
    <cellStyle name="Normal 2 3 3 6 3 10 2" xfId="23511"/>
    <cellStyle name="Normal 2 3 3 6 3 11" xfId="23512"/>
    <cellStyle name="Normal 2 3 3 6 3 11 2" xfId="23513"/>
    <cellStyle name="Normal 2 3 3 6 3 12" xfId="23514"/>
    <cellStyle name="Normal 2 3 3 6 3 12 2" xfId="23515"/>
    <cellStyle name="Normal 2 3 3 6 3 13" xfId="23516"/>
    <cellStyle name="Normal 2 3 3 6 3 2" xfId="23517"/>
    <cellStyle name="Normal 2 3 3 6 3 2 10" xfId="23518"/>
    <cellStyle name="Normal 2 3 3 6 3 2 10 2" xfId="23519"/>
    <cellStyle name="Normal 2 3 3 6 3 2 11" xfId="23520"/>
    <cellStyle name="Normal 2 3 3 6 3 2 11 2" xfId="23521"/>
    <cellStyle name="Normal 2 3 3 6 3 2 12" xfId="23522"/>
    <cellStyle name="Normal 2 3 3 6 3 2 2" xfId="23523"/>
    <cellStyle name="Normal 2 3 3 6 3 2 2 10" xfId="23524"/>
    <cellStyle name="Normal 2 3 3 6 3 2 2 10 2" xfId="23525"/>
    <cellStyle name="Normal 2 3 3 6 3 2 2 11" xfId="23526"/>
    <cellStyle name="Normal 2 3 3 6 3 2 2 2" xfId="23527"/>
    <cellStyle name="Normal 2 3 3 6 3 2 2 2 2" xfId="23528"/>
    <cellStyle name="Normal 2 3 3 6 3 2 2 3" xfId="23529"/>
    <cellStyle name="Normal 2 3 3 6 3 2 2 3 2" xfId="23530"/>
    <cellStyle name="Normal 2 3 3 6 3 2 2 4" xfId="23531"/>
    <cellStyle name="Normal 2 3 3 6 3 2 2 4 2" xfId="23532"/>
    <cellStyle name="Normal 2 3 3 6 3 2 2 5" xfId="23533"/>
    <cellStyle name="Normal 2 3 3 6 3 2 2 5 2" xfId="23534"/>
    <cellStyle name="Normal 2 3 3 6 3 2 2 6" xfId="23535"/>
    <cellStyle name="Normal 2 3 3 6 3 2 2 6 2" xfId="23536"/>
    <cellStyle name="Normal 2 3 3 6 3 2 2 7" xfId="23537"/>
    <cellStyle name="Normal 2 3 3 6 3 2 2 7 2" xfId="23538"/>
    <cellStyle name="Normal 2 3 3 6 3 2 2 8" xfId="23539"/>
    <cellStyle name="Normal 2 3 3 6 3 2 2 8 2" xfId="23540"/>
    <cellStyle name="Normal 2 3 3 6 3 2 2 9" xfId="23541"/>
    <cellStyle name="Normal 2 3 3 6 3 2 2 9 2" xfId="23542"/>
    <cellStyle name="Normal 2 3 3 6 3 2 3" xfId="23543"/>
    <cellStyle name="Normal 2 3 3 6 3 2 3 2" xfId="23544"/>
    <cellStyle name="Normal 2 3 3 6 3 2 4" xfId="23545"/>
    <cellStyle name="Normal 2 3 3 6 3 2 4 2" xfId="23546"/>
    <cellStyle name="Normal 2 3 3 6 3 2 5" xfId="23547"/>
    <cellStyle name="Normal 2 3 3 6 3 2 5 2" xfId="23548"/>
    <cellStyle name="Normal 2 3 3 6 3 2 6" xfId="23549"/>
    <cellStyle name="Normal 2 3 3 6 3 2 6 2" xfId="23550"/>
    <cellStyle name="Normal 2 3 3 6 3 2 7" xfId="23551"/>
    <cellStyle name="Normal 2 3 3 6 3 2 7 2" xfId="23552"/>
    <cellStyle name="Normal 2 3 3 6 3 2 8" xfId="23553"/>
    <cellStyle name="Normal 2 3 3 6 3 2 8 2" xfId="23554"/>
    <cellStyle name="Normal 2 3 3 6 3 2 9" xfId="23555"/>
    <cellStyle name="Normal 2 3 3 6 3 2 9 2" xfId="23556"/>
    <cellStyle name="Normal 2 3 3 6 3 3" xfId="23557"/>
    <cellStyle name="Normal 2 3 3 6 3 3 10" xfId="23558"/>
    <cellStyle name="Normal 2 3 3 6 3 3 10 2" xfId="23559"/>
    <cellStyle name="Normal 2 3 3 6 3 3 11" xfId="23560"/>
    <cellStyle name="Normal 2 3 3 6 3 3 2" xfId="23561"/>
    <cellStyle name="Normal 2 3 3 6 3 3 2 2" xfId="23562"/>
    <cellStyle name="Normal 2 3 3 6 3 3 3" xfId="23563"/>
    <cellStyle name="Normal 2 3 3 6 3 3 3 2" xfId="23564"/>
    <cellStyle name="Normal 2 3 3 6 3 3 4" xfId="23565"/>
    <cellStyle name="Normal 2 3 3 6 3 3 4 2" xfId="23566"/>
    <cellStyle name="Normal 2 3 3 6 3 3 5" xfId="23567"/>
    <cellStyle name="Normal 2 3 3 6 3 3 5 2" xfId="23568"/>
    <cellStyle name="Normal 2 3 3 6 3 3 6" xfId="23569"/>
    <cellStyle name="Normal 2 3 3 6 3 3 6 2" xfId="23570"/>
    <cellStyle name="Normal 2 3 3 6 3 3 7" xfId="23571"/>
    <cellStyle name="Normal 2 3 3 6 3 3 7 2" xfId="23572"/>
    <cellStyle name="Normal 2 3 3 6 3 3 8" xfId="23573"/>
    <cellStyle name="Normal 2 3 3 6 3 3 8 2" xfId="23574"/>
    <cellStyle name="Normal 2 3 3 6 3 3 9" xfId="23575"/>
    <cellStyle name="Normal 2 3 3 6 3 3 9 2" xfId="23576"/>
    <cellStyle name="Normal 2 3 3 6 3 4" xfId="23577"/>
    <cellStyle name="Normal 2 3 3 6 3 4 2" xfId="23578"/>
    <cellStyle name="Normal 2 3 3 6 3 5" xfId="23579"/>
    <cellStyle name="Normal 2 3 3 6 3 5 2" xfId="23580"/>
    <cellStyle name="Normal 2 3 3 6 3 6" xfId="23581"/>
    <cellStyle name="Normal 2 3 3 6 3 6 2" xfId="23582"/>
    <cellStyle name="Normal 2 3 3 6 3 7" xfId="23583"/>
    <cellStyle name="Normal 2 3 3 6 3 7 2" xfId="23584"/>
    <cellStyle name="Normal 2 3 3 6 3 8" xfId="23585"/>
    <cellStyle name="Normal 2 3 3 6 3 8 2" xfId="23586"/>
    <cellStyle name="Normal 2 3 3 6 3 9" xfId="23587"/>
    <cellStyle name="Normal 2 3 3 6 3 9 2" xfId="23588"/>
    <cellStyle name="Normal 2 3 3 6 4" xfId="23589"/>
    <cellStyle name="Normal 2 3 3 6 4 10" xfId="23590"/>
    <cellStyle name="Normal 2 3 3 6 4 10 2" xfId="23591"/>
    <cellStyle name="Normal 2 3 3 6 4 11" xfId="23592"/>
    <cellStyle name="Normal 2 3 3 6 4 11 2" xfId="23593"/>
    <cellStyle name="Normal 2 3 3 6 4 12" xfId="23594"/>
    <cellStyle name="Normal 2 3 3 6 4 12 2" xfId="23595"/>
    <cellStyle name="Normal 2 3 3 6 4 13" xfId="23596"/>
    <cellStyle name="Normal 2 3 3 6 4 2" xfId="23597"/>
    <cellStyle name="Normal 2 3 3 6 4 2 10" xfId="23598"/>
    <cellStyle name="Normal 2 3 3 6 4 2 10 2" xfId="23599"/>
    <cellStyle name="Normal 2 3 3 6 4 2 11" xfId="23600"/>
    <cellStyle name="Normal 2 3 3 6 4 2 11 2" xfId="23601"/>
    <cellStyle name="Normal 2 3 3 6 4 2 12" xfId="23602"/>
    <cellStyle name="Normal 2 3 3 6 4 2 2" xfId="23603"/>
    <cellStyle name="Normal 2 3 3 6 4 2 2 10" xfId="23604"/>
    <cellStyle name="Normal 2 3 3 6 4 2 2 10 2" xfId="23605"/>
    <cellStyle name="Normal 2 3 3 6 4 2 2 11" xfId="23606"/>
    <cellStyle name="Normal 2 3 3 6 4 2 2 2" xfId="23607"/>
    <cellStyle name="Normal 2 3 3 6 4 2 2 2 2" xfId="23608"/>
    <cellStyle name="Normal 2 3 3 6 4 2 2 3" xfId="23609"/>
    <cellStyle name="Normal 2 3 3 6 4 2 2 3 2" xfId="23610"/>
    <cellStyle name="Normal 2 3 3 6 4 2 2 4" xfId="23611"/>
    <cellStyle name="Normal 2 3 3 6 4 2 2 4 2" xfId="23612"/>
    <cellStyle name="Normal 2 3 3 6 4 2 2 5" xfId="23613"/>
    <cellStyle name="Normal 2 3 3 6 4 2 2 5 2" xfId="23614"/>
    <cellStyle name="Normal 2 3 3 6 4 2 2 6" xfId="23615"/>
    <cellStyle name="Normal 2 3 3 6 4 2 2 6 2" xfId="23616"/>
    <cellStyle name="Normal 2 3 3 6 4 2 2 7" xfId="23617"/>
    <cellStyle name="Normal 2 3 3 6 4 2 2 7 2" xfId="23618"/>
    <cellStyle name="Normal 2 3 3 6 4 2 2 8" xfId="23619"/>
    <cellStyle name="Normal 2 3 3 6 4 2 2 8 2" xfId="23620"/>
    <cellStyle name="Normal 2 3 3 6 4 2 2 9" xfId="23621"/>
    <cellStyle name="Normal 2 3 3 6 4 2 2 9 2" xfId="23622"/>
    <cellStyle name="Normal 2 3 3 6 4 2 3" xfId="23623"/>
    <cellStyle name="Normal 2 3 3 6 4 2 3 2" xfId="23624"/>
    <cellStyle name="Normal 2 3 3 6 4 2 4" xfId="23625"/>
    <cellStyle name="Normal 2 3 3 6 4 2 4 2" xfId="23626"/>
    <cellStyle name="Normal 2 3 3 6 4 2 5" xfId="23627"/>
    <cellStyle name="Normal 2 3 3 6 4 2 5 2" xfId="23628"/>
    <cellStyle name="Normal 2 3 3 6 4 2 6" xfId="23629"/>
    <cellStyle name="Normal 2 3 3 6 4 2 6 2" xfId="23630"/>
    <cellStyle name="Normal 2 3 3 6 4 2 7" xfId="23631"/>
    <cellStyle name="Normal 2 3 3 6 4 2 7 2" xfId="23632"/>
    <cellStyle name="Normal 2 3 3 6 4 2 8" xfId="23633"/>
    <cellStyle name="Normal 2 3 3 6 4 2 8 2" xfId="23634"/>
    <cellStyle name="Normal 2 3 3 6 4 2 9" xfId="23635"/>
    <cellStyle name="Normal 2 3 3 6 4 2 9 2" xfId="23636"/>
    <cellStyle name="Normal 2 3 3 6 4 3" xfId="23637"/>
    <cellStyle name="Normal 2 3 3 6 4 3 10" xfId="23638"/>
    <cellStyle name="Normal 2 3 3 6 4 3 10 2" xfId="23639"/>
    <cellStyle name="Normal 2 3 3 6 4 3 11" xfId="23640"/>
    <cellStyle name="Normal 2 3 3 6 4 3 2" xfId="23641"/>
    <cellStyle name="Normal 2 3 3 6 4 3 2 2" xfId="23642"/>
    <cellStyle name="Normal 2 3 3 6 4 3 3" xfId="23643"/>
    <cellStyle name="Normal 2 3 3 6 4 3 3 2" xfId="23644"/>
    <cellStyle name="Normal 2 3 3 6 4 3 4" xfId="23645"/>
    <cellStyle name="Normal 2 3 3 6 4 3 4 2" xfId="23646"/>
    <cellStyle name="Normal 2 3 3 6 4 3 5" xfId="23647"/>
    <cellStyle name="Normal 2 3 3 6 4 3 5 2" xfId="23648"/>
    <cellStyle name="Normal 2 3 3 6 4 3 6" xfId="23649"/>
    <cellStyle name="Normal 2 3 3 6 4 3 6 2" xfId="23650"/>
    <cellStyle name="Normal 2 3 3 6 4 3 7" xfId="23651"/>
    <cellStyle name="Normal 2 3 3 6 4 3 7 2" xfId="23652"/>
    <cellStyle name="Normal 2 3 3 6 4 3 8" xfId="23653"/>
    <cellStyle name="Normal 2 3 3 6 4 3 8 2" xfId="23654"/>
    <cellStyle name="Normal 2 3 3 6 4 3 9" xfId="23655"/>
    <cellStyle name="Normal 2 3 3 6 4 3 9 2" xfId="23656"/>
    <cellStyle name="Normal 2 3 3 6 4 4" xfId="23657"/>
    <cellStyle name="Normal 2 3 3 6 4 4 2" xfId="23658"/>
    <cellStyle name="Normal 2 3 3 6 4 5" xfId="23659"/>
    <cellStyle name="Normal 2 3 3 6 4 5 2" xfId="23660"/>
    <cellStyle name="Normal 2 3 3 6 4 6" xfId="23661"/>
    <cellStyle name="Normal 2 3 3 6 4 6 2" xfId="23662"/>
    <cellStyle name="Normal 2 3 3 6 4 7" xfId="23663"/>
    <cellStyle name="Normal 2 3 3 6 4 7 2" xfId="23664"/>
    <cellStyle name="Normal 2 3 3 6 4 8" xfId="23665"/>
    <cellStyle name="Normal 2 3 3 6 4 8 2" xfId="23666"/>
    <cellStyle name="Normal 2 3 3 6 4 9" xfId="23667"/>
    <cellStyle name="Normal 2 3 3 6 4 9 2" xfId="23668"/>
    <cellStyle name="Normal 2 3 3 6 5" xfId="23669"/>
    <cellStyle name="Normal 2 3 3 6 5 10" xfId="23670"/>
    <cellStyle name="Normal 2 3 3 6 5 10 2" xfId="23671"/>
    <cellStyle name="Normal 2 3 3 6 5 11" xfId="23672"/>
    <cellStyle name="Normal 2 3 3 6 5 11 2" xfId="23673"/>
    <cellStyle name="Normal 2 3 3 6 5 12" xfId="23674"/>
    <cellStyle name="Normal 2 3 3 6 5 12 2" xfId="23675"/>
    <cellStyle name="Normal 2 3 3 6 5 13" xfId="23676"/>
    <cellStyle name="Normal 2 3 3 6 5 2" xfId="23677"/>
    <cellStyle name="Normal 2 3 3 6 5 2 10" xfId="23678"/>
    <cellStyle name="Normal 2 3 3 6 5 2 10 2" xfId="23679"/>
    <cellStyle name="Normal 2 3 3 6 5 2 11" xfId="23680"/>
    <cellStyle name="Normal 2 3 3 6 5 2 11 2" xfId="23681"/>
    <cellStyle name="Normal 2 3 3 6 5 2 12" xfId="23682"/>
    <cellStyle name="Normal 2 3 3 6 5 2 2" xfId="23683"/>
    <cellStyle name="Normal 2 3 3 6 5 2 2 10" xfId="23684"/>
    <cellStyle name="Normal 2 3 3 6 5 2 2 10 2" xfId="23685"/>
    <cellStyle name="Normal 2 3 3 6 5 2 2 11" xfId="23686"/>
    <cellStyle name="Normal 2 3 3 6 5 2 2 2" xfId="23687"/>
    <cellStyle name="Normal 2 3 3 6 5 2 2 2 2" xfId="23688"/>
    <cellStyle name="Normal 2 3 3 6 5 2 2 3" xfId="23689"/>
    <cellStyle name="Normal 2 3 3 6 5 2 2 3 2" xfId="23690"/>
    <cellStyle name="Normal 2 3 3 6 5 2 2 4" xfId="23691"/>
    <cellStyle name="Normal 2 3 3 6 5 2 2 4 2" xfId="23692"/>
    <cellStyle name="Normal 2 3 3 6 5 2 2 5" xfId="23693"/>
    <cellStyle name="Normal 2 3 3 6 5 2 2 5 2" xfId="23694"/>
    <cellStyle name="Normal 2 3 3 6 5 2 2 6" xfId="23695"/>
    <cellStyle name="Normal 2 3 3 6 5 2 2 6 2" xfId="23696"/>
    <cellStyle name="Normal 2 3 3 6 5 2 2 7" xfId="23697"/>
    <cellStyle name="Normal 2 3 3 6 5 2 2 7 2" xfId="23698"/>
    <cellStyle name="Normal 2 3 3 6 5 2 2 8" xfId="23699"/>
    <cellStyle name="Normal 2 3 3 6 5 2 2 8 2" xfId="23700"/>
    <cellStyle name="Normal 2 3 3 6 5 2 2 9" xfId="23701"/>
    <cellStyle name="Normal 2 3 3 6 5 2 2 9 2" xfId="23702"/>
    <cellStyle name="Normal 2 3 3 6 5 2 3" xfId="23703"/>
    <cellStyle name="Normal 2 3 3 6 5 2 3 2" xfId="23704"/>
    <cellStyle name="Normal 2 3 3 6 5 2 4" xfId="23705"/>
    <cellStyle name="Normal 2 3 3 6 5 2 4 2" xfId="23706"/>
    <cellStyle name="Normal 2 3 3 6 5 2 5" xfId="23707"/>
    <cellStyle name="Normal 2 3 3 6 5 2 5 2" xfId="23708"/>
    <cellStyle name="Normal 2 3 3 6 5 2 6" xfId="23709"/>
    <cellStyle name="Normal 2 3 3 6 5 2 6 2" xfId="23710"/>
    <cellStyle name="Normal 2 3 3 6 5 2 7" xfId="23711"/>
    <cellStyle name="Normal 2 3 3 6 5 2 7 2" xfId="23712"/>
    <cellStyle name="Normal 2 3 3 6 5 2 8" xfId="23713"/>
    <cellStyle name="Normal 2 3 3 6 5 2 8 2" xfId="23714"/>
    <cellStyle name="Normal 2 3 3 6 5 2 9" xfId="23715"/>
    <cellStyle name="Normal 2 3 3 6 5 2 9 2" xfId="23716"/>
    <cellStyle name="Normal 2 3 3 6 5 3" xfId="23717"/>
    <cellStyle name="Normal 2 3 3 6 5 3 10" xfId="23718"/>
    <cellStyle name="Normal 2 3 3 6 5 3 10 2" xfId="23719"/>
    <cellStyle name="Normal 2 3 3 6 5 3 11" xfId="23720"/>
    <cellStyle name="Normal 2 3 3 6 5 3 2" xfId="23721"/>
    <cellStyle name="Normal 2 3 3 6 5 3 2 2" xfId="23722"/>
    <cellStyle name="Normal 2 3 3 6 5 3 3" xfId="23723"/>
    <cellStyle name="Normal 2 3 3 6 5 3 3 2" xfId="23724"/>
    <cellStyle name="Normal 2 3 3 6 5 3 4" xfId="23725"/>
    <cellStyle name="Normal 2 3 3 6 5 3 4 2" xfId="23726"/>
    <cellStyle name="Normal 2 3 3 6 5 3 5" xfId="23727"/>
    <cellStyle name="Normal 2 3 3 6 5 3 5 2" xfId="23728"/>
    <cellStyle name="Normal 2 3 3 6 5 3 6" xfId="23729"/>
    <cellStyle name="Normal 2 3 3 6 5 3 6 2" xfId="23730"/>
    <cellStyle name="Normal 2 3 3 6 5 3 7" xfId="23731"/>
    <cellStyle name="Normal 2 3 3 6 5 3 7 2" xfId="23732"/>
    <cellStyle name="Normal 2 3 3 6 5 3 8" xfId="23733"/>
    <cellStyle name="Normal 2 3 3 6 5 3 8 2" xfId="23734"/>
    <cellStyle name="Normal 2 3 3 6 5 3 9" xfId="23735"/>
    <cellStyle name="Normal 2 3 3 6 5 3 9 2" xfId="23736"/>
    <cellStyle name="Normal 2 3 3 6 5 4" xfId="23737"/>
    <cellStyle name="Normal 2 3 3 6 5 4 2" xfId="23738"/>
    <cellStyle name="Normal 2 3 3 6 5 5" xfId="23739"/>
    <cellStyle name="Normal 2 3 3 6 5 5 2" xfId="23740"/>
    <cellStyle name="Normal 2 3 3 6 5 6" xfId="23741"/>
    <cellStyle name="Normal 2 3 3 6 5 6 2" xfId="23742"/>
    <cellStyle name="Normal 2 3 3 6 5 7" xfId="23743"/>
    <cellStyle name="Normal 2 3 3 6 5 7 2" xfId="23744"/>
    <cellStyle name="Normal 2 3 3 6 5 8" xfId="23745"/>
    <cellStyle name="Normal 2 3 3 6 5 8 2" xfId="23746"/>
    <cellStyle name="Normal 2 3 3 6 5 9" xfId="23747"/>
    <cellStyle name="Normal 2 3 3 6 5 9 2" xfId="23748"/>
    <cellStyle name="Normal 2 3 3 7" xfId="23749"/>
    <cellStyle name="Normal 2 3 3 8" xfId="23750"/>
    <cellStyle name="Normal 2 3 3 9" xfId="23751"/>
    <cellStyle name="Normal 2 3 4" xfId="23752"/>
    <cellStyle name="Normal 2 3 5" xfId="23753"/>
    <cellStyle name="Normal 2 3 6" xfId="23754"/>
    <cellStyle name="Normal 2 3 7" xfId="23755"/>
    <cellStyle name="Normal 2 3 8" xfId="23756"/>
    <cellStyle name="Normal 2 3 9" xfId="23757"/>
    <cellStyle name="Normal 2 3 9 10" xfId="23758"/>
    <cellStyle name="Normal 2 3 9 10 2" xfId="23759"/>
    <cellStyle name="Normal 2 3 9 11" xfId="23760"/>
    <cellStyle name="Normal 2 3 9 11 2" xfId="23761"/>
    <cellStyle name="Normal 2 3 9 12" xfId="23762"/>
    <cellStyle name="Normal 2 3 9 12 2" xfId="23763"/>
    <cellStyle name="Normal 2 3 9 13" xfId="23764"/>
    <cellStyle name="Normal 2 3 9 13 2" xfId="23765"/>
    <cellStyle name="Normal 2 3 9 14" xfId="23766"/>
    <cellStyle name="Normal 2 3 9 14 2" xfId="23767"/>
    <cellStyle name="Normal 2 3 9 15" xfId="23768"/>
    <cellStyle name="Normal 2 3 9 15 2" xfId="23769"/>
    <cellStyle name="Normal 2 3 9 16" xfId="23770"/>
    <cellStyle name="Normal 2 3 9 16 2" xfId="23771"/>
    <cellStyle name="Normal 2 3 9 17" xfId="23772"/>
    <cellStyle name="Normal 2 3 9 17 2" xfId="23773"/>
    <cellStyle name="Normal 2 3 9 18" xfId="23774"/>
    <cellStyle name="Normal 2 3 9 2" xfId="23775"/>
    <cellStyle name="Normal 2 3 9 2 2" xfId="23776"/>
    <cellStyle name="Normal 2 3 9 2 2 10" xfId="23777"/>
    <cellStyle name="Normal 2 3 9 2 2 10 2" xfId="23778"/>
    <cellStyle name="Normal 2 3 9 2 2 11" xfId="23779"/>
    <cellStyle name="Normal 2 3 9 2 2 11 2" xfId="23780"/>
    <cellStyle name="Normal 2 3 9 2 2 12" xfId="23781"/>
    <cellStyle name="Normal 2 3 9 2 2 12 2" xfId="23782"/>
    <cellStyle name="Normal 2 3 9 2 2 13" xfId="23783"/>
    <cellStyle name="Normal 2 3 9 2 2 13 2" xfId="23784"/>
    <cellStyle name="Normal 2 3 9 2 2 14" xfId="23785"/>
    <cellStyle name="Normal 2 3 9 2 2 14 2" xfId="23786"/>
    <cellStyle name="Normal 2 3 9 2 2 15" xfId="23787"/>
    <cellStyle name="Normal 2 3 9 2 2 15 2" xfId="23788"/>
    <cellStyle name="Normal 2 3 9 2 2 16" xfId="23789"/>
    <cellStyle name="Normal 2 3 9 2 2 16 2" xfId="23790"/>
    <cellStyle name="Normal 2 3 9 2 2 17" xfId="23791"/>
    <cellStyle name="Normal 2 3 9 2 2 2" xfId="23792"/>
    <cellStyle name="Normal 2 3 9 2 2 3" xfId="23793"/>
    <cellStyle name="Normal 2 3 9 2 2 4" xfId="23794"/>
    <cellStyle name="Normal 2 3 9 2 2 5" xfId="23795"/>
    <cellStyle name="Normal 2 3 9 2 2 6" xfId="23796"/>
    <cellStyle name="Normal 2 3 9 2 2 6 10" xfId="23797"/>
    <cellStyle name="Normal 2 3 9 2 2 6 10 2" xfId="23798"/>
    <cellStyle name="Normal 2 3 9 2 2 6 11" xfId="23799"/>
    <cellStyle name="Normal 2 3 9 2 2 6 11 2" xfId="23800"/>
    <cellStyle name="Normal 2 3 9 2 2 6 12" xfId="23801"/>
    <cellStyle name="Normal 2 3 9 2 2 6 2" xfId="23802"/>
    <cellStyle name="Normal 2 3 9 2 2 6 2 10" xfId="23803"/>
    <cellStyle name="Normal 2 3 9 2 2 6 2 10 2" xfId="23804"/>
    <cellStyle name="Normal 2 3 9 2 2 6 2 11" xfId="23805"/>
    <cellStyle name="Normal 2 3 9 2 2 6 2 2" xfId="23806"/>
    <cellStyle name="Normal 2 3 9 2 2 6 2 2 2" xfId="23807"/>
    <cellStyle name="Normal 2 3 9 2 2 6 2 3" xfId="23808"/>
    <cellStyle name="Normal 2 3 9 2 2 6 2 3 2" xfId="23809"/>
    <cellStyle name="Normal 2 3 9 2 2 6 2 4" xfId="23810"/>
    <cellStyle name="Normal 2 3 9 2 2 6 2 4 2" xfId="23811"/>
    <cellStyle name="Normal 2 3 9 2 2 6 2 5" xfId="23812"/>
    <cellStyle name="Normal 2 3 9 2 2 6 2 5 2" xfId="23813"/>
    <cellStyle name="Normal 2 3 9 2 2 6 2 6" xfId="23814"/>
    <cellStyle name="Normal 2 3 9 2 2 6 2 6 2" xfId="23815"/>
    <cellStyle name="Normal 2 3 9 2 2 6 2 7" xfId="23816"/>
    <cellStyle name="Normal 2 3 9 2 2 6 2 7 2" xfId="23817"/>
    <cellStyle name="Normal 2 3 9 2 2 6 2 8" xfId="23818"/>
    <cellStyle name="Normal 2 3 9 2 2 6 2 8 2" xfId="23819"/>
    <cellStyle name="Normal 2 3 9 2 2 6 2 9" xfId="23820"/>
    <cellStyle name="Normal 2 3 9 2 2 6 2 9 2" xfId="23821"/>
    <cellStyle name="Normal 2 3 9 2 2 6 3" xfId="23822"/>
    <cellStyle name="Normal 2 3 9 2 2 6 3 2" xfId="23823"/>
    <cellStyle name="Normal 2 3 9 2 2 6 4" xfId="23824"/>
    <cellStyle name="Normal 2 3 9 2 2 6 4 2" xfId="23825"/>
    <cellStyle name="Normal 2 3 9 2 2 6 5" xfId="23826"/>
    <cellStyle name="Normal 2 3 9 2 2 6 5 2" xfId="23827"/>
    <cellStyle name="Normal 2 3 9 2 2 6 6" xfId="23828"/>
    <cellStyle name="Normal 2 3 9 2 2 6 6 2" xfId="23829"/>
    <cellStyle name="Normal 2 3 9 2 2 6 7" xfId="23830"/>
    <cellStyle name="Normal 2 3 9 2 2 6 7 2" xfId="23831"/>
    <cellStyle name="Normal 2 3 9 2 2 6 8" xfId="23832"/>
    <cellStyle name="Normal 2 3 9 2 2 6 8 2" xfId="23833"/>
    <cellStyle name="Normal 2 3 9 2 2 6 9" xfId="23834"/>
    <cellStyle name="Normal 2 3 9 2 2 6 9 2" xfId="23835"/>
    <cellStyle name="Normal 2 3 9 2 2 7" xfId="23836"/>
    <cellStyle name="Normal 2 3 9 2 2 7 10" xfId="23837"/>
    <cellStyle name="Normal 2 3 9 2 2 7 10 2" xfId="23838"/>
    <cellStyle name="Normal 2 3 9 2 2 7 11" xfId="23839"/>
    <cellStyle name="Normal 2 3 9 2 2 7 2" xfId="23840"/>
    <cellStyle name="Normal 2 3 9 2 2 7 2 2" xfId="23841"/>
    <cellStyle name="Normal 2 3 9 2 2 7 3" xfId="23842"/>
    <cellStyle name="Normal 2 3 9 2 2 7 3 2" xfId="23843"/>
    <cellStyle name="Normal 2 3 9 2 2 7 4" xfId="23844"/>
    <cellStyle name="Normal 2 3 9 2 2 7 4 2" xfId="23845"/>
    <cellStyle name="Normal 2 3 9 2 2 7 5" xfId="23846"/>
    <cellStyle name="Normal 2 3 9 2 2 7 5 2" xfId="23847"/>
    <cellStyle name="Normal 2 3 9 2 2 7 6" xfId="23848"/>
    <cellStyle name="Normal 2 3 9 2 2 7 6 2" xfId="23849"/>
    <cellStyle name="Normal 2 3 9 2 2 7 7" xfId="23850"/>
    <cellStyle name="Normal 2 3 9 2 2 7 7 2" xfId="23851"/>
    <cellStyle name="Normal 2 3 9 2 2 7 8" xfId="23852"/>
    <cellStyle name="Normal 2 3 9 2 2 7 8 2" xfId="23853"/>
    <cellStyle name="Normal 2 3 9 2 2 7 9" xfId="23854"/>
    <cellStyle name="Normal 2 3 9 2 2 7 9 2" xfId="23855"/>
    <cellStyle name="Normal 2 3 9 2 2 8" xfId="23856"/>
    <cellStyle name="Normal 2 3 9 2 2 8 2" xfId="23857"/>
    <cellStyle name="Normal 2 3 9 2 2 9" xfId="23858"/>
    <cellStyle name="Normal 2 3 9 2 2 9 2" xfId="23859"/>
    <cellStyle name="Normal 2 3 9 2 3" xfId="23860"/>
    <cellStyle name="Normal 2 3 9 2 3 10" xfId="23861"/>
    <cellStyle name="Normal 2 3 9 2 3 10 2" xfId="23862"/>
    <cellStyle name="Normal 2 3 9 2 3 11" xfId="23863"/>
    <cellStyle name="Normal 2 3 9 2 3 11 2" xfId="23864"/>
    <cellStyle name="Normal 2 3 9 2 3 12" xfId="23865"/>
    <cellStyle name="Normal 2 3 9 2 3 12 2" xfId="23866"/>
    <cellStyle name="Normal 2 3 9 2 3 13" xfId="23867"/>
    <cellStyle name="Normal 2 3 9 2 3 2" xfId="23868"/>
    <cellStyle name="Normal 2 3 9 2 3 2 10" xfId="23869"/>
    <cellStyle name="Normal 2 3 9 2 3 2 10 2" xfId="23870"/>
    <cellStyle name="Normal 2 3 9 2 3 2 11" xfId="23871"/>
    <cellStyle name="Normal 2 3 9 2 3 2 11 2" xfId="23872"/>
    <cellStyle name="Normal 2 3 9 2 3 2 12" xfId="23873"/>
    <cellStyle name="Normal 2 3 9 2 3 2 2" xfId="23874"/>
    <cellStyle name="Normal 2 3 9 2 3 2 2 10" xfId="23875"/>
    <cellStyle name="Normal 2 3 9 2 3 2 2 10 2" xfId="23876"/>
    <cellStyle name="Normal 2 3 9 2 3 2 2 11" xfId="23877"/>
    <cellStyle name="Normal 2 3 9 2 3 2 2 2" xfId="23878"/>
    <cellStyle name="Normal 2 3 9 2 3 2 2 2 2" xfId="23879"/>
    <cellStyle name="Normal 2 3 9 2 3 2 2 3" xfId="23880"/>
    <cellStyle name="Normal 2 3 9 2 3 2 2 3 2" xfId="23881"/>
    <cellStyle name="Normal 2 3 9 2 3 2 2 4" xfId="23882"/>
    <cellStyle name="Normal 2 3 9 2 3 2 2 4 2" xfId="23883"/>
    <cellStyle name="Normal 2 3 9 2 3 2 2 5" xfId="23884"/>
    <cellStyle name="Normal 2 3 9 2 3 2 2 5 2" xfId="23885"/>
    <cellStyle name="Normal 2 3 9 2 3 2 2 6" xfId="23886"/>
    <cellStyle name="Normal 2 3 9 2 3 2 2 6 2" xfId="23887"/>
    <cellStyle name="Normal 2 3 9 2 3 2 2 7" xfId="23888"/>
    <cellStyle name="Normal 2 3 9 2 3 2 2 7 2" xfId="23889"/>
    <cellStyle name="Normal 2 3 9 2 3 2 2 8" xfId="23890"/>
    <cellStyle name="Normal 2 3 9 2 3 2 2 8 2" xfId="23891"/>
    <cellStyle name="Normal 2 3 9 2 3 2 2 9" xfId="23892"/>
    <cellStyle name="Normal 2 3 9 2 3 2 2 9 2" xfId="23893"/>
    <cellStyle name="Normal 2 3 9 2 3 2 3" xfId="23894"/>
    <cellStyle name="Normal 2 3 9 2 3 2 3 2" xfId="23895"/>
    <cellStyle name="Normal 2 3 9 2 3 2 4" xfId="23896"/>
    <cellStyle name="Normal 2 3 9 2 3 2 4 2" xfId="23897"/>
    <cellStyle name="Normal 2 3 9 2 3 2 5" xfId="23898"/>
    <cellStyle name="Normal 2 3 9 2 3 2 5 2" xfId="23899"/>
    <cellStyle name="Normal 2 3 9 2 3 2 6" xfId="23900"/>
    <cellStyle name="Normal 2 3 9 2 3 2 6 2" xfId="23901"/>
    <cellStyle name="Normal 2 3 9 2 3 2 7" xfId="23902"/>
    <cellStyle name="Normal 2 3 9 2 3 2 7 2" xfId="23903"/>
    <cellStyle name="Normal 2 3 9 2 3 2 8" xfId="23904"/>
    <cellStyle name="Normal 2 3 9 2 3 2 8 2" xfId="23905"/>
    <cellStyle name="Normal 2 3 9 2 3 2 9" xfId="23906"/>
    <cellStyle name="Normal 2 3 9 2 3 2 9 2" xfId="23907"/>
    <cellStyle name="Normal 2 3 9 2 3 3" xfId="23908"/>
    <cellStyle name="Normal 2 3 9 2 3 3 10" xfId="23909"/>
    <cellStyle name="Normal 2 3 9 2 3 3 10 2" xfId="23910"/>
    <cellStyle name="Normal 2 3 9 2 3 3 11" xfId="23911"/>
    <cellStyle name="Normal 2 3 9 2 3 3 2" xfId="23912"/>
    <cellStyle name="Normal 2 3 9 2 3 3 2 2" xfId="23913"/>
    <cellStyle name="Normal 2 3 9 2 3 3 3" xfId="23914"/>
    <cellStyle name="Normal 2 3 9 2 3 3 3 2" xfId="23915"/>
    <cellStyle name="Normal 2 3 9 2 3 3 4" xfId="23916"/>
    <cellStyle name="Normal 2 3 9 2 3 3 4 2" xfId="23917"/>
    <cellStyle name="Normal 2 3 9 2 3 3 5" xfId="23918"/>
    <cellStyle name="Normal 2 3 9 2 3 3 5 2" xfId="23919"/>
    <cellStyle name="Normal 2 3 9 2 3 3 6" xfId="23920"/>
    <cellStyle name="Normal 2 3 9 2 3 3 6 2" xfId="23921"/>
    <cellStyle name="Normal 2 3 9 2 3 3 7" xfId="23922"/>
    <cellStyle name="Normal 2 3 9 2 3 3 7 2" xfId="23923"/>
    <cellStyle name="Normal 2 3 9 2 3 3 8" xfId="23924"/>
    <cellStyle name="Normal 2 3 9 2 3 3 8 2" xfId="23925"/>
    <cellStyle name="Normal 2 3 9 2 3 3 9" xfId="23926"/>
    <cellStyle name="Normal 2 3 9 2 3 3 9 2" xfId="23927"/>
    <cellStyle name="Normal 2 3 9 2 3 4" xfId="23928"/>
    <cellStyle name="Normal 2 3 9 2 3 4 2" xfId="23929"/>
    <cellStyle name="Normal 2 3 9 2 3 5" xfId="23930"/>
    <cellStyle name="Normal 2 3 9 2 3 5 2" xfId="23931"/>
    <cellStyle name="Normal 2 3 9 2 3 6" xfId="23932"/>
    <cellStyle name="Normal 2 3 9 2 3 6 2" xfId="23933"/>
    <cellStyle name="Normal 2 3 9 2 3 7" xfId="23934"/>
    <cellStyle name="Normal 2 3 9 2 3 7 2" xfId="23935"/>
    <cellStyle name="Normal 2 3 9 2 3 8" xfId="23936"/>
    <cellStyle name="Normal 2 3 9 2 3 8 2" xfId="23937"/>
    <cellStyle name="Normal 2 3 9 2 3 9" xfId="23938"/>
    <cellStyle name="Normal 2 3 9 2 3 9 2" xfId="23939"/>
    <cellStyle name="Normal 2 3 9 2 4" xfId="23940"/>
    <cellStyle name="Normal 2 3 9 2 4 10" xfId="23941"/>
    <cellStyle name="Normal 2 3 9 2 4 10 2" xfId="23942"/>
    <cellStyle name="Normal 2 3 9 2 4 11" xfId="23943"/>
    <cellStyle name="Normal 2 3 9 2 4 11 2" xfId="23944"/>
    <cellStyle name="Normal 2 3 9 2 4 12" xfId="23945"/>
    <cellStyle name="Normal 2 3 9 2 4 12 2" xfId="23946"/>
    <cellStyle name="Normal 2 3 9 2 4 13" xfId="23947"/>
    <cellStyle name="Normal 2 3 9 2 4 2" xfId="23948"/>
    <cellStyle name="Normal 2 3 9 2 4 2 10" xfId="23949"/>
    <cellStyle name="Normal 2 3 9 2 4 2 10 2" xfId="23950"/>
    <cellStyle name="Normal 2 3 9 2 4 2 11" xfId="23951"/>
    <cellStyle name="Normal 2 3 9 2 4 2 11 2" xfId="23952"/>
    <cellStyle name="Normal 2 3 9 2 4 2 12" xfId="23953"/>
    <cellStyle name="Normal 2 3 9 2 4 2 2" xfId="23954"/>
    <cellStyle name="Normal 2 3 9 2 4 2 2 10" xfId="23955"/>
    <cellStyle name="Normal 2 3 9 2 4 2 2 10 2" xfId="23956"/>
    <cellStyle name="Normal 2 3 9 2 4 2 2 11" xfId="23957"/>
    <cellStyle name="Normal 2 3 9 2 4 2 2 2" xfId="23958"/>
    <cellStyle name="Normal 2 3 9 2 4 2 2 2 2" xfId="23959"/>
    <cellStyle name="Normal 2 3 9 2 4 2 2 3" xfId="23960"/>
    <cellStyle name="Normal 2 3 9 2 4 2 2 3 2" xfId="23961"/>
    <cellStyle name="Normal 2 3 9 2 4 2 2 4" xfId="23962"/>
    <cellStyle name="Normal 2 3 9 2 4 2 2 4 2" xfId="23963"/>
    <cellStyle name="Normal 2 3 9 2 4 2 2 5" xfId="23964"/>
    <cellStyle name="Normal 2 3 9 2 4 2 2 5 2" xfId="23965"/>
    <cellStyle name="Normal 2 3 9 2 4 2 2 6" xfId="23966"/>
    <cellStyle name="Normal 2 3 9 2 4 2 2 6 2" xfId="23967"/>
    <cellStyle name="Normal 2 3 9 2 4 2 2 7" xfId="23968"/>
    <cellStyle name="Normal 2 3 9 2 4 2 2 7 2" xfId="23969"/>
    <cellStyle name="Normal 2 3 9 2 4 2 2 8" xfId="23970"/>
    <cellStyle name="Normal 2 3 9 2 4 2 2 8 2" xfId="23971"/>
    <cellStyle name="Normal 2 3 9 2 4 2 2 9" xfId="23972"/>
    <cellStyle name="Normal 2 3 9 2 4 2 2 9 2" xfId="23973"/>
    <cellStyle name="Normal 2 3 9 2 4 2 3" xfId="23974"/>
    <cellStyle name="Normal 2 3 9 2 4 2 3 2" xfId="23975"/>
    <cellStyle name="Normal 2 3 9 2 4 2 4" xfId="23976"/>
    <cellStyle name="Normal 2 3 9 2 4 2 4 2" xfId="23977"/>
    <cellStyle name="Normal 2 3 9 2 4 2 5" xfId="23978"/>
    <cellStyle name="Normal 2 3 9 2 4 2 5 2" xfId="23979"/>
    <cellStyle name="Normal 2 3 9 2 4 2 6" xfId="23980"/>
    <cellStyle name="Normal 2 3 9 2 4 2 6 2" xfId="23981"/>
    <cellStyle name="Normal 2 3 9 2 4 2 7" xfId="23982"/>
    <cellStyle name="Normal 2 3 9 2 4 2 7 2" xfId="23983"/>
    <cellStyle name="Normal 2 3 9 2 4 2 8" xfId="23984"/>
    <cellStyle name="Normal 2 3 9 2 4 2 8 2" xfId="23985"/>
    <cellStyle name="Normal 2 3 9 2 4 2 9" xfId="23986"/>
    <cellStyle name="Normal 2 3 9 2 4 2 9 2" xfId="23987"/>
    <cellStyle name="Normal 2 3 9 2 4 3" xfId="23988"/>
    <cellStyle name="Normal 2 3 9 2 4 3 10" xfId="23989"/>
    <cellStyle name="Normal 2 3 9 2 4 3 10 2" xfId="23990"/>
    <cellStyle name="Normal 2 3 9 2 4 3 11" xfId="23991"/>
    <cellStyle name="Normal 2 3 9 2 4 3 2" xfId="23992"/>
    <cellStyle name="Normal 2 3 9 2 4 3 2 2" xfId="23993"/>
    <cellStyle name="Normal 2 3 9 2 4 3 3" xfId="23994"/>
    <cellStyle name="Normal 2 3 9 2 4 3 3 2" xfId="23995"/>
    <cellStyle name="Normal 2 3 9 2 4 3 4" xfId="23996"/>
    <cellStyle name="Normal 2 3 9 2 4 3 4 2" xfId="23997"/>
    <cellStyle name="Normal 2 3 9 2 4 3 5" xfId="23998"/>
    <cellStyle name="Normal 2 3 9 2 4 3 5 2" xfId="23999"/>
    <cellStyle name="Normal 2 3 9 2 4 3 6" xfId="24000"/>
    <cellStyle name="Normal 2 3 9 2 4 3 6 2" xfId="24001"/>
    <cellStyle name="Normal 2 3 9 2 4 3 7" xfId="24002"/>
    <cellStyle name="Normal 2 3 9 2 4 3 7 2" xfId="24003"/>
    <cellStyle name="Normal 2 3 9 2 4 3 8" xfId="24004"/>
    <cellStyle name="Normal 2 3 9 2 4 3 8 2" xfId="24005"/>
    <cellStyle name="Normal 2 3 9 2 4 3 9" xfId="24006"/>
    <cellStyle name="Normal 2 3 9 2 4 3 9 2" xfId="24007"/>
    <cellStyle name="Normal 2 3 9 2 4 4" xfId="24008"/>
    <cellStyle name="Normal 2 3 9 2 4 4 2" xfId="24009"/>
    <cellStyle name="Normal 2 3 9 2 4 5" xfId="24010"/>
    <cellStyle name="Normal 2 3 9 2 4 5 2" xfId="24011"/>
    <cellStyle name="Normal 2 3 9 2 4 6" xfId="24012"/>
    <cellStyle name="Normal 2 3 9 2 4 6 2" xfId="24013"/>
    <cellStyle name="Normal 2 3 9 2 4 7" xfId="24014"/>
    <cellStyle name="Normal 2 3 9 2 4 7 2" xfId="24015"/>
    <cellStyle name="Normal 2 3 9 2 4 8" xfId="24016"/>
    <cellStyle name="Normal 2 3 9 2 4 8 2" xfId="24017"/>
    <cellStyle name="Normal 2 3 9 2 4 9" xfId="24018"/>
    <cellStyle name="Normal 2 3 9 2 4 9 2" xfId="24019"/>
    <cellStyle name="Normal 2 3 9 2 5" xfId="24020"/>
    <cellStyle name="Normal 2 3 9 2 5 10" xfId="24021"/>
    <cellStyle name="Normal 2 3 9 2 5 10 2" xfId="24022"/>
    <cellStyle name="Normal 2 3 9 2 5 11" xfId="24023"/>
    <cellStyle name="Normal 2 3 9 2 5 11 2" xfId="24024"/>
    <cellStyle name="Normal 2 3 9 2 5 12" xfId="24025"/>
    <cellStyle name="Normal 2 3 9 2 5 12 2" xfId="24026"/>
    <cellStyle name="Normal 2 3 9 2 5 13" xfId="24027"/>
    <cellStyle name="Normal 2 3 9 2 5 2" xfId="24028"/>
    <cellStyle name="Normal 2 3 9 2 5 2 10" xfId="24029"/>
    <cellStyle name="Normal 2 3 9 2 5 2 10 2" xfId="24030"/>
    <cellStyle name="Normal 2 3 9 2 5 2 11" xfId="24031"/>
    <cellStyle name="Normal 2 3 9 2 5 2 11 2" xfId="24032"/>
    <cellStyle name="Normal 2 3 9 2 5 2 12" xfId="24033"/>
    <cellStyle name="Normal 2 3 9 2 5 2 2" xfId="24034"/>
    <cellStyle name="Normal 2 3 9 2 5 2 2 10" xfId="24035"/>
    <cellStyle name="Normal 2 3 9 2 5 2 2 10 2" xfId="24036"/>
    <cellStyle name="Normal 2 3 9 2 5 2 2 11" xfId="24037"/>
    <cellStyle name="Normal 2 3 9 2 5 2 2 2" xfId="24038"/>
    <cellStyle name="Normal 2 3 9 2 5 2 2 2 2" xfId="24039"/>
    <cellStyle name="Normal 2 3 9 2 5 2 2 3" xfId="24040"/>
    <cellStyle name="Normal 2 3 9 2 5 2 2 3 2" xfId="24041"/>
    <cellStyle name="Normal 2 3 9 2 5 2 2 4" xfId="24042"/>
    <cellStyle name="Normal 2 3 9 2 5 2 2 4 2" xfId="24043"/>
    <cellStyle name="Normal 2 3 9 2 5 2 2 5" xfId="24044"/>
    <cellStyle name="Normal 2 3 9 2 5 2 2 5 2" xfId="24045"/>
    <cellStyle name="Normal 2 3 9 2 5 2 2 6" xfId="24046"/>
    <cellStyle name="Normal 2 3 9 2 5 2 2 6 2" xfId="24047"/>
    <cellStyle name="Normal 2 3 9 2 5 2 2 7" xfId="24048"/>
    <cellStyle name="Normal 2 3 9 2 5 2 2 7 2" xfId="24049"/>
    <cellStyle name="Normal 2 3 9 2 5 2 2 8" xfId="24050"/>
    <cellStyle name="Normal 2 3 9 2 5 2 2 8 2" xfId="24051"/>
    <cellStyle name="Normal 2 3 9 2 5 2 2 9" xfId="24052"/>
    <cellStyle name="Normal 2 3 9 2 5 2 2 9 2" xfId="24053"/>
    <cellStyle name="Normal 2 3 9 2 5 2 3" xfId="24054"/>
    <cellStyle name="Normal 2 3 9 2 5 2 3 2" xfId="24055"/>
    <cellStyle name="Normal 2 3 9 2 5 2 4" xfId="24056"/>
    <cellStyle name="Normal 2 3 9 2 5 2 4 2" xfId="24057"/>
    <cellStyle name="Normal 2 3 9 2 5 2 5" xfId="24058"/>
    <cellStyle name="Normal 2 3 9 2 5 2 5 2" xfId="24059"/>
    <cellStyle name="Normal 2 3 9 2 5 2 6" xfId="24060"/>
    <cellStyle name="Normal 2 3 9 2 5 2 6 2" xfId="24061"/>
    <cellStyle name="Normal 2 3 9 2 5 2 7" xfId="24062"/>
    <cellStyle name="Normal 2 3 9 2 5 2 7 2" xfId="24063"/>
    <cellStyle name="Normal 2 3 9 2 5 2 8" xfId="24064"/>
    <cellStyle name="Normal 2 3 9 2 5 2 8 2" xfId="24065"/>
    <cellStyle name="Normal 2 3 9 2 5 2 9" xfId="24066"/>
    <cellStyle name="Normal 2 3 9 2 5 2 9 2" xfId="24067"/>
    <cellStyle name="Normal 2 3 9 2 5 3" xfId="24068"/>
    <cellStyle name="Normal 2 3 9 2 5 3 10" xfId="24069"/>
    <cellStyle name="Normal 2 3 9 2 5 3 10 2" xfId="24070"/>
    <cellStyle name="Normal 2 3 9 2 5 3 11" xfId="24071"/>
    <cellStyle name="Normal 2 3 9 2 5 3 2" xfId="24072"/>
    <cellStyle name="Normal 2 3 9 2 5 3 2 2" xfId="24073"/>
    <cellStyle name="Normal 2 3 9 2 5 3 3" xfId="24074"/>
    <cellStyle name="Normal 2 3 9 2 5 3 3 2" xfId="24075"/>
    <cellStyle name="Normal 2 3 9 2 5 3 4" xfId="24076"/>
    <cellStyle name="Normal 2 3 9 2 5 3 4 2" xfId="24077"/>
    <cellStyle name="Normal 2 3 9 2 5 3 5" xfId="24078"/>
    <cellStyle name="Normal 2 3 9 2 5 3 5 2" xfId="24079"/>
    <cellStyle name="Normal 2 3 9 2 5 3 6" xfId="24080"/>
    <cellStyle name="Normal 2 3 9 2 5 3 6 2" xfId="24081"/>
    <cellStyle name="Normal 2 3 9 2 5 3 7" xfId="24082"/>
    <cellStyle name="Normal 2 3 9 2 5 3 7 2" xfId="24083"/>
    <cellStyle name="Normal 2 3 9 2 5 3 8" xfId="24084"/>
    <cellStyle name="Normal 2 3 9 2 5 3 8 2" xfId="24085"/>
    <cellStyle name="Normal 2 3 9 2 5 3 9" xfId="24086"/>
    <cellStyle name="Normal 2 3 9 2 5 3 9 2" xfId="24087"/>
    <cellStyle name="Normal 2 3 9 2 5 4" xfId="24088"/>
    <cellStyle name="Normal 2 3 9 2 5 4 2" xfId="24089"/>
    <cellStyle name="Normal 2 3 9 2 5 5" xfId="24090"/>
    <cellStyle name="Normal 2 3 9 2 5 5 2" xfId="24091"/>
    <cellStyle name="Normal 2 3 9 2 5 6" xfId="24092"/>
    <cellStyle name="Normal 2 3 9 2 5 6 2" xfId="24093"/>
    <cellStyle name="Normal 2 3 9 2 5 7" xfId="24094"/>
    <cellStyle name="Normal 2 3 9 2 5 7 2" xfId="24095"/>
    <cellStyle name="Normal 2 3 9 2 5 8" xfId="24096"/>
    <cellStyle name="Normal 2 3 9 2 5 8 2" xfId="24097"/>
    <cellStyle name="Normal 2 3 9 2 5 9" xfId="24098"/>
    <cellStyle name="Normal 2 3 9 2 5 9 2" xfId="24099"/>
    <cellStyle name="Normal 2 3 9 3" xfId="24100"/>
    <cellStyle name="Normal 2 3 9 4" xfId="24101"/>
    <cellStyle name="Normal 2 3 9 5" xfId="24102"/>
    <cellStyle name="Normal 2 3 9 6" xfId="24103"/>
    <cellStyle name="Normal 2 3 9 7" xfId="24104"/>
    <cellStyle name="Normal 2 3 9 7 10" xfId="24105"/>
    <cellStyle name="Normal 2 3 9 7 10 2" xfId="24106"/>
    <cellStyle name="Normal 2 3 9 7 11" xfId="24107"/>
    <cellStyle name="Normal 2 3 9 7 11 2" xfId="24108"/>
    <cellStyle name="Normal 2 3 9 7 12" xfId="24109"/>
    <cellStyle name="Normal 2 3 9 7 2" xfId="24110"/>
    <cellStyle name="Normal 2 3 9 7 2 10" xfId="24111"/>
    <cellStyle name="Normal 2 3 9 7 2 10 2" xfId="24112"/>
    <cellStyle name="Normal 2 3 9 7 2 11" xfId="24113"/>
    <cellStyle name="Normal 2 3 9 7 2 2" xfId="24114"/>
    <cellStyle name="Normal 2 3 9 7 2 2 2" xfId="24115"/>
    <cellStyle name="Normal 2 3 9 7 2 3" xfId="24116"/>
    <cellStyle name="Normal 2 3 9 7 2 3 2" xfId="24117"/>
    <cellStyle name="Normal 2 3 9 7 2 4" xfId="24118"/>
    <cellStyle name="Normal 2 3 9 7 2 4 2" xfId="24119"/>
    <cellStyle name="Normal 2 3 9 7 2 5" xfId="24120"/>
    <cellStyle name="Normal 2 3 9 7 2 5 2" xfId="24121"/>
    <cellStyle name="Normal 2 3 9 7 2 6" xfId="24122"/>
    <cellStyle name="Normal 2 3 9 7 2 6 2" xfId="24123"/>
    <cellStyle name="Normal 2 3 9 7 2 7" xfId="24124"/>
    <cellStyle name="Normal 2 3 9 7 2 7 2" xfId="24125"/>
    <cellStyle name="Normal 2 3 9 7 2 8" xfId="24126"/>
    <cellStyle name="Normal 2 3 9 7 2 8 2" xfId="24127"/>
    <cellStyle name="Normal 2 3 9 7 2 9" xfId="24128"/>
    <cellStyle name="Normal 2 3 9 7 2 9 2" xfId="24129"/>
    <cellStyle name="Normal 2 3 9 7 3" xfId="24130"/>
    <cellStyle name="Normal 2 3 9 7 3 2" xfId="24131"/>
    <cellStyle name="Normal 2 3 9 7 4" xfId="24132"/>
    <cellStyle name="Normal 2 3 9 7 4 2" xfId="24133"/>
    <cellStyle name="Normal 2 3 9 7 5" xfId="24134"/>
    <cellStyle name="Normal 2 3 9 7 5 2" xfId="24135"/>
    <cellStyle name="Normal 2 3 9 7 6" xfId="24136"/>
    <cellStyle name="Normal 2 3 9 7 6 2" xfId="24137"/>
    <cellStyle name="Normal 2 3 9 7 7" xfId="24138"/>
    <cellStyle name="Normal 2 3 9 7 7 2" xfId="24139"/>
    <cellStyle name="Normal 2 3 9 7 8" xfId="24140"/>
    <cellStyle name="Normal 2 3 9 7 8 2" xfId="24141"/>
    <cellStyle name="Normal 2 3 9 7 9" xfId="24142"/>
    <cellStyle name="Normal 2 3 9 7 9 2" xfId="24143"/>
    <cellStyle name="Normal 2 3 9 8" xfId="24144"/>
    <cellStyle name="Normal 2 3 9 8 10" xfId="24145"/>
    <cellStyle name="Normal 2 3 9 8 10 2" xfId="24146"/>
    <cellStyle name="Normal 2 3 9 8 11" xfId="24147"/>
    <cellStyle name="Normal 2 3 9 8 2" xfId="24148"/>
    <cellStyle name="Normal 2 3 9 8 2 2" xfId="24149"/>
    <cellStyle name="Normal 2 3 9 8 3" xfId="24150"/>
    <cellStyle name="Normal 2 3 9 8 3 2" xfId="24151"/>
    <cellStyle name="Normal 2 3 9 8 4" xfId="24152"/>
    <cellStyle name="Normal 2 3 9 8 4 2" xfId="24153"/>
    <cellStyle name="Normal 2 3 9 8 5" xfId="24154"/>
    <cellStyle name="Normal 2 3 9 8 5 2" xfId="24155"/>
    <cellStyle name="Normal 2 3 9 8 6" xfId="24156"/>
    <cellStyle name="Normal 2 3 9 8 6 2" xfId="24157"/>
    <cellStyle name="Normal 2 3 9 8 7" xfId="24158"/>
    <cellStyle name="Normal 2 3 9 8 7 2" xfId="24159"/>
    <cellStyle name="Normal 2 3 9 8 8" xfId="24160"/>
    <cellStyle name="Normal 2 3 9 8 8 2" xfId="24161"/>
    <cellStyle name="Normal 2 3 9 8 9" xfId="24162"/>
    <cellStyle name="Normal 2 3 9 8 9 2" xfId="24163"/>
    <cellStyle name="Normal 2 3 9 9" xfId="24164"/>
    <cellStyle name="Normal 2 3 9 9 2" xfId="24165"/>
    <cellStyle name="Normal 2 4" xfId="181"/>
    <cellStyle name="Normal 2 4 10" xfId="24166"/>
    <cellStyle name="Normal 2 4 11" xfId="24167"/>
    <cellStyle name="Normal 2 4 12" xfId="24168"/>
    <cellStyle name="Normal 2 4 13" xfId="24169"/>
    <cellStyle name="Normal 2 4 14" xfId="24170"/>
    <cellStyle name="Normal 2 4 15" xfId="24171"/>
    <cellStyle name="Normal 2 4 16" xfId="24172"/>
    <cellStyle name="Normal 2 4 17" xfId="24173"/>
    <cellStyle name="Normal 2 4 18" xfId="24174"/>
    <cellStyle name="Normal 2 4 19" xfId="24175"/>
    <cellStyle name="Normal 2 4 2" xfId="24176"/>
    <cellStyle name="Normal 2 4 2 10" xfId="24177"/>
    <cellStyle name="Normal 2 4 2 10 10" xfId="24178"/>
    <cellStyle name="Normal 2 4 2 10 10 2" xfId="24179"/>
    <cellStyle name="Normal 2 4 2 10 11" xfId="24180"/>
    <cellStyle name="Normal 2 4 2 10 11 2" xfId="24181"/>
    <cellStyle name="Normal 2 4 2 10 12" xfId="24182"/>
    <cellStyle name="Normal 2 4 2 10 12 2" xfId="24183"/>
    <cellStyle name="Normal 2 4 2 10 13" xfId="24184"/>
    <cellStyle name="Normal 2 4 2 10 2" xfId="24185"/>
    <cellStyle name="Normal 2 4 2 10 2 10" xfId="24186"/>
    <cellStyle name="Normal 2 4 2 10 2 10 2" xfId="24187"/>
    <cellStyle name="Normal 2 4 2 10 2 11" xfId="24188"/>
    <cellStyle name="Normal 2 4 2 10 2 11 2" xfId="24189"/>
    <cellStyle name="Normal 2 4 2 10 2 12" xfId="24190"/>
    <cellStyle name="Normal 2 4 2 10 2 2" xfId="24191"/>
    <cellStyle name="Normal 2 4 2 10 2 2 10" xfId="24192"/>
    <cellStyle name="Normal 2 4 2 10 2 2 10 2" xfId="24193"/>
    <cellStyle name="Normal 2 4 2 10 2 2 11" xfId="24194"/>
    <cellStyle name="Normal 2 4 2 10 2 2 2" xfId="24195"/>
    <cellStyle name="Normal 2 4 2 10 2 2 2 2" xfId="24196"/>
    <cellStyle name="Normal 2 4 2 10 2 2 3" xfId="24197"/>
    <cellStyle name="Normal 2 4 2 10 2 2 3 2" xfId="24198"/>
    <cellStyle name="Normal 2 4 2 10 2 2 4" xfId="24199"/>
    <cellStyle name="Normal 2 4 2 10 2 2 4 2" xfId="24200"/>
    <cellStyle name="Normal 2 4 2 10 2 2 5" xfId="24201"/>
    <cellStyle name="Normal 2 4 2 10 2 2 5 2" xfId="24202"/>
    <cellStyle name="Normal 2 4 2 10 2 2 6" xfId="24203"/>
    <cellStyle name="Normal 2 4 2 10 2 2 6 2" xfId="24204"/>
    <cellStyle name="Normal 2 4 2 10 2 2 7" xfId="24205"/>
    <cellStyle name="Normal 2 4 2 10 2 2 7 2" xfId="24206"/>
    <cellStyle name="Normal 2 4 2 10 2 2 8" xfId="24207"/>
    <cellStyle name="Normal 2 4 2 10 2 2 8 2" xfId="24208"/>
    <cellStyle name="Normal 2 4 2 10 2 2 9" xfId="24209"/>
    <cellStyle name="Normal 2 4 2 10 2 2 9 2" xfId="24210"/>
    <cellStyle name="Normal 2 4 2 10 2 3" xfId="24211"/>
    <cellStyle name="Normal 2 4 2 10 2 3 2" xfId="24212"/>
    <cellStyle name="Normal 2 4 2 10 2 4" xfId="24213"/>
    <cellStyle name="Normal 2 4 2 10 2 4 2" xfId="24214"/>
    <cellStyle name="Normal 2 4 2 10 2 5" xfId="24215"/>
    <cellStyle name="Normal 2 4 2 10 2 5 2" xfId="24216"/>
    <cellStyle name="Normal 2 4 2 10 2 6" xfId="24217"/>
    <cellStyle name="Normal 2 4 2 10 2 6 2" xfId="24218"/>
    <cellStyle name="Normal 2 4 2 10 2 7" xfId="24219"/>
    <cellStyle name="Normal 2 4 2 10 2 7 2" xfId="24220"/>
    <cellStyle name="Normal 2 4 2 10 2 8" xfId="24221"/>
    <cellStyle name="Normal 2 4 2 10 2 8 2" xfId="24222"/>
    <cellStyle name="Normal 2 4 2 10 2 9" xfId="24223"/>
    <cellStyle name="Normal 2 4 2 10 2 9 2" xfId="24224"/>
    <cellStyle name="Normal 2 4 2 10 3" xfId="24225"/>
    <cellStyle name="Normal 2 4 2 10 3 10" xfId="24226"/>
    <cellStyle name="Normal 2 4 2 10 3 10 2" xfId="24227"/>
    <cellStyle name="Normal 2 4 2 10 3 11" xfId="24228"/>
    <cellStyle name="Normal 2 4 2 10 3 2" xfId="24229"/>
    <cellStyle name="Normal 2 4 2 10 3 2 2" xfId="24230"/>
    <cellStyle name="Normal 2 4 2 10 3 3" xfId="24231"/>
    <cellStyle name="Normal 2 4 2 10 3 3 2" xfId="24232"/>
    <cellStyle name="Normal 2 4 2 10 3 4" xfId="24233"/>
    <cellStyle name="Normal 2 4 2 10 3 4 2" xfId="24234"/>
    <cellStyle name="Normal 2 4 2 10 3 5" xfId="24235"/>
    <cellStyle name="Normal 2 4 2 10 3 5 2" xfId="24236"/>
    <cellStyle name="Normal 2 4 2 10 3 6" xfId="24237"/>
    <cellStyle name="Normal 2 4 2 10 3 6 2" xfId="24238"/>
    <cellStyle name="Normal 2 4 2 10 3 7" xfId="24239"/>
    <cellStyle name="Normal 2 4 2 10 3 7 2" xfId="24240"/>
    <cellStyle name="Normal 2 4 2 10 3 8" xfId="24241"/>
    <cellStyle name="Normal 2 4 2 10 3 8 2" xfId="24242"/>
    <cellStyle name="Normal 2 4 2 10 3 9" xfId="24243"/>
    <cellStyle name="Normal 2 4 2 10 3 9 2" xfId="24244"/>
    <cellStyle name="Normal 2 4 2 10 4" xfId="24245"/>
    <cellStyle name="Normal 2 4 2 10 4 2" xfId="24246"/>
    <cellStyle name="Normal 2 4 2 10 5" xfId="24247"/>
    <cellStyle name="Normal 2 4 2 10 5 2" xfId="24248"/>
    <cellStyle name="Normal 2 4 2 10 6" xfId="24249"/>
    <cellStyle name="Normal 2 4 2 10 6 2" xfId="24250"/>
    <cellStyle name="Normal 2 4 2 10 7" xfId="24251"/>
    <cellStyle name="Normal 2 4 2 10 7 2" xfId="24252"/>
    <cellStyle name="Normal 2 4 2 10 8" xfId="24253"/>
    <cellStyle name="Normal 2 4 2 10 8 2" xfId="24254"/>
    <cellStyle name="Normal 2 4 2 10 9" xfId="24255"/>
    <cellStyle name="Normal 2 4 2 10 9 2" xfId="24256"/>
    <cellStyle name="Normal 2 4 2 2" xfId="24257"/>
    <cellStyle name="Normal 2 4 2 2 2" xfId="24258"/>
    <cellStyle name="Normal 2 4 2 2 2 10" xfId="24259"/>
    <cellStyle name="Normal 2 4 2 2 2 10 2" xfId="24260"/>
    <cellStyle name="Normal 2 4 2 2 2 11" xfId="24261"/>
    <cellStyle name="Normal 2 4 2 2 2 11 2" xfId="24262"/>
    <cellStyle name="Normal 2 4 2 2 2 12" xfId="24263"/>
    <cellStyle name="Normal 2 4 2 2 2 12 2" xfId="24264"/>
    <cellStyle name="Normal 2 4 2 2 2 13" xfId="24265"/>
    <cellStyle name="Normal 2 4 2 2 2 13 2" xfId="24266"/>
    <cellStyle name="Normal 2 4 2 2 2 14" xfId="24267"/>
    <cellStyle name="Normal 2 4 2 2 2 14 2" xfId="24268"/>
    <cellStyle name="Normal 2 4 2 2 2 15" xfId="24269"/>
    <cellStyle name="Normal 2 4 2 2 2 15 2" xfId="24270"/>
    <cellStyle name="Normal 2 4 2 2 2 16" xfId="24271"/>
    <cellStyle name="Normal 2 4 2 2 2 16 2" xfId="24272"/>
    <cellStyle name="Normal 2 4 2 2 2 17" xfId="24273"/>
    <cellStyle name="Normal 2 4 2 2 2 2" xfId="24274"/>
    <cellStyle name="Normal 2 4 2 2 2 2 2" xfId="24275"/>
    <cellStyle name="Normal 2 4 2 2 2 2 2 10" xfId="24276"/>
    <cellStyle name="Normal 2 4 2 2 2 2 2 10 2" xfId="24277"/>
    <cellStyle name="Normal 2 4 2 2 2 2 2 11" xfId="24278"/>
    <cellStyle name="Normal 2 4 2 2 2 2 2 11 2" xfId="24279"/>
    <cellStyle name="Normal 2 4 2 2 2 2 2 12" xfId="24280"/>
    <cellStyle name="Normal 2 4 2 2 2 2 2 12 2" xfId="24281"/>
    <cellStyle name="Normal 2 4 2 2 2 2 2 13" xfId="24282"/>
    <cellStyle name="Normal 2 4 2 2 2 2 2 2" xfId="24283"/>
    <cellStyle name="Normal 2 4 2 2 2 2 2 2 10" xfId="24284"/>
    <cellStyle name="Normal 2 4 2 2 2 2 2 2 10 2" xfId="24285"/>
    <cellStyle name="Normal 2 4 2 2 2 2 2 2 11" xfId="24286"/>
    <cellStyle name="Normal 2 4 2 2 2 2 2 2 11 2" xfId="24287"/>
    <cellStyle name="Normal 2 4 2 2 2 2 2 2 12" xfId="24288"/>
    <cellStyle name="Normal 2 4 2 2 2 2 2 2 2" xfId="24289"/>
    <cellStyle name="Normal 2 4 2 2 2 2 2 2 2 10" xfId="24290"/>
    <cellStyle name="Normal 2 4 2 2 2 2 2 2 2 10 2" xfId="24291"/>
    <cellStyle name="Normal 2 4 2 2 2 2 2 2 2 11" xfId="24292"/>
    <cellStyle name="Normal 2 4 2 2 2 2 2 2 2 2" xfId="24293"/>
    <cellStyle name="Normal 2 4 2 2 2 2 2 2 2 2 2" xfId="24294"/>
    <cellStyle name="Normal 2 4 2 2 2 2 2 2 2 3" xfId="24295"/>
    <cellStyle name="Normal 2 4 2 2 2 2 2 2 2 3 2" xfId="24296"/>
    <cellStyle name="Normal 2 4 2 2 2 2 2 2 2 4" xfId="24297"/>
    <cellStyle name="Normal 2 4 2 2 2 2 2 2 2 4 2" xfId="24298"/>
    <cellStyle name="Normal 2 4 2 2 2 2 2 2 2 5" xfId="24299"/>
    <cellStyle name="Normal 2 4 2 2 2 2 2 2 2 5 2" xfId="24300"/>
    <cellStyle name="Normal 2 4 2 2 2 2 2 2 2 6" xfId="24301"/>
    <cellStyle name="Normal 2 4 2 2 2 2 2 2 2 6 2" xfId="24302"/>
    <cellStyle name="Normal 2 4 2 2 2 2 2 2 2 7" xfId="24303"/>
    <cellStyle name="Normal 2 4 2 2 2 2 2 2 2 7 2" xfId="24304"/>
    <cellStyle name="Normal 2 4 2 2 2 2 2 2 2 8" xfId="24305"/>
    <cellStyle name="Normal 2 4 2 2 2 2 2 2 2 8 2" xfId="24306"/>
    <cellStyle name="Normal 2 4 2 2 2 2 2 2 2 9" xfId="24307"/>
    <cellStyle name="Normal 2 4 2 2 2 2 2 2 2 9 2" xfId="24308"/>
    <cellStyle name="Normal 2 4 2 2 2 2 2 2 3" xfId="24309"/>
    <cellStyle name="Normal 2 4 2 2 2 2 2 2 3 2" xfId="24310"/>
    <cellStyle name="Normal 2 4 2 2 2 2 2 2 4" xfId="24311"/>
    <cellStyle name="Normal 2 4 2 2 2 2 2 2 4 2" xfId="24312"/>
    <cellStyle name="Normal 2 4 2 2 2 2 2 2 5" xfId="24313"/>
    <cellStyle name="Normal 2 4 2 2 2 2 2 2 5 2" xfId="24314"/>
    <cellStyle name="Normal 2 4 2 2 2 2 2 2 6" xfId="24315"/>
    <cellStyle name="Normal 2 4 2 2 2 2 2 2 6 2" xfId="24316"/>
    <cellStyle name="Normal 2 4 2 2 2 2 2 2 7" xfId="24317"/>
    <cellStyle name="Normal 2 4 2 2 2 2 2 2 7 2" xfId="24318"/>
    <cellStyle name="Normal 2 4 2 2 2 2 2 2 8" xfId="24319"/>
    <cellStyle name="Normal 2 4 2 2 2 2 2 2 8 2" xfId="24320"/>
    <cellStyle name="Normal 2 4 2 2 2 2 2 2 9" xfId="24321"/>
    <cellStyle name="Normal 2 4 2 2 2 2 2 2 9 2" xfId="24322"/>
    <cellStyle name="Normal 2 4 2 2 2 2 2 3" xfId="24323"/>
    <cellStyle name="Normal 2 4 2 2 2 2 2 3 10" xfId="24324"/>
    <cellStyle name="Normal 2 4 2 2 2 2 2 3 10 2" xfId="24325"/>
    <cellStyle name="Normal 2 4 2 2 2 2 2 3 11" xfId="24326"/>
    <cellStyle name="Normal 2 4 2 2 2 2 2 3 2" xfId="24327"/>
    <cellStyle name="Normal 2 4 2 2 2 2 2 3 2 2" xfId="24328"/>
    <cellStyle name="Normal 2 4 2 2 2 2 2 3 3" xfId="24329"/>
    <cellStyle name="Normal 2 4 2 2 2 2 2 3 3 2" xfId="24330"/>
    <cellStyle name="Normal 2 4 2 2 2 2 2 3 4" xfId="24331"/>
    <cellStyle name="Normal 2 4 2 2 2 2 2 3 4 2" xfId="24332"/>
    <cellStyle name="Normal 2 4 2 2 2 2 2 3 5" xfId="24333"/>
    <cellStyle name="Normal 2 4 2 2 2 2 2 3 5 2" xfId="24334"/>
    <cellStyle name="Normal 2 4 2 2 2 2 2 3 6" xfId="24335"/>
    <cellStyle name="Normal 2 4 2 2 2 2 2 3 6 2" xfId="24336"/>
    <cellStyle name="Normal 2 4 2 2 2 2 2 3 7" xfId="24337"/>
    <cellStyle name="Normal 2 4 2 2 2 2 2 3 7 2" xfId="24338"/>
    <cellStyle name="Normal 2 4 2 2 2 2 2 3 8" xfId="24339"/>
    <cellStyle name="Normal 2 4 2 2 2 2 2 3 8 2" xfId="24340"/>
    <cellStyle name="Normal 2 4 2 2 2 2 2 3 9" xfId="24341"/>
    <cellStyle name="Normal 2 4 2 2 2 2 2 3 9 2" xfId="24342"/>
    <cellStyle name="Normal 2 4 2 2 2 2 2 4" xfId="24343"/>
    <cellStyle name="Normal 2 4 2 2 2 2 2 4 2" xfId="24344"/>
    <cellStyle name="Normal 2 4 2 2 2 2 2 5" xfId="24345"/>
    <cellStyle name="Normal 2 4 2 2 2 2 2 5 2" xfId="24346"/>
    <cellStyle name="Normal 2 4 2 2 2 2 2 6" xfId="24347"/>
    <cellStyle name="Normal 2 4 2 2 2 2 2 6 2" xfId="24348"/>
    <cellStyle name="Normal 2 4 2 2 2 2 2 7" xfId="24349"/>
    <cellStyle name="Normal 2 4 2 2 2 2 2 7 2" xfId="24350"/>
    <cellStyle name="Normal 2 4 2 2 2 2 2 8" xfId="24351"/>
    <cellStyle name="Normal 2 4 2 2 2 2 2 8 2" xfId="24352"/>
    <cellStyle name="Normal 2 4 2 2 2 2 2 9" xfId="24353"/>
    <cellStyle name="Normal 2 4 2 2 2 2 2 9 2" xfId="24354"/>
    <cellStyle name="Normal 2 4 2 2 2 2 3" xfId="24355"/>
    <cellStyle name="Normal 2 4 2 2 2 2 3 10" xfId="24356"/>
    <cellStyle name="Normal 2 4 2 2 2 2 3 10 2" xfId="24357"/>
    <cellStyle name="Normal 2 4 2 2 2 2 3 11" xfId="24358"/>
    <cellStyle name="Normal 2 4 2 2 2 2 3 11 2" xfId="24359"/>
    <cellStyle name="Normal 2 4 2 2 2 2 3 12" xfId="24360"/>
    <cellStyle name="Normal 2 4 2 2 2 2 3 12 2" xfId="24361"/>
    <cellStyle name="Normal 2 4 2 2 2 2 3 13" xfId="24362"/>
    <cellStyle name="Normal 2 4 2 2 2 2 3 2" xfId="24363"/>
    <cellStyle name="Normal 2 4 2 2 2 2 3 2 10" xfId="24364"/>
    <cellStyle name="Normal 2 4 2 2 2 2 3 2 10 2" xfId="24365"/>
    <cellStyle name="Normal 2 4 2 2 2 2 3 2 11" xfId="24366"/>
    <cellStyle name="Normal 2 4 2 2 2 2 3 2 11 2" xfId="24367"/>
    <cellStyle name="Normal 2 4 2 2 2 2 3 2 12" xfId="24368"/>
    <cellStyle name="Normal 2 4 2 2 2 2 3 2 2" xfId="24369"/>
    <cellStyle name="Normal 2 4 2 2 2 2 3 2 2 10" xfId="24370"/>
    <cellStyle name="Normal 2 4 2 2 2 2 3 2 2 10 2" xfId="24371"/>
    <cellStyle name="Normal 2 4 2 2 2 2 3 2 2 11" xfId="24372"/>
    <cellStyle name="Normal 2 4 2 2 2 2 3 2 2 2" xfId="24373"/>
    <cellStyle name="Normal 2 4 2 2 2 2 3 2 2 2 2" xfId="24374"/>
    <cellStyle name="Normal 2 4 2 2 2 2 3 2 2 3" xfId="24375"/>
    <cellStyle name="Normal 2 4 2 2 2 2 3 2 2 3 2" xfId="24376"/>
    <cellStyle name="Normal 2 4 2 2 2 2 3 2 2 4" xfId="24377"/>
    <cellStyle name="Normal 2 4 2 2 2 2 3 2 2 4 2" xfId="24378"/>
    <cellStyle name="Normal 2 4 2 2 2 2 3 2 2 5" xfId="24379"/>
    <cellStyle name="Normal 2 4 2 2 2 2 3 2 2 5 2" xfId="24380"/>
    <cellStyle name="Normal 2 4 2 2 2 2 3 2 2 6" xfId="24381"/>
    <cellStyle name="Normal 2 4 2 2 2 2 3 2 2 6 2" xfId="24382"/>
    <cellStyle name="Normal 2 4 2 2 2 2 3 2 2 7" xfId="24383"/>
    <cellStyle name="Normal 2 4 2 2 2 2 3 2 2 7 2" xfId="24384"/>
    <cellStyle name="Normal 2 4 2 2 2 2 3 2 2 8" xfId="24385"/>
    <cellStyle name="Normal 2 4 2 2 2 2 3 2 2 8 2" xfId="24386"/>
    <cellStyle name="Normal 2 4 2 2 2 2 3 2 2 9" xfId="24387"/>
    <cellStyle name="Normal 2 4 2 2 2 2 3 2 2 9 2" xfId="24388"/>
    <cellStyle name="Normal 2 4 2 2 2 2 3 2 3" xfId="24389"/>
    <cellStyle name="Normal 2 4 2 2 2 2 3 2 3 2" xfId="24390"/>
    <cellStyle name="Normal 2 4 2 2 2 2 3 2 4" xfId="24391"/>
    <cellStyle name="Normal 2 4 2 2 2 2 3 2 4 2" xfId="24392"/>
    <cellStyle name="Normal 2 4 2 2 2 2 3 2 5" xfId="24393"/>
    <cellStyle name="Normal 2 4 2 2 2 2 3 2 5 2" xfId="24394"/>
    <cellStyle name="Normal 2 4 2 2 2 2 3 2 6" xfId="24395"/>
    <cellStyle name="Normal 2 4 2 2 2 2 3 2 6 2" xfId="24396"/>
    <cellStyle name="Normal 2 4 2 2 2 2 3 2 7" xfId="24397"/>
    <cellStyle name="Normal 2 4 2 2 2 2 3 2 7 2" xfId="24398"/>
    <cellStyle name="Normal 2 4 2 2 2 2 3 2 8" xfId="24399"/>
    <cellStyle name="Normal 2 4 2 2 2 2 3 2 8 2" xfId="24400"/>
    <cellStyle name="Normal 2 4 2 2 2 2 3 2 9" xfId="24401"/>
    <cellStyle name="Normal 2 4 2 2 2 2 3 2 9 2" xfId="24402"/>
    <cellStyle name="Normal 2 4 2 2 2 2 3 3" xfId="24403"/>
    <cellStyle name="Normal 2 4 2 2 2 2 3 3 10" xfId="24404"/>
    <cellStyle name="Normal 2 4 2 2 2 2 3 3 10 2" xfId="24405"/>
    <cellStyle name="Normal 2 4 2 2 2 2 3 3 11" xfId="24406"/>
    <cellStyle name="Normal 2 4 2 2 2 2 3 3 2" xfId="24407"/>
    <cellStyle name="Normal 2 4 2 2 2 2 3 3 2 2" xfId="24408"/>
    <cellStyle name="Normal 2 4 2 2 2 2 3 3 3" xfId="24409"/>
    <cellStyle name="Normal 2 4 2 2 2 2 3 3 3 2" xfId="24410"/>
    <cellStyle name="Normal 2 4 2 2 2 2 3 3 4" xfId="24411"/>
    <cellStyle name="Normal 2 4 2 2 2 2 3 3 4 2" xfId="24412"/>
    <cellStyle name="Normal 2 4 2 2 2 2 3 3 5" xfId="24413"/>
    <cellStyle name="Normal 2 4 2 2 2 2 3 3 5 2" xfId="24414"/>
    <cellStyle name="Normal 2 4 2 2 2 2 3 3 6" xfId="24415"/>
    <cellStyle name="Normal 2 4 2 2 2 2 3 3 6 2" xfId="24416"/>
    <cellStyle name="Normal 2 4 2 2 2 2 3 3 7" xfId="24417"/>
    <cellStyle name="Normal 2 4 2 2 2 2 3 3 7 2" xfId="24418"/>
    <cellStyle name="Normal 2 4 2 2 2 2 3 3 8" xfId="24419"/>
    <cellStyle name="Normal 2 4 2 2 2 2 3 3 8 2" xfId="24420"/>
    <cellStyle name="Normal 2 4 2 2 2 2 3 3 9" xfId="24421"/>
    <cellStyle name="Normal 2 4 2 2 2 2 3 3 9 2" xfId="24422"/>
    <cellStyle name="Normal 2 4 2 2 2 2 3 4" xfId="24423"/>
    <cellStyle name="Normal 2 4 2 2 2 2 3 4 2" xfId="24424"/>
    <cellStyle name="Normal 2 4 2 2 2 2 3 5" xfId="24425"/>
    <cellStyle name="Normal 2 4 2 2 2 2 3 5 2" xfId="24426"/>
    <cellStyle name="Normal 2 4 2 2 2 2 3 6" xfId="24427"/>
    <cellStyle name="Normal 2 4 2 2 2 2 3 6 2" xfId="24428"/>
    <cellStyle name="Normal 2 4 2 2 2 2 3 7" xfId="24429"/>
    <cellStyle name="Normal 2 4 2 2 2 2 3 7 2" xfId="24430"/>
    <cellStyle name="Normal 2 4 2 2 2 2 3 8" xfId="24431"/>
    <cellStyle name="Normal 2 4 2 2 2 2 3 8 2" xfId="24432"/>
    <cellStyle name="Normal 2 4 2 2 2 2 3 9" xfId="24433"/>
    <cellStyle name="Normal 2 4 2 2 2 2 3 9 2" xfId="24434"/>
    <cellStyle name="Normal 2 4 2 2 2 2 4" xfId="24435"/>
    <cellStyle name="Normal 2 4 2 2 2 2 4 10" xfId="24436"/>
    <cellStyle name="Normal 2 4 2 2 2 2 4 10 2" xfId="24437"/>
    <cellStyle name="Normal 2 4 2 2 2 2 4 11" xfId="24438"/>
    <cellStyle name="Normal 2 4 2 2 2 2 4 11 2" xfId="24439"/>
    <cellStyle name="Normal 2 4 2 2 2 2 4 12" xfId="24440"/>
    <cellStyle name="Normal 2 4 2 2 2 2 4 12 2" xfId="24441"/>
    <cellStyle name="Normal 2 4 2 2 2 2 4 13" xfId="24442"/>
    <cellStyle name="Normal 2 4 2 2 2 2 4 2" xfId="24443"/>
    <cellStyle name="Normal 2 4 2 2 2 2 4 2 10" xfId="24444"/>
    <cellStyle name="Normal 2 4 2 2 2 2 4 2 10 2" xfId="24445"/>
    <cellStyle name="Normal 2 4 2 2 2 2 4 2 11" xfId="24446"/>
    <cellStyle name="Normal 2 4 2 2 2 2 4 2 11 2" xfId="24447"/>
    <cellStyle name="Normal 2 4 2 2 2 2 4 2 12" xfId="24448"/>
    <cellStyle name="Normal 2 4 2 2 2 2 4 2 2" xfId="24449"/>
    <cellStyle name="Normal 2 4 2 2 2 2 4 2 2 10" xfId="24450"/>
    <cellStyle name="Normal 2 4 2 2 2 2 4 2 2 10 2" xfId="24451"/>
    <cellStyle name="Normal 2 4 2 2 2 2 4 2 2 11" xfId="24452"/>
    <cellStyle name="Normal 2 4 2 2 2 2 4 2 2 2" xfId="24453"/>
    <cellStyle name="Normal 2 4 2 2 2 2 4 2 2 2 2" xfId="24454"/>
    <cellStyle name="Normal 2 4 2 2 2 2 4 2 2 3" xfId="24455"/>
    <cellStyle name="Normal 2 4 2 2 2 2 4 2 2 3 2" xfId="24456"/>
    <cellStyle name="Normal 2 4 2 2 2 2 4 2 2 4" xfId="24457"/>
    <cellStyle name="Normal 2 4 2 2 2 2 4 2 2 4 2" xfId="24458"/>
    <cellStyle name="Normal 2 4 2 2 2 2 4 2 2 5" xfId="24459"/>
    <cellStyle name="Normal 2 4 2 2 2 2 4 2 2 5 2" xfId="24460"/>
    <cellStyle name="Normal 2 4 2 2 2 2 4 2 2 6" xfId="24461"/>
    <cellStyle name="Normal 2 4 2 2 2 2 4 2 2 6 2" xfId="24462"/>
    <cellStyle name="Normal 2 4 2 2 2 2 4 2 2 7" xfId="24463"/>
    <cellStyle name="Normal 2 4 2 2 2 2 4 2 2 7 2" xfId="24464"/>
    <cellStyle name="Normal 2 4 2 2 2 2 4 2 2 8" xfId="24465"/>
    <cellStyle name="Normal 2 4 2 2 2 2 4 2 2 8 2" xfId="24466"/>
    <cellStyle name="Normal 2 4 2 2 2 2 4 2 2 9" xfId="24467"/>
    <cellStyle name="Normal 2 4 2 2 2 2 4 2 2 9 2" xfId="24468"/>
    <cellStyle name="Normal 2 4 2 2 2 2 4 2 3" xfId="24469"/>
    <cellStyle name="Normal 2 4 2 2 2 2 4 2 3 2" xfId="24470"/>
    <cellStyle name="Normal 2 4 2 2 2 2 4 2 4" xfId="24471"/>
    <cellStyle name="Normal 2 4 2 2 2 2 4 2 4 2" xfId="24472"/>
    <cellStyle name="Normal 2 4 2 2 2 2 4 2 5" xfId="24473"/>
    <cellStyle name="Normal 2 4 2 2 2 2 4 2 5 2" xfId="24474"/>
    <cellStyle name="Normal 2 4 2 2 2 2 4 2 6" xfId="24475"/>
    <cellStyle name="Normal 2 4 2 2 2 2 4 2 6 2" xfId="24476"/>
    <cellStyle name="Normal 2 4 2 2 2 2 4 2 7" xfId="24477"/>
    <cellStyle name="Normal 2 4 2 2 2 2 4 2 7 2" xfId="24478"/>
    <cellStyle name="Normal 2 4 2 2 2 2 4 2 8" xfId="24479"/>
    <cellStyle name="Normal 2 4 2 2 2 2 4 2 8 2" xfId="24480"/>
    <cellStyle name="Normal 2 4 2 2 2 2 4 2 9" xfId="24481"/>
    <cellStyle name="Normal 2 4 2 2 2 2 4 2 9 2" xfId="24482"/>
    <cellStyle name="Normal 2 4 2 2 2 2 4 3" xfId="24483"/>
    <cellStyle name="Normal 2 4 2 2 2 2 4 3 10" xfId="24484"/>
    <cellStyle name="Normal 2 4 2 2 2 2 4 3 10 2" xfId="24485"/>
    <cellStyle name="Normal 2 4 2 2 2 2 4 3 11" xfId="24486"/>
    <cellStyle name="Normal 2 4 2 2 2 2 4 3 2" xfId="24487"/>
    <cellStyle name="Normal 2 4 2 2 2 2 4 3 2 2" xfId="24488"/>
    <cellStyle name="Normal 2 4 2 2 2 2 4 3 3" xfId="24489"/>
    <cellStyle name="Normal 2 4 2 2 2 2 4 3 3 2" xfId="24490"/>
    <cellStyle name="Normal 2 4 2 2 2 2 4 3 4" xfId="24491"/>
    <cellStyle name="Normal 2 4 2 2 2 2 4 3 4 2" xfId="24492"/>
    <cellStyle name="Normal 2 4 2 2 2 2 4 3 5" xfId="24493"/>
    <cellStyle name="Normal 2 4 2 2 2 2 4 3 5 2" xfId="24494"/>
    <cellStyle name="Normal 2 4 2 2 2 2 4 3 6" xfId="24495"/>
    <cellStyle name="Normal 2 4 2 2 2 2 4 3 6 2" xfId="24496"/>
    <cellStyle name="Normal 2 4 2 2 2 2 4 3 7" xfId="24497"/>
    <cellStyle name="Normal 2 4 2 2 2 2 4 3 7 2" xfId="24498"/>
    <cellStyle name="Normal 2 4 2 2 2 2 4 3 8" xfId="24499"/>
    <cellStyle name="Normal 2 4 2 2 2 2 4 3 8 2" xfId="24500"/>
    <cellStyle name="Normal 2 4 2 2 2 2 4 3 9" xfId="24501"/>
    <cellStyle name="Normal 2 4 2 2 2 2 4 3 9 2" xfId="24502"/>
    <cellStyle name="Normal 2 4 2 2 2 2 4 4" xfId="24503"/>
    <cellStyle name="Normal 2 4 2 2 2 2 4 4 2" xfId="24504"/>
    <cellStyle name="Normal 2 4 2 2 2 2 4 5" xfId="24505"/>
    <cellStyle name="Normal 2 4 2 2 2 2 4 5 2" xfId="24506"/>
    <cellStyle name="Normal 2 4 2 2 2 2 4 6" xfId="24507"/>
    <cellStyle name="Normal 2 4 2 2 2 2 4 6 2" xfId="24508"/>
    <cellStyle name="Normal 2 4 2 2 2 2 4 7" xfId="24509"/>
    <cellStyle name="Normal 2 4 2 2 2 2 4 7 2" xfId="24510"/>
    <cellStyle name="Normal 2 4 2 2 2 2 4 8" xfId="24511"/>
    <cellStyle name="Normal 2 4 2 2 2 2 4 8 2" xfId="24512"/>
    <cellStyle name="Normal 2 4 2 2 2 2 4 9" xfId="24513"/>
    <cellStyle name="Normal 2 4 2 2 2 2 4 9 2" xfId="24514"/>
    <cellStyle name="Normal 2 4 2 2 2 2 5" xfId="24515"/>
    <cellStyle name="Normal 2 4 2 2 2 2 5 10" xfId="24516"/>
    <cellStyle name="Normal 2 4 2 2 2 2 5 10 2" xfId="24517"/>
    <cellStyle name="Normal 2 4 2 2 2 2 5 11" xfId="24518"/>
    <cellStyle name="Normal 2 4 2 2 2 2 5 11 2" xfId="24519"/>
    <cellStyle name="Normal 2 4 2 2 2 2 5 12" xfId="24520"/>
    <cellStyle name="Normal 2 4 2 2 2 2 5 12 2" xfId="24521"/>
    <cellStyle name="Normal 2 4 2 2 2 2 5 13" xfId="24522"/>
    <cellStyle name="Normal 2 4 2 2 2 2 5 2" xfId="24523"/>
    <cellStyle name="Normal 2 4 2 2 2 2 5 2 10" xfId="24524"/>
    <cellStyle name="Normal 2 4 2 2 2 2 5 2 10 2" xfId="24525"/>
    <cellStyle name="Normal 2 4 2 2 2 2 5 2 11" xfId="24526"/>
    <cellStyle name="Normal 2 4 2 2 2 2 5 2 11 2" xfId="24527"/>
    <cellStyle name="Normal 2 4 2 2 2 2 5 2 12" xfId="24528"/>
    <cellStyle name="Normal 2 4 2 2 2 2 5 2 2" xfId="24529"/>
    <cellStyle name="Normal 2 4 2 2 2 2 5 2 2 10" xfId="24530"/>
    <cellStyle name="Normal 2 4 2 2 2 2 5 2 2 10 2" xfId="24531"/>
    <cellStyle name="Normal 2 4 2 2 2 2 5 2 2 11" xfId="24532"/>
    <cellStyle name="Normal 2 4 2 2 2 2 5 2 2 2" xfId="24533"/>
    <cellStyle name="Normal 2 4 2 2 2 2 5 2 2 2 2" xfId="24534"/>
    <cellStyle name="Normal 2 4 2 2 2 2 5 2 2 3" xfId="24535"/>
    <cellStyle name="Normal 2 4 2 2 2 2 5 2 2 3 2" xfId="24536"/>
    <cellStyle name="Normal 2 4 2 2 2 2 5 2 2 4" xfId="24537"/>
    <cellStyle name="Normal 2 4 2 2 2 2 5 2 2 4 2" xfId="24538"/>
    <cellStyle name="Normal 2 4 2 2 2 2 5 2 2 5" xfId="24539"/>
    <cellStyle name="Normal 2 4 2 2 2 2 5 2 2 5 2" xfId="24540"/>
    <cellStyle name="Normal 2 4 2 2 2 2 5 2 2 6" xfId="24541"/>
    <cellStyle name="Normal 2 4 2 2 2 2 5 2 2 6 2" xfId="24542"/>
    <cellStyle name="Normal 2 4 2 2 2 2 5 2 2 7" xfId="24543"/>
    <cellStyle name="Normal 2 4 2 2 2 2 5 2 2 7 2" xfId="24544"/>
    <cellStyle name="Normal 2 4 2 2 2 2 5 2 2 8" xfId="24545"/>
    <cellStyle name="Normal 2 4 2 2 2 2 5 2 2 8 2" xfId="24546"/>
    <cellStyle name="Normal 2 4 2 2 2 2 5 2 2 9" xfId="24547"/>
    <cellStyle name="Normal 2 4 2 2 2 2 5 2 2 9 2" xfId="24548"/>
    <cellStyle name="Normal 2 4 2 2 2 2 5 2 3" xfId="24549"/>
    <cellStyle name="Normal 2 4 2 2 2 2 5 2 3 2" xfId="24550"/>
    <cellStyle name="Normal 2 4 2 2 2 2 5 2 4" xfId="24551"/>
    <cellStyle name="Normal 2 4 2 2 2 2 5 2 4 2" xfId="24552"/>
    <cellStyle name="Normal 2 4 2 2 2 2 5 2 5" xfId="24553"/>
    <cellStyle name="Normal 2 4 2 2 2 2 5 2 5 2" xfId="24554"/>
    <cellStyle name="Normal 2 4 2 2 2 2 5 2 6" xfId="24555"/>
    <cellStyle name="Normal 2 4 2 2 2 2 5 2 6 2" xfId="24556"/>
    <cellStyle name="Normal 2 4 2 2 2 2 5 2 7" xfId="24557"/>
    <cellStyle name="Normal 2 4 2 2 2 2 5 2 7 2" xfId="24558"/>
    <cellStyle name="Normal 2 4 2 2 2 2 5 2 8" xfId="24559"/>
    <cellStyle name="Normal 2 4 2 2 2 2 5 2 8 2" xfId="24560"/>
    <cellStyle name="Normal 2 4 2 2 2 2 5 2 9" xfId="24561"/>
    <cellStyle name="Normal 2 4 2 2 2 2 5 2 9 2" xfId="24562"/>
    <cellStyle name="Normal 2 4 2 2 2 2 5 3" xfId="24563"/>
    <cellStyle name="Normal 2 4 2 2 2 2 5 3 10" xfId="24564"/>
    <cellStyle name="Normal 2 4 2 2 2 2 5 3 10 2" xfId="24565"/>
    <cellStyle name="Normal 2 4 2 2 2 2 5 3 11" xfId="24566"/>
    <cellStyle name="Normal 2 4 2 2 2 2 5 3 2" xfId="24567"/>
    <cellStyle name="Normal 2 4 2 2 2 2 5 3 2 2" xfId="24568"/>
    <cellStyle name="Normal 2 4 2 2 2 2 5 3 3" xfId="24569"/>
    <cellStyle name="Normal 2 4 2 2 2 2 5 3 3 2" xfId="24570"/>
    <cellStyle name="Normal 2 4 2 2 2 2 5 3 4" xfId="24571"/>
    <cellStyle name="Normal 2 4 2 2 2 2 5 3 4 2" xfId="24572"/>
    <cellStyle name="Normal 2 4 2 2 2 2 5 3 5" xfId="24573"/>
    <cellStyle name="Normal 2 4 2 2 2 2 5 3 5 2" xfId="24574"/>
    <cellStyle name="Normal 2 4 2 2 2 2 5 3 6" xfId="24575"/>
    <cellStyle name="Normal 2 4 2 2 2 2 5 3 6 2" xfId="24576"/>
    <cellStyle name="Normal 2 4 2 2 2 2 5 3 7" xfId="24577"/>
    <cellStyle name="Normal 2 4 2 2 2 2 5 3 7 2" xfId="24578"/>
    <cellStyle name="Normal 2 4 2 2 2 2 5 3 8" xfId="24579"/>
    <cellStyle name="Normal 2 4 2 2 2 2 5 3 8 2" xfId="24580"/>
    <cellStyle name="Normal 2 4 2 2 2 2 5 3 9" xfId="24581"/>
    <cellStyle name="Normal 2 4 2 2 2 2 5 3 9 2" xfId="24582"/>
    <cellStyle name="Normal 2 4 2 2 2 2 5 4" xfId="24583"/>
    <cellStyle name="Normal 2 4 2 2 2 2 5 4 2" xfId="24584"/>
    <cellStyle name="Normal 2 4 2 2 2 2 5 5" xfId="24585"/>
    <cellStyle name="Normal 2 4 2 2 2 2 5 5 2" xfId="24586"/>
    <cellStyle name="Normal 2 4 2 2 2 2 5 6" xfId="24587"/>
    <cellStyle name="Normal 2 4 2 2 2 2 5 6 2" xfId="24588"/>
    <cellStyle name="Normal 2 4 2 2 2 2 5 7" xfId="24589"/>
    <cellStyle name="Normal 2 4 2 2 2 2 5 7 2" xfId="24590"/>
    <cellStyle name="Normal 2 4 2 2 2 2 5 8" xfId="24591"/>
    <cellStyle name="Normal 2 4 2 2 2 2 5 8 2" xfId="24592"/>
    <cellStyle name="Normal 2 4 2 2 2 2 5 9" xfId="24593"/>
    <cellStyle name="Normal 2 4 2 2 2 2 5 9 2" xfId="24594"/>
    <cellStyle name="Normal 2 4 2 2 2 3" xfId="24595"/>
    <cellStyle name="Normal 2 4 2 2 2 4" xfId="24596"/>
    <cellStyle name="Normal 2 4 2 2 2 5" xfId="24597"/>
    <cellStyle name="Normal 2 4 2 2 2 6" xfId="24598"/>
    <cellStyle name="Normal 2 4 2 2 2 6 10" xfId="24599"/>
    <cellStyle name="Normal 2 4 2 2 2 6 10 2" xfId="24600"/>
    <cellStyle name="Normal 2 4 2 2 2 6 11" xfId="24601"/>
    <cellStyle name="Normal 2 4 2 2 2 6 11 2" xfId="24602"/>
    <cellStyle name="Normal 2 4 2 2 2 6 12" xfId="24603"/>
    <cellStyle name="Normal 2 4 2 2 2 6 2" xfId="24604"/>
    <cellStyle name="Normal 2 4 2 2 2 6 2 10" xfId="24605"/>
    <cellStyle name="Normal 2 4 2 2 2 6 2 10 2" xfId="24606"/>
    <cellStyle name="Normal 2 4 2 2 2 6 2 11" xfId="24607"/>
    <cellStyle name="Normal 2 4 2 2 2 6 2 2" xfId="24608"/>
    <cellStyle name="Normal 2 4 2 2 2 6 2 2 2" xfId="24609"/>
    <cellStyle name="Normal 2 4 2 2 2 6 2 3" xfId="24610"/>
    <cellStyle name="Normal 2 4 2 2 2 6 2 3 2" xfId="24611"/>
    <cellStyle name="Normal 2 4 2 2 2 6 2 4" xfId="24612"/>
    <cellStyle name="Normal 2 4 2 2 2 6 2 4 2" xfId="24613"/>
    <cellStyle name="Normal 2 4 2 2 2 6 2 5" xfId="24614"/>
    <cellStyle name="Normal 2 4 2 2 2 6 2 5 2" xfId="24615"/>
    <cellStyle name="Normal 2 4 2 2 2 6 2 6" xfId="24616"/>
    <cellStyle name="Normal 2 4 2 2 2 6 2 6 2" xfId="24617"/>
    <cellStyle name="Normal 2 4 2 2 2 6 2 7" xfId="24618"/>
    <cellStyle name="Normal 2 4 2 2 2 6 2 7 2" xfId="24619"/>
    <cellStyle name="Normal 2 4 2 2 2 6 2 8" xfId="24620"/>
    <cellStyle name="Normal 2 4 2 2 2 6 2 8 2" xfId="24621"/>
    <cellStyle name="Normal 2 4 2 2 2 6 2 9" xfId="24622"/>
    <cellStyle name="Normal 2 4 2 2 2 6 2 9 2" xfId="24623"/>
    <cellStyle name="Normal 2 4 2 2 2 6 3" xfId="24624"/>
    <cellStyle name="Normal 2 4 2 2 2 6 3 2" xfId="24625"/>
    <cellStyle name="Normal 2 4 2 2 2 6 4" xfId="24626"/>
    <cellStyle name="Normal 2 4 2 2 2 6 4 2" xfId="24627"/>
    <cellStyle name="Normal 2 4 2 2 2 6 5" xfId="24628"/>
    <cellStyle name="Normal 2 4 2 2 2 6 5 2" xfId="24629"/>
    <cellStyle name="Normal 2 4 2 2 2 6 6" xfId="24630"/>
    <cellStyle name="Normal 2 4 2 2 2 6 6 2" xfId="24631"/>
    <cellStyle name="Normal 2 4 2 2 2 6 7" xfId="24632"/>
    <cellStyle name="Normal 2 4 2 2 2 6 7 2" xfId="24633"/>
    <cellStyle name="Normal 2 4 2 2 2 6 8" xfId="24634"/>
    <cellStyle name="Normal 2 4 2 2 2 6 8 2" xfId="24635"/>
    <cellStyle name="Normal 2 4 2 2 2 6 9" xfId="24636"/>
    <cellStyle name="Normal 2 4 2 2 2 6 9 2" xfId="24637"/>
    <cellStyle name="Normal 2 4 2 2 2 7" xfId="24638"/>
    <cellStyle name="Normal 2 4 2 2 2 7 10" xfId="24639"/>
    <cellStyle name="Normal 2 4 2 2 2 7 10 2" xfId="24640"/>
    <cellStyle name="Normal 2 4 2 2 2 7 11" xfId="24641"/>
    <cellStyle name="Normal 2 4 2 2 2 7 2" xfId="24642"/>
    <cellStyle name="Normal 2 4 2 2 2 7 2 2" xfId="24643"/>
    <cellStyle name="Normal 2 4 2 2 2 7 3" xfId="24644"/>
    <cellStyle name="Normal 2 4 2 2 2 7 3 2" xfId="24645"/>
    <cellStyle name="Normal 2 4 2 2 2 7 4" xfId="24646"/>
    <cellStyle name="Normal 2 4 2 2 2 7 4 2" xfId="24647"/>
    <cellStyle name="Normal 2 4 2 2 2 7 5" xfId="24648"/>
    <cellStyle name="Normal 2 4 2 2 2 7 5 2" xfId="24649"/>
    <cellStyle name="Normal 2 4 2 2 2 7 6" xfId="24650"/>
    <cellStyle name="Normal 2 4 2 2 2 7 6 2" xfId="24651"/>
    <cellStyle name="Normal 2 4 2 2 2 7 7" xfId="24652"/>
    <cellStyle name="Normal 2 4 2 2 2 7 7 2" xfId="24653"/>
    <cellStyle name="Normal 2 4 2 2 2 7 8" xfId="24654"/>
    <cellStyle name="Normal 2 4 2 2 2 7 8 2" xfId="24655"/>
    <cellStyle name="Normal 2 4 2 2 2 7 9" xfId="24656"/>
    <cellStyle name="Normal 2 4 2 2 2 7 9 2" xfId="24657"/>
    <cellStyle name="Normal 2 4 2 2 2 8" xfId="24658"/>
    <cellStyle name="Normal 2 4 2 2 2 8 2" xfId="24659"/>
    <cellStyle name="Normal 2 4 2 2 2 9" xfId="24660"/>
    <cellStyle name="Normal 2 4 2 2 2 9 2" xfId="24661"/>
    <cellStyle name="Normal 2 4 2 2 3" xfId="24662"/>
    <cellStyle name="Normal 2 4 2 2 3 10" xfId="24663"/>
    <cellStyle name="Normal 2 4 2 2 3 10 2" xfId="24664"/>
    <cellStyle name="Normal 2 4 2 2 3 11" xfId="24665"/>
    <cellStyle name="Normal 2 4 2 2 3 11 2" xfId="24666"/>
    <cellStyle name="Normal 2 4 2 2 3 12" xfId="24667"/>
    <cellStyle name="Normal 2 4 2 2 3 12 2" xfId="24668"/>
    <cellStyle name="Normal 2 4 2 2 3 13" xfId="24669"/>
    <cellStyle name="Normal 2 4 2 2 3 2" xfId="24670"/>
    <cellStyle name="Normal 2 4 2 2 3 2 10" xfId="24671"/>
    <cellStyle name="Normal 2 4 2 2 3 2 10 2" xfId="24672"/>
    <cellStyle name="Normal 2 4 2 2 3 2 11" xfId="24673"/>
    <cellStyle name="Normal 2 4 2 2 3 2 11 2" xfId="24674"/>
    <cellStyle name="Normal 2 4 2 2 3 2 12" xfId="24675"/>
    <cellStyle name="Normal 2 4 2 2 3 2 2" xfId="24676"/>
    <cellStyle name="Normal 2 4 2 2 3 2 2 10" xfId="24677"/>
    <cellStyle name="Normal 2 4 2 2 3 2 2 10 2" xfId="24678"/>
    <cellStyle name="Normal 2 4 2 2 3 2 2 11" xfId="24679"/>
    <cellStyle name="Normal 2 4 2 2 3 2 2 2" xfId="24680"/>
    <cellStyle name="Normal 2 4 2 2 3 2 2 2 2" xfId="24681"/>
    <cellStyle name="Normal 2 4 2 2 3 2 2 3" xfId="24682"/>
    <cellStyle name="Normal 2 4 2 2 3 2 2 3 2" xfId="24683"/>
    <cellStyle name="Normal 2 4 2 2 3 2 2 4" xfId="24684"/>
    <cellStyle name="Normal 2 4 2 2 3 2 2 4 2" xfId="24685"/>
    <cellStyle name="Normal 2 4 2 2 3 2 2 5" xfId="24686"/>
    <cellStyle name="Normal 2 4 2 2 3 2 2 5 2" xfId="24687"/>
    <cellStyle name="Normal 2 4 2 2 3 2 2 6" xfId="24688"/>
    <cellStyle name="Normal 2 4 2 2 3 2 2 6 2" xfId="24689"/>
    <cellStyle name="Normal 2 4 2 2 3 2 2 7" xfId="24690"/>
    <cellStyle name="Normal 2 4 2 2 3 2 2 7 2" xfId="24691"/>
    <cellStyle name="Normal 2 4 2 2 3 2 2 8" xfId="24692"/>
    <cellStyle name="Normal 2 4 2 2 3 2 2 8 2" xfId="24693"/>
    <cellStyle name="Normal 2 4 2 2 3 2 2 9" xfId="24694"/>
    <cellStyle name="Normal 2 4 2 2 3 2 2 9 2" xfId="24695"/>
    <cellStyle name="Normal 2 4 2 2 3 2 3" xfId="24696"/>
    <cellStyle name="Normal 2 4 2 2 3 2 3 2" xfId="24697"/>
    <cellStyle name="Normal 2 4 2 2 3 2 4" xfId="24698"/>
    <cellStyle name="Normal 2 4 2 2 3 2 4 2" xfId="24699"/>
    <cellStyle name="Normal 2 4 2 2 3 2 5" xfId="24700"/>
    <cellStyle name="Normal 2 4 2 2 3 2 5 2" xfId="24701"/>
    <cellStyle name="Normal 2 4 2 2 3 2 6" xfId="24702"/>
    <cellStyle name="Normal 2 4 2 2 3 2 6 2" xfId="24703"/>
    <cellStyle name="Normal 2 4 2 2 3 2 7" xfId="24704"/>
    <cellStyle name="Normal 2 4 2 2 3 2 7 2" xfId="24705"/>
    <cellStyle name="Normal 2 4 2 2 3 2 8" xfId="24706"/>
    <cellStyle name="Normal 2 4 2 2 3 2 8 2" xfId="24707"/>
    <cellStyle name="Normal 2 4 2 2 3 2 9" xfId="24708"/>
    <cellStyle name="Normal 2 4 2 2 3 2 9 2" xfId="24709"/>
    <cellStyle name="Normal 2 4 2 2 3 3" xfId="24710"/>
    <cellStyle name="Normal 2 4 2 2 3 3 10" xfId="24711"/>
    <cellStyle name="Normal 2 4 2 2 3 3 10 2" xfId="24712"/>
    <cellStyle name="Normal 2 4 2 2 3 3 11" xfId="24713"/>
    <cellStyle name="Normal 2 4 2 2 3 3 2" xfId="24714"/>
    <cellStyle name="Normal 2 4 2 2 3 3 2 2" xfId="24715"/>
    <cellStyle name="Normal 2 4 2 2 3 3 3" xfId="24716"/>
    <cellStyle name="Normal 2 4 2 2 3 3 3 2" xfId="24717"/>
    <cellStyle name="Normal 2 4 2 2 3 3 4" xfId="24718"/>
    <cellStyle name="Normal 2 4 2 2 3 3 4 2" xfId="24719"/>
    <cellStyle name="Normal 2 4 2 2 3 3 5" xfId="24720"/>
    <cellStyle name="Normal 2 4 2 2 3 3 5 2" xfId="24721"/>
    <cellStyle name="Normal 2 4 2 2 3 3 6" xfId="24722"/>
    <cellStyle name="Normal 2 4 2 2 3 3 6 2" xfId="24723"/>
    <cellStyle name="Normal 2 4 2 2 3 3 7" xfId="24724"/>
    <cellStyle name="Normal 2 4 2 2 3 3 7 2" xfId="24725"/>
    <cellStyle name="Normal 2 4 2 2 3 3 8" xfId="24726"/>
    <cellStyle name="Normal 2 4 2 2 3 3 8 2" xfId="24727"/>
    <cellStyle name="Normal 2 4 2 2 3 3 9" xfId="24728"/>
    <cellStyle name="Normal 2 4 2 2 3 3 9 2" xfId="24729"/>
    <cellStyle name="Normal 2 4 2 2 3 4" xfId="24730"/>
    <cellStyle name="Normal 2 4 2 2 3 4 2" xfId="24731"/>
    <cellStyle name="Normal 2 4 2 2 3 5" xfId="24732"/>
    <cellStyle name="Normal 2 4 2 2 3 5 2" xfId="24733"/>
    <cellStyle name="Normal 2 4 2 2 3 6" xfId="24734"/>
    <cellStyle name="Normal 2 4 2 2 3 6 2" xfId="24735"/>
    <cellStyle name="Normal 2 4 2 2 3 7" xfId="24736"/>
    <cellStyle name="Normal 2 4 2 2 3 7 2" xfId="24737"/>
    <cellStyle name="Normal 2 4 2 2 3 8" xfId="24738"/>
    <cellStyle name="Normal 2 4 2 2 3 8 2" xfId="24739"/>
    <cellStyle name="Normal 2 4 2 2 3 9" xfId="24740"/>
    <cellStyle name="Normal 2 4 2 2 3 9 2" xfId="24741"/>
    <cellStyle name="Normal 2 4 2 2 4" xfId="24742"/>
    <cellStyle name="Normal 2 4 2 2 4 10" xfId="24743"/>
    <cellStyle name="Normal 2 4 2 2 4 10 2" xfId="24744"/>
    <cellStyle name="Normal 2 4 2 2 4 11" xfId="24745"/>
    <cellStyle name="Normal 2 4 2 2 4 11 2" xfId="24746"/>
    <cellStyle name="Normal 2 4 2 2 4 12" xfId="24747"/>
    <cellStyle name="Normal 2 4 2 2 4 12 2" xfId="24748"/>
    <cellStyle name="Normal 2 4 2 2 4 13" xfId="24749"/>
    <cellStyle name="Normal 2 4 2 2 4 2" xfId="24750"/>
    <cellStyle name="Normal 2 4 2 2 4 2 10" xfId="24751"/>
    <cellStyle name="Normal 2 4 2 2 4 2 10 2" xfId="24752"/>
    <cellStyle name="Normal 2 4 2 2 4 2 11" xfId="24753"/>
    <cellStyle name="Normal 2 4 2 2 4 2 11 2" xfId="24754"/>
    <cellStyle name="Normal 2 4 2 2 4 2 12" xfId="24755"/>
    <cellStyle name="Normal 2 4 2 2 4 2 2" xfId="24756"/>
    <cellStyle name="Normal 2 4 2 2 4 2 2 10" xfId="24757"/>
    <cellStyle name="Normal 2 4 2 2 4 2 2 10 2" xfId="24758"/>
    <cellStyle name="Normal 2 4 2 2 4 2 2 11" xfId="24759"/>
    <cellStyle name="Normal 2 4 2 2 4 2 2 2" xfId="24760"/>
    <cellStyle name="Normal 2 4 2 2 4 2 2 2 2" xfId="24761"/>
    <cellStyle name="Normal 2 4 2 2 4 2 2 3" xfId="24762"/>
    <cellStyle name="Normal 2 4 2 2 4 2 2 3 2" xfId="24763"/>
    <cellStyle name="Normal 2 4 2 2 4 2 2 4" xfId="24764"/>
    <cellStyle name="Normal 2 4 2 2 4 2 2 4 2" xfId="24765"/>
    <cellStyle name="Normal 2 4 2 2 4 2 2 5" xfId="24766"/>
    <cellStyle name="Normal 2 4 2 2 4 2 2 5 2" xfId="24767"/>
    <cellStyle name="Normal 2 4 2 2 4 2 2 6" xfId="24768"/>
    <cellStyle name="Normal 2 4 2 2 4 2 2 6 2" xfId="24769"/>
    <cellStyle name="Normal 2 4 2 2 4 2 2 7" xfId="24770"/>
    <cellStyle name="Normal 2 4 2 2 4 2 2 7 2" xfId="24771"/>
    <cellStyle name="Normal 2 4 2 2 4 2 2 8" xfId="24772"/>
    <cellStyle name="Normal 2 4 2 2 4 2 2 8 2" xfId="24773"/>
    <cellStyle name="Normal 2 4 2 2 4 2 2 9" xfId="24774"/>
    <cellStyle name="Normal 2 4 2 2 4 2 2 9 2" xfId="24775"/>
    <cellStyle name="Normal 2 4 2 2 4 2 3" xfId="24776"/>
    <cellStyle name="Normal 2 4 2 2 4 2 3 2" xfId="24777"/>
    <cellStyle name="Normal 2 4 2 2 4 2 4" xfId="24778"/>
    <cellStyle name="Normal 2 4 2 2 4 2 4 2" xfId="24779"/>
    <cellStyle name="Normal 2 4 2 2 4 2 5" xfId="24780"/>
    <cellStyle name="Normal 2 4 2 2 4 2 5 2" xfId="24781"/>
    <cellStyle name="Normal 2 4 2 2 4 2 6" xfId="24782"/>
    <cellStyle name="Normal 2 4 2 2 4 2 6 2" xfId="24783"/>
    <cellStyle name="Normal 2 4 2 2 4 2 7" xfId="24784"/>
    <cellStyle name="Normal 2 4 2 2 4 2 7 2" xfId="24785"/>
    <cellStyle name="Normal 2 4 2 2 4 2 8" xfId="24786"/>
    <cellStyle name="Normal 2 4 2 2 4 2 8 2" xfId="24787"/>
    <cellStyle name="Normal 2 4 2 2 4 2 9" xfId="24788"/>
    <cellStyle name="Normal 2 4 2 2 4 2 9 2" xfId="24789"/>
    <cellStyle name="Normal 2 4 2 2 4 3" xfId="24790"/>
    <cellStyle name="Normal 2 4 2 2 4 3 10" xfId="24791"/>
    <cellStyle name="Normal 2 4 2 2 4 3 10 2" xfId="24792"/>
    <cellStyle name="Normal 2 4 2 2 4 3 11" xfId="24793"/>
    <cellStyle name="Normal 2 4 2 2 4 3 2" xfId="24794"/>
    <cellStyle name="Normal 2 4 2 2 4 3 2 2" xfId="24795"/>
    <cellStyle name="Normal 2 4 2 2 4 3 3" xfId="24796"/>
    <cellStyle name="Normal 2 4 2 2 4 3 3 2" xfId="24797"/>
    <cellStyle name="Normal 2 4 2 2 4 3 4" xfId="24798"/>
    <cellStyle name="Normal 2 4 2 2 4 3 4 2" xfId="24799"/>
    <cellStyle name="Normal 2 4 2 2 4 3 5" xfId="24800"/>
    <cellStyle name="Normal 2 4 2 2 4 3 5 2" xfId="24801"/>
    <cellStyle name="Normal 2 4 2 2 4 3 6" xfId="24802"/>
    <cellStyle name="Normal 2 4 2 2 4 3 6 2" xfId="24803"/>
    <cellStyle name="Normal 2 4 2 2 4 3 7" xfId="24804"/>
    <cellStyle name="Normal 2 4 2 2 4 3 7 2" xfId="24805"/>
    <cellStyle name="Normal 2 4 2 2 4 3 8" xfId="24806"/>
    <cellStyle name="Normal 2 4 2 2 4 3 8 2" xfId="24807"/>
    <cellStyle name="Normal 2 4 2 2 4 3 9" xfId="24808"/>
    <cellStyle name="Normal 2 4 2 2 4 3 9 2" xfId="24809"/>
    <cellStyle name="Normal 2 4 2 2 4 4" xfId="24810"/>
    <cellStyle name="Normal 2 4 2 2 4 4 2" xfId="24811"/>
    <cellStyle name="Normal 2 4 2 2 4 5" xfId="24812"/>
    <cellStyle name="Normal 2 4 2 2 4 5 2" xfId="24813"/>
    <cellStyle name="Normal 2 4 2 2 4 6" xfId="24814"/>
    <cellStyle name="Normal 2 4 2 2 4 6 2" xfId="24815"/>
    <cellStyle name="Normal 2 4 2 2 4 7" xfId="24816"/>
    <cellStyle name="Normal 2 4 2 2 4 7 2" xfId="24817"/>
    <cellStyle name="Normal 2 4 2 2 4 8" xfId="24818"/>
    <cellStyle name="Normal 2 4 2 2 4 8 2" xfId="24819"/>
    <cellStyle name="Normal 2 4 2 2 4 9" xfId="24820"/>
    <cellStyle name="Normal 2 4 2 2 4 9 2" xfId="24821"/>
    <cellStyle name="Normal 2 4 2 2 5" xfId="24822"/>
    <cellStyle name="Normal 2 4 2 2 5 10" xfId="24823"/>
    <cellStyle name="Normal 2 4 2 2 5 10 2" xfId="24824"/>
    <cellStyle name="Normal 2 4 2 2 5 11" xfId="24825"/>
    <cellStyle name="Normal 2 4 2 2 5 11 2" xfId="24826"/>
    <cellStyle name="Normal 2 4 2 2 5 12" xfId="24827"/>
    <cellStyle name="Normal 2 4 2 2 5 12 2" xfId="24828"/>
    <cellStyle name="Normal 2 4 2 2 5 13" xfId="24829"/>
    <cellStyle name="Normal 2 4 2 2 5 2" xfId="24830"/>
    <cellStyle name="Normal 2 4 2 2 5 2 10" xfId="24831"/>
    <cellStyle name="Normal 2 4 2 2 5 2 10 2" xfId="24832"/>
    <cellStyle name="Normal 2 4 2 2 5 2 11" xfId="24833"/>
    <cellStyle name="Normal 2 4 2 2 5 2 11 2" xfId="24834"/>
    <cellStyle name="Normal 2 4 2 2 5 2 12" xfId="24835"/>
    <cellStyle name="Normal 2 4 2 2 5 2 2" xfId="24836"/>
    <cellStyle name="Normal 2 4 2 2 5 2 2 10" xfId="24837"/>
    <cellStyle name="Normal 2 4 2 2 5 2 2 10 2" xfId="24838"/>
    <cellStyle name="Normal 2 4 2 2 5 2 2 11" xfId="24839"/>
    <cellStyle name="Normal 2 4 2 2 5 2 2 2" xfId="24840"/>
    <cellStyle name="Normal 2 4 2 2 5 2 2 2 2" xfId="24841"/>
    <cellStyle name="Normal 2 4 2 2 5 2 2 3" xfId="24842"/>
    <cellStyle name="Normal 2 4 2 2 5 2 2 3 2" xfId="24843"/>
    <cellStyle name="Normal 2 4 2 2 5 2 2 4" xfId="24844"/>
    <cellStyle name="Normal 2 4 2 2 5 2 2 4 2" xfId="24845"/>
    <cellStyle name="Normal 2 4 2 2 5 2 2 5" xfId="24846"/>
    <cellStyle name="Normal 2 4 2 2 5 2 2 5 2" xfId="24847"/>
    <cellStyle name="Normal 2 4 2 2 5 2 2 6" xfId="24848"/>
    <cellStyle name="Normal 2 4 2 2 5 2 2 6 2" xfId="24849"/>
    <cellStyle name="Normal 2 4 2 2 5 2 2 7" xfId="24850"/>
    <cellStyle name="Normal 2 4 2 2 5 2 2 7 2" xfId="24851"/>
    <cellStyle name="Normal 2 4 2 2 5 2 2 8" xfId="24852"/>
    <cellStyle name="Normal 2 4 2 2 5 2 2 8 2" xfId="24853"/>
    <cellStyle name="Normal 2 4 2 2 5 2 2 9" xfId="24854"/>
    <cellStyle name="Normal 2 4 2 2 5 2 2 9 2" xfId="24855"/>
    <cellStyle name="Normal 2 4 2 2 5 2 3" xfId="24856"/>
    <cellStyle name="Normal 2 4 2 2 5 2 3 2" xfId="24857"/>
    <cellStyle name="Normal 2 4 2 2 5 2 4" xfId="24858"/>
    <cellStyle name="Normal 2 4 2 2 5 2 4 2" xfId="24859"/>
    <cellStyle name="Normal 2 4 2 2 5 2 5" xfId="24860"/>
    <cellStyle name="Normal 2 4 2 2 5 2 5 2" xfId="24861"/>
    <cellStyle name="Normal 2 4 2 2 5 2 6" xfId="24862"/>
    <cellStyle name="Normal 2 4 2 2 5 2 6 2" xfId="24863"/>
    <cellStyle name="Normal 2 4 2 2 5 2 7" xfId="24864"/>
    <cellStyle name="Normal 2 4 2 2 5 2 7 2" xfId="24865"/>
    <cellStyle name="Normal 2 4 2 2 5 2 8" xfId="24866"/>
    <cellStyle name="Normal 2 4 2 2 5 2 8 2" xfId="24867"/>
    <cellStyle name="Normal 2 4 2 2 5 2 9" xfId="24868"/>
    <cellStyle name="Normal 2 4 2 2 5 2 9 2" xfId="24869"/>
    <cellStyle name="Normal 2 4 2 2 5 3" xfId="24870"/>
    <cellStyle name="Normal 2 4 2 2 5 3 10" xfId="24871"/>
    <cellStyle name="Normal 2 4 2 2 5 3 10 2" xfId="24872"/>
    <cellStyle name="Normal 2 4 2 2 5 3 11" xfId="24873"/>
    <cellStyle name="Normal 2 4 2 2 5 3 2" xfId="24874"/>
    <cellStyle name="Normal 2 4 2 2 5 3 2 2" xfId="24875"/>
    <cellStyle name="Normal 2 4 2 2 5 3 3" xfId="24876"/>
    <cellStyle name="Normal 2 4 2 2 5 3 3 2" xfId="24877"/>
    <cellStyle name="Normal 2 4 2 2 5 3 4" xfId="24878"/>
    <cellStyle name="Normal 2 4 2 2 5 3 4 2" xfId="24879"/>
    <cellStyle name="Normal 2 4 2 2 5 3 5" xfId="24880"/>
    <cellStyle name="Normal 2 4 2 2 5 3 5 2" xfId="24881"/>
    <cellStyle name="Normal 2 4 2 2 5 3 6" xfId="24882"/>
    <cellStyle name="Normal 2 4 2 2 5 3 6 2" xfId="24883"/>
    <cellStyle name="Normal 2 4 2 2 5 3 7" xfId="24884"/>
    <cellStyle name="Normal 2 4 2 2 5 3 7 2" xfId="24885"/>
    <cellStyle name="Normal 2 4 2 2 5 3 8" xfId="24886"/>
    <cellStyle name="Normal 2 4 2 2 5 3 8 2" xfId="24887"/>
    <cellStyle name="Normal 2 4 2 2 5 3 9" xfId="24888"/>
    <cellStyle name="Normal 2 4 2 2 5 3 9 2" xfId="24889"/>
    <cellStyle name="Normal 2 4 2 2 5 4" xfId="24890"/>
    <cellStyle name="Normal 2 4 2 2 5 4 2" xfId="24891"/>
    <cellStyle name="Normal 2 4 2 2 5 5" xfId="24892"/>
    <cellStyle name="Normal 2 4 2 2 5 5 2" xfId="24893"/>
    <cellStyle name="Normal 2 4 2 2 5 6" xfId="24894"/>
    <cellStyle name="Normal 2 4 2 2 5 6 2" xfId="24895"/>
    <cellStyle name="Normal 2 4 2 2 5 7" xfId="24896"/>
    <cellStyle name="Normal 2 4 2 2 5 7 2" xfId="24897"/>
    <cellStyle name="Normal 2 4 2 2 5 8" xfId="24898"/>
    <cellStyle name="Normal 2 4 2 2 5 8 2" xfId="24899"/>
    <cellStyle name="Normal 2 4 2 2 5 9" xfId="24900"/>
    <cellStyle name="Normal 2 4 2 2 5 9 2" xfId="24901"/>
    <cellStyle name="Normal 2 4 2 2 6" xfId="24902"/>
    <cellStyle name="Normal 2 4 2 2 6 10" xfId="24903"/>
    <cellStyle name="Normal 2 4 2 2 6 10 2" xfId="24904"/>
    <cellStyle name="Normal 2 4 2 2 6 11" xfId="24905"/>
    <cellStyle name="Normal 2 4 2 2 6 11 2" xfId="24906"/>
    <cellStyle name="Normal 2 4 2 2 6 12" xfId="24907"/>
    <cellStyle name="Normal 2 4 2 2 6 12 2" xfId="24908"/>
    <cellStyle name="Normal 2 4 2 2 6 13" xfId="24909"/>
    <cellStyle name="Normal 2 4 2 2 6 2" xfId="24910"/>
    <cellStyle name="Normal 2 4 2 2 6 2 10" xfId="24911"/>
    <cellStyle name="Normal 2 4 2 2 6 2 10 2" xfId="24912"/>
    <cellStyle name="Normal 2 4 2 2 6 2 11" xfId="24913"/>
    <cellStyle name="Normal 2 4 2 2 6 2 11 2" xfId="24914"/>
    <cellStyle name="Normal 2 4 2 2 6 2 12" xfId="24915"/>
    <cellStyle name="Normal 2 4 2 2 6 2 2" xfId="24916"/>
    <cellStyle name="Normal 2 4 2 2 6 2 2 10" xfId="24917"/>
    <cellStyle name="Normal 2 4 2 2 6 2 2 10 2" xfId="24918"/>
    <cellStyle name="Normal 2 4 2 2 6 2 2 11" xfId="24919"/>
    <cellStyle name="Normal 2 4 2 2 6 2 2 2" xfId="24920"/>
    <cellStyle name="Normal 2 4 2 2 6 2 2 2 2" xfId="24921"/>
    <cellStyle name="Normal 2 4 2 2 6 2 2 3" xfId="24922"/>
    <cellStyle name="Normal 2 4 2 2 6 2 2 3 2" xfId="24923"/>
    <cellStyle name="Normal 2 4 2 2 6 2 2 4" xfId="24924"/>
    <cellStyle name="Normal 2 4 2 2 6 2 2 4 2" xfId="24925"/>
    <cellStyle name="Normal 2 4 2 2 6 2 2 5" xfId="24926"/>
    <cellStyle name="Normal 2 4 2 2 6 2 2 5 2" xfId="24927"/>
    <cellStyle name="Normal 2 4 2 2 6 2 2 6" xfId="24928"/>
    <cellStyle name="Normal 2 4 2 2 6 2 2 6 2" xfId="24929"/>
    <cellStyle name="Normal 2 4 2 2 6 2 2 7" xfId="24930"/>
    <cellStyle name="Normal 2 4 2 2 6 2 2 7 2" xfId="24931"/>
    <cellStyle name="Normal 2 4 2 2 6 2 2 8" xfId="24932"/>
    <cellStyle name="Normal 2 4 2 2 6 2 2 8 2" xfId="24933"/>
    <cellStyle name="Normal 2 4 2 2 6 2 2 9" xfId="24934"/>
    <cellStyle name="Normal 2 4 2 2 6 2 2 9 2" xfId="24935"/>
    <cellStyle name="Normal 2 4 2 2 6 2 3" xfId="24936"/>
    <cellStyle name="Normal 2 4 2 2 6 2 3 2" xfId="24937"/>
    <cellStyle name="Normal 2 4 2 2 6 2 4" xfId="24938"/>
    <cellStyle name="Normal 2 4 2 2 6 2 4 2" xfId="24939"/>
    <cellStyle name="Normal 2 4 2 2 6 2 5" xfId="24940"/>
    <cellStyle name="Normal 2 4 2 2 6 2 5 2" xfId="24941"/>
    <cellStyle name="Normal 2 4 2 2 6 2 6" xfId="24942"/>
    <cellStyle name="Normal 2 4 2 2 6 2 6 2" xfId="24943"/>
    <cellStyle name="Normal 2 4 2 2 6 2 7" xfId="24944"/>
    <cellStyle name="Normal 2 4 2 2 6 2 7 2" xfId="24945"/>
    <cellStyle name="Normal 2 4 2 2 6 2 8" xfId="24946"/>
    <cellStyle name="Normal 2 4 2 2 6 2 8 2" xfId="24947"/>
    <cellStyle name="Normal 2 4 2 2 6 2 9" xfId="24948"/>
    <cellStyle name="Normal 2 4 2 2 6 2 9 2" xfId="24949"/>
    <cellStyle name="Normal 2 4 2 2 6 3" xfId="24950"/>
    <cellStyle name="Normal 2 4 2 2 6 3 10" xfId="24951"/>
    <cellStyle name="Normal 2 4 2 2 6 3 10 2" xfId="24952"/>
    <cellStyle name="Normal 2 4 2 2 6 3 11" xfId="24953"/>
    <cellStyle name="Normal 2 4 2 2 6 3 2" xfId="24954"/>
    <cellStyle name="Normal 2 4 2 2 6 3 2 2" xfId="24955"/>
    <cellStyle name="Normal 2 4 2 2 6 3 3" xfId="24956"/>
    <cellStyle name="Normal 2 4 2 2 6 3 3 2" xfId="24957"/>
    <cellStyle name="Normal 2 4 2 2 6 3 4" xfId="24958"/>
    <cellStyle name="Normal 2 4 2 2 6 3 4 2" xfId="24959"/>
    <cellStyle name="Normal 2 4 2 2 6 3 5" xfId="24960"/>
    <cellStyle name="Normal 2 4 2 2 6 3 5 2" xfId="24961"/>
    <cellStyle name="Normal 2 4 2 2 6 3 6" xfId="24962"/>
    <cellStyle name="Normal 2 4 2 2 6 3 6 2" xfId="24963"/>
    <cellStyle name="Normal 2 4 2 2 6 3 7" xfId="24964"/>
    <cellStyle name="Normal 2 4 2 2 6 3 7 2" xfId="24965"/>
    <cellStyle name="Normal 2 4 2 2 6 3 8" xfId="24966"/>
    <cellStyle name="Normal 2 4 2 2 6 3 8 2" xfId="24967"/>
    <cellStyle name="Normal 2 4 2 2 6 3 9" xfId="24968"/>
    <cellStyle name="Normal 2 4 2 2 6 3 9 2" xfId="24969"/>
    <cellStyle name="Normal 2 4 2 2 6 4" xfId="24970"/>
    <cellStyle name="Normal 2 4 2 2 6 4 2" xfId="24971"/>
    <cellStyle name="Normal 2 4 2 2 6 5" xfId="24972"/>
    <cellStyle name="Normal 2 4 2 2 6 5 2" xfId="24973"/>
    <cellStyle name="Normal 2 4 2 2 6 6" xfId="24974"/>
    <cellStyle name="Normal 2 4 2 2 6 6 2" xfId="24975"/>
    <cellStyle name="Normal 2 4 2 2 6 7" xfId="24976"/>
    <cellStyle name="Normal 2 4 2 2 6 7 2" xfId="24977"/>
    <cellStyle name="Normal 2 4 2 2 6 8" xfId="24978"/>
    <cellStyle name="Normal 2 4 2 2 6 8 2" xfId="24979"/>
    <cellStyle name="Normal 2 4 2 2 6 9" xfId="24980"/>
    <cellStyle name="Normal 2 4 2 2 6 9 2" xfId="24981"/>
    <cellStyle name="Normal 2 4 2 3" xfId="24982"/>
    <cellStyle name="Normal 2 4 2 3 10" xfId="24983"/>
    <cellStyle name="Normal 2 4 2 3 10 2" xfId="24984"/>
    <cellStyle name="Normal 2 4 2 3 11" xfId="24985"/>
    <cellStyle name="Normal 2 4 2 3 11 2" xfId="24986"/>
    <cellStyle name="Normal 2 4 2 3 12" xfId="24987"/>
    <cellStyle name="Normal 2 4 2 3 12 2" xfId="24988"/>
    <cellStyle name="Normal 2 4 2 3 13" xfId="24989"/>
    <cellStyle name="Normal 2 4 2 3 2" xfId="24990"/>
    <cellStyle name="Normal 2 4 2 3 2 10" xfId="24991"/>
    <cellStyle name="Normal 2 4 2 3 2 10 2" xfId="24992"/>
    <cellStyle name="Normal 2 4 2 3 2 11" xfId="24993"/>
    <cellStyle name="Normal 2 4 2 3 2 11 2" xfId="24994"/>
    <cellStyle name="Normal 2 4 2 3 2 12" xfId="24995"/>
    <cellStyle name="Normal 2 4 2 3 2 2" xfId="24996"/>
    <cellStyle name="Normal 2 4 2 3 2 2 10" xfId="24997"/>
    <cellStyle name="Normal 2 4 2 3 2 2 10 2" xfId="24998"/>
    <cellStyle name="Normal 2 4 2 3 2 2 11" xfId="24999"/>
    <cellStyle name="Normal 2 4 2 3 2 2 2" xfId="25000"/>
    <cellStyle name="Normal 2 4 2 3 2 2 2 2" xfId="25001"/>
    <cellStyle name="Normal 2 4 2 3 2 2 3" xfId="25002"/>
    <cellStyle name="Normal 2 4 2 3 2 2 3 2" xfId="25003"/>
    <cellStyle name="Normal 2 4 2 3 2 2 4" xfId="25004"/>
    <cellStyle name="Normal 2 4 2 3 2 2 4 2" xfId="25005"/>
    <cellStyle name="Normal 2 4 2 3 2 2 5" xfId="25006"/>
    <cellStyle name="Normal 2 4 2 3 2 2 5 2" xfId="25007"/>
    <cellStyle name="Normal 2 4 2 3 2 2 6" xfId="25008"/>
    <cellStyle name="Normal 2 4 2 3 2 2 6 2" xfId="25009"/>
    <cellStyle name="Normal 2 4 2 3 2 2 7" xfId="25010"/>
    <cellStyle name="Normal 2 4 2 3 2 2 7 2" xfId="25011"/>
    <cellStyle name="Normal 2 4 2 3 2 2 8" xfId="25012"/>
    <cellStyle name="Normal 2 4 2 3 2 2 8 2" xfId="25013"/>
    <cellStyle name="Normal 2 4 2 3 2 2 9" xfId="25014"/>
    <cellStyle name="Normal 2 4 2 3 2 2 9 2" xfId="25015"/>
    <cellStyle name="Normal 2 4 2 3 2 3" xfId="25016"/>
    <cellStyle name="Normal 2 4 2 3 2 3 2" xfId="25017"/>
    <cellStyle name="Normal 2 4 2 3 2 4" xfId="25018"/>
    <cellStyle name="Normal 2 4 2 3 2 4 2" xfId="25019"/>
    <cellStyle name="Normal 2 4 2 3 2 5" xfId="25020"/>
    <cellStyle name="Normal 2 4 2 3 2 5 2" xfId="25021"/>
    <cellStyle name="Normal 2 4 2 3 2 6" xfId="25022"/>
    <cellStyle name="Normal 2 4 2 3 2 6 2" xfId="25023"/>
    <cellStyle name="Normal 2 4 2 3 2 7" xfId="25024"/>
    <cellStyle name="Normal 2 4 2 3 2 7 2" xfId="25025"/>
    <cellStyle name="Normal 2 4 2 3 2 8" xfId="25026"/>
    <cellStyle name="Normal 2 4 2 3 2 8 2" xfId="25027"/>
    <cellStyle name="Normal 2 4 2 3 2 9" xfId="25028"/>
    <cellStyle name="Normal 2 4 2 3 2 9 2" xfId="25029"/>
    <cellStyle name="Normal 2 4 2 3 3" xfId="25030"/>
    <cellStyle name="Normal 2 4 2 3 3 10" xfId="25031"/>
    <cellStyle name="Normal 2 4 2 3 3 10 2" xfId="25032"/>
    <cellStyle name="Normal 2 4 2 3 3 11" xfId="25033"/>
    <cellStyle name="Normal 2 4 2 3 3 2" xfId="25034"/>
    <cellStyle name="Normal 2 4 2 3 3 2 2" xfId="25035"/>
    <cellStyle name="Normal 2 4 2 3 3 3" xfId="25036"/>
    <cellStyle name="Normal 2 4 2 3 3 3 2" xfId="25037"/>
    <cellStyle name="Normal 2 4 2 3 3 4" xfId="25038"/>
    <cellStyle name="Normal 2 4 2 3 3 4 2" xfId="25039"/>
    <cellStyle name="Normal 2 4 2 3 3 5" xfId="25040"/>
    <cellStyle name="Normal 2 4 2 3 3 5 2" xfId="25041"/>
    <cellStyle name="Normal 2 4 2 3 3 6" xfId="25042"/>
    <cellStyle name="Normal 2 4 2 3 3 6 2" xfId="25043"/>
    <cellStyle name="Normal 2 4 2 3 3 7" xfId="25044"/>
    <cellStyle name="Normal 2 4 2 3 3 7 2" xfId="25045"/>
    <cellStyle name="Normal 2 4 2 3 3 8" xfId="25046"/>
    <cellStyle name="Normal 2 4 2 3 3 8 2" xfId="25047"/>
    <cellStyle name="Normal 2 4 2 3 3 9" xfId="25048"/>
    <cellStyle name="Normal 2 4 2 3 3 9 2" xfId="25049"/>
    <cellStyle name="Normal 2 4 2 3 4" xfId="25050"/>
    <cellStyle name="Normal 2 4 2 3 4 2" xfId="25051"/>
    <cellStyle name="Normal 2 4 2 3 5" xfId="25052"/>
    <cellStyle name="Normal 2 4 2 3 5 2" xfId="25053"/>
    <cellStyle name="Normal 2 4 2 3 6" xfId="25054"/>
    <cellStyle name="Normal 2 4 2 3 6 2" xfId="25055"/>
    <cellStyle name="Normal 2 4 2 3 7" xfId="25056"/>
    <cellStyle name="Normal 2 4 2 3 7 2" xfId="25057"/>
    <cellStyle name="Normal 2 4 2 3 8" xfId="25058"/>
    <cellStyle name="Normal 2 4 2 3 8 2" xfId="25059"/>
    <cellStyle name="Normal 2 4 2 3 9" xfId="25060"/>
    <cellStyle name="Normal 2 4 2 3 9 2" xfId="25061"/>
    <cellStyle name="Normal 2 4 2 4" xfId="25062"/>
    <cellStyle name="Normal 2 4 2 4 10" xfId="25063"/>
    <cellStyle name="Normal 2 4 2 4 10 2" xfId="25064"/>
    <cellStyle name="Normal 2 4 2 4 11" xfId="25065"/>
    <cellStyle name="Normal 2 4 2 4 11 2" xfId="25066"/>
    <cellStyle name="Normal 2 4 2 4 12" xfId="25067"/>
    <cellStyle name="Normal 2 4 2 4 12 2" xfId="25068"/>
    <cellStyle name="Normal 2 4 2 4 13" xfId="25069"/>
    <cellStyle name="Normal 2 4 2 4 2" xfId="25070"/>
    <cellStyle name="Normal 2 4 2 4 2 10" xfId="25071"/>
    <cellStyle name="Normal 2 4 2 4 2 10 2" xfId="25072"/>
    <cellStyle name="Normal 2 4 2 4 2 11" xfId="25073"/>
    <cellStyle name="Normal 2 4 2 4 2 11 2" xfId="25074"/>
    <cellStyle name="Normal 2 4 2 4 2 12" xfId="25075"/>
    <cellStyle name="Normal 2 4 2 4 2 2" xfId="25076"/>
    <cellStyle name="Normal 2 4 2 4 2 2 10" xfId="25077"/>
    <cellStyle name="Normal 2 4 2 4 2 2 10 2" xfId="25078"/>
    <cellStyle name="Normal 2 4 2 4 2 2 11" xfId="25079"/>
    <cellStyle name="Normal 2 4 2 4 2 2 2" xfId="25080"/>
    <cellStyle name="Normal 2 4 2 4 2 2 2 2" xfId="25081"/>
    <cellStyle name="Normal 2 4 2 4 2 2 3" xfId="25082"/>
    <cellStyle name="Normal 2 4 2 4 2 2 3 2" xfId="25083"/>
    <cellStyle name="Normal 2 4 2 4 2 2 4" xfId="25084"/>
    <cellStyle name="Normal 2 4 2 4 2 2 4 2" xfId="25085"/>
    <cellStyle name="Normal 2 4 2 4 2 2 5" xfId="25086"/>
    <cellStyle name="Normal 2 4 2 4 2 2 5 2" xfId="25087"/>
    <cellStyle name="Normal 2 4 2 4 2 2 6" xfId="25088"/>
    <cellStyle name="Normal 2 4 2 4 2 2 6 2" xfId="25089"/>
    <cellStyle name="Normal 2 4 2 4 2 2 7" xfId="25090"/>
    <cellStyle name="Normal 2 4 2 4 2 2 7 2" xfId="25091"/>
    <cellStyle name="Normal 2 4 2 4 2 2 8" xfId="25092"/>
    <cellStyle name="Normal 2 4 2 4 2 2 8 2" xfId="25093"/>
    <cellStyle name="Normal 2 4 2 4 2 2 9" xfId="25094"/>
    <cellStyle name="Normal 2 4 2 4 2 2 9 2" xfId="25095"/>
    <cellStyle name="Normal 2 4 2 4 2 3" xfId="25096"/>
    <cellStyle name="Normal 2 4 2 4 2 3 2" xfId="25097"/>
    <cellStyle name="Normal 2 4 2 4 2 4" xfId="25098"/>
    <cellStyle name="Normal 2 4 2 4 2 4 2" xfId="25099"/>
    <cellStyle name="Normal 2 4 2 4 2 5" xfId="25100"/>
    <cellStyle name="Normal 2 4 2 4 2 5 2" xfId="25101"/>
    <cellStyle name="Normal 2 4 2 4 2 6" xfId="25102"/>
    <cellStyle name="Normal 2 4 2 4 2 6 2" xfId="25103"/>
    <cellStyle name="Normal 2 4 2 4 2 7" xfId="25104"/>
    <cellStyle name="Normal 2 4 2 4 2 7 2" xfId="25105"/>
    <cellStyle name="Normal 2 4 2 4 2 8" xfId="25106"/>
    <cellStyle name="Normal 2 4 2 4 2 8 2" xfId="25107"/>
    <cellStyle name="Normal 2 4 2 4 2 9" xfId="25108"/>
    <cellStyle name="Normal 2 4 2 4 2 9 2" xfId="25109"/>
    <cellStyle name="Normal 2 4 2 4 3" xfId="25110"/>
    <cellStyle name="Normal 2 4 2 4 3 10" xfId="25111"/>
    <cellStyle name="Normal 2 4 2 4 3 10 2" xfId="25112"/>
    <cellStyle name="Normal 2 4 2 4 3 11" xfId="25113"/>
    <cellStyle name="Normal 2 4 2 4 3 2" xfId="25114"/>
    <cellStyle name="Normal 2 4 2 4 3 2 2" xfId="25115"/>
    <cellStyle name="Normal 2 4 2 4 3 3" xfId="25116"/>
    <cellStyle name="Normal 2 4 2 4 3 3 2" xfId="25117"/>
    <cellStyle name="Normal 2 4 2 4 3 4" xfId="25118"/>
    <cellStyle name="Normal 2 4 2 4 3 4 2" xfId="25119"/>
    <cellStyle name="Normal 2 4 2 4 3 5" xfId="25120"/>
    <cellStyle name="Normal 2 4 2 4 3 5 2" xfId="25121"/>
    <cellStyle name="Normal 2 4 2 4 3 6" xfId="25122"/>
    <cellStyle name="Normal 2 4 2 4 3 6 2" xfId="25123"/>
    <cellStyle name="Normal 2 4 2 4 3 7" xfId="25124"/>
    <cellStyle name="Normal 2 4 2 4 3 7 2" xfId="25125"/>
    <cellStyle name="Normal 2 4 2 4 3 8" xfId="25126"/>
    <cellStyle name="Normal 2 4 2 4 3 8 2" xfId="25127"/>
    <cellStyle name="Normal 2 4 2 4 3 9" xfId="25128"/>
    <cellStyle name="Normal 2 4 2 4 3 9 2" xfId="25129"/>
    <cellStyle name="Normal 2 4 2 4 4" xfId="25130"/>
    <cellStyle name="Normal 2 4 2 4 4 2" xfId="25131"/>
    <cellStyle name="Normal 2 4 2 4 5" xfId="25132"/>
    <cellStyle name="Normal 2 4 2 4 5 2" xfId="25133"/>
    <cellStyle name="Normal 2 4 2 4 6" xfId="25134"/>
    <cellStyle name="Normal 2 4 2 4 6 2" xfId="25135"/>
    <cellStyle name="Normal 2 4 2 4 7" xfId="25136"/>
    <cellStyle name="Normal 2 4 2 4 7 2" xfId="25137"/>
    <cellStyle name="Normal 2 4 2 4 8" xfId="25138"/>
    <cellStyle name="Normal 2 4 2 4 8 2" xfId="25139"/>
    <cellStyle name="Normal 2 4 2 4 9" xfId="25140"/>
    <cellStyle name="Normal 2 4 2 4 9 2" xfId="25141"/>
    <cellStyle name="Normal 2 4 2 5" xfId="25142"/>
    <cellStyle name="Normal 2 4 2 5 10" xfId="25143"/>
    <cellStyle name="Normal 2 4 2 5 10 2" xfId="25144"/>
    <cellStyle name="Normal 2 4 2 5 11" xfId="25145"/>
    <cellStyle name="Normal 2 4 2 5 11 2" xfId="25146"/>
    <cellStyle name="Normal 2 4 2 5 12" xfId="25147"/>
    <cellStyle name="Normal 2 4 2 5 12 2" xfId="25148"/>
    <cellStyle name="Normal 2 4 2 5 13" xfId="25149"/>
    <cellStyle name="Normal 2 4 2 5 2" xfId="25150"/>
    <cellStyle name="Normal 2 4 2 5 2 10" xfId="25151"/>
    <cellStyle name="Normal 2 4 2 5 2 10 2" xfId="25152"/>
    <cellStyle name="Normal 2 4 2 5 2 11" xfId="25153"/>
    <cellStyle name="Normal 2 4 2 5 2 11 2" xfId="25154"/>
    <cellStyle name="Normal 2 4 2 5 2 12" xfId="25155"/>
    <cellStyle name="Normal 2 4 2 5 2 2" xfId="25156"/>
    <cellStyle name="Normal 2 4 2 5 2 2 10" xfId="25157"/>
    <cellStyle name="Normal 2 4 2 5 2 2 10 2" xfId="25158"/>
    <cellStyle name="Normal 2 4 2 5 2 2 11" xfId="25159"/>
    <cellStyle name="Normal 2 4 2 5 2 2 2" xfId="25160"/>
    <cellStyle name="Normal 2 4 2 5 2 2 2 2" xfId="25161"/>
    <cellStyle name="Normal 2 4 2 5 2 2 3" xfId="25162"/>
    <cellStyle name="Normal 2 4 2 5 2 2 3 2" xfId="25163"/>
    <cellStyle name="Normal 2 4 2 5 2 2 4" xfId="25164"/>
    <cellStyle name="Normal 2 4 2 5 2 2 4 2" xfId="25165"/>
    <cellStyle name="Normal 2 4 2 5 2 2 5" xfId="25166"/>
    <cellStyle name="Normal 2 4 2 5 2 2 5 2" xfId="25167"/>
    <cellStyle name="Normal 2 4 2 5 2 2 6" xfId="25168"/>
    <cellStyle name="Normal 2 4 2 5 2 2 6 2" xfId="25169"/>
    <cellStyle name="Normal 2 4 2 5 2 2 7" xfId="25170"/>
    <cellStyle name="Normal 2 4 2 5 2 2 7 2" xfId="25171"/>
    <cellStyle name="Normal 2 4 2 5 2 2 8" xfId="25172"/>
    <cellStyle name="Normal 2 4 2 5 2 2 8 2" xfId="25173"/>
    <cellStyle name="Normal 2 4 2 5 2 2 9" xfId="25174"/>
    <cellStyle name="Normal 2 4 2 5 2 2 9 2" xfId="25175"/>
    <cellStyle name="Normal 2 4 2 5 2 3" xfId="25176"/>
    <cellStyle name="Normal 2 4 2 5 2 3 2" xfId="25177"/>
    <cellStyle name="Normal 2 4 2 5 2 4" xfId="25178"/>
    <cellStyle name="Normal 2 4 2 5 2 4 2" xfId="25179"/>
    <cellStyle name="Normal 2 4 2 5 2 5" xfId="25180"/>
    <cellStyle name="Normal 2 4 2 5 2 5 2" xfId="25181"/>
    <cellStyle name="Normal 2 4 2 5 2 6" xfId="25182"/>
    <cellStyle name="Normal 2 4 2 5 2 6 2" xfId="25183"/>
    <cellStyle name="Normal 2 4 2 5 2 7" xfId="25184"/>
    <cellStyle name="Normal 2 4 2 5 2 7 2" xfId="25185"/>
    <cellStyle name="Normal 2 4 2 5 2 8" xfId="25186"/>
    <cellStyle name="Normal 2 4 2 5 2 8 2" xfId="25187"/>
    <cellStyle name="Normal 2 4 2 5 2 9" xfId="25188"/>
    <cellStyle name="Normal 2 4 2 5 2 9 2" xfId="25189"/>
    <cellStyle name="Normal 2 4 2 5 3" xfId="25190"/>
    <cellStyle name="Normal 2 4 2 5 3 10" xfId="25191"/>
    <cellStyle name="Normal 2 4 2 5 3 10 2" xfId="25192"/>
    <cellStyle name="Normal 2 4 2 5 3 11" xfId="25193"/>
    <cellStyle name="Normal 2 4 2 5 3 2" xfId="25194"/>
    <cellStyle name="Normal 2 4 2 5 3 2 2" xfId="25195"/>
    <cellStyle name="Normal 2 4 2 5 3 3" xfId="25196"/>
    <cellStyle name="Normal 2 4 2 5 3 3 2" xfId="25197"/>
    <cellStyle name="Normal 2 4 2 5 3 4" xfId="25198"/>
    <cellStyle name="Normal 2 4 2 5 3 4 2" xfId="25199"/>
    <cellStyle name="Normal 2 4 2 5 3 5" xfId="25200"/>
    <cellStyle name="Normal 2 4 2 5 3 5 2" xfId="25201"/>
    <cellStyle name="Normal 2 4 2 5 3 6" xfId="25202"/>
    <cellStyle name="Normal 2 4 2 5 3 6 2" xfId="25203"/>
    <cellStyle name="Normal 2 4 2 5 3 7" xfId="25204"/>
    <cellStyle name="Normal 2 4 2 5 3 7 2" xfId="25205"/>
    <cellStyle name="Normal 2 4 2 5 3 8" xfId="25206"/>
    <cellStyle name="Normal 2 4 2 5 3 8 2" xfId="25207"/>
    <cellStyle name="Normal 2 4 2 5 3 9" xfId="25208"/>
    <cellStyle name="Normal 2 4 2 5 3 9 2" xfId="25209"/>
    <cellStyle name="Normal 2 4 2 5 4" xfId="25210"/>
    <cellStyle name="Normal 2 4 2 5 4 2" xfId="25211"/>
    <cellStyle name="Normal 2 4 2 5 5" xfId="25212"/>
    <cellStyle name="Normal 2 4 2 5 5 2" xfId="25213"/>
    <cellStyle name="Normal 2 4 2 5 6" xfId="25214"/>
    <cellStyle name="Normal 2 4 2 5 6 2" xfId="25215"/>
    <cellStyle name="Normal 2 4 2 5 7" xfId="25216"/>
    <cellStyle name="Normal 2 4 2 5 7 2" xfId="25217"/>
    <cellStyle name="Normal 2 4 2 5 8" xfId="25218"/>
    <cellStyle name="Normal 2 4 2 5 8 2" xfId="25219"/>
    <cellStyle name="Normal 2 4 2 5 9" xfId="25220"/>
    <cellStyle name="Normal 2 4 2 5 9 2" xfId="25221"/>
    <cellStyle name="Normal 2 4 2 6" xfId="25222"/>
    <cellStyle name="Normal 2 4 2 6 2" xfId="25223"/>
    <cellStyle name="Normal 2 4 2 6 2 10" xfId="25224"/>
    <cellStyle name="Normal 2 4 2 6 2 10 2" xfId="25225"/>
    <cellStyle name="Normal 2 4 2 6 2 11" xfId="25226"/>
    <cellStyle name="Normal 2 4 2 6 2 11 2" xfId="25227"/>
    <cellStyle name="Normal 2 4 2 6 2 12" xfId="25228"/>
    <cellStyle name="Normal 2 4 2 6 2 12 2" xfId="25229"/>
    <cellStyle name="Normal 2 4 2 6 2 13" xfId="25230"/>
    <cellStyle name="Normal 2 4 2 6 2 2" xfId="25231"/>
    <cellStyle name="Normal 2 4 2 6 2 2 10" xfId="25232"/>
    <cellStyle name="Normal 2 4 2 6 2 2 10 2" xfId="25233"/>
    <cellStyle name="Normal 2 4 2 6 2 2 11" xfId="25234"/>
    <cellStyle name="Normal 2 4 2 6 2 2 11 2" xfId="25235"/>
    <cellStyle name="Normal 2 4 2 6 2 2 12" xfId="25236"/>
    <cellStyle name="Normal 2 4 2 6 2 2 2" xfId="25237"/>
    <cellStyle name="Normal 2 4 2 6 2 2 2 10" xfId="25238"/>
    <cellStyle name="Normal 2 4 2 6 2 2 2 10 2" xfId="25239"/>
    <cellStyle name="Normal 2 4 2 6 2 2 2 11" xfId="25240"/>
    <cellStyle name="Normal 2 4 2 6 2 2 2 2" xfId="25241"/>
    <cellStyle name="Normal 2 4 2 6 2 2 2 2 2" xfId="25242"/>
    <cellStyle name="Normal 2 4 2 6 2 2 2 3" xfId="25243"/>
    <cellStyle name="Normal 2 4 2 6 2 2 2 3 2" xfId="25244"/>
    <cellStyle name="Normal 2 4 2 6 2 2 2 4" xfId="25245"/>
    <cellStyle name="Normal 2 4 2 6 2 2 2 4 2" xfId="25246"/>
    <cellStyle name="Normal 2 4 2 6 2 2 2 5" xfId="25247"/>
    <cellStyle name="Normal 2 4 2 6 2 2 2 5 2" xfId="25248"/>
    <cellStyle name="Normal 2 4 2 6 2 2 2 6" xfId="25249"/>
    <cellStyle name="Normal 2 4 2 6 2 2 2 6 2" xfId="25250"/>
    <cellStyle name="Normal 2 4 2 6 2 2 2 7" xfId="25251"/>
    <cellStyle name="Normal 2 4 2 6 2 2 2 7 2" xfId="25252"/>
    <cellStyle name="Normal 2 4 2 6 2 2 2 8" xfId="25253"/>
    <cellStyle name="Normal 2 4 2 6 2 2 2 8 2" xfId="25254"/>
    <cellStyle name="Normal 2 4 2 6 2 2 2 9" xfId="25255"/>
    <cellStyle name="Normal 2 4 2 6 2 2 2 9 2" xfId="25256"/>
    <cellStyle name="Normal 2 4 2 6 2 2 3" xfId="25257"/>
    <cellStyle name="Normal 2 4 2 6 2 2 3 2" xfId="25258"/>
    <cellStyle name="Normal 2 4 2 6 2 2 4" xfId="25259"/>
    <cellStyle name="Normal 2 4 2 6 2 2 4 2" xfId="25260"/>
    <cellStyle name="Normal 2 4 2 6 2 2 5" xfId="25261"/>
    <cellStyle name="Normal 2 4 2 6 2 2 5 2" xfId="25262"/>
    <cellStyle name="Normal 2 4 2 6 2 2 6" xfId="25263"/>
    <cellStyle name="Normal 2 4 2 6 2 2 6 2" xfId="25264"/>
    <cellStyle name="Normal 2 4 2 6 2 2 7" xfId="25265"/>
    <cellStyle name="Normal 2 4 2 6 2 2 7 2" xfId="25266"/>
    <cellStyle name="Normal 2 4 2 6 2 2 8" xfId="25267"/>
    <cellStyle name="Normal 2 4 2 6 2 2 8 2" xfId="25268"/>
    <cellStyle name="Normal 2 4 2 6 2 2 9" xfId="25269"/>
    <cellStyle name="Normal 2 4 2 6 2 2 9 2" xfId="25270"/>
    <cellStyle name="Normal 2 4 2 6 2 3" xfId="25271"/>
    <cellStyle name="Normal 2 4 2 6 2 3 10" xfId="25272"/>
    <cellStyle name="Normal 2 4 2 6 2 3 10 2" xfId="25273"/>
    <cellStyle name="Normal 2 4 2 6 2 3 11" xfId="25274"/>
    <cellStyle name="Normal 2 4 2 6 2 3 2" xfId="25275"/>
    <cellStyle name="Normal 2 4 2 6 2 3 2 2" xfId="25276"/>
    <cellStyle name="Normal 2 4 2 6 2 3 3" xfId="25277"/>
    <cellStyle name="Normal 2 4 2 6 2 3 3 2" xfId="25278"/>
    <cellStyle name="Normal 2 4 2 6 2 3 4" xfId="25279"/>
    <cellStyle name="Normal 2 4 2 6 2 3 4 2" xfId="25280"/>
    <cellStyle name="Normal 2 4 2 6 2 3 5" xfId="25281"/>
    <cellStyle name="Normal 2 4 2 6 2 3 5 2" xfId="25282"/>
    <cellStyle name="Normal 2 4 2 6 2 3 6" xfId="25283"/>
    <cellStyle name="Normal 2 4 2 6 2 3 6 2" xfId="25284"/>
    <cellStyle name="Normal 2 4 2 6 2 3 7" xfId="25285"/>
    <cellStyle name="Normal 2 4 2 6 2 3 7 2" xfId="25286"/>
    <cellStyle name="Normal 2 4 2 6 2 3 8" xfId="25287"/>
    <cellStyle name="Normal 2 4 2 6 2 3 8 2" xfId="25288"/>
    <cellStyle name="Normal 2 4 2 6 2 3 9" xfId="25289"/>
    <cellStyle name="Normal 2 4 2 6 2 3 9 2" xfId="25290"/>
    <cellStyle name="Normal 2 4 2 6 2 4" xfId="25291"/>
    <cellStyle name="Normal 2 4 2 6 2 4 2" xfId="25292"/>
    <cellStyle name="Normal 2 4 2 6 2 5" xfId="25293"/>
    <cellStyle name="Normal 2 4 2 6 2 5 2" xfId="25294"/>
    <cellStyle name="Normal 2 4 2 6 2 6" xfId="25295"/>
    <cellStyle name="Normal 2 4 2 6 2 6 2" xfId="25296"/>
    <cellStyle name="Normal 2 4 2 6 2 7" xfId="25297"/>
    <cellStyle name="Normal 2 4 2 6 2 7 2" xfId="25298"/>
    <cellStyle name="Normal 2 4 2 6 2 8" xfId="25299"/>
    <cellStyle name="Normal 2 4 2 6 2 8 2" xfId="25300"/>
    <cellStyle name="Normal 2 4 2 6 2 9" xfId="25301"/>
    <cellStyle name="Normal 2 4 2 6 2 9 2" xfId="25302"/>
    <cellStyle name="Normal 2 4 2 6 3" xfId="25303"/>
    <cellStyle name="Normal 2 4 2 6 3 10" xfId="25304"/>
    <cellStyle name="Normal 2 4 2 6 3 10 2" xfId="25305"/>
    <cellStyle name="Normal 2 4 2 6 3 11" xfId="25306"/>
    <cellStyle name="Normal 2 4 2 6 3 11 2" xfId="25307"/>
    <cellStyle name="Normal 2 4 2 6 3 12" xfId="25308"/>
    <cellStyle name="Normal 2 4 2 6 3 12 2" xfId="25309"/>
    <cellStyle name="Normal 2 4 2 6 3 13" xfId="25310"/>
    <cellStyle name="Normal 2 4 2 6 3 2" xfId="25311"/>
    <cellStyle name="Normal 2 4 2 6 3 2 10" xfId="25312"/>
    <cellStyle name="Normal 2 4 2 6 3 2 10 2" xfId="25313"/>
    <cellStyle name="Normal 2 4 2 6 3 2 11" xfId="25314"/>
    <cellStyle name="Normal 2 4 2 6 3 2 11 2" xfId="25315"/>
    <cellStyle name="Normal 2 4 2 6 3 2 12" xfId="25316"/>
    <cellStyle name="Normal 2 4 2 6 3 2 2" xfId="25317"/>
    <cellStyle name="Normal 2 4 2 6 3 2 2 10" xfId="25318"/>
    <cellStyle name="Normal 2 4 2 6 3 2 2 10 2" xfId="25319"/>
    <cellStyle name="Normal 2 4 2 6 3 2 2 11" xfId="25320"/>
    <cellStyle name="Normal 2 4 2 6 3 2 2 2" xfId="25321"/>
    <cellStyle name="Normal 2 4 2 6 3 2 2 2 2" xfId="25322"/>
    <cellStyle name="Normal 2 4 2 6 3 2 2 3" xfId="25323"/>
    <cellStyle name="Normal 2 4 2 6 3 2 2 3 2" xfId="25324"/>
    <cellStyle name="Normal 2 4 2 6 3 2 2 4" xfId="25325"/>
    <cellStyle name="Normal 2 4 2 6 3 2 2 4 2" xfId="25326"/>
    <cellStyle name="Normal 2 4 2 6 3 2 2 5" xfId="25327"/>
    <cellStyle name="Normal 2 4 2 6 3 2 2 5 2" xfId="25328"/>
    <cellStyle name="Normal 2 4 2 6 3 2 2 6" xfId="25329"/>
    <cellStyle name="Normal 2 4 2 6 3 2 2 6 2" xfId="25330"/>
    <cellStyle name="Normal 2 4 2 6 3 2 2 7" xfId="25331"/>
    <cellStyle name="Normal 2 4 2 6 3 2 2 7 2" xfId="25332"/>
    <cellStyle name="Normal 2 4 2 6 3 2 2 8" xfId="25333"/>
    <cellStyle name="Normal 2 4 2 6 3 2 2 8 2" xfId="25334"/>
    <cellStyle name="Normal 2 4 2 6 3 2 2 9" xfId="25335"/>
    <cellStyle name="Normal 2 4 2 6 3 2 2 9 2" xfId="25336"/>
    <cellStyle name="Normal 2 4 2 6 3 2 3" xfId="25337"/>
    <cellStyle name="Normal 2 4 2 6 3 2 3 2" xfId="25338"/>
    <cellStyle name="Normal 2 4 2 6 3 2 4" xfId="25339"/>
    <cellStyle name="Normal 2 4 2 6 3 2 4 2" xfId="25340"/>
    <cellStyle name="Normal 2 4 2 6 3 2 5" xfId="25341"/>
    <cellStyle name="Normal 2 4 2 6 3 2 5 2" xfId="25342"/>
    <cellStyle name="Normal 2 4 2 6 3 2 6" xfId="25343"/>
    <cellStyle name="Normal 2 4 2 6 3 2 6 2" xfId="25344"/>
    <cellStyle name="Normal 2 4 2 6 3 2 7" xfId="25345"/>
    <cellStyle name="Normal 2 4 2 6 3 2 7 2" xfId="25346"/>
    <cellStyle name="Normal 2 4 2 6 3 2 8" xfId="25347"/>
    <cellStyle name="Normal 2 4 2 6 3 2 8 2" xfId="25348"/>
    <cellStyle name="Normal 2 4 2 6 3 2 9" xfId="25349"/>
    <cellStyle name="Normal 2 4 2 6 3 2 9 2" xfId="25350"/>
    <cellStyle name="Normal 2 4 2 6 3 3" xfId="25351"/>
    <cellStyle name="Normal 2 4 2 6 3 3 10" xfId="25352"/>
    <cellStyle name="Normal 2 4 2 6 3 3 10 2" xfId="25353"/>
    <cellStyle name="Normal 2 4 2 6 3 3 11" xfId="25354"/>
    <cellStyle name="Normal 2 4 2 6 3 3 2" xfId="25355"/>
    <cellStyle name="Normal 2 4 2 6 3 3 2 2" xfId="25356"/>
    <cellStyle name="Normal 2 4 2 6 3 3 3" xfId="25357"/>
    <cellStyle name="Normal 2 4 2 6 3 3 3 2" xfId="25358"/>
    <cellStyle name="Normal 2 4 2 6 3 3 4" xfId="25359"/>
    <cellStyle name="Normal 2 4 2 6 3 3 4 2" xfId="25360"/>
    <cellStyle name="Normal 2 4 2 6 3 3 5" xfId="25361"/>
    <cellStyle name="Normal 2 4 2 6 3 3 5 2" xfId="25362"/>
    <cellStyle name="Normal 2 4 2 6 3 3 6" xfId="25363"/>
    <cellStyle name="Normal 2 4 2 6 3 3 6 2" xfId="25364"/>
    <cellStyle name="Normal 2 4 2 6 3 3 7" xfId="25365"/>
    <cellStyle name="Normal 2 4 2 6 3 3 7 2" xfId="25366"/>
    <cellStyle name="Normal 2 4 2 6 3 3 8" xfId="25367"/>
    <cellStyle name="Normal 2 4 2 6 3 3 8 2" xfId="25368"/>
    <cellStyle name="Normal 2 4 2 6 3 3 9" xfId="25369"/>
    <cellStyle name="Normal 2 4 2 6 3 3 9 2" xfId="25370"/>
    <cellStyle name="Normal 2 4 2 6 3 4" xfId="25371"/>
    <cellStyle name="Normal 2 4 2 6 3 4 2" xfId="25372"/>
    <cellStyle name="Normal 2 4 2 6 3 5" xfId="25373"/>
    <cellStyle name="Normal 2 4 2 6 3 5 2" xfId="25374"/>
    <cellStyle name="Normal 2 4 2 6 3 6" xfId="25375"/>
    <cellStyle name="Normal 2 4 2 6 3 6 2" xfId="25376"/>
    <cellStyle name="Normal 2 4 2 6 3 7" xfId="25377"/>
    <cellStyle name="Normal 2 4 2 6 3 7 2" xfId="25378"/>
    <cellStyle name="Normal 2 4 2 6 3 8" xfId="25379"/>
    <cellStyle name="Normal 2 4 2 6 3 8 2" xfId="25380"/>
    <cellStyle name="Normal 2 4 2 6 3 9" xfId="25381"/>
    <cellStyle name="Normal 2 4 2 6 3 9 2" xfId="25382"/>
    <cellStyle name="Normal 2 4 2 6 4" xfId="25383"/>
    <cellStyle name="Normal 2 4 2 6 4 10" xfId="25384"/>
    <cellStyle name="Normal 2 4 2 6 4 10 2" xfId="25385"/>
    <cellStyle name="Normal 2 4 2 6 4 11" xfId="25386"/>
    <cellStyle name="Normal 2 4 2 6 4 11 2" xfId="25387"/>
    <cellStyle name="Normal 2 4 2 6 4 12" xfId="25388"/>
    <cellStyle name="Normal 2 4 2 6 4 12 2" xfId="25389"/>
    <cellStyle name="Normal 2 4 2 6 4 13" xfId="25390"/>
    <cellStyle name="Normal 2 4 2 6 4 2" xfId="25391"/>
    <cellStyle name="Normal 2 4 2 6 4 2 10" xfId="25392"/>
    <cellStyle name="Normal 2 4 2 6 4 2 10 2" xfId="25393"/>
    <cellStyle name="Normal 2 4 2 6 4 2 11" xfId="25394"/>
    <cellStyle name="Normal 2 4 2 6 4 2 11 2" xfId="25395"/>
    <cellStyle name="Normal 2 4 2 6 4 2 12" xfId="25396"/>
    <cellStyle name="Normal 2 4 2 6 4 2 2" xfId="25397"/>
    <cellStyle name="Normal 2 4 2 6 4 2 2 10" xfId="25398"/>
    <cellStyle name="Normal 2 4 2 6 4 2 2 10 2" xfId="25399"/>
    <cellStyle name="Normal 2 4 2 6 4 2 2 11" xfId="25400"/>
    <cellStyle name="Normal 2 4 2 6 4 2 2 2" xfId="25401"/>
    <cellStyle name="Normal 2 4 2 6 4 2 2 2 2" xfId="25402"/>
    <cellStyle name="Normal 2 4 2 6 4 2 2 3" xfId="25403"/>
    <cellStyle name="Normal 2 4 2 6 4 2 2 3 2" xfId="25404"/>
    <cellStyle name="Normal 2 4 2 6 4 2 2 4" xfId="25405"/>
    <cellStyle name="Normal 2 4 2 6 4 2 2 4 2" xfId="25406"/>
    <cellStyle name="Normal 2 4 2 6 4 2 2 5" xfId="25407"/>
    <cellStyle name="Normal 2 4 2 6 4 2 2 5 2" xfId="25408"/>
    <cellStyle name="Normal 2 4 2 6 4 2 2 6" xfId="25409"/>
    <cellStyle name="Normal 2 4 2 6 4 2 2 6 2" xfId="25410"/>
    <cellStyle name="Normal 2 4 2 6 4 2 2 7" xfId="25411"/>
    <cellStyle name="Normal 2 4 2 6 4 2 2 7 2" xfId="25412"/>
    <cellStyle name="Normal 2 4 2 6 4 2 2 8" xfId="25413"/>
    <cellStyle name="Normal 2 4 2 6 4 2 2 8 2" xfId="25414"/>
    <cellStyle name="Normal 2 4 2 6 4 2 2 9" xfId="25415"/>
    <cellStyle name="Normal 2 4 2 6 4 2 2 9 2" xfId="25416"/>
    <cellStyle name="Normal 2 4 2 6 4 2 3" xfId="25417"/>
    <cellStyle name="Normal 2 4 2 6 4 2 3 2" xfId="25418"/>
    <cellStyle name="Normal 2 4 2 6 4 2 4" xfId="25419"/>
    <cellStyle name="Normal 2 4 2 6 4 2 4 2" xfId="25420"/>
    <cellStyle name="Normal 2 4 2 6 4 2 5" xfId="25421"/>
    <cellStyle name="Normal 2 4 2 6 4 2 5 2" xfId="25422"/>
    <cellStyle name="Normal 2 4 2 6 4 2 6" xfId="25423"/>
    <cellStyle name="Normal 2 4 2 6 4 2 6 2" xfId="25424"/>
    <cellStyle name="Normal 2 4 2 6 4 2 7" xfId="25425"/>
    <cellStyle name="Normal 2 4 2 6 4 2 7 2" xfId="25426"/>
    <cellStyle name="Normal 2 4 2 6 4 2 8" xfId="25427"/>
    <cellStyle name="Normal 2 4 2 6 4 2 8 2" xfId="25428"/>
    <cellStyle name="Normal 2 4 2 6 4 2 9" xfId="25429"/>
    <cellStyle name="Normal 2 4 2 6 4 2 9 2" xfId="25430"/>
    <cellStyle name="Normal 2 4 2 6 4 3" xfId="25431"/>
    <cellStyle name="Normal 2 4 2 6 4 3 10" xfId="25432"/>
    <cellStyle name="Normal 2 4 2 6 4 3 10 2" xfId="25433"/>
    <cellStyle name="Normal 2 4 2 6 4 3 11" xfId="25434"/>
    <cellStyle name="Normal 2 4 2 6 4 3 2" xfId="25435"/>
    <cellStyle name="Normal 2 4 2 6 4 3 2 2" xfId="25436"/>
    <cellStyle name="Normal 2 4 2 6 4 3 3" xfId="25437"/>
    <cellStyle name="Normal 2 4 2 6 4 3 3 2" xfId="25438"/>
    <cellStyle name="Normal 2 4 2 6 4 3 4" xfId="25439"/>
    <cellStyle name="Normal 2 4 2 6 4 3 4 2" xfId="25440"/>
    <cellStyle name="Normal 2 4 2 6 4 3 5" xfId="25441"/>
    <cellStyle name="Normal 2 4 2 6 4 3 5 2" xfId="25442"/>
    <cellStyle name="Normal 2 4 2 6 4 3 6" xfId="25443"/>
    <cellStyle name="Normal 2 4 2 6 4 3 6 2" xfId="25444"/>
    <cellStyle name="Normal 2 4 2 6 4 3 7" xfId="25445"/>
    <cellStyle name="Normal 2 4 2 6 4 3 7 2" xfId="25446"/>
    <cellStyle name="Normal 2 4 2 6 4 3 8" xfId="25447"/>
    <cellStyle name="Normal 2 4 2 6 4 3 8 2" xfId="25448"/>
    <cellStyle name="Normal 2 4 2 6 4 3 9" xfId="25449"/>
    <cellStyle name="Normal 2 4 2 6 4 3 9 2" xfId="25450"/>
    <cellStyle name="Normal 2 4 2 6 4 4" xfId="25451"/>
    <cellStyle name="Normal 2 4 2 6 4 4 2" xfId="25452"/>
    <cellStyle name="Normal 2 4 2 6 4 5" xfId="25453"/>
    <cellStyle name="Normal 2 4 2 6 4 5 2" xfId="25454"/>
    <cellStyle name="Normal 2 4 2 6 4 6" xfId="25455"/>
    <cellStyle name="Normal 2 4 2 6 4 6 2" xfId="25456"/>
    <cellStyle name="Normal 2 4 2 6 4 7" xfId="25457"/>
    <cellStyle name="Normal 2 4 2 6 4 7 2" xfId="25458"/>
    <cellStyle name="Normal 2 4 2 6 4 8" xfId="25459"/>
    <cellStyle name="Normal 2 4 2 6 4 8 2" xfId="25460"/>
    <cellStyle name="Normal 2 4 2 6 4 9" xfId="25461"/>
    <cellStyle name="Normal 2 4 2 6 4 9 2" xfId="25462"/>
    <cellStyle name="Normal 2 4 2 6 5" xfId="25463"/>
    <cellStyle name="Normal 2 4 2 6 5 10" xfId="25464"/>
    <cellStyle name="Normal 2 4 2 6 5 10 2" xfId="25465"/>
    <cellStyle name="Normal 2 4 2 6 5 11" xfId="25466"/>
    <cellStyle name="Normal 2 4 2 6 5 11 2" xfId="25467"/>
    <cellStyle name="Normal 2 4 2 6 5 12" xfId="25468"/>
    <cellStyle name="Normal 2 4 2 6 5 12 2" xfId="25469"/>
    <cellStyle name="Normal 2 4 2 6 5 13" xfId="25470"/>
    <cellStyle name="Normal 2 4 2 6 5 2" xfId="25471"/>
    <cellStyle name="Normal 2 4 2 6 5 2 10" xfId="25472"/>
    <cellStyle name="Normal 2 4 2 6 5 2 10 2" xfId="25473"/>
    <cellStyle name="Normal 2 4 2 6 5 2 11" xfId="25474"/>
    <cellStyle name="Normal 2 4 2 6 5 2 11 2" xfId="25475"/>
    <cellStyle name="Normal 2 4 2 6 5 2 12" xfId="25476"/>
    <cellStyle name="Normal 2 4 2 6 5 2 2" xfId="25477"/>
    <cellStyle name="Normal 2 4 2 6 5 2 2 10" xfId="25478"/>
    <cellStyle name="Normal 2 4 2 6 5 2 2 10 2" xfId="25479"/>
    <cellStyle name="Normal 2 4 2 6 5 2 2 11" xfId="25480"/>
    <cellStyle name="Normal 2 4 2 6 5 2 2 2" xfId="25481"/>
    <cellStyle name="Normal 2 4 2 6 5 2 2 2 2" xfId="25482"/>
    <cellStyle name="Normal 2 4 2 6 5 2 2 3" xfId="25483"/>
    <cellStyle name="Normal 2 4 2 6 5 2 2 3 2" xfId="25484"/>
    <cellStyle name="Normal 2 4 2 6 5 2 2 4" xfId="25485"/>
    <cellStyle name="Normal 2 4 2 6 5 2 2 4 2" xfId="25486"/>
    <cellStyle name="Normal 2 4 2 6 5 2 2 5" xfId="25487"/>
    <cellStyle name="Normal 2 4 2 6 5 2 2 5 2" xfId="25488"/>
    <cellStyle name="Normal 2 4 2 6 5 2 2 6" xfId="25489"/>
    <cellStyle name="Normal 2 4 2 6 5 2 2 6 2" xfId="25490"/>
    <cellStyle name="Normal 2 4 2 6 5 2 2 7" xfId="25491"/>
    <cellStyle name="Normal 2 4 2 6 5 2 2 7 2" xfId="25492"/>
    <cellStyle name="Normal 2 4 2 6 5 2 2 8" xfId="25493"/>
    <cellStyle name="Normal 2 4 2 6 5 2 2 8 2" xfId="25494"/>
    <cellStyle name="Normal 2 4 2 6 5 2 2 9" xfId="25495"/>
    <cellStyle name="Normal 2 4 2 6 5 2 2 9 2" xfId="25496"/>
    <cellStyle name="Normal 2 4 2 6 5 2 3" xfId="25497"/>
    <cellStyle name="Normal 2 4 2 6 5 2 3 2" xfId="25498"/>
    <cellStyle name="Normal 2 4 2 6 5 2 4" xfId="25499"/>
    <cellStyle name="Normal 2 4 2 6 5 2 4 2" xfId="25500"/>
    <cellStyle name="Normal 2 4 2 6 5 2 5" xfId="25501"/>
    <cellStyle name="Normal 2 4 2 6 5 2 5 2" xfId="25502"/>
    <cellStyle name="Normal 2 4 2 6 5 2 6" xfId="25503"/>
    <cellStyle name="Normal 2 4 2 6 5 2 6 2" xfId="25504"/>
    <cellStyle name="Normal 2 4 2 6 5 2 7" xfId="25505"/>
    <cellStyle name="Normal 2 4 2 6 5 2 7 2" xfId="25506"/>
    <cellStyle name="Normal 2 4 2 6 5 2 8" xfId="25507"/>
    <cellStyle name="Normal 2 4 2 6 5 2 8 2" xfId="25508"/>
    <cellStyle name="Normal 2 4 2 6 5 2 9" xfId="25509"/>
    <cellStyle name="Normal 2 4 2 6 5 2 9 2" xfId="25510"/>
    <cellStyle name="Normal 2 4 2 6 5 3" xfId="25511"/>
    <cellStyle name="Normal 2 4 2 6 5 3 10" xfId="25512"/>
    <cellStyle name="Normal 2 4 2 6 5 3 10 2" xfId="25513"/>
    <cellStyle name="Normal 2 4 2 6 5 3 11" xfId="25514"/>
    <cellStyle name="Normal 2 4 2 6 5 3 2" xfId="25515"/>
    <cellStyle name="Normal 2 4 2 6 5 3 2 2" xfId="25516"/>
    <cellStyle name="Normal 2 4 2 6 5 3 3" xfId="25517"/>
    <cellStyle name="Normal 2 4 2 6 5 3 3 2" xfId="25518"/>
    <cellStyle name="Normal 2 4 2 6 5 3 4" xfId="25519"/>
    <cellStyle name="Normal 2 4 2 6 5 3 4 2" xfId="25520"/>
    <cellStyle name="Normal 2 4 2 6 5 3 5" xfId="25521"/>
    <cellStyle name="Normal 2 4 2 6 5 3 5 2" xfId="25522"/>
    <cellStyle name="Normal 2 4 2 6 5 3 6" xfId="25523"/>
    <cellStyle name="Normal 2 4 2 6 5 3 6 2" xfId="25524"/>
    <cellStyle name="Normal 2 4 2 6 5 3 7" xfId="25525"/>
    <cellStyle name="Normal 2 4 2 6 5 3 7 2" xfId="25526"/>
    <cellStyle name="Normal 2 4 2 6 5 3 8" xfId="25527"/>
    <cellStyle name="Normal 2 4 2 6 5 3 8 2" xfId="25528"/>
    <cellStyle name="Normal 2 4 2 6 5 3 9" xfId="25529"/>
    <cellStyle name="Normal 2 4 2 6 5 3 9 2" xfId="25530"/>
    <cellStyle name="Normal 2 4 2 6 5 4" xfId="25531"/>
    <cellStyle name="Normal 2 4 2 6 5 4 2" xfId="25532"/>
    <cellStyle name="Normal 2 4 2 6 5 5" xfId="25533"/>
    <cellStyle name="Normal 2 4 2 6 5 5 2" xfId="25534"/>
    <cellStyle name="Normal 2 4 2 6 5 6" xfId="25535"/>
    <cellStyle name="Normal 2 4 2 6 5 6 2" xfId="25536"/>
    <cellStyle name="Normal 2 4 2 6 5 7" xfId="25537"/>
    <cellStyle name="Normal 2 4 2 6 5 7 2" xfId="25538"/>
    <cellStyle name="Normal 2 4 2 6 5 8" xfId="25539"/>
    <cellStyle name="Normal 2 4 2 6 5 8 2" xfId="25540"/>
    <cellStyle name="Normal 2 4 2 6 5 9" xfId="25541"/>
    <cellStyle name="Normal 2 4 2 6 5 9 2" xfId="25542"/>
    <cellStyle name="Normal 2 4 2 7" xfId="25543"/>
    <cellStyle name="Normal 2 4 2 8" xfId="25544"/>
    <cellStyle name="Normal 2 4 2 9" xfId="25545"/>
    <cellStyle name="Normal 2 4 20" xfId="25546"/>
    <cellStyle name="Normal 2 4 21" xfId="25547"/>
    <cellStyle name="Normal 2 4 3" xfId="25548"/>
    <cellStyle name="Normal 2 4 3 10" xfId="25549"/>
    <cellStyle name="Normal 2 4 3 10 2" xfId="25550"/>
    <cellStyle name="Normal 2 4 3 11" xfId="25551"/>
    <cellStyle name="Normal 2 4 3 11 2" xfId="25552"/>
    <cellStyle name="Normal 2 4 3 12" xfId="25553"/>
    <cellStyle name="Normal 2 4 3 12 2" xfId="25554"/>
    <cellStyle name="Normal 2 4 3 13" xfId="25555"/>
    <cellStyle name="Normal 2 4 3 13 2" xfId="25556"/>
    <cellStyle name="Normal 2 4 3 14" xfId="25557"/>
    <cellStyle name="Normal 2 4 3 14 2" xfId="25558"/>
    <cellStyle name="Normal 2 4 3 15" xfId="25559"/>
    <cellStyle name="Normal 2 4 3 15 2" xfId="25560"/>
    <cellStyle name="Normal 2 4 3 16" xfId="25561"/>
    <cellStyle name="Normal 2 4 3 16 2" xfId="25562"/>
    <cellStyle name="Normal 2 4 3 17" xfId="25563"/>
    <cellStyle name="Normal 2 4 3 17 2" xfId="25564"/>
    <cellStyle name="Normal 2 4 3 18" xfId="25565"/>
    <cellStyle name="Normal 2 4 3 2" xfId="25566"/>
    <cellStyle name="Normal 2 4 3 2 2" xfId="25567"/>
    <cellStyle name="Normal 2 4 3 2 2 10" xfId="25568"/>
    <cellStyle name="Normal 2 4 3 2 2 10 2" xfId="25569"/>
    <cellStyle name="Normal 2 4 3 2 2 11" xfId="25570"/>
    <cellStyle name="Normal 2 4 3 2 2 11 2" xfId="25571"/>
    <cellStyle name="Normal 2 4 3 2 2 12" xfId="25572"/>
    <cellStyle name="Normal 2 4 3 2 2 12 2" xfId="25573"/>
    <cellStyle name="Normal 2 4 3 2 2 13" xfId="25574"/>
    <cellStyle name="Normal 2 4 3 2 2 13 2" xfId="25575"/>
    <cellStyle name="Normal 2 4 3 2 2 14" xfId="25576"/>
    <cellStyle name="Normal 2 4 3 2 2 14 2" xfId="25577"/>
    <cellStyle name="Normal 2 4 3 2 2 15" xfId="25578"/>
    <cellStyle name="Normal 2 4 3 2 2 15 2" xfId="25579"/>
    <cellStyle name="Normal 2 4 3 2 2 16" xfId="25580"/>
    <cellStyle name="Normal 2 4 3 2 2 16 2" xfId="25581"/>
    <cellStyle name="Normal 2 4 3 2 2 17" xfId="25582"/>
    <cellStyle name="Normal 2 4 3 2 2 2" xfId="25583"/>
    <cellStyle name="Normal 2 4 3 2 2 3" xfId="25584"/>
    <cellStyle name="Normal 2 4 3 2 2 4" xfId="25585"/>
    <cellStyle name="Normal 2 4 3 2 2 5" xfId="25586"/>
    <cellStyle name="Normal 2 4 3 2 2 6" xfId="25587"/>
    <cellStyle name="Normal 2 4 3 2 2 6 10" xfId="25588"/>
    <cellStyle name="Normal 2 4 3 2 2 6 10 2" xfId="25589"/>
    <cellStyle name="Normal 2 4 3 2 2 6 11" xfId="25590"/>
    <cellStyle name="Normal 2 4 3 2 2 6 11 2" xfId="25591"/>
    <cellStyle name="Normal 2 4 3 2 2 6 12" xfId="25592"/>
    <cellStyle name="Normal 2 4 3 2 2 6 2" xfId="25593"/>
    <cellStyle name="Normal 2 4 3 2 2 6 2 10" xfId="25594"/>
    <cellStyle name="Normal 2 4 3 2 2 6 2 10 2" xfId="25595"/>
    <cellStyle name="Normal 2 4 3 2 2 6 2 11" xfId="25596"/>
    <cellStyle name="Normal 2 4 3 2 2 6 2 2" xfId="25597"/>
    <cellStyle name="Normal 2 4 3 2 2 6 2 2 2" xfId="25598"/>
    <cellStyle name="Normal 2 4 3 2 2 6 2 3" xfId="25599"/>
    <cellStyle name="Normal 2 4 3 2 2 6 2 3 2" xfId="25600"/>
    <cellStyle name="Normal 2 4 3 2 2 6 2 4" xfId="25601"/>
    <cellStyle name="Normal 2 4 3 2 2 6 2 4 2" xfId="25602"/>
    <cellStyle name="Normal 2 4 3 2 2 6 2 5" xfId="25603"/>
    <cellStyle name="Normal 2 4 3 2 2 6 2 5 2" xfId="25604"/>
    <cellStyle name="Normal 2 4 3 2 2 6 2 6" xfId="25605"/>
    <cellStyle name="Normal 2 4 3 2 2 6 2 6 2" xfId="25606"/>
    <cellStyle name="Normal 2 4 3 2 2 6 2 7" xfId="25607"/>
    <cellStyle name="Normal 2 4 3 2 2 6 2 7 2" xfId="25608"/>
    <cellStyle name="Normal 2 4 3 2 2 6 2 8" xfId="25609"/>
    <cellStyle name="Normal 2 4 3 2 2 6 2 8 2" xfId="25610"/>
    <cellStyle name="Normal 2 4 3 2 2 6 2 9" xfId="25611"/>
    <cellStyle name="Normal 2 4 3 2 2 6 2 9 2" xfId="25612"/>
    <cellStyle name="Normal 2 4 3 2 2 6 3" xfId="25613"/>
    <cellStyle name="Normal 2 4 3 2 2 6 3 2" xfId="25614"/>
    <cellStyle name="Normal 2 4 3 2 2 6 4" xfId="25615"/>
    <cellStyle name="Normal 2 4 3 2 2 6 4 2" xfId="25616"/>
    <cellStyle name="Normal 2 4 3 2 2 6 5" xfId="25617"/>
    <cellStyle name="Normal 2 4 3 2 2 6 5 2" xfId="25618"/>
    <cellStyle name="Normal 2 4 3 2 2 6 6" xfId="25619"/>
    <cellStyle name="Normal 2 4 3 2 2 6 6 2" xfId="25620"/>
    <cellStyle name="Normal 2 4 3 2 2 6 7" xfId="25621"/>
    <cellStyle name="Normal 2 4 3 2 2 6 7 2" xfId="25622"/>
    <cellStyle name="Normal 2 4 3 2 2 6 8" xfId="25623"/>
    <cellStyle name="Normal 2 4 3 2 2 6 8 2" xfId="25624"/>
    <cellStyle name="Normal 2 4 3 2 2 6 9" xfId="25625"/>
    <cellStyle name="Normal 2 4 3 2 2 6 9 2" xfId="25626"/>
    <cellStyle name="Normal 2 4 3 2 2 7" xfId="25627"/>
    <cellStyle name="Normal 2 4 3 2 2 7 10" xfId="25628"/>
    <cellStyle name="Normal 2 4 3 2 2 7 10 2" xfId="25629"/>
    <cellStyle name="Normal 2 4 3 2 2 7 11" xfId="25630"/>
    <cellStyle name="Normal 2 4 3 2 2 7 2" xfId="25631"/>
    <cellStyle name="Normal 2 4 3 2 2 7 2 2" xfId="25632"/>
    <cellStyle name="Normal 2 4 3 2 2 7 3" xfId="25633"/>
    <cellStyle name="Normal 2 4 3 2 2 7 3 2" xfId="25634"/>
    <cellStyle name="Normal 2 4 3 2 2 7 4" xfId="25635"/>
    <cellStyle name="Normal 2 4 3 2 2 7 4 2" xfId="25636"/>
    <cellStyle name="Normal 2 4 3 2 2 7 5" xfId="25637"/>
    <cellStyle name="Normal 2 4 3 2 2 7 5 2" xfId="25638"/>
    <cellStyle name="Normal 2 4 3 2 2 7 6" xfId="25639"/>
    <cellStyle name="Normal 2 4 3 2 2 7 6 2" xfId="25640"/>
    <cellStyle name="Normal 2 4 3 2 2 7 7" xfId="25641"/>
    <cellStyle name="Normal 2 4 3 2 2 7 7 2" xfId="25642"/>
    <cellStyle name="Normal 2 4 3 2 2 7 8" xfId="25643"/>
    <cellStyle name="Normal 2 4 3 2 2 7 8 2" xfId="25644"/>
    <cellStyle name="Normal 2 4 3 2 2 7 9" xfId="25645"/>
    <cellStyle name="Normal 2 4 3 2 2 7 9 2" xfId="25646"/>
    <cellStyle name="Normal 2 4 3 2 2 8" xfId="25647"/>
    <cellStyle name="Normal 2 4 3 2 2 8 2" xfId="25648"/>
    <cellStyle name="Normal 2 4 3 2 2 9" xfId="25649"/>
    <cellStyle name="Normal 2 4 3 2 2 9 2" xfId="25650"/>
    <cellStyle name="Normal 2 4 3 2 3" xfId="25651"/>
    <cellStyle name="Normal 2 4 3 2 3 10" xfId="25652"/>
    <cellStyle name="Normal 2 4 3 2 3 10 2" xfId="25653"/>
    <cellStyle name="Normal 2 4 3 2 3 11" xfId="25654"/>
    <cellStyle name="Normal 2 4 3 2 3 11 2" xfId="25655"/>
    <cellStyle name="Normal 2 4 3 2 3 12" xfId="25656"/>
    <cellStyle name="Normal 2 4 3 2 3 12 2" xfId="25657"/>
    <cellStyle name="Normal 2 4 3 2 3 13" xfId="25658"/>
    <cellStyle name="Normal 2 4 3 2 3 2" xfId="25659"/>
    <cellStyle name="Normal 2 4 3 2 3 2 10" xfId="25660"/>
    <cellStyle name="Normal 2 4 3 2 3 2 10 2" xfId="25661"/>
    <cellStyle name="Normal 2 4 3 2 3 2 11" xfId="25662"/>
    <cellStyle name="Normal 2 4 3 2 3 2 11 2" xfId="25663"/>
    <cellStyle name="Normal 2 4 3 2 3 2 12" xfId="25664"/>
    <cellStyle name="Normal 2 4 3 2 3 2 2" xfId="25665"/>
    <cellStyle name="Normal 2 4 3 2 3 2 2 10" xfId="25666"/>
    <cellStyle name="Normal 2 4 3 2 3 2 2 10 2" xfId="25667"/>
    <cellStyle name="Normal 2 4 3 2 3 2 2 11" xfId="25668"/>
    <cellStyle name="Normal 2 4 3 2 3 2 2 2" xfId="25669"/>
    <cellStyle name="Normal 2 4 3 2 3 2 2 2 2" xfId="25670"/>
    <cellStyle name="Normal 2 4 3 2 3 2 2 3" xfId="25671"/>
    <cellStyle name="Normal 2 4 3 2 3 2 2 3 2" xfId="25672"/>
    <cellStyle name="Normal 2 4 3 2 3 2 2 4" xfId="25673"/>
    <cellStyle name="Normal 2 4 3 2 3 2 2 4 2" xfId="25674"/>
    <cellStyle name="Normal 2 4 3 2 3 2 2 5" xfId="25675"/>
    <cellStyle name="Normal 2 4 3 2 3 2 2 5 2" xfId="25676"/>
    <cellStyle name="Normal 2 4 3 2 3 2 2 6" xfId="25677"/>
    <cellStyle name="Normal 2 4 3 2 3 2 2 6 2" xfId="25678"/>
    <cellStyle name="Normal 2 4 3 2 3 2 2 7" xfId="25679"/>
    <cellStyle name="Normal 2 4 3 2 3 2 2 7 2" xfId="25680"/>
    <cellStyle name="Normal 2 4 3 2 3 2 2 8" xfId="25681"/>
    <cellStyle name="Normal 2 4 3 2 3 2 2 8 2" xfId="25682"/>
    <cellStyle name="Normal 2 4 3 2 3 2 2 9" xfId="25683"/>
    <cellStyle name="Normal 2 4 3 2 3 2 2 9 2" xfId="25684"/>
    <cellStyle name="Normal 2 4 3 2 3 2 3" xfId="25685"/>
    <cellStyle name="Normal 2 4 3 2 3 2 3 2" xfId="25686"/>
    <cellStyle name="Normal 2 4 3 2 3 2 4" xfId="25687"/>
    <cellStyle name="Normal 2 4 3 2 3 2 4 2" xfId="25688"/>
    <cellStyle name="Normal 2 4 3 2 3 2 5" xfId="25689"/>
    <cellStyle name="Normal 2 4 3 2 3 2 5 2" xfId="25690"/>
    <cellStyle name="Normal 2 4 3 2 3 2 6" xfId="25691"/>
    <cellStyle name="Normal 2 4 3 2 3 2 6 2" xfId="25692"/>
    <cellStyle name="Normal 2 4 3 2 3 2 7" xfId="25693"/>
    <cellStyle name="Normal 2 4 3 2 3 2 7 2" xfId="25694"/>
    <cellStyle name="Normal 2 4 3 2 3 2 8" xfId="25695"/>
    <cellStyle name="Normal 2 4 3 2 3 2 8 2" xfId="25696"/>
    <cellStyle name="Normal 2 4 3 2 3 2 9" xfId="25697"/>
    <cellStyle name="Normal 2 4 3 2 3 2 9 2" xfId="25698"/>
    <cellStyle name="Normal 2 4 3 2 3 3" xfId="25699"/>
    <cellStyle name="Normal 2 4 3 2 3 3 10" xfId="25700"/>
    <cellStyle name="Normal 2 4 3 2 3 3 10 2" xfId="25701"/>
    <cellStyle name="Normal 2 4 3 2 3 3 11" xfId="25702"/>
    <cellStyle name="Normal 2 4 3 2 3 3 2" xfId="25703"/>
    <cellStyle name="Normal 2 4 3 2 3 3 2 2" xfId="25704"/>
    <cellStyle name="Normal 2 4 3 2 3 3 3" xfId="25705"/>
    <cellStyle name="Normal 2 4 3 2 3 3 3 2" xfId="25706"/>
    <cellStyle name="Normal 2 4 3 2 3 3 4" xfId="25707"/>
    <cellStyle name="Normal 2 4 3 2 3 3 4 2" xfId="25708"/>
    <cellStyle name="Normal 2 4 3 2 3 3 5" xfId="25709"/>
    <cellStyle name="Normal 2 4 3 2 3 3 5 2" xfId="25710"/>
    <cellStyle name="Normal 2 4 3 2 3 3 6" xfId="25711"/>
    <cellStyle name="Normal 2 4 3 2 3 3 6 2" xfId="25712"/>
    <cellStyle name="Normal 2 4 3 2 3 3 7" xfId="25713"/>
    <cellStyle name="Normal 2 4 3 2 3 3 7 2" xfId="25714"/>
    <cellStyle name="Normal 2 4 3 2 3 3 8" xfId="25715"/>
    <cellStyle name="Normal 2 4 3 2 3 3 8 2" xfId="25716"/>
    <cellStyle name="Normal 2 4 3 2 3 3 9" xfId="25717"/>
    <cellStyle name="Normal 2 4 3 2 3 3 9 2" xfId="25718"/>
    <cellStyle name="Normal 2 4 3 2 3 4" xfId="25719"/>
    <cellStyle name="Normal 2 4 3 2 3 4 2" xfId="25720"/>
    <cellStyle name="Normal 2 4 3 2 3 5" xfId="25721"/>
    <cellStyle name="Normal 2 4 3 2 3 5 2" xfId="25722"/>
    <cellStyle name="Normal 2 4 3 2 3 6" xfId="25723"/>
    <cellStyle name="Normal 2 4 3 2 3 6 2" xfId="25724"/>
    <cellStyle name="Normal 2 4 3 2 3 7" xfId="25725"/>
    <cellStyle name="Normal 2 4 3 2 3 7 2" xfId="25726"/>
    <cellStyle name="Normal 2 4 3 2 3 8" xfId="25727"/>
    <cellStyle name="Normal 2 4 3 2 3 8 2" xfId="25728"/>
    <cellStyle name="Normal 2 4 3 2 3 9" xfId="25729"/>
    <cellStyle name="Normal 2 4 3 2 3 9 2" xfId="25730"/>
    <cellStyle name="Normal 2 4 3 2 4" xfId="25731"/>
    <cellStyle name="Normal 2 4 3 2 4 10" xfId="25732"/>
    <cellStyle name="Normal 2 4 3 2 4 10 2" xfId="25733"/>
    <cellStyle name="Normal 2 4 3 2 4 11" xfId="25734"/>
    <cellStyle name="Normal 2 4 3 2 4 11 2" xfId="25735"/>
    <cellStyle name="Normal 2 4 3 2 4 12" xfId="25736"/>
    <cellStyle name="Normal 2 4 3 2 4 12 2" xfId="25737"/>
    <cellStyle name="Normal 2 4 3 2 4 13" xfId="25738"/>
    <cellStyle name="Normal 2 4 3 2 4 2" xfId="25739"/>
    <cellStyle name="Normal 2 4 3 2 4 2 10" xfId="25740"/>
    <cellStyle name="Normal 2 4 3 2 4 2 10 2" xfId="25741"/>
    <cellStyle name="Normal 2 4 3 2 4 2 11" xfId="25742"/>
    <cellStyle name="Normal 2 4 3 2 4 2 11 2" xfId="25743"/>
    <cellStyle name="Normal 2 4 3 2 4 2 12" xfId="25744"/>
    <cellStyle name="Normal 2 4 3 2 4 2 2" xfId="25745"/>
    <cellStyle name="Normal 2 4 3 2 4 2 2 10" xfId="25746"/>
    <cellStyle name="Normal 2 4 3 2 4 2 2 10 2" xfId="25747"/>
    <cellStyle name="Normal 2 4 3 2 4 2 2 11" xfId="25748"/>
    <cellStyle name="Normal 2 4 3 2 4 2 2 2" xfId="25749"/>
    <cellStyle name="Normal 2 4 3 2 4 2 2 2 2" xfId="25750"/>
    <cellStyle name="Normal 2 4 3 2 4 2 2 3" xfId="25751"/>
    <cellStyle name="Normal 2 4 3 2 4 2 2 3 2" xfId="25752"/>
    <cellStyle name="Normal 2 4 3 2 4 2 2 4" xfId="25753"/>
    <cellStyle name="Normal 2 4 3 2 4 2 2 4 2" xfId="25754"/>
    <cellStyle name="Normal 2 4 3 2 4 2 2 5" xfId="25755"/>
    <cellStyle name="Normal 2 4 3 2 4 2 2 5 2" xfId="25756"/>
    <cellStyle name="Normal 2 4 3 2 4 2 2 6" xfId="25757"/>
    <cellStyle name="Normal 2 4 3 2 4 2 2 6 2" xfId="25758"/>
    <cellStyle name="Normal 2 4 3 2 4 2 2 7" xfId="25759"/>
    <cellStyle name="Normal 2 4 3 2 4 2 2 7 2" xfId="25760"/>
    <cellStyle name="Normal 2 4 3 2 4 2 2 8" xfId="25761"/>
    <cellStyle name="Normal 2 4 3 2 4 2 2 8 2" xfId="25762"/>
    <cellStyle name="Normal 2 4 3 2 4 2 2 9" xfId="25763"/>
    <cellStyle name="Normal 2 4 3 2 4 2 2 9 2" xfId="25764"/>
    <cellStyle name="Normal 2 4 3 2 4 2 3" xfId="25765"/>
    <cellStyle name="Normal 2 4 3 2 4 2 3 2" xfId="25766"/>
    <cellStyle name="Normal 2 4 3 2 4 2 4" xfId="25767"/>
    <cellStyle name="Normal 2 4 3 2 4 2 4 2" xfId="25768"/>
    <cellStyle name="Normal 2 4 3 2 4 2 5" xfId="25769"/>
    <cellStyle name="Normal 2 4 3 2 4 2 5 2" xfId="25770"/>
    <cellStyle name="Normal 2 4 3 2 4 2 6" xfId="25771"/>
    <cellStyle name="Normal 2 4 3 2 4 2 6 2" xfId="25772"/>
    <cellStyle name="Normal 2 4 3 2 4 2 7" xfId="25773"/>
    <cellStyle name="Normal 2 4 3 2 4 2 7 2" xfId="25774"/>
    <cellStyle name="Normal 2 4 3 2 4 2 8" xfId="25775"/>
    <cellStyle name="Normal 2 4 3 2 4 2 8 2" xfId="25776"/>
    <cellStyle name="Normal 2 4 3 2 4 2 9" xfId="25777"/>
    <cellStyle name="Normal 2 4 3 2 4 2 9 2" xfId="25778"/>
    <cellStyle name="Normal 2 4 3 2 4 3" xfId="25779"/>
    <cellStyle name="Normal 2 4 3 2 4 3 10" xfId="25780"/>
    <cellStyle name="Normal 2 4 3 2 4 3 10 2" xfId="25781"/>
    <cellStyle name="Normal 2 4 3 2 4 3 11" xfId="25782"/>
    <cellStyle name="Normal 2 4 3 2 4 3 2" xfId="25783"/>
    <cellStyle name="Normal 2 4 3 2 4 3 2 2" xfId="25784"/>
    <cellStyle name="Normal 2 4 3 2 4 3 3" xfId="25785"/>
    <cellStyle name="Normal 2 4 3 2 4 3 3 2" xfId="25786"/>
    <cellStyle name="Normal 2 4 3 2 4 3 4" xfId="25787"/>
    <cellStyle name="Normal 2 4 3 2 4 3 4 2" xfId="25788"/>
    <cellStyle name="Normal 2 4 3 2 4 3 5" xfId="25789"/>
    <cellStyle name="Normal 2 4 3 2 4 3 5 2" xfId="25790"/>
    <cellStyle name="Normal 2 4 3 2 4 3 6" xfId="25791"/>
    <cellStyle name="Normal 2 4 3 2 4 3 6 2" xfId="25792"/>
    <cellStyle name="Normal 2 4 3 2 4 3 7" xfId="25793"/>
    <cellStyle name="Normal 2 4 3 2 4 3 7 2" xfId="25794"/>
    <cellStyle name="Normal 2 4 3 2 4 3 8" xfId="25795"/>
    <cellStyle name="Normal 2 4 3 2 4 3 8 2" xfId="25796"/>
    <cellStyle name="Normal 2 4 3 2 4 3 9" xfId="25797"/>
    <cellStyle name="Normal 2 4 3 2 4 3 9 2" xfId="25798"/>
    <cellStyle name="Normal 2 4 3 2 4 4" xfId="25799"/>
    <cellStyle name="Normal 2 4 3 2 4 4 2" xfId="25800"/>
    <cellStyle name="Normal 2 4 3 2 4 5" xfId="25801"/>
    <cellStyle name="Normal 2 4 3 2 4 5 2" xfId="25802"/>
    <cellStyle name="Normal 2 4 3 2 4 6" xfId="25803"/>
    <cellStyle name="Normal 2 4 3 2 4 6 2" xfId="25804"/>
    <cellStyle name="Normal 2 4 3 2 4 7" xfId="25805"/>
    <cellStyle name="Normal 2 4 3 2 4 7 2" xfId="25806"/>
    <cellStyle name="Normal 2 4 3 2 4 8" xfId="25807"/>
    <cellStyle name="Normal 2 4 3 2 4 8 2" xfId="25808"/>
    <cellStyle name="Normal 2 4 3 2 4 9" xfId="25809"/>
    <cellStyle name="Normal 2 4 3 2 4 9 2" xfId="25810"/>
    <cellStyle name="Normal 2 4 3 2 5" xfId="25811"/>
    <cellStyle name="Normal 2 4 3 2 5 10" xfId="25812"/>
    <cellStyle name="Normal 2 4 3 2 5 10 2" xfId="25813"/>
    <cellStyle name="Normal 2 4 3 2 5 11" xfId="25814"/>
    <cellStyle name="Normal 2 4 3 2 5 11 2" xfId="25815"/>
    <cellStyle name="Normal 2 4 3 2 5 12" xfId="25816"/>
    <cellStyle name="Normal 2 4 3 2 5 12 2" xfId="25817"/>
    <cellStyle name="Normal 2 4 3 2 5 13" xfId="25818"/>
    <cellStyle name="Normal 2 4 3 2 5 2" xfId="25819"/>
    <cellStyle name="Normal 2 4 3 2 5 2 10" xfId="25820"/>
    <cellStyle name="Normal 2 4 3 2 5 2 10 2" xfId="25821"/>
    <cellStyle name="Normal 2 4 3 2 5 2 11" xfId="25822"/>
    <cellStyle name="Normal 2 4 3 2 5 2 11 2" xfId="25823"/>
    <cellStyle name="Normal 2 4 3 2 5 2 12" xfId="25824"/>
    <cellStyle name="Normal 2 4 3 2 5 2 2" xfId="25825"/>
    <cellStyle name="Normal 2 4 3 2 5 2 2 10" xfId="25826"/>
    <cellStyle name="Normal 2 4 3 2 5 2 2 10 2" xfId="25827"/>
    <cellStyle name="Normal 2 4 3 2 5 2 2 11" xfId="25828"/>
    <cellStyle name="Normal 2 4 3 2 5 2 2 2" xfId="25829"/>
    <cellStyle name="Normal 2 4 3 2 5 2 2 2 2" xfId="25830"/>
    <cellStyle name="Normal 2 4 3 2 5 2 2 3" xfId="25831"/>
    <cellStyle name="Normal 2 4 3 2 5 2 2 3 2" xfId="25832"/>
    <cellStyle name="Normal 2 4 3 2 5 2 2 4" xfId="25833"/>
    <cellStyle name="Normal 2 4 3 2 5 2 2 4 2" xfId="25834"/>
    <cellStyle name="Normal 2 4 3 2 5 2 2 5" xfId="25835"/>
    <cellStyle name="Normal 2 4 3 2 5 2 2 5 2" xfId="25836"/>
    <cellStyle name="Normal 2 4 3 2 5 2 2 6" xfId="25837"/>
    <cellStyle name="Normal 2 4 3 2 5 2 2 6 2" xfId="25838"/>
    <cellStyle name="Normal 2 4 3 2 5 2 2 7" xfId="25839"/>
    <cellStyle name="Normal 2 4 3 2 5 2 2 7 2" xfId="25840"/>
    <cellStyle name="Normal 2 4 3 2 5 2 2 8" xfId="25841"/>
    <cellStyle name="Normal 2 4 3 2 5 2 2 8 2" xfId="25842"/>
    <cellStyle name="Normal 2 4 3 2 5 2 2 9" xfId="25843"/>
    <cellStyle name="Normal 2 4 3 2 5 2 2 9 2" xfId="25844"/>
    <cellStyle name="Normal 2 4 3 2 5 2 3" xfId="25845"/>
    <cellStyle name="Normal 2 4 3 2 5 2 3 2" xfId="25846"/>
    <cellStyle name="Normal 2 4 3 2 5 2 4" xfId="25847"/>
    <cellStyle name="Normal 2 4 3 2 5 2 4 2" xfId="25848"/>
    <cellStyle name="Normal 2 4 3 2 5 2 5" xfId="25849"/>
    <cellStyle name="Normal 2 4 3 2 5 2 5 2" xfId="25850"/>
    <cellStyle name="Normal 2 4 3 2 5 2 6" xfId="25851"/>
    <cellStyle name="Normal 2 4 3 2 5 2 6 2" xfId="25852"/>
    <cellStyle name="Normal 2 4 3 2 5 2 7" xfId="25853"/>
    <cellStyle name="Normal 2 4 3 2 5 2 7 2" xfId="25854"/>
    <cellStyle name="Normal 2 4 3 2 5 2 8" xfId="25855"/>
    <cellStyle name="Normal 2 4 3 2 5 2 8 2" xfId="25856"/>
    <cellStyle name="Normal 2 4 3 2 5 2 9" xfId="25857"/>
    <cellStyle name="Normal 2 4 3 2 5 2 9 2" xfId="25858"/>
    <cellStyle name="Normal 2 4 3 2 5 3" xfId="25859"/>
    <cellStyle name="Normal 2 4 3 2 5 3 10" xfId="25860"/>
    <cellStyle name="Normal 2 4 3 2 5 3 10 2" xfId="25861"/>
    <cellStyle name="Normal 2 4 3 2 5 3 11" xfId="25862"/>
    <cellStyle name="Normal 2 4 3 2 5 3 2" xfId="25863"/>
    <cellStyle name="Normal 2 4 3 2 5 3 2 2" xfId="25864"/>
    <cellStyle name="Normal 2 4 3 2 5 3 3" xfId="25865"/>
    <cellStyle name="Normal 2 4 3 2 5 3 3 2" xfId="25866"/>
    <cellStyle name="Normal 2 4 3 2 5 3 4" xfId="25867"/>
    <cellStyle name="Normal 2 4 3 2 5 3 4 2" xfId="25868"/>
    <cellStyle name="Normal 2 4 3 2 5 3 5" xfId="25869"/>
    <cellStyle name="Normal 2 4 3 2 5 3 5 2" xfId="25870"/>
    <cellStyle name="Normal 2 4 3 2 5 3 6" xfId="25871"/>
    <cellStyle name="Normal 2 4 3 2 5 3 6 2" xfId="25872"/>
    <cellStyle name="Normal 2 4 3 2 5 3 7" xfId="25873"/>
    <cellStyle name="Normal 2 4 3 2 5 3 7 2" xfId="25874"/>
    <cellStyle name="Normal 2 4 3 2 5 3 8" xfId="25875"/>
    <cellStyle name="Normal 2 4 3 2 5 3 8 2" xfId="25876"/>
    <cellStyle name="Normal 2 4 3 2 5 3 9" xfId="25877"/>
    <cellStyle name="Normal 2 4 3 2 5 3 9 2" xfId="25878"/>
    <cellStyle name="Normal 2 4 3 2 5 4" xfId="25879"/>
    <cellStyle name="Normal 2 4 3 2 5 4 2" xfId="25880"/>
    <cellStyle name="Normal 2 4 3 2 5 5" xfId="25881"/>
    <cellStyle name="Normal 2 4 3 2 5 5 2" xfId="25882"/>
    <cellStyle name="Normal 2 4 3 2 5 6" xfId="25883"/>
    <cellStyle name="Normal 2 4 3 2 5 6 2" xfId="25884"/>
    <cellStyle name="Normal 2 4 3 2 5 7" xfId="25885"/>
    <cellStyle name="Normal 2 4 3 2 5 7 2" xfId="25886"/>
    <cellStyle name="Normal 2 4 3 2 5 8" xfId="25887"/>
    <cellStyle name="Normal 2 4 3 2 5 8 2" xfId="25888"/>
    <cellStyle name="Normal 2 4 3 2 5 9" xfId="25889"/>
    <cellStyle name="Normal 2 4 3 2 5 9 2" xfId="25890"/>
    <cellStyle name="Normal 2 4 3 3" xfId="25891"/>
    <cellStyle name="Normal 2 4 3 4" xfId="25892"/>
    <cellStyle name="Normal 2 4 3 5" xfId="25893"/>
    <cellStyle name="Normal 2 4 3 6" xfId="25894"/>
    <cellStyle name="Normal 2 4 3 7" xfId="25895"/>
    <cellStyle name="Normal 2 4 3 7 10" xfId="25896"/>
    <cellStyle name="Normal 2 4 3 7 10 2" xfId="25897"/>
    <cellStyle name="Normal 2 4 3 7 11" xfId="25898"/>
    <cellStyle name="Normal 2 4 3 7 11 2" xfId="25899"/>
    <cellStyle name="Normal 2 4 3 7 12" xfId="25900"/>
    <cellStyle name="Normal 2 4 3 7 2" xfId="25901"/>
    <cellStyle name="Normal 2 4 3 7 2 10" xfId="25902"/>
    <cellStyle name="Normal 2 4 3 7 2 10 2" xfId="25903"/>
    <cellStyle name="Normal 2 4 3 7 2 11" xfId="25904"/>
    <cellStyle name="Normal 2 4 3 7 2 2" xfId="25905"/>
    <cellStyle name="Normal 2 4 3 7 2 2 2" xfId="25906"/>
    <cellStyle name="Normal 2 4 3 7 2 3" xfId="25907"/>
    <cellStyle name="Normal 2 4 3 7 2 3 2" xfId="25908"/>
    <cellStyle name="Normal 2 4 3 7 2 4" xfId="25909"/>
    <cellStyle name="Normal 2 4 3 7 2 4 2" xfId="25910"/>
    <cellStyle name="Normal 2 4 3 7 2 5" xfId="25911"/>
    <cellStyle name="Normal 2 4 3 7 2 5 2" xfId="25912"/>
    <cellStyle name="Normal 2 4 3 7 2 6" xfId="25913"/>
    <cellStyle name="Normal 2 4 3 7 2 6 2" xfId="25914"/>
    <cellStyle name="Normal 2 4 3 7 2 7" xfId="25915"/>
    <cellStyle name="Normal 2 4 3 7 2 7 2" xfId="25916"/>
    <cellStyle name="Normal 2 4 3 7 2 8" xfId="25917"/>
    <cellStyle name="Normal 2 4 3 7 2 8 2" xfId="25918"/>
    <cellStyle name="Normal 2 4 3 7 2 9" xfId="25919"/>
    <cellStyle name="Normal 2 4 3 7 2 9 2" xfId="25920"/>
    <cellStyle name="Normal 2 4 3 7 3" xfId="25921"/>
    <cellStyle name="Normal 2 4 3 7 3 2" xfId="25922"/>
    <cellStyle name="Normal 2 4 3 7 4" xfId="25923"/>
    <cellStyle name="Normal 2 4 3 7 4 2" xfId="25924"/>
    <cellStyle name="Normal 2 4 3 7 5" xfId="25925"/>
    <cellStyle name="Normal 2 4 3 7 5 2" xfId="25926"/>
    <cellStyle name="Normal 2 4 3 7 6" xfId="25927"/>
    <cellStyle name="Normal 2 4 3 7 6 2" xfId="25928"/>
    <cellStyle name="Normal 2 4 3 7 7" xfId="25929"/>
    <cellStyle name="Normal 2 4 3 7 7 2" xfId="25930"/>
    <cellStyle name="Normal 2 4 3 7 8" xfId="25931"/>
    <cellStyle name="Normal 2 4 3 7 8 2" xfId="25932"/>
    <cellStyle name="Normal 2 4 3 7 9" xfId="25933"/>
    <cellStyle name="Normal 2 4 3 7 9 2" xfId="25934"/>
    <cellStyle name="Normal 2 4 3 8" xfId="25935"/>
    <cellStyle name="Normal 2 4 3 8 10" xfId="25936"/>
    <cellStyle name="Normal 2 4 3 8 10 2" xfId="25937"/>
    <cellStyle name="Normal 2 4 3 8 11" xfId="25938"/>
    <cellStyle name="Normal 2 4 3 8 2" xfId="25939"/>
    <cellStyle name="Normal 2 4 3 8 2 2" xfId="25940"/>
    <cellStyle name="Normal 2 4 3 8 3" xfId="25941"/>
    <cellStyle name="Normal 2 4 3 8 3 2" xfId="25942"/>
    <cellStyle name="Normal 2 4 3 8 4" xfId="25943"/>
    <cellStyle name="Normal 2 4 3 8 4 2" xfId="25944"/>
    <cellStyle name="Normal 2 4 3 8 5" xfId="25945"/>
    <cellStyle name="Normal 2 4 3 8 5 2" xfId="25946"/>
    <cellStyle name="Normal 2 4 3 8 6" xfId="25947"/>
    <cellStyle name="Normal 2 4 3 8 6 2" xfId="25948"/>
    <cellStyle name="Normal 2 4 3 8 7" xfId="25949"/>
    <cellStyle name="Normal 2 4 3 8 7 2" xfId="25950"/>
    <cellStyle name="Normal 2 4 3 8 8" xfId="25951"/>
    <cellStyle name="Normal 2 4 3 8 8 2" xfId="25952"/>
    <cellStyle name="Normal 2 4 3 8 9" xfId="25953"/>
    <cellStyle name="Normal 2 4 3 8 9 2" xfId="25954"/>
    <cellStyle name="Normal 2 4 3 9" xfId="25955"/>
    <cellStyle name="Normal 2 4 3 9 2" xfId="25956"/>
    <cellStyle name="Normal 2 4 4" xfId="25957"/>
    <cellStyle name="Normal 2 4 5" xfId="25958"/>
    <cellStyle name="Normal 2 4 6" xfId="25959"/>
    <cellStyle name="Normal 2 4 6 10" xfId="25960"/>
    <cellStyle name="Normal 2 4 6 10 2" xfId="25961"/>
    <cellStyle name="Normal 2 4 6 11" xfId="25962"/>
    <cellStyle name="Normal 2 4 6 11 2" xfId="25963"/>
    <cellStyle name="Normal 2 4 6 12" xfId="25964"/>
    <cellStyle name="Normal 2 4 6 12 2" xfId="25965"/>
    <cellStyle name="Normal 2 4 6 13" xfId="25966"/>
    <cellStyle name="Normal 2 4 6 13 2" xfId="25967"/>
    <cellStyle name="Normal 2 4 6 14" xfId="25968"/>
    <cellStyle name="Normal 2 4 6 14 2" xfId="25969"/>
    <cellStyle name="Normal 2 4 6 15" xfId="25970"/>
    <cellStyle name="Normal 2 4 6 15 2" xfId="25971"/>
    <cellStyle name="Normal 2 4 6 16" xfId="25972"/>
    <cellStyle name="Normal 2 4 6 16 2" xfId="25973"/>
    <cellStyle name="Normal 2 4 6 17" xfId="25974"/>
    <cellStyle name="Normal 2 4 6 2" xfId="25975"/>
    <cellStyle name="Normal 2 4 6 3" xfId="25976"/>
    <cellStyle name="Normal 2 4 6 4" xfId="25977"/>
    <cellStyle name="Normal 2 4 6 5" xfId="25978"/>
    <cellStyle name="Normal 2 4 6 6" xfId="25979"/>
    <cellStyle name="Normal 2 4 6 6 10" xfId="25980"/>
    <cellStyle name="Normal 2 4 6 6 10 2" xfId="25981"/>
    <cellStyle name="Normal 2 4 6 6 11" xfId="25982"/>
    <cellStyle name="Normal 2 4 6 6 11 2" xfId="25983"/>
    <cellStyle name="Normal 2 4 6 6 12" xfId="25984"/>
    <cellStyle name="Normal 2 4 6 6 2" xfId="25985"/>
    <cellStyle name="Normal 2 4 6 6 2 10" xfId="25986"/>
    <cellStyle name="Normal 2 4 6 6 2 10 2" xfId="25987"/>
    <cellStyle name="Normal 2 4 6 6 2 11" xfId="25988"/>
    <cellStyle name="Normal 2 4 6 6 2 2" xfId="25989"/>
    <cellStyle name="Normal 2 4 6 6 2 2 2" xfId="25990"/>
    <cellStyle name="Normal 2 4 6 6 2 3" xfId="25991"/>
    <cellStyle name="Normal 2 4 6 6 2 3 2" xfId="25992"/>
    <cellStyle name="Normal 2 4 6 6 2 4" xfId="25993"/>
    <cellStyle name="Normal 2 4 6 6 2 4 2" xfId="25994"/>
    <cellStyle name="Normal 2 4 6 6 2 5" xfId="25995"/>
    <cellStyle name="Normal 2 4 6 6 2 5 2" xfId="25996"/>
    <cellStyle name="Normal 2 4 6 6 2 6" xfId="25997"/>
    <cellStyle name="Normal 2 4 6 6 2 6 2" xfId="25998"/>
    <cellStyle name="Normal 2 4 6 6 2 7" xfId="25999"/>
    <cellStyle name="Normal 2 4 6 6 2 7 2" xfId="26000"/>
    <cellStyle name="Normal 2 4 6 6 2 8" xfId="26001"/>
    <cellStyle name="Normal 2 4 6 6 2 8 2" xfId="26002"/>
    <cellStyle name="Normal 2 4 6 6 2 9" xfId="26003"/>
    <cellStyle name="Normal 2 4 6 6 2 9 2" xfId="26004"/>
    <cellStyle name="Normal 2 4 6 6 3" xfId="26005"/>
    <cellStyle name="Normal 2 4 6 6 3 2" xfId="26006"/>
    <cellStyle name="Normal 2 4 6 6 4" xfId="26007"/>
    <cellStyle name="Normal 2 4 6 6 4 2" xfId="26008"/>
    <cellStyle name="Normal 2 4 6 6 5" xfId="26009"/>
    <cellStyle name="Normal 2 4 6 6 5 2" xfId="26010"/>
    <cellStyle name="Normal 2 4 6 6 6" xfId="26011"/>
    <cellStyle name="Normal 2 4 6 6 6 2" xfId="26012"/>
    <cellStyle name="Normal 2 4 6 6 7" xfId="26013"/>
    <cellStyle name="Normal 2 4 6 6 7 2" xfId="26014"/>
    <cellStyle name="Normal 2 4 6 6 8" xfId="26015"/>
    <cellStyle name="Normal 2 4 6 6 8 2" xfId="26016"/>
    <cellStyle name="Normal 2 4 6 6 9" xfId="26017"/>
    <cellStyle name="Normal 2 4 6 6 9 2" xfId="26018"/>
    <cellStyle name="Normal 2 4 6 7" xfId="26019"/>
    <cellStyle name="Normal 2 4 6 7 10" xfId="26020"/>
    <cellStyle name="Normal 2 4 6 7 10 2" xfId="26021"/>
    <cellStyle name="Normal 2 4 6 7 11" xfId="26022"/>
    <cellStyle name="Normal 2 4 6 7 2" xfId="26023"/>
    <cellStyle name="Normal 2 4 6 7 2 2" xfId="26024"/>
    <cellStyle name="Normal 2 4 6 7 3" xfId="26025"/>
    <cellStyle name="Normal 2 4 6 7 3 2" xfId="26026"/>
    <cellStyle name="Normal 2 4 6 7 4" xfId="26027"/>
    <cellStyle name="Normal 2 4 6 7 4 2" xfId="26028"/>
    <cellStyle name="Normal 2 4 6 7 5" xfId="26029"/>
    <cellStyle name="Normal 2 4 6 7 5 2" xfId="26030"/>
    <cellStyle name="Normal 2 4 6 7 6" xfId="26031"/>
    <cellStyle name="Normal 2 4 6 7 6 2" xfId="26032"/>
    <cellStyle name="Normal 2 4 6 7 7" xfId="26033"/>
    <cellStyle name="Normal 2 4 6 7 7 2" xfId="26034"/>
    <cellStyle name="Normal 2 4 6 7 8" xfId="26035"/>
    <cellStyle name="Normal 2 4 6 7 8 2" xfId="26036"/>
    <cellStyle name="Normal 2 4 6 7 9" xfId="26037"/>
    <cellStyle name="Normal 2 4 6 7 9 2" xfId="26038"/>
    <cellStyle name="Normal 2 4 6 8" xfId="26039"/>
    <cellStyle name="Normal 2 4 6 8 2" xfId="26040"/>
    <cellStyle name="Normal 2 4 6 9" xfId="26041"/>
    <cellStyle name="Normal 2 4 6 9 2" xfId="26042"/>
    <cellStyle name="Normal 2 4 7" xfId="26043"/>
    <cellStyle name="Normal 2 4 7 10" xfId="26044"/>
    <cellStyle name="Normal 2 4 7 10 2" xfId="26045"/>
    <cellStyle name="Normal 2 4 7 11" xfId="26046"/>
    <cellStyle name="Normal 2 4 7 11 2" xfId="26047"/>
    <cellStyle name="Normal 2 4 7 12" xfId="26048"/>
    <cellStyle name="Normal 2 4 7 12 2" xfId="26049"/>
    <cellStyle name="Normal 2 4 7 13" xfId="26050"/>
    <cellStyle name="Normal 2 4 7 2" xfId="26051"/>
    <cellStyle name="Normal 2 4 7 2 10" xfId="26052"/>
    <cellStyle name="Normal 2 4 7 2 10 2" xfId="26053"/>
    <cellStyle name="Normal 2 4 7 2 11" xfId="26054"/>
    <cellStyle name="Normal 2 4 7 2 11 2" xfId="26055"/>
    <cellStyle name="Normal 2 4 7 2 12" xfId="26056"/>
    <cellStyle name="Normal 2 4 7 2 2" xfId="26057"/>
    <cellStyle name="Normal 2 4 7 2 2 10" xfId="26058"/>
    <cellStyle name="Normal 2 4 7 2 2 10 2" xfId="26059"/>
    <cellStyle name="Normal 2 4 7 2 2 11" xfId="26060"/>
    <cellStyle name="Normal 2 4 7 2 2 2" xfId="26061"/>
    <cellStyle name="Normal 2 4 7 2 2 2 2" xfId="26062"/>
    <cellStyle name="Normal 2 4 7 2 2 3" xfId="26063"/>
    <cellStyle name="Normal 2 4 7 2 2 3 2" xfId="26064"/>
    <cellStyle name="Normal 2 4 7 2 2 4" xfId="26065"/>
    <cellStyle name="Normal 2 4 7 2 2 4 2" xfId="26066"/>
    <cellStyle name="Normal 2 4 7 2 2 5" xfId="26067"/>
    <cellStyle name="Normal 2 4 7 2 2 5 2" xfId="26068"/>
    <cellStyle name="Normal 2 4 7 2 2 6" xfId="26069"/>
    <cellStyle name="Normal 2 4 7 2 2 6 2" xfId="26070"/>
    <cellStyle name="Normal 2 4 7 2 2 7" xfId="26071"/>
    <cellStyle name="Normal 2 4 7 2 2 7 2" xfId="26072"/>
    <cellStyle name="Normal 2 4 7 2 2 8" xfId="26073"/>
    <cellStyle name="Normal 2 4 7 2 2 8 2" xfId="26074"/>
    <cellStyle name="Normal 2 4 7 2 2 9" xfId="26075"/>
    <cellStyle name="Normal 2 4 7 2 2 9 2" xfId="26076"/>
    <cellStyle name="Normal 2 4 7 2 3" xfId="26077"/>
    <cellStyle name="Normal 2 4 7 2 3 2" xfId="26078"/>
    <cellStyle name="Normal 2 4 7 2 4" xfId="26079"/>
    <cellStyle name="Normal 2 4 7 2 4 2" xfId="26080"/>
    <cellStyle name="Normal 2 4 7 2 5" xfId="26081"/>
    <cellStyle name="Normal 2 4 7 2 5 2" xfId="26082"/>
    <cellStyle name="Normal 2 4 7 2 6" xfId="26083"/>
    <cellStyle name="Normal 2 4 7 2 6 2" xfId="26084"/>
    <cellStyle name="Normal 2 4 7 2 7" xfId="26085"/>
    <cellStyle name="Normal 2 4 7 2 7 2" xfId="26086"/>
    <cellStyle name="Normal 2 4 7 2 8" xfId="26087"/>
    <cellStyle name="Normal 2 4 7 2 8 2" xfId="26088"/>
    <cellStyle name="Normal 2 4 7 2 9" xfId="26089"/>
    <cellStyle name="Normal 2 4 7 2 9 2" xfId="26090"/>
    <cellStyle name="Normal 2 4 7 3" xfId="26091"/>
    <cellStyle name="Normal 2 4 7 3 10" xfId="26092"/>
    <cellStyle name="Normal 2 4 7 3 10 2" xfId="26093"/>
    <cellStyle name="Normal 2 4 7 3 11" xfId="26094"/>
    <cellStyle name="Normal 2 4 7 3 2" xfId="26095"/>
    <cellStyle name="Normal 2 4 7 3 2 2" xfId="26096"/>
    <cellStyle name="Normal 2 4 7 3 3" xfId="26097"/>
    <cellStyle name="Normal 2 4 7 3 3 2" xfId="26098"/>
    <cellStyle name="Normal 2 4 7 3 4" xfId="26099"/>
    <cellStyle name="Normal 2 4 7 3 4 2" xfId="26100"/>
    <cellStyle name="Normal 2 4 7 3 5" xfId="26101"/>
    <cellStyle name="Normal 2 4 7 3 5 2" xfId="26102"/>
    <cellStyle name="Normal 2 4 7 3 6" xfId="26103"/>
    <cellStyle name="Normal 2 4 7 3 6 2" xfId="26104"/>
    <cellStyle name="Normal 2 4 7 3 7" xfId="26105"/>
    <cellStyle name="Normal 2 4 7 3 7 2" xfId="26106"/>
    <cellStyle name="Normal 2 4 7 3 8" xfId="26107"/>
    <cellStyle name="Normal 2 4 7 3 8 2" xfId="26108"/>
    <cellStyle name="Normal 2 4 7 3 9" xfId="26109"/>
    <cellStyle name="Normal 2 4 7 3 9 2" xfId="26110"/>
    <cellStyle name="Normal 2 4 7 4" xfId="26111"/>
    <cellStyle name="Normal 2 4 7 4 2" xfId="26112"/>
    <cellStyle name="Normal 2 4 7 5" xfId="26113"/>
    <cellStyle name="Normal 2 4 7 5 2" xfId="26114"/>
    <cellStyle name="Normal 2 4 7 6" xfId="26115"/>
    <cellStyle name="Normal 2 4 7 6 2" xfId="26116"/>
    <cellStyle name="Normal 2 4 7 7" xfId="26117"/>
    <cellStyle name="Normal 2 4 7 7 2" xfId="26118"/>
    <cellStyle name="Normal 2 4 7 8" xfId="26119"/>
    <cellStyle name="Normal 2 4 7 8 2" xfId="26120"/>
    <cellStyle name="Normal 2 4 7 9" xfId="26121"/>
    <cellStyle name="Normal 2 4 7 9 2" xfId="26122"/>
    <cellStyle name="Normal 2 4 8" xfId="26123"/>
    <cellStyle name="Normal 2 4 8 10" xfId="26124"/>
    <cellStyle name="Normal 2 4 8 10 2" xfId="26125"/>
    <cellStyle name="Normal 2 4 8 11" xfId="26126"/>
    <cellStyle name="Normal 2 4 8 11 2" xfId="26127"/>
    <cellStyle name="Normal 2 4 8 12" xfId="26128"/>
    <cellStyle name="Normal 2 4 8 12 2" xfId="26129"/>
    <cellStyle name="Normal 2 4 8 13" xfId="26130"/>
    <cellStyle name="Normal 2 4 8 2" xfId="26131"/>
    <cellStyle name="Normal 2 4 8 2 10" xfId="26132"/>
    <cellStyle name="Normal 2 4 8 2 10 2" xfId="26133"/>
    <cellStyle name="Normal 2 4 8 2 11" xfId="26134"/>
    <cellStyle name="Normal 2 4 8 2 11 2" xfId="26135"/>
    <cellStyle name="Normal 2 4 8 2 12" xfId="26136"/>
    <cellStyle name="Normal 2 4 8 2 2" xfId="26137"/>
    <cellStyle name="Normal 2 4 8 2 2 10" xfId="26138"/>
    <cellStyle name="Normal 2 4 8 2 2 10 2" xfId="26139"/>
    <cellStyle name="Normal 2 4 8 2 2 11" xfId="26140"/>
    <cellStyle name="Normal 2 4 8 2 2 2" xfId="26141"/>
    <cellStyle name="Normal 2 4 8 2 2 2 2" xfId="26142"/>
    <cellStyle name="Normal 2 4 8 2 2 3" xfId="26143"/>
    <cellStyle name="Normal 2 4 8 2 2 3 2" xfId="26144"/>
    <cellStyle name="Normal 2 4 8 2 2 4" xfId="26145"/>
    <cellStyle name="Normal 2 4 8 2 2 4 2" xfId="26146"/>
    <cellStyle name="Normal 2 4 8 2 2 5" xfId="26147"/>
    <cellStyle name="Normal 2 4 8 2 2 5 2" xfId="26148"/>
    <cellStyle name="Normal 2 4 8 2 2 6" xfId="26149"/>
    <cellStyle name="Normal 2 4 8 2 2 6 2" xfId="26150"/>
    <cellStyle name="Normal 2 4 8 2 2 7" xfId="26151"/>
    <cellStyle name="Normal 2 4 8 2 2 7 2" xfId="26152"/>
    <cellStyle name="Normal 2 4 8 2 2 8" xfId="26153"/>
    <cellStyle name="Normal 2 4 8 2 2 8 2" xfId="26154"/>
    <cellStyle name="Normal 2 4 8 2 2 9" xfId="26155"/>
    <cellStyle name="Normal 2 4 8 2 2 9 2" xfId="26156"/>
    <cellStyle name="Normal 2 4 8 2 3" xfId="26157"/>
    <cellStyle name="Normal 2 4 8 2 3 2" xfId="26158"/>
    <cellStyle name="Normal 2 4 8 2 4" xfId="26159"/>
    <cellStyle name="Normal 2 4 8 2 4 2" xfId="26160"/>
    <cellStyle name="Normal 2 4 8 2 5" xfId="26161"/>
    <cellStyle name="Normal 2 4 8 2 5 2" xfId="26162"/>
    <cellStyle name="Normal 2 4 8 2 6" xfId="26163"/>
    <cellStyle name="Normal 2 4 8 2 6 2" xfId="26164"/>
    <cellStyle name="Normal 2 4 8 2 7" xfId="26165"/>
    <cellStyle name="Normal 2 4 8 2 7 2" xfId="26166"/>
    <cellStyle name="Normal 2 4 8 2 8" xfId="26167"/>
    <cellStyle name="Normal 2 4 8 2 8 2" xfId="26168"/>
    <cellStyle name="Normal 2 4 8 2 9" xfId="26169"/>
    <cellStyle name="Normal 2 4 8 2 9 2" xfId="26170"/>
    <cellStyle name="Normal 2 4 8 3" xfId="26171"/>
    <cellStyle name="Normal 2 4 8 3 10" xfId="26172"/>
    <cellStyle name="Normal 2 4 8 3 10 2" xfId="26173"/>
    <cellStyle name="Normal 2 4 8 3 11" xfId="26174"/>
    <cellStyle name="Normal 2 4 8 3 2" xfId="26175"/>
    <cellStyle name="Normal 2 4 8 3 2 2" xfId="26176"/>
    <cellStyle name="Normal 2 4 8 3 3" xfId="26177"/>
    <cellStyle name="Normal 2 4 8 3 3 2" xfId="26178"/>
    <cellStyle name="Normal 2 4 8 3 4" xfId="26179"/>
    <cellStyle name="Normal 2 4 8 3 4 2" xfId="26180"/>
    <cellStyle name="Normal 2 4 8 3 5" xfId="26181"/>
    <cellStyle name="Normal 2 4 8 3 5 2" xfId="26182"/>
    <cellStyle name="Normal 2 4 8 3 6" xfId="26183"/>
    <cellStyle name="Normal 2 4 8 3 6 2" xfId="26184"/>
    <cellStyle name="Normal 2 4 8 3 7" xfId="26185"/>
    <cellStyle name="Normal 2 4 8 3 7 2" xfId="26186"/>
    <cellStyle name="Normal 2 4 8 3 8" xfId="26187"/>
    <cellStyle name="Normal 2 4 8 3 8 2" xfId="26188"/>
    <cellStyle name="Normal 2 4 8 3 9" xfId="26189"/>
    <cellStyle name="Normal 2 4 8 3 9 2" xfId="26190"/>
    <cellStyle name="Normal 2 4 8 4" xfId="26191"/>
    <cellStyle name="Normal 2 4 8 4 2" xfId="26192"/>
    <cellStyle name="Normal 2 4 8 5" xfId="26193"/>
    <cellStyle name="Normal 2 4 8 5 2" xfId="26194"/>
    <cellStyle name="Normal 2 4 8 6" xfId="26195"/>
    <cellStyle name="Normal 2 4 8 6 2" xfId="26196"/>
    <cellStyle name="Normal 2 4 8 7" xfId="26197"/>
    <cellStyle name="Normal 2 4 8 7 2" xfId="26198"/>
    <cellStyle name="Normal 2 4 8 8" xfId="26199"/>
    <cellStyle name="Normal 2 4 8 8 2" xfId="26200"/>
    <cellStyle name="Normal 2 4 8 9" xfId="26201"/>
    <cellStyle name="Normal 2 4 8 9 2" xfId="26202"/>
    <cellStyle name="Normal 2 4 9" xfId="26203"/>
    <cellStyle name="Normal 2 4 9 10" xfId="26204"/>
    <cellStyle name="Normal 2 4 9 10 2" xfId="26205"/>
    <cellStyle name="Normal 2 4 9 11" xfId="26206"/>
    <cellStyle name="Normal 2 4 9 11 2" xfId="26207"/>
    <cellStyle name="Normal 2 4 9 12" xfId="26208"/>
    <cellStyle name="Normal 2 4 9 12 2" xfId="26209"/>
    <cellStyle name="Normal 2 4 9 13" xfId="26210"/>
    <cellStyle name="Normal 2 4 9 2" xfId="26211"/>
    <cellStyle name="Normal 2 4 9 2 10" xfId="26212"/>
    <cellStyle name="Normal 2 4 9 2 10 2" xfId="26213"/>
    <cellStyle name="Normal 2 4 9 2 11" xfId="26214"/>
    <cellStyle name="Normal 2 4 9 2 11 2" xfId="26215"/>
    <cellStyle name="Normal 2 4 9 2 12" xfId="26216"/>
    <cellStyle name="Normal 2 4 9 2 2" xfId="26217"/>
    <cellStyle name="Normal 2 4 9 2 2 10" xfId="26218"/>
    <cellStyle name="Normal 2 4 9 2 2 10 2" xfId="26219"/>
    <cellStyle name="Normal 2 4 9 2 2 11" xfId="26220"/>
    <cellStyle name="Normal 2 4 9 2 2 2" xfId="26221"/>
    <cellStyle name="Normal 2 4 9 2 2 2 2" xfId="26222"/>
    <cellStyle name="Normal 2 4 9 2 2 3" xfId="26223"/>
    <cellStyle name="Normal 2 4 9 2 2 3 2" xfId="26224"/>
    <cellStyle name="Normal 2 4 9 2 2 4" xfId="26225"/>
    <cellStyle name="Normal 2 4 9 2 2 4 2" xfId="26226"/>
    <cellStyle name="Normal 2 4 9 2 2 5" xfId="26227"/>
    <cellStyle name="Normal 2 4 9 2 2 5 2" xfId="26228"/>
    <cellStyle name="Normal 2 4 9 2 2 6" xfId="26229"/>
    <cellStyle name="Normal 2 4 9 2 2 6 2" xfId="26230"/>
    <cellStyle name="Normal 2 4 9 2 2 7" xfId="26231"/>
    <cellStyle name="Normal 2 4 9 2 2 7 2" xfId="26232"/>
    <cellStyle name="Normal 2 4 9 2 2 8" xfId="26233"/>
    <cellStyle name="Normal 2 4 9 2 2 8 2" xfId="26234"/>
    <cellStyle name="Normal 2 4 9 2 2 9" xfId="26235"/>
    <cellStyle name="Normal 2 4 9 2 2 9 2" xfId="26236"/>
    <cellStyle name="Normal 2 4 9 2 3" xfId="26237"/>
    <cellStyle name="Normal 2 4 9 2 3 2" xfId="26238"/>
    <cellStyle name="Normal 2 4 9 2 4" xfId="26239"/>
    <cellStyle name="Normal 2 4 9 2 4 2" xfId="26240"/>
    <cellStyle name="Normal 2 4 9 2 5" xfId="26241"/>
    <cellStyle name="Normal 2 4 9 2 5 2" xfId="26242"/>
    <cellStyle name="Normal 2 4 9 2 6" xfId="26243"/>
    <cellStyle name="Normal 2 4 9 2 6 2" xfId="26244"/>
    <cellStyle name="Normal 2 4 9 2 7" xfId="26245"/>
    <cellStyle name="Normal 2 4 9 2 7 2" xfId="26246"/>
    <cellStyle name="Normal 2 4 9 2 8" xfId="26247"/>
    <cellStyle name="Normal 2 4 9 2 8 2" xfId="26248"/>
    <cellStyle name="Normal 2 4 9 2 9" xfId="26249"/>
    <cellStyle name="Normal 2 4 9 2 9 2" xfId="26250"/>
    <cellStyle name="Normal 2 4 9 3" xfId="26251"/>
    <cellStyle name="Normal 2 4 9 3 10" xfId="26252"/>
    <cellStyle name="Normal 2 4 9 3 10 2" xfId="26253"/>
    <cellStyle name="Normal 2 4 9 3 11" xfId="26254"/>
    <cellStyle name="Normal 2 4 9 3 2" xfId="26255"/>
    <cellStyle name="Normal 2 4 9 3 2 2" xfId="26256"/>
    <cellStyle name="Normal 2 4 9 3 3" xfId="26257"/>
    <cellStyle name="Normal 2 4 9 3 3 2" xfId="26258"/>
    <cellStyle name="Normal 2 4 9 3 4" xfId="26259"/>
    <cellStyle name="Normal 2 4 9 3 4 2" xfId="26260"/>
    <cellStyle name="Normal 2 4 9 3 5" xfId="26261"/>
    <cellStyle name="Normal 2 4 9 3 5 2" xfId="26262"/>
    <cellStyle name="Normal 2 4 9 3 6" xfId="26263"/>
    <cellStyle name="Normal 2 4 9 3 6 2" xfId="26264"/>
    <cellStyle name="Normal 2 4 9 3 7" xfId="26265"/>
    <cellStyle name="Normal 2 4 9 3 7 2" xfId="26266"/>
    <cellStyle name="Normal 2 4 9 3 8" xfId="26267"/>
    <cellStyle name="Normal 2 4 9 3 8 2" xfId="26268"/>
    <cellStyle name="Normal 2 4 9 3 9" xfId="26269"/>
    <cellStyle name="Normal 2 4 9 3 9 2" xfId="26270"/>
    <cellStyle name="Normal 2 4 9 4" xfId="26271"/>
    <cellStyle name="Normal 2 4 9 4 2" xfId="26272"/>
    <cellStyle name="Normal 2 4 9 5" xfId="26273"/>
    <cellStyle name="Normal 2 4 9 5 2" xfId="26274"/>
    <cellStyle name="Normal 2 4 9 6" xfId="26275"/>
    <cellStyle name="Normal 2 4 9 6 2" xfId="26276"/>
    <cellStyle name="Normal 2 4 9 7" xfId="26277"/>
    <cellStyle name="Normal 2 4 9 7 2" xfId="26278"/>
    <cellStyle name="Normal 2 4 9 8" xfId="26279"/>
    <cellStyle name="Normal 2 4 9 8 2" xfId="26280"/>
    <cellStyle name="Normal 2 4 9 9" xfId="26281"/>
    <cellStyle name="Normal 2 4 9 9 2" xfId="26282"/>
    <cellStyle name="Normal 2 5" xfId="26283"/>
    <cellStyle name="Normal 2 5 2" xfId="26284"/>
    <cellStyle name="Normal 2 5 2 10" xfId="26285"/>
    <cellStyle name="Normal 2 5 2 10 2" xfId="26286"/>
    <cellStyle name="Normal 2 5 2 11" xfId="26287"/>
    <cellStyle name="Normal 2 5 2 11 2" xfId="26288"/>
    <cellStyle name="Normal 2 5 2 12" xfId="26289"/>
    <cellStyle name="Normal 2 5 2 12 2" xfId="26290"/>
    <cellStyle name="Normal 2 5 2 13" xfId="26291"/>
    <cellStyle name="Normal 2 5 2 2" xfId="26292"/>
    <cellStyle name="Normal 2 5 2 2 10" xfId="26293"/>
    <cellStyle name="Normal 2 5 2 2 10 2" xfId="26294"/>
    <cellStyle name="Normal 2 5 2 2 11" xfId="26295"/>
    <cellStyle name="Normal 2 5 2 2 11 2" xfId="26296"/>
    <cellStyle name="Normal 2 5 2 2 12" xfId="26297"/>
    <cellStyle name="Normal 2 5 2 2 2" xfId="26298"/>
    <cellStyle name="Normal 2 5 2 2 2 10" xfId="26299"/>
    <cellStyle name="Normal 2 5 2 2 2 10 2" xfId="26300"/>
    <cellStyle name="Normal 2 5 2 2 2 11" xfId="26301"/>
    <cellStyle name="Normal 2 5 2 2 2 2" xfId="26302"/>
    <cellStyle name="Normal 2 5 2 2 2 2 2" xfId="26303"/>
    <cellStyle name="Normal 2 5 2 2 2 3" xfId="26304"/>
    <cellStyle name="Normal 2 5 2 2 2 3 2" xfId="26305"/>
    <cellStyle name="Normal 2 5 2 2 2 4" xfId="26306"/>
    <cellStyle name="Normal 2 5 2 2 2 4 2" xfId="26307"/>
    <cellStyle name="Normal 2 5 2 2 2 5" xfId="26308"/>
    <cellStyle name="Normal 2 5 2 2 2 5 2" xfId="26309"/>
    <cellStyle name="Normal 2 5 2 2 2 6" xfId="26310"/>
    <cellStyle name="Normal 2 5 2 2 2 6 2" xfId="26311"/>
    <cellStyle name="Normal 2 5 2 2 2 7" xfId="26312"/>
    <cellStyle name="Normal 2 5 2 2 2 7 2" xfId="26313"/>
    <cellStyle name="Normal 2 5 2 2 2 8" xfId="26314"/>
    <cellStyle name="Normal 2 5 2 2 2 8 2" xfId="26315"/>
    <cellStyle name="Normal 2 5 2 2 2 9" xfId="26316"/>
    <cellStyle name="Normal 2 5 2 2 2 9 2" xfId="26317"/>
    <cellStyle name="Normal 2 5 2 2 3" xfId="26318"/>
    <cellStyle name="Normal 2 5 2 2 3 2" xfId="26319"/>
    <cellStyle name="Normal 2 5 2 2 4" xfId="26320"/>
    <cellStyle name="Normal 2 5 2 2 4 2" xfId="26321"/>
    <cellStyle name="Normal 2 5 2 2 5" xfId="26322"/>
    <cellStyle name="Normal 2 5 2 2 5 2" xfId="26323"/>
    <cellStyle name="Normal 2 5 2 2 6" xfId="26324"/>
    <cellStyle name="Normal 2 5 2 2 6 2" xfId="26325"/>
    <cellStyle name="Normal 2 5 2 2 7" xfId="26326"/>
    <cellStyle name="Normal 2 5 2 2 7 2" xfId="26327"/>
    <cellStyle name="Normal 2 5 2 2 8" xfId="26328"/>
    <cellStyle name="Normal 2 5 2 2 8 2" xfId="26329"/>
    <cellStyle name="Normal 2 5 2 2 9" xfId="26330"/>
    <cellStyle name="Normal 2 5 2 2 9 2" xfId="26331"/>
    <cellStyle name="Normal 2 5 2 3" xfId="26332"/>
    <cellStyle name="Normal 2 5 2 3 10" xfId="26333"/>
    <cellStyle name="Normal 2 5 2 3 10 2" xfId="26334"/>
    <cellStyle name="Normal 2 5 2 3 11" xfId="26335"/>
    <cellStyle name="Normal 2 5 2 3 2" xfId="26336"/>
    <cellStyle name="Normal 2 5 2 3 2 2" xfId="26337"/>
    <cellStyle name="Normal 2 5 2 3 3" xfId="26338"/>
    <cellStyle name="Normal 2 5 2 3 3 2" xfId="26339"/>
    <cellStyle name="Normal 2 5 2 3 4" xfId="26340"/>
    <cellStyle name="Normal 2 5 2 3 4 2" xfId="26341"/>
    <cellStyle name="Normal 2 5 2 3 5" xfId="26342"/>
    <cellStyle name="Normal 2 5 2 3 5 2" xfId="26343"/>
    <cellStyle name="Normal 2 5 2 3 6" xfId="26344"/>
    <cellStyle name="Normal 2 5 2 3 6 2" xfId="26345"/>
    <cellStyle name="Normal 2 5 2 3 7" xfId="26346"/>
    <cellStyle name="Normal 2 5 2 3 7 2" xfId="26347"/>
    <cellStyle name="Normal 2 5 2 3 8" xfId="26348"/>
    <cellStyle name="Normal 2 5 2 3 8 2" xfId="26349"/>
    <cellStyle name="Normal 2 5 2 3 9" xfId="26350"/>
    <cellStyle name="Normal 2 5 2 3 9 2" xfId="26351"/>
    <cellStyle name="Normal 2 5 2 4" xfId="26352"/>
    <cellStyle name="Normal 2 5 2 4 2" xfId="26353"/>
    <cellStyle name="Normal 2 5 2 5" xfId="26354"/>
    <cellStyle name="Normal 2 5 2 5 2" xfId="26355"/>
    <cellStyle name="Normal 2 5 2 6" xfId="26356"/>
    <cellStyle name="Normal 2 5 2 6 2" xfId="26357"/>
    <cellStyle name="Normal 2 5 2 7" xfId="26358"/>
    <cellStyle name="Normal 2 5 2 7 2" xfId="26359"/>
    <cellStyle name="Normal 2 5 2 8" xfId="26360"/>
    <cellStyle name="Normal 2 5 2 8 2" xfId="26361"/>
    <cellStyle name="Normal 2 5 2 9" xfId="26362"/>
    <cellStyle name="Normal 2 5 2 9 2" xfId="26363"/>
    <cellStyle name="Normal 2 6" xfId="26364"/>
    <cellStyle name="Normal 2 6 2" xfId="26365"/>
    <cellStyle name="Normal 2 6 2 10" xfId="26366"/>
    <cellStyle name="Normal 2 6 2 10 2" xfId="26367"/>
    <cellStyle name="Normal 2 6 2 11" xfId="26368"/>
    <cellStyle name="Normal 2 6 2 11 2" xfId="26369"/>
    <cellStyle name="Normal 2 6 2 12" xfId="26370"/>
    <cellStyle name="Normal 2 6 2 12 2" xfId="26371"/>
    <cellStyle name="Normal 2 6 2 13" xfId="26372"/>
    <cellStyle name="Normal 2 6 2 2" xfId="26373"/>
    <cellStyle name="Normal 2 6 2 2 10" xfId="26374"/>
    <cellStyle name="Normal 2 6 2 2 10 2" xfId="26375"/>
    <cellStyle name="Normal 2 6 2 2 11" xfId="26376"/>
    <cellStyle name="Normal 2 6 2 2 11 2" xfId="26377"/>
    <cellStyle name="Normal 2 6 2 2 12" xfId="26378"/>
    <cellStyle name="Normal 2 6 2 2 2" xfId="26379"/>
    <cellStyle name="Normal 2 6 2 2 2 10" xfId="26380"/>
    <cellStyle name="Normal 2 6 2 2 2 10 2" xfId="26381"/>
    <cellStyle name="Normal 2 6 2 2 2 11" xfId="26382"/>
    <cellStyle name="Normal 2 6 2 2 2 2" xfId="26383"/>
    <cellStyle name="Normal 2 6 2 2 2 2 2" xfId="26384"/>
    <cellStyle name="Normal 2 6 2 2 2 3" xfId="26385"/>
    <cellStyle name="Normal 2 6 2 2 2 3 2" xfId="26386"/>
    <cellStyle name="Normal 2 6 2 2 2 4" xfId="26387"/>
    <cellStyle name="Normal 2 6 2 2 2 4 2" xfId="26388"/>
    <cellStyle name="Normal 2 6 2 2 2 5" xfId="26389"/>
    <cellStyle name="Normal 2 6 2 2 2 5 2" xfId="26390"/>
    <cellStyle name="Normal 2 6 2 2 2 6" xfId="26391"/>
    <cellStyle name="Normal 2 6 2 2 2 6 2" xfId="26392"/>
    <cellStyle name="Normal 2 6 2 2 2 7" xfId="26393"/>
    <cellStyle name="Normal 2 6 2 2 2 7 2" xfId="26394"/>
    <cellStyle name="Normal 2 6 2 2 2 8" xfId="26395"/>
    <cellStyle name="Normal 2 6 2 2 2 8 2" xfId="26396"/>
    <cellStyle name="Normal 2 6 2 2 2 9" xfId="26397"/>
    <cellStyle name="Normal 2 6 2 2 2 9 2" xfId="26398"/>
    <cellStyle name="Normal 2 6 2 2 3" xfId="26399"/>
    <cellStyle name="Normal 2 6 2 2 3 2" xfId="26400"/>
    <cellStyle name="Normal 2 6 2 2 4" xfId="26401"/>
    <cellStyle name="Normal 2 6 2 2 4 2" xfId="26402"/>
    <cellStyle name="Normal 2 6 2 2 5" xfId="26403"/>
    <cellStyle name="Normal 2 6 2 2 5 2" xfId="26404"/>
    <cellStyle name="Normal 2 6 2 2 6" xfId="26405"/>
    <cellStyle name="Normal 2 6 2 2 6 2" xfId="26406"/>
    <cellStyle name="Normal 2 6 2 2 7" xfId="26407"/>
    <cellStyle name="Normal 2 6 2 2 7 2" xfId="26408"/>
    <cellStyle name="Normal 2 6 2 2 8" xfId="26409"/>
    <cellStyle name="Normal 2 6 2 2 8 2" xfId="26410"/>
    <cellStyle name="Normal 2 6 2 2 9" xfId="26411"/>
    <cellStyle name="Normal 2 6 2 2 9 2" xfId="26412"/>
    <cellStyle name="Normal 2 6 2 3" xfId="26413"/>
    <cellStyle name="Normal 2 6 2 3 10" xfId="26414"/>
    <cellStyle name="Normal 2 6 2 3 10 2" xfId="26415"/>
    <cellStyle name="Normal 2 6 2 3 11" xfId="26416"/>
    <cellStyle name="Normal 2 6 2 3 2" xfId="26417"/>
    <cellStyle name="Normal 2 6 2 3 2 2" xfId="26418"/>
    <cellStyle name="Normal 2 6 2 3 3" xfId="26419"/>
    <cellStyle name="Normal 2 6 2 3 3 2" xfId="26420"/>
    <cellStyle name="Normal 2 6 2 3 4" xfId="26421"/>
    <cellStyle name="Normal 2 6 2 3 4 2" xfId="26422"/>
    <cellStyle name="Normal 2 6 2 3 5" xfId="26423"/>
    <cellStyle name="Normal 2 6 2 3 5 2" xfId="26424"/>
    <cellStyle name="Normal 2 6 2 3 6" xfId="26425"/>
    <cellStyle name="Normal 2 6 2 3 6 2" xfId="26426"/>
    <cellStyle name="Normal 2 6 2 3 7" xfId="26427"/>
    <cellStyle name="Normal 2 6 2 3 7 2" xfId="26428"/>
    <cellStyle name="Normal 2 6 2 3 8" xfId="26429"/>
    <cellStyle name="Normal 2 6 2 3 8 2" xfId="26430"/>
    <cellStyle name="Normal 2 6 2 3 9" xfId="26431"/>
    <cellStyle name="Normal 2 6 2 3 9 2" xfId="26432"/>
    <cellStyle name="Normal 2 6 2 4" xfId="26433"/>
    <cellStyle name="Normal 2 6 2 4 2" xfId="26434"/>
    <cellStyle name="Normal 2 6 2 5" xfId="26435"/>
    <cellStyle name="Normal 2 6 2 5 2" xfId="26436"/>
    <cellStyle name="Normal 2 6 2 6" xfId="26437"/>
    <cellStyle name="Normal 2 6 2 6 2" xfId="26438"/>
    <cellStyle name="Normal 2 6 2 7" xfId="26439"/>
    <cellStyle name="Normal 2 6 2 7 2" xfId="26440"/>
    <cellStyle name="Normal 2 6 2 8" xfId="26441"/>
    <cellStyle name="Normal 2 6 2 8 2" xfId="26442"/>
    <cellStyle name="Normal 2 6 2 9" xfId="26443"/>
    <cellStyle name="Normal 2 6 2 9 2" xfId="26444"/>
    <cellStyle name="Normal 2 7" xfId="26445"/>
    <cellStyle name="Normal 2 7 10" xfId="26446"/>
    <cellStyle name="Normal 2 7 10 2" xfId="26447"/>
    <cellStyle name="Normal 2 7 11" xfId="26448"/>
    <cellStyle name="Normal 2 7 11 2" xfId="26449"/>
    <cellStyle name="Normal 2 7 12" xfId="26450"/>
    <cellStyle name="Normal 2 7 12 2" xfId="26451"/>
    <cellStyle name="Normal 2 7 13" xfId="26452"/>
    <cellStyle name="Normal 2 7 2" xfId="26453"/>
    <cellStyle name="Normal 2 7 2 10" xfId="26454"/>
    <cellStyle name="Normal 2 7 2 10 2" xfId="26455"/>
    <cellStyle name="Normal 2 7 2 11" xfId="26456"/>
    <cellStyle name="Normal 2 7 2 11 2" xfId="26457"/>
    <cellStyle name="Normal 2 7 2 12" xfId="26458"/>
    <cellStyle name="Normal 2 7 2 2" xfId="26459"/>
    <cellStyle name="Normal 2 7 2 2 10" xfId="26460"/>
    <cellStyle name="Normal 2 7 2 2 10 2" xfId="26461"/>
    <cellStyle name="Normal 2 7 2 2 11" xfId="26462"/>
    <cellStyle name="Normal 2 7 2 2 2" xfId="26463"/>
    <cellStyle name="Normal 2 7 2 2 2 2" xfId="26464"/>
    <cellStyle name="Normal 2 7 2 2 3" xfId="26465"/>
    <cellStyle name="Normal 2 7 2 2 3 2" xfId="26466"/>
    <cellStyle name="Normal 2 7 2 2 4" xfId="26467"/>
    <cellStyle name="Normal 2 7 2 2 4 2" xfId="26468"/>
    <cellStyle name="Normal 2 7 2 2 5" xfId="26469"/>
    <cellStyle name="Normal 2 7 2 2 5 2" xfId="26470"/>
    <cellStyle name="Normal 2 7 2 2 6" xfId="26471"/>
    <cellStyle name="Normal 2 7 2 2 6 2" xfId="26472"/>
    <cellStyle name="Normal 2 7 2 2 7" xfId="26473"/>
    <cellStyle name="Normal 2 7 2 2 7 2" xfId="26474"/>
    <cellStyle name="Normal 2 7 2 2 8" xfId="26475"/>
    <cellStyle name="Normal 2 7 2 2 8 2" xfId="26476"/>
    <cellStyle name="Normal 2 7 2 2 9" xfId="26477"/>
    <cellStyle name="Normal 2 7 2 2 9 2" xfId="26478"/>
    <cellStyle name="Normal 2 7 2 3" xfId="26479"/>
    <cellStyle name="Normal 2 7 2 3 2" xfId="26480"/>
    <cellStyle name="Normal 2 7 2 4" xfId="26481"/>
    <cellStyle name="Normal 2 7 2 4 2" xfId="26482"/>
    <cellStyle name="Normal 2 7 2 5" xfId="26483"/>
    <cellStyle name="Normal 2 7 2 5 2" xfId="26484"/>
    <cellStyle name="Normal 2 7 2 6" xfId="26485"/>
    <cellStyle name="Normal 2 7 2 6 2" xfId="26486"/>
    <cellStyle name="Normal 2 7 2 7" xfId="26487"/>
    <cellStyle name="Normal 2 7 2 7 2" xfId="26488"/>
    <cellStyle name="Normal 2 7 2 8" xfId="26489"/>
    <cellStyle name="Normal 2 7 2 8 2" xfId="26490"/>
    <cellStyle name="Normal 2 7 2 9" xfId="26491"/>
    <cellStyle name="Normal 2 7 2 9 2" xfId="26492"/>
    <cellStyle name="Normal 2 7 3" xfId="26493"/>
    <cellStyle name="Normal 2 7 3 10" xfId="26494"/>
    <cellStyle name="Normal 2 7 3 10 2" xfId="26495"/>
    <cellStyle name="Normal 2 7 3 11" xfId="26496"/>
    <cellStyle name="Normal 2 7 3 2" xfId="26497"/>
    <cellStyle name="Normal 2 7 3 2 2" xfId="26498"/>
    <cellStyle name="Normal 2 7 3 3" xfId="26499"/>
    <cellStyle name="Normal 2 7 3 3 2" xfId="26500"/>
    <cellStyle name="Normal 2 7 3 4" xfId="26501"/>
    <cellStyle name="Normal 2 7 3 4 2" xfId="26502"/>
    <cellStyle name="Normal 2 7 3 5" xfId="26503"/>
    <cellStyle name="Normal 2 7 3 5 2" xfId="26504"/>
    <cellStyle name="Normal 2 7 3 6" xfId="26505"/>
    <cellStyle name="Normal 2 7 3 6 2" xfId="26506"/>
    <cellStyle name="Normal 2 7 3 7" xfId="26507"/>
    <cellStyle name="Normal 2 7 3 7 2" xfId="26508"/>
    <cellStyle name="Normal 2 7 3 8" xfId="26509"/>
    <cellStyle name="Normal 2 7 3 8 2" xfId="26510"/>
    <cellStyle name="Normal 2 7 3 9" xfId="26511"/>
    <cellStyle name="Normal 2 7 3 9 2" xfId="26512"/>
    <cellStyle name="Normal 2 7 4" xfId="26513"/>
    <cellStyle name="Normal 2 7 4 2" xfId="26514"/>
    <cellStyle name="Normal 2 7 5" xfId="26515"/>
    <cellStyle name="Normal 2 7 5 2" xfId="26516"/>
    <cellStyle name="Normal 2 7 6" xfId="26517"/>
    <cellStyle name="Normal 2 7 6 2" xfId="26518"/>
    <cellStyle name="Normal 2 7 7" xfId="26519"/>
    <cellStyle name="Normal 2 7 7 2" xfId="26520"/>
    <cellStyle name="Normal 2 7 8" xfId="26521"/>
    <cellStyle name="Normal 2 7 8 2" xfId="26522"/>
    <cellStyle name="Normal 2 7 9" xfId="26523"/>
    <cellStyle name="Normal 2 7 9 2" xfId="26524"/>
    <cellStyle name="Normal 2 8" xfId="26525"/>
    <cellStyle name="Normal 2 8 10" xfId="26526"/>
    <cellStyle name="Normal 2 8 10 2" xfId="26527"/>
    <cellStyle name="Normal 2 8 11" xfId="26528"/>
    <cellStyle name="Normal 2 8 11 2" xfId="26529"/>
    <cellStyle name="Normal 2 8 12" xfId="26530"/>
    <cellStyle name="Normal 2 8 12 2" xfId="26531"/>
    <cellStyle name="Normal 2 8 13" xfId="26532"/>
    <cellStyle name="Normal 2 8 2" xfId="26533"/>
    <cellStyle name="Normal 2 8 2 10" xfId="26534"/>
    <cellStyle name="Normal 2 8 2 10 2" xfId="26535"/>
    <cellStyle name="Normal 2 8 2 11" xfId="26536"/>
    <cellStyle name="Normal 2 8 2 11 2" xfId="26537"/>
    <cellStyle name="Normal 2 8 2 12" xfId="26538"/>
    <cellStyle name="Normal 2 8 2 2" xfId="26539"/>
    <cellStyle name="Normal 2 8 2 2 10" xfId="26540"/>
    <cellStyle name="Normal 2 8 2 2 10 2" xfId="26541"/>
    <cellStyle name="Normal 2 8 2 2 11" xfId="26542"/>
    <cellStyle name="Normal 2 8 2 2 2" xfId="26543"/>
    <cellStyle name="Normal 2 8 2 2 2 2" xfId="26544"/>
    <cellStyle name="Normal 2 8 2 2 3" xfId="26545"/>
    <cellStyle name="Normal 2 8 2 2 3 2" xfId="26546"/>
    <cellStyle name="Normal 2 8 2 2 4" xfId="26547"/>
    <cellStyle name="Normal 2 8 2 2 4 2" xfId="26548"/>
    <cellStyle name="Normal 2 8 2 2 5" xfId="26549"/>
    <cellStyle name="Normal 2 8 2 2 5 2" xfId="26550"/>
    <cellStyle name="Normal 2 8 2 2 6" xfId="26551"/>
    <cellStyle name="Normal 2 8 2 2 6 2" xfId="26552"/>
    <cellStyle name="Normal 2 8 2 2 7" xfId="26553"/>
    <cellStyle name="Normal 2 8 2 2 7 2" xfId="26554"/>
    <cellStyle name="Normal 2 8 2 2 8" xfId="26555"/>
    <cellStyle name="Normal 2 8 2 2 8 2" xfId="26556"/>
    <cellStyle name="Normal 2 8 2 2 9" xfId="26557"/>
    <cellStyle name="Normal 2 8 2 2 9 2" xfId="26558"/>
    <cellStyle name="Normal 2 8 2 3" xfId="26559"/>
    <cellStyle name="Normal 2 8 2 3 2" xfId="26560"/>
    <cellStyle name="Normal 2 8 2 4" xfId="26561"/>
    <cellStyle name="Normal 2 8 2 4 2" xfId="26562"/>
    <cellStyle name="Normal 2 8 2 5" xfId="26563"/>
    <cellStyle name="Normal 2 8 2 5 2" xfId="26564"/>
    <cellStyle name="Normal 2 8 2 6" xfId="26565"/>
    <cellStyle name="Normal 2 8 2 6 2" xfId="26566"/>
    <cellStyle name="Normal 2 8 2 7" xfId="26567"/>
    <cellStyle name="Normal 2 8 2 7 2" xfId="26568"/>
    <cellStyle name="Normal 2 8 2 8" xfId="26569"/>
    <cellStyle name="Normal 2 8 2 8 2" xfId="26570"/>
    <cellStyle name="Normal 2 8 2 9" xfId="26571"/>
    <cellStyle name="Normal 2 8 2 9 2" xfId="26572"/>
    <cellStyle name="Normal 2 8 3" xfId="26573"/>
    <cellStyle name="Normal 2 8 3 10" xfId="26574"/>
    <cellStyle name="Normal 2 8 3 10 2" xfId="26575"/>
    <cellStyle name="Normal 2 8 3 11" xfId="26576"/>
    <cellStyle name="Normal 2 8 3 2" xfId="26577"/>
    <cellStyle name="Normal 2 8 3 2 2" xfId="26578"/>
    <cellStyle name="Normal 2 8 3 3" xfId="26579"/>
    <cellStyle name="Normal 2 8 3 3 2" xfId="26580"/>
    <cellStyle name="Normal 2 8 3 4" xfId="26581"/>
    <cellStyle name="Normal 2 8 3 4 2" xfId="26582"/>
    <cellStyle name="Normal 2 8 3 5" xfId="26583"/>
    <cellStyle name="Normal 2 8 3 5 2" xfId="26584"/>
    <cellStyle name="Normal 2 8 3 6" xfId="26585"/>
    <cellStyle name="Normal 2 8 3 6 2" xfId="26586"/>
    <cellStyle name="Normal 2 8 3 7" xfId="26587"/>
    <cellStyle name="Normal 2 8 3 7 2" xfId="26588"/>
    <cellStyle name="Normal 2 8 3 8" xfId="26589"/>
    <cellStyle name="Normal 2 8 3 8 2" xfId="26590"/>
    <cellStyle name="Normal 2 8 3 9" xfId="26591"/>
    <cellStyle name="Normal 2 8 3 9 2" xfId="26592"/>
    <cellStyle name="Normal 2 8 4" xfId="26593"/>
    <cellStyle name="Normal 2 8 4 2" xfId="26594"/>
    <cellStyle name="Normal 2 8 5" xfId="26595"/>
    <cellStyle name="Normal 2 8 5 2" xfId="26596"/>
    <cellStyle name="Normal 2 8 6" xfId="26597"/>
    <cellStyle name="Normal 2 8 6 2" xfId="26598"/>
    <cellStyle name="Normal 2 8 7" xfId="26599"/>
    <cellStyle name="Normal 2 8 7 2" xfId="26600"/>
    <cellStyle name="Normal 2 8 8" xfId="26601"/>
    <cellStyle name="Normal 2 8 8 2" xfId="26602"/>
    <cellStyle name="Normal 2 8 9" xfId="26603"/>
    <cellStyle name="Normal 2 8 9 2" xfId="26604"/>
    <cellStyle name="Normal 2 9" xfId="26605"/>
    <cellStyle name="Normal 2 9 10" xfId="26606"/>
    <cellStyle name="Normal 2 9 10 2" xfId="26607"/>
    <cellStyle name="Normal 2 9 11" xfId="26608"/>
    <cellStyle name="Normal 2 9 11 2" xfId="26609"/>
    <cellStyle name="Normal 2 9 12" xfId="26610"/>
    <cellStyle name="Normal 2 9 12 2" xfId="26611"/>
    <cellStyle name="Normal 2 9 13" xfId="26612"/>
    <cellStyle name="Normal 2 9 2" xfId="26613"/>
    <cellStyle name="Normal 2 9 2 10" xfId="26614"/>
    <cellStyle name="Normal 2 9 2 10 2" xfId="26615"/>
    <cellStyle name="Normal 2 9 2 11" xfId="26616"/>
    <cellStyle name="Normal 2 9 2 11 2" xfId="26617"/>
    <cellStyle name="Normal 2 9 2 12" xfId="26618"/>
    <cellStyle name="Normal 2 9 2 2" xfId="26619"/>
    <cellStyle name="Normal 2 9 2 2 10" xfId="26620"/>
    <cellStyle name="Normal 2 9 2 2 10 2" xfId="26621"/>
    <cellStyle name="Normal 2 9 2 2 11" xfId="26622"/>
    <cellStyle name="Normal 2 9 2 2 2" xfId="26623"/>
    <cellStyle name="Normal 2 9 2 2 2 2" xfId="26624"/>
    <cellStyle name="Normal 2 9 2 2 3" xfId="26625"/>
    <cellStyle name="Normal 2 9 2 2 3 2" xfId="26626"/>
    <cellStyle name="Normal 2 9 2 2 4" xfId="26627"/>
    <cellStyle name="Normal 2 9 2 2 4 2" xfId="26628"/>
    <cellStyle name="Normal 2 9 2 2 5" xfId="26629"/>
    <cellStyle name="Normal 2 9 2 2 5 2" xfId="26630"/>
    <cellStyle name="Normal 2 9 2 2 6" xfId="26631"/>
    <cellStyle name="Normal 2 9 2 2 6 2" xfId="26632"/>
    <cellStyle name="Normal 2 9 2 2 7" xfId="26633"/>
    <cellStyle name="Normal 2 9 2 2 7 2" xfId="26634"/>
    <cellStyle name="Normal 2 9 2 2 8" xfId="26635"/>
    <cellStyle name="Normal 2 9 2 2 8 2" xfId="26636"/>
    <cellStyle name="Normal 2 9 2 2 9" xfId="26637"/>
    <cellStyle name="Normal 2 9 2 2 9 2" xfId="26638"/>
    <cellStyle name="Normal 2 9 2 3" xfId="26639"/>
    <cellStyle name="Normal 2 9 2 3 2" xfId="26640"/>
    <cellStyle name="Normal 2 9 2 4" xfId="26641"/>
    <cellStyle name="Normal 2 9 2 4 2" xfId="26642"/>
    <cellStyle name="Normal 2 9 2 5" xfId="26643"/>
    <cellStyle name="Normal 2 9 2 5 2" xfId="26644"/>
    <cellStyle name="Normal 2 9 2 6" xfId="26645"/>
    <cellStyle name="Normal 2 9 2 6 2" xfId="26646"/>
    <cellStyle name="Normal 2 9 2 7" xfId="26647"/>
    <cellStyle name="Normal 2 9 2 7 2" xfId="26648"/>
    <cellStyle name="Normal 2 9 2 8" xfId="26649"/>
    <cellStyle name="Normal 2 9 2 8 2" xfId="26650"/>
    <cellStyle name="Normal 2 9 2 9" xfId="26651"/>
    <cellStyle name="Normal 2 9 2 9 2" xfId="26652"/>
    <cellStyle name="Normal 2 9 3" xfId="26653"/>
    <cellStyle name="Normal 2 9 3 10" xfId="26654"/>
    <cellStyle name="Normal 2 9 3 10 2" xfId="26655"/>
    <cellStyle name="Normal 2 9 3 11" xfId="26656"/>
    <cellStyle name="Normal 2 9 3 2" xfId="26657"/>
    <cellStyle name="Normal 2 9 3 2 2" xfId="26658"/>
    <cellStyle name="Normal 2 9 3 3" xfId="26659"/>
    <cellStyle name="Normal 2 9 3 3 2" xfId="26660"/>
    <cellStyle name="Normal 2 9 3 4" xfId="26661"/>
    <cellStyle name="Normal 2 9 3 4 2" xfId="26662"/>
    <cellStyle name="Normal 2 9 3 5" xfId="26663"/>
    <cellStyle name="Normal 2 9 3 5 2" xfId="26664"/>
    <cellStyle name="Normal 2 9 3 6" xfId="26665"/>
    <cellStyle name="Normal 2 9 3 6 2" xfId="26666"/>
    <cellStyle name="Normal 2 9 3 7" xfId="26667"/>
    <cellStyle name="Normal 2 9 3 7 2" xfId="26668"/>
    <cellStyle name="Normal 2 9 3 8" xfId="26669"/>
    <cellStyle name="Normal 2 9 3 8 2" xfId="26670"/>
    <cellStyle name="Normal 2 9 3 9" xfId="26671"/>
    <cellStyle name="Normal 2 9 3 9 2" xfId="26672"/>
    <cellStyle name="Normal 2 9 4" xfId="26673"/>
    <cellStyle name="Normal 2 9 4 2" xfId="26674"/>
    <cellStyle name="Normal 2 9 5" xfId="26675"/>
    <cellStyle name="Normal 2 9 5 2" xfId="26676"/>
    <cellStyle name="Normal 2 9 6" xfId="26677"/>
    <cellStyle name="Normal 2 9 6 2" xfId="26678"/>
    <cellStyle name="Normal 2 9 7" xfId="26679"/>
    <cellStyle name="Normal 2 9 7 2" xfId="26680"/>
    <cellStyle name="Normal 2 9 8" xfId="26681"/>
    <cellStyle name="Normal 2 9 8 2" xfId="26682"/>
    <cellStyle name="Normal 2 9 9" xfId="26683"/>
    <cellStyle name="Normal 2 9 9 2" xfId="26684"/>
    <cellStyle name="Normal 20" xfId="182"/>
    <cellStyle name="Normal 20 10" xfId="26685"/>
    <cellStyle name="Normal 20 11" xfId="26686"/>
    <cellStyle name="Normal 20 12" xfId="26687"/>
    <cellStyle name="Normal 20 13" xfId="26688"/>
    <cellStyle name="Normal 20 14" xfId="26689"/>
    <cellStyle name="Normal 20 15" xfId="26690"/>
    <cellStyle name="Normal 20 16" xfId="26691"/>
    <cellStyle name="Normal 20 17" xfId="26692"/>
    <cellStyle name="Normal 20 2" xfId="183"/>
    <cellStyle name="Normal 20 2 10" xfId="26693"/>
    <cellStyle name="Normal 20 2 11" xfId="26694"/>
    <cellStyle name="Normal 20 2 12" xfId="26695"/>
    <cellStyle name="Normal 20 2 13" xfId="26696"/>
    <cellStyle name="Normal 20 2 14" xfId="26697"/>
    <cellStyle name="Normal 20 2 2" xfId="26698"/>
    <cellStyle name="Normal 20 2 3" xfId="26699"/>
    <cellStyle name="Normal 20 2 4" xfId="26700"/>
    <cellStyle name="Normal 20 2 5" xfId="26701"/>
    <cellStyle name="Normal 20 2 6" xfId="26702"/>
    <cellStyle name="Normal 20 2 7" xfId="26703"/>
    <cellStyle name="Normal 20 2 8" xfId="26704"/>
    <cellStyle name="Normal 20 2 9" xfId="26705"/>
    <cellStyle name="Normal 20 3" xfId="26706"/>
    <cellStyle name="Normal 20 4" xfId="26707"/>
    <cellStyle name="Normal 20 4 10" xfId="26708"/>
    <cellStyle name="Normal 20 4 10 2" xfId="26709"/>
    <cellStyle name="Normal 20 4 11" xfId="26710"/>
    <cellStyle name="Normal 20 4 11 2" xfId="26711"/>
    <cellStyle name="Normal 20 4 12" xfId="26712"/>
    <cellStyle name="Normal 20 4 12 2" xfId="26713"/>
    <cellStyle name="Normal 20 4 13" xfId="26714"/>
    <cellStyle name="Normal 20 4 2" xfId="26715"/>
    <cellStyle name="Normal 20 4 2 10" xfId="26716"/>
    <cellStyle name="Normal 20 4 2 10 2" xfId="26717"/>
    <cellStyle name="Normal 20 4 2 11" xfId="26718"/>
    <cellStyle name="Normal 20 4 2 11 2" xfId="26719"/>
    <cellStyle name="Normal 20 4 2 12" xfId="26720"/>
    <cellStyle name="Normal 20 4 2 2" xfId="26721"/>
    <cellStyle name="Normal 20 4 2 2 10" xfId="26722"/>
    <cellStyle name="Normal 20 4 2 2 10 2" xfId="26723"/>
    <cellStyle name="Normal 20 4 2 2 11" xfId="26724"/>
    <cellStyle name="Normal 20 4 2 2 2" xfId="26725"/>
    <cellStyle name="Normal 20 4 2 2 2 2" xfId="26726"/>
    <cellStyle name="Normal 20 4 2 2 3" xfId="26727"/>
    <cellStyle name="Normal 20 4 2 2 3 2" xfId="26728"/>
    <cellStyle name="Normal 20 4 2 2 4" xfId="26729"/>
    <cellStyle name="Normal 20 4 2 2 4 2" xfId="26730"/>
    <cellStyle name="Normal 20 4 2 2 5" xfId="26731"/>
    <cellStyle name="Normal 20 4 2 2 5 2" xfId="26732"/>
    <cellStyle name="Normal 20 4 2 2 6" xfId="26733"/>
    <cellStyle name="Normal 20 4 2 2 6 2" xfId="26734"/>
    <cellStyle name="Normal 20 4 2 2 7" xfId="26735"/>
    <cellStyle name="Normal 20 4 2 2 7 2" xfId="26736"/>
    <cellStyle name="Normal 20 4 2 2 8" xfId="26737"/>
    <cellStyle name="Normal 20 4 2 2 8 2" xfId="26738"/>
    <cellStyle name="Normal 20 4 2 2 9" xfId="26739"/>
    <cellStyle name="Normal 20 4 2 2 9 2" xfId="26740"/>
    <cellStyle name="Normal 20 4 2 3" xfId="26741"/>
    <cellStyle name="Normal 20 4 2 3 2" xfId="26742"/>
    <cellStyle name="Normal 20 4 2 4" xfId="26743"/>
    <cellStyle name="Normal 20 4 2 4 2" xfId="26744"/>
    <cellStyle name="Normal 20 4 2 5" xfId="26745"/>
    <cellStyle name="Normal 20 4 2 5 2" xfId="26746"/>
    <cellStyle name="Normal 20 4 2 6" xfId="26747"/>
    <cellStyle name="Normal 20 4 2 6 2" xfId="26748"/>
    <cellStyle name="Normal 20 4 2 7" xfId="26749"/>
    <cellStyle name="Normal 20 4 2 7 2" xfId="26750"/>
    <cellStyle name="Normal 20 4 2 8" xfId="26751"/>
    <cellStyle name="Normal 20 4 2 8 2" xfId="26752"/>
    <cellStyle name="Normal 20 4 2 9" xfId="26753"/>
    <cellStyle name="Normal 20 4 2 9 2" xfId="26754"/>
    <cellStyle name="Normal 20 4 3" xfId="26755"/>
    <cellStyle name="Normal 20 4 3 10" xfId="26756"/>
    <cellStyle name="Normal 20 4 3 10 2" xfId="26757"/>
    <cellStyle name="Normal 20 4 3 11" xfId="26758"/>
    <cellStyle name="Normal 20 4 3 2" xfId="26759"/>
    <cellStyle name="Normal 20 4 3 2 2" xfId="26760"/>
    <cellStyle name="Normal 20 4 3 3" xfId="26761"/>
    <cellStyle name="Normal 20 4 3 3 2" xfId="26762"/>
    <cellStyle name="Normal 20 4 3 4" xfId="26763"/>
    <cellStyle name="Normal 20 4 3 4 2" xfId="26764"/>
    <cellStyle name="Normal 20 4 3 5" xfId="26765"/>
    <cellStyle name="Normal 20 4 3 5 2" xfId="26766"/>
    <cellStyle name="Normal 20 4 3 6" xfId="26767"/>
    <cellStyle name="Normal 20 4 3 6 2" xfId="26768"/>
    <cellStyle name="Normal 20 4 3 7" xfId="26769"/>
    <cellStyle name="Normal 20 4 3 7 2" xfId="26770"/>
    <cellStyle name="Normal 20 4 3 8" xfId="26771"/>
    <cellStyle name="Normal 20 4 3 8 2" xfId="26772"/>
    <cellStyle name="Normal 20 4 3 9" xfId="26773"/>
    <cellStyle name="Normal 20 4 3 9 2" xfId="26774"/>
    <cellStyle name="Normal 20 4 4" xfId="26775"/>
    <cellStyle name="Normal 20 4 4 2" xfId="26776"/>
    <cellStyle name="Normal 20 4 5" xfId="26777"/>
    <cellStyle name="Normal 20 4 5 2" xfId="26778"/>
    <cellStyle name="Normal 20 4 6" xfId="26779"/>
    <cellStyle name="Normal 20 4 6 2" xfId="26780"/>
    <cellStyle name="Normal 20 4 7" xfId="26781"/>
    <cellStyle name="Normal 20 4 7 2" xfId="26782"/>
    <cellStyle name="Normal 20 4 8" xfId="26783"/>
    <cellStyle name="Normal 20 4 8 2" xfId="26784"/>
    <cellStyle name="Normal 20 4 9" xfId="26785"/>
    <cellStyle name="Normal 20 4 9 2" xfId="26786"/>
    <cellStyle name="Normal 20 5" xfId="26787"/>
    <cellStyle name="Normal 20 6" xfId="26788"/>
    <cellStyle name="Normal 20 7" xfId="26789"/>
    <cellStyle name="Normal 20 8" xfId="26790"/>
    <cellStyle name="Normal 20 9" xfId="26791"/>
    <cellStyle name="Normal 21" xfId="184"/>
    <cellStyle name="Normal 21 10" xfId="26792"/>
    <cellStyle name="Normal 21 11" xfId="26793"/>
    <cellStyle name="Normal 21 12" xfId="26794"/>
    <cellStyle name="Normal 21 13" xfId="26795"/>
    <cellStyle name="Normal 21 14" xfId="26796"/>
    <cellStyle name="Normal 21 15" xfId="26797"/>
    <cellStyle name="Normal 21 2" xfId="26798"/>
    <cellStyle name="Normal 21 3" xfId="26799"/>
    <cellStyle name="Normal 21 4" xfId="26800"/>
    <cellStyle name="Normal 21 5" xfId="26801"/>
    <cellStyle name="Normal 21 6" xfId="26802"/>
    <cellStyle name="Normal 21 7" xfId="26803"/>
    <cellStyle name="Normal 21 8" xfId="26804"/>
    <cellStyle name="Normal 21 9" xfId="26805"/>
    <cellStyle name="Normal 22" xfId="26806"/>
    <cellStyle name="Normal 22 10" xfId="26807"/>
    <cellStyle name="Normal 22 10 2" xfId="26808"/>
    <cellStyle name="Normal 22 11" xfId="26809"/>
    <cellStyle name="Normal 22 11 2" xfId="26810"/>
    <cellStyle name="Normal 22 12" xfId="26811"/>
    <cellStyle name="Normal 22 12 2" xfId="26812"/>
    <cellStyle name="Normal 22 13" xfId="26813"/>
    <cellStyle name="Normal 22 2" xfId="26814"/>
    <cellStyle name="Normal 22 2 10" xfId="26815"/>
    <cellStyle name="Normal 22 2 10 2" xfId="26816"/>
    <cellStyle name="Normal 22 2 11" xfId="26817"/>
    <cellStyle name="Normal 22 2 11 2" xfId="26818"/>
    <cellStyle name="Normal 22 2 12" xfId="26819"/>
    <cellStyle name="Normal 22 2 2" xfId="26820"/>
    <cellStyle name="Normal 22 2 2 10" xfId="26821"/>
    <cellStyle name="Normal 22 2 2 10 2" xfId="26822"/>
    <cellStyle name="Normal 22 2 2 11" xfId="26823"/>
    <cellStyle name="Normal 22 2 2 2" xfId="26824"/>
    <cellStyle name="Normal 22 2 2 2 2" xfId="26825"/>
    <cellStyle name="Normal 22 2 2 3" xfId="26826"/>
    <cellStyle name="Normal 22 2 2 3 2" xfId="26827"/>
    <cellStyle name="Normal 22 2 2 4" xfId="26828"/>
    <cellStyle name="Normal 22 2 2 4 2" xfId="26829"/>
    <cellStyle name="Normal 22 2 2 5" xfId="26830"/>
    <cellStyle name="Normal 22 2 2 5 2" xfId="26831"/>
    <cellStyle name="Normal 22 2 2 6" xfId="26832"/>
    <cellStyle name="Normal 22 2 2 6 2" xfId="26833"/>
    <cellStyle name="Normal 22 2 2 7" xfId="26834"/>
    <cellStyle name="Normal 22 2 2 7 2" xfId="26835"/>
    <cellStyle name="Normal 22 2 2 8" xfId="26836"/>
    <cellStyle name="Normal 22 2 2 8 2" xfId="26837"/>
    <cellStyle name="Normal 22 2 2 9" xfId="26838"/>
    <cellStyle name="Normal 22 2 2 9 2" xfId="26839"/>
    <cellStyle name="Normal 22 2 3" xfId="26840"/>
    <cellStyle name="Normal 22 2 3 2" xfId="26841"/>
    <cellStyle name="Normal 22 2 4" xfId="26842"/>
    <cellStyle name="Normal 22 2 4 2" xfId="26843"/>
    <cellStyle name="Normal 22 2 5" xfId="26844"/>
    <cellStyle name="Normal 22 2 5 2" xfId="26845"/>
    <cellStyle name="Normal 22 2 6" xfId="26846"/>
    <cellStyle name="Normal 22 2 6 2" xfId="26847"/>
    <cellStyle name="Normal 22 2 7" xfId="26848"/>
    <cellStyle name="Normal 22 2 7 2" xfId="26849"/>
    <cellStyle name="Normal 22 2 8" xfId="26850"/>
    <cellStyle name="Normal 22 2 8 2" xfId="26851"/>
    <cellStyle name="Normal 22 2 9" xfId="26852"/>
    <cellStyle name="Normal 22 2 9 2" xfId="26853"/>
    <cellStyle name="Normal 22 3" xfId="26854"/>
    <cellStyle name="Normal 22 3 10" xfId="26855"/>
    <cellStyle name="Normal 22 3 10 2" xfId="26856"/>
    <cellStyle name="Normal 22 3 11" xfId="26857"/>
    <cellStyle name="Normal 22 3 2" xfId="26858"/>
    <cellStyle name="Normal 22 3 2 2" xfId="26859"/>
    <cellStyle name="Normal 22 3 3" xfId="26860"/>
    <cellStyle name="Normal 22 3 3 2" xfId="26861"/>
    <cellStyle name="Normal 22 3 4" xfId="26862"/>
    <cellStyle name="Normal 22 3 4 2" xfId="26863"/>
    <cellStyle name="Normal 22 3 5" xfId="26864"/>
    <cellStyle name="Normal 22 3 5 2" xfId="26865"/>
    <cellStyle name="Normal 22 3 6" xfId="26866"/>
    <cellStyle name="Normal 22 3 6 2" xfId="26867"/>
    <cellStyle name="Normal 22 3 7" xfId="26868"/>
    <cellStyle name="Normal 22 3 7 2" xfId="26869"/>
    <cellStyle name="Normal 22 3 8" xfId="26870"/>
    <cellStyle name="Normal 22 3 8 2" xfId="26871"/>
    <cellStyle name="Normal 22 3 9" xfId="26872"/>
    <cellStyle name="Normal 22 3 9 2" xfId="26873"/>
    <cellStyle name="Normal 22 4" xfId="26874"/>
    <cellStyle name="Normal 22 4 2" xfId="26875"/>
    <cellStyle name="Normal 22 5" xfId="26876"/>
    <cellStyle name="Normal 22 5 2" xfId="26877"/>
    <cellStyle name="Normal 22 6" xfId="26878"/>
    <cellStyle name="Normal 22 6 2" xfId="26879"/>
    <cellStyle name="Normal 22 7" xfId="26880"/>
    <cellStyle name="Normal 22 7 2" xfId="26881"/>
    <cellStyle name="Normal 22 8" xfId="26882"/>
    <cellStyle name="Normal 22 8 2" xfId="26883"/>
    <cellStyle name="Normal 22 9" xfId="26884"/>
    <cellStyle name="Normal 22 9 2" xfId="26885"/>
    <cellStyle name="Normal 23" xfId="26886"/>
    <cellStyle name="Normal 23 10" xfId="26887"/>
    <cellStyle name="Normal 23 10 2" xfId="26888"/>
    <cellStyle name="Normal 23 11" xfId="26889"/>
    <cellStyle name="Normal 23 11 2" xfId="26890"/>
    <cellStyle name="Normal 23 12" xfId="26891"/>
    <cellStyle name="Normal 23 12 2" xfId="26892"/>
    <cellStyle name="Normal 23 13" xfId="26893"/>
    <cellStyle name="Normal 23 2" xfId="26894"/>
    <cellStyle name="Normal 23 2 10" xfId="26895"/>
    <cellStyle name="Normal 23 2 10 2" xfId="26896"/>
    <cellStyle name="Normal 23 2 11" xfId="26897"/>
    <cellStyle name="Normal 23 2 11 2" xfId="26898"/>
    <cellStyle name="Normal 23 2 12" xfId="26899"/>
    <cellStyle name="Normal 23 2 2" xfId="26900"/>
    <cellStyle name="Normal 23 2 2 10" xfId="26901"/>
    <cellStyle name="Normal 23 2 2 10 2" xfId="26902"/>
    <cellStyle name="Normal 23 2 2 11" xfId="26903"/>
    <cellStyle name="Normal 23 2 2 2" xfId="26904"/>
    <cellStyle name="Normal 23 2 2 2 2" xfId="26905"/>
    <cellStyle name="Normal 23 2 2 3" xfId="26906"/>
    <cellStyle name="Normal 23 2 2 3 2" xfId="26907"/>
    <cellStyle name="Normal 23 2 2 4" xfId="26908"/>
    <cellStyle name="Normal 23 2 2 4 2" xfId="26909"/>
    <cellStyle name="Normal 23 2 2 5" xfId="26910"/>
    <cellStyle name="Normal 23 2 2 5 2" xfId="26911"/>
    <cellStyle name="Normal 23 2 2 6" xfId="26912"/>
    <cellStyle name="Normal 23 2 2 6 2" xfId="26913"/>
    <cellStyle name="Normal 23 2 2 7" xfId="26914"/>
    <cellStyle name="Normal 23 2 2 7 2" xfId="26915"/>
    <cellStyle name="Normal 23 2 2 8" xfId="26916"/>
    <cellStyle name="Normal 23 2 2 8 2" xfId="26917"/>
    <cellStyle name="Normal 23 2 2 9" xfId="26918"/>
    <cellStyle name="Normal 23 2 2 9 2" xfId="26919"/>
    <cellStyle name="Normal 23 2 3" xfId="26920"/>
    <cellStyle name="Normal 23 2 3 2" xfId="26921"/>
    <cellStyle name="Normal 23 2 4" xfId="26922"/>
    <cellStyle name="Normal 23 2 4 2" xfId="26923"/>
    <cellStyle name="Normal 23 2 5" xfId="26924"/>
    <cellStyle name="Normal 23 2 5 2" xfId="26925"/>
    <cellStyle name="Normal 23 2 6" xfId="26926"/>
    <cellStyle name="Normal 23 2 6 2" xfId="26927"/>
    <cellStyle name="Normal 23 2 7" xfId="26928"/>
    <cellStyle name="Normal 23 2 7 2" xfId="26929"/>
    <cellStyle name="Normal 23 2 8" xfId="26930"/>
    <cellStyle name="Normal 23 2 8 2" xfId="26931"/>
    <cellStyle name="Normal 23 2 9" xfId="26932"/>
    <cellStyle name="Normal 23 2 9 2" xfId="26933"/>
    <cellStyle name="Normal 23 3" xfId="26934"/>
    <cellStyle name="Normal 23 3 10" xfId="26935"/>
    <cellStyle name="Normal 23 3 10 2" xfId="26936"/>
    <cellStyle name="Normal 23 3 11" xfId="26937"/>
    <cellStyle name="Normal 23 3 2" xfId="26938"/>
    <cellStyle name="Normal 23 3 2 2" xfId="26939"/>
    <cellStyle name="Normal 23 3 3" xfId="26940"/>
    <cellStyle name="Normal 23 3 3 2" xfId="26941"/>
    <cellStyle name="Normal 23 3 4" xfId="26942"/>
    <cellStyle name="Normal 23 3 4 2" xfId="26943"/>
    <cellStyle name="Normal 23 3 5" xfId="26944"/>
    <cellStyle name="Normal 23 3 5 2" xfId="26945"/>
    <cellStyle name="Normal 23 3 6" xfId="26946"/>
    <cellStyle name="Normal 23 3 6 2" xfId="26947"/>
    <cellStyle name="Normal 23 3 7" xfId="26948"/>
    <cellStyle name="Normal 23 3 7 2" xfId="26949"/>
    <cellStyle name="Normal 23 3 8" xfId="26950"/>
    <cellStyle name="Normal 23 3 8 2" xfId="26951"/>
    <cellStyle name="Normal 23 3 9" xfId="26952"/>
    <cellStyle name="Normal 23 3 9 2" xfId="26953"/>
    <cellStyle name="Normal 23 4" xfId="26954"/>
    <cellStyle name="Normal 23 4 2" xfId="26955"/>
    <cellStyle name="Normal 23 5" xfId="26956"/>
    <cellStyle name="Normal 23 5 2" xfId="26957"/>
    <cellStyle name="Normal 23 6" xfId="26958"/>
    <cellStyle name="Normal 23 6 2" xfId="26959"/>
    <cellStyle name="Normal 23 7" xfId="26960"/>
    <cellStyle name="Normal 23 7 2" xfId="26961"/>
    <cellStyle name="Normal 23 8" xfId="26962"/>
    <cellStyle name="Normal 23 8 2" xfId="26963"/>
    <cellStyle name="Normal 23 9" xfId="26964"/>
    <cellStyle name="Normal 23 9 2" xfId="26965"/>
    <cellStyle name="Normal 24" xfId="185"/>
    <cellStyle name="Normal 24 10" xfId="26966"/>
    <cellStyle name="Normal 24 11" xfId="26967"/>
    <cellStyle name="Normal 24 12" xfId="26968"/>
    <cellStyle name="Normal 24 13" xfId="26969"/>
    <cellStyle name="Normal 24 14" xfId="26970"/>
    <cellStyle name="Normal 24 2" xfId="26971"/>
    <cellStyle name="Normal 24 3" xfId="26972"/>
    <cellStyle name="Normal 24 4" xfId="26973"/>
    <cellStyle name="Normal 24 5" xfId="26974"/>
    <cellStyle name="Normal 24 6" xfId="26975"/>
    <cellStyle name="Normal 24 7" xfId="26976"/>
    <cellStyle name="Normal 24 8" xfId="26977"/>
    <cellStyle name="Normal 24 9" xfId="26978"/>
    <cellStyle name="Normal 25" xfId="26979"/>
    <cellStyle name="Normal 25 10" xfId="26980"/>
    <cellStyle name="Normal 25 10 2" xfId="26981"/>
    <cellStyle name="Normal 25 11" xfId="26982"/>
    <cellStyle name="Normal 25 11 2" xfId="26983"/>
    <cellStyle name="Normal 25 12" xfId="26984"/>
    <cellStyle name="Normal 25 12 2" xfId="26985"/>
    <cellStyle name="Normal 25 13" xfId="26986"/>
    <cellStyle name="Normal 25 2" xfId="26987"/>
    <cellStyle name="Normal 25 2 10" xfId="26988"/>
    <cellStyle name="Normal 25 2 10 2" xfId="26989"/>
    <cellStyle name="Normal 25 2 11" xfId="26990"/>
    <cellStyle name="Normal 25 2 11 2" xfId="26991"/>
    <cellStyle name="Normal 25 2 12" xfId="26992"/>
    <cellStyle name="Normal 25 2 2" xfId="26993"/>
    <cellStyle name="Normal 25 2 2 10" xfId="26994"/>
    <cellStyle name="Normal 25 2 2 10 2" xfId="26995"/>
    <cellStyle name="Normal 25 2 2 11" xfId="26996"/>
    <cellStyle name="Normal 25 2 2 2" xfId="26997"/>
    <cellStyle name="Normal 25 2 2 2 2" xfId="26998"/>
    <cellStyle name="Normal 25 2 2 3" xfId="26999"/>
    <cellStyle name="Normal 25 2 2 3 2" xfId="27000"/>
    <cellStyle name="Normal 25 2 2 4" xfId="27001"/>
    <cellStyle name="Normal 25 2 2 4 2" xfId="27002"/>
    <cellStyle name="Normal 25 2 2 5" xfId="27003"/>
    <cellStyle name="Normal 25 2 2 5 2" xfId="27004"/>
    <cellStyle name="Normal 25 2 2 6" xfId="27005"/>
    <cellStyle name="Normal 25 2 2 6 2" xfId="27006"/>
    <cellStyle name="Normal 25 2 2 7" xfId="27007"/>
    <cellStyle name="Normal 25 2 2 7 2" xfId="27008"/>
    <cellStyle name="Normal 25 2 2 8" xfId="27009"/>
    <cellStyle name="Normal 25 2 2 8 2" xfId="27010"/>
    <cellStyle name="Normal 25 2 2 9" xfId="27011"/>
    <cellStyle name="Normal 25 2 2 9 2" xfId="27012"/>
    <cellStyle name="Normal 25 2 3" xfId="27013"/>
    <cellStyle name="Normal 25 2 3 2" xfId="27014"/>
    <cellStyle name="Normal 25 2 4" xfId="27015"/>
    <cellStyle name="Normal 25 2 4 2" xfId="27016"/>
    <cellStyle name="Normal 25 2 5" xfId="27017"/>
    <cellStyle name="Normal 25 2 5 2" xfId="27018"/>
    <cellStyle name="Normal 25 2 6" xfId="27019"/>
    <cellStyle name="Normal 25 2 6 2" xfId="27020"/>
    <cellStyle name="Normal 25 2 7" xfId="27021"/>
    <cellStyle name="Normal 25 2 7 2" xfId="27022"/>
    <cellStyle name="Normal 25 2 8" xfId="27023"/>
    <cellStyle name="Normal 25 2 8 2" xfId="27024"/>
    <cellStyle name="Normal 25 2 9" xfId="27025"/>
    <cellStyle name="Normal 25 2 9 2" xfId="27026"/>
    <cellStyle name="Normal 25 3" xfId="27027"/>
    <cellStyle name="Normal 25 3 10" xfId="27028"/>
    <cellStyle name="Normal 25 3 10 2" xfId="27029"/>
    <cellStyle name="Normal 25 3 11" xfId="27030"/>
    <cellStyle name="Normal 25 3 2" xfId="27031"/>
    <cellStyle name="Normal 25 3 2 2" xfId="27032"/>
    <cellStyle name="Normal 25 3 3" xfId="27033"/>
    <cellStyle name="Normal 25 3 3 2" xfId="27034"/>
    <cellStyle name="Normal 25 3 4" xfId="27035"/>
    <cellStyle name="Normal 25 3 4 2" xfId="27036"/>
    <cellStyle name="Normal 25 3 5" xfId="27037"/>
    <cellStyle name="Normal 25 3 5 2" xfId="27038"/>
    <cellStyle name="Normal 25 3 6" xfId="27039"/>
    <cellStyle name="Normal 25 3 6 2" xfId="27040"/>
    <cellStyle name="Normal 25 3 7" xfId="27041"/>
    <cellStyle name="Normal 25 3 7 2" xfId="27042"/>
    <cellStyle name="Normal 25 3 8" xfId="27043"/>
    <cellStyle name="Normal 25 3 8 2" xfId="27044"/>
    <cellStyle name="Normal 25 3 9" xfId="27045"/>
    <cellStyle name="Normal 25 3 9 2" xfId="27046"/>
    <cellStyle name="Normal 25 4" xfId="27047"/>
    <cellStyle name="Normal 25 4 2" xfId="27048"/>
    <cellStyle name="Normal 25 5" xfId="27049"/>
    <cellStyle name="Normal 25 5 2" xfId="27050"/>
    <cellStyle name="Normal 25 6" xfId="27051"/>
    <cellStyle name="Normal 25 6 2" xfId="27052"/>
    <cellStyle name="Normal 25 7" xfId="27053"/>
    <cellStyle name="Normal 25 7 2" xfId="27054"/>
    <cellStyle name="Normal 25 8" xfId="27055"/>
    <cellStyle name="Normal 25 8 2" xfId="27056"/>
    <cellStyle name="Normal 25 9" xfId="27057"/>
    <cellStyle name="Normal 25 9 2" xfId="27058"/>
    <cellStyle name="Normal 26" xfId="27059"/>
    <cellStyle name="Normal 26 10" xfId="27060"/>
    <cellStyle name="Normal 26 10 2" xfId="27061"/>
    <cellStyle name="Normal 26 11" xfId="27062"/>
    <cellStyle name="Normal 26 11 2" xfId="27063"/>
    <cellStyle name="Normal 26 12" xfId="27064"/>
    <cellStyle name="Normal 26 12 2" xfId="27065"/>
    <cellStyle name="Normal 26 13" xfId="27066"/>
    <cellStyle name="Normal 26 2" xfId="27067"/>
    <cellStyle name="Normal 26 2 10" xfId="27068"/>
    <cellStyle name="Normal 26 2 10 2" xfId="27069"/>
    <cellStyle name="Normal 26 2 11" xfId="27070"/>
    <cellStyle name="Normal 26 2 11 2" xfId="27071"/>
    <cellStyle name="Normal 26 2 12" xfId="27072"/>
    <cellStyle name="Normal 26 2 2" xfId="27073"/>
    <cellStyle name="Normal 26 2 2 10" xfId="27074"/>
    <cellStyle name="Normal 26 2 2 10 2" xfId="27075"/>
    <cellStyle name="Normal 26 2 2 11" xfId="27076"/>
    <cellStyle name="Normal 26 2 2 2" xfId="27077"/>
    <cellStyle name="Normal 26 2 2 2 2" xfId="27078"/>
    <cellStyle name="Normal 26 2 2 3" xfId="27079"/>
    <cellStyle name="Normal 26 2 2 3 2" xfId="27080"/>
    <cellStyle name="Normal 26 2 2 4" xfId="27081"/>
    <cellStyle name="Normal 26 2 2 4 2" xfId="27082"/>
    <cellStyle name="Normal 26 2 2 5" xfId="27083"/>
    <cellStyle name="Normal 26 2 2 5 2" xfId="27084"/>
    <cellStyle name="Normal 26 2 2 6" xfId="27085"/>
    <cellStyle name="Normal 26 2 2 6 2" xfId="27086"/>
    <cellStyle name="Normal 26 2 2 7" xfId="27087"/>
    <cellStyle name="Normal 26 2 2 7 2" xfId="27088"/>
    <cellStyle name="Normal 26 2 2 8" xfId="27089"/>
    <cellStyle name="Normal 26 2 2 8 2" xfId="27090"/>
    <cellStyle name="Normal 26 2 2 9" xfId="27091"/>
    <cellStyle name="Normal 26 2 2 9 2" xfId="27092"/>
    <cellStyle name="Normal 26 2 3" xfId="27093"/>
    <cellStyle name="Normal 26 2 3 2" xfId="27094"/>
    <cellStyle name="Normal 26 2 4" xfId="27095"/>
    <cellStyle name="Normal 26 2 4 2" xfId="27096"/>
    <cellStyle name="Normal 26 2 5" xfId="27097"/>
    <cellStyle name="Normal 26 2 5 2" xfId="27098"/>
    <cellStyle name="Normal 26 2 6" xfId="27099"/>
    <cellStyle name="Normal 26 2 6 2" xfId="27100"/>
    <cellStyle name="Normal 26 2 7" xfId="27101"/>
    <cellStyle name="Normal 26 2 7 2" xfId="27102"/>
    <cellStyle name="Normal 26 2 8" xfId="27103"/>
    <cellStyle name="Normal 26 2 8 2" xfId="27104"/>
    <cellStyle name="Normal 26 2 9" xfId="27105"/>
    <cellStyle name="Normal 26 2 9 2" xfId="27106"/>
    <cellStyle name="Normal 26 3" xfId="27107"/>
    <cellStyle name="Normal 26 3 10" xfId="27108"/>
    <cellStyle name="Normal 26 3 10 2" xfId="27109"/>
    <cellStyle name="Normal 26 3 11" xfId="27110"/>
    <cellStyle name="Normal 26 3 2" xfId="27111"/>
    <cellStyle name="Normal 26 3 2 2" xfId="27112"/>
    <cellStyle name="Normal 26 3 3" xfId="27113"/>
    <cellStyle name="Normal 26 3 3 2" xfId="27114"/>
    <cellStyle name="Normal 26 3 4" xfId="27115"/>
    <cellStyle name="Normal 26 3 4 2" xfId="27116"/>
    <cellStyle name="Normal 26 3 5" xfId="27117"/>
    <cellStyle name="Normal 26 3 5 2" xfId="27118"/>
    <cellStyle name="Normal 26 3 6" xfId="27119"/>
    <cellStyle name="Normal 26 3 6 2" xfId="27120"/>
    <cellStyle name="Normal 26 3 7" xfId="27121"/>
    <cellStyle name="Normal 26 3 7 2" xfId="27122"/>
    <cellStyle name="Normal 26 3 8" xfId="27123"/>
    <cellStyle name="Normal 26 3 8 2" xfId="27124"/>
    <cellStyle name="Normal 26 3 9" xfId="27125"/>
    <cellStyle name="Normal 26 3 9 2" xfId="27126"/>
    <cellStyle name="Normal 26 4" xfId="27127"/>
    <cellStyle name="Normal 26 4 2" xfId="27128"/>
    <cellStyle name="Normal 26 5" xfId="27129"/>
    <cellStyle name="Normal 26 5 2" xfId="27130"/>
    <cellStyle name="Normal 26 6" xfId="27131"/>
    <cellStyle name="Normal 26 6 2" xfId="27132"/>
    <cellStyle name="Normal 26 7" xfId="27133"/>
    <cellStyle name="Normal 26 7 2" xfId="27134"/>
    <cellStyle name="Normal 26 8" xfId="27135"/>
    <cellStyle name="Normal 26 8 2" xfId="27136"/>
    <cellStyle name="Normal 26 9" xfId="27137"/>
    <cellStyle name="Normal 26 9 2" xfId="27138"/>
    <cellStyle name="Normal 27" xfId="27139"/>
    <cellStyle name="Normal 27 10" xfId="27140"/>
    <cellStyle name="Normal 27 10 2" xfId="27141"/>
    <cellStyle name="Normal 27 11" xfId="27142"/>
    <cellStyle name="Normal 27 11 2" xfId="27143"/>
    <cellStyle name="Normal 27 12" xfId="27144"/>
    <cellStyle name="Normal 27 12 2" xfId="27145"/>
    <cellStyle name="Normal 27 13" xfId="27146"/>
    <cellStyle name="Normal 27 2" xfId="27147"/>
    <cellStyle name="Normal 27 2 10" xfId="27148"/>
    <cellStyle name="Normal 27 2 10 2" xfId="27149"/>
    <cellStyle name="Normal 27 2 11" xfId="27150"/>
    <cellStyle name="Normal 27 2 11 2" xfId="27151"/>
    <cellStyle name="Normal 27 2 12" xfId="27152"/>
    <cellStyle name="Normal 27 2 2" xfId="27153"/>
    <cellStyle name="Normal 27 2 2 10" xfId="27154"/>
    <cellStyle name="Normal 27 2 2 10 2" xfId="27155"/>
    <cellStyle name="Normal 27 2 2 11" xfId="27156"/>
    <cellStyle name="Normal 27 2 2 2" xfId="27157"/>
    <cellStyle name="Normal 27 2 2 2 2" xfId="27158"/>
    <cellStyle name="Normal 27 2 2 3" xfId="27159"/>
    <cellStyle name="Normal 27 2 2 3 2" xfId="27160"/>
    <cellStyle name="Normal 27 2 2 4" xfId="27161"/>
    <cellStyle name="Normal 27 2 2 4 2" xfId="27162"/>
    <cellStyle name="Normal 27 2 2 5" xfId="27163"/>
    <cellStyle name="Normal 27 2 2 5 2" xfId="27164"/>
    <cellStyle name="Normal 27 2 2 6" xfId="27165"/>
    <cellStyle name="Normal 27 2 2 6 2" xfId="27166"/>
    <cellStyle name="Normal 27 2 2 7" xfId="27167"/>
    <cellStyle name="Normal 27 2 2 7 2" xfId="27168"/>
    <cellStyle name="Normal 27 2 2 8" xfId="27169"/>
    <cellStyle name="Normal 27 2 2 8 2" xfId="27170"/>
    <cellStyle name="Normal 27 2 2 9" xfId="27171"/>
    <cellStyle name="Normal 27 2 2 9 2" xfId="27172"/>
    <cellStyle name="Normal 27 2 3" xfId="27173"/>
    <cellStyle name="Normal 27 2 3 2" xfId="27174"/>
    <cellStyle name="Normal 27 2 4" xfId="27175"/>
    <cellStyle name="Normal 27 2 4 2" xfId="27176"/>
    <cellStyle name="Normal 27 2 5" xfId="27177"/>
    <cellStyle name="Normal 27 2 5 2" xfId="27178"/>
    <cellStyle name="Normal 27 2 6" xfId="27179"/>
    <cellStyle name="Normal 27 2 6 2" xfId="27180"/>
    <cellStyle name="Normal 27 2 7" xfId="27181"/>
    <cellStyle name="Normal 27 2 7 2" xfId="27182"/>
    <cellStyle name="Normal 27 2 8" xfId="27183"/>
    <cellStyle name="Normal 27 2 8 2" xfId="27184"/>
    <cellStyle name="Normal 27 2 9" xfId="27185"/>
    <cellStyle name="Normal 27 2 9 2" xfId="27186"/>
    <cellStyle name="Normal 27 3" xfId="27187"/>
    <cellStyle name="Normal 27 3 10" xfId="27188"/>
    <cellStyle name="Normal 27 3 10 2" xfId="27189"/>
    <cellStyle name="Normal 27 3 11" xfId="27190"/>
    <cellStyle name="Normal 27 3 2" xfId="27191"/>
    <cellStyle name="Normal 27 3 2 2" xfId="27192"/>
    <cellStyle name="Normal 27 3 3" xfId="27193"/>
    <cellStyle name="Normal 27 3 3 2" xfId="27194"/>
    <cellStyle name="Normal 27 3 4" xfId="27195"/>
    <cellStyle name="Normal 27 3 4 2" xfId="27196"/>
    <cellStyle name="Normal 27 3 5" xfId="27197"/>
    <cellStyle name="Normal 27 3 5 2" xfId="27198"/>
    <cellStyle name="Normal 27 3 6" xfId="27199"/>
    <cellStyle name="Normal 27 3 6 2" xfId="27200"/>
    <cellStyle name="Normal 27 3 7" xfId="27201"/>
    <cellStyle name="Normal 27 3 7 2" xfId="27202"/>
    <cellStyle name="Normal 27 3 8" xfId="27203"/>
    <cellStyle name="Normal 27 3 8 2" xfId="27204"/>
    <cellStyle name="Normal 27 3 9" xfId="27205"/>
    <cellStyle name="Normal 27 3 9 2" xfId="27206"/>
    <cellStyle name="Normal 27 4" xfId="27207"/>
    <cellStyle name="Normal 27 4 2" xfId="27208"/>
    <cellStyle name="Normal 27 5" xfId="27209"/>
    <cellStyle name="Normal 27 5 2" xfId="27210"/>
    <cellStyle name="Normal 27 6" xfId="27211"/>
    <cellStyle name="Normal 27 6 2" xfId="27212"/>
    <cellStyle name="Normal 27 7" xfId="27213"/>
    <cellStyle name="Normal 27 7 2" xfId="27214"/>
    <cellStyle name="Normal 27 8" xfId="27215"/>
    <cellStyle name="Normal 27 8 2" xfId="27216"/>
    <cellStyle name="Normal 27 9" xfId="27217"/>
    <cellStyle name="Normal 27 9 2" xfId="27218"/>
    <cellStyle name="Normal 28" xfId="27219"/>
    <cellStyle name="Normal 28 10" xfId="27220"/>
    <cellStyle name="Normal 28 10 2" xfId="27221"/>
    <cellStyle name="Normal 28 11" xfId="27222"/>
    <cellStyle name="Normal 28 11 2" xfId="27223"/>
    <cellStyle name="Normal 28 12" xfId="27224"/>
    <cellStyle name="Normal 28 12 2" xfId="27225"/>
    <cellStyle name="Normal 28 13" xfId="27226"/>
    <cellStyle name="Normal 28 2" xfId="27227"/>
    <cellStyle name="Normal 28 2 10" xfId="27228"/>
    <cellStyle name="Normal 28 2 10 2" xfId="27229"/>
    <cellStyle name="Normal 28 2 11" xfId="27230"/>
    <cellStyle name="Normal 28 2 11 2" xfId="27231"/>
    <cellStyle name="Normal 28 2 12" xfId="27232"/>
    <cellStyle name="Normal 28 2 2" xfId="27233"/>
    <cellStyle name="Normal 28 2 2 10" xfId="27234"/>
    <cellStyle name="Normal 28 2 2 10 2" xfId="27235"/>
    <cellStyle name="Normal 28 2 2 11" xfId="27236"/>
    <cellStyle name="Normal 28 2 2 2" xfId="27237"/>
    <cellStyle name="Normal 28 2 2 2 2" xfId="27238"/>
    <cellStyle name="Normal 28 2 2 3" xfId="27239"/>
    <cellStyle name="Normal 28 2 2 3 2" xfId="27240"/>
    <cellStyle name="Normal 28 2 2 4" xfId="27241"/>
    <cellStyle name="Normal 28 2 2 4 2" xfId="27242"/>
    <cellStyle name="Normal 28 2 2 5" xfId="27243"/>
    <cellStyle name="Normal 28 2 2 5 2" xfId="27244"/>
    <cellStyle name="Normal 28 2 2 6" xfId="27245"/>
    <cellStyle name="Normal 28 2 2 6 2" xfId="27246"/>
    <cellStyle name="Normal 28 2 2 7" xfId="27247"/>
    <cellStyle name="Normal 28 2 2 7 2" xfId="27248"/>
    <cellStyle name="Normal 28 2 2 8" xfId="27249"/>
    <cellStyle name="Normal 28 2 2 8 2" xfId="27250"/>
    <cellStyle name="Normal 28 2 2 9" xfId="27251"/>
    <cellStyle name="Normal 28 2 2 9 2" xfId="27252"/>
    <cellStyle name="Normal 28 2 3" xfId="27253"/>
    <cellStyle name="Normal 28 2 3 2" xfId="27254"/>
    <cellStyle name="Normal 28 2 4" xfId="27255"/>
    <cellStyle name="Normal 28 2 4 2" xfId="27256"/>
    <cellStyle name="Normal 28 2 5" xfId="27257"/>
    <cellStyle name="Normal 28 2 5 2" xfId="27258"/>
    <cellStyle name="Normal 28 2 6" xfId="27259"/>
    <cellStyle name="Normal 28 2 6 2" xfId="27260"/>
    <cellStyle name="Normal 28 2 7" xfId="27261"/>
    <cellStyle name="Normal 28 2 7 2" xfId="27262"/>
    <cellStyle name="Normal 28 2 8" xfId="27263"/>
    <cellStyle name="Normal 28 2 8 2" xfId="27264"/>
    <cellStyle name="Normal 28 2 9" xfId="27265"/>
    <cellStyle name="Normal 28 2 9 2" xfId="27266"/>
    <cellStyle name="Normal 28 3" xfId="27267"/>
    <cellStyle name="Normal 28 3 10" xfId="27268"/>
    <cellStyle name="Normal 28 3 10 2" xfId="27269"/>
    <cellStyle name="Normal 28 3 11" xfId="27270"/>
    <cellStyle name="Normal 28 3 2" xfId="27271"/>
    <cellStyle name="Normal 28 3 2 2" xfId="27272"/>
    <cellStyle name="Normal 28 3 3" xfId="27273"/>
    <cellStyle name="Normal 28 3 3 2" xfId="27274"/>
    <cellStyle name="Normal 28 3 4" xfId="27275"/>
    <cellStyle name="Normal 28 3 4 2" xfId="27276"/>
    <cellStyle name="Normal 28 3 5" xfId="27277"/>
    <cellStyle name="Normal 28 3 5 2" xfId="27278"/>
    <cellStyle name="Normal 28 3 6" xfId="27279"/>
    <cellStyle name="Normal 28 3 6 2" xfId="27280"/>
    <cellStyle name="Normal 28 3 7" xfId="27281"/>
    <cellStyle name="Normal 28 3 7 2" xfId="27282"/>
    <cellStyle name="Normal 28 3 8" xfId="27283"/>
    <cellStyle name="Normal 28 3 8 2" xfId="27284"/>
    <cellStyle name="Normal 28 3 9" xfId="27285"/>
    <cellStyle name="Normal 28 3 9 2" xfId="27286"/>
    <cellStyle name="Normal 28 4" xfId="27287"/>
    <cellStyle name="Normal 28 4 2" xfId="27288"/>
    <cellStyle name="Normal 28 5" xfId="27289"/>
    <cellStyle name="Normal 28 5 2" xfId="27290"/>
    <cellStyle name="Normal 28 6" xfId="27291"/>
    <cellStyle name="Normal 28 6 2" xfId="27292"/>
    <cellStyle name="Normal 28 7" xfId="27293"/>
    <cellStyle name="Normal 28 7 2" xfId="27294"/>
    <cellStyle name="Normal 28 8" xfId="27295"/>
    <cellStyle name="Normal 28 8 2" xfId="27296"/>
    <cellStyle name="Normal 28 9" xfId="27297"/>
    <cellStyle name="Normal 28 9 2" xfId="27298"/>
    <cellStyle name="Normal 29" xfId="27299"/>
    <cellStyle name="Normal 29 10" xfId="27300"/>
    <cellStyle name="Normal 29 10 2" xfId="27301"/>
    <cellStyle name="Normal 29 11" xfId="27302"/>
    <cellStyle name="Normal 29 11 2" xfId="27303"/>
    <cellStyle name="Normal 29 12" xfId="27304"/>
    <cellStyle name="Normal 29 12 2" xfId="27305"/>
    <cellStyle name="Normal 29 13" xfId="27306"/>
    <cellStyle name="Normal 29 2" xfId="27307"/>
    <cellStyle name="Normal 29 2 10" xfId="27308"/>
    <cellStyle name="Normal 29 2 10 2" xfId="27309"/>
    <cellStyle name="Normal 29 2 11" xfId="27310"/>
    <cellStyle name="Normal 29 2 11 2" xfId="27311"/>
    <cellStyle name="Normal 29 2 12" xfId="27312"/>
    <cellStyle name="Normal 29 2 2" xfId="27313"/>
    <cellStyle name="Normal 29 2 2 10" xfId="27314"/>
    <cellStyle name="Normal 29 2 2 10 2" xfId="27315"/>
    <cellStyle name="Normal 29 2 2 11" xfId="27316"/>
    <cellStyle name="Normal 29 2 2 2" xfId="27317"/>
    <cellStyle name="Normal 29 2 2 2 2" xfId="27318"/>
    <cellStyle name="Normal 29 2 2 3" xfId="27319"/>
    <cellStyle name="Normal 29 2 2 3 2" xfId="27320"/>
    <cellStyle name="Normal 29 2 2 4" xfId="27321"/>
    <cellStyle name="Normal 29 2 2 4 2" xfId="27322"/>
    <cellStyle name="Normal 29 2 2 5" xfId="27323"/>
    <cellStyle name="Normal 29 2 2 5 2" xfId="27324"/>
    <cellStyle name="Normal 29 2 2 6" xfId="27325"/>
    <cellStyle name="Normal 29 2 2 6 2" xfId="27326"/>
    <cellStyle name="Normal 29 2 2 7" xfId="27327"/>
    <cellStyle name="Normal 29 2 2 7 2" xfId="27328"/>
    <cellStyle name="Normal 29 2 2 8" xfId="27329"/>
    <cellStyle name="Normal 29 2 2 8 2" xfId="27330"/>
    <cellStyle name="Normal 29 2 2 9" xfId="27331"/>
    <cellStyle name="Normal 29 2 2 9 2" xfId="27332"/>
    <cellStyle name="Normal 29 2 3" xfId="27333"/>
    <cellStyle name="Normal 29 2 3 2" xfId="27334"/>
    <cellStyle name="Normal 29 2 4" xfId="27335"/>
    <cellStyle name="Normal 29 2 4 2" xfId="27336"/>
    <cellStyle name="Normal 29 2 5" xfId="27337"/>
    <cellStyle name="Normal 29 2 5 2" xfId="27338"/>
    <cellStyle name="Normal 29 2 6" xfId="27339"/>
    <cellStyle name="Normal 29 2 6 2" xfId="27340"/>
    <cellStyle name="Normal 29 2 7" xfId="27341"/>
    <cellStyle name="Normal 29 2 7 2" xfId="27342"/>
    <cellStyle name="Normal 29 2 8" xfId="27343"/>
    <cellStyle name="Normal 29 2 8 2" xfId="27344"/>
    <cellStyle name="Normal 29 2 9" xfId="27345"/>
    <cellStyle name="Normal 29 2 9 2" xfId="27346"/>
    <cellStyle name="Normal 29 3" xfId="27347"/>
    <cellStyle name="Normal 29 3 10" xfId="27348"/>
    <cellStyle name="Normal 29 3 10 2" xfId="27349"/>
    <cellStyle name="Normal 29 3 11" xfId="27350"/>
    <cellStyle name="Normal 29 3 2" xfId="27351"/>
    <cellStyle name="Normal 29 3 2 2" xfId="27352"/>
    <cellStyle name="Normal 29 3 3" xfId="27353"/>
    <cellStyle name="Normal 29 3 3 2" xfId="27354"/>
    <cellStyle name="Normal 29 3 4" xfId="27355"/>
    <cellStyle name="Normal 29 3 4 2" xfId="27356"/>
    <cellStyle name="Normal 29 3 5" xfId="27357"/>
    <cellStyle name="Normal 29 3 5 2" xfId="27358"/>
    <cellStyle name="Normal 29 3 6" xfId="27359"/>
    <cellStyle name="Normal 29 3 6 2" xfId="27360"/>
    <cellStyle name="Normal 29 3 7" xfId="27361"/>
    <cellStyle name="Normal 29 3 7 2" xfId="27362"/>
    <cellStyle name="Normal 29 3 8" xfId="27363"/>
    <cellStyle name="Normal 29 3 8 2" xfId="27364"/>
    <cellStyle name="Normal 29 3 9" xfId="27365"/>
    <cellStyle name="Normal 29 3 9 2" xfId="27366"/>
    <cellStyle name="Normal 29 4" xfId="27367"/>
    <cellStyle name="Normal 29 4 2" xfId="27368"/>
    <cellStyle name="Normal 29 5" xfId="27369"/>
    <cellStyle name="Normal 29 5 2" xfId="27370"/>
    <cellStyle name="Normal 29 6" xfId="27371"/>
    <cellStyle name="Normal 29 6 2" xfId="27372"/>
    <cellStyle name="Normal 29 7" xfId="27373"/>
    <cellStyle name="Normal 29 7 2" xfId="27374"/>
    <cellStyle name="Normal 29 8" xfId="27375"/>
    <cellStyle name="Normal 29 8 2" xfId="27376"/>
    <cellStyle name="Normal 29 9" xfId="27377"/>
    <cellStyle name="Normal 29 9 2" xfId="27378"/>
    <cellStyle name="Normal 3" xfId="254"/>
    <cellStyle name="Normal 3 2" xfId="186"/>
    <cellStyle name="Normal 3 2 10" xfId="27379"/>
    <cellStyle name="Normal 3 2 11" xfId="27380"/>
    <cellStyle name="Normal 3 2 12" xfId="27381"/>
    <cellStyle name="Normal 3 2 13" xfId="27382"/>
    <cellStyle name="Normal 3 2 14" xfId="27383"/>
    <cellStyle name="Normal 3 2 2" xfId="27384"/>
    <cellStyle name="Normal 3 2 3" xfId="27385"/>
    <cellStyle name="Normal 3 2 4" xfId="27386"/>
    <cellStyle name="Normal 3 2 5" xfId="27387"/>
    <cellStyle name="Normal 3 2 6" xfId="27388"/>
    <cellStyle name="Normal 3 2 7" xfId="27389"/>
    <cellStyle name="Normal 3 2 8" xfId="27390"/>
    <cellStyle name="Normal 3 2 9" xfId="27391"/>
    <cellStyle name="Normal 3 3" xfId="27392"/>
    <cellStyle name="Normal 3 4" xfId="27393"/>
    <cellStyle name="Normal 3 5" xfId="27394"/>
    <cellStyle name="Normal 3 6" xfId="27395"/>
    <cellStyle name="Normal 3 7" xfId="27396"/>
    <cellStyle name="Normal 3 8" xfId="27397"/>
    <cellStyle name="Normal 30" xfId="27398"/>
    <cellStyle name="Normal 30 10" xfId="27399"/>
    <cellStyle name="Normal 30 10 2" xfId="27400"/>
    <cellStyle name="Normal 30 11" xfId="27401"/>
    <cellStyle name="Normal 30 11 2" xfId="27402"/>
    <cellStyle name="Normal 30 12" xfId="27403"/>
    <cellStyle name="Normal 30 12 2" xfId="27404"/>
    <cellStyle name="Normal 30 13" xfId="27405"/>
    <cellStyle name="Normal 30 2" xfId="27406"/>
    <cellStyle name="Normal 30 2 10" xfId="27407"/>
    <cellStyle name="Normal 30 2 10 2" xfId="27408"/>
    <cellStyle name="Normal 30 2 11" xfId="27409"/>
    <cellStyle name="Normal 30 2 11 2" xfId="27410"/>
    <cellStyle name="Normal 30 2 12" xfId="27411"/>
    <cellStyle name="Normal 30 2 2" xfId="27412"/>
    <cellStyle name="Normal 30 2 2 10" xfId="27413"/>
    <cellStyle name="Normal 30 2 2 10 2" xfId="27414"/>
    <cellStyle name="Normal 30 2 2 11" xfId="27415"/>
    <cellStyle name="Normal 30 2 2 2" xfId="27416"/>
    <cellStyle name="Normal 30 2 2 2 2" xfId="27417"/>
    <cellStyle name="Normal 30 2 2 3" xfId="27418"/>
    <cellStyle name="Normal 30 2 2 3 2" xfId="27419"/>
    <cellStyle name="Normal 30 2 2 4" xfId="27420"/>
    <cellStyle name="Normal 30 2 2 4 2" xfId="27421"/>
    <cellStyle name="Normal 30 2 2 5" xfId="27422"/>
    <cellStyle name="Normal 30 2 2 5 2" xfId="27423"/>
    <cellStyle name="Normal 30 2 2 6" xfId="27424"/>
    <cellStyle name="Normal 30 2 2 6 2" xfId="27425"/>
    <cellStyle name="Normal 30 2 2 7" xfId="27426"/>
    <cellStyle name="Normal 30 2 2 7 2" xfId="27427"/>
    <cellStyle name="Normal 30 2 2 8" xfId="27428"/>
    <cellStyle name="Normal 30 2 2 8 2" xfId="27429"/>
    <cellStyle name="Normal 30 2 2 9" xfId="27430"/>
    <cellStyle name="Normal 30 2 2 9 2" xfId="27431"/>
    <cellStyle name="Normal 30 2 3" xfId="27432"/>
    <cellStyle name="Normal 30 2 3 2" xfId="27433"/>
    <cellStyle name="Normal 30 2 4" xfId="27434"/>
    <cellStyle name="Normal 30 2 4 2" xfId="27435"/>
    <cellStyle name="Normal 30 2 5" xfId="27436"/>
    <cellStyle name="Normal 30 2 5 2" xfId="27437"/>
    <cellStyle name="Normal 30 2 6" xfId="27438"/>
    <cellStyle name="Normal 30 2 6 2" xfId="27439"/>
    <cellStyle name="Normal 30 2 7" xfId="27440"/>
    <cellStyle name="Normal 30 2 7 2" xfId="27441"/>
    <cellStyle name="Normal 30 2 8" xfId="27442"/>
    <cellStyle name="Normal 30 2 8 2" xfId="27443"/>
    <cellStyle name="Normal 30 2 9" xfId="27444"/>
    <cellStyle name="Normal 30 2 9 2" xfId="27445"/>
    <cellStyle name="Normal 30 3" xfId="27446"/>
    <cellStyle name="Normal 30 3 10" xfId="27447"/>
    <cellStyle name="Normal 30 3 10 2" xfId="27448"/>
    <cellStyle name="Normal 30 3 11" xfId="27449"/>
    <cellStyle name="Normal 30 3 2" xfId="27450"/>
    <cellStyle name="Normal 30 3 2 2" xfId="27451"/>
    <cellStyle name="Normal 30 3 3" xfId="27452"/>
    <cellStyle name="Normal 30 3 3 2" xfId="27453"/>
    <cellStyle name="Normal 30 3 4" xfId="27454"/>
    <cellStyle name="Normal 30 3 4 2" xfId="27455"/>
    <cellStyle name="Normal 30 3 5" xfId="27456"/>
    <cellStyle name="Normal 30 3 5 2" xfId="27457"/>
    <cellStyle name="Normal 30 3 6" xfId="27458"/>
    <cellStyle name="Normal 30 3 6 2" xfId="27459"/>
    <cellStyle name="Normal 30 3 7" xfId="27460"/>
    <cellStyle name="Normal 30 3 7 2" xfId="27461"/>
    <cellStyle name="Normal 30 3 8" xfId="27462"/>
    <cellStyle name="Normal 30 3 8 2" xfId="27463"/>
    <cellStyle name="Normal 30 3 9" xfId="27464"/>
    <cellStyle name="Normal 30 3 9 2" xfId="27465"/>
    <cellStyle name="Normal 30 4" xfId="27466"/>
    <cellStyle name="Normal 30 4 2" xfId="27467"/>
    <cellStyle name="Normal 30 5" xfId="27468"/>
    <cellStyle name="Normal 30 5 2" xfId="27469"/>
    <cellStyle name="Normal 30 6" xfId="27470"/>
    <cellStyle name="Normal 30 6 2" xfId="27471"/>
    <cellStyle name="Normal 30 7" xfId="27472"/>
    <cellStyle name="Normal 30 7 2" xfId="27473"/>
    <cellStyle name="Normal 30 8" xfId="27474"/>
    <cellStyle name="Normal 30 8 2" xfId="27475"/>
    <cellStyle name="Normal 30 9" xfId="27476"/>
    <cellStyle name="Normal 30 9 2" xfId="27477"/>
    <cellStyle name="Normal 31" xfId="27478"/>
    <cellStyle name="Normal 31 10" xfId="27479"/>
    <cellStyle name="Normal 31 10 2" xfId="27480"/>
    <cellStyle name="Normal 31 11" xfId="27481"/>
    <cellStyle name="Normal 31 11 2" xfId="27482"/>
    <cellStyle name="Normal 31 12" xfId="27483"/>
    <cellStyle name="Normal 31 12 2" xfId="27484"/>
    <cellStyle name="Normal 31 13" xfId="27485"/>
    <cellStyle name="Normal 31 2" xfId="27486"/>
    <cellStyle name="Normal 31 2 10" xfId="27487"/>
    <cellStyle name="Normal 31 2 10 2" xfId="27488"/>
    <cellStyle name="Normal 31 2 11" xfId="27489"/>
    <cellStyle name="Normal 31 2 11 2" xfId="27490"/>
    <cellStyle name="Normal 31 2 12" xfId="27491"/>
    <cellStyle name="Normal 31 2 2" xfId="27492"/>
    <cellStyle name="Normal 31 2 2 10" xfId="27493"/>
    <cellStyle name="Normal 31 2 2 10 2" xfId="27494"/>
    <cellStyle name="Normal 31 2 2 11" xfId="27495"/>
    <cellStyle name="Normal 31 2 2 2" xfId="27496"/>
    <cellStyle name="Normal 31 2 2 2 2" xfId="27497"/>
    <cellStyle name="Normal 31 2 2 3" xfId="27498"/>
    <cellStyle name="Normal 31 2 2 3 2" xfId="27499"/>
    <cellStyle name="Normal 31 2 2 4" xfId="27500"/>
    <cellStyle name="Normal 31 2 2 4 2" xfId="27501"/>
    <cellStyle name="Normal 31 2 2 5" xfId="27502"/>
    <cellStyle name="Normal 31 2 2 5 2" xfId="27503"/>
    <cellStyle name="Normal 31 2 2 6" xfId="27504"/>
    <cellStyle name="Normal 31 2 2 6 2" xfId="27505"/>
    <cellStyle name="Normal 31 2 2 7" xfId="27506"/>
    <cellStyle name="Normal 31 2 2 7 2" xfId="27507"/>
    <cellStyle name="Normal 31 2 2 8" xfId="27508"/>
    <cellStyle name="Normal 31 2 2 8 2" xfId="27509"/>
    <cellStyle name="Normal 31 2 2 9" xfId="27510"/>
    <cellStyle name="Normal 31 2 2 9 2" xfId="27511"/>
    <cellStyle name="Normal 31 2 3" xfId="27512"/>
    <cellStyle name="Normal 31 2 3 2" xfId="27513"/>
    <cellStyle name="Normal 31 2 4" xfId="27514"/>
    <cellStyle name="Normal 31 2 4 2" xfId="27515"/>
    <cellStyle name="Normal 31 2 5" xfId="27516"/>
    <cellStyle name="Normal 31 2 5 2" xfId="27517"/>
    <cellStyle name="Normal 31 2 6" xfId="27518"/>
    <cellStyle name="Normal 31 2 6 2" xfId="27519"/>
    <cellStyle name="Normal 31 2 7" xfId="27520"/>
    <cellStyle name="Normal 31 2 7 2" xfId="27521"/>
    <cellStyle name="Normal 31 2 8" xfId="27522"/>
    <cellStyle name="Normal 31 2 8 2" xfId="27523"/>
    <cellStyle name="Normal 31 2 9" xfId="27524"/>
    <cellStyle name="Normal 31 2 9 2" xfId="27525"/>
    <cellStyle name="Normal 31 3" xfId="27526"/>
    <cellStyle name="Normal 31 3 10" xfId="27527"/>
    <cellStyle name="Normal 31 3 10 2" xfId="27528"/>
    <cellStyle name="Normal 31 3 11" xfId="27529"/>
    <cellStyle name="Normal 31 3 2" xfId="27530"/>
    <cellStyle name="Normal 31 3 2 2" xfId="27531"/>
    <cellStyle name="Normal 31 3 3" xfId="27532"/>
    <cellStyle name="Normal 31 3 3 2" xfId="27533"/>
    <cellStyle name="Normal 31 3 4" xfId="27534"/>
    <cellStyle name="Normal 31 3 4 2" xfId="27535"/>
    <cellStyle name="Normal 31 3 5" xfId="27536"/>
    <cellStyle name="Normal 31 3 5 2" xfId="27537"/>
    <cellStyle name="Normal 31 3 6" xfId="27538"/>
    <cellStyle name="Normal 31 3 6 2" xfId="27539"/>
    <cellStyle name="Normal 31 3 7" xfId="27540"/>
    <cellStyle name="Normal 31 3 7 2" xfId="27541"/>
    <cellStyle name="Normal 31 3 8" xfId="27542"/>
    <cellStyle name="Normal 31 3 8 2" xfId="27543"/>
    <cellStyle name="Normal 31 3 9" xfId="27544"/>
    <cellStyle name="Normal 31 3 9 2" xfId="27545"/>
    <cellStyle name="Normal 31 4" xfId="27546"/>
    <cellStyle name="Normal 31 4 2" xfId="27547"/>
    <cellStyle name="Normal 31 5" xfId="27548"/>
    <cellStyle name="Normal 31 5 2" xfId="27549"/>
    <cellStyle name="Normal 31 6" xfId="27550"/>
    <cellStyle name="Normal 31 6 2" xfId="27551"/>
    <cellStyle name="Normal 31 7" xfId="27552"/>
    <cellStyle name="Normal 31 7 2" xfId="27553"/>
    <cellStyle name="Normal 31 8" xfId="27554"/>
    <cellStyle name="Normal 31 8 2" xfId="27555"/>
    <cellStyle name="Normal 31 9" xfId="27556"/>
    <cellStyle name="Normal 31 9 2" xfId="27557"/>
    <cellStyle name="Normal 32" xfId="27558"/>
    <cellStyle name="Normal 32 10" xfId="27559"/>
    <cellStyle name="Normal 32 10 2" xfId="27560"/>
    <cellStyle name="Normal 32 11" xfId="27561"/>
    <cellStyle name="Normal 32 11 2" xfId="27562"/>
    <cellStyle name="Normal 32 12" xfId="27563"/>
    <cellStyle name="Normal 32 12 2" xfId="27564"/>
    <cellStyle name="Normal 32 13" xfId="27565"/>
    <cellStyle name="Normal 32 2" xfId="27566"/>
    <cellStyle name="Normal 32 2 10" xfId="27567"/>
    <cellStyle name="Normal 32 2 10 2" xfId="27568"/>
    <cellStyle name="Normal 32 2 11" xfId="27569"/>
    <cellStyle name="Normal 32 2 11 2" xfId="27570"/>
    <cellStyle name="Normal 32 2 12" xfId="27571"/>
    <cellStyle name="Normal 32 2 2" xfId="27572"/>
    <cellStyle name="Normal 32 2 2 10" xfId="27573"/>
    <cellStyle name="Normal 32 2 2 10 2" xfId="27574"/>
    <cellStyle name="Normal 32 2 2 11" xfId="27575"/>
    <cellStyle name="Normal 32 2 2 2" xfId="27576"/>
    <cellStyle name="Normal 32 2 2 2 2" xfId="27577"/>
    <cellStyle name="Normal 32 2 2 3" xfId="27578"/>
    <cellStyle name="Normal 32 2 2 3 2" xfId="27579"/>
    <cellStyle name="Normal 32 2 2 4" xfId="27580"/>
    <cellStyle name="Normal 32 2 2 4 2" xfId="27581"/>
    <cellStyle name="Normal 32 2 2 5" xfId="27582"/>
    <cellStyle name="Normal 32 2 2 5 2" xfId="27583"/>
    <cellStyle name="Normal 32 2 2 6" xfId="27584"/>
    <cellStyle name="Normal 32 2 2 6 2" xfId="27585"/>
    <cellStyle name="Normal 32 2 2 7" xfId="27586"/>
    <cellStyle name="Normal 32 2 2 7 2" xfId="27587"/>
    <cellStyle name="Normal 32 2 2 8" xfId="27588"/>
    <cellStyle name="Normal 32 2 2 8 2" xfId="27589"/>
    <cellStyle name="Normal 32 2 2 9" xfId="27590"/>
    <cellStyle name="Normal 32 2 2 9 2" xfId="27591"/>
    <cellStyle name="Normal 32 2 3" xfId="27592"/>
    <cellStyle name="Normal 32 2 3 2" xfId="27593"/>
    <cellStyle name="Normal 32 2 4" xfId="27594"/>
    <cellStyle name="Normal 32 2 4 2" xfId="27595"/>
    <cellStyle name="Normal 32 2 5" xfId="27596"/>
    <cellStyle name="Normal 32 2 5 2" xfId="27597"/>
    <cellStyle name="Normal 32 2 6" xfId="27598"/>
    <cellStyle name="Normal 32 2 6 2" xfId="27599"/>
    <cellStyle name="Normal 32 2 7" xfId="27600"/>
    <cellStyle name="Normal 32 2 7 2" xfId="27601"/>
    <cellStyle name="Normal 32 2 8" xfId="27602"/>
    <cellStyle name="Normal 32 2 8 2" xfId="27603"/>
    <cellStyle name="Normal 32 2 9" xfId="27604"/>
    <cellStyle name="Normal 32 2 9 2" xfId="27605"/>
    <cellStyle name="Normal 32 3" xfId="27606"/>
    <cellStyle name="Normal 32 3 10" xfId="27607"/>
    <cellStyle name="Normal 32 3 10 2" xfId="27608"/>
    <cellStyle name="Normal 32 3 11" xfId="27609"/>
    <cellStyle name="Normal 32 3 2" xfId="27610"/>
    <cellStyle name="Normal 32 3 2 2" xfId="27611"/>
    <cellStyle name="Normal 32 3 3" xfId="27612"/>
    <cellStyle name="Normal 32 3 3 2" xfId="27613"/>
    <cellStyle name="Normal 32 3 4" xfId="27614"/>
    <cellStyle name="Normal 32 3 4 2" xfId="27615"/>
    <cellStyle name="Normal 32 3 5" xfId="27616"/>
    <cellStyle name="Normal 32 3 5 2" xfId="27617"/>
    <cellStyle name="Normal 32 3 6" xfId="27618"/>
    <cellStyle name="Normal 32 3 6 2" xfId="27619"/>
    <cellStyle name="Normal 32 3 7" xfId="27620"/>
    <cellStyle name="Normal 32 3 7 2" xfId="27621"/>
    <cellStyle name="Normal 32 3 8" xfId="27622"/>
    <cellStyle name="Normal 32 3 8 2" xfId="27623"/>
    <cellStyle name="Normal 32 3 9" xfId="27624"/>
    <cellStyle name="Normal 32 3 9 2" xfId="27625"/>
    <cellStyle name="Normal 32 4" xfId="27626"/>
    <cellStyle name="Normal 32 4 2" xfId="27627"/>
    <cellStyle name="Normal 32 5" xfId="27628"/>
    <cellStyle name="Normal 32 5 2" xfId="27629"/>
    <cellStyle name="Normal 32 6" xfId="27630"/>
    <cellStyle name="Normal 32 6 2" xfId="27631"/>
    <cellStyle name="Normal 32 7" xfId="27632"/>
    <cellStyle name="Normal 32 7 2" xfId="27633"/>
    <cellStyle name="Normal 32 8" xfId="27634"/>
    <cellStyle name="Normal 32 8 2" xfId="27635"/>
    <cellStyle name="Normal 32 9" xfId="27636"/>
    <cellStyle name="Normal 32 9 2" xfId="27637"/>
    <cellStyle name="Normal 33" xfId="27638"/>
    <cellStyle name="Normal 33 10" xfId="27639"/>
    <cellStyle name="Normal 33 10 2" xfId="27640"/>
    <cellStyle name="Normal 33 11" xfId="27641"/>
    <cellStyle name="Normal 33 11 2" xfId="27642"/>
    <cellStyle name="Normal 33 12" xfId="27643"/>
    <cellStyle name="Normal 33 2" xfId="27644"/>
    <cellStyle name="Normal 33 2 10" xfId="27645"/>
    <cellStyle name="Normal 33 2 10 2" xfId="27646"/>
    <cellStyle name="Normal 33 2 11" xfId="27647"/>
    <cellStyle name="Normal 33 2 2" xfId="27648"/>
    <cellStyle name="Normal 33 2 2 2" xfId="27649"/>
    <cellStyle name="Normal 33 2 3" xfId="27650"/>
    <cellStyle name="Normal 33 2 3 2" xfId="27651"/>
    <cellStyle name="Normal 33 2 4" xfId="27652"/>
    <cellStyle name="Normal 33 2 4 2" xfId="27653"/>
    <cellStyle name="Normal 33 2 5" xfId="27654"/>
    <cellStyle name="Normal 33 2 5 2" xfId="27655"/>
    <cellStyle name="Normal 33 2 6" xfId="27656"/>
    <cellStyle name="Normal 33 2 6 2" xfId="27657"/>
    <cellStyle name="Normal 33 2 7" xfId="27658"/>
    <cellStyle name="Normal 33 2 7 2" xfId="27659"/>
    <cellStyle name="Normal 33 2 8" xfId="27660"/>
    <cellStyle name="Normal 33 2 8 2" xfId="27661"/>
    <cellStyle name="Normal 33 2 9" xfId="27662"/>
    <cellStyle name="Normal 33 2 9 2" xfId="27663"/>
    <cellStyle name="Normal 33 3" xfId="27664"/>
    <cellStyle name="Normal 33 3 2" xfId="27665"/>
    <cellStyle name="Normal 33 4" xfId="27666"/>
    <cellStyle name="Normal 33 4 2" xfId="27667"/>
    <cellStyle name="Normal 33 5" xfId="27668"/>
    <cellStyle name="Normal 33 5 2" xfId="27669"/>
    <cellStyle name="Normal 33 6" xfId="27670"/>
    <cellStyle name="Normal 33 6 2" xfId="27671"/>
    <cellStyle name="Normal 33 7" xfId="27672"/>
    <cellStyle name="Normal 33 7 2" xfId="27673"/>
    <cellStyle name="Normal 33 8" xfId="27674"/>
    <cellStyle name="Normal 33 8 2" xfId="27675"/>
    <cellStyle name="Normal 33 9" xfId="27676"/>
    <cellStyle name="Normal 33 9 2" xfId="27677"/>
    <cellStyle name="Normal 34" xfId="27678"/>
    <cellStyle name="Normal 35" xfId="255"/>
    <cellStyle name="Normal 35 10" xfId="27679"/>
    <cellStyle name="Normal 35 10 2" xfId="27680"/>
    <cellStyle name="Normal 35 11" xfId="27681"/>
    <cellStyle name="Normal 35 2" xfId="27682"/>
    <cellStyle name="Normal 35 2 2" xfId="27683"/>
    <cellStyle name="Normal 35 3" xfId="27684"/>
    <cellStyle name="Normal 35 3 2" xfId="27685"/>
    <cellStyle name="Normal 35 4" xfId="27686"/>
    <cellStyle name="Normal 35 4 2" xfId="27687"/>
    <cellStyle name="Normal 35 5" xfId="27688"/>
    <cellStyle name="Normal 35 5 2" xfId="27689"/>
    <cellStyle name="Normal 35 6" xfId="27690"/>
    <cellStyle name="Normal 35 6 2" xfId="27691"/>
    <cellStyle name="Normal 35 7" xfId="27692"/>
    <cellStyle name="Normal 35 7 2" xfId="27693"/>
    <cellStyle name="Normal 35 8" xfId="27694"/>
    <cellStyle name="Normal 35 8 2" xfId="27695"/>
    <cellStyle name="Normal 35 9" xfId="27696"/>
    <cellStyle name="Normal 35 9 2" xfId="27697"/>
    <cellStyle name="Normal 36" xfId="27698"/>
    <cellStyle name="Normal 36 10" xfId="27699"/>
    <cellStyle name="Normal 36 11" xfId="27700"/>
    <cellStyle name="Normal 36 12" xfId="27701"/>
    <cellStyle name="Normal 36 2" xfId="27702"/>
    <cellStyle name="Normal 36 3" xfId="27703"/>
    <cellStyle name="Normal 36 4" xfId="27704"/>
    <cellStyle name="Normal 36 5" xfId="27705"/>
    <cellStyle name="Normal 36 6" xfId="27706"/>
    <cellStyle name="Normal 36 7" xfId="27707"/>
    <cellStyle name="Normal 36 8" xfId="27708"/>
    <cellStyle name="Normal 36 9" xfId="27709"/>
    <cellStyle name="Normal 37" xfId="27710"/>
    <cellStyle name="Normal 37 10" xfId="27711"/>
    <cellStyle name="Normal 37 10 2" xfId="27712"/>
    <cellStyle name="Normal 37 11" xfId="27713"/>
    <cellStyle name="Normal 37 2" xfId="27714"/>
    <cellStyle name="Normal 37 2 2" xfId="27715"/>
    <cellStyle name="Normal 37 3" xfId="27716"/>
    <cellStyle name="Normal 37 3 2" xfId="27717"/>
    <cellStyle name="Normal 37 4" xfId="27718"/>
    <cellStyle name="Normal 37 4 2" xfId="27719"/>
    <cellStyle name="Normal 37 5" xfId="27720"/>
    <cellStyle name="Normal 37 5 2" xfId="27721"/>
    <cellStyle name="Normal 37 6" xfId="27722"/>
    <cellStyle name="Normal 37 6 2" xfId="27723"/>
    <cellStyle name="Normal 37 7" xfId="27724"/>
    <cellStyle name="Normal 37 7 2" xfId="27725"/>
    <cellStyle name="Normal 37 8" xfId="27726"/>
    <cellStyle name="Normal 37 8 2" xfId="27727"/>
    <cellStyle name="Normal 37 9" xfId="27728"/>
    <cellStyle name="Normal 37 9 2" xfId="27729"/>
    <cellStyle name="Normal 38" xfId="27730"/>
    <cellStyle name="Normal 38 10" xfId="27731"/>
    <cellStyle name="Normal 38 10 2" xfId="27732"/>
    <cellStyle name="Normal 38 11" xfId="27733"/>
    <cellStyle name="Normal 38 2" xfId="27734"/>
    <cellStyle name="Normal 38 2 2" xfId="27735"/>
    <cellStyle name="Normal 38 3" xfId="27736"/>
    <cellStyle name="Normal 38 3 2" xfId="27737"/>
    <cellStyle name="Normal 38 4" xfId="27738"/>
    <cellStyle name="Normal 38 4 2" xfId="27739"/>
    <cellStyle name="Normal 38 5" xfId="27740"/>
    <cellStyle name="Normal 38 5 2" xfId="27741"/>
    <cellStyle name="Normal 38 6" xfId="27742"/>
    <cellStyle name="Normal 38 6 2" xfId="27743"/>
    <cellStyle name="Normal 38 7" xfId="27744"/>
    <cellStyle name="Normal 38 7 2" xfId="27745"/>
    <cellStyle name="Normal 38 8" xfId="27746"/>
    <cellStyle name="Normal 38 8 2" xfId="27747"/>
    <cellStyle name="Normal 38 9" xfId="27748"/>
    <cellStyle name="Normal 38 9 2" xfId="27749"/>
    <cellStyle name="Normal 39" xfId="258"/>
    <cellStyle name="Normal 39 2" xfId="27750"/>
    <cellStyle name="Normal 4" xfId="187"/>
    <cellStyle name="Normal 4 10" xfId="27751"/>
    <cellStyle name="Normal 4 10 2" xfId="27752"/>
    <cellStyle name="Normal 4 11" xfId="27753"/>
    <cellStyle name="Normal 4 11 2" xfId="27754"/>
    <cellStyle name="Normal 4 12" xfId="27755"/>
    <cellStyle name="Normal 4 12 2" xfId="27756"/>
    <cellStyle name="Normal 4 13" xfId="27757"/>
    <cellStyle name="Normal 4 13 2" xfId="27758"/>
    <cellStyle name="Normal 4 14" xfId="27759"/>
    <cellStyle name="Normal 4 14 2" xfId="27760"/>
    <cellStyle name="Normal 4 15" xfId="27761"/>
    <cellStyle name="Normal 4 15 2" xfId="27762"/>
    <cellStyle name="Normal 4 16" xfId="27763"/>
    <cellStyle name="Normal 4 16 2" xfId="27764"/>
    <cellStyle name="Normal 4 17" xfId="27765"/>
    <cellStyle name="Normal 4 17 2" xfId="27766"/>
    <cellStyle name="Normal 4 18" xfId="27767"/>
    <cellStyle name="Normal 4 18 2" xfId="27768"/>
    <cellStyle name="Normal 4 19" xfId="27769"/>
    <cellStyle name="Normal 4 2" xfId="188"/>
    <cellStyle name="Normal 4 2 10" xfId="27770"/>
    <cellStyle name="Normal 4 2 10 2" xfId="27771"/>
    <cellStyle name="Normal 4 2 11" xfId="27772"/>
    <cellStyle name="Normal 4 2 11 2" xfId="27773"/>
    <cellStyle name="Normal 4 2 12" xfId="27774"/>
    <cellStyle name="Normal 4 2 12 2" xfId="27775"/>
    <cellStyle name="Normal 4 2 13" xfId="27776"/>
    <cellStyle name="Normal 4 2 13 2" xfId="27777"/>
    <cellStyle name="Normal 4 2 14" xfId="27778"/>
    <cellStyle name="Normal 4 2 14 2" xfId="27779"/>
    <cellStyle name="Normal 4 2 15" xfId="27780"/>
    <cellStyle name="Normal 4 2 15 2" xfId="27781"/>
    <cellStyle name="Normal 4 2 16" xfId="27782"/>
    <cellStyle name="Normal 4 2 16 2" xfId="27783"/>
    <cellStyle name="Normal 4 2 17" xfId="27784"/>
    <cellStyle name="Normal 4 2 18" xfId="27785"/>
    <cellStyle name="Normal 4 2 19" xfId="27786"/>
    <cellStyle name="Normal 4 2 2" xfId="27787"/>
    <cellStyle name="Normal 4 2 2 10" xfId="27788"/>
    <cellStyle name="Normal 4 2 2 10 2" xfId="27789"/>
    <cellStyle name="Normal 4 2 2 11" xfId="27790"/>
    <cellStyle name="Normal 4 2 2 11 2" xfId="27791"/>
    <cellStyle name="Normal 4 2 2 12" xfId="27792"/>
    <cellStyle name="Normal 4 2 2 12 2" xfId="27793"/>
    <cellStyle name="Normal 4 2 2 13" xfId="27794"/>
    <cellStyle name="Normal 4 2 2 2" xfId="27795"/>
    <cellStyle name="Normal 4 2 2 2 10" xfId="27796"/>
    <cellStyle name="Normal 4 2 2 2 10 2" xfId="27797"/>
    <cellStyle name="Normal 4 2 2 2 11" xfId="27798"/>
    <cellStyle name="Normal 4 2 2 2 11 2" xfId="27799"/>
    <cellStyle name="Normal 4 2 2 2 12" xfId="27800"/>
    <cellStyle name="Normal 4 2 2 2 2" xfId="27801"/>
    <cellStyle name="Normal 4 2 2 2 2 10" xfId="27802"/>
    <cellStyle name="Normal 4 2 2 2 2 10 2" xfId="27803"/>
    <cellStyle name="Normal 4 2 2 2 2 11" xfId="27804"/>
    <cellStyle name="Normal 4 2 2 2 2 2" xfId="27805"/>
    <cellStyle name="Normal 4 2 2 2 2 2 2" xfId="27806"/>
    <cellStyle name="Normal 4 2 2 2 2 3" xfId="27807"/>
    <cellStyle name="Normal 4 2 2 2 2 3 2" xfId="27808"/>
    <cellStyle name="Normal 4 2 2 2 2 4" xfId="27809"/>
    <cellStyle name="Normal 4 2 2 2 2 4 2" xfId="27810"/>
    <cellStyle name="Normal 4 2 2 2 2 5" xfId="27811"/>
    <cellStyle name="Normal 4 2 2 2 2 5 2" xfId="27812"/>
    <cellStyle name="Normal 4 2 2 2 2 6" xfId="27813"/>
    <cellStyle name="Normal 4 2 2 2 2 6 2" xfId="27814"/>
    <cellStyle name="Normal 4 2 2 2 2 7" xfId="27815"/>
    <cellStyle name="Normal 4 2 2 2 2 7 2" xfId="27816"/>
    <cellStyle name="Normal 4 2 2 2 2 8" xfId="27817"/>
    <cellStyle name="Normal 4 2 2 2 2 8 2" xfId="27818"/>
    <cellStyle name="Normal 4 2 2 2 2 9" xfId="27819"/>
    <cellStyle name="Normal 4 2 2 2 2 9 2" xfId="27820"/>
    <cellStyle name="Normal 4 2 2 2 3" xfId="27821"/>
    <cellStyle name="Normal 4 2 2 2 3 2" xfId="27822"/>
    <cellStyle name="Normal 4 2 2 2 4" xfId="27823"/>
    <cellStyle name="Normal 4 2 2 2 4 2" xfId="27824"/>
    <cellStyle name="Normal 4 2 2 2 5" xfId="27825"/>
    <cellStyle name="Normal 4 2 2 2 5 2" xfId="27826"/>
    <cellStyle name="Normal 4 2 2 2 6" xfId="27827"/>
    <cellStyle name="Normal 4 2 2 2 6 2" xfId="27828"/>
    <cellStyle name="Normal 4 2 2 2 7" xfId="27829"/>
    <cellStyle name="Normal 4 2 2 2 7 2" xfId="27830"/>
    <cellStyle name="Normal 4 2 2 2 8" xfId="27831"/>
    <cellStyle name="Normal 4 2 2 2 8 2" xfId="27832"/>
    <cellStyle name="Normal 4 2 2 2 9" xfId="27833"/>
    <cellStyle name="Normal 4 2 2 2 9 2" xfId="27834"/>
    <cellStyle name="Normal 4 2 2 3" xfId="27835"/>
    <cellStyle name="Normal 4 2 2 3 10" xfId="27836"/>
    <cellStyle name="Normal 4 2 2 3 10 2" xfId="27837"/>
    <cellStyle name="Normal 4 2 2 3 11" xfId="27838"/>
    <cellStyle name="Normal 4 2 2 3 2" xfId="27839"/>
    <cellStyle name="Normal 4 2 2 3 2 2" xfId="27840"/>
    <cellStyle name="Normal 4 2 2 3 3" xfId="27841"/>
    <cellStyle name="Normal 4 2 2 3 3 2" xfId="27842"/>
    <cellStyle name="Normal 4 2 2 3 4" xfId="27843"/>
    <cellStyle name="Normal 4 2 2 3 4 2" xfId="27844"/>
    <cellStyle name="Normal 4 2 2 3 5" xfId="27845"/>
    <cellStyle name="Normal 4 2 2 3 5 2" xfId="27846"/>
    <cellStyle name="Normal 4 2 2 3 6" xfId="27847"/>
    <cellStyle name="Normal 4 2 2 3 6 2" xfId="27848"/>
    <cellStyle name="Normal 4 2 2 3 7" xfId="27849"/>
    <cellStyle name="Normal 4 2 2 3 7 2" xfId="27850"/>
    <cellStyle name="Normal 4 2 2 3 8" xfId="27851"/>
    <cellStyle name="Normal 4 2 2 3 8 2" xfId="27852"/>
    <cellStyle name="Normal 4 2 2 3 9" xfId="27853"/>
    <cellStyle name="Normal 4 2 2 3 9 2" xfId="27854"/>
    <cellStyle name="Normal 4 2 2 4" xfId="27855"/>
    <cellStyle name="Normal 4 2 2 4 2" xfId="27856"/>
    <cellStyle name="Normal 4 2 2 5" xfId="27857"/>
    <cellStyle name="Normal 4 2 2 5 2" xfId="27858"/>
    <cellStyle name="Normal 4 2 2 6" xfId="27859"/>
    <cellStyle name="Normal 4 2 2 6 2" xfId="27860"/>
    <cellStyle name="Normal 4 2 2 7" xfId="27861"/>
    <cellStyle name="Normal 4 2 2 7 2" xfId="27862"/>
    <cellStyle name="Normal 4 2 2 8" xfId="27863"/>
    <cellStyle name="Normal 4 2 2 8 2" xfId="27864"/>
    <cellStyle name="Normal 4 2 2 9" xfId="27865"/>
    <cellStyle name="Normal 4 2 2 9 2" xfId="27866"/>
    <cellStyle name="Normal 4 2 3" xfId="27867"/>
    <cellStyle name="Normal 4 2 3 10" xfId="27868"/>
    <cellStyle name="Normal 4 2 3 10 2" xfId="27869"/>
    <cellStyle name="Normal 4 2 3 11" xfId="27870"/>
    <cellStyle name="Normal 4 2 3 11 2" xfId="27871"/>
    <cellStyle name="Normal 4 2 3 12" xfId="27872"/>
    <cellStyle name="Normal 4 2 3 12 2" xfId="27873"/>
    <cellStyle name="Normal 4 2 3 13" xfId="27874"/>
    <cellStyle name="Normal 4 2 3 2" xfId="27875"/>
    <cellStyle name="Normal 4 2 3 2 10" xfId="27876"/>
    <cellStyle name="Normal 4 2 3 2 10 2" xfId="27877"/>
    <cellStyle name="Normal 4 2 3 2 11" xfId="27878"/>
    <cellStyle name="Normal 4 2 3 2 11 2" xfId="27879"/>
    <cellStyle name="Normal 4 2 3 2 12" xfId="27880"/>
    <cellStyle name="Normal 4 2 3 2 2" xfId="27881"/>
    <cellStyle name="Normal 4 2 3 2 2 10" xfId="27882"/>
    <cellStyle name="Normal 4 2 3 2 2 10 2" xfId="27883"/>
    <cellStyle name="Normal 4 2 3 2 2 11" xfId="27884"/>
    <cellStyle name="Normal 4 2 3 2 2 2" xfId="27885"/>
    <cellStyle name="Normal 4 2 3 2 2 2 2" xfId="27886"/>
    <cellStyle name="Normal 4 2 3 2 2 3" xfId="27887"/>
    <cellStyle name="Normal 4 2 3 2 2 3 2" xfId="27888"/>
    <cellStyle name="Normal 4 2 3 2 2 4" xfId="27889"/>
    <cellStyle name="Normal 4 2 3 2 2 4 2" xfId="27890"/>
    <cellStyle name="Normal 4 2 3 2 2 5" xfId="27891"/>
    <cellStyle name="Normal 4 2 3 2 2 5 2" xfId="27892"/>
    <cellStyle name="Normal 4 2 3 2 2 6" xfId="27893"/>
    <cellStyle name="Normal 4 2 3 2 2 6 2" xfId="27894"/>
    <cellStyle name="Normal 4 2 3 2 2 7" xfId="27895"/>
    <cellStyle name="Normal 4 2 3 2 2 7 2" xfId="27896"/>
    <cellStyle name="Normal 4 2 3 2 2 8" xfId="27897"/>
    <cellStyle name="Normal 4 2 3 2 2 8 2" xfId="27898"/>
    <cellStyle name="Normal 4 2 3 2 2 9" xfId="27899"/>
    <cellStyle name="Normal 4 2 3 2 2 9 2" xfId="27900"/>
    <cellStyle name="Normal 4 2 3 2 3" xfId="27901"/>
    <cellStyle name="Normal 4 2 3 2 3 2" xfId="27902"/>
    <cellStyle name="Normal 4 2 3 2 4" xfId="27903"/>
    <cellStyle name="Normal 4 2 3 2 4 2" xfId="27904"/>
    <cellStyle name="Normal 4 2 3 2 5" xfId="27905"/>
    <cellStyle name="Normal 4 2 3 2 5 2" xfId="27906"/>
    <cellStyle name="Normal 4 2 3 2 6" xfId="27907"/>
    <cellStyle name="Normal 4 2 3 2 6 2" xfId="27908"/>
    <cellStyle name="Normal 4 2 3 2 7" xfId="27909"/>
    <cellStyle name="Normal 4 2 3 2 7 2" xfId="27910"/>
    <cellStyle name="Normal 4 2 3 2 8" xfId="27911"/>
    <cellStyle name="Normal 4 2 3 2 8 2" xfId="27912"/>
    <cellStyle name="Normal 4 2 3 2 9" xfId="27913"/>
    <cellStyle name="Normal 4 2 3 2 9 2" xfId="27914"/>
    <cellStyle name="Normal 4 2 3 3" xfId="27915"/>
    <cellStyle name="Normal 4 2 3 3 10" xfId="27916"/>
    <cellStyle name="Normal 4 2 3 3 10 2" xfId="27917"/>
    <cellStyle name="Normal 4 2 3 3 11" xfId="27918"/>
    <cellStyle name="Normal 4 2 3 3 2" xfId="27919"/>
    <cellStyle name="Normal 4 2 3 3 2 2" xfId="27920"/>
    <cellStyle name="Normal 4 2 3 3 3" xfId="27921"/>
    <cellStyle name="Normal 4 2 3 3 3 2" xfId="27922"/>
    <cellStyle name="Normal 4 2 3 3 4" xfId="27923"/>
    <cellStyle name="Normal 4 2 3 3 4 2" xfId="27924"/>
    <cellStyle name="Normal 4 2 3 3 5" xfId="27925"/>
    <cellStyle name="Normal 4 2 3 3 5 2" xfId="27926"/>
    <cellStyle name="Normal 4 2 3 3 6" xfId="27927"/>
    <cellStyle name="Normal 4 2 3 3 6 2" xfId="27928"/>
    <cellStyle name="Normal 4 2 3 3 7" xfId="27929"/>
    <cellStyle name="Normal 4 2 3 3 7 2" xfId="27930"/>
    <cellStyle name="Normal 4 2 3 3 8" xfId="27931"/>
    <cellStyle name="Normal 4 2 3 3 8 2" xfId="27932"/>
    <cellStyle name="Normal 4 2 3 3 9" xfId="27933"/>
    <cellStyle name="Normal 4 2 3 3 9 2" xfId="27934"/>
    <cellStyle name="Normal 4 2 3 4" xfId="27935"/>
    <cellStyle name="Normal 4 2 3 4 2" xfId="27936"/>
    <cellStyle name="Normal 4 2 3 5" xfId="27937"/>
    <cellStyle name="Normal 4 2 3 5 2" xfId="27938"/>
    <cellStyle name="Normal 4 2 3 6" xfId="27939"/>
    <cellStyle name="Normal 4 2 3 6 2" xfId="27940"/>
    <cellStyle name="Normal 4 2 3 7" xfId="27941"/>
    <cellStyle name="Normal 4 2 3 7 2" xfId="27942"/>
    <cellStyle name="Normal 4 2 3 8" xfId="27943"/>
    <cellStyle name="Normal 4 2 3 8 2" xfId="27944"/>
    <cellStyle name="Normal 4 2 3 9" xfId="27945"/>
    <cellStyle name="Normal 4 2 3 9 2" xfId="27946"/>
    <cellStyle name="Normal 4 2 4" xfId="27947"/>
    <cellStyle name="Normal 4 2 4 10" xfId="27948"/>
    <cellStyle name="Normal 4 2 4 10 2" xfId="27949"/>
    <cellStyle name="Normal 4 2 4 11" xfId="27950"/>
    <cellStyle name="Normal 4 2 4 11 2" xfId="27951"/>
    <cellStyle name="Normal 4 2 4 12" xfId="27952"/>
    <cellStyle name="Normal 4 2 4 12 2" xfId="27953"/>
    <cellStyle name="Normal 4 2 4 13" xfId="27954"/>
    <cellStyle name="Normal 4 2 4 2" xfId="27955"/>
    <cellStyle name="Normal 4 2 4 2 10" xfId="27956"/>
    <cellStyle name="Normal 4 2 4 2 10 2" xfId="27957"/>
    <cellStyle name="Normal 4 2 4 2 11" xfId="27958"/>
    <cellStyle name="Normal 4 2 4 2 11 2" xfId="27959"/>
    <cellStyle name="Normal 4 2 4 2 12" xfId="27960"/>
    <cellStyle name="Normal 4 2 4 2 2" xfId="27961"/>
    <cellStyle name="Normal 4 2 4 2 2 10" xfId="27962"/>
    <cellStyle name="Normal 4 2 4 2 2 10 2" xfId="27963"/>
    <cellStyle name="Normal 4 2 4 2 2 11" xfId="27964"/>
    <cellStyle name="Normal 4 2 4 2 2 2" xfId="27965"/>
    <cellStyle name="Normal 4 2 4 2 2 2 2" xfId="27966"/>
    <cellStyle name="Normal 4 2 4 2 2 3" xfId="27967"/>
    <cellStyle name="Normal 4 2 4 2 2 3 2" xfId="27968"/>
    <cellStyle name="Normal 4 2 4 2 2 4" xfId="27969"/>
    <cellStyle name="Normal 4 2 4 2 2 4 2" xfId="27970"/>
    <cellStyle name="Normal 4 2 4 2 2 5" xfId="27971"/>
    <cellStyle name="Normal 4 2 4 2 2 5 2" xfId="27972"/>
    <cellStyle name="Normal 4 2 4 2 2 6" xfId="27973"/>
    <cellStyle name="Normal 4 2 4 2 2 6 2" xfId="27974"/>
    <cellStyle name="Normal 4 2 4 2 2 7" xfId="27975"/>
    <cellStyle name="Normal 4 2 4 2 2 7 2" xfId="27976"/>
    <cellStyle name="Normal 4 2 4 2 2 8" xfId="27977"/>
    <cellStyle name="Normal 4 2 4 2 2 8 2" xfId="27978"/>
    <cellStyle name="Normal 4 2 4 2 2 9" xfId="27979"/>
    <cellStyle name="Normal 4 2 4 2 2 9 2" xfId="27980"/>
    <cellStyle name="Normal 4 2 4 2 3" xfId="27981"/>
    <cellStyle name="Normal 4 2 4 2 3 2" xfId="27982"/>
    <cellStyle name="Normal 4 2 4 2 4" xfId="27983"/>
    <cellStyle name="Normal 4 2 4 2 4 2" xfId="27984"/>
    <cellStyle name="Normal 4 2 4 2 5" xfId="27985"/>
    <cellStyle name="Normal 4 2 4 2 5 2" xfId="27986"/>
    <cellStyle name="Normal 4 2 4 2 6" xfId="27987"/>
    <cellStyle name="Normal 4 2 4 2 6 2" xfId="27988"/>
    <cellStyle name="Normal 4 2 4 2 7" xfId="27989"/>
    <cellStyle name="Normal 4 2 4 2 7 2" xfId="27990"/>
    <cellStyle name="Normal 4 2 4 2 8" xfId="27991"/>
    <cellStyle name="Normal 4 2 4 2 8 2" xfId="27992"/>
    <cellStyle name="Normal 4 2 4 2 9" xfId="27993"/>
    <cellStyle name="Normal 4 2 4 2 9 2" xfId="27994"/>
    <cellStyle name="Normal 4 2 4 3" xfId="27995"/>
    <cellStyle name="Normal 4 2 4 3 10" xfId="27996"/>
    <cellStyle name="Normal 4 2 4 3 10 2" xfId="27997"/>
    <cellStyle name="Normal 4 2 4 3 11" xfId="27998"/>
    <cellStyle name="Normal 4 2 4 3 2" xfId="27999"/>
    <cellStyle name="Normal 4 2 4 3 2 2" xfId="28000"/>
    <cellStyle name="Normal 4 2 4 3 3" xfId="28001"/>
    <cellStyle name="Normal 4 2 4 3 3 2" xfId="28002"/>
    <cellStyle name="Normal 4 2 4 3 4" xfId="28003"/>
    <cellStyle name="Normal 4 2 4 3 4 2" xfId="28004"/>
    <cellStyle name="Normal 4 2 4 3 5" xfId="28005"/>
    <cellStyle name="Normal 4 2 4 3 5 2" xfId="28006"/>
    <cellStyle name="Normal 4 2 4 3 6" xfId="28007"/>
    <cellStyle name="Normal 4 2 4 3 6 2" xfId="28008"/>
    <cellStyle name="Normal 4 2 4 3 7" xfId="28009"/>
    <cellStyle name="Normal 4 2 4 3 7 2" xfId="28010"/>
    <cellStyle name="Normal 4 2 4 3 8" xfId="28011"/>
    <cellStyle name="Normal 4 2 4 3 8 2" xfId="28012"/>
    <cellStyle name="Normal 4 2 4 3 9" xfId="28013"/>
    <cellStyle name="Normal 4 2 4 3 9 2" xfId="28014"/>
    <cellStyle name="Normal 4 2 4 4" xfId="28015"/>
    <cellStyle name="Normal 4 2 4 4 2" xfId="28016"/>
    <cellStyle name="Normal 4 2 4 5" xfId="28017"/>
    <cellStyle name="Normal 4 2 4 5 2" xfId="28018"/>
    <cellStyle name="Normal 4 2 4 6" xfId="28019"/>
    <cellStyle name="Normal 4 2 4 6 2" xfId="28020"/>
    <cellStyle name="Normal 4 2 4 7" xfId="28021"/>
    <cellStyle name="Normal 4 2 4 7 2" xfId="28022"/>
    <cellStyle name="Normal 4 2 4 8" xfId="28023"/>
    <cellStyle name="Normal 4 2 4 8 2" xfId="28024"/>
    <cellStyle name="Normal 4 2 4 9" xfId="28025"/>
    <cellStyle name="Normal 4 2 4 9 2" xfId="28026"/>
    <cellStyle name="Normal 4 2 5" xfId="28027"/>
    <cellStyle name="Normal 4 2 5 10" xfId="28028"/>
    <cellStyle name="Normal 4 2 5 10 2" xfId="28029"/>
    <cellStyle name="Normal 4 2 5 11" xfId="28030"/>
    <cellStyle name="Normal 4 2 5 11 2" xfId="28031"/>
    <cellStyle name="Normal 4 2 5 12" xfId="28032"/>
    <cellStyle name="Normal 4 2 5 12 2" xfId="28033"/>
    <cellStyle name="Normal 4 2 5 13" xfId="28034"/>
    <cellStyle name="Normal 4 2 5 2" xfId="28035"/>
    <cellStyle name="Normal 4 2 5 2 10" xfId="28036"/>
    <cellStyle name="Normal 4 2 5 2 10 2" xfId="28037"/>
    <cellStyle name="Normal 4 2 5 2 11" xfId="28038"/>
    <cellStyle name="Normal 4 2 5 2 11 2" xfId="28039"/>
    <cellStyle name="Normal 4 2 5 2 12" xfId="28040"/>
    <cellStyle name="Normal 4 2 5 2 2" xfId="28041"/>
    <cellStyle name="Normal 4 2 5 2 2 10" xfId="28042"/>
    <cellStyle name="Normal 4 2 5 2 2 10 2" xfId="28043"/>
    <cellStyle name="Normal 4 2 5 2 2 11" xfId="28044"/>
    <cellStyle name="Normal 4 2 5 2 2 2" xfId="28045"/>
    <cellStyle name="Normal 4 2 5 2 2 2 2" xfId="28046"/>
    <cellStyle name="Normal 4 2 5 2 2 3" xfId="28047"/>
    <cellStyle name="Normal 4 2 5 2 2 3 2" xfId="28048"/>
    <cellStyle name="Normal 4 2 5 2 2 4" xfId="28049"/>
    <cellStyle name="Normal 4 2 5 2 2 4 2" xfId="28050"/>
    <cellStyle name="Normal 4 2 5 2 2 5" xfId="28051"/>
    <cellStyle name="Normal 4 2 5 2 2 5 2" xfId="28052"/>
    <cellStyle name="Normal 4 2 5 2 2 6" xfId="28053"/>
    <cellStyle name="Normal 4 2 5 2 2 6 2" xfId="28054"/>
    <cellStyle name="Normal 4 2 5 2 2 7" xfId="28055"/>
    <cellStyle name="Normal 4 2 5 2 2 7 2" xfId="28056"/>
    <cellStyle name="Normal 4 2 5 2 2 8" xfId="28057"/>
    <cellStyle name="Normal 4 2 5 2 2 8 2" xfId="28058"/>
    <cellStyle name="Normal 4 2 5 2 2 9" xfId="28059"/>
    <cellStyle name="Normal 4 2 5 2 2 9 2" xfId="28060"/>
    <cellStyle name="Normal 4 2 5 2 3" xfId="28061"/>
    <cellStyle name="Normal 4 2 5 2 3 2" xfId="28062"/>
    <cellStyle name="Normal 4 2 5 2 4" xfId="28063"/>
    <cellStyle name="Normal 4 2 5 2 4 2" xfId="28064"/>
    <cellStyle name="Normal 4 2 5 2 5" xfId="28065"/>
    <cellStyle name="Normal 4 2 5 2 5 2" xfId="28066"/>
    <cellStyle name="Normal 4 2 5 2 6" xfId="28067"/>
    <cellStyle name="Normal 4 2 5 2 6 2" xfId="28068"/>
    <cellStyle name="Normal 4 2 5 2 7" xfId="28069"/>
    <cellStyle name="Normal 4 2 5 2 7 2" xfId="28070"/>
    <cellStyle name="Normal 4 2 5 2 8" xfId="28071"/>
    <cellStyle name="Normal 4 2 5 2 8 2" xfId="28072"/>
    <cellStyle name="Normal 4 2 5 2 9" xfId="28073"/>
    <cellStyle name="Normal 4 2 5 2 9 2" xfId="28074"/>
    <cellStyle name="Normal 4 2 5 3" xfId="28075"/>
    <cellStyle name="Normal 4 2 5 3 10" xfId="28076"/>
    <cellStyle name="Normal 4 2 5 3 10 2" xfId="28077"/>
    <cellStyle name="Normal 4 2 5 3 11" xfId="28078"/>
    <cellStyle name="Normal 4 2 5 3 2" xfId="28079"/>
    <cellStyle name="Normal 4 2 5 3 2 2" xfId="28080"/>
    <cellStyle name="Normal 4 2 5 3 3" xfId="28081"/>
    <cellStyle name="Normal 4 2 5 3 3 2" xfId="28082"/>
    <cellStyle name="Normal 4 2 5 3 4" xfId="28083"/>
    <cellStyle name="Normal 4 2 5 3 4 2" xfId="28084"/>
    <cellStyle name="Normal 4 2 5 3 5" xfId="28085"/>
    <cellStyle name="Normal 4 2 5 3 5 2" xfId="28086"/>
    <cellStyle name="Normal 4 2 5 3 6" xfId="28087"/>
    <cellStyle name="Normal 4 2 5 3 6 2" xfId="28088"/>
    <cellStyle name="Normal 4 2 5 3 7" xfId="28089"/>
    <cellStyle name="Normal 4 2 5 3 7 2" xfId="28090"/>
    <cellStyle name="Normal 4 2 5 3 8" xfId="28091"/>
    <cellStyle name="Normal 4 2 5 3 8 2" xfId="28092"/>
    <cellStyle name="Normal 4 2 5 3 9" xfId="28093"/>
    <cellStyle name="Normal 4 2 5 3 9 2" xfId="28094"/>
    <cellStyle name="Normal 4 2 5 4" xfId="28095"/>
    <cellStyle name="Normal 4 2 5 4 2" xfId="28096"/>
    <cellStyle name="Normal 4 2 5 5" xfId="28097"/>
    <cellStyle name="Normal 4 2 5 5 2" xfId="28098"/>
    <cellStyle name="Normal 4 2 5 6" xfId="28099"/>
    <cellStyle name="Normal 4 2 5 6 2" xfId="28100"/>
    <cellStyle name="Normal 4 2 5 7" xfId="28101"/>
    <cellStyle name="Normal 4 2 5 7 2" xfId="28102"/>
    <cellStyle name="Normal 4 2 5 8" xfId="28103"/>
    <cellStyle name="Normal 4 2 5 8 2" xfId="28104"/>
    <cellStyle name="Normal 4 2 5 9" xfId="28105"/>
    <cellStyle name="Normal 4 2 5 9 2" xfId="28106"/>
    <cellStyle name="Normal 4 2 6" xfId="28107"/>
    <cellStyle name="Normal 4 2 6 10" xfId="28108"/>
    <cellStyle name="Normal 4 2 6 10 2" xfId="28109"/>
    <cellStyle name="Normal 4 2 6 11" xfId="28110"/>
    <cellStyle name="Normal 4 2 6 11 2" xfId="28111"/>
    <cellStyle name="Normal 4 2 6 12" xfId="28112"/>
    <cellStyle name="Normal 4 2 6 2" xfId="28113"/>
    <cellStyle name="Normal 4 2 6 2 10" xfId="28114"/>
    <cellStyle name="Normal 4 2 6 2 10 2" xfId="28115"/>
    <cellStyle name="Normal 4 2 6 2 11" xfId="28116"/>
    <cellStyle name="Normal 4 2 6 2 2" xfId="28117"/>
    <cellStyle name="Normal 4 2 6 2 2 2" xfId="28118"/>
    <cellStyle name="Normal 4 2 6 2 3" xfId="28119"/>
    <cellStyle name="Normal 4 2 6 2 3 2" xfId="28120"/>
    <cellStyle name="Normal 4 2 6 2 4" xfId="28121"/>
    <cellStyle name="Normal 4 2 6 2 4 2" xfId="28122"/>
    <cellStyle name="Normal 4 2 6 2 5" xfId="28123"/>
    <cellStyle name="Normal 4 2 6 2 5 2" xfId="28124"/>
    <cellStyle name="Normal 4 2 6 2 6" xfId="28125"/>
    <cellStyle name="Normal 4 2 6 2 6 2" xfId="28126"/>
    <cellStyle name="Normal 4 2 6 2 7" xfId="28127"/>
    <cellStyle name="Normal 4 2 6 2 7 2" xfId="28128"/>
    <cellStyle name="Normal 4 2 6 2 8" xfId="28129"/>
    <cellStyle name="Normal 4 2 6 2 8 2" xfId="28130"/>
    <cellStyle name="Normal 4 2 6 2 9" xfId="28131"/>
    <cellStyle name="Normal 4 2 6 2 9 2" xfId="28132"/>
    <cellStyle name="Normal 4 2 6 3" xfId="28133"/>
    <cellStyle name="Normal 4 2 6 3 2" xfId="28134"/>
    <cellStyle name="Normal 4 2 6 4" xfId="28135"/>
    <cellStyle name="Normal 4 2 6 4 2" xfId="28136"/>
    <cellStyle name="Normal 4 2 6 5" xfId="28137"/>
    <cellStyle name="Normal 4 2 6 5 2" xfId="28138"/>
    <cellStyle name="Normal 4 2 6 6" xfId="28139"/>
    <cellStyle name="Normal 4 2 6 6 2" xfId="28140"/>
    <cellStyle name="Normal 4 2 6 7" xfId="28141"/>
    <cellStyle name="Normal 4 2 6 7 2" xfId="28142"/>
    <cellStyle name="Normal 4 2 6 8" xfId="28143"/>
    <cellStyle name="Normal 4 2 6 8 2" xfId="28144"/>
    <cellStyle name="Normal 4 2 6 9" xfId="28145"/>
    <cellStyle name="Normal 4 2 6 9 2" xfId="28146"/>
    <cellStyle name="Normal 4 2 7" xfId="28147"/>
    <cellStyle name="Normal 4 2 7 10" xfId="28148"/>
    <cellStyle name="Normal 4 2 7 10 2" xfId="28149"/>
    <cellStyle name="Normal 4 2 7 11" xfId="28150"/>
    <cellStyle name="Normal 4 2 7 2" xfId="28151"/>
    <cellStyle name="Normal 4 2 7 2 2" xfId="28152"/>
    <cellStyle name="Normal 4 2 7 3" xfId="28153"/>
    <cellStyle name="Normal 4 2 7 3 2" xfId="28154"/>
    <cellStyle name="Normal 4 2 7 4" xfId="28155"/>
    <cellStyle name="Normal 4 2 7 4 2" xfId="28156"/>
    <cellStyle name="Normal 4 2 7 5" xfId="28157"/>
    <cellStyle name="Normal 4 2 7 5 2" xfId="28158"/>
    <cellStyle name="Normal 4 2 7 6" xfId="28159"/>
    <cellStyle name="Normal 4 2 7 6 2" xfId="28160"/>
    <cellStyle name="Normal 4 2 7 7" xfId="28161"/>
    <cellStyle name="Normal 4 2 7 7 2" xfId="28162"/>
    <cellStyle name="Normal 4 2 7 8" xfId="28163"/>
    <cellStyle name="Normal 4 2 7 8 2" xfId="28164"/>
    <cellStyle name="Normal 4 2 7 9" xfId="28165"/>
    <cellStyle name="Normal 4 2 7 9 2" xfId="28166"/>
    <cellStyle name="Normal 4 2 8" xfId="28167"/>
    <cellStyle name="Normal 4 2 8 2" xfId="28168"/>
    <cellStyle name="Normal 4 2 9" xfId="28169"/>
    <cellStyle name="Normal 4 2 9 2" xfId="28170"/>
    <cellStyle name="Normal 4 20" xfId="28171"/>
    <cellStyle name="Normal 4 21" xfId="28172"/>
    <cellStyle name="Normal 4 3" xfId="28173"/>
    <cellStyle name="Normal 4 3 10" xfId="28174"/>
    <cellStyle name="Normal 4 3 10 2" xfId="28175"/>
    <cellStyle name="Normal 4 3 11" xfId="28176"/>
    <cellStyle name="Normal 4 3 11 2" xfId="28177"/>
    <cellStyle name="Normal 4 3 12" xfId="28178"/>
    <cellStyle name="Normal 4 3 12 2" xfId="28179"/>
    <cellStyle name="Normal 4 3 13" xfId="28180"/>
    <cellStyle name="Normal 4 3 2" xfId="28181"/>
    <cellStyle name="Normal 4 3 2 10" xfId="28182"/>
    <cellStyle name="Normal 4 3 2 10 2" xfId="28183"/>
    <cellStyle name="Normal 4 3 2 11" xfId="28184"/>
    <cellStyle name="Normal 4 3 2 11 2" xfId="28185"/>
    <cellStyle name="Normal 4 3 2 12" xfId="28186"/>
    <cellStyle name="Normal 4 3 2 2" xfId="28187"/>
    <cellStyle name="Normal 4 3 2 2 10" xfId="28188"/>
    <cellStyle name="Normal 4 3 2 2 10 2" xfId="28189"/>
    <cellStyle name="Normal 4 3 2 2 11" xfId="28190"/>
    <cellStyle name="Normal 4 3 2 2 2" xfId="28191"/>
    <cellStyle name="Normal 4 3 2 2 2 2" xfId="28192"/>
    <cellStyle name="Normal 4 3 2 2 3" xfId="28193"/>
    <cellStyle name="Normal 4 3 2 2 3 2" xfId="28194"/>
    <cellStyle name="Normal 4 3 2 2 4" xfId="28195"/>
    <cellStyle name="Normal 4 3 2 2 4 2" xfId="28196"/>
    <cellStyle name="Normal 4 3 2 2 5" xfId="28197"/>
    <cellStyle name="Normal 4 3 2 2 5 2" xfId="28198"/>
    <cellStyle name="Normal 4 3 2 2 6" xfId="28199"/>
    <cellStyle name="Normal 4 3 2 2 6 2" xfId="28200"/>
    <cellStyle name="Normal 4 3 2 2 7" xfId="28201"/>
    <cellStyle name="Normal 4 3 2 2 7 2" xfId="28202"/>
    <cellStyle name="Normal 4 3 2 2 8" xfId="28203"/>
    <cellStyle name="Normal 4 3 2 2 8 2" xfId="28204"/>
    <cellStyle name="Normal 4 3 2 2 9" xfId="28205"/>
    <cellStyle name="Normal 4 3 2 2 9 2" xfId="28206"/>
    <cellStyle name="Normal 4 3 2 3" xfId="28207"/>
    <cellStyle name="Normal 4 3 2 3 2" xfId="28208"/>
    <cellStyle name="Normal 4 3 2 4" xfId="28209"/>
    <cellStyle name="Normal 4 3 2 4 2" xfId="28210"/>
    <cellStyle name="Normal 4 3 2 5" xfId="28211"/>
    <cellStyle name="Normal 4 3 2 5 2" xfId="28212"/>
    <cellStyle name="Normal 4 3 2 6" xfId="28213"/>
    <cellStyle name="Normal 4 3 2 6 2" xfId="28214"/>
    <cellStyle name="Normal 4 3 2 7" xfId="28215"/>
    <cellStyle name="Normal 4 3 2 7 2" xfId="28216"/>
    <cellStyle name="Normal 4 3 2 8" xfId="28217"/>
    <cellStyle name="Normal 4 3 2 8 2" xfId="28218"/>
    <cellStyle name="Normal 4 3 2 9" xfId="28219"/>
    <cellStyle name="Normal 4 3 2 9 2" xfId="28220"/>
    <cellStyle name="Normal 4 3 3" xfId="28221"/>
    <cellStyle name="Normal 4 3 3 10" xfId="28222"/>
    <cellStyle name="Normal 4 3 3 10 2" xfId="28223"/>
    <cellStyle name="Normal 4 3 3 11" xfId="28224"/>
    <cellStyle name="Normal 4 3 3 2" xfId="28225"/>
    <cellStyle name="Normal 4 3 3 2 2" xfId="28226"/>
    <cellStyle name="Normal 4 3 3 3" xfId="28227"/>
    <cellStyle name="Normal 4 3 3 3 2" xfId="28228"/>
    <cellStyle name="Normal 4 3 3 4" xfId="28229"/>
    <cellStyle name="Normal 4 3 3 4 2" xfId="28230"/>
    <cellStyle name="Normal 4 3 3 5" xfId="28231"/>
    <cellStyle name="Normal 4 3 3 5 2" xfId="28232"/>
    <cellStyle name="Normal 4 3 3 6" xfId="28233"/>
    <cellStyle name="Normal 4 3 3 6 2" xfId="28234"/>
    <cellStyle name="Normal 4 3 3 7" xfId="28235"/>
    <cellStyle name="Normal 4 3 3 7 2" xfId="28236"/>
    <cellStyle name="Normal 4 3 3 8" xfId="28237"/>
    <cellStyle name="Normal 4 3 3 8 2" xfId="28238"/>
    <cellStyle name="Normal 4 3 3 9" xfId="28239"/>
    <cellStyle name="Normal 4 3 3 9 2" xfId="28240"/>
    <cellStyle name="Normal 4 3 4" xfId="28241"/>
    <cellStyle name="Normal 4 3 4 2" xfId="28242"/>
    <cellStyle name="Normal 4 3 5" xfId="28243"/>
    <cellStyle name="Normal 4 3 5 2" xfId="28244"/>
    <cellStyle name="Normal 4 3 6" xfId="28245"/>
    <cellStyle name="Normal 4 3 6 2" xfId="28246"/>
    <cellStyle name="Normal 4 3 7" xfId="28247"/>
    <cellStyle name="Normal 4 3 7 2" xfId="28248"/>
    <cellStyle name="Normal 4 3 8" xfId="28249"/>
    <cellStyle name="Normal 4 3 8 2" xfId="28250"/>
    <cellStyle name="Normal 4 3 9" xfId="28251"/>
    <cellStyle name="Normal 4 3 9 2" xfId="28252"/>
    <cellStyle name="Normal 4 4" xfId="28253"/>
    <cellStyle name="Normal 4 4 10" xfId="28254"/>
    <cellStyle name="Normal 4 4 10 2" xfId="28255"/>
    <cellStyle name="Normal 4 4 11" xfId="28256"/>
    <cellStyle name="Normal 4 4 11 2" xfId="28257"/>
    <cellStyle name="Normal 4 4 12" xfId="28258"/>
    <cellStyle name="Normal 4 4 12 2" xfId="28259"/>
    <cellStyle name="Normal 4 4 13" xfId="28260"/>
    <cellStyle name="Normal 4 4 2" xfId="28261"/>
    <cellStyle name="Normal 4 4 2 10" xfId="28262"/>
    <cellStyle name="Normal 4 4 2 10 2" xfId="28263"/>
    <cellStyle name="Normal 4 4 2 11" xfId="28264"/>
    <cellStyle name="Normal 4 4 2 11 2" xfId="28265"/>
    <cellStyle name="Normal 4 4 2 12" xfId="28266"/>
    <cellStyle name="Normal 4 4 2 2" xfId="28267"/>
    <cellStyle name="Normal 4 4 2 2 10" xfId="28268"/>
    <cellStyle name="Normal 4 4 2 2 10 2" xfId="28269"/>
    <cellStyle name="Normal 4 4 2 2 11" xfId="28270"/>
    <cellStyle name="Normal 4 4 2 2 2" xfId="28271"/>
    <cellStyle name="Normal 4 4 2 2 2 2" xfId="28272"/>
    <cellStyle name="Normal 4 4 2 2 3" xfId="28273"/>
    <cellStyle name="Normal 4 4 2 2 3 2" xfId="28274"/>
    <cellStyle name="Normal 4 4 2 2 4" xfId="28275"/>
    <cellStyle name="Normal 4 4 2 2 4 2" xfId="28276"/>
    <cellStyle name="Normal 4 4 2 2 5" xfId="28277"/>
    <cellStyle name="Normal 4 4 2 2 5 2" xfId="28278"/>
    <cellStyle name="Normal 4 4 2 2 6" xfId="28279"/>
    <cellStyle name="Normal 4 4 2 2 6 2" xfId="28280"/>
    <cellStyle name="Normal 4 4 2 2 7" xfId="28281"/>
    <cellStyle name="Normal 4 4 2 2 7 2" xfId="28282"/>
    <cellStyle name="Normal 4 4 2 2 8" xfId="28283"/>
    <cellStyle name="Normal 4 4 2 2 8 2" xfId="28284"/>
    <cellStyle name="Normal 4 4 2 2 9" xfId="28285"/>
    <cellStyle name="Normal 4 4 2 2 9 2" xfId="28286"/>
    <cellStyle name="Normal 4 4 2 3" xfId="28287"/>
    <cellStyle name="Normal 4 4 2 3 2" xfId="28288"/>
    <cellStyle name="Normal 4 4 2 4" xfId="28289"/>
    <cellStyle name="Normal 4 4 2 4 2" xfId="28290"/>
    <cellStyle name="Normal 4 4 2 5" xfId="28291"/>
    <cellStyle name="Normal 4 4 2 5 2" xfId="28292"/>
    <cellStyle name="Normal 4 4 2 6" xfId="28293"/>
    <cellStyle name="Normal 4 4 2 6 2" xfId="28294"/>
    <cellStyle name="Normal 4 4 2 7" xfId="28295"/>
    <cellStyle name="Normal 4 4 2 7 2" xfId="28296"/>
    <cellStyle name="Normal 4 4 2 8" xfId="28297"/>
    <cellStyle name="Normal 4 4 2 8 2" xfId="28298"/>
    <cellStyle name="Normal 4 4 2 9" xfId="28299"/>
    <cellStyle name="Normal 4 4 2 9 2" xfId="28300"/>
    <cellStyle name="Normal 4 4 3" xfId="28301"/>
    <cellStyle name="Normal 4 4 3 10" xfId="28302"/>
    <cellStyle name="Normal 4 4 3 10 2" xfId="28303"/>
    <cellStyle name="Normal 4 4 3 11" xfId="28304"/>
    <cellStyle name="Normal 4 4 3 2" xfId="28305"/>
    <cellStyle name="Normal 4 4 3 2 2" xfId="28306"/>
    <cellStyle name="Normal 4 4 3 3" xfId="28307"/>
    <cellStyle name="Normal 4 4 3 3 2" xfId="28308"/>
    <cellStyle name="Normal 4 4 3 4" xfId="28309"/>
    <cellStyle name="Normal 4 4 3 4 2" xfId="28310"/>
    <cellStyle name="Normal 4 4 3 5" xfId="28311"/>
    <cellStyle name="Normal 4 4 3 5 2" xfId="28312"/>
    <cellStyle name="Normal 4 4 3 6" xfId="28313"/>
    <cellStyle name="Normal 4 4 3 6 2" xfId="28314"/>
    <cellStyle name="Normal 4 4 3 7" xfId="28315"/>
    <cellStyle name="Normal 4 4 3 7 2" xfId="28316"/>
    <cellStyle name="Normal 4 4 3 8" xfId="28317"/>
    <cellStyle name="Normal 4 4 3 8 2" xfId="28318"/>
    <cellStyle name="Normal 4 4 3 9" xfId="28319"/>
    <cellStyle name="Normal 4 4 3 9 2" xfId="28320"/>
    <cellStyle name="Normal 4 4 4" xfId="28321"/>
    <cellStyle name="Normal 4 4 4 2" xfId="28322"/>
    <cellStyle name="Normal 4 4 5" xfId="28323"/>
    <cellStyle name="Normal 4 4 5 2" xfId="28324"/>
    <cellStyle name="Normal 4 4 6" xfId="28325"/>
    <cellStyle name="Normal 4 4 6 2" xfId="28326"/>
    <cellStyle name="Normal 4 4 7" xfId="28327"/>
    <cellStyle name="Normal 4 4 7 2" xfId="28328"/>
    <cellStyle name="Normal 4 4 8" xfId="28329"/>
    <cellStyle name="Normal 4 4 8 2" xfId="28330"/>
    <cellStyle name="Normal 4 4 9" xfId="28331"/>
    <cellStyle name="Normal 4 4 9 2" xfId="28332"/>
    <cellStyle name="Normal 4 5" xfId="28333"/>
    <cellStyle name="Normal 4 5 10" xfId="28334"/>
    <cellStyle name="Normal 4 5 10 2" xfId="28335"/>
    <cellStyle name="Normal 4 5 11" xfId="28336"/>
    <cellStyle name="Normal 4 5 11 2" xfId="28337"/>
    <cellStyle name="Normal 4 5 12" xfId="28338"/>
    <cellStyle name="Normal 4 5 12 2" xfId="28339"/>
    <cellStyle name="Normal 4 5 13" xfId="28340"/>
    <cellStyle name="Normal 4 5 2" xfId="28341"/>
    <cellStyle name="Normal 4 5 2 10" xfId="28342"/>
    <cellStyle name="Normal 4 5 2 10 2" xfId="28343"/>
    <cellStyle name="Normal 4 5 2 11" xfId="28344"/>
    <cellStyle name="Normal 4 5 2 11 2" xfId="28345"/>
    <cellStyle name="Normal 4 5 2 12" xfId="28346"/>
    <cellStyle name="Normal 4 5 2 2" xfId="28347"/>
    <cellStyle name="Normal 4 5 2 2 10" xfId="28348"/>
    <cellStyle name="Normal 4 5 2 2 10 2" xfId="28349"/>
    <cellStyle name="Normal 4 5 2 2 11" xfId="28350"/>
    <cellStyle name="Normal 4 5 2 2 2" xfId="28351"/>
    <cellStyle name="Normal 4 5 2 2 2 2" xfId="28352"/>
    <cellStyle name="Normal 4 5 2 2 3" xfId="28353"/>
    <cellStyle name="Normal 4 5 2 2 3 2" xfId="28354"/>
    <cellStyle name="Normal 4 5 2 2 4" xfId="28355"/>
    <cellStyle name="Normal 4 5 2 2 4 2" xfId="28356"/>
    <cellStyle name="Normal 4 5 2 2 5" xfId="28357"/>
    <cellStyle name="Normal 4 5 2 2 5 2" xfId="28358"/>
    <cellStyle name="Normal 4 5 2 2 6" xfId="28359"/>
    <cellStyle name="Normal 4 5 2 2 6 2" xfId="28360"/>
    <cellStyle name="Normal 4 5 2 2 7" xfId="28361"/>
    <cellStyle name="Normal 4 5 2 2 7 2" xfId="28362"/>
    <cellStyle name="Normal 4 5 2 2 8" xfId="28363"/>
    <cellStyle name="Normal 4 5 2 2 8 2" xfId="28364"/>
    <cellStyle name="Normal 4 5 2 2 9" xfId="28365"/>
    <cellStyle name="Normal 4 5 2 2 9 2" xfId="28366"/>
    <cellStyle name="Normal 4 5 2 3" xfId="28367"/>
    <cellStyle name="Normal 4 5 2 3 2" xfId="28368"/>
    <cellStyle name="Normal 4 5 2 4" xfId="28369"/>
    <cellStyle name="Normal 4 5 2 4 2" xfId="28370"/>
    <cellStyle name="Normal 4 5 2 5" xfId="28371"/>
    <cellStyle name="Normal 4 5 2 5 2" xfId="28372"/>
    <cellStyle name="Normal 4 5 2 6" xfId="28373"/>
    <cellStyle name="Normal 4 5 2 6 2" xfId="28374"/>
    <cellStyle name="Normal 4 5 2 7" xfId="28375"/>
    <cellStyle name="Normal 4 5 2 7 2" xfId="28376"/>
    <cellStyle name="Normal 4 5 2 8" xfId="28377"/>
    <cellStyle name="Normal 4 5 2 8 2" xfId="28378"/>
    <cellStyle name="Normal 4 5 2 9" xfId="28379"/>
    <cellStyle name="Normal 4 5 2 9 2" xfId="28380"/>
    <cellStyle name="Normal 4 5 3" xfId="28381"/>
    <cellStyle name="Normal 4 5 3 10" xfId="28382"/>
    <cellStyle name="Normal 4 5 3 10 2" xfId="28383"/>
    <cellStyle name="Normal 4 5 3 11" xfId="28384"/>
    <cellStyle name="Normal 4 5 3 2" xfId="28385"/>
    <cellStyle name="Normal 4 5 3 2 2" xfId="28386"/>
    <cellStyle name="Normal 4 5 3 3" xfId="28387"/>
    <cellStyle name="Normal 4 5 3 3 2" xfId="28388"/>
    <cellStyle name="Normal 4 5 3 4" xfId="28389"/>
    <cellStyle name="Normal 4 5 3 4 2" xfId="28390"/>
    <cellStyle name="Normal 4 5 3 5" xfId="28391"/>
    <cellStyle name="Normal 4 5 3 5 2" xfId="28392"/>
    <cellStyle name="Normal 4 5 3 6" xfId="28393"/>
    <cellStyle name="Normal 4 5 3 6 2" xfId="28394"/>
    <cellStyle name="Normal 4 5 3 7" xfId="28395"/>
    <cellStyle name="Normal 4 5 3 7 2" xfId="28396"/>
    <cellStyle name="Normal 4 5 3 8" xfId="28397"/>
    <cellStyle name="Normal 4 5 3 8 2" xfId="28398"/>
    <cellStyle name="Normal 4 5 3 9" xfId="28399"/>
    <cellStyle name="Normal 4 5 3 9 2" xfId="28400"/>
    <cellStyle name="Normal 4 5 4" xfId="28401"/>
    <cellStyle name="Normal 4 5 4 2" xfId="28402"/>
    <cellStyle name="Normal 4 5 5" xfId="28403"/>
    <cellStyle name="Normal 4 5 5 2" xfId="28404"/>
    <cellStyle name="Normal 4 5 6" xfId="28405"/>
    <cellStyle name="Normal 4 5 6 2" xfId="28406"/>
    <cellStyle name="Normal 4 5 7" xfId="28407"/>
    <cellStyle name="Normal 4 5 7 2" xfId="28408"/>
    <cellStyle name="Normal 4 5 8" xfId="28409"/>
    <cellStyle name="Normal 4 5 8 2" xfId="28410"/>
    <cellStyle name="Normal 4 5 9" xfId="28411"/>
    <cellStyle name="Normal 4 5 9 2" xfId="28412"/>
    <cellStyle name="Normal 4 6" xfId="28413"/>
    <cellStyle name="Normal 4 6 10" xfId="28414"/>
    <cellStyle name="Normal 4 6 10 2" xfId="28415"/>
    <cellStyle name="Normal 4 6 11" xfId="28416"/>
    <cellStyle name="Normal 4 6 11 2" xfId="28417"/>
    <cellStyle name="Normal 4 6 12" xfId="28418"/>
    <cellStyle name="Normal 4 6 12 2" xfId="28419"/>
    <cellStyle name="Normal 4 6 13" xfId="28420"/>
    <cellStyle name="Normal 4 6 2" xfId="28421"/>
    <cellStyle name="Normal 4 6 2 10" xfId="28422"/>
    <cellStyle name="Normal 4 6 2 10 2" xfId="28423"/>
    <cellStyle name="Normal 4 6 2 11" xfId="28424"/>
    <cellStyle name="Normal 4 6 2 11 2" xfId="28425"/>
    <cellStyle name="Normal 4 6 2 12" xfId="28426"/>
    <cellStyle name="Normal 4 6 2 2" xfId="28427"/>
    <cellStyle name="Normal 4 6 2 2 10" xfId="28428"/>
    <cellStyle name="Normal 4 6 2 2 10 2" xfId="28429"/>
    <cellStyle name="Normal 4 6 2 2 11" xfId="28430"/>
    <cellStyle name="Normal 4 6 2 2 2" xfId="28431"/>
    <cellStyle name="Normal 4 6 2 2 2 2" xfId="28432"/>
    <cellStyle name="Normal 4 6 2 2 3" xfId="28433"/>
    <cellStyle name="Normal 4 6 2 2 3 2" xfId="28434"/>
    <cellStyle name="Normal 4 6 2 2 4" xfId="28435"/>
    <cellStyle name="Normal 4 6 2 2 4 2" xfId="28436"/>
    <cellStyle name="Normal 4 6 2 2 5" xfId="28437"/>
    <cellStyle name="Normal 4 6 2 2 5 2" xfId="28438"/>
    <cellStyle name="Normal 4 6 2 2 6" xfId="28439"/>
    <cellStyle name="Normal 4 6 2 2 6 2" xfId="28440"/>
    <cellStyle name="Normal 4 6 2 2 7" xfId="28441"/>
    <cellStyle name="Normal 4 6 2 2 7 2" xfId="28442"/>
    <cellStyle name="Normal 4 6 2 2 8" xfId="28443"/>
    <cellStyle name="Normal 4 6 2 2 8 2" xfId="28444"/>
    <cellStyle name="Normal 4 6 2 2 9" xfId="28445"/>
    <cellStyle name="Normal 4 6 2 2 9 2" xfId="28446"/>
    <cellStyle name="Normal 4 6 2 3" xfId="28447"/>
    <cellStyle name="Normal 4 6 2 3 2" xfId="28448"/>
    <cellStyle name="Normal 4 6 2 4" xfId="28449"/>
    <cellStyle name="Normal 4 6 2 4 2" xfId="28450"/>
    <cellStyle name="Normal 4 6 2 5" xfId="28451"/>
    <cellStyle name="Normal 4 6 2 5 2" xfId="28452"/>
    <cellStyle name="Normal 4 6 2 6" xfId="28453"/>
    <cellStyle name="Normal 4 6 2 6 2" xfId="28454"/>
    <cellStyle name="Normal 4 6 2 7" xfId="28455"/>
    <cellStyle name="Normal 4 6 2 7 2" xfId="28456"/>
    <cellStyle name="Normal 4 6 2 8" xfId="28457"/>
    <cellStyle name="Normal 4 6 2 8 2" xfId="28458"/>
    <cellStyle name="Normal 4 6 2 9" xfId="28459"/>
    <cellStyle name="Normal 4 6 2 9 2" xfId="28460"/>
    <cellStyle name="Normal 4 6 3" xfId="28461"/>
    <cellStyle name="Normal 4 6 3 10" xfId="28462"/>
    <cellStyle name="Normal 4 6 3 10 2" xfId="28463"/>
    <cellStyle name="Normal 4 6 3 11" xfId="28464"/>
    <cellStyle name="Normal 4 6 3 2" xfId="28465"/>
    <cellStyle name="Normal 4 6 3 2 2" xfId="28466"/>
    <cellStyle name="Normal 4 6 3 3" xfId="28467"/>
    <cellStyle name="Normal 4 6 3 3 2" xfId="28468"/>
    <cellStyle name="Normal 4 6 3 4" xfId="28469"/>
    <cellStyle name="Normal 4 6 3 4 2" xfId="28470"/>
    <cellStyle name="Normal 4 6 3 5" xfId="28471"/>
    <cellStyle name="Normal 4 6 3 5 2" xfId="28472"/>
    <cellStyle name="Normal 4 6 3 6" xfId="28473"/>
    <cellStyle name="Normal 4 6 3 6 2" xfId="28474"/>
    <cellStyle name="Normal 4 6 3 7" xfId="28475"/>
    <cellStyle name="Normal 4 6 3 7 2" xfId="28476"/>
    <cellStyle name="Normal 4 6 3 8" xfId="28477"/>
    <cellStyle name="Normal 4 6 3 8 2" xfId="28478"/>
    <cellStyle name="Normal 4 6 3 9" xfId="28479"/>
    <cellStyle name="Normal 4 6 3 9 2" xfId="28480"/>
    <cellStyle name="Normal 4 6 4" xfId="28481"/>
    <cellStyle name="Normal 4 6 4 2" xfId="28482"/>
    <cellStyle name="Normal 4 6 5" xfId="28483"/>
    <cellStyle name="Normal 4 6 5 2" xfId="28484"/>
    <cellStyle name="Normal 4 6 6" xfId="28485"/>
    <cellStyle name="Normal 4 6 6 2" xfId="28486"/>
    <cellStyle name="Normal 4 6 7" xfId="28487"/>
    <cellStyle name="Normal 4 6 7 2" xfId="28488"/>
    <cellStyle name="Normal 4 6 8" xfId="28489"/>
    <cellStyle name="Normal 4 6 8 2" xfId="28490"/>
    <cellStyle name="Normal 4 6 9" xfId="28491"/>
    <cellStyle name="Normal 4 6 9 2" xfId="28492"/>
    <cellStyle name="Normal 4 7" xfId="28493"/>
    <cellStyle name="Normal 4 7 10" xfId="28494"/>
    <cellStyle name="Normal 4 7 10 2" xfId="28495"/>
    <cellStyle name="Normal 4 7 11" xfId="28496"/>
    <cellStyle name="Normal 4 7 11 2" xfId="28497"/>
    <cellStyle name="Normal 4 7 12" xfId="28498"/>
    <cellStyle name="Normal 4 7 2" xfId="28499"/>
    <cellStyle name="Normal 4 7 2 10" xfId="28500"/>
    <cellStyle name="Normal 4 7 2 10 2" xfId="28501"/>
    <cellStyle name="Normal 4 7 2 11" xfId="28502"/>
    <cellStyle name="Normal 4 7 2 2" xfId="28503"/>
    <cellStyle name="Normal 4 7 2 2 2" xfId="28504"/>
    <cellStyle name="Normal 4 7 2 3" xfId="28505"/>
    <cellStyle name="Normal 4 7 2 3 2" xfId="28506"/>
    <cellStyle name="Normal 4 7 2 4" xfId="28507"/>
    <cellStyle name="Normal 4 7 2 4 2" xfId="28508"/>
    <cellStyle name="Normal 4 7 2 5" xfId="28509"/>
    <cellStyle name="Normal 4 7 2 5 2" xfId="28510"/>
    <cellStyle name="Normal 4 7 2 6" xfId="28511"/>
    <cellStyle name="Normal 4 7 2 6 2" xfId="28512"/>
    <cellStyle name="Normal 4 7 2 7" xfId="28513"/>
    <cellStyle name="Normal 4 7 2 7 2" xfId="28514"/>
    <cellStyle name="Normal 4 7 2 8" xfId="28515"/>
    <cellStyle name="Normal 4 7 2 8 2" xfId="28516"/>
    <cellStyle name="Normal 4 7 2 9" xfId="28517"/>
    <cellStyle name="Normal 4 7 2 9 2" xfId="28518"/>
    <cellStyle name="Normal 4 7 3" xfId="28519"/>
    <cellStyle name="Normal 4 7 3 2" xfId="28520"/>
    <cellStyle name="Normal 4 7 4" xfId="28521"/>
    <cellStyle name="Normal 4 7 4 2" xfId="28522"/>
    <cellStyle name="Normal 4 7 5" xfId="28523"/>
    <cellStyle name="Normal 4 7 5 2" xfId="28524"/>
    <cellStyle name="Normal 4 7 6" xfId="28525"/>
    <cellStyle name="Normal 4 7 6 2" xfId="28526"/>
    <cellStyle name="Normal 4 7 7" xfId="28527"/>
    <cellStyle name="Normal 4 7 7 2" xfId="28528"/>
    <cellStyle name="Normal 4 7 8" xfId="28529"/>
    <cellStyle name="Normal 4 7 8 2" xfId="28530"/>
    <cellStyle name="Normal 4 7 9" xfId="28531"/>
    <cellStyle name="Normal 4 7 9 2" xfId="28532"/>
    <cellStyle name="Normal 4 8" xfId="28533"/>
    <cellStyle name="Normal 4 8 10" xfId="28534"/>
    <cellStyle name="Normal 4 8 10 2" xfId="28535"/>
    <cellStyle name="Normal 4 8 11" xfId="28536"/>
    <cellStyle name="Normal 4 8 2" xfId="28537"/>
    <cellStyle name="Normal 4 8 2 2" xfId="28538"/>
    <cellStyle name="Normal 4 8 3" xfId="28539"/>
    <cellStyle name="Normal 4 8 3 2" xfId="28540"/>
    <cellStyle name="Normal 4 8 4" xfId="28541"/>
    <cellStyle name="Normal 4 8 4 2" xfId="28542"/>
    <cellStyle name="Normal 4 8 5" xfId="28543"/>
    <cellStyle name="Normal 4 8 5 2" xfId="28544"/>
    <cellStyle name="Normal 4 8 6" xfId="28545"/>
    <cellStyle name="Normal 4 8 6 2" xfId="28546"/>
    <cellStyle name="Normal 4 8 7" xfId="28547"/>
    <cellStyle name="Normal 4 8 7 2" xfId="28548"/>
    <cellStyle name="Normal 4 8 8" xfId="28549"/>
    <cellStyle name="Normal 4 8 8 2" xfId="28550"/>
    <cellStyle name="Normal 4 8 9" xfId="28551"/>
    <cellStyle name="Normal 4 8 9 2" xfId="28552"/>
    <cellStyle name="Normal 4 9" xfId="28553"/>
    <cellStyle name="Normal 4 9 2" xfId="28554"/>
    <cellStyle name="Normal 40" xfId="259"/>
    <cellStyle name="Normal 40 10" xfId="28555"/>
    <cellStyle name="Normal 40 10 2" xfId="28556"/>
    <cellStyle name="Normal 40 11" xfId="28557"/>
    <cellStyle name="Normal 40 2" xfId="28558"/>
    <cellStyle name="Normal 40 2 2" xfId="28559"/>
    <cellStyle name="Normal 40 3" xfId="28560"/>
    <cellStyle name="Normal 40 3 2" xfId="28561"/>
    <cellStyle name="Normal 40 4" xfId="28562"/>
    <cellStyle name="Normal 40 4 2" xfId="28563"/>
    <cellStyle name="Normal 40 5" xfId="28564"/>
    <cellStyle name="Normal 40 5 2" xfId="28565"/>
    <cellStyle name="Normal 40 6" xfId="28566"/>
    <cellStyle name="Normal 40 6 2" xfId="28567"/>
    <cellStyle name="Normal 40 7" xfId="28568"/>
    <cellStyle name="Normal 40 7 2" xfId="28569"/>
    <cellStyle name="Normal 40 8" xfId="28570"/>
    <cellStyle name="Normal 40 8 2" xfId="28571"/>
    <cellStyle name="Normal 40 9" xfId="28572"/>
    <cellStyle name="Normal 40 9 2" xfId="28573"/>
    <cellStyle name="Normal 41" xfId="260"/>
    <cellStyle name="Normal 41 2" xfId="28574"/>
    <cellStyle name="Normal 42" xfId="261"/>
    <cellStyle name="Normal 42 2" xfId="28575"/>
    <cellStyle name="Normal 43" xfId="28576"/>
    <cellStyle name="Normal 43 2" xfId="28577"/>
    <cellStyle name="Normal 44" xfId="28578"/>
    <cellStyle name="Normal 44 2" xfId="28579"/>
    <cellStyle name="Normal 45" xfId="28580"/>
    <cellStyle name="Normal 45 2" xfId="28581"/>
    <cellStyle name="Normal 46" xfId="28582"/>
    <cellStyle name="Normal 46 2" xfId="28583"/>
    <cellStyle name="Normal 47" xfId="262"/>
    <cellStyle name="Normal 47 2" xfId="28584"/>
    <cellStyle name="Normal 48" xfId="28585"/>
    <cellStyle name="Normal 48 2" xfId="28586"/>
    <cellStyle name="Normal 49" xfId="28587"/>
    <cellStyle name="Normal 49 2" xfId="28588"/>
    <cellStyle name="Normal 5" xfId="189"/>
    <cellStyle name="Normal 5 10" xfId="28589"/>
    <cellStyle name="Normal 5 10 10" xfId="28590"/>
    <cellStyle name="Normal 5 10 10 2" xfId="28591"/>
    <cellStyle name="Normal 5 10 11" xfId="28592"/>
    <cellStyle name="Normal 5 10 2" xfId="28593"/>
    <cellStyle name="Normal 5 10 2 2" xfId="28594"/>
    <cellStyle name="Normal 5 10 3" xfId="28595"/>
    <cellStyle name="Normal 5 10 3 2" xfId="28596"/>
    <cellStyle name="Normal 5 10 4" xfId="28597"/>
    <cellStyle name="Normal 5 10 4 2" xfId="28598"/>
    <cellStyle name="Normal 5 10 5" xfId="28599"/>
    <cellStyle name="Normal 5 10 5 2" xfId="28600"/>
    <cellStyle name="Normal 5 10 6" xfId="28601"/>
    <cellStyle name="Normal 5 10 6 2" xfId="28602"/>
    <cellStyle name="Normal 5 10 7" xfId="28603"/>
    <cellStyle name="Normal 5 10 7 2" xfId="28604"/>
    <cellStyle name="Normal 5 10 8" xfId="28605"/>
    <cellStyle name="Normal 5 10 8 2" xfId="28606"/>
    <cellStyle name="Normal 5 10 9" xfId="28607"/>
    <cellStyle name="Normal 5 10 9 2" xfId="28608"/>
    <cellStyle name="Normal 5 11" xfId="28609"/>
    <cellStyle name="Normal 5 11 2" xfId="28610"/>
    <cellStyle name="Normal 5 12" xfId="28611"/>
    <cellStyle name="Normal 5 12 2" xfId="28612"/>
    <cellStyle name="Normal 5 13" xfId="28613"/>
    <cellStyle name="Normal 5 13 2" xfId="28614"/>
    <cellStyle name="Normal 5 14" xfId="28615"/>
    <cellStyle name="Normal 5 14 2" xfId="28616"/>
    <cellStyle name="Normal 5 15" xfId="28617"/>
    <cellStyle name="Normal 5 15 2" xfId="28618"/>
    <cellStyle name="Normal 5 16" xfId="28619"/>
    <cellStyle name="Normal 5 16 2" xfId="28620"/>
    <cellStyle name="Normal 5 17" xfId="28621"/>
    <cellStyle name="Normal 5 17 2" xfId="28622"/>
    <cellStyle name="Normal 5 18" xfId="28623"/>
    <cellStyle name="Normal 5 18 2" xfId="28624"/>
    <cellStyle name="Normal 5 19" xfId="28625"/>
    <cellStyle name="Normal 5 19 2" xfId="28626"/>
    <cellStyle name="Normal 5 2" xfId="190"/>
    <cellStyle name="Normal 5 2 10" xfId="28627"/>
    <cellStyle name="Normal 5 2 10 2" xfId="28628"/>
    <cellStyle name="Normal 5 2 11" xfId="28629"/>
    <cellStyle name="Normal 5 2 11 2" xfId="28630"/>
    <cellStyle name="Normal 5 2 12" xfId="28631"/>
    <cellStyle name="Normal 5 2 12 2" xfId="28632"/>
    <cellStyle name="Normal 5 2 13" xfId="28633"/>
    <cellStyle name="Normal 5 2 13 2" xfId="28634"/>
    <cellStyle name="Normal 5 2 14" xfId="28635"/>
    <cellStyle name="Normal 5 2 14 2" xfId="28636"/>
    <cellStyle name="Normal 5 2 15" xfId="28637"/>
    <cellStyle name="Normal 5 2 15 2" xfId="28638"/>
    <cellStyle name="Normal 5 2 16" xfId="28639"/>
    <cellStyle name="Normal 5 2 16 2" xfId="28640"/>
    <cellStyle name="Normal 5 2 17" xfId="28641"/>
    <cellStyle name="Normal 5 2 17 2" xfId="28642"/>
    <cellStyle name="Normal 5 2 18" xfId="28643"/>
    <cellStyle name="Normal 5 2 19" xfId="28644"/>
    <cellStyle name="Normal 5 2 2" xfId="28645"/>
    <cellStyle name="Normal 5 2 2 10" xfId="28646"/>
    <cellStyle name="Normal 5 2 2 10 2" xfId="28647"/>
    <cellStyle name="Normal 5 2 2 11" xfId="28648"/>
    <cellStyle name="Normal 5 2 2 11 2" xfId="28649"/>
    <cellStyle name="Normal 5 2 2 12" xfId="28650"/>
    <cellStyle name="Normal 5 2 2 12 2" xfId="28651"/>
    <cellStyle name="Normal 5 2 2 13" xfId="28652"/>
    <cellStyle name="Normal 5 2 2 2" xfId="28653"/>
    <cellStyle name="Normal 5 2 2 2 10" xfId="28654"/>
    <cellStyle name="Normal 5 2 2 2 10 2" xfId="28655"/>
    <cellStyle name="Normal 5 2 2 2 11" xfId="28656"/>
    <cellStyle name="Normal 5 2 2 2 11 2" xfId="28657"/>
    <cellStyle name="Normal 5 2 2 2 12" xfId="28658"/>
    <cellStyle name="Normal 5 2 2 2 2" xfId="28659"/>
    <cellStyle name="Normal 5 2 2 2 2 10" xfId="28660"/>
    <cellStyle name="Normal 5 2 2 2 2 10 2" xfId="28661"/>
    <cellStyle name="Normal 5 2 2 2 2 11" xfId="28662"/>
    <cellStyle name="Normal 5 2 2 2 2 2" xfId="28663"/>
    <cellStyle name="Normal 5 2 2 2 2 2 2" xfId="28664"/>
    <cellStyle name="Normal 5 2 2 2 2 3" xfId="28665"/>
    <cellStyle name="Normal 5 2 2 2 2 3 2" xfId="28666"/>
    <cellStyle name="Normal 5 2 2 2 2 4" xfId="28667"/>
    <cellStyle name="Normal 5 2 2 2 2 4 2" xfId="28668"/>
    <cellStyle name="Normal 5 2 2 2 2 5" xfId="28669"/>
    <cellStyle name="Normal 5 2 2 2 2 5 2" xfId="28670"/>
    <cellStyle name="Normal 5 2 2 2 2 6" xfId="28671"/>
    <cellStyle name="Normal 5 2 2 2 2 6 2" xfId="28672"/>
    <cellStyle name="Normal 5 2 2 2 2 7" xfId="28673"/>
    <cellStyle name="Normal 5 2 2 2 2 7 2" xfId="28674"/>
    <cellStyle name="Normal 5 2 2 2 2 8" xfId="28675"/>
    <cellStyle name="Normal 5 2 2 2 2 8 2" xfId="28676"/>
    <cellStyle name="Normal 5 2 2 2 2 9" xfId="28677"/>
    <cellStyle name="Normal 5 2 2 2 2 9 2" xfId="28678"/>
    <cellStyle name="Normal 5 2 2 2 3" xfId="28679"/>
    <cellStyle name="Normal 5 2 2 2 3 2" xfId="28680"/>
    <cellStyle name="Normal 5 2 2 2 4" xfId="28681"/>
    <cellStyle name="Normal 5 2 2 2 4 2" xfId="28682"/>
    <cellStyle name="Normal 5 2 2 2 5" xfId="28683"/>
    <cellStyle name="Normal 5 2 2 2 5 2" xfId="28684"/>
    <cellStyle name="Normal 5 2 2 2 6" xfId="28685"/>
    <cellStyle name="Normal 5 2 2 2 6 2" xfId="28686"/>
    <cellStyle name="Normal 5 2 2 2 7" xfId="28687"/>
    <cellStyle name="Normal 5 2 2 2 7 2" xfId="28688"/>
    <cellStyle name="Normal 5 2 2 2 8" xfId="28689"/>
    <cellStyle name="Normal 5 2 2 2 8 2" xfId="28690"/>
    <cellStyle name="Normal 5 2 2 2 9" xfId="28691"/>
    <cellStyle name="Normal 5 2 2 2 9 2" xfId="28692"/>
    <cellStyle name="Normal 5 2 2 3" xfId="28693"/>
    <cellStyle name="Normal 5 2 2 3 10" xfId="28694"/>
    <cellStyle name="Normal 5 2 2 3 10 2" xfId="28695"/>
    <cellStyle name="Normal 5 2 2 3 11" xfId="28696"/>
    <cellStyle name="Normal 5 2 2 3 2" xfId="28697"/>
    <cellStyle name="Normal 5 2 2 3 2 2" xfId="28698"/>
    <cellStyle name="Normal 5 2 2 3 3" xfId="28699"/>
    <cellStyle name="Normal 5 2 2 3 3 2" xfId="28700"/>
    <cellStyle name="Normal 5 2 2 3 4" xfId="28701"/>
    <cellStyle name="Normal 5 2 2 3 4 2" xfId="28702"/>
    <cellStyle name="Normal 5 2 2 3 5" xfId="28703"/>
    <cellStyle name="Normal 5 2 2 3 5 2" xfId="28704"/>
    <cellStyle name="Normal 5 2 2 3 6" xfId="28705"/>
    <cellStyle name="Normal 5 2 2 3 6 2" xfId="28706"/>
    <cellStyle name="Normal 5 2 2 3 7" xfId="28707"/>
    <cellStyle name="Normal 5 2 2 3 7 2" xfId="28708"/>
    <cellStyle name="Normal 5 2 2 3 8" xfId="28709"/>
    <cellStyle name="Normal 5 2 2 3 8 2" xfId="28710"/>
    <cellStyle name="Normal 5 2 2 3 9" xfId="28711"/>
    <cellStyle name="Normal 5 2 2 3 9 2" xfId="28712"/>
    <cellStyle name="Normal 5 2 2 4" xfId="28713"/>
    <cellStyle name="Normal 5 2 2 4 2" xfId="28714"/>
    <cellStyle name="Normal 5 2 2 5" xfId="28715"/>
    <cellStyle name="Normal 5 2 2 5 2" xfId="28716"/>
    <cellStyle name="Normal 5 2 2 6" xfId="28717"/>
    <cellStyle name="Normal 5 2 2 6 2" xfId="28718"/>
    <cellStyle name="Normal 5 2 2 7" xfId="28719"/>
    <cellStyle name="Normal 5 2 2 7 2" xfId="28720"/>
    <cellStyle name="Normal 5 2 2 8" xfId="28721"/>
    <cellStyle name="Normal 5 2 2 8 2" xfId="28722"/>
    <cellStyle name="Normal 5 2 2 9" xfId="28723"/>
    <cellStyle name="Normal 5 2 2 9 2" xfId="28724"/>
    <cellStyle name="Normal 5 2 20" xfId="28725"/>
    <cellStyle name="Normal 5 2 3" xfId="28726"/>
    <cellStyle name="Normal 5 2 3 10" xfId="28727"/>
    <cellStyle name="Normal 5 2 3 10 2" xfId="28728"/>
    <cellStyle name="Normal 5 2 3 11" xfId="28729"/>
    <cellStyle name="Normal 5 2 3 11 2" xfId="28730"/>
    <cellStyle name="Normal 5 2 3 12" xfId="28731"/>
    <cellStyle name="Normal 5 2 3 12 2" xfId="28732"/>
    <cellStyle name="Normal 5 2 3 13" xfId="28733"/>
    <cellStyle name="Normal 5 2 3 2" xfId="28734"/>
    <cellStyle name="Normal 5 2 3 2 10" xfId="28735"/>
    <cellStyle name="Normal 5 2 3 2 10 2" xfId="28736"/>
    <cellStyle name="Normal 5 2 3 2 11" xfId="28737"/>
    <cellStyle name="Normal 5 2 3 2 11 2" xfId="28738"/>
    <cellStyle name="Normal 5 2 3 2 12" xfId="28739"/>
    <cellStyle name="Normal 5 2 3 2 2" xfId="28740"/>
    <cellStyle name="Normal 5 2 3 2 2 10" xfId="28741"/>
    <cellStyle name="Normal 5 2 3 2 2 10 2" xfId="28742"/>
    <cellStyle name="Normal 5 2 3 2 2 11" xfId="28743"/>
    <cellStyle name="Normal 5 2 3 2 2 2" xfId="28744"/>
    <cellStyle name="Normal 5 2 3 2 2 2 2" xfId="28745"/>
    <cellStyle name="Normal 5 2 3 2 2 3" xfId="28746"/>
    <cellStyle name="Normal 5 2 3 2 2 3 2" xfId="28747"/>
    <cellStyle name="Normal 5 2 3 2 2 4" xfId="28748"/>
    <cellStyle name="Normal 5 2 3 2 2 4 2" xfId="28749"/>
    <cellStyle name="Normal 5 2 3 2 2 5" xfId="28750"/>
    <cellStyle name="Normal 5 2 3 2 2 5 2" xfId="28751"/>
    <cellStyle name="Normal 5 2 3 2 2 6" xfId="28752"/>
    <cellStyle name="Normal 5 2 3 2 2 6 2" xfId="28753"/>
    <cellStyle name="Normal 5 2 3 2 2 7" xfId="28754"/>
    <cellStyle name="Normal 5 2 3 2 2 7 2" xfId="28755"/>
    <cellStyle name="Normal 5 2 3 2 2 8" xfId="28756"/>
    <cellStyle name="Normal 5 2 3 2 2 8 2" xfId="28757"/>
    <cellStyle name="Normal 5 2 3 2 2 9" xfId="28758"/>
    <cellStyle name="Normal 5 2 3 2 2 9 2" xfId="28759"/>
    <cellStyle name="Normal 5 2 3 2 3" xfId="28760"/>
    <cellStyle name="Normal 5 2 3 2 3 2" xfId="28761"/>
    <cellStyle name="Normal 5 2 3 2 4" xfId="28762"/>
    <cellStyle name="Normal 5 2 3 2 4 2" xfId="28763"/>
    <cellStyle name="Normal 5 2 3 2 5" xfId="28764"/>
    <cellStyle name="Normal 5 2 3 2 5 2" xfId="28765"/>
    <cellStyle name="Normal 5 2 3 2 6" xfId="28766"/>
    <cellStyle name="Normal 5 2 3 2 6 2" xfId="28767"/>
    <cellStyle name="Normal 5 2 3 2 7" xfId="28768"/>
    <cellStyle name="Normal 5 2 3 2 7 2" xfId="28769"/>
    <cellStyle name="Normal 5 2 3 2 8" xfId="28770"/>
    <cellStyle name="Normal 5 2 3 2 8 2" xfId="28771"/>
    <cellStyle name="Normal 5 2 3 2 9" xfId="28772"/>
    <cellStyle name="Normal 5 2 3 2 9 2" xfId="28773"/>
    <cellStyle name="Normal 5 2 3 3" xfId="28774"/>
    <cellStyle name="Normal 5 2 3 3 10" xfId="28775"/>
    <cellStyle name="Normal 5 2 3 3 10 2" xfId="28776"/>
    <cellStyle name="Normal 5 2 3 3 11" xfId="28777"/>
    <cellStyle name="Normal 5 2 3 3 2" xfId="28778"/>
    <cellStyle name="Normal 5 2 3 3 2 2" xfId="28779"/>
    <cellStyle name="Normal 5 2 3 3 3" xfId="28780"/>
    <cellStyle name="Normal 5 2 3 3 3 2" xfId="28781"/>
    <cellStyle name="Normal 5 2 3 3 4" xfId="28782"/>
    <cellStyle name="Normal 5 2 3 3 4 2" xfId="28783"/>
    <cellStyle name="Normal 5 2 3 3 5" xfId="28784"/>
    <cellStyle name="Normal 5 2 3 3 5 2" xfId="28785"/>
    <cellStyle name="Normal 5 2 3 3 6" xfId="28786"/>
    <cellStyle name="Normal 5 2 3 3 6 2" xfId="28787"/>
    <cellStyle name="Normal 5 2 3 3 7" xfId="28788"/>
    <cellStyle name="Normal 5 2 3 3 7 2" xfId="28789"/>
    <cellStyle name="Normal 5 2 3 3 8" xfId="28790"/>
    <cellStyle name="Normal 5 2 3 3 8 2" xfId="28791"/>
    <cellStyle name="Normal 5 2 3 3 9" xfId="28792"/>
    <cellStyle name="Normal 5 2 3 3 9 2" xfId="28793"/>
    <cellStyle name="Normal 5 2 3 4" xfId="28794"/>
    <cellStyle name="Normal 5 2 3 4 2" xfId="28795"/>
    <cellStyle name="Normal 5 2 3 5" xfId="28796"/>
    <cellStyle name="Normal 5 2 3 5 2" xfId="28797"/>
    <cellStyle name="Normal 5 2 3 6" xfId="28798"/>
    <cellStyle name="Normal 5 2 3 6 2" xfId="28799"/>
    <cellStyle name="Normal 5 2 3 7" xfId="28800"/>
    <cellStyle name="Normal 5 2 3 7 2" xfId="28801"/>
    <cellStyle name="Normal 5 2 3 8" xfId="28802"/>
    <cellStyle name="Normal 5 2 3 8 2" xfId="28803"/>
    <cellStyle name="Normal 5 2 3 9" xfId="28804"/>
    <cellStyle name="Normal 5 2 3 9 2" xfId="28805"/>
    <cellStyle name="Normal 5 2 4" xfId="28806"/>
    <cellStyle name="Normal 5 2 4 10" xfId="28807"/>
    <cellStyle name="Normal 5 2 4 10 2" xfId="28808"/>
    <cellStyle name="Normal 5 2 4 11" xfId="28809"/>
    <cellStyle name="Normal 5 2 4 11 2" xfId="28810"/>
    <cellStyle name="Normal 5 2 4 12" xfId="28811"/>
    <cellStyle name="Normal 5 2 4 12 2" xfId="28812"/>
    <cellStyle name="Normal 5 2 4 13" xfId="28813"/>
    <cellStyle name="Normal 5 2 4 2" xfId="28814"/>
    <cellStyle name="Normal 5 2 4 2 10" xfId="28815"/>
    <cellStyle name="Normal 5 2 4 2 10 2" xfId="28816"/>
    <cellStyle name="Normal 5 2 4 2 11" xfId="28817"/>
    <cellStyle name="Normal 5 2 4 2 11 2" xfId="28818"/>
    <cellStyle name="Normal 5 2 4 2 12" xfId="28819"/>
    <cellStyle name="Normal 5 2 4 2 2" xfId="28820"/>
    <cellStyle name="Normal 5 2 4 2 2 10" xfId="28821"/>
    <cellStyle name="Normal 5 2 4 2 2 10 2" xfId="28822"/>
    <cellStyle name="Normal 5 2 4 2 2 11" xfId="28823"/>
    <cellStyle name="Normal 5 2 4 2 2 2" xfId="28824"/>
    <cellStyle name="Normal 5 2 4 2 2 2 2" xfId="28825"/>
    <cellStyle name="Normal 5 2 4 2 2 3" xfId="28826"/>
    <cellStyle name="Normal 5 2 4 2 2 3 2" xfId="28827"/>
    <cellStyle name="Normal 5 2 4 2 2 4" xfId="28828"/>
    <cellStyle name="Normal 5 2 4 2 2 4 2" xfId="28829"/>
    <cellStyle name="Normal 5 2 4 2 2 5" xfId="28830"/>
    <cellStyle name="Normal 5 2 4 2 2 5 2" xfId="28831"/>
    <cellStyle name="Normal 5 2 4 2 2 6" xfId="28832"/>
    <cellStyle name="Normal 5 2 4 2 2 6 2" xfId="28833"/>
    <cellStyle name="Normal 5 2 4 2 2 7" xfId="28834"/>
    <cellStyle name="Normal 5 2 4 2 2 7 2" xfId="28835"/>
    <cellStyle name="Normal 5 2 4 2 2 8" xfId="28836"/>
    <cellStyle name="Normal 5 2 4 2 2 8 2" xfId="28837"/>
    <cellStyle name="Normal 5 2 4 2 2 9" xfId="28838"/>
    <cellStyle name="Normal 5 2 4 2 2 9 2" xfId="28839"/>
    <cellStyle name="Normal 5 2 4 2 3" xfId="28840"/>
    <cellStyle name="Normal 5 2 4 2 3 2" xfId="28841"/>
    <cellStyle name="Normal 5 2 4 2 4" xfId="28842"/>
    <cellStyle name="Normal 5 2 4 2 4 2" xfId="28843"/>
    <cellStyle name="Normal 5 2 4 2 5" xfId="28844"/>
    <cellStyle name="Normal 5 2 4 2 5 2" xfId="28845"/>
    <cellStyle name="Normal 5 2 4 2 6" xfId="28846"/>
    <cellStyle name="Normal 5 2 4 2 6 2" xfId="28847"/>
    <cellStyle name="Normal 5 2 4 2 7" xfId="28848"/>
    <cellStyle name="Normal 5 2 4 2 7 2" xfId="28849"/>
    <cellStyle name="Normal 5 2 4 2 8" xfId="28850"/>
    <cellStyle name="Normal 5 2 4 2 8 2" xfId="28851"/>
    <cellStyle name="Normal 5 2 4 2 9" xfId="28852"/>
    <cellStyle name="Normal 5 2 4 2 9 2" xfId="28853"/>
    <cellStyle name="Normal 5 2 4 3" xfId="28854"/>
    <cellStyle name="Normal 5 2 4 3 10" xfId="28855"/>
    <cellStyle name="Normal 5 2 4 3 10 2" xfId="28856"/>
    <cellStyle name="Normal 5 2 4 3 11" xfId="28857"/>
    <cellStyle name="Normal 5 2 4 3 2" xfId="28858"/>
    <cellStyle name="Normal 5 2 4 3 2 2" xfId="28859"/>
    <cellStyle name="Normal 5 2 4 3 3" xfId="28860"/>
    <cellStyle name="Normal 5 2 4 3 3 2" xfId="28861"/>
    <cellStyle name="Normal 5 2 4 3 4" xfId="28862"/>
    <cellStyle name="Normal 5 2 4 3 4 2" xfId="28863"/>
    <cellStyle name="Normal 5 2 4 3 5" xfId="28864"/>
    <cellStyle name="Normal 5 2 4 3 5 2" xfId="28865"/>
    <cellStyle name="Normal 5 2 4 3 6" xfId="28866"/>
    <cellStyle name="Normal 5 2 4 3 6 2" xfId="28867"/>
    <cellStyle name="Normal 5 2 4 3 7" xfId="28868"/>
    <cellStyle name="Normal 5 2 4 3 7 2" xfId="28869"/>
    <cellStyle name="Normal 5 2 4 3 8" xfId="28870"/>
    <cellStyle name="Normal 5 2 4 3 8 2" xfId="28871"/>
    <cellStyle name="Normal 5 2 4 3 9" xfId="28872"/>
    <cellStyle name="Normal 5 2 4 3 9 2" xfId="28873"/>
    <cellStyle name="Normal 5 2 4 4" xfId="28874"/>
    <cellStyle name="Normal 5 2 4 4 2" xfId="28875"/>
    <cellStyle name="Normal 5 2 4 5" xfId="28876"/>
    <cellStyle name="Normal 5 2 4 5 2" xfId="28877"/>
    <cellStyle name="Normal 5 2 4 6" xfId="28878"/>
    <cellStyle name="Normal 5 2 4 6 2" xfId="28879"/>
    <cellStyle name="Normal 5 2 4 7" xfId="28880"/>
    <cellStyle name="Normal 5 2 4 7 2" xfId="28881"/>
    <cellStyle name="Normal 5 2 4 8" xfId="28882"/>
    <cellStyle name="Normal 5 2 4 8 2" xfId="28883"/>
    <cellStyle name="Normal 5 2 4 9" xfId="28884"/>
    <cellStyle name="Normal 5 2 4 9 2" xfId="28885"/>
    <cellStyle name="Normal 5 2 5" xfId="28886"/>
    <cellStyle name="Normal 5 2 6" xfId="28887"/>
    <cellStyle name="Normal 5 2 6 10" xfId="28888"/>
    <cellStyle name="Normal 5 2 6 10 2" xfId="28889"/>
    <cellStyle name="Normal 5 2 6 11" xfId="28890"/>
    <cellStyle name="Normal 5 2 6 11 2" xfId="28891"/>
    <cellStyle name="Normal 5 2 6 12" xfId="28892"/>
    <cellStyle name="Normal 5 2 6 12 2" xfId="28893"/>
    <cellStyle name="Normal 5 2 6 13" xfId="28894"/>
    <cellStyle name="Normal 5 2 6 2" xfId="28895"/>
    <cellStyle name="Normal 5 2 6 2 10" xfId="28896"/>
    <cellStyle name="Normal 5 2 6 2 10 2" xfId="28897"/>
    <cellStyle name="Normal 5 2 6 2 11" xfId="28898"/>
    <cellStyle name="Normal 5 2 6 2 11 2" xfId="28899"/>
    <cellStyle name="Normal 5 2 6 2 12" xfId="28900"/>
    <cellStyle name="Normal 5 2 6 2 2" xfId="28901"/>
    <cellStyle name="Normal 5 2 6 2 2 10" xfId="28902"/>
    <cellStyle name="Normal 5 2 6 2 2 10 2" xfId="28903"/>
    <cellStyle name="Normal 5 2 6 2 2 11" xfId="28904"/>
    <cellStyle name="Normal 5 2 6 2 2 2" xfId="28905"/>
    <cellStyle name="Normal 5 2 6 2 2 2 2" xfId="28906"/>
    <cellStyle name="Normal 5 2 6 2 2 3" xfId="28907"/>
    <cellStyle name="Normal 5 2 6 2 2 3 2" xfId="28908"/>
    <cellStyle name="Normal 5 2 6 2 2 4" xfId="28909"/>
    <cellStyle name="Normal 5 2 6 2 2 4 2" xfId="28910"/>
    <cellStyle name="Normal 5 2 6 2 2 5" xfId="28911"/>
    <cellStyle name="Normal 5 2 6 2 2 5 2" xfId="28912"/>
    <cellStyle name="Normal 5 2 6 2 2 6" xfId="28913"/>
    <cellStyle name="Normal 5 2 6 2 2 6 2" xfId="28914"/>
    <cellStyle name="Normal 5 2 6 2 2 7" xfId="28915"/>
    <cellStyle name="Normal 5 2 6 2 2 7 2" xfId="28916"/>
    <cellStyle name="Normal 5 2 6 2 2 8" xfId="28917"/>
    <cellStyle name="Normal 5 2 6 2 2 8 2" xfId="28918"/>
    <cellStyle name="Normal 5 2 6 2 2 9" xfId="28919"/>
    <cellStyle name="Normal 5 2 6 2 2 9 2" xfId="28920"/>
    <cellStyle name="Normal 5 2 6 2 3" xfId="28921"/>
    <cellStyle name="Normal 5 2 6 2 3 2" xfId="28922"/>
    <cellStyle name="Normal 5 2 6 2 4" xfId="28923"/>
    <cellStyle name="Normal 5 2 6 2 4 2" xfId="28924"/>
    <cellStyle name="Normal 5 2 6 2 5" xfId="28925"/>
    <cellStyle name="Normal 5 2 6 2 5 2" xfId="28926"/>
    <cellStyle name="Normal 5 2 6 2 6" xfId="28927"/>
    <cellStyle name="Normal 5 2 6 2 6 2" xfId="28928"/>
    <cellStyle name="Normal 5 2 6 2 7" xfId="28929"/>
    <cellStyle name="Normal 5 2 6 2 7 2" xfId="28930"/>
    <cellStyle name="Normal 5 2 6 2 8" xfId="28931"/>
    <cellStyle name="Normal 5 2 6 2 8 2" xfId="28932"/>
    <cellStyle name="Normal 5 2 6 2 9" xfId="28933"/>
    <cellStyle name="Normal 5 2 6 2 9 2" xfId="28934"/>
    <cellStyle name="Normal 5 2 6 3" xfId="28935"/>
    <cellStyle name="Normal 5 2 6 3 10" xfId="28936"/>
    <cellStyle name="Normal 5 2 6 3 10 2" xfId="28937"/>
    <cellStyle name="Normal 5 2 6 3 11" xfId="28938"/>
    <cellStyle name="Normal 5 2 6 3 2" xfId="28939"/>
    <cellStyle name="Normal 5 2 6 3 2 2" xfId="28940"/>
    <cellStyle name="Normal 5 2 6 3 3" xfId="28941"/>
    <cellStyle name="Normal 5 2 6 3 3 2" xfId="28942"/>
    <cellStyle name="Normal 5 2 6 3 4" xfId="28943"/>
    <cellStyle name="Normal 5 2 6 3 4 2" xfId="28944"/>
    <cellStyle name="Normal 5 2 6 3 5" xfId="28945"/>
    <cellStyle name="Normal 5 2 6 3 5 2" xfId="28946"/>
    <cellStyle name="Normal 5 2 6 3 6" xfId="28947"/>
    <cellStyle name="Normal 5 2 6 3 6 2" xfId="28948"/>
    <cellStyle name="Normal 5 2 6 3 7" xfId="28949"/>
    <cellStyle name="Normal 5 2 6 3 7 2" xfId="28950"/>
    <cellStyle name="Normal 5 2 6 3 8" xfId="28951"/>
    <cellStyle name="Normal 5 2 6 3 8 2" xfId="28952"/>
    <cellStyle name="Normal 5 2 6 3 9" xfId="28953"/>
    <cellStyle name="Normal 5 2 6 3 9 2" xfId="28954"/>
    <cellStyle name="Normal 5 2 6 4" xfId="28955"/>
    <cellStyle name="Normal 5 2 6 4 2" xfId="28956"/>
    <cellStyle name="Normal 5 2 6 5" xfId="28957"/>
    <cellStyle name="Normal 5 2 6 5 2" xfId="28958"/>
    <cellStyle name="Normal 5 2 6 6" xfId="28959"/>
    <cellStyle name="Normal 5 2 6 6 2" xfId="28960"/>
    <cellStyle name="Normal 5 2 6 7" xfId="28961"/>
    <cellStyle name="Normal 5 2 6 7 2" xfId="28962"/>
    <cellStyle name="Normal 5 2 6 8" xfId="28963"/>
    <cellStyle name="Normal 5 2 6 8 2" xfId="28964"/>
    <cellStyle name="Normal 5 2 6 9" xfId="28965"/>
    <cellStyle name="Normal 5 2 6 9 2" xfId="28966"/>
    <cellStyle name="Normal 5 2 7" xfId="28967"/>
    <cellStyle name="Normal 5 2 7 10" xfId="28968"/>
    <cellStyle name="Normal 5 2 7 10 2" xfId="28969"/>
    <cellStyle name="Normal 5 2 7 11" xfId="28970"/>
    <cellStyle name="Normal 5 2 7 11 2" xfId="28971"/>
    <cellStyle name="Normal 5 2 7 12" xfId="28972"/>
    <cellStyle name="Normal 5 2 7 2" xfId="28973"/>
    <cellStyle name="Normal 5 2 7 2 10" xfId="28974"/>
    <cellStyle name="Normal 5 2 7 2 10 2" xfId="28975"/>
    <cellStyle name="Normal 5 2 7 2 11" xfId="28976"/>
    <cellStyle name="Normal 5 2 7 2 2" xfId="28977"/>
    <cellStyle name="Normal 5 2 7 2 2 2" xfId="28978"/>
    <cellStyle name="Normal 5 2 7 2 3" xfId="28979"/>
    <cellStyle name="Normal 5 2 7 2 3 2" xfId="28980"/>
    <cellStyle name="Normal 5 2 7 2 4" xfId="28981"/>
    <cellStyle name="Normal 5 2 7 2 4 2" xfId="28982"/>
    <cellStyle name="Normal 5 2 7 2 5" xfId="28983"/>
    <cellStyle name="Normal 5 2 7 2 5 2" xfId="28984"/>
    <cellStyle name="Normal 5 2 7 2 6" xfId="28985"/>
    <cellStyle name="Normal 5 2 7 2 6 2" xfId="28986"/>
    <cellStyle name="Normal 5 2 7 2 7" xfId="28987"/>
    <cellStyle name="Normal 5 2 7 2 7 2" xfId="28988"/>
    <cellStyle name="Normal 5 2 7 2 8" xfId="28989"/>
    <cellStyle name="Normal 5 2 7 2 8 2" xfId="28990"/>
    <cellStyle name="Normal 5 2 7 2 9" xfId="28991"/>
    <cellStyle name="Normal 5 2 7 2 9 2" xfId="28992"/>
    <cellStyle name="Normal 5 2 7 3" xfId="28993"/>
    <cellStyle name="Normal 5 2 7 3 2" xfId="28994"/>
    <cellStyle name="Normal 5 2 7 4" xfId="28995"/>
    <cellStyle name="Normal 5 2 7 4 2" xfId="28996"/>
    <cellStyle name="Normal 5 2 7 5" xfId="28997"/>
    <cellStyle name="Normal 5 2 7 5 2" xfId="28998"/>
    <cellStyle name="Normal 5 2 7 6" xfId="28999"/>
    <cellStyle name="Normal 5 2 7 6 2" xfId="29000"/>
    <cellStyle name="Normal 5 2 7 7" xfId="29001"/>
    <cellStyle name="Normal 5 2 7 7 2" xfId="29002"/>
    <cellStyle name="Normal 5 2 7 8" xfId="29003"/>
    <cellStyle name="Normal 5 2 7 8 2" xfId="29004"/>
    <cellStyle name="Normal 5 2 7 9" xfId="29005"/>
    <cellStyle name="Normal 5 2 7 9 2" xfId="29006"/>
    <cellStyle name="Normal 5 2 8" xfId="29007"/>
    <cellStyle name="Normal 5 2 8 10" xfId="29008"/>
    <cellStyle name="Normal 5 2 8 10 2" xfId="29009"/>
    <cellStyle name="Normal 5 2 8 11" xfId="29010"/>
    <cellStyle name="Normal 5 2 8 2" xfId="29011"/>
    <cellStyle name="Normal 5 2 8 2 2" xfId="29012"/>
    <cellStyle name="Normal 5 2 8 3" xfId="29013"/>
    <cellStyle name="Normal 5 2 8 3 2" xfId="29014"/>
    <cellStyle name="Normal 5 2 8 4" xfId="29015"/>
    <cellStyle name="Normal 5 2 8 4 2" xfId="29016"/>
    <cellStyle name="Normal 5 2 8 5" xfId="29017"/>
    <cellStyle name="Normal 5 2 8 5 2" xfId="29018"/>
    <cellStyle name="Normal 5 2 8 6" xfId="29019"/>
    <cellStyle name="Normal 5 2 8 6 2" xfId="29020"/>
    <cellStyle name="Normal 5 2 8 7" xfId="29021"/>
    <cellStyle name="Normal 5 2 8 7 2" xfId="29022"/>
    <cellStyle name="Normal 5 2 8 8" xfId="29023"/>
    <cellStyle name="Normal 5 2 8 8 2" xfId="29024"/>
    <cellStyle name="Normal 5 2 8 9" xfId="29025"/>
    <cellStyle name="Normal 5 2 8 9 2" xfId="29026"/>
    <cellStyle name="Normal 5 2 9" xfId="29027"/>
    <cellStyle name="Normal 5 2 9 2" xfId="29028"/>
    <cellStyle name="Normal 5 20" xfId="29029"/>
    <cellStyle name="Normal 5 20 2" xfId="29030"/>
    <cellStyle name="Normal 5 21" xfId="29031"/>
    <cellStyle name="Normal 5 22" xfId="29032"/>
    <cellStyle name="Normal 5 23" xfId="29033"/>
    <cellStyle name="Normal 5 3" xfId="29034"/>
    <cellStyle name="Normal 5 3 10" xfId="29035"/>
    <cellStyle name="Normal 5 3 10 2" xfId="29036"/>
    <cellStyle name="Normal 5 3 11" xfId="29037"/>
    <cellStyle name="Normal 5 3 11 2" xfId="29038"/>
    <cellStyle name="Normal 5 3 12" xfId="29039"/>
    <cellStyle name="Normal 5 3 12 2" xfId="29040"/>
    <cellStyle name="Normal 5 3 13" xfId="29041"/>
    <cellStyle name="Normal 5 3 13 2" xfId="29042"/>
    <cellStyle name="Normal 5 3 14" xfId="29043"/>
    <cellStyle name="Normal 5 3 2" xfId="29044"/>
    <cellStyle name="Normal 5 3 3" xfId="29045"/>
    <cellStyle name="Normal 5 3 3 10" xfId="29046"/>
    <cellStyle name="Normal 5 3 3 10 2" xfId="29047"/>
    <cellStyle name="Normal 5 3 3 11" xfId="29048"/>
    <cellStyle name="Normal 5 3 3 11 2" xfId="29049"/>
    <cellStyle name="Normal 5 3 3 12" xfId="29050"/>
    <cellStyle name="Normal 5 3 3 2" xfId="29051"/>
    <cellStyle name="Normal 5 3 3 2 10" xfId="29052"/>
    <cellStyle name="Normal 5 3 3 2 10 2" xfId="29053"/>
    <cellStyle name="Normal 5 3 3 2 11" xfId="29054"/>
    <cellStyle name="Normal 5 3 3 2 2" xfId="29055"/>
    <cellStyle name="Normal 5 3 3 2 2 2" xfId="29056"/>
    <cellStyle name="Normal 5 3 3 2 3" xfId="29057"/>
    <cellStyle name="Normal 5 3 3 2 3 2" xfId="29058"/>
    <cellStyle name="Normal 5 3 3 2 4" xfId="29059"/>
    <cellStyle name="Normal 5 3 3 2 4 2" xfId="29060"/>
    <cellStyle name="Normal 5 3 3 2 5" xfId="29061"/>
    <cellStyle name="Normal 5 3 3 2 5 2" xfId="29062"/>
    <cellStyle name="Normal 5 3 3 2 6" xfId="29063"/>
    <cellStyle name="Normal 5 3 3 2 6 2" xfId="29064"/>
    <cellStyle name="Normal 5 3 3 2 7" xfId="29065"/>
    <cellStyle name="Normal 5 3 3 2 7 2" xfId="29066"/>
    <cellStyle name="Normal 5 3 3 2 8" xfId="29067"/>
    <cellStyle name="Normal 5 3 3 2 8 2" xfId="29068"/>
    <cellStyle name="Normal 5 3 3 2 9" xfId="29069"/>
    <cellStyle name="Normal 5 3 3 2 9 2" xfId="29070"/>
    <cellStyle name="Normal 5 3 3 3" xfId="29071"/>
    <cellStyle name="Normal 5 3 3 3 2" xfId="29072"/>
    <cellStyle name="Normal 5 3 3 4" xfId="29073"/>
    <cellStyle name="Normal 5 3 3 4 2" xfId="29074"/>
    <cellStyle name="Normal 5 3 3 5" xfId="29075"/>
    <cellStyle name="Normal 5 3 3 5 2" xfId="29076"/>
    <cellStyle name="Normal 5 3 3 6" xfId="29077"/>
    <cellStyle name="Normal 5 3 3 6 2" xfId="29078"/>
    <cellStyle name="Normal 5 3 3 7" xfId="29079"/>
    <cellStyle name="Normal 5 3 3 7 2" xfId="29080"/>
    <cellStyle name="Normal 5 3 3 8" xfId="29081"/>
    <cellStyle name="Normal 5 3 3 8 2" xfId="29082"/>
    <cellStyle name="Normal 5 3 3 9" xfId="29083"/>
    <cellStyle name="Normal 5 3 3 9 2" xfId="29084"/>
    <cellStyle name="Normal 5 3 4" xfId="29085"/>
    <cellStyle name="Normal 5 3 4 10" xfId="29086"/>
    <cellStyle name="Normal 5 3 4 10 2" xfId="29087"/>
    <cellStyle name="Normal 5 3 4 11" xfId="29088"/>
    <cellStyle name="Normal 5 3 4 2" xfId="29089"/>
    <cellStyle name="Normal 5 3 4 2 2" xfId="29090"/>
    <cellStyle name="Normal 5 3 4 3" xfId="29091"/>
    <cellStyle name="Normal 5 3 4 3 2" xfId="29092"/>
    <cellStyle name="Normal 5 3 4 4" xfId="29093"/>
    <cellStyle name="Normal 5 3 4 4 2" xfId="29094"/>
    <cellStyle name="Normal 5 3 4 5" xfId="29095"/>
    <cellStyle name="Normal 5 3 4 5 2" xfId="29096"/>
    <cellStyle name="Normal 5 3 4 6" xfId="29097"/>
    <cellStyle name="Normal 5 3 4 6 2" xfId="29098"/>
    <cellStyle name="Normal 5 3 4 7" xfId="29099"/>
    <cellStyle name="Normal 5 3 4 7 2" xfId="29100"/>
    <cellStyle name="Normal 5 3 4 8" xfId="29101"/>
    <cellStyle name="Normal 5 3 4 8 2" xfId="29102"/>
    <cellStyle name="Normal 5 3 4 9" xfId="29103"/>
    <cellStyle name="Normal 5 3 4 9 2" xfId="29104"/>
    <cellStyle name="Normal 5 3 5" xfId="29105"/>
    <cellStyle name="Normal 5 3 5 2" xfId="29106"/>
    <cellStyle name="Normal 5 3 6" xfId="29107"/>
    <cellStyle name="Normal 5 3 6 2" xfId="29108"/>
    <cellStyle name="Normal 5 3 7" xfId="29109"/>
    <cellStyle name="Normal 5 3 7 2" xfId="29110"/>
    <cellStyle name="Normal 5 3 8" xfId="29111"/>
    <cellStyle name="Normal 5 3 8 2" xfId="29112"/>
    <cellStyle name="Normal 5 3 9" xfId="29113"/>
    <cellStyle name="Normal 5 3 9 2" xfId="29114"/>
    <cellStyle name="Normal 5 4" xfId="29115"/>
    <cellStyle name="Normal 5 4 10" xfId="29116"/>
    <cellStyle name="Normal 5 4 10 2" xfId="29117"/>
    <cellStyle name="Normal 5 4 11" xfId="29118"/>
    <cellStyle name="Normal 5 4 11 2" xfId="29119"/>
    <cellStyle name="Normal 5 4 12" xfId="29120"/>
    <cellStyle name="Normal 5 4 12 2" xfId="29121"/>
    <cellStyle name="Normal 5 4 13" xfId="29122"/>
    <cellStyle name="Normal 5 4 13 2" xfId="29123"/>
    <cellStyle name="Normal 5 4 14" xfId="29124"/>
    <cellStyle name="Normal 5 4 2" xfId="29125"/>
    <cellStyle name="Normal 5 4 3" xfId="29126"/>
    <cellStyle name="Normal 5 4 3 10" xfId="29127"/>
    <cellStyle name="Normal 5 4 3 10 2" xfId="29128"/>
    <cellStyle name="Normal 5 4 3 11" xfId="29129"/>
    <cellStyle name="Normal 5 4 3 11 2" xfId="29130"/>
    <cellStyle name="Normal 5 4 3 12" xfId="29131"/>
    <cellStyle name="Normal 5 4 3 2" xfId="29132"/>
    <cellStyle name="Normal 5 4 3 2 10" xfId="29133"/>
    <cellStyle name="Normal 5 4 3 2 10 2" xfId="29134"/>
    <cellStyle name="Normal 5 4 3 2 11" xfId="29135"/>
    <cellStyle name="Normal 5 4 3 2 2" xfId="29136"/>
    <cellStyle name="Normal 5 4 3 2 2 2" xfId="29137"/>
    <cellStyle name="Normal 5 4 3 2 3" xfId="29138"/>
    <cellStyle name="Normal 5 4 3 2 3 2" xfId="29139"/>
    <cellStyle name="Normal 5 4 3 2 4" xfId="29140"/>
    <cellStyle name="Normal 5 4 3 2 4 2" xfId="29141"/>
    <cellStyle name="Normal 5 4 3 2 5" xfId="29142"/>
    <cellStyle name="Normal 5 4 3 2 5 2" xfId="29143"/>
    <cellStyle name="Normal 5 4 3 2 6" xfId="29144"/>
    <cellStyle name="Normal 5 4 3 2 6 2" xfId="29145"/>
    <cellStyle name="Normal 5 4 3 2 7" xfId="29146"/>
    <cellStyle name="Normal 5 4 3 2 7 2" xfId="29147"/>
    <cellStyle name="Normal 5 4 3 2 8" xfId="29148"/>
    <cellStyle name="Normal 5 4 3 2 8 2" xfId="29149"/>
    <cellStyle name="Normal 5 4 3 2 9" xfId="29150"/>
    <cellStyle name="Normal 5 4 3 2 9 2" xfId="29151"/>
    <cellStyle name="Normal 5 4 3 3" xfId="29152"/>
    <cellStyle name="Normal 5 4 3 3 2" xfId="29153"/>
    <cellStyle name="Normal 5 4 3 4" xfId="29154"/>
    <cellStyle name="Normal 5 4 3 4 2" xfId="29155"/>
    <cellStyle name="Normal 5 4 3 5" xfId="29156"/>
    <cellStyle name="Normal 5 4 3 5 2" xfId="29157"/>
    <cellStyle name="Normal 5 4 3 6" xfId="29158"/>
    <cellStyle name="Normal 5 4 3 6 2" xfId="29159"/>
    <cellStyle name="Normal 5 4 3 7" xfId="29160"/>
    <cellStyle name="Normal 5 4 3 7 2" xfId="29161"/>
    <cellStyle name="Normal 5 4 3 8" xfId="29162"/>
    <cellStyle name="Normal 5 4 3 8 2" xfId="29163"/>
    <cellStyle name="Normal 5 4 3 9" xfId="29164"/>
    <cellStyle name="Normal 5 4 3 9 2" xfId="29165"/>
    <cellStyle name="Normal 5 4 4" xfId="29166"/>
    <cellStyle name="Normal 5 4 4 10" xfId="29167"/>
    <cellStyle name="Normal 5 4 4 10 2" xfId="29168"/>
    <cellStyle name="Normal 5 4 4 11" xfId="29169"/>
    <cellStyle name="Normal 5 4 4 2" xfId="29170"/>
    <cellStyle name="Normal 5 4 4 2 2" xfId="29171"/>
    <cellStyle name="Normal 5 4 4 3" xfId="29172"/>
    <cellStyle name="Normal 5 4 4 3 2" xfId="29173"/>
    <cellStyle name="Normal 5 4 4 4" xfId="29174"/>
    <cellStyle name="Normal 5 4 4 4 2" xfId="29175"/>
    <cellStyle name="Normal 5 4 4 5" xfId="29176"/>
    <cellStyle name="Normal 5 4 4 5 2" xfId="29177"/>
    <cellStyle name="Normal 5 4 4 6" xfId="29178"/>
    <cellStyle name="Normal 5 4 4 6 2" xfId="29179"/>
    <cellStyle name="Normal 5 4 4 7" xfId="29180"/>
    <cellStyle name="Normal 5 4 4 7 2" xfId="29181"/>
    <cellStyle name="Normal 5 4 4 8" xfId="29182"/>
    <cellStyle name="Normal 5 4 4 8 2" xfId="29183"/>
    <cellStyle name="Normal 5 4 4 9" xfId="29184"/>
    <cellStyle name="Normal 5 4 4 9 2" xfId="29185"/>
    <cellStyle name="Normal 5 4 5" xfId="29186"/>
    <cellStyle name="Normal 5 4 5 2" xfId="29187"/>
    <cellStyle name="Normal 5 4 6" xfId="29188"/>
    <cellStyle name="Normal 5 4 6 2" xfId="29189"/>
    <cellStyle name="Normal 5 4 7" xfId="29190"/>
    <cellStyle name="Normal 5 4 7 2" xfId="29191"/>
    <cellStyle name="Normal 5 4 8" xfId="29192"/>
    <cellStyle name="Normal 5 4 8 2" xfId="29193"/>
    <cellStyle name="Normal 5 4 9" xfId="29194"/>
    <cellStyle name="Normal 5 4 9 2" xfId="29195"/>
    <cellStyle name="Normal 5 5" xfId="29196"/>
    <cellStyle name="Normal 5 5 10" xfId="29197"/>
    <cellStyle name="Normal 5 5 10 2" xfId="29198"/>
    <cellStyle name="Normal 5 5 11" xfId="29199"/>
    <cellStyle name="Normal 5 5 11 2" xfId="29200"/>
    <cellStyle name="Normal 5 5 12" xfId="29201"/>
    <cellStyle name="Normal 5 5 12 2" xfId="29202"/>
    <cellStyle name="Normal 5 5 13" xfId="29203"/>
    <cellStyle name="Normal 5 5 13 2" xfId="29204"/>
    <cellStyle name="Normal 5 5 14" xfId="29205"/>
    <cellStyle name="Normal 5 5 2" xfId="29206"/>
    <cellStyle name="Normal 5 5 3" xfId="29207"/>
    <cellStyle name="Normal 5 5 3 10" xfId="29208"/>
    <cellStyle name="Normal 5 5 3 10 2" xfId="29209"/>
    <cellStyle name="Normal 5 5 3 11" xfId="29210"/>
    <cellStyle name="Normal 5 5 3 11 2" xfId="29211"/>
    <cellStyle name="Normal 5 5 3 12" xfId="29212"/>
    <cellStyle name="Normal 5 5 3 2" xfId="29213"/>
    <cellStyle name="Normal 5 5 3 2 10" xfId="29214"/>
    <cellStyle name="Normal 5 5 3 2 10 2" xfId="29215"/>
    <cellStyle name="Normal 5 5 3 2 11" xfId="29216"/>
    <cellStyle name="Normal 5 5 3 2 2" xfId="29217"/>
    <cellStyle name="Normal 5 5 3 2 2 2" xfId="29218"/>
    <cellStyle name="Normal 5 5 3 2 3" xfId="29219"/>
    <cellStyle name="Normal 5 5 3 2 3 2" xfId="29220"/>
    <cellStyle name="Normal 5 5 3 2 4" xfId="29221"/>
    <cellStyle name="Normal 5 5 3 2 4 2" xfId="29222"/>
    <cellStyle name="Normal 5 5 3 2 5" xfId="29223"/>
    <cellStyle name="Normal 5 5 3 2 5 2" xfId="29224"/>
    <cellStyle name="Normal 5 5 3 2 6" xfId="29225"/>
    <cellStyle name="Normal 5 5 3 2 6 2" xfId="29226"/>
    <cellStyle name="Normal 5 5 3 2 7" xfId="29227"/>
    <cellStyle name="Normal 5 5 3 2 7 2" xfId="29228"/>
    <cellStyle name="Normal 5 5 3 2 8" xfId="29229"/>
    <cellStyle name="Normal 5 5 3 2 8 2" xfId="29230"/>
    <cellStyle name="Normal 5 5 3 2 9" xfId="29231"/>
    <cellStyle name="Normal 5 5 3 2 9 2" xfId="29232"/>
    <cellStyle name="Normal 5 5 3 3" xfId="29233"/>
    <cellStyle name="Normal 5 5 3 3 2" xfId="29234"/>
    <cellStyle name="Normal 5 5 3 4" xfId="29235"/>
    <cellStyle name="Normal 5 5 3 4 2" xfId="29236"/>
    <cellStyle name="Normal 5 5 3 5" xfId="29237"/>
    <cellStyle name="Normal 5 5 3 5 2" xfId="29238"/>
    <cellStyle name="Normal 5 5 3 6" xfId="29239"/>
    <cellStyle name="Normal 5 5 3 6 2" xfId="29240"/>
    <cellStyle name="Normal 5 5 3 7" xfId="29241"/>
    <cellStyle name="Normal 5 5 3 7 2" xfId="29242"/>
    <cellStyle name="Normal 5 5 3 8" xfId="29243"/>
    <cellStyle name="Normal 5 5 3 8 2" xfId="29244"/>
    <cellStyle name="Normal 5 5 3 9" xfId="29245"/>
    <cellStyle name="Normal 5 5 3 9 2" xfId="29246"/>
    <cellStyle name="Normal 5 5 4" xfId="29247"/>
    <cellStyle name="Normal 5 5 4 10" xfId="29248"/>
    <cellStyle name="Normal 5 5 4 10 2" xfId="29249"/>
    <cellStyle name="Normal 5 5 4 11" xfId="29250"/>
    <cellStyle name="Normal 5 5 4 2" xfId="29251"/>
    <cellStyle name="Normal 5 5 4 2 2" xfId="29252"/>
    <cellStyle name="Normal 5 5 4 3" xfId="29253"/>
    <cellStyle name="Normal 5 5 4 3 2" xfId="29254"/>
    <cellStyle name="Normal 5 5 4 4" xfId="29255"/>
    <cellStyle name="Normal 5 5 4 4 2" xfId="29256"/>
    <cellStyle name="Normal 5 5 4 5" xfId="29257"/>
    <cellStyle name="Normal 5 5 4 5 2" xfId="29258"/>
    <cellStyle name="Normal 5 5 4 6" xfId="29259"/>
    <cellStyle name="Normal 5 5 4 6 2" xfId="29260"/>
    <cellStyle name="Normal 5 5 4 7" xfId="29261"/>
    <cellStyle name="Normal 5 5 4 7 2" xfId="29262"/>
    <cellStyle name="Normal 5 5 4 8" xfId="29263"/>
    <cellStyle name="Normal 5 5 4 8 2" xfId="29264"/>
    <cellStyle name="Normal 5 5 4 9" xfId="29265"/>
    <cellStyle name="Normal 5 5 4 9 2" xfId="29266"/>
    <cellStyle name="Normal 5 5 5" xfId="29267"/>
    <cellStyle name="Normal 5 5 5 2" xfId="29268"/>
    <cellStyle name="Normal 5 5 6" xfId="29269"/>
    <cellStyle name="Normal 5 5 6 2" xfId="29270"/>
    <cellStyle name="Normal 5 5 7" xfId="29271"/>
    <cellStyle name="Normal 5 5 7 2" xfId="29272"/>
    <cellStyle name="Normal 5 5 8" xfId="29273"/>
    <cellStyle name="Normal 5 5 8 2" xfId="29274"/>
    <cellStyle name="Normal 5 5 9" xfId="29275"/>
    <cellStyle name="Normal 5 5 9 2" xfId="29276"/>
    <cellStyle name="Normal 5 6" xfId="29277"/>
    <cellStyle name="Normal 5 7" xfId="29278"/>
    <cellStyle name="Normal 5 8" xfId="29279"/>
    <cellStyle name="Normal 5 8 10" xfId="29280"/>
    <cellStyle name="Normal 5 8 10 2" xfId="29281"/>
    <cellStyle name="Normal 5 8 11" xfId="29282"/>
    <cellStyle name="Normal 5 8 11 2" xfId="29283"/>
    <cellStyle name="Normal 5 8 12" xfId="29284"/>
    <cellStyle name="Normal 5 8 12 2" xfId="29285"/>
    <cellStyle name="Normal 5 8 13" xfId="29286"/>
    <cellStyle name="Normal 5 8 2" xfId="29287"/>
    <cellStyle name="Normal 5 8 2 10" xfId="29288"/>
    <cellStyle name="Normal 5 8 2 10 2" xfId="29289"/>
    <cellStyle name="Normal 5 8 2 11" xfId="29290"/>
    <cellStyle name="Normal 5 8 2 11 2" xfId="29291"/>
    <cellStyle name="Normal 5 8 2 12" xfId="29292"/>
    <cellStyle name="Normal 5 8 2 2" xfId="29293"/>
    <cellStyle name="Normal 5 8 2 2 10" xfId="29294"/>
    <cellStyle name="Normal 5 8 2 2 10 2" xfId="29295"/>
    <cellStyle name="Normal 5 8 2 2 11" xfId="29296"/>
    <cellStyle name="Normal 5 8 2 2 2" xfId="29297"/>
    <cellStyle name="Normal 5 8 2 2 2 2" xfId="29298"/>
    <cellStyle name="Normal 5 8 2 2 3" xfId="29299"/>
    <cellStyle name="Normal 5 8 2 2 3 2" xfId="29300"/>
    <cellStyle name="Normal 5 8 2 2 4" xfId="29301"/>
    <cellStyle name="Normal 5 8 2 2 4 2" xfId="29302"/>
    <cellStyle name="Normal 5 8 2 2 5" xfId="29303"/>
    <cellStyle name="Normal 5 8 2 2 5 2" xfId="29304"/>
    <cellStyle name="Normal 5 8 2 2 6" xfId="29305"/>
    <cellStyle name="Normal 5 8 2 2 6 2" xfId="29306"/>
    <cellStyle name="Normal 5 8 2 2 7" xfId="29307"/>
    <cellStyle name="Normal 5 8 2 2 7 2" xfId="29308"/>
    <cellStyle name="Normal 5 8 2 2 8" xfId="29309"/>
    <cellStyle name="Normal 5 8 2 2 8 2" xfId="29310"/>
    <cellStyle name="Normal 5 8 2 2 9" xfId="29311"/>
    <cellStyle name="Normal 5 8 2 2 9 2" xfId="29312"/>
    <cellStyle name="Normal 5 8 2 3" xfId="29313"/>
    <cellStyle name="Normal 5 8 2 3 2" xfId="29314"/>
    <cellStyle name="Normal 5 8 2 4" xfId="29315"/>
    <cellStyle name="Normal 5 8 2 4 2" xfId="29316"/>
    <cellStyle name="Normal 5 8 2 5" xfId="29317"/>
    <cellStyle name="Normal 5 8 2 5 2" xfId="29318"/>
    <cellStyle name="Normal 5 8 2 6" xfId="29319"/>
    <cellStyle name="Normal 5 8 2 6 2" xfId="29320"/>
    <cellStyle name="Normal 5 8 2 7" xfId="29321"/>
    <cellStyle name="Normal 5 8 2 7 2" xfId="29322"/>
    <cellStyle name="Normal 5 8 2 8" xfId="29323"/>
    <cellStyle name="Normal 5 8 2 8 2" xfId="29324"/>
    <cellStyle name="Normal 5 8 2 9" xfId="29325"/>
    <cellStyle name="Normal 5 8 2 9 2" xfId="29326"/>
    <cellStyle name="Normal 5 8 3" xfId="29327"/>
    <cellStyle name="Normal 5 8 3 10" xfId="29328"/>
    <cellStyle name="Normal 5 8 3 10 2" xfId="29329"/>
    <cellStyle name="Normal 5 8 3 11" xfId="29330"/>
    <cellStyle name="Normal 5 8 3 2" xfId="29331"/>
    <cellStyle name="Normal 5 8 3 2 2" xfId="29332"/>
    <cellStyle name="Normal 5 8 3 3" xfId="29333"/>
    <cellStyle name="Normal 5 8 3 3 2" xfId="29334"/>
    <cellStyle name="Normal 5 8 3 4" xfId="29335"/>
    <cellStyle name="Normal 5 8 3 4 2" xfId="29336"/>
    <cellStyle name="Normal 5 8 3 5" xfId="29337"/>
    <cellStyle name="Normal 5 8 3 5 2" xfId="29338"/>
    <cellStyle name="Normal 5 8 3 6" xfId="29339"/>
    <cellStyle name="Normal 5 8 3 6 2" xfId="29340"/>
    <cellStyle name="Normal 5 8 3 7" xfId="29341"/>
    <cellStyle name="Normal 5 8 3 7 2" xfId="29342"/>
    <cellStyle name="Normal 5 8 3 8" xfId="29343"/>
    <cellStyle name="Normal 5 8 3 8 2" xfId="29344"/>
    <cellStyle name="Normal 5 8 3 9" xfId="29345"/>
    <cellStyle name="Normal 5 8 3 9 2" xfId="29346"/>
    <cellStyle name="Normal 5 8 4" xfId="29347"/>
    <cellStyle name="Normal 5 8 4 2" xfId="29348"/>
    <cellStyle name="Normal 5 8 5" xfId="29349"/>
    <cellStyle name="Normal 5 8 5 2" xfId="29350"/>
    <cellStyle name="Normal 5 8 6" xfId="29351"/>
    <cellStyle name="Normal 5 8 6 2" xfId="29352"/>
    <cellStyle name="Normal 5 8 7" xfId="29353"/>
    <cellStyle name="Normal 5 8 7 2" xfId="29354"/>
    <cellStyle name="Normal 5 8 8" xfId="29355"/>
    <cellStyle name="Normal 5 8 8 2" xfId="29356"/>
    <cellStyle name="Normal 5 8 9" xfId="29357"/>
    <cellStyle name="Normal 5 8 9 2" xfId="29358"/>
    <cellStyle name="Normal 5 9" xfId="29359"/>
    <cellStyle name="Normal 5 9 10" xfId="29360"/>
    <cellStyle name="Normal 5 9 10 2" xfId="29361"/>
    <cellStyle name="Normal 5 9 11" xfId="29362"/>
    <cellStyle name="Normal 5 9 11 2" xfId="29363"/>
    <cellStyle name="Normal 5 9 12" xfId="29364"/>
    <cellStyle name="Normal 5 9 2" xfId="29365"/>
    <cellStyle name="Normal 5 9 2 10" xfId="29366"/>
    <cellStyle name="Normal 5 9 2 10 2" xfId="29367"/>
    <cellStyle name="Normal 5 9 2 11" xfId="29368"/>
    <cellStyle name="Normal 5 9 2 2" xfId="29369"/>
    <cellStyle name="Normal 5 9 2 2 2" xfId="29370"/>
    <cellStyle name="Normal 5 9 2 3" xfId="29371"/>
    <cellStyle name="Normal 5 9 2 3 2" xfId="29372"/>
    <cellStyle name="Normal 5 9 2 4" xfId="29373"/>
    <cellStyle name="Normal 5 9 2 4 2" xfId="29374"/>
    <cellStyle name="Normal 5 9 2 5" xfId="29375"/>
    <cellStyle name="Normal 5 9 2 5 2" xfId="29376"/>
    <cellStyle name="Normal 5 9 2 6" xfId="29377"/>
    <cellStyle name="Normal 5 9 2 6 2" xfId="29378"/>
    <cellStyle name="Normal 5 9 2 7" xfId="29379"/>
    <cellStyle name="Normal 5 9 2 7 2" xfId="29380"/>
    <cellStyle name="Normal 5 9 2 8" xfId="29381"/>
    <cellStyle name="Normal 5 9 2 8 2" xfId="29382"/>
    <cellStyle name="Normal 5 9 2 9" xfId="29383"/>
    <cellStyle name="Normal 5 9 2 9 2" xfId="29384"/>
    <cellStyle name="Normal 5 9 3" xfId="29385"/>
    <cellStyle name="Normal 5 9 3 2" xfId="29386"/>
    <cellStyle name="Normal 5 9 4" xfId="29387"/>
    <cellStyle name="Normal 5 9 4 2" xfId="29388"/>
    <cellStyle name="Normal 5 9 5" xfId="29389"/>
    <cellStyle name="Normal 5 9 5 2" xfId="29390"/>
    <cellStyle name="Normal 5 9 6" xfId="29391"/>
    <cellStyle name="Normal 5 9 6 2" xfId="29392"/>
    <cellStyle name="Normal 5 9 7" xfId="29393"/>
    <cellStyle name="Normal 5 9 7 2" xfId="29394"/>
    <cellStyle name="Normal 5 9 8" xfId="29395"/>
    <cellStyle name="Normal 5 9 8 2" xfId="29396"/>
    <cellStyle name="Normal 5 9 9" xfId="29397"/>
    <cellStyle name="Normal 5 9 9 2" xfId="29398"/>
    <cellStyle name="Normal 50" xfId="263"/>
    <cellStyle name="Normal 51" xfId="264"/>
    <cellStyle name="Normal 52" xfId="29399"/>
    <cellStyle name="Normal 53" xfId="29400"/>
    <cellStyle name="Normal 54" xfId="41728"/>
    <cellStyle name="Normal 6" xfId="191"/>
    <cellStyle name="Normal 6 10" xfId="29401"/>
    <cellStyle name="Normal 6 10 10" xfId="29402"/>
    <cellStyle name="Normal 6 10 10 2" xfId="29403"/>
    <cellStyle name="Normal 6 10 11" xfId="29404"/>
    <cellStyle name="Normal 6 10 2" xfId="29405"/>
    <cellStyle name="Normal 6 10 2 2" xfId="29406"/>
    <cellStyle name="Normal 6 10 3" xfId="29407"/>
    <cellStyle name="Normal 6 10 3 2" xfId="29408"/>
    <cellStyle name="Normal 6 10 4" xfId="29409"/>
    <cellStyle name="Normal 6 10 4 2" xfId="29410"/>
    <cellStyle name="Normal 6 10 5" xfId="29411"/>
    <cellStyle name="Normal 6 10 5 2" xfId="29412"/>
    <cellStyle name="Normal 6 10 6" xfId="29413"/>
    <cellStyle name="Normal 6 10 6 2" xfId="29414"/>
    <cellStyle name="Normal 6 10 7" xfId="29415"/>
    <cellStyle name="Normal 6 10 7 2" xfId="29416"/>
    <cellStyle name="Normal 6 10 8" xfId="29417"/>
    <cellStyle name="Normal 6 10 8 2" xfId="29418"/>
    <cellStyle name="Normal 6 10 9" xfId="29419"/>
    <cellStyle name="Normal 6 10 9 2" xfId="29420"/>
    <cellStyle name="Normal 6 11" xfId="29421"/>
    <cellStyle name="Normal 6 11 2" xfId="29422"/>
    <cellStyle name="Normal 6 12" xfId="29423"/>
    <cellStyle name="Normal 6 12 2" xfId="29424"/>
    <cellStyle name="Normal 6 13" xfId="29425"/>
    <cellStyle name="Normal 6 13 2" xfId="29426"/>
    <cellStyle name="Normal 6 14" xfId="29427"/>
    <cellStyle name="Normal 6 14 2" xfId="29428"/>
    <cellStyle name="Normal 6 15" xfId="29429"/>
    <cellStyle name="Normal 6 15 2" xfId="29430"/>
    <cellStyle name="Normal 6 16" xfId="29431"/>
    <cellStyle name="Normal 6 16 2" xfId="29432"/>
    <cellStyle name="Normal 6 17" xfId="29433"/>
    <cellStyle name="Normal 6 17 2" xfId="29434"/>
    <cellStyle name="Normal 6 18" xfId="29435"/>
    <cellStyle name="Normal 6 18 2" xfId="29436"/>
    <cellStyle name="Normal 6 19" xfId="29437"/>
    <cellStyle name="Normal 6 19 2" xfId="29438"/>
    <cellStyle name="Normal 6 2" xfId="192"/>
    <cellStyle name="Normal 6 2 10" xfId="29439"/>
    <cellStyle name="Normal 6 2 10 2" xfId="29440"/>
    <cellStyle name="Normal 6 2 11" xfId="29441"/>
    <cellStyle name="Normal 6 2 11 2" xfId="29442"/>
    <cellStyle name="Normal 6 2 12" xfId="29443"/>
    <cellStyle name="Normal 6 2 12 2" xfId="29444"/>
    <cellStyle name="Normal 6 2 13" xfId="29445"/>
    <cellStyle name="Normal 6 2 13 2" xfId="29446"/>
    <cellStyle name="Normal 6 2 14" xfId="29447"/>
    <cellStyle name="Normal 6 2 14 2" xfId="29448"/>
    <cellStyle name="Normal 6 2 15" xfId="29449"/>
    <cellStyle name="Normal 6 2 15 2" xfId="29450"/>
    <cellStyle name="Normal 6 2 16" xfId="29451"/>
    <cellStyle name="Normal 6 2 16 2" xfId="29452"/>
    <cellStyle name="Normal 6 2 17" xfId="29453"/>
    <cellStyle name="Normal 6 2 17 2" xfId="29454"/>
    <cellStyle name="Normal 6 2 18" xfId="29455"/>
    <cellStyle name="Normal 6 2 19" xfId="29456"/>
    <cellStyle name="Normal 6 2 2" xfId="29457"/>
    <cellStyle name="Normal 6 2 2 10" xfId="29458"/>
    <cellStyle name="Normal 6 2 2 10 2" xfId="29459"/>
    <cellStyle name="Normal 6 2 2 11" xfId="29460"/>
    <cellStyle name="Normal 6 2 2 11 2" xfId="29461"/>
    <cellStyle name="Normal 6 2 2 12" xfId="29462"/>
    <cellStyle name="Normal 6 2 2 12 2" xfId="29463"/>
    <cellStyle name="Normal 6 2 2 13" xfId="29464"/>
    <cellStyle name="Normal 6 2 2 2" xfId="29465"/>
    <cellStyle name="Normal 6 2 2 2 10" xfId="29466"/>
    <cellStyle name="Normal 6 2 2 2 10 2" xfId="29467"/>
    <cellStyle name="Normal 6 2 2 2 11" xfId="29468"/>
    <cellStyle name="Normal 6 2 2 2 11 2" xfId="29469"/>
    <cellStyle name="Normal 6 2 2 2 12" xfId="29470"/>
    <cellStyle name="Normal 6 2 2 2 2" xfId="29471"/>
    <cellStyle name="Normal 6 2 2 2 2 10" xfId="29472"/>
    <cellStyle name="Normal 6 2 2 2 2 10 2" xfId="29473"/>
    <cellStyle name="Normal 6 2 2 2 2 11" xfId="29474"/>
    <cellStyle name="Normal 6 2 2 2 2 2" xfId="29475"/>
    <cellStyle name="Normal 6 2 2 2 2 2 2" xfId="29476"/>
    <cellStyle name="Normal 6 2 2 2 2 3" xfId="29477"/>
    <cellStyle name="Normal 6 2 2 2 2 3 2" xfId="29478"/>
    <cellStyle name="Normal 6 2 2 2 2 4" xfId="29479"/>
    <cellStyle name="Normal 6 2 2 2 2 4 2" xfId="29480"/>
    <cellStyle name="Normal 6 2 2 2 2 5" xfId="29481"/>
    <cellStyle name="Normal 6 2 2 2 2 5 2" xfId="29482"/>
    <cellStyle name="Normal 6 2 2 2 2 6" xfId="29483"/>
    <cellStyle name="Normal 6 2 2 2 2 6 2" xfId="29484"/>
    <cellStyle name="Normal 6 2 2 2 2 7" xfId="29485"/>
    <cellStyle name="Normal 6 2 2 2 2 7 2" xfId="29486"/>
    <cellStyle name="Normal 6 2 2 2 2 8" xfId="29487"/>
    <cellStyle name="Normal 6 2 2 2 2 8 2" xfId="29488"/>
    <cellStyle name="Normal 6 2 2 2 2 9" xfId="29489"/>
    <cellStyle name="Normal 6 2 2 2 2 9 2" xfId="29490"/>
    <cellStyle name="Normal 6 2 2 2 3" xfId="29491"/>
    <cellStyle name="Normal 6 2 2 2 3 2" xfId="29492"/>
    <cellStyle name="Normal 6 2 2 2 4" xfId="29493"/>
    <cellStyle name="Normal 6 2 2 2 4 2" xfId="29494"/>
    <cellStyle name="Normal 6 2 2 2 5" xfId="29495"/>
    <cellStyle name="Normal 6 2 2 2 5 2" xfId="29496"/>
    <cellStyle name="Normal 6 2 2 2 6" xfId="29497"/>
    <cellStyle name="Normal 6 2 2 2 6 2" xfId="29498"/>
    <cellStyle name="Normal 6 2 2 2 7" xfId="29499"/>
    <cellStyle name="Normal 6 2 2 2 7 2" xfId="29500"/>
    <cellStyle name="Normal 6 2 2 2 8" xfId="29501"/>
    <cellStyle name="Normal 6 2 2 2 8 2" xfId="29502"/>
    <cellStyle name="Normal 6 2 2 2 9" xfId="29503"/>
    <cellStyle name="Normal 6 2 2 2 9 2" xfId="29504"/>
    <cellStyle name="Normal 6 2 2 3" xfId="29505"/>
    <cellStyle name="Normal 6 2 2 3 10" xfId="29506"/>
    <cellStyle name="Normal 6 2 2 3 10 2" xfId="29507"/>
    <cellStyle name="Normal 6 2 2 3 11" xfId="29508"/>
    <cellStyle name="Normal 6 2 2 3 2" xfId="29509"/>
    <cellStyle name="Normal 6 2 2 3 2 2" xfId="29510"/>
    <cellStyle name="Normal 6 2 2 3 3" xfId="29511"/>
    <cellStyle name="Normal 6 2 2 3 3 2" xfId="29512"/>
    <cellStyle name="Normal 6 2 2 3 4" xfId="29513"/>
    <cellStyle name="Normal 6 2 2 3 4 2" xfId="29514"/>
    <cellStyle name="Normal 6 2 2 3 5" xfId="29515"/>
    <cellStyle name="Normal 6 2 2 3 5 2" xfId="29516"/>
    <cellStyle name="Normal 6 2 2 3 6" xfId="29517"/>
    <cellStyle name="Normal 6 2 2 3 6 2" xfId="29518"/>
    <cellStyle name="Normal 6 2 2 3 7" xfId="29519"/>
    <cellStyle name="Normal 6 2 2 3 7 2" xfId="29520"/>
    <cellStyle name="Normal 6 2 2 3 8" xfId="29521"/>
    <cellStyle name="Normal 6 2 2 3 8 2" xfId="29522"/>
    <cellStyle name="Normal 6 2 2 3 9" xfId="29523"/>
    <cellStyle name="Normal 6 2 2 3 9 2" xfId="29524"/>
    <cellStyle name="Normal 6 2 2 4" xfId="29525"/>
    <cellStyle name="Normal 6 2 2 4 2" xfId="29526"/>
    <cellStyle name="Normal 6 2 2 5" xfId="29527"/>
    <cellStyle name="Normal 6 2 2 5 2" xfId="29528"/>
    <cellStyle name="Normal 6 2 2 6" xfId="29529"/>
    <cellStyle name="Normal 6 2 2 6 2" xfId="29530"/>
    <cellStyle name="Normal 6 2 2 7" xfId="29531"/>
    <cellStyle name="Normal 6 2 2 7 2" xfId="29532"/>
    <cellStyle name="Normal 6 2 2 8" xfId="29533"/>
    <cellStyle name="Normal 6 2 2 8 2" xfId="29534"/>
    <cellStyle name="Normal 6 2 2 9" xfId="29535"/>
    <cellStyle name="Normal 6 2 2 9 2" xfId="29536"/>
    <cellStyle name="Normal 6 2 20" xfId="29537"/>
    <cellStyle name="Normal 6 2 3" xfId="29538"/>
    <cellStyle name="Normal 6 2 3 10" xfId="29539"/>
    <cellStyle name="Normal 6 2 3 10 2" xfId="29540"/>
    <cellStyle name="Normal 6 2 3 11" xfId="29541"/>
    <cellStyle name="Normal 6 2 3 11 2" xfId="29542"/>
    <cellStyle name="Normal 6 2 3 12" xfId="29543"/>
    <cellStyle name="Normal 6 2 3 12 2" xfId="29544"/>
    <cellStyle name="Normal 6 2 3 13" xfId="29545"/>
    <cellStyle name="Normal 6 2 3 2" xfId="29546"/>
    <cellStyle name="Normal 6 2 3 2 10" xfId="29547"/>
    <cellStyle name="Normal 6 2 3 2 10 2" xfId="29548"/>
    <cellStyle name="Normal 6 2 3 2 11" xfId="29549"/>
    <cellStyle name="Normal 6 2 3 2 11 2" xfId="29550"/>
    <cellStyle name="Normal 6 2 3 2 12" xfId="29551"/>
    <cellStyle name="Normal 6 2 3 2 2" xfId="29552"/>
    <cellStyle name="Normal 6 2 3 2 2 10" xfId="29553"/>
    <cellStyle name="Normal 6 2 3 2 2 10 2" xfId="29554"/>
    <cellStyle name="Normal 6 2 3 2 2 11" xfId="29555"/>
    <cellStyle name="Normal 6 2 3 2 2 2" xfId="29556"/>
    <cellStyle name="Normal 6 2 3 2 2 2 2" xfId="29557"/>
    <cellStyle name="Normal 6 2 3 2 2 3" xfId="29558"/>
    <cellStyle name="Normal 6 2 3 2 2 3 2" xfId="29559"/>
    <cellStyle name="Normal 6 2 3 2 2 4" xfId="29560"/>
    <cellStyle name="Normal 6 2 3 2 2 4 2" xfId="29561"/>
    <cellStyle name="Normal 6 2 3 2 2 5" xfId="29562"/>
    <cellStyle name="Normal 6 2 3 2 2 5 2" xfId="29563"/>
    <cellStyle name="Normal 6 2 3 2 2 6" xfId="29564"/>
    <cellStyle name="Normal 6 2 3 2 2 6 2" xfId="29565"/>
    <cellStyle name="Normal 6 2 3 2 2 7" xfId="29566"/>
    <cellStyle name="Normal 6 2 3 2 2 7 2" xfId="29567"/>
    <cellStyle name="Normal 6 2 3 2 2 8" xfId="29568"/>
    <cellStyle name="Normal 6 2 3 2 2 8 2" xfId="29569"/>
    <cellStyle name="Normal 6 2 3 2 2 9" xfId="29570"/>
    <cellStyle name="Normal 6 2 3 2 2 9 2" xfId="29571"/>
    <cellStyle name="Normal 6 2 3 2 3" xfId="29572"/>
    <cellStyle name="Normal 6 2 3 2 3 2" xfId="29573"/>
    <cellStyle name="Normal 6 2 3 2 4" xfId="29574"/>
    <cellStyle name="Normal 6 2 3 2 4 2" xfId="29575"/>
    <cellStyle name="Normal 6 2 3 2 5" xfId="29576"/>
    <cellStyle name="Normal 6 2 3 2 5 2" xfId="29577"/>
    <cellStyle name="Normal 6 2 3 2 6" xfId="29578"/>
    <cellStyle name="Normal 6 2 3 2 6 2" xfId="29579"/>
    <cellStyle name="Normal 6 2 3 2 7" xfId="29580"/>
    <cellStyle name="Normal 6 2 3 2 7 2" xfId="29581"/>
    <cellStyle name="Normal 6 2 3 2 8" xfId="29582"/>
    <cellStyle name="Normal 6 2 3 2 8 2" xfId="29583"/>
    <cellStyle name="Normal 6 2 3 2 9" xfId="29584"/>
    <cellStyle name="Normal 6 2 3 2 9 2" xfId="29585"/>
    <cellStyle name="Normal 6 2 3 3" xfId="29586"/>
    <cellStyle name="Normal 6 2 3 3 10" xfId="29587"/>
    <cellStyle name="Normal 6 2 3 3 10 2" xfId="29588"/>
    <cellStyle name="Normal 6 2 3 3 11" xfId="29589"/>
    <cellStyle name="Normal 6 2 3 3 2" xfId="29590"/>
    <cellStyle name="Normal 6 2 3 3 2 2" xfId="29591"/>
    <cellStyle name="Normal 6 2 3 3 3" xfId="29592"/>
    <cellStyle name="Normal 6 2 3 3 3 2" xfId="29593"/>
    <cellStyle name="Normal 6 2 3 3 4" xfId="29594"/>
    <cellStyle name="Normal 6 2 3 3 4 2" xfId="29595"/>
    <cellStyle name="Normal 6 2 3 3 5" xfId="29596"/>
    <cellStyle name="Normal 6 2 3 3 5 2" xfId="29597"/>
    <cellStyle name="Normal 6 2 3 3 6" xfId="29598"/>
    <cellStyle name="Normal 6 2 3 3 6 2" xfId="29599"/>
    <cellStyle name="Normal 6 2 3 3 7" xfId="29600"/>
    <cellStyle name="Normal 6 2 3 3 7 2" xfId="29601"/>
    <cellStyle name="Normal 6 2 3 3 8" xfId="29602"/>
    <cellStyle name="Normal 6 2 3 3 8 2" xfId="29603"/>
    <cellStyle name="Normal 6 2 3 3 9" xfId="29604"/>
    <cellStyle name="Normal 6 2 3 3 9 2" xfId="29605"/>
    <cellStyle name="Normal 6 2 3 4" xfId="29606"/>
    <cellStyle name="Normal 6 2 3 4 2" xfId="29607"/>
    <cellStyle name="Normal 6 2 3 5" xfId="29608"/>
    <cellStyle name="Normal 6 2 3 5 2" xfId="29609"/>
    <cellStyle name="Normal 6 2 3 6" xfId="29610"/>
    <cellStyle name="Normal 6 2 3 6 2" xfId="29611"/>
    <cellStyle name="Normal 6 2 3 7" xfId="29612"/>
    <cellStyle name="Normal 6 2 3 7 2" xfId="29613"/>
    <cellStyle name="Normal 6 2 3 8" xfId="29614"/>
    <cellStyle name="Normal 6 2 3 8 2" xfId="29615"/>
    <cellStyle name="Normal 6 2 3 9" xfId="29616"/>
    <cellStyle name="Normal 6 2 3 9 2" xfId="29617"/>
    <cellStyle name="Normal 6 2 4" xfId="29618"/>
    <cellStyle name="Normal 6 2 4 10" xfId="29619"/>
    <cellStyle name="Normal 6 2 4 10 2" xfId="29620"/>
    <cellStyle name="Normal 6 2 4 11" xfId="29621"/>
    <cellStyle name="Normal 6 2 4 11 2" xfId="29622"/>
    <cellStyle name="Normal 6 2 4 12" xfId="29623"/>
    <cellStyle name="Normal 6 2 4 12 2" xfId="29624"/>
    <cellStyle name="Normal 6 2 4 13" xfId="29625"/>
    <cellStyle name="Normal 6 2 4 2" xfId="29626"/>
    <cellStyle name="Normal 6 2 4 2 10" xfId="29627"/>
    <cellStyle name="Normal 6 2 4 2 10 2" xfId="29628"/>
    <cellStyle name="Normal 6 2 4 2 11" xfId="29629"/>
    <cellStyle name="Normal 6 2 4 2 11 2" xfId="29630"/>
    <cellStyle name="Normal 6 2 4 2 12" xfId="29631"/>
    <cellStyle name="Normal 6 2 4 2 2" xfId="29632"/>
    <cellStyle name="Normal 6 2 4 2 2 10" xfId="29633"/>
    <cellStyle name="Normal 6 2 4 2 2 10 2" xfId="29634"/>
    <cellStyle name="Normal 6 2 4 2 2 11" xfId="29635"/>
    <cellStyle name="Normal 6 2 4 2 2 2" xfId="29636"/>
    <cellStyle name="Normal 6 2 4 2 2 2 2" xfId="29637"/>
    <cellStyle name="Normal 6 2 4 2 2 3" xfId="29638"/>
    <cellStyle name="Normal 6 2 4 2 2 3 2" xfId="29639"/>
    <cellStyle name="Normal 6 2 4 2 2 4" xfId="29640"/>
    <cellStyle name="Normal 6 2 4 2 2 4 2" xfId="29641"/>
    <cellStyle name="Normal 6 2 4 2 2 5" xfId="29642"/>
    <cellStyle name="Normal 6 2 4 2 2 5 2" xfId="29643"/>
    <cellStyle name="Normal 6 2 4 2 2 6" xfId="29644"/>
    <cellStyle name="Normal 6 2 4 2 2 6 2" xfId="29645"/>
    <cellStyle name="Normal 6 2 4 2 2 7" xfId="29646"/>
    <cellStyle name="Normal 6 2 4 2 2 7 2" xfId="29647"/>
    <cellStyle name="Normal 6 2 4 2 2 8" xfId="29648"/>
    <cellStyle name="Normal 6 2 4 2 2 8 2" xfId="29649"/>
    <cellStyle name="Normal 6 2 4 2 2 9" xfId="29650"/>
    <cellStyle name="Normal 6 2 4 2 2 9 2" xfId="29651"/>
    <cellStyle name="Normal 6 2 4 2 3" xfId="29652"/>
    <cellStyle name="Normal 6 2 4 2 3 2" xfId="29653"/>
    <cellStyle name="Normal 6 2 4 2 4" xfId="29654"/>
    <cellStyle name="Normal 6 2 4 2 4 2" xfId="29655"/>
    <cellStyle name="Normal 6 2 4 2 5" xfId="29656"/>
    <cellStyle name="Normal 6 2 4 2 5 2" xfId="29657"/>
    <cellStyle name="Normal 6 2 4 2 6" xfId="29658"/>
    <cellStyle name="Normal 6 2 4 2 6 2" xfId="29659"/>
    <cellStyle name="Normal 6 2 4 2 7" xfId="29660"/>
    <cellStyle name="Normal 6 2 4 2 7 2" xfId="29661"/>
    <cellStyle name="Normal 6 2 4 2 8" xfId="29662"/>
    <cellStyle name="Normal 6 2 4 2 8 2" xfId="29663"/>
    <cellStyle name="Normal 6 2 4 2 9" xfId="29664"/>
    <cellStyle name="Normal 6 2 4 2 9 2" xfId="29665"/>
    <cellStyle name="Normal 6 2 4 3" xfId="29666"/>
    <cellStyle name="Normal 6 2 4 3 10" xfId="29667"/>
    <cellStyle name="Normal 6 2 4 3 10 2" xfId="29668"/>
    <cellStyle name="Normal 6 2 4 3 11" xfId="29669"/>
    <cellStyle name="Normal 6 2 4 3 2" xfId="29670"/>
    <cellStyle name="Normal 6 2 4 3 2 2" xfId="29671"/>
    <cellStyle name="Normal 6 2 4 3 3" xfId="29672"/>
    <cellStyle name="Normal 6 2 4 3 3 2" xfId="29673"/>
    <cellStyle name="Normal 6 2 4 3 4" xfId="29674"/>
    <cellStyle name="Normal 6 2 4 3 4 2" xfId="29675"/>
    <cellStyle name="Normal 6 2 4 3 5" xfId="29676"/>
    <cellStyle name="Normal 6 2 4 3 5 2" xfId="29677"/>
    <cellStyle name="Normal 6 2 4 3 6" xfId="29678"/>
    <cellStyle name="Normal 6 2 4 3 6 2" xfId="29679"/>
    <cellStyle name="Normal 6 2 4 3 7" xfId="29680"/>
    <cellStyle name="Normal 6 2 4 3 7 2" xfId="29681"/>
    <cellStyle name="Normal 6 2 4 3 8" xfId="29682"/>
    <cellStyle name="Normal 6 2 4 3 8 2" xfId="29683"/>
    <cellStyle name="Normal 6 2 4 3 9" xfId="29684"/>
    <cellStyle name="Normal 6 2 4 3 9 2" xfId="29685"/>
    <cellStyle name="Normal 6 2 4 4" xfId="29686"/>
    <cellStyle name="Normal 6 2 4 4 2" xfId="29687"/>
    <cellStyle name="Normal 6 2 4 5" xfId="29688"/>
    <cellStyle name="Normal 6 2 4 5 2" xfId="29689"/>
    <cellStyle name="Normal 6 2 4 6" xfId="29690"/>
    <cellStyle name="Normal 6 2 4 6 2" xfId="29691"/>
    <cellStyle name="Normal 6 2 4 7" xfId="29692"/>
    <cellStyle name="Normal 6 2 4 7 2" xfId="29693"/>
    <cellStyle name="Normal 6 2 4 8" xfId="29694"/>
    <cellStyle name="Normal 6 2 4 8 2" xfId="29695"/>
    <cellStyle name="Normal 6 2 4 9" xfId="29696"/>
    <cellStyle name="Normal 6 2 4 9 2" xfId="29697"/>
    <cellStyle name="Normal 6 2 5" xfId="29698"/>
    <cellStyle name="Normal 6 2 6" xfId="29699"/>
    <cellStyle name="Normal 6 2 6 10" xfId="29700"/>
    <cellStyle name="Normal 6 2 6 10 2" xfId="29701"/>
    <cellStyle name="Normal 6 2 6 11" xfId="29702"/>
    <cellStyle name="Normal 6 2 6 11 2" xfId="29703"/>
    <cellStyle name="Normal 6 2 6 12" xfId="29704"/>
    <cellStyle name="Normal 6 2 6 12 2" xfId="29705"/>
    <cellStyle name="Normal 6 2 6 13" xfId="29706"/>
    <cellStyle name="Normal 6 2 6 2" xfId="29707"/>
    <cellStyle name="Normal 6 2 6 2 10" xfId="29708"/>
    <cellStyle name="Normal 6 2 6 2 10 2" xfId="29709"/>
    <cellStyle name="Normal 6 2 6 2 11" xfId="29710"/>
    <cellStyle name="Normal 6 2 6 2 11 2" xfId="29711"/>
    <cellStyle name="Normal 6 2 6 2 12" xfId="29712"/>
    <cellStyle name="Normal 6 2 6 2 2" xfId="29713"/>
    <cellStyle name="Normal 6 2 6 2 2 10" xfId="29714"/>
    <cellStyle name="Normal 6 2 6 2 2 10 2" xfId="29715"/>
    <cellStyle name="Normal 6 2 6 2 2 11" xfId="29716"/>
    <cellStyle name="Normal 6 2 6 2 2 2" xfId="29717"/>
    <cellStyle name="Normal 6 2 6 2 2 2 2" xfId="29718"/>
    <cellStyle name="Normal 6 2 6 2 2 3" xfId="29719"/>
    <cellStyle name="Normal 6 2 6 2 2 3 2" xfId="29720"/>
    <cellStyle name="Normal 6 2 6 2 2 4" xfId="29721"/>
    <cellStyle name="Normal 6 2 6 2 2 4 2" xfId="29722"/>
    <cellStyle name="Normal 6 2 6 2 2 5" xfId="29723"/>
    <cellStyle name="Normal 6 2 6 2 2 5 2" xfId="29724"/>
    <cellStyle name="Normal 6 2 6 2 2 6" xfId="29725"/>
    <cellStyle name="Normal 6 2 6 2 2 6 2" xfId="29726"/>
    <cellStyle name="Normal 6 2 6 2 2 7" xfId="29727"/>
    <cellStyle name="Normal 6 2 6 2 2 7 2" xfId="29728"/>
    <cellStyle name="Normal 6 2 6 2 2 8" xfId="29729"/>
    <cellStyle name="Normal 6 2 6 2 2 8 2" xfId="29730"/>
    <cellStyle name="Normal 6 2 6 2 2 9" xfId="29731"/>
    <cellStyle name="Normal 6 2 6 2 2 9 2" xfId="29732"/>
    <cellStyle name="Normal 6 2 6 2 3" xfId="29733"/>
    <cellStyle name="Normal 6 2 6 2 3 2" xfId="29734"/>
    <cellStyle name="Normal 6 2 6 2 4" xfId="29735"/>
    <cellStyle name="Normal 6 2 6 2 4 2" xfId="29736"/>
    <cellStyle name="Normal 6 2 6 2 5" xfId="29737"/>
    <cellStyle name="Normal 6 2 6 2 5 2" xfId="29738"/>
    <cellStyle name="Normal 6 2 6 2 6" xfId="29739"/>
    <cellStyle name="Normal 6 2 6 2 6 2" xfId="29740"/>
    <cellStyle name="Normal 6 2 6 2 7" xfId="29741"/>
    <cellStyle name="Normal 6 2 6 2 7 2" xfId="29742"/>
    <cellStyle name="Normal 6 2 6 2 8" xfId="29743"/>
    <cellStyle name="Normal 6 2 6 2 8 2" xfId="29744"/>
    <cellStyle name="Normal 6 2 6 2 9" xfId="29745"/>
    <cellStyle name="Normal 6 2 6 2 9 2" xfId="29746"/>
    <cellStyle name="Normal 6 2 6 3" xfId="29747"/>
    <cellStyle name="Normal 6 2 6 3 10" xfId="29748"/>
    <cellStyle name="Normal 6 2 6 3 10 2" xfId="29749"/>
    <cellStyle name="Normal 6 2 6 3 11" xfId="29750"/>
    <cellStyle name="Normal 6 2 6 3 2" xfId="29751"/>
    <cellStyle name="Normal 6 2 6 3 2 2" xfId="29752"/>
    <cellStyle name="Normal 6 2 6 3 3" xfId="29753"/>
    <cellStyle name="Normal 6 2 6 3 3 2" xfId="29754"/>
    <cellStyle name="Normal 6 2 6 3 4" xfId="29755"/>
    <cellStyle name="Normal 6 2 6 3 4 2" xfId="29756"/>
    <cellStyle name="Normal 6 2 6 3 5" xfId="29757"/>
    <cellStyle name="Normal 6 2 6 3 5 2" xfId="29758"/>
    <cellStyle name="Normal 6 2 6 3 6" xfId="29759"/>
    <cellStyle name="Normal 6 2 6 3 6 2" xfId="29760"/>
    <cellStyle name="Normal 6 2 6 3 7" xfId="29761"/>
    <cellStyle name="Normal 6 2 6 3 7 2" xfId="29762"/>
    <cellStyle name="Normal 6 2 6 3 8" xfId="29763"/>
    <cellStyle name="Normal 6 2 6 3 8 2" xfId="29764"/>
    <cellStyle name="Normal 6 2 6 3 9" xfId="29765"/>
    <cellStyle name="Normal 6 2 6 3 9 2" xfId="29766"/>
    <cellStyle name="Normal 6 2 6 4" xfId="29767"/>
    <cellStyle name="Normal 6 2 6 4 2" xfId="29768"/>
    <cellStyle name="Normal 6 2 6 5" xfId="29769"/>
    <cellStyle name="Normal 6 2 6 5 2" xfId="29770"/>
    <cellStyle name="Normal 6 2 6 6" xfId="29771"/>
    <cellStyle name="Normal 6 2 6 6 2" xfId="29772"/>
    <cellStyle name="Normal 6 2 6 7" xfId="29773"/>
    <cellStyle name="Normal 6 2 6 7 2" xfId="29774"/>
    <cellStyle name="Normal 6 2 6 8" xfId="29775"/>
    <cellStyle name="Normal 6 2 6 8 2" xfId="29776"/>
    <cellStyle name="Normal 6 2 6 9" xfId="29777"/>
    <cellStyle name="Normal 6 2 6 9 2" xfId="29778"/>
    <cellStyle name="Normal 6 2 7" xfId="29779"/>
    <cellStyle name="Normal 6 2 7 10" xfId="29780"/>
    <cellStyle name="Normal 6 2 7 10 2" xfId="29781"/>
    <cellStyle name="Normal 6 2 7 11" xfId="29782"/>
    <cellStyle name="Normal 6 2 7 11 2" xfId="29783"/>
    <cellStyle name="Normal 6 2 7 12" xfId="29784"/>
    <cellStyle name="Normal 6 2 7 2" xfId="29785"/>
    <cellStyle name="Normal 6 2 7 2 10" xfId="29786"/>
    <cellStyle name="Normal 6 2 7 2 10 2" xfId="29787"/>
    <cellStyle name="Normal 6 2 7 2 11" xfId="29788"/>
    <cellStyle name="Normal 6 2 7 2 2" xfId="29789"/>
    <cellStyle name="Normal 6 2 7 2 2 2" xfId="29790"/>
    <cellStyle name="Normal 6 2 7 2 3" xfId="29791"/>
    <cellStyle name="Normal 6 2 7 2 3 2" xfId="29792"/>
    <cellStyle name="Normal 6 2 7 2 4" xfId="29793"/>
    <cellStyle name="Normal 6 2 7 2 4 2" xfId="29794"/>
    <cellStyle name="Normal 6 2 7 2 5" xfId="29795"/>
    <cellStyle name="Normal 6 2 7 2 5 2" xfId="29796"/>
    <cellStyle name="Normal 6 2 7 2 6" xfId="29797"/>
    <cellStyle name="Normal 6 2 7 2 6 2" xfId="29798"/>
    <cellStyle name="Normal 6 2 7 2 7" xfId="29799"/>
    <cellStyle name="Normal 6 2 7 2 7 2" xfId="29800"/>
    <cellStyle name="Normal 6 2 7 2 8" xfId="29801"/>
    <cellStyle name="Normal 6 2 7 2 8 2" xfId="29802"/>
    <cellStyle name="Normal 6 2 7 2 9" xfId="29803"/>
    <cellStyle name="Normal 6 2 7 2 9 2" xfId="29804"/>
    <cellStyle name="Normal 6 2 7 3" xfId="29805"/>
    <cellStyle name="Normal 6 2 7 3 2" xfId="29806"/>
    <cellStyle name="Normal 6 2 7 4" xfId="29807"/>
    <cellStyle name="Normal 6 2 7 4 2" xfId="29808"/>
    <cellStyle name="Normal 6 2 7 5" xfId="29809"/>
    <cellStyle name="Normal 6 2 7 5 2" xfId="29810"/>
    <cellStyle name="Normal 6 2 7 6" xfId="29811"/>
    <cellStyle name="Normal 6 2 7 6 2" xfId="29812"/>
    <cellStyle name="Normal 6 2 7 7" xfId="29813"/>
    <cellStyle name="Normal 6 2 7 7 2" xfId="29814"/>
    <cellStyle name="Normal 6 2 7 8" xfId="29815"/>
    <cellStyle name="Normal 6 2 7 8 2" xfId="29816"/>
    <cellStyle name="Normal 6 2 7 9" xfId="29817"/>
    <cellStyle name="Normal 6 2 7 9 2" xfId="29818"/>
    <cellStyle name="Normal 6 2 8" xfId="29819"/>
    <cellStyle name="Normal 6 2 8 10" xfId="29820"/>
    <cellStyle name="Normal 6 2 8 10 2" xfId="29821"/>
    <cellStyle name="Normal 6 2 8 11" xfId="29822"/>
    <cellStyle name="Normal 6 2 8 2" xfId="29823"/>
    <cellStyle name="Normal 6 2 8 2 2" xfId="29824"/>
    <cellStyle name="Normal 6 2 8 3" xfId="29825"/>
    <cellStyle name="Normal 6 2 8 3 2" xfId="29826"/>
    <cellStyle name="Normal 6 2 8 4" xfId="29827"/>
    <cellStyle name="Normal 6 2 8 4 2" xfId="29828"/>
    <cellStyle name="Normal 6 2 8 5" xfId="29829"/>
    <cellStyle name="Normal 6 2 8 5 2" xfId="29830"/>
    <cellStyle name="Normal 6 2 8 6" xfId="29831"/>
    <cellStyle name="Normal 6 2 8 6 2" xfId="29832"/>
    <cellStyle name="Normal 6 2 8 7" xfId="29833"/>
    <cellStyle name="Normal 6 2 8 7 2" xfId="29834"/>
    <cellStyle name="Normal 6 2 8 8" xfId="29835"/>
    <cellStyle name="Normal 6 2 8 8 2" xfId="29836"/>
    <cellStyle name="Normal 6 2 8 9" xfId="29837"/>
    <cellStyle name="Normal 6 2 8 9 2" xfId="29838"/>
    <cellStyle name="Normal 6 2 9" xfId="29839"/>
    <cellStyle name="Normal 6 2 9 2" xfId="29840"/>
    <cellStyle name="Normal 6 20" xfId="29841"/>
    <cellStyle name="Normal 6 20 2" xfId="29842"/>
    <cellStyle name="Normal 6 21" xfId="29843"/>
    <cellStyle name="Normal 6 22" xfId="29844"/>
    <cellStyle name="Normal 6 23" xfId="29845"/>
    <cellStyle name="Normal 6 3" xfId="29846"/>
    <cellStyle name="Normal 6 3 10" xfId="29847"/>
    <cellStyle name="Normal 6 3 10 2" xfId="29848"/>
    <cellStyle name="Normal 6 3 11" xfId="29849"/>
    <cellStyle name="Normal 6 3 11 2" xfId="29850"/>
    <cellStyle name="Normal 6 3 12" xfId="29851"/>
    <cellStyle name="Normal 6 3 12 2" xfId="29852"/>
    <cellStyle name="Normal 6 3 13" xfId="29853"/>
    <cellStyle name="Normal 6 3 13 2" xfId="29854"/>
    <cellStyle name="Normal 6 3 14" xfId="29855"/>
    <cellStyle name="Normal 6 3 2" xfId="29856"/>
    <cellStyle name="Normal 6 3 3" xfId="29857"/>
    <cellStyle name="Normal 6 3 3 10" xfId="29858"/>
    <cellStyle name="Normal 6 3 3 10 2" xfId="29859"/>
    <cellStyle name="Normal 6 3 3 11" xfId="29860"/>
    <cellStyle name="Normal 6 3 3 11 2" xfId="29861"/>
    <cellStyle name="Normal 6 3 3 12" xfId="29862"/>
    <cellStyle name="Normal 6 3 3 2" xfId="29863"/>
    <cellStyle name="Normal 6 3 3 2 10" xfId="29864"/>
    <cellStyle name="Normal 6 3 3 2 10 2" xfId="29865"/>
    <cellStyle name="Normal 6 3 3 2 11" xfId="29866"/>
    <cellStyle name="Normal 6 3 3 2 2" xfId="29867"/>
    <cellStyle name="Normal 6 3 3 2 2 2" xfId="29868"/>
    <cellStyle name="Normal 6 3 3 2 3" xfId="29869"/>
    <cellStyle name="Normal 6 3 3 2 3 2" xfId="29870"/>
    <cellStyle name="Normal 6 3 3 2 4" xfId="29871"/>
    <cellStyle name="Normal 6 3 3 2 4 2" xfId="29872"/>
    <cellStyle name="Normal 6 3 3 2 5" xfId="29873"/>
    <cellStyle name="Normal 6 3 3 2 5 2" xfId="29874"/>
    <cellStyle name="Normal 6 3 3 2 6" xfId="29875"/>
    <cellStyle name="Normal 6 3 3 2 6 2" xfId="29876"/>
    <cellStyle name="Normal 6 3 3 2 7" xfId="29877"/>
    <cellStyle name="Normal 6 3 3 2 7 2" xfId="29878"/>
    <cellStyle name="Normal 6 3 3 2 8" xfId="29879"/>
    <cellStyle name="Normal 6 3 3 2 8 2" xfId="29880"/>
    <cellStyle name="Normal 6 3 3 2 9" xfId="29881"/>
    <cellStyle name="Normal 6 3 3 2 9 2" xfId="29882"/>
    <cellStyle name="Normal 6 3 3 3" xfId="29883"/>
    <cellStyle name="Normal 6 3 3 3 2" xfId="29884"/>
    <cellStyle name="Normal 6 3 3 4" xfId="29885"/>
    <cellStyle name="Normal 6 3 3 4 2" xfId="29886"/>
    <cellStyle name="Normal 6 3 3 5" xfId="29887"/>
    <cellStyle name="Normal 6 3 3 5 2" xfId="29888"/>
    <cellStyle name="Normal 6 3 3 6" xfId="29889"/>
    <cellStyle name="Normal 6 3 3 6 2" xfId="29890"/>
    <cellStyle name="Normal 6 3 3 7" xfId="29891"/>
    <cellStyle name="Normal 6 3 3 7 2" xfId="29892"/>
    <cellStyle name="Normal 6 3 3 8" xfId="29893"/>
    <cellStyle name="Normal 6 3 3 8 2" xfId="29894"/>
    <cellStyle name="Normal 6 3 3 9" xfId="29895"/>
    <cellStyle name="Normal 6 3 3 9 2" xfId="29896"/>
    <cellStyle name="Normal 6 3 4" xfId="29897"/>
    <cellStyle name="Normal 6 3 4 10" xfId="29898"/>
    <cellStyle name="Normal 6 3 4 10 2" xfId="29899"/>
    <cellStyle name="Normal 6 3 4 11" xfId="29900"/>
    <cellStyle name="Normal 6 3 4 2" xfId="29901"/>
    <cellStyle name="Normal 6 3 4 2 2" xfId="29902"/>
    <cellStyle name="Normal 6 3 4 3" xfId="29903"/>
    <cellStyle name="Normal 6 3 4 3 2" xfId="29904"/>
    <cellStyle name="Normal 6 3 4 4" xfId="29905"/>
    <cellStyle name="Normal 6 3 4 4 2" xfId="29906"/>
    <cellStyle name="Normal 6 3 4 5" xfId="29907"/>
    <cellStyle name="Normal 6 3 4 5 2" xfId="29908"/>
    <cellStyle name="Normal 6 3 4 6" xfId="29909"/>
    <cellStyle name="Normal 6 3 4 6 2" xfId="29910"/>
    <cellStyle name="Normal 6 3 4 7" xfId="29911"/>
    <cellStyle name="Normal 6 3 4 7 2" xfId="29912"/>
    <cellStyle name="Normal 6 3 4 8" xfId="29913"/>
    <cellStyle name="Normal 6 3 4 8 2" xfId="29914"/>
    <cellStyle name="Normal 6 3 4 9" xfId="29915"/>
    <cellStyle name="Normal 6 3 4 9 2" xfId="29916"/>
    <cellStyle name="Normal 6 3 5" xfId="29917"/>
    <cellStyle name="Normal 6 3 5 2" xfId="29918"/>
    <cellStyle name="Normal 6 3 6" xfId="29919"/>
    <cellStyle name="Normal 6 3 6 2" xfId="29920"/>
    <cellStyle name="Normal 6 3 7" xfId="29921"/>
    <cellStyle name="Normal 6 3 7 2" xfId="29922"/>
    <cellStyle name="Normal 6 3 8" xfId="29923"/>
    <cellStyle name="Normal 6 3 8 2" xfId="29924"/>
    <cellStyle name="Normal 6 3 9" xfId="29925"/>
    <cellStyle name="Normal 6 3 9 2" xfId="29926"/>
    <cellStyle name="Normal 6 4" xfId="29927"/>
    <cellStyle name="Normal 6 4 10" xfId="29928"/>
    <cellStyle name="Normal 6 4 10 2" xfId="29929"/>
    <cellStyle name="Normal 6 4 11" xfId="29930"/>
    <cellStyle name="Normal 6 4 11 2" xfId="29931"/>
    <cellStyle name="Normal 6 4 12" xfId="29932"/>
    <cellStyle name="Normal 6 4 12 2" xfId="29933"/>
    <cellStyle name="Normal 6 4 13" xfId="29934"/>
    <cellStyle name="Normal 6 4 13 2" xfId="29935"/>
    <cellStyle name="Normal 6 4 14" xfId="29936"/>
    <cellStyle name="Normal 6 4 2" xfId="29937"/>
    <cellStyle name="Normal 6 4 3" xfId="29938"/>
    <cellStyle name="Normal 6 4 3 10" xfId="29939"/>
    <cellStyle name="Normal 6 4 3 10 2" xfId="29940"/>
    <cellStyle name="Normal 6 4 3 11" xfId="29941"/>
    <cellStyle name="Normal 6 4 3 11 2" xfId="29942"/>
    <cellStyle name="Normal 6 4 3 12" xfId="29943"/>
    <cellStyle name="Normal 6 4 3 2" xfId="29944"/>
    <cellStyle name="Normal 6 4 3 2 10" xfId="29945"/>
    <cellStyle name="Normal 6 4 3 2 10 2" xfId="29946"/>
    <cellStyle name="Normal 6 4 3 2 11" xfId="29947"/>
    <cellStyle name="Normal 6 4 3 2 2" xfId="29948"/>
    <cellStyle name="Normal 6 4 3 2 2 2" xfId="29949"/>
    <cellStyle name="Normal 6 4 3 2 3" xfId="29950"/>
    <cellStyle name="Normal 6 4 3 2 3 2" xfId="29951"/>
    <cellStyle name="Normal 6 4 3 2 4" xfId="29952"/>
    <cellStyle name="Normal 6 4 3 2 4 2" xfId="29953"/>
    <cellStyle name="Normal 6 4 3 2 5" xfId="29954"/>
    <cellStyle name="Normal 6 4 3 2 5 2" xfId="29955"/>
    <cellStyle name="Normal 6 4 3 2 6" xfId="29956"/>
    <cellStyle name="Normal 6 4 3 2 6 2" xfId="29957"/>
    <cellStyle name="Normal 6 4 3 2 7" xfId="29958"/>
    <cellStyle name="Normal 6 4 3 2 7 2" xfId="29959"/>
    <cellStyle name="Normal 6 4 3 2 8" xfId="29960"/>
    <cellStyle name="Normal 6 4 3 2 8 2" xfId="29961"/>
    <cellStyle name="Normal 6 4 3 2 9" xfId="29962"/>
    <cellStyle name="Normal 6 4 3 2 9 2" xfId="29963"/>
    <cellStyle name="Normal 6 4 3 3" xfId="29964"/>
    <cellStyle name="Normal 6 4 3 3 2" xfId="29965"/>
    <cellStyle name="Normal 6 4 3 4" xfId="29966"/>
    <cellStyle name="Normal 6 4 3 4 2" xfId="29967"/>
    <cellStyle name="Normal 6 4 3 5" xfId="29968"/>
    <cellStyle name="Normal 6 4 3 5 2" xfId="29969"/>
    <cellStyle name="Normal 6 4 3 6" xfId="29970"/>
    <cellStyle name="Normal 6 4 3 6 2" xfId="29971"/>
    <cellStyle name="Normal 6 4 3 7" xfId="29972"/>
    <cellStyle name="Normal 6 4 3 7 2" xfId="29973"/>
    <cellStyle name="Normal 6 4 3 8" xfId="29974"/>
    <cellStyle name="Normal 6 4 3 8 2" xfId="29975"/>
    <cellStyle name="Normal 6 4 3 9" xfId="29976"/>
    <cellStyle name="Normal 6 4 3 9 2" xfId="29977"/>
    <cellStyle name="Normal 6 4 4" xfId="29978"/>
    <cellStyle name="Normal 6 4 4 10" xfId="29979"/>
    <cellStyle name="Normal 6 4 4 10 2" xfId="29980"/>
    <cellStyle name="Normal 6 4 4 11" xfId="29981"/>
    <cellStyle name="Normal 6 4 4 2" xfId="29982"/>
    <cellStyle name="Normal 6 4 4 2 2" xfId="29983"/>
    <cellStyle name="Normal 6 4 4 3" xfId="29984"/>
    <cellStyle name="Normal 6 4 4 3 2" xfId="29985"/>
    <cellStyle name="Normal 6 4 4 4" xfId="29986"/>
    <cellStyle name="Normal 6 4 4 4 2" xfId="29987"/>
    <cellStyle name="Normal 6 4 4 5" xfId="29988"/>
    <cellStyle name="Normal 6 4 4 5 2" xfId="29989"/>
    <cellStyle name="Normal 6 4 4 6" xfId="29990"/>
    <cellStyle name="Normal 6 4 4 6 2" xfId="29991"/>
    <cellStyle name="Normal 6 4 4 7" xfId="29992"/>
    <cellStyle name="Normal 6 4 4 7 2" xfId="29993"/>
    <cellStyle name="Normal 6 4 4 8" xfId="29994"/>
    <cellStyle name="Normal 6 4 4 8 2" xfId="29995"/>
    <cellStyle name="Normal 6 4 4 9" xfId="29996"/>
    <cellStyle name="Normal 6 4 4 9 2" xfId="29997"/>
    <cellStyle name="Normal 6 4 5" xfId="29998"/>
    <cellStyle name="Normal 6 4 5 2" xfId="29999"/>
    <cellStyle name="Normal 6 4 6" xfId="30000"/>
    <cellStyle name="Normal 6 4 6 2" xfId="30001"/>
    <cellStyle name="Normal 6 4 7" xfId="30002"/>
    <cellStyle name="Normal 6 4 7 2" xfId="30003"/>
    <cellStyle name="Normal 6 4 8" xfId="30004"/>
    <cellStyle name="Normal 6 4 8 2" xfId="30005"/>
    <cellStyle name="Normal 6 4 9" xfId="30006"/>
    <cellStyle name="Normal 6 4 9 2" xfId="30007"/>
    <cellStyle name="Normal 6 5" xfId="30008"/>
    <cellStyle name="Normal 6 5 10" xfId="30009"/>
    <cellStyle name="Normal 6 5 10 2" xfId="30010"/>
    <cellStyle name="Normal 6 5 11" xfId="30011"/>
    <cellStyle name="Normal 6 5 11 2" xfId="30012"/>
    <cellStyle name="Normal 6 5 12" xfId="30013"/>
    <cellStyle name="Normal 6 5 12 2" xfId="30014"/>
    <cellStyle name="Normal 6 5 13" xfId="30015"/>
    <cellStyle name="Normal 6 5 13 2" xfId="30016"/>
    <cellStyle name="Normal 6 5 14" xfId="30017"/>
    <cellStyle name="Normal 6 5 2" xfId="30018"/>
    <cellStyle name="Normal 6 5 3" xfId="30019"/>
    <cellStyle name="Normal 6 5 3 10" xfId="30020"/>
    <cellStyle name="Normal 6 5 3 10 2" xfId="30021"/>
    <cellStyle name="Normal 6 5 3 11" xfId="30022"/>
    <cellStyle name="Normal 6 5 3 11 2" xfId="30023"/>
    <cellStyle name="Normal 6 5 3 12" xfId="30024"/>
    <cellStyle name="Normal 6 5 3 2" xfId="30025"/>
    <cellStyle name="Normal 6 5 3 2 10" xfId="30026"/>
    <cellStyle name="Normal 6 5 3 2 10 2" xfId="30027"/>
    <cellStyle name="Normal 6 5 3 2 11" xfId="30028"/>
    <cellStyle name="Normal 6 5 3 2 2" xfId="30029"/>
    <cellStyle name="Normal 6 5 3 2 2 2" xfId="30030"/>
    <cellStyle name="Normal 6 5 3 2 3" xfId="30031"/>
    <cellStyle name="Normal 6 5 3 2 3 2" xfId="30032"/>
    <cellStyle name="Normal 6 5 3 2 4" xfId="30033"/>
    <cellStyle name="Normal 6 5 3 2 4 2" xfId="30034"/>
    <cellStyle name="Normal 6 5 3 2 5" xfId="30035"/>
    <cellStyle name="Normal 6 5 3 2 5 2" xfId="30036"/>
    <cellStyle name="Normal 6 5 3 2 6" xfId="30037"/>
    <cellStyle name="Normal 6 5 3 2 6 2" xfId="30038"/>
    <cellStyle name="Normal 6 5 3 2 7" xfId="30039"/>
    <cellStyle name="Normal 6 5 3 2 7 2" xfId="30040"/>
    <cellStyle name="Normal 6 5 3 2 8" xfId="30041"/>
    <cellStyle name="Normal 6 5 3 2 8 2" xfId="30042"/>
    <cellStyle name="Normal 6 5 3 2 9" xfId="30043"/>
    <cellStyle name="Normal 6 5 3 2 9 2" xfId="30044"/>
    <cellStyle name="Normal 6 5 3 3" xfId="30045"/>
    <cellStyle name="Normal 6 5 3 3 2" xfId="30046"/>
    <cellStyle name="Normal 6 5 3 4" xfId="30047"/>
    <cellStyle name="Normal 6 5 3 4 2" xfId="30048"/>
    <cellStyle name="Normal 6 5 3 5" xfId="30049"/>
    <cellStyle name="Normal 6 5 3 5 2" xfId="30050"/>
    <cellStyle name="Normal 6 5 3 6" xfId="30051"/>
    <cellStyle name="Normal 6 5 3 6 2" xfId="30052"/>
    <cellStyle name="Normal 6 5 3 7" xfId="30053"/>
    <cellStyle name="Normal 6 5 3 7 2" xfId="30054"/>
    <cellStyle name="Normal 6 5 3 8" xfId="30055"/>
    <cellStyle name="Normal 6 5 3 8 2" xfId="30056"/>
    <cellStyle name="Normal 6 5 3 9" xfId="30057"/>
    <cellStyle name="Normal 6 5 3 9 2" xfId="30058"/>
    <cellStyle name="Normal 6 5 4" xfId="30059"/>
    <cellStyle name="Normal 6 5 4 10" xfId="30060"/>
    <cellStyle name="Normal 6 5 4 10 2" xfId="30061"/>
    <cellStyle name="Normal 6 5 4 11" xfId="30062"/>
    <cellStyle name="Normal 6 5 4 2" xfId="30063"/>
    <cellStyle name="Normal 6 5 4 2 2" xfId="30064"/>
    <cellStyle name="Normal 6 5 4 3" xfId="30065"/>
    <cellStyle name="Normal 6 5 4 3 2" xfId="30066"/>
    <cellStyle name="Normal 6 5 4 4" xfId="30067"/>
    <cellStyle name="Normal 6 5 4 4 2" xfId="30068"/>
    <cellStyle name="Normal 6 5 4 5" xfId="30069"/>
    <cellStyle name="Normal 6 5 4 5 2" xfId="30070"/>
    <cellStyle name="Normal 6 5 4 6" xfId="30071"/>
    <cellStyle name="Normal 6 5 4 6 2" xfId="30072"/>
    <cellStyle name="Normal 6 5 4 7" xfId="30073"/>
    <cellStyle name="Normal 6 5 4 7 2" xfId="30074"/>
    <cellStyle name="Normal 6 5 4 8" xfId="30075"/>
    <cellStyle name="Normal 6 5 4 8 2" xfId="30076"/>
    <cellStyle name="Normal 6 5 4 9" xfId="30077"/>
    <cellStyle name="Normal 6 5 4 9 2" xfId="30078"/>
    <cellStyle name="Normal 6 5 5" xfId="30079"/>
    <cellStyle name="Normal 6 5 5 2" xfId="30080"/>
    <cellStyle name="Normal 6 5 6" xfId="30081"/>
    <cellStyle name="Normal 6 5 6 2" xfId="30082"/>
    <cellStyle name="Normal 6 5 7" xfId="30083"/>
    <cellStyle name="Normal 6 5 7 2" xfId="30084"/>
    <cellStyle name="Normal 6 5 8" xfId="30085"/>
    <cellStyle name="Normal 6 5 8 2" xfId="30086"/>
    <cellStyle name="Normal 6 5 9" xfId="30087"/>
    <cellStyle name="Normal 6 5 9 2" xfId="30088"/>
    <cellStyle name="Normal 6 6" xfId="30089"/>
    <cellStyle name="Normal 6 7" xfId="30090"/>
    <cellStyle name="Normal 6 8" xfId="30091"/>
    <cellStyle name="Normal 6 8 10" xfId="30092"/>
    <cellStyle name="Normal 6 8 10 2" xfId="30093"/>
    <cellStyle name="Normal 6 8 11" xfId="30094"/>
    <cellStyle name="Normal 6 8 11 2" xfId="30095"/>
    <cellStyle name="Normal 6 8 12" xfId="30096"/>
    <cellStyle name="Normal 6 8 12 2" xfId="30097"/>
    <cellStyle name="Normal 6 8 13" xfId="30098"/>
    <cellStyle name="Normal 6 8 2" xfId="30099"/>
    <cellStyle name="Normal 6 8 2 10" xfId="30100"/>
    <cellStyle name="Normal 6 8 2 10 2" xfId="30101"/>
    <cellStyle name="Normal 6 8 2 11" xfId="30102"/>
    <cellStyle name="Normal 6 8 2 11 2" xfId="30103"/>
    <cellStyle name="Normal 6 8 2 12" xfId="30104"/>
    <cellStyle name="Normal 6 8 2 2" xfId="30105"/>
    <cellStyle name="Normal 6 8 2 2 10" xfId="30106"/>
    <cellStyle name="Normal 6 8 2 2 10 2" xfId="30107"/>
    <cellStyle name="Normal 6 8 2 2 11" xfId="30108"/>
    <cellStyle name="Normal 6 8 2 2 2" xfId="30109"/>
    <cellStyle name="Normal 6 8 2 2 2 2" xfId="30110"/>
    <cellStyle name="Normal 6 8 2 2 3" xfId="30111"/>
    <cellStyle name="Normal 6 8 2 2 3 2" xfId="30112"/>
    <cellStyle name="Normal 6 8 2 2 4" xfId="30113"/>
    <cellStyle name="Normal 6 8 2 2 4 2" xfId="30114"/>
    <cellStyle name="Normal 6 8 2 2 5" xfId="30115"/>
    <cellStyle name="Normal 6 8 2 2 5 2" xfId="30116"/>
    <cellStyle name="Normal 6 8 2 2 6" xfId="30117"/>
    <cellStyle name="Normal 6 8 2 2 6 2" xfId="30118"/>
    <cellStyle name="Normal 6 8 2 2 7" xfId="30119"/>
    <cellStyle name="Normal 6 8 2 2 7 2" xfId="30120"/>
    <cellStyle name="Normal 6 8 2 2 8" xfId="30121"/>
    <cellStyle name="Normal 6 8 2 2 8 2" xfId="30122"/>
    <cellStyle name="Normal 6 8 2 2 9" xfId="30123"/>
    <cellStyle name="Normal 6 8 2 2 9 2" xfId="30124"/>
    <cellStyle name="Normal 6 8 2 3" xfId="30125"/>
    <cellStyle name="Normal 6 8 2 3 2" xfId="30126"/>
    <cellStyle name="Normal 6 8 2 4" xfId="30127"/>
    <cellStyle name="Normal 6 8 2 4 2" xfId="30128"/>
    <cellStyle name="Normal 6 8 2 5" xfId="30129"/>
    <cellStyle name="Normal 6 8 2 5 2" xfId="30130"/>
    <cellStyle name="Normal 6 8 2 6" xfId="30131"/>
    <cellStyle name="Normal 6 8 2 6 2" xfId="30132"/>
    <cellStyle name="Normal 6 8 2 7" xfId="30133"/>
    <cellStyle name="Normal 6 8 2 7 2" xfId="30134"/>
    <cellStyle name="Normal 6 8 2 8" xfId="30135"/>
    <cellStyle name="Normal 6 8 2 8 2" xfId="30136"/>
    <cellStyle name="Normal 6 8 2 9" xfId="30137"/>
    <cellStyle name="Normal 6 8 2 9 2" xfId="30138"/>
    <cellStyle name="Normal 6 8 3" xfId="30139"/>
    <cellStyle name="Normal 6 8 3 10" xfId="30140"/>
    <cellStyle name="Normal 6 8 3 10 2" xfId="30141"/>
    <cellStyle name="Normal 6 8 3 11" xfId="30142"/>
    <cellStyle name="Normal 6 8 3 2" xfId="30143"/>
    <cellStyle name="Normal 6 8 3 2 2" xfId="30144"/>
    <cellStyle name="Normal 6 8 3 3" xfId="30145"/>
    <cellStyle name="Normal 6 8 3 3 2" xfId="30146"/>
    <cellStyle name="Normal 6 8 3 4" xfId="30147"/>
    <cellStyle name="Normal 6 8 3 4 2" xfId="30148"/>
    <cellStyle name="Normal 6 8 3 5" xfId="30149"/>
    <cellStyle name="Normal 6 8 3 5 2" xfId="30150"/>
    <cellStyle name="Normal 6 8 3 6" xfId="30151"/>
    <cellStyle name="Normal 6 8 3 6 2" xfId="30152"/>
    <cellStyle name="Normal 6 8 3 7" xfId="30153"/>
    <cellStyle name="Normal 6 8 3 7 2" xfId="30154"/>
    <cellStyle name="Normal 6 8 3 8" xfId="30155"/>
    <cellStyle name="Normal 6 8 3 8 2" xfId="30156"/>
    <cellStyle name="Normal 6 8 3 9" xfId="30157"/>
    <cellStyle name="Normal 6 8 3 9 2" xfId="30158"/>
    <cellStyle name="Normal 6 8 4" xfId="30159"/>
    <cellStyle name="Normal 6 8 4 2" xfId="30160"/>
    <cellStyle name="Normal 6 8 5" xfId="30161"/>
    <cellStyle name="Normal 6 8 5 2" xfId="30162"/>
    <cellStyle name="Normal 6 8 6" xfId="30163"/>
    <cellStyle name="Normal 6 8 6 2" xfId="30164"/>
    <cellStyle name="Normal 6 8 7" xfId="30165"/>
    <cellStyle name="Normal 6 8 7 2" xfId="30166"/>
    <cellStyle name="Normal 6 8 8" xfId="30167"/>
    <cellStyle name="Normal 6 8 8 2" xfId="30168"/>
    <cellStyle name="Normal 6 8 9" xfId="30169"/>
    <cellStyle name="Normal 6 8 9 2" xfId="30170"/>
    <cellStyle name="Normal 6 9" xfId="30171"/>
    <cellStyle name="Normal 6 9 10" xfId="30172"/>
    <cellStyle name="Normal 6 9 10 2" xfId="30173"/>
    <cellStyle name="Normal 6 9 11" xfId="30174"/>
    <cellStyle name="Normal 6 9 11 2" xfId="30175"/>
    <cellStyle name="Normal 6 9 12" xfId="30176"/>
    <cellStyle name="Normal 6 9 2" xfId="30177"/>
    <cellStyle name="Normal 6 9 2 10" xfId="30178"/>
    <cellStyle name="Normal 6 9 2 10 2" xfId="30179"/>
    <cellStyle name="Normal 6 9 2 11" xfId="30180"/>
    <cellStyle name="Normal 6 9 2 2" xfId="30181"/>
    <cellStyle name="Normal 6 9 2 2 2" xfId="30182"/>
    <cellStyle name="Normal 6 9 2 3" xfId="30183"/>
    <cellStyle name="Normal 6 9 2 3 2" xfId="30184"/>
    <cellStyle name="Normal 6 9 2 4" xfId="30185"/>
    <cellStyle name="Normal 6 9 2 4 2" xfId="30186"/>
    <cellStyle name="Normal 6 9 2 5" xfId="30187"/>
    <cellStyle name="Normal 6 9 2 5 2" xfId="30188"/>
    <cellStyle name="Normal 6 9 2 6" xfId="30189"/>
    <cellStyle name="Normal 6 9 2 6 2" xfId="30190"/>
    <cellStyle name="Normal 6 9 2 7" xfId="30191"/>
    <cellStyle name="Normal 6 9 2 7 2" xfId="30192"/>
    <cellStyle name="Normal 6 9 2 8" xfId="30193"/>
    <cellStyle name="Normal 6 9 2 8 2" xfId="30194"/>
    <cellStyle name="Normal 6 9 2 9" xfId="30195"/>
    <cellStyle name="Normal 6 9 2 9 2" xfId="30196"/>
    <cellStyle name="Normal 6 9 3" xfId="30197"/>
    <cellStyle name="Normal 6 9 3 2" xfId="30198"/>
    <cellStyle name="Normal 6 9 4" xfId="30199"/>
    <cellStyle name="Normal 6 9 4 2" xfId="30200"/>
    <cellStyle name="Normal 6 9 5" xfId="30201"/>
    <cellStyle name="Normal 6 9 5 2" xfId="30202"/>
    <cellStyle name="Normal 6 9 6" xfId="30203"/>
    <cellStyle name="Normal 6 9 6 2" xfId="30204"/>
    <cellStyle name="Normal 6 9 7" xfId="30205"/>
    <cellStyle name="Normal 6 9 7 2" xfId="30206"/>
    <cellStyle name="Normal 6 9 8" xfId="30207"/>
    <cellStyle name="Normal 6 9 8 2" xfId="30208"/>
    <cellStyle name="Normal 6 9 9" xfId="30209"/>
    <cellStyle name="Normal 6 9 9 2" xfId="30210"/>
    <cellStyle name="Normal 7" xfId="193"/>
    <cellStyle name="Normal 7 10" xfId="30211"/>
    <cellStyle name="Normal 7 10 2" xfId="30212"/>
    <cellStyle name="Normal 7 11" xfId="30213"/>
    <cellStyle name="Normal 7 11 2" xfId="30214"/>
    <cellStyle name="Normal 7 12" xfId="30215"/>
    <cellStyle name="Normal 7 12 2" xfId="30216"/>
    <cellStyle name="Normal 7 13" xfId="30217"/>
    <cellStyle name="Normal 7 13 2" xfId="30218"/>
    <cellStyle name="Normal 7 14" xfId="30219"/>
    <cellStyle name="Normal 7 14 2" xfId="30220"/>
    <cellStyle name="Normal 7 15" xfId="30221"/>
    <cellStyle name="Normal 7 15 2" xfId="30222"/>
    <cellStyle name="Normal 7 16" xfId="30223"/>
    <cellStyle name="Normal 7 16 2" xfId="30224"/>
    <cellStyle name="Normal 7 17" xfId="30225"/>
    <cellStyle name="Normal 7 17 2" xfId="30226"/>
    <cellStyle name="Normal 7 18" xfId="30227"/>
    <cellStyle name="Normal 7 18 2" xfId="30228"/>
    <cellStyle name="Normal 7 19" xfId="30229"/>
    <cellStyle name="Normal 7 2" xfId="194"/>
    <cellStyle name="Normal 7 2 10" xfId="30230"/>
    <cellStyle name="Normal 7 2 10 2" xfId="30231"/>
    <cellStyle name="Normal 7 2 11" xfId="30232"/>
    <cellStyle name="Normal 7 2 11 2" xfId="30233"/>
    <cellStyle name="Normal 7 2 12" xfId="30234"/>
    <cellStyle name="Normal 7 2 12 2" xfId="30235"/>
    <cellStyle name="Normal 7 2 13" xfId="30236"/>
    <cellStyle name="Normal 7 2 13 2" xfId="30237"/>
    <cellStyle name="Normal 7 2 14" xfId="30238"/>
    <cellStyle name="Normal 7 2 14 2" xfId="30239"/>
    <cellStyle name="Normal 7 2 15" xfId="30240"/>
    <cellStyle name="Normal 7 2 15 2" xfId="30241"/>
    <cellStyle name="Normal 7 2 16" xfId="30242"/>
    <cellStyle name="Normal 7 2 16 2" xfId="30243"/>
    <cellStyle name="Normal 7 2 17" xfId="30244"/>
    <cellStyle name="Normal 7 2 18" xfId="30245"/>
    <cellStyle name="Normal 7 2 19" xfId="30246"/>
    <cellStyle name="Normal 7 2 2" xfId="30247"/>
    <cellStyle name="Normal 7 2 2 10" xfId="30248"/>
    <cellStyle name="Normal 7 2 2 10 2" xfId="30249"/>
    <cellStyle name="Normal 7 2 2 11" xfId="30250"/>
    <cellStyle name="Normal 7 2 2 11 2" xfId="30251"/>
    <cellStyle name="Normal 7 2 2 12" xfId="30252"/>
    <cellStyle name="Normal 7 2 2 12 2" xfId="30253"/>
    <cellStyle name="Normal 7 2 2 13" xfId="30254"/>
    <cellStyle name="Normal 7 2 2 2" xfId="30255"/>
    <cellStyle name="Normal 7 2 2 2 10" xfId="30256"/>
    <cellStyle name="Normal 7 2 2 2 10 2" xfId="30257"/>
    <cellStyle name="Normal 7 2 2 2 11" xfId="30258"/>
    <cellStyle name="Normal 7 2 2 2 11 2" xfId="30259"/>
    <cellStyle name="Normal 7 2 2 2 12" xfId="30260"/>
    <cellStyle name="Normal 7 2 2 2 2" xfId="30261"/>
    <cellStyle name="Normal 7 2 2 2 2 10" xfId="30262"/>
    <cellStyle name="Normal 7 2 2 2 2 10 2" xfId="30263"/>
    <cellStyle name="Normal 7 2 2 2 2 11" xfId="30264"/>
    <cellStyle name="Normal 7 2 2 2 2 2" xfId="30265"/>
    <cellStyle name="Normal 7 2 2 2 2 2 2" xfId="30266"/>
    <cellStyle name="Normal 7 2 2 2 2 3" xfId="30267"/>
    <cellStyle name="Normal 7 2 2 2 2 3 2" xfId="30268"/>
    <cellStyle name="Normal 7 2 2 2 2 4" xfId="30269"/>
    <cellStyle name="Normal 7 2 2 2 2 4 2" xfId="30270"/>
    <cellStyle name="Normal 7 2 2 2 2 5" xfId="30271"/>
    <cellStyle name="Normal 7 2 2 2 2 5 2" xfId="30272"/>
    <cellStyle name="Normal 7 2 2 2 2 6" xfId="30273"/>
    <cellStyle name="Normal 7 2 2 2 2 6 2" xfId="30274"/>
    <cellStyle name="Normal 7 2 2 2 2 7" xfId="30275"/>
    <cellStyle name="Normal 7 2 2 2 2 7 2" xfId="30276"/>
    <cellStyle name="Normal 7 2 2 2 2 8" xfId="30277"/>
    <cellStyle name="Normal 7 2 2 2 2 8 2" xfId="30278"/>
    <cellStyle name="Normal 7 2 2 2 2 9" xfId="30279"/>
    <cellStyle name="Normal 7 2 2 2 2 9 2" xfId="30280"/>
    <cellStyle name="Normal 7 2 2 2 3" xfId="30281"/>
    <cellStyle name="Normal 7 2 2 2 3 2" xfId="30282"/>
    <cellStyle name="Normal 7 2 2 2 4" xfId="30283"/>
    <cellStyle name="Normal 7 2 2 2 4 2" xfId="30284"/>
    <cellStyle name="Normal 7 2 2 2 5" xfId="30285"/>
    <cellStyle name="Normal 7 2 2 2 5 2" xfId="30286"/>
    <cellStyle name="Normal 7 2 2 2 6" xfId="30287"/>
    <cellStyle name="Normal 7 2 2 2 6 2" xfId="30288"/>
    <cellStyle name="Normal 7 2 2 2 7" xfId="30289"/>
    <cellStyle name="Normal 7 2 2 2 7 2" xfId="30290"/>
    <cellStyle name="Normal 7 2 2 2 8" xfId="30291"/>
    <cellStyle name="Normal 7 2 2 2 8 2" xfId="30292"/>
    <cellStyle name="Normal 7 2 2 2 9" xfId="30293"/>
    <cellStyle name="Normal 7 2 2 2 9 2" xfId="30294"/>
    <cellStyle name="Normal 7 2 2 3" xfId="30295"/>
    <cellStyle name="Normal 7 2 2 3 10" xfId="30296"/>
    <cellStyle name="Normal 7 2 2 3 10 2" xfId="30297"/>
    <cellStyle name="Normal 7 2 2 3 11" xfId="30298"/>
    <cellStyle name="Normal 7 2 2 3 2" xfId="30299"/>
    <cellStyle name="Normal 7 2 2 3 2 2" xfId="30300"/>
    <cellStyle name="Normal 7 2 2 3 3" xfId="30301"/>
    <cellStyle name="Normal 7 2 2 3 3 2" xfId="30302"/>
    <cellStyle name="Normal 7 2 2 3 4" xfId="30303"/>
    <cellStyle name="Normal 7 2 2 3 4 2" xfId="30304"/>
    <cellStyle name="Normal 7 2 2 3 5" xfId="30305"/>
    <cellStyle name="Normal 7 2 2 3 5 2" xfId="30306"/>
    <cellStyle name="Normal 7 2 2 3 6" xfId="30307"/>
    <cellStyle name="Normal 7 2 2 3 6 2" xfId="30308"/>
    <cellStyle name="Normal 7 2 2 3 7" xfId="30309"/>
    <cellStyle name="Normal 7 2 2 3 7 2" xfId="30310"/>
    <cellStyle name="Normal 7 2 2 3 8" xfId="30311"/>
    <cellStyle name="Normal 7 2 2 3 8 2" xfId="30312"/>
    <cellStyle name="Normal 7 2 2 3 9" xfId="30313"/>
    <cellStyle name="Normal 7 2 2 3 9 2" xfId="30314"/>
    <cellStyle name="Normal 7 2 2 4" xfId="30315"/>
    <cellStyle name="Normal 7 2 2 4 2" xfId="30316"/>
    <cellStyle name="Normal 7 2 2 5" xfId="30317"/>
    <cellStyle name="Normal 7 2 2 5 2" xfId="30318"/>
    <cellStyle name="Normal 7 2 2 6" xfId="30319"/>
    <cellStyle name="Normal 7 2 2 6 2" xfId="30320"/>
    <cellStyle name="Normal 7 2 2 7" xfId="30321"/>
    <cellStyle name="Normal 7 2 2 7 2" xfId="30322"/>
    <cellStyle name="Normal 7 2 2 8" xfId="30323"/>
    <cellStyle name="Normal 7 2 2 8 2" xfId="30324"/>
    <cellStyle name="Normal 7 2 2 9" xfId="30325"/>
    <cellStyle name="Normal 7 2 2 9 2" xfId="30326"/>
    <cellStyle name="Normal 7 2 3" xfId="30327"/>
    <cellStyle name="Normal 7 2 3 10" xfId="30328"/>
    <cellStyle name="Normal 7 2 3 10 2" xfId="30329"/>
    <cellStyle name="Normal 7 2 3 11" xfId="30330"/>
    <cellStyle name="Normal 7 2 3 11 2" xfId="30331"/>
    <cellStyle name="Normal 7 2 3 12" xfId="30332"/>
    <cellStyle name="Normal 7 2 3 12 2" xfId="30333"/>
    <cellStyle name="Normal 7 2 3 13" xfId="30334"/>
    <cellStyle name="Normal 7 2 3 2" xfId="30335"/>
    <cellStyle name="Normal 7 2 3 2 10" xfId="30336"/>
    <cellStyle name="Normal 7 2 3 2 10 2" xfId="30337"/>
    <cellStyle name="Normal 7 2 3 2 11" xfId="30338"/>
    <cellStyle name="Normal 7 2 3 2 11 2" xfId="30339"/>
    <cellStyle name="Normal 7 2 3 2 12" xfId="30340"/>
    <cellStyle name="Normal 7 2 3 2 2" xfId="30341"/>
    <cellStyle name="Normal 7 2 3 2 2 10" xfId="30342"/>
    <cellStyle name="Normal 7 2 3 2 2 10 2" xfId="30343"/>
    <cellStyle name="Normal 7 2 3 2 2 11" xfId="30344"/>
    <cellStyle name="Normal 7 2 3 2 2 2" xfId="30345"/>
    <cellStyle name="Normal 7 2 3 2 2 2 2" xfId="30346"/>
    <cellStyle name="Normal 7 2 3 2 2 3" xfId="30347"/>
    <cellStyle name="Normal 7 2 3 2 2 3 2" xfId="30348"/>
    <cellStyle name="Normal 7 2 3 2 2 4" xfId="30349"/>
    <cellStyle name="Normal 7 2 3 2 2 4 2" xfId="30350"/>
    <cellStyle name="Normal 7 2 3 2 2 5" xfId="30351"/>
    <cellStyle name="Normal 7 2 3 2 2 5 2" xfId="30352"/>
    <cellStyle name="Normal 7 2 3 2 2 6" xfId="30353"/>
    <cellStyle name="Normal 7 2 3 2 2 6 2" xfId="30354"/>
    <cellStyle name="Normal 7 2 3 2 2 7" xfId="30355"/>
    <cellStyle name="Normal 7 2 3 2 2 7 2" xfId="30356"/>
    <cellStyle name="Normal 7 2 3 2 2 8" xfId="30357"/>
    <cellStyle name="Normal 7 2 3 2 2 8 2" xfId="30358"/>
    <cellStyle name="Normal 7 2 3 2 2 9" xfId="30359"/>
    <cellStyle name="Normal 7 2 3 2 2 9 2" xfId="30360"/>
    <cellStyle name="Normal 7 2 3 2 3" xfId="30361"/>
    <cellStyle name="Normal 7 2 3 2 3 2" xfId="30362"/>
    <cellStyle name="Normal 7 2 3 2 4" xfId="30363"/>
    <cellStyle name="Normal 7 2 3 2 4 2" xfId="30364"/>
    <cellStyle name="Normal 7 2 3 2 5" xfId="30365"/>
    <cellStyle name="Normal 7 2 3 2 5 2" xfId="30366"/>
    <cellStyle name="Normal 7 2 3 2 6" xfId="30367"/>
    <cellStyle name="Normal 7 2 3 2 6 2" xfId="30368"/>
    <cellStyle name="Normal 7 2 3 2 7" xfId="30369"/>
    <cellStyle name="Normal 7 2 3 2 7 2" xfId="30370"/>
    <cellStyle name="Normal 7 2 3 2 8" xfId="30371"/>
    <cellStyle name="Normal 7 2 3 2 8 2" xfId="30372"/>
    <cellStyle name="Normal 7 2 3 2 9" xfId="30373"/>
    <cellStyle name="Normal 7 2 3 2 9 2" xfId="30374"/>
    <cellStyle name="Normal 7 2 3 3" xfId="30375"/>
    <cellStyle name="Normal 7 2 3 3 10" xfId="30376"/>
    <cellStyle name="Normal 7 2 3 3 10 2" xfId="30377"/>
    <cellStyle name="Normal 7 2 3 3 11" xfId="30378"/>
    <cellStyle name="Normal 7 2 3 3 2" xfId="30379"/>
    <cellStyle name="Normal 7 2 3 3 2 2" xfId="30380"/>
    <cellStyle name="Normal 7 2 3 3 3" xfId="30381"/>
    <cellStyle name="Normal 7 2 3 3 3 2" xfId="30382"/>
    <cellStyle name="Normal 7 2 3 3 4" xfId="30383"/>
    <cellStyle name="Normal 7 2 3 3 4 2" xfId="30384"/>
    <cellStyle name="Normal 7 2 3 3 5" xfId="30385"/>
    <cellStyle name="Normal 7 2 3 3 5 2" xfId="30386"/>
    <cellStyle name="Normal 7 2 3 3 6" xfId="30387"/>
    <cellStyle name="Normal 7 2 3 3 6 2" xfId="30388"/>
    <cellStyle name="Normal 7 2 3 3 7" xfId="30389"/>
    <cellStyle name="Normal 7 2 3 3 7 2" xfId="30390"/>
    <cellStyle name="Normal 7 2 3 3 8" xfId="30391"/>
    <cellStyle name="Normal 7 2 3 3 8 2" xfId="30392"/>
    <cellStyle name="Normal 7 2 3 3 9" xfId="30393"/>
    <cellStyle name="Normal 7 2 3 3 9 2" xfId="30394"/>
    <cellStyle name="Normal 7 2 3 4" xfId="30395"/>
    <cellStyle name="Normal 7 2 3 4 2" xfId="30396"/>
    <cellStyle name="Normal 7 2 3 5" xfId="30397"/>
    <cellStyle name="Normal 7 2 3 5 2" xfId="30398"/>
    <cellStyle name="Normal 7 2 3 6" xfId="30399"/>
    <cellStyle name="Normal 7 2 3 6 2" xfId="30400"/>
    <cellStyle name="Normal 7 2 3 7" xfId="30401"/>
    <cellStyle name="Normal 7 2 3 7 2" xfId="30402"/>
    <cellStyle name="Normal 7 2 3 8" xfId="30403"/>
    <cellStyle name="Normal 7 2 3 8 2" xfId="30404"/>
    <cellStyle name="Normal 7 2 3 9" xfId="30405"/>
    <cellStyle name="Normal 7 2 3 9 2" xfId="30406"/>
    <cellStyle name="Normal 7 2 4" xfId="30407"/>
    <cellStyle name="Normal 7 2 4 10" xfId="30408"/>
    <cellStyle name="Normal 7 2 4 10 2" xfId="30409"/>
    <cellStyle name="Normal 7 2 4 11" xfId="30410"/>
    <cellStyle name="Normal 7 2 4 11 2" xfId="30411"/>
    <cellStyle name="Normal 7 2 4 12" xfId="30412"/>
    <cellStyle name="Normal 7 2 4 12 2" xfId="30413"/>
    <cellStyle name="Normal 7 2 4 13" xfId="30414"/>
    <cellStyle name="Normal 7 2 4 2" xfId="30415"/>
    <cellStyle name="Normal 7 2 4 2 10" xfId="30416"/>
    <cellStyle name="Normal 7 2 4 2 10 2" xfId="30417"/>
    <cellStyle name="Normal 7 2 4 2 11" xfId="30418"/>
    <cellStyle name="Normal 7 2 4 2 11 2" xfId="30419"/>
    <cellStyle name="Normal 7 2 4 2 12" xfId="30420"/>
    <cellStyle name="Normal 7 2 4 2 2" xfId="30421"/>
    <cellStyle name="Normal 7 2 4 2 2 10" xfId="30422"/>
    <cellStyle name="Normal 7 2 4 2 2 10 2" xfId="30423"/>
    <cellStyle name="Normal 7 2 4 2 2 11" xfId="30424"/>
    <cellStyle name="Normal 7 2 4 2 2 2" xfId="30425"/>
    <cellStyle name="Normal 7 2 4 2 2 2 2" xfId="30426"/>
    <cellStyle name="Normal 7 2 4 2 2 3" xfId="30427"/>
    <cellStyle name="Normal 7 2 4 2 2 3 2" xfId="30428"/>
    <cellStyle name="Normal 7 2 4 2 2 4" xfId="30429"/>
    <cellStyle name="Normal 7 2 4 2 2 4 2" xfId="30430"/>
    <cellStyle name="Normal 7 2 4 2 2 5" xfId="30431"/>
    <cellStyle name="Normal 7 2 4 2 2 5 2" xfId="30432"/>
    <cellStyle name="Normal 7 2 4 2 2 6" xfId="30433"/>
    <cellStyle name="Normal 7 2 4 2 2 6 2" xfId="30434"/>
    <cellStyle name="Normal 7 2 4 2 2 7" xfId="30435"/>
    <cellStyle name="Normal 7 2 4 2 2 7 2" xfId="30436"/>
    <cellStyle name="Normal 7 2 4 2 2 8" xfId="30437"/>
    <cellStyle name="Normal 7 2 4 2 2 8 2" xfId="30438"/>
    <cellStyle name="Normal 7 2 4 2 2 9" xfId="30439"/>
    <cellStyle name="Normal 7 2 4 2 2 9 2" xfId="30440"/>
    <cellStyle name="Normal 7 2 4 2 3" xfId="30441"/>
    <cellStyle name="Normal 7 2 4 2 3 2" xfId="30442"/>
    <cellStyle name="Normal 7 2 4 2 4" xfId="30443"/>
    <cellStyle name="Normal 7 2 4 2 4 2" xfId="30444"/>
    <cellStyle name="Normal 7 2 4 2 5" xfId="30445"/>
    <cellStyle name="Normal 7 2 4 2 5 2" xfId="30446"/>
    <cellStyle name="Normal 7 2 4 2 6" xfId="30447"/>
    <cellStyle name="Normal 7 2 4 2 6 2" xfId="30448"/>
    <cellStyle name="Normal 7 2 4 2 7" xfId="30449"/>
    <cellStyle name="Normal 7 2 4 2 7 2" xfId="30450"/>
    <cellStyle name="Normal 7 2 4 2 8" xfId="30451"/>
    <cellStyle name="Normal 7 2 4 2 8 2" xfId="30452"/>
    <cellStyle name="Normal 7 2 4 2 9" xfId="30453"/>
    <cellStyle name="Normal 7 2 4 2 9 2" xfId="30454"/>
    <cellStyle name="Normal 7 2 4 3" xfId="30455"/>
    <cellStyle name="Normal 7 2 4 3 10" xfId="30456"/>
    <cellStyle name="Normal 7 2 4 3 10 2" xfId="30457"/>
    <cellStyle name="Normal 7 2 4 3 11" xfId="30458"/>
    <cellStyle name="Normal 7 2 4 3 2" xfId="30459"/>
    <cellStyle name="Normal 7 2 4 3 2 2" xfId="30460"/>
    <cellStyle name="Normal 7 2 4 3 3" xfId="30461"/>
    <cellStyle name="Normal 7 2 4 3 3 2" xfId="30462"/>
    <cellStyle name="Normal 7 2 4 3 4" xfId="30463"/>
    <cellStyle name="Normal 7 2 4 3 4 2" xfId="30464"/>
    <cellStyle name="Normal 7 2 4 3 5" xfId="30465"/>
    <cellStyle name="Normal 7 2 4 3 5 2" xfId="30466"/>
    <cellStyle name="Normal 7 2 4 3 6" xfId="30467"/>
    <cellStyle name="Normal 7 2 4 3 6 2" xfId="30468"/>
    <cellStyle name="Normal 7 2 4 3 7" xfId="30469"/>
    <cellStyle name="Normal 7 2 4 3 7 2" xfId="30470"/>
    <cellStyle name="Normal 7 2 4 3 8" xfId="30471"/>
    <cellStyle name="Normal 7 2 4 3 8 2" xfId="30472"/>
    <cellStyle name="Normal 7 2 4 3 9" xfId="30473"/>
    <cellStyle name="Normal 7 2 4 3 9 2" xfId="30474"/>
    <cellStyle name="Normal 7 2 4 4" xfId="30475"/>
    <cellStyle name="Normal 7 2 4 4 2" xfId="30476"/>
    <cellStyle name="Normal 7 2 4 5" xfId="30477"/>
    <cellStyle name="Normal 7 2 4 5 2" xfId="30478"/>
    <cellStyle name="Normal 7 2 4 6" xfId="30479"/>
    <cellStyle name="Normal 7 2 4 6 2" xfId="30480"/>
    <cellStyle name="Normal 7 2 4 7" xfId="30481"/>
    <cellStyle name="Normal 7 2 4 7 2" xfId="30482"/>
    <cellStyle name="Normal 7 2 4 8" xfId="30483"/>
    <cellStyle name="Normal 7 2 4 8 2" xfId="30484"/>
    <cellStyle name="Normal 7 2 4 9" xfId="30485"/>
    <cellStyle name="Normal 7 2 4 9 2" xfId="30486"/>
    <cellStyle name="Normal 7 2 5" xfId="30487"/>
    <cellStyle name="Normal 7 2 5 10" xfId="30488"/>
    <cellStyle name="Normal 7 2 5 10 2" xfId="30489"/>
    <cellStyle name="Normal 7 2 5 11" xfId="30490"/>
    <cellStyle name="Normal 7 2 5 11 2" xfId="30491"/>
    <cellStyle name="Normal 7 2 5 12" xfId="30492"/>
    <cellStyle name="Normal 7 2 5 12 2" xfId="30493"/>
    <cellStyle name="Normal 7 2 5 13" xfId="30494"/>
    <cellStyle name="Normal 7 2 5 2" xfId="30495"/>
    <cellStyle name="Normal 7 2 5 2 10" xfId="30496"/>
    <cellStyle name="Normal 7 2 5 2 10 2" xfId="30497"/>
    <cellStyle name="Normal 7 2 5 2 11" xfId="30498"/>
    <cellStyle name="Normal 7 2 5 2 11 2" xfId="30499"/>
    <cellStyle name="Normal 7 2 5 2 12" xfId="30500"/>
    <cellStyle name="Normal 7 2 5 2 2" xfId="30501"/>
    <cellStyle name="Normal 7 2 5 2 2 10" xfId="30502"/>
    <cellStyle name="Normal 7 2 5 2 2 10 2" xfId="30503"/>
    <cellStyle name="Normal 7 2 5 2 2 11" xfId="30504"/>
    <cellStyle name="Normal 7 2 5 2 2 2" xfId="30505"/>
    <cellStyle name="Normal 7 2 5 2 2 2 2" xfId="30506"/>
    <cellStyle name="Normal 7 2 5 2 2 3" xfId="30507"/>
    <cellStyle name="Normal 7 2 5 2 2 3 2" xfId="30508"/>
    <cellStyle name="Normal 7 2 5 2 2 4" xfId="30509"/>
    <cellStyle name="Normal 7 2 5 2 2 4 2" xfId="30510"/>
    <cellStyle name="Normal 7 2 5 2 2 5" xfId="30511"/>
    <cellStyle name="Normal 7 2 5 2 2 5 2" xfId="30512"/>
    <cellStyle name="Normal 7 2 5 2 2 6" xfId="30513"/>
    <cellStyle name="Normal 7 2 5 2 2 6 2" xfId="30514"/>
    <cellStyle name="Normal 7 2 5 2 2 7" xfId="30515"/>
    <cellStyle name="Normal 7 2 5 2 2 7 2" xfId="30516"/>
    <cellStyle name="Normal 7 2 5 2 2 8" xfId="30517"/>
    <cellStyle name="Normal 7 2 5 2 2 8 2" xfId="30518"/>
    <cellStyle name="Normal 7 2 5 2 2 9" xfId="30519"/>
    <cellStyle name="Normal 7 2 5 2 2 9 2" xfId="30520"/>
    <cellStyle name="Normal 7 2 5 2 3" xfId="30521"/>
    <cellStyle name="Normal 7 2 5 2 3 2" xfId="30522"/>
    <cellStyle name="Normal 7 2 5 2 4" xfId="30523"/>
    <cellStyle name="Normal 7 2 5 2 4 2" xfId="30524"/>
    <cellStyle name="Normal 7 2 5 2 5" xfId="30525"/>
    <cellStyle name="Normal 7 2 5 2 5 2" xfId="30526"/>
    <cellStyle name="Normal 7 2 5 2 6" xfId="30527"/>
    <cellStyle name="Normal 7 2 5 2 6 2" xfId="30528"/>
    <cellStyle name="Normal 7 2 5 2 7" xfId="30529"/>
    <cellStyle name="Normal 7 2 5 2 7 2" xfId="30530"/>
    <cellStyle name="Normal 7 2 5 2 8" xfId="30531"/>
    <cellStyle name="Normal 7 2 5 2 8 2" xfId="30532"/>
    <cellStyle name="Normal 7 2 5 2 9" xfId="30533"/>
    <cellStyle name="Normal 7 2 5 2 9 2" xfId="30534"/>
    <cellStyle name="Normal 7 2 5 3" xfId="30535"/>
    <cellStyle name="Normal 7 2 5 3 10" xfId="30536"/>
    <cellStyle name="Normal 7 2 5 3 10 2" xfId="30537"/>
    <cellStyle name="Normal 7 2 5 3 11" xfId="30538"/>
    <cellStyle name="Normal 7 2 5 3 2" xfId="30539"/>
    <cellStyle name="Normal 7 2 5 3 2 2" xfId="30540"/>
    <cellStyle name="Normal 7 2 5 3 3" xfId="30541"/>
    <cellStyle name="Normal 7 2 5 3 3 2" xfId="30542"/>
    <cellStyle name="Normal 7 2 5 3 4" xfId="30543"/>
    <cellStyle name="Normal 7 2 5 3 4 2" xfId="30544"/>
    <cellStyle name="Normal 7 2 5 3 5" xfId="30545"/>
    <cellStyle name="Normal 7 2 5 3 5 2" xfId="30546"/>
    <cellStyle name="Normal 7 2 5 3 6" xfId="30547"/>
    <cellStyle name="Normal 7 2 5 3 6 2" xfId="30548"/>
    <cellStyle name="Normal 7 2 5 3 7" xfId="30549"/>
    <cellStyle name="Normal 7 2 5 3 7 2" xfId="30550"/>
    <cellStyle name="Normal 7 2 5 3 8" xfId="30551"/>
    <cellStyle name="Normal 7 2 5 3 8 2" xfId="30552"/>
    <cellStyle name="Normal 7 2 5 3 9" xfId="30553"/>
    <cellStyle name="Normal 7 2 5 3 9 2" xfId="30554"/>
    <cellStyle name="Normal 7 2 5 4" xfId="30555"/>
    <cellStyle name="Normal 7 2 5 4 2" xfId="30556"/>
    <cellStyle name="Normal 7 2 5 5" xfId="30557"/>
    <cellStyle name="Normal 7 2 5 5 2" xfId="30558"/>
    <cellStyle name="Normal 7 2 5 6" xfId="30559"/>
    <cellStyle name="Normal 7 2 5 6 2" xfId="30560"/>
    <cellStyle name="Normal 7 2 5 7" xfId="30561"/>
    <cellStyle name="Normal 7 2 5 7 2" xfId="30562"/>
    <cellStyle name="Normal 7 2 5 8" xfId="30563"/>
    <cellStyle name="Normal 7 2 5 8 2" xfId="30564"/>
    <cellStyle name="Normal 7 2 5 9" xfId="30565"/>
    <cellStyle name="Normal 7 2 5 9 2" xfId="30566"/>
    <cellStyle name="Normal 7 2 6" xfId="30567"/>
    <cellStyle name="Normal 7 2 6 10" xfId="30568"/>
    <cellStyle name="Normal 7 2 6 10 2" xfId="30569"/>
    <cellStyle name="Normal 7 2 6 11" xfId="30570"/>
    <cellStyle name="Normal 7 2 6 11 2" xfId="30571"/>
    <cellStyle name="Normal 7 2 6 12" xfId="30572"/>
    <cellStyle name="Normal 7 2 6 2" xfId="30573"/>
    <cellStyle name="Normal 7 2 6 2 10" xfId="30574"/>
    <cellStyle name="Normal 7 2 6 2 10 2" xfId="30575"/>
    <cellStyle name="Normal 7 2 6 2 11" xfId="30576"/>
    <cellStyle name="Normal 7 2 6 2 2" xfId="30577"/>
    <cellStyle name="Normal 7 2 6 2 2 2" xfId="30578"/>
    <cellStyle name="Normal 7 2 6 2 3" xfId="30579"/>
    <cellStyle name="Normal 7 2 6 2 3 2" xfId="30580"/>
    <cellStyle name="Normal 7 2 6 2 4" xfId="30581"/>
    <cellStyle name="Normal 7 2 6 2 4 2" xfId="30582"/>
    <cellStyle name="Normal 7 2 6 2 5" xfId="30583"/>
    <cellStyle name="Normal 7 2 6 2 5 2" xfId="30584"/>
    <cellStyle name="Normal 7 2 6 2 6" xfId="30585"/>
    <cellStyle name="Normal 7 2 6 2 6 2" xfId="30586"/>
    <cellStyle name="Normal 7 2 6 2 7" xfId="30587"/>
    <cellStyle name="Normal 7 2 6 2 7 2" xfId="30588"/>
    <cellStyle name="Normal 7 2 6 2 8" xfId="30589"/>
    <cellStyle name="Normal 7 2 6 2 8 2" xfId="30590"/>
    <cellStyle name="Normal 7 2 6 2 9" xfId="30591"/>
    <cellStyle name="Normal 7 2 6 2 9 2" xfId="30592"/>
    <cellStyle name="Normal 7 2 6 3" xfId="30593"/>
    <cellStyle name="Normal 7 2 6 3 2" xfId="30594"/>
    <cellStyle name="Normal 7 2 6 4" xfId="30595"/>
    <cellStyle name="Normal 7 2 6 4 2" xfId="30596"/>
    <cellStyle name="Normal 7 2 6 5" xfId="30597"/>
    <cellStyle name="Normal 7 2 6 5 2" xfId="30598"/>
    <cellStyle name="Normal 7 2 6 6" xfId="30599"/>
    <cellStyle name="Normal 7 2 6 6 2" xfId="30600"/>
    <cellStyle name="Normal 7 2 6 7" xfId="30601"/>
    <cellStyle name="Normal 7 2 6 7 2" xfId="30602"/>
    <cellStyle name="Normal 7 2 6 8" xfId="30603"/>
    <cellStyle name="Normal 7 2 6 8 2" xfId="30604"/>
    <cellStyle name="Normal 7 2 6 9" xfId="30605"/>
    <cellStyle name="Normal 7 2 6 9 2" xfId="30606"/>
    <cellStyle name="Normal 7 2 7" xfId="30607"/>
    <cellStyle name="Normal 7 2 7 10" xfId="30608"/>
    <cellStyle name="Normal 7 2 7 10 2" xfId="30609"/>
    <cellStyle name="Normal 7 2 7 11" xfId="30610"/>
    <cellStyle name="Normal 7 2 7 2" xfId="30611"/>
    <cellStyle name="Normal 7 2 7 2 2" xfId="30612"/>
    <cellStyle name="Normal 7 2 7 3" xfId="30613"/>
    <cellStyle name="Normal 7 2 7 3 2" xfId="30614"/>
    <cellStyle name="Normal 7 2 7 4" xfId="30615"/>
    <cellStyle name="Normal 7 2 7 4 2" xfId="30616"/>
    <cellStyle name="Normal 7 2 7 5" xfId="30617"/>
    <cellStyle name="Normal 7 2 7 5 2" xfId="30618"/>
    <cellStyle name="Normal 7 2 7 6" xfId="30619"/>
    <cellStyle name="Normal 7 2 7 6 2" xfId="30620"/>
    <cellStyle name="Normal 7 2 7 7" xfId="30621"/>
    <cellStyle name="Normal 7 2 7 7 2" xfId="30622"/>
    <cellStyle name="Normal 7 2 7 8" xfId="30623"/>
    <cellStyle name="Normal 7 2 7 8 2" xfId="30624"/>
    <cellStyle name="Normal 7 2 7 9" xfId="30625"/>
    <cellStyle name="Normal 7 2 7 9 2" xfId="30626"/>
    <cellStyle name="Normal 7 2 8" xfId="30627"/>
    <cellStyle name="Normal 7 2 8 2" xfId="30628"/>
    <cellStyle name="Normal 7 2 9" xfId="30629"/>
    <cellStyle name="Normal 7 2 9 2" xfId="30630"/>
    <cellStyle name="Normal 7 20" xfId="30631"/>
    <cellStyle name="Normal 7 21" xfId="30632"/>
    <cellStyle name="Normal 7 3" xfId="30633"/>
    <cellStyle name="Normal 7 3 10" xfId="30634"/>
    <cellStyle name="Normal 7 3 10 2" xfId="30635"/>
    <cellStyle name="Normal 7 3 11" xfId="30636"/>
    <cellStyle name="Normal 7 3 11 2" xfId="30637"/>
    <cellStyle name="Normal 7 3 12" xfId="30638"/>
    <cellStyle name="Normal 7 3 12 2" xfId="30639"/>
    <cellStyle name="Normal 7 3 13" xfId="30640"/>
    <cellStyle name="Normal 7 3 2" xfId="30641"/>
    <cellStyle name="Normal 7 3 2 10" xfId="30642"/>
    <cellStyle name="Normal 7 3 2 10 2" xfId="30643"/>
    <cellStyle name="Normal 7 3 2 11" xfId="30644"/>
    <cellStyle name="Normal 7 3 2 11 2" xfId="30645"/>
    <cellStyle name="Normal 7 3 2 12" xfId="30646"/>
    <cellStyle name="Normal 7 3 2 2" xfId="30647"/>
    <cellStyle name="Normal 7 3 2 2 10" xfId="30648"/>
    <cellStyle name="Normal 7 3 2 2 10 2" xfId="30649"/>
    <cellStyle name="Normal 7 3 2 2 11" xfId="30650"/>
    <cellStyle name="Normal 7 3 2 2 2" xfId="30651"/>
    <cellStyle name="Normal 7 3 2 2 2 2" xfId="30652"/>
    <cellStyle name="Normal 7 3 2 2 3" xfId="30653"/>
    <cellStyle name="Normal 7 3 2 2 3 2" xfId="30654"/>
    <cellStyle name="Normal 7 3 2 2 4" xfId="30655"/>
    <cellStyle name="Normal 7 3 2 2 4 2" xfId="30656"/>
    <cellStyle name="Normal 7 3 2 2 5" xfId="30657"/>
    <cellStyle name="Normal 7 3 2 2 5 2" xfId="30658"/>
    <cellStyle name="Normal 7 3 2 2 6" xfId="30659"/>
    <cellStyle name="Normal 7 3 2 2 6 2" xfId="30660"/>
    <cellStyle name="Normal 7 3 2 2 7" xfId="30661"/>
    <cellStyle name="Normal 7 3 2 2 7 2" xfId="30662"/>
    <cellStyle name="Normal 7 3 2 2 8" xfId="30663"/>
    <cellStyle name="Normal 7 3 2 2 8 2" xfId="30664"/>
    <cellStyle name="Normal 7 3 2 2 9" xfId="30665"/>
    <cellStyle name="Normal 7 3 2 2 9 2" xfId="30666"/>
    <cellStyle name="Normal 7 3 2 3" xfId="30667"/>
    <cellStyle name="Normal 7 3 2 3 2" xfId="30668"/>
    <cellStyle name="Normal 7 3 2 4" xfId="30669"/>
    <cellStyle name="Normal 7 3 2 4 2" xfId="30670"/>
    <cellStyle name="Normal 7 3 2 5" xfId="30671"/>
    <cellStyle name="Normal 7 3 2 5 2" xfId="30672"/>
    <cellStyle name="Normal 7 3 2 6" xfId="30673"/>
    <cellStyle name="Normal 7 3 2 6 2" xfId="30674"/>
    <cellStyle name="Normal 7 3 2 7" xfId="30675"/>
    <cellStyle name="Normal 7 3 2 7 2" xfId="30676"/>
    <cellStyle name="Normal 7 3 2 8" xfId="30677"/>
    <cellStyle name="Normal 7 3 2 8 2" xfId="30678"/>
    <cellStyle name="Normal 7 3 2 9" xfId="30679"/>
    <cellStyle name="Normal 7 3 2 9 2" xfId="30680"/>
    <cellStyle name="Normal 7 3 3" xfId="30681"/>
    <cellStyle name="Normal 7 3 3 10" xfId="30682"/>
    <cellStyle name="Normal 7 3 3 10 2" xfId="30683"/>
    <cellStyle name="Normal 7 3 3 11" xfId="30684"/>
    <cellStyle name="Normal 7 3 3 2" xfId="30685"/>
    <cellStyle name="Normal 7 3 3 2 2" xfId="30686"/>
    <cellStyle name="Normal 7 3 3 3" xfId="30687"/>
    <cellStyle name="Normal 7 3 3 3 2" xfId="30688"/>
    <cellStyle name="Normal 7 3 3 4" xfId="30689"/>
    <cellStyle name="Normal 7 3 3 4 2" xfId="30690"/>
    <cellStyle name="Normal 7 3 3 5" xfId="30691"/>
    <cellStyle name="Normal 7 3 3 5 2" xfId="30692"/>
    <cellStyle name="Normal 7 3 3 6" xfId="30693"/>
    <cellStyle name="Normal 7 3 3 6 2" xfId="30694"/>
    <cellStyle name="Normal 7 3 3 7" xfId="30695"/>
    <cellStyle name="Normal 7 3 3 7 2" xfId="30696"/>
    <cellStyle name="Normal 7 3 3 8" xfId="30697"/>
    <cellStyle name="Normal 7 3 3 8 2" xfId="30698"/>
    <cellStyle name="Normal 7 3 3 9" xfId="30699"/>
    <cellStyle name="Normal 7 3 3 9 2" xfId="30700"/>
    <cellStyle name="Normal 7 3 4" xfId="30701"/>
    <cellStyle name="Normal 7 3 4 2" xfId="30702"/>
    <cellStyle name="Normal 7 3 5" xfId="30703"/>
    <cellStyle name="Normal 7 3 5 2" xfId="30704"/>
    <cellStyle name="Normal 7 3 6" xfId="30705"/>
    <cellStyle name="Normal 7 3 6 2" xfId="30706"/>
    <cellStyle name="Normal 7 3 7" xfId="30707"/>
    <cellStyle name="Normal 7 3 7 2" xfId="30708"/>
    <cellStyle name="Normal 7 3 8" xfId="30709"/>
    <cellStyle name="Normal 7 3 8 2" xfId="30710"/>
    <cellStyle name="Normal 7 3 9" xfId="30711"/>
    <cellStyle name="Normal 7 3 9 2" xfId="30712"/>
    <cellStyle name="Normal 7 4" xfId="30713"/>
    <cellStyle name="Normal 7 4 10" xfId="30714"/>
    <cellStyle name="Normal 7 4 10 2" xfId="30715"/>
    <cellStyle name="Normal 7 4 11" xfId="30716"/>
    <cellStyle name="Normal 7 4 11 2" xfId="30717"/>
    <cellStyle name="Normal 7 4 12" xfId="30718"/>
    <cellStyle name="Normal 7 4 12 2" xfId="30719"/>
    <cellStyle name="Normal 7 4 13" xfId="30720"/>
    <cellStyle name="Normal 7 4 2" xfId="30721"/>
    <cellStyle name="Normal 7 4 2 10" xfId="30722"/>
    <cellStyle name="Normal 7 4 2 10 2" xfId="30723"/>
    <cellStyle name="Normal 7 4 2 11" xfId="30724"/>
    <cellStyle name="Normal 7 4 2 11 2" xfId="30725"/>
    <cellStyle name="Normal 7 4 2 12" xfId="30726"/>
    <cellStyle name="Normal 7 4 2 2" xfId="30727"/>
    <cellStyle name="Normal 7 4 2 2 10" xfId="30728"/>
    <cellStyle name="Normal 7 4 2 2 10 2" xfId="30729"/>
    <cellStyle name="Normal 7 4 2 2 11" xfId="30730"/>
    <cellStyle name="Normal 7 4 2 2 2" xfId="30731"/>
    <cellStyle name="Normal 7 4 2 2 2 2" xfId="30732"/>
    <cellStyle name="Normal 7 4 2 2 3" xfId="30733"/>
    <cellStyle name="Normal 7 4 2 2 3 2" xfId="30734"/>
    <cellStyle name="Normal 7 4 2 2 4" xfId="30735"/>
    <cellStyle name="Normal 7 4 2 2 4 2" xfId="30736"/>
    <cellStyle name="Normal 7 4 2 2 5" xfId="30737"/>
    <cellStyle name="Normal 7 4 2 2 5 2" xfId="30738"/>
    <cellStyle name="Normal 7 4 2 2 6" xfId="30739"/>
    <cellStyle name="Normal 7 4 2 2 6 2" xfId="30740"/>
    <cellStyle name="Normal 7 4 2 2 7" xfId="30741"/>
    <cellStyle name="Normal 7 4 2 2 7 2" xfId="30742"/>
    <cellStyle name="Normal 7 4 2 2 8" xfId="30743"/>
    <cellStyle name="Normal 7 4 2 2 8 2" xfId="30744"/>
    <cellStyle name="Normal 7 4 2 2 9" xfId="30745"/>
    <cellStyle name="Normal 7 4 2 2 9 2" xfId="30746"/>
    <cellStyle name="Normal 7 4 2 3" xfId="30747"/>
    <cellStyle name="Normal 7 4 2 3 2" xfId="30748"/>
    <cellStyle name="Normal 7 4 2 4" xfId="30749"/>
    <cellStyle name="Normal 7 4 2 4 2" xfId="30750"/>
    <cellStyle name="Normal 7 4 2 5" xfId="30751"/>
    <cellStyle name="Normal 7 4 2 5 2" xfId="30752"/>
    <cellStyle name="Normal 7 4 2 6" xfId="30753"/>
    <cellStyle name="Normal 7 4 2 6 2" xfId="30754"/>
    <cellStyle name="Normal 7 4 2 7" xfId="30755"/>
    <cellStyle name="Normal 7 4 2 7 2" xfId="30756"/>
    <cellStyle name="Normal 7 4 2 8" xfId="30757"/>
    <cellStyle name="Normal 7 4 2 8 2" xfId="30758"/>
    <cellStyle name="Normal 7 4 2 9" xfId="30759"/>
    <cellStyle name="Normal 7 4 2 9 2" xfId="30760"/>
    <cellStyle name="Normal 7 4 3" xfId="30761"/>
    <cellStyle name="Normal 7 4 3 10" xfId="30762"/>
    <cellStyle name="Normal 7 4 3 10 2" xfId="30763"/>
    <cellStyle name="Normal 7 4 3 11" xfId="30764"/>
    <cellStyle name="Normal 7 4 3 2" xfId="30765"/>
    <cellStyle name="Normal 7 4 3 2 2" xfId="30766"/>
    <cellStyle name="Normal 7 4 3 3" xfId="30767"/>
    <cellStyle name="Normal 7 4 3 3 2" xfId="30768"/>
    <cellStyle name="Normal 7 4 3 4" xfId="30769"/>
    <cellStyle name="Normal 7 4 3 4 2" xfId="30770"/>
    <cellStyle name="Normal 7 4 3 5" xfId="30771"/>
    <cellStyle name="Normal 7 4 3 5 2" xfId="30772"/>
    <cellStyle name="Normal 7 4 3 6" xfId="30773"/>
    <cellStyle name="Normal 7 4 3 6 2" xfId="30774"/>
    <cellStyle name="Normal 7 4 3 7" xfId="30775"/>
    <cellStyle name="Normal 7 4 3 7 2" xfId="30776"/>
    <cellStyle name="Normal 7 4 3 8" xfId="30777"/>
    <cellStyle name="Normal 7 4 3 8 2" xfId="30778"/>
    <cellStyle name="Normal 7 4 3 9" xfId="30779"/>
    <cellStyle name="Normal 7 4 3 9 2" xfId="30780"/>
    <cellStyle name="Normal 7 4 4" xfId="30781"/>
    <cellStyle name="Normal 7 4 4 2" xfId="30782"/>
    <cellStyle name="Normal 7 4 5" xfId="30783"/>
    <cellStyle name="Normal 7 4 5 2" xfId="30784"/>
    <cellStyle name="Normal 7 4 6" xfId="30785"/>
    <cellStyle name="Normal 7 4 6 2" xfId="30786"/>
    <cellStyle name="Normal 7 4 7" xfId="30787"/>
    <cellStyle name="Normal 7 4 7 2" xfId="30788"/>
    <cellStyle name="Normal 7 4 8" xfId="30789"/>
    <cellStyle name="Normal 7 4 8 2" xfId="30790"/>
    <cellStyle name="Normal 7 4 9" xfId="30791"/>
    <cellStyle name="Normal 7 4 9 2" xfId="30792"/>
    <cellStyle name="Normal 7 5" xfId="30793"/>
    <cellStyle name="Normal 7 5 10" xfId="30794"/>
    <cellStyle name="Normal 7 5 10 2" xfId="30795"/>
    <cellStyle name="Normal 7 5 11" xfId="30796"/>
    <cellStyle name="Normal 7 5 11 2" xfId="30797"/>
    <cellStyle name="Normal 7 5 12" xfId="30798"/>
    <cellStyle name="Normal 7 5 12 2" xfId="30799"/>
    <cellStyle name="Normal 7 5 13" xfId="30800"/>
    <cellStyle name="Normal 7 5 2" xfId="30801"/>
    <cellStyle name="Normal 7 5 2 10" xfId="30802"/>
    <cellStyle name="Normal 7 5 2 10 2" xfId="30803"/>
    <cellStyle name="Normal 7 5 2 11" xfId="30804"/>
    <cellStyle name="Normal 7 5 2 11 2" xfId="30805"/>
    <cellStyle name="Normal 7 5 2 12" xfId="30806"/>
    <cellStyle name="Normal 7 5 2 2" xfId="30807"/>
    <cellStyle name="Normal 7 5 2 2 10" xfId="30808"/>
    <cellStyle name="Normal 7 5 2 2 10 2" xfId="30809"/>
    <cellStyle name="Normal 7 5 2 2 11" xfId="30810"/>
    <cellStyle name="Normal 7 5 2 2 2" xfId="30811"/>
    <cellStyle name="Normal 7 5 2 2 2 2" xfId="30812"/>
    <cellStyle name="Normal 7 5 2 2 3" xfId="30813"/>
    <cellStyle name="Normal 7 5 2 2 3 2" xfId="30814"/>
    <cellStyle name="Normal 7 5 2 2 4" xfId="30815"/>
    <cellStyle name="Normal 7 5 2 2 4 2" xfId="30816"/>
    <cellStyle name="Normal 7 5 2 2 5" xfId="30817"/>
    <cellStyle name="Normal 7 5 2 2 5 2" xfId="30818"/>
    <cellStyle name="Normal 7 5 2 2 6" xfId="30819"/>
    <cellStyle name="Normal 7 5 2 2 6 2" xfId="30820"/>
    <cellStyle name="Normal 7 5 2 2 7" xfId="30821"/>
    <cellStyle name="Normal 7 5 2 2 7 2" xfId="30822"/>
    <cellStyle name="Normal 7 5 2 2 8" xfId="30823"/>
    <cellStyle name="Normal 7 5 2 2 8 2" xfId="30824"/>
    <cellStyle name="Normal 7 5 2 2 9" xfId="30825"/>
    <cellStyle name="Normal 7 5 2 2 9 2" xfId="30826"/>
    <cellStyle name="Normal 7 5 2 3" xfId="30827"/>
    <cellStyle name="Normal 7 5 2 3 2" xfId="30828"/>
    <cellStyle name="Normal 7 5 2 4" xfId="30829"/>
    <cellStyle name="Normal 7 5 2 4 2" xfId="30830"/>
    <cellStyle name="Normal 7 5 2 5" xfId="30831"/>
    <cellStyle name="Normal 7 5 2 5 2" xfId="30832"/>
    <cellStyle name="Normal 7 5 2 6" xfId="30833"/>
    <cellStyle name="Normal 7 5 2 6 2" xfId="30834"/>
    <cellStyle name="Normal 7 5 2 7" xfId="30835"/>
    <cellStyle name="Normal 7 5 2 7 2" xfId="30836"/>
    <cellStyle name="Normal 7 5 2 8" xfId="30837"/>
    <cellStyle name="Normal 7 5 2 8 2" xfId="30838"/>
    <cellStyle name="Normal 7 5 2 9" xfId="30839"/>
    <cellStyle name="Normal 7 5 2 9 2" xfId="30840"/>
    <cellStyle name="Normal 7 5 3" xfId="30841"/>
    <cellStyle name="Normal 7 5 3 10" xfId="30842"/>
    <cellStyle name="Normal 7 5 3 10 2" xfId="30843"/>
    <cellStyle name="Normal 7 5 3 11" xfId="30844"/>
    <cellStyle name="Normal 7 5 3 2" xfId="30845"/>
    <cellStyle name="Normal 7 5 3 2 2" xfId="30846"/>
    <cellStyle name="Normal 7 5 3 3" xfId="30847"/>
    <cellStyle name="Normal 7 5 3 3 2" xfId="30848"/>
    <cellStyle name="Normal 7 5 3 4" xfId="30849"/>
    <cellStyle name="Normal 7 5 3 4 2" xfId="30850"/>
    <cellStyle name="Normal 7 5 3 5" xfId="30851"/>
    <cellStyle name="Normal 7 5 3 5 2" xfId="30852"/>
    <cellStyle name="Normal 7 5 3 6" xfId="30853"/>
    <cellStyle name="Normal 7 5 3 6 2" xfId="30854"/>
    <cellStyle name="Normal 7 5 3 7" xfId="30855"/>
    <cellStyle name="Normal 7 5 3 7 2" xfId="30856"/>
    <cellStyle name="Normal 7 5 3 8" xfId="30857"/>
    <cellStyle name="Normal 7 5 3 8 2" xfId="30858"/>
    <cellStyle name="Normal 7 5 3 9" xfId="30859"/>
    <cellStyle name="Normal 7 5 3 9 2" xfId="30860"/>
    <cellStyle name="Normal 7 5 4" xfId="30861"/>
    <cellStyle name="Normal 7 5 4 2" xfId="30862"/>
    <cellStyle name="Normal 7 5 5" xfId="30863"/>
    <cellStyle name="Normal 7 5 5 2" xfId="30864"/>
    <cellStyle name="Normal 7 5 6" xfId="30865"/>
    <cellStyle name="Normal 7 5 6 2" xfId="30866"/>
    <cellStyle name="Normal 7 5 7" xfId="30867"/>
    <cellStyle name="Normal 7 5 7 2" xfId="30868"/>
    <cellStyle name="Normal 7 5 8" xfId="30869"/>
    <cellStyle name="Normal 7 5 8 2" xfId="30870"/>
    <cellStyle name="Normal 7 5 9" xfId="30871"/>
    <cellStyle name="Normal 7 5 9 2" xfId="30872"/>
    <cellStyle name="Normal 7 6" xfId="30873"/>
    <cellStyle name="Normal 7 6 10" xfId="30874"/>
    <cellStyle name="Normal 7 6 10 2" xfId="30875"/>
    <cellStyle name="Normal 7 6 11" xfId="30876"/>
    <cellStyle name="Normal 7 6 11 2" xfId="30877"/>
    <cellStyle name="Normal 7 6 12" xfId="30878"/>
    <cellStyle name="Normal 7 6 12 2" xfId="30879"/>
    <cellStyle name="Normal 7 6 13" xfId="30880"/>
    <cellStyle name="Normal 7 6 2" xfId="30881"/>
    <cellStyle name="Normal 7 6 2 10" xfId="30882"/>
    <cellStyle name="Normal 7 6 2 10 2" xfId="30883"/>
    <cellStyle name="Normal 7 6 2 11" xfId="30884"/>
    <cellStyle name="Normal 7 6 2 11 2" xfId="30885"/>
    <cellStyle name="Normal 7 6 2 12" xfId="30886"/>
    <cellStyle name="Normal 7 6 2 2" xfId="30887"/>
    <cellStyle name="Normal 7 6 2 2 10" xfId="30888"/>
    <cellStyle name="Normal 7 6 2 2 10 2" xfId="30889"/>
    <cellStyle name="Normal 7 6 2 2 11" xfId="30890"/>
    <cellStyle name="Normal 7 6 2 2 2" xfId="30891"/>
    <cellStyle name="Normal 7 6 2 2 2 2" xfId="30892"/>
    <cellStyle name="Normal 7 6 2 2 3" xfId="30893"/>
    <cellStyle name="Normal 7 6 2 2 3 2" xfId="30894"/>
    <cellStyle name="Normal 7 6 2 2 4" xfId="30895"/>
    <cellStyle name="Normal 7 6 2 2 4 2" xfId="30896"/>
    <cellStyle name="Normal 7 6 2 2 5" xfId="30897"/>
    <cellStyle name="Normal 7 6 2 2 5 2" xfId="30898"/>
    <cellStyle name="Normal 7 6 2 2 6" xfId="30899"/>
    <cellStyle name="Normal 7 6 2 2 6 2" xfId="30900"/>
    <cellStyle name="Normal 7 6 2 2 7" xfId="30901"/>
    <cellStyle name="Normal 7 6 2 2 7 2" xfId="30902"/>
    <cellStyle name="Normal 7 6 2 2 8" xfId="30903"/>
    <cellStyle name="Normal 7 6 2 2 8 2" xfId="30904"/>
    <cellStyle name="Normal 7 6 2 2 9" xfId="30905"/>
    <cellStyle name="Normal 7 6 2 2 9 2" xfId="30906"/>
    <cellStyle name="Normal 7 6 2 3" xfId="30907"/>
    <cellStyle name="Normal 7 6 2 3 2" xfId="30908"/>
    <cellStyle name="Normal 7 6 2 4" xfId="30909"/>
    <cellStyle name="Normal 7 6 2 4 2" xfId="30910"/>
    <cellStyle name="Normal 7 6 2 5" xfId="30911"/>
    <cellStyle name="Normal 7 6 2 5 2" xfId="30912"/>
    <cellStyle name="Normal 7 6 2 6" xfId="30913"/>
    <cellStyle name="Normal 7 6 2 6 2" xfId="30914"/>
    <cellStyle name="Normal 7 6 2 7" xfId="30915"/>
    <cellStyle name="Normal 7 6 2 7 2" xfId="30916"/>
    <cellStyle name="Normal 7 6 2 8" xfId="30917"/>
    <cellStyle name="Normal 7 6 2 8 2" xfId="30918"/>
    <cellStyle name="Normal 7 6 2 9" xfId="30919"/>
    <cellStyle name="Normal 7 6 2 9 2" xfId="30920"/>
    <cellStyle name="Normal 7 6 3" xfId="30921"/>
    <cellStyle name="Normal 7 6 3 10" xfId="30922"/>
    <cellStyle name="Normal 7 6 3 10 2" xfId="30923"/>
    <cellStyle name="Normal 7 6 3 11" xfId="30924"/>
    <cellStyle name="Normal 7 6 3 2" xfId="30925"/>
    <cellStyle name="Normal 7 6 3 2 2" xfId="30926"/>
    <cellStyle name="Normal 7 6 3 3" xfId="30927"/>
    <cellStyle name="Normal 7 6 3 3 2" xfId="30928"/>
    <cellStyle name="Normal 7 6 3 4" xfId="30929"/>
    <cellStyle name="Normal 7 6 3 4 2" xfId="30930"/>
    <cellStyle name="Normal 7 6 3 5" xfId="30931"/>
    <cellStyle name="Normal 7 6 3 5 2" xfId="30932"/>
    <cellStyle name="Normal 7 6 3 6" xfId="30933"/>
    <cellStyle name="Normal 7 6 3 6 2" xfId="30934"/>
    <cellStyle name="Normal 7 6 3 7" xfId="30935"/>
    <cellStyle name="Normal 7 6 3 7 2" xfId="30936"/>
    <cellStyle name="Normal 7 6 3 8" xfId="30937"/>
    <cellStyle name="Normal 7 6 3 8 2" xfId="30938"/>
    <cellStyle name="Normal 7 6 3 9" xfId="30939"/>
    <cellStyle name="Normal 7 6 3 9 2" xfId="30940"/>
    <cellStyle name="Normal 7 6 4" xfId="30941"/>
    <cellStyle name="Normal 7 6 4 2" xfId="30942"/>
    <cellStyle name="Normal 7 6 5" xfId="30943"/>
    <cellStyle name="Normal 7 6 5 2" xfId="30944"/>
    <cellStyle name="Normal 7 6 6" xfId="30945"/>
    <cellStyle name="Normal 7 6 6 2" xfId="30946"/>
    <cellStyle name="Normal 7 6 7" xfId="30947"/>
    <cellStyle name="Normal 7 6 7 2" xfId="30948"/>
    <cellStyle name="Normal 7 6 8" xfId="30949"/>
    <cellStyle name="Normal 7 6 8 2" xfId="30950"/>
    <cellStyle name="Normal 7 6 9" xfId="30951"/>
    <cellStyle name="Normal 7 6 9 2" xfId="30952"/>
    <cellStyle name="Normal 7 7" xfId="30953"/>
    <cellStyle name="Normal 7 7 10" xfId="30954"/>
    <cellStyle name="Normal 7 7 10 2" xfId="30955"/>
    <cellStyle name="Normal 7 7 11" xfId="30956"/>
    <cellStyle name="Normal 7 7 11 2" xfId="30957"/>
    <cellStyle name="Normal 7 7 12" xfId="30958"/>
    <cellStyle name="Normal 7 7 2" xfId="30959"/>
    <cellStyle name="Normal 7 7 2 10" xfId="30960"/>
    <cellStyle name="Normal 7 7 2 10 2" xfId="30961"/>
    <cellStyle name="Normal 7 7 2 11" xfId="30962"/>
    <cellStyle name="Normal 7 7 2 2" xfId="30963"/>
    <cellStyle name="Normal 7 7 2 2 2" xfId="30964"/>
    <cellStyle name="Normal 7 7 2 3" xfId="30965"/>
    <cellStyle name="Normal 7 7 2 3 2" xfId="30966"/>
    <cellStyle name="Normal 7 7 2 4" xfId="30967"/>
    <cellStyle name="Normal 7 7 2 4 2" xfId="30968"/>
    <cellStyle name="Normal 7 7 2 5" xfId="30969"/>
    <cellStyle name="Normal 7 7 2 5 2" xfId="30970"/>
    <cellStyle name="Normal 7 7 2 6" xfId="30971"/>
    <cellStyle name="Normal 7 7 2 6 2" xfId="30972"/>
    <cellStyle name="Normal 7 7 2 7" xfId="30973"/>
    <cellStyle name="Normal 7 7 2 7 2" xfId="30974"/>
    <cellStyle name="Normal 7 7 2 8" xfId="30975"/>
    <cellStyle name="Normal 7 7 2 8 2" xfId="30976"/>
    <cellStyle name="Normal 7 7 2 9" xfId="30977"/>
    <cellStyle name="Normal 7 7 2 9 2" xfId="30978"/>
    <cellStyle name="Normal 7 7 3" xfId="30979"/>
    <cellStyle name="Normal 7 7 3 2" xfId="30980"/>
    <cellStyle name="Normal 7 7 4" xfId="30981"/>
    <cellStyle name="Normal 7 7 4 2" xfId="30982"/>
    <cellStyle name="Normal 7 7 5" xfId="30983"/>
    <cellStyle name="Normal 7 7 5 2" xfId="30984"/>
    <cellStyle name="Normal 7 7 6" xfId="30985"/>
    <cellStyle name="Normal 7 7 6 2" xfId="30986"/>
    <cellStyle name="Normal 7 7 7" xfId="30987"/>
    <cellStyle name="Normal 7 7 7 2" xfId="30988"/>
    <cellStyle name="Normal 7 7 8" xfId="30989"/>
    <cellStyle name="Normal 7 7 8 2" xfId="30990"/>
    <cellStyle name="Normal 7 7 9" xfId="30991"/>
    <cellStyle name="Normal 7 7 9 2" xfId="30992"/>
    <cellStyle name="Normal 7 8" xfId="30993"/>
    <cellStyle name="Normal 7 8 10" xfId="30994"/>
    <cellStyle name="Normal 7 8 10 2" xfId="30995"/>
    <cellStyle name="Normal 7 8 11" xfId="30996"/>
    <cellStyle name="Normal 7 8 2" xfId="30997"/>
    <cellStyle name="Normal 7 8 2 2" xfId="30998"/>
    <cellStyle name="Normal 7 8 3" xfId="30999"/>
    <cellStyle name="Normal 7 8 3 2" xfId="31000"/>
    <cellStyle name="Normal 7 8 4" xfId="31001"/>
    <cellStyle name="Normal 7 8 4 2" xfId="31002"/>
    <cellStyle name="Normal 7 8 5" xfId="31003"/>
    <cellStyle name="Normal 7 8 5 2" xfId="31004"/>
    <cellStyle name="Normal 7 8 6" xfId="31005"/>
    <cellStyle name="Normal 7 8 6 2" xfId="31006"/>
    <cellStyle name="Normal 7 8 7" xfId="31007"/>
    <cellStyle name="Normal 7 8 7 2" xfId="31008"/>
    <cellStyle name="Normal 7 8 8" xfId="31009"/>
    <cellStyle name="Normal 7 8 8 2" xfId="31010"/>
    <cellStyle name="Normal 7 8 9" xfId="31011"/>
    <cellStyle name="Normal 7 8 9 2" xfId="31012"/>
    <cellStyle name="Normal 7 9" xfId="31013"/>
    <cellStyle name="Normal 7 9 2" xfId="31014"/>
    <cellStyle name="Normal 8" xfId="257"/>
    <cellStyle name="Normal 8 10" xfId="31015"/>
    <cellStyle name="Normal 8 10 2" xfId="31016"/>
    <cellStyle name="Normal 8 11" xfId="31017"/>
    <cellStyle name="Normal 8 11 2" xfId="31018"/>
    <cellStyle name="Normal 8 12" xfId="31019"/>
    <cellStyle name="Normal 8 12 2" xfId="31020"/>
    <cellStyle name="Normal 8 13" xfId="31021"/>
    <cellStyle name="Normal 8 13 2" xfId="31022"/>
    <cellStyle name="Normal 8 14" xfId="31023"/>
    <cellStyle name="Normal 8 14 2" xfId="31024"/>
    <cellStyle name="Normal 8 15" xfId="31025"/>
    <cellStyle name="Normal 8 15 2" xfId="31026"/>
    <cellStyle name="Normal 8 16" xfId="31027"/>
    <cellStyle name="Normal 8 16 2" xfId="31028"/>
    <cellStyle name="Normal 8 17" xfId="31029"/>
    <cellStyle name="Normal 8 17 2" xfId="31030"/>
    <cellStyle name="Normal 8 18" xfId="31031"/>
    <cellStyle name="Normal 8 19" xfId="31032"/>
    <cellStyle name="Normal 8 2" xfId="31033"/>
    <cellStyle name="Normal 8 2 10" xfId="31034"/>
    <cellStyle name="Normal 8 2 10 2" xfId="31035"/>
    <cellStyle name="Normal 8 2 11" xfId="31036"/>
    <cellStyle name="Normal 8 2 11 2" xfId="31037"/>
    <cellStyle name="Normal 8 2 12" xfId="31038"/>
    <cellStyle name="Normal 8 2 12 2" xfId="31039"/>
    <cellStyle name="Normal 8 2 13" xfId="31040"/>
    <cellStyle name="Normal 8 2 13 2" xfId="31041"/>
    <cellStyle name="Normal 8 2 14" xfId="31042"/>
    <cellStyle name="Normal 8 2 2" xfId="31043"/>
    <cellStyle name="Normal 8 2 3" xfId="31044"/>
    <cellStyle name="Normal 8 2 3 10" xfId="31045"/>
    <cellStyle name="Normal 8 2 3 10 2" xfId="31046"/>
    <cellStyle name="Normal 8 2 3 11" xfId="31047"/>
    <cellStyle name="Normal 8 2 3 11 2" xfId="31048"/>
    <cellStyle name="Normal 8 2 3 12" xfId="31049"/>
    <cellStyle name="Normal 8 2 3 2" xfId="31050"/>
    <cellStyle name="Normal 8 2 3 2 10" xfId="31051"/>
    <cellStyle name="Normal 8 2 3 2 10 2" xfId="31052"/>
    <cellStyle name="Normal 8 2 3 2 11" xfId="31053"/>
    <cellStyle name="Normal 8 2 3 2 2" xfId="31054"/>
    <cellStyle name="Normal 8 2 3 2 2 2" xfId="31055"/>
    <cellStyle name="Normal 8 2 3 2 3" xfId="31056"/>
    <cellStyle name="Normal 8 2 3 2 3 2" xfId="31057"/>
    <cellStyle name="Normal 8 2 3 2 4" xfId="31058"/>
    <cellStyle name="Normal 8 2 3 2 4 2" xfId="31059"/>
    <cellStyle name="Normal 8 2 3 2 5" xfId="31060"/>
    <cellStyle name="Normal 8 2 3 2 5 2" xfId="31061"/>
    <cellStyle name="Normal 8 2 3 2 6" xfId="31062"/>
    <cellStyle name="Normal 8 2 3 2 6 2" xfId="31063"/>
    <cellStyle name="Normal 8 2 3 2 7" xfId="31064"/>
    <cellStyle name="Normal 8 2 3 2 7 2" xfId="31065"/>
    <cellStyle name="Normal 8 2 3 2 8" xfId="31066"/>
    <cellStyle name="Normal 8 2 3 2 8 2" xfId="31067"/>
    <cellStyle name="Normal 8 2 3 2 9" xfId="31068"/>
    <cellStyle name="Normal 8 2 3 2 9 2" xfId="31069"/>
    <cellStyle name="Normal 8 2 3 3" xfId="31070"/>
    <cellStyle name="Normal 8 2 3 3 2" xfId="31071"/>
    <cellStyle name="Normal 8 2 3 4" xfId="31072"/>
    <cellStyle name="Normal 8 2 3 4 2" xfId="31073"/>
    <cellStyle name="Normal 8 2 3 5" xfId="31074"/>
    <cellStyle name="Normal 8 2 3 5 2" xfId="31075"/>
    <cellStyle name="Normal 8 2 3 6" xfId="31076"/>
    <cellStyle name="Normal 8 2 3 6 2" xfId="31077"/>
    <cellStyle name="Normal 8 2 3 7" xfId="31078"/>
    <cellStyle name="Normal 8 2 3 7 2" xfId="31079"/>
    <cellStyle name="Normal 8 2 3 8" xfId="31080"/>
    <cellStyle name="Normal 8 2 3 8 2" xfId="31081"/>
    <cellStyle name="Normal 8 2 3 9" xfId="31082"/>
    <cellStyle name="Normal 8 2 3 9 2" xfId="31083"/>
    <cellStyle name="Normal 8 2 4" xfId="31084"/>
    <cellStyle name="Normal 8 2 4 10" xfId="31085"/>
    <cellStyle name="Normal 8 2 4 10 2" xfId="31086"/>
    <cellStyle name="Normal 8 2 4 11" xfId="31087"/>
    <cellStyle name="Normal 8 2 4 2" xfId="31088"/>
    <cellStyle name="Normal 8 2 4 2 2" xfId="31089"/>
    <cellStyle name="Normal 8 2 4 3" xfId="31090"/>
    <cellStyle name="Normal 8 2 4 3 2" xfId="31091"/>
    <cellStyle name="Normal 8 2 4 4" xfId="31092"/>
    <cellStyle name="Normal 8 2 4 4 2" xfId="31093"/>
    <cellStyle name="Normal 8 2 4 5" xfId="31094"/>
    <cellStyle name="Normal 8 2 4 5 2" xfId="31095"/>
    <cellStyle name="Normal 8 2 4 6" xfId="31096"/>
    <cellStyle name="Normal 8 2 4 6 2" xfId="31097"/>
    <cellStyle name="Normal 8 2 4 7" xfId="31098"/>
    <cellStyle name="Normal 8 2 4 7 2" xfId="31099"/>
    <cellStyle name="Normal 8 2 4 8" xfId="31100"/>
    <cellStyle name="Normal 8 2 4 8 2" xfId="31101"/>
    <cellStyle name="Normal 8 2 4 9" xfId="31102"/>
    <cellStyle name="Normal 8 2 4 9 2" xfId="31103"/>
    <cellStyle name="Normal 8 2 5" xfId="31104"/>
    <cellStyle name="Normal 8 2 5 2" xfId="31105"/>
    <cellStyle name="Normal 8 2 6" xfId="31106"/>
    <cellStyle name="Normal 8 2 6 2" xfId="31107"/>
    <cellStyle name="Normal 8 2 7" xfId="31108"/>
    <cellStyle name="Normal 8 2 7 2" xfId="31109"/>
    <cellStyle name="Normal 8 2 8" xfId="31110"/>
    <cellStyle name="Normal 8 2 8 2" xfId="31111"/>
    <cellStyle name="Normal 8 2 9" xfId="31112"/>
    <cellStyle name="Normal 8 2 9 2" xfId="31113"/>
    <cellStyle name="Normal 8 20" xfId="31114"/>
    <cellStyle name="Normal 8 3" xfId="31115"/>
    <cellStyle name="Normal 8 4" xfId="31116"/>
    <cellStyle name="Normal 8 5" xfId="31117"/>
    <cellStyle name="Normal 8 6" xfId="31118"/>
    <cellStyle name="Normal 8 7" xfId="31119"/>
    <cellStyle name="Normal 8 7 10" xfId="31120"/>
    <cellStyle name="Normal 8 7 10 2" xfId="31121"/>
    <cellStyle name="Normal 8 7 11" xfId="31122"/>
    <cellStyle name="Normal 8 7 11 2" xfId="31123"/>
    <cellStyle name="Normal 8 7 12" xfId="31124"/>
    <cellStyle name="Normal 8 7 2" xfId="31125"/>
    <cellStyle name="Normal 8 7 2 10" xfId="31126"/>
    <cellStyle name="Normal 8 7 2 10 2" xfId="31127"/>
    <cellStyle name="Normal 8 7 2 11" xfId="31128"/>
    <cellStyle name="Normal 8 7 2 2" xfId="31129"/>
    <cellStyle name="Normal 8 7 2 2 2" xfId="31130"/>
    <cellStyle name="Normal 8 7 2 3" xfId="31131"/>
    <cellStyle name="Normal 8 7 2 3 2" xfId="31132"/>
    <cellStyle name="Normal 8 7 2 4" xfId="31133"/>
    <cellStyle name="Normal 8 7 2 4 2" xfId="31134"/>
    <cellStyle name="Normal 8 7 2 5" xfId="31135"/>
    <cellStyle name="Normal 8 7 2 5 2" xfId="31136"/>
    <cellStyle name="Normal 8 7 2 6" xfId="31137"/>
    <cellStyle name="Normal 8 7 2 6 2" xfId="31138"/>
    <cellStyle name="Normal 8 7 2 7" xfId="31139"/>
    <cellStyle name="Normal 8 7 2 7 2" xfId="31140"/>
    <cellStyle name="Normal 8 7 2 8" xfId="31141"/>
    <cellStyle name="Normal 8 7 2 8 2" xfId="31142"/>
    <cellStyle name="Normal 8 7 2 9" xfId="31143"/>
    <cellStyle name="Normal 8 7 2 9 2" xfId="31144"/>
    <cellStyle name="Normal 8 7 3" xfId="31145"/>
    <cellStyle name="Normal 8 7 3 2" xfId="31146"/>
    <cellStyle name="Normal 8 7 4" xfId="31147"/>
    <cellStyle name="Normal 8 7 4 2" xfId="31148"/>
    <cellStyle name="Normal 8 7 5" xfId="31149"/>
    <cellStyle name="Normal 8 7 5 2" xfId="31150"/>
    <cellStyle name="Normal 8 7 6" xfId="31151"/>
    <cellStyle name="Normal 8 7 6 2" xfId="31152"/>
    <cellStyle name="Normal 8 7 7" xfId="31153"/>
    <cellStyle name="Normal 8 7 7 2" xfId="31154"/>
    <cellStyle name="Normal 8 7 8" xfId="31155"/>
    <cellStyle name="Normal 8 7 8 2" xfId="31156"/>
    <cellStyle name="Normal 8 7 9" xfId="31157"/>
    <cellStyle name="Normal 8 7 9 2" xfId="31158"/>
    <cellStyle name="Normal 8 8" xfId="31159"/>
    <cellStyle name="Normal 8 8 10" xfId="31160"/>
    <cellStyle name="Normal 8 8 10 2" xfId="31161"/>
    <cellStyle name="Normal 8 8 11" xfId="31162"/>
    <cellStyle name="Normal 8 8 2" xfId="31163"/>
    <cellStyle name="Normal 8 8 2 2" xfId="31164"/>
    <cellStyle name="Normal 8 8 3" xfId="31165"/>
    <cellStyle name="Normal 8 8 3 2" xfId="31166"/>
    <cellStyle name="Normal 8 8 4" xfId="31167"/>
    <cellStyle name="Normal 8 8 4 2" xfId="31168"/>
    <cellStyle name="Normal 8 8 5" xfId="31169"/>
    <cellStyle name="Normal 8 8 5 2" xfId="31170"/>
    <cellStyle name="Normal 8 8 6" xfId="31171"/>
    <cellStyle name="Normal 8 8 6 2" xfId="31172"/>
    <cellStyle name="Normal 8 8 7" xfId="31173"/>
    <cellStyle name="Normal 8 8 7 2" xfId="31174"/>
    <cellStyle name="Normal 8 8 8" xfId="31175"/>
    <cellStyle name="Normal 8 8 8 2" xfId="31176"/>
    <cellStyle name="Normal 8 8 9" xfId="31177"/>
    <cellStyle name="Normal 8 8 9 2" xfId="31178"/>
    <cellStyle name="Normal 8 9" xfId="31179"/>
    <cellStyle name="Normal 8 9 2" xfId="31180"/>
    <cellStyle name="Normal 9" xfId="31181"/>
    <cellStyle name="Normal 9 10" xfId="31182"/>
    <cellStyle name="Normal 9 10 2" xfId="31183"/>
    <cellStyle name="Normal 9 11" xfId="31184"/>
    <cellStyle name="Normal 9 11 2" xfId="31185"/>
    <cellStyle name="Normal 9 12" xfId="31186"/>
    <cellStyle name="Normal 9 12 2" xfId="31187"/>
    <cellStyle name="Normal 9 13" xfId="31188"/>
    <cellStyle name="Normal 9 13 2" xfId="31189"/>
    <cellStyle name="Normal 9 14" xfId="31190"/>
    <cellStyle name="Normal 9 2" xfId="31191"/>
    <cellStyle name="Normal 9 2 10" xfId="31192"/>
    <cellStyle name="Normal 9 2 10 2" xfId="31193"/>
    <cellStyle name="Normal 9 2 11" xfId="31194"/>
    <cellStyle name="Normal 9 2 11 2" xfId="31195"/>
    <cellStyle name="Normal 9 2 12" xfId="31196"/>
    <cellStyle name="Normal 9 2 12 2" xfId="31197"/>
    <cellStyle name="Normal 9 2 13" xfId="31198"/>
    <cellStyle name="Normal 9 2 2" xfId="31199"/>
    <cellStyle name="Normal 9 2 2 10" xfId="31200"/>
    <cellStyle name="Normal 9 2 2 10 2" xfId="31201"/>
    <cellStyle name="Normal 9 2 2 11" xfId="31202"/>
    <cellStyle name="Normal 9 2 2 11 2" xfId="31203"/>
    <cellStyle name="Normal 9 2 2 12" xfId="31204"/>
    <cellStyle name="Normal 9 2 2 2" xfId="31205"/>
    <cellStyle name="Normal 9 2 2 2 10" xfId="31206"/>
    <cellStyle name="Normal 9 2 2 2 10 2" xfId="31207"/>
    <cellStyle name="Normal 9 2 2 2 11" xfId="31208"/>
    <cellStyle name="Normal 9 2 2 2 2" xfId="31209"/>
    <cellStyle name="Normal 9 2 2 2 2 2" xfId="31210"/>
    <cellStyle name="Normal 9 2 2 2 3" xfId="31211"/>
    <cellStyle name="Normal 9 2 2 2 3 2" xfId="31212"/>
    <cellStyle name="Normal 9 2 2 2 4" xfId="31213"/>
    <cellStyle name="Normal 9 2 2 2 4 2" xfId="31214"/>
    <cellStyle name="Normal 9 2 2 2 5" xfId="31215"/>
    <cellStyle name="Normal 9 2 2 2 5 2" xfId="31216"/>
    <cellStyle name="Normal 9 2 2 2 6" xfId="31217"/>
    <cellStyle name="Normal 9 2 2 2 6 2" xfId="31218"/>
    <cellStyle name="Normal 9 2 2 2 7" xfId="31219"/>
    <cellStyle name="Normal 9 2 2 2 7 2" xfId="31220"/>
    <cellStyle name="Normal 9 2 2 2 8" xfId="31221"/>
    <cellStyle name="Normal 9 2 2 2 8 2" xfId="31222"/>
    <cellStyle name="Normal 9 2 2 2 9" xfId="31223"/>
    <cellStyle name="Normal 9 2 2 2 9 2" xfId="31224"/>
    <cellStyle name="Normal 9 2 2 3" xfId="31225"/>
    <cellStyle name="Normal 9 2 2 3 2" xfId="31226"/>
    <cellStyle name="Normal 9 2 2 4" xfId="31227"/>
    <cellStyle name="Normal 9 2 2 4 2" xfId="31228"/>
    <cellStyle name="Normal 9 2 2 5" xfId="31229"/>
    <cellStyle name="Normal 9 2 2 5 2" xfId="31230"/>
    <cellStyle name="Normal 9 2 2 6" xfId="31231"/>
    <cellStyle name="Normal 9 2 2 6 2" xfId="31232"/>
    <cellStyle name="Normal 9 2 2 7" xfId="31233"/>
    <cellStyle name="Normal 9 2 2 7 2" xfId="31234"/>
    <cellStyle name="Normal 9 2 2 8" xfId="31235"/>
    <cellStyle name="Normal 9 2 2 8 2" xfId="31236"/>
    <cellStyle name="Normal 9 2 2 9" xfId="31237"/>
    <cellStyle name="Normal 9 2 2 9 2" xfId="31238"/>
    <cellStyle name="Normal 9 2 3" xfId="31239"/>
    <cellStyle name="Normal 9 2 3 10" xfId="31240"/>
    <cellStyle name="Normal 9 2 3 10 2" xfId="31241"/>
    <cellStyle name="Normal 9 2 3 11" xfId="31242"/>
    <cellStyle name="Normal 9 2 3 2" xfId="31243"/>
    <cellStyle name="Normal 9 2 3 2 2" xfId="31244"/>
    <cellStyle name="Normal 9 2 3 3" xfId="31245"/>
    <cellStyle name="Normal 9 2 3 3 2" xfId="31246"/>
    <cellStyle name="Normal 9 2 3 4" xfId="31247"/>
    <cellStyle name="Normal 9 2 3 4 2" xfId="31248"/>
    <cellStyle name="Normal 9 2 3 5" xfId="31249"/>
    <cellStyle name="Normal 9 2 3 5 2" xfId="31250"/>
    <cellStyle name="Normal 9 2 3 6" xfId="31251"/>
    <cellStyle name="Normal 9 2 3 6 2" xfId="31252"/>
    <cellStyle name="Normal 9 2 3 7" xfId="31253"/>
    <cellStyle name="Normal 9 2 3 7 2" xfId="31254"/>
    <cellStyle name="Normal 9 2 3 8" xfId="31255"/>
    <cellStyle name="Normal 9 2 3 8 2" xfId="31256"/>
    <cellStyle name="Normal 9 2 3 9" xfId="31257"/>
    <cellStyle name="Normal 9 2 3 9 2" xfId="31258"/>
    <cellStyle name="Normal 9 2 4" xfId="31259"/>
    <cellStyle name="Normal 9 2 4 2" xfId="31260"/>
    <cellStyle name="Normal 9 2 5" xfId="31261"/>
    <cellStyle name="Normal 9 2 5 2" xfId="31262"/>
    <cellStyle name="Normal 9 2 6" xfId="31263"/>
    <cellStyle name="Normal 9 2 6 2" xfId="31264"/>
    <cellStyle name="Normal 9 2 7" xfId="31265"/>
    <cellStyle name="Normal 9 2 7 2" xfId="31266"/>
    <cellStyle name="Normal 9 2 8" xfId="31267"/>
    <cellStyle name="Normal 9 2 8 2" xfId="31268"/>
    <cellStyle name="Normal 9 2 9" xfId="31269"/>
    <cellStyle name="Normal 9 2 9 2" xfId="31270"/>
    <cellStyle name="Normal 9 3" xfId="31271"/>
    <cellStyle name="Normal 9 3 10" xfId="31272"/>
    <cellStyle name="Normal 9 3 10 2" xfId="31273"/>
    <cellStyle name="Normal 9 3 11" xfId="31274"/>
    <cellStyle name="Normal 9 3 11 2" xfId="31275"/>
    <cellStyle name="Normal 9 3 12" xfId="31276"/>
    <cellStyle name="Normal 9 3 2" xfId="31277"/>
    <cellStyle name="Normal 9 3 2 10" xfId="31278"/>
    <cellStyle name="Normal 9 3 2 10 2" xfId="31279"/>
    <cellStyle name="Normal 9 3 2 11" xfId="31280"/>
    <cellStyle name="Normal 9 3 2 2" xfId="31281"/>
    <cellStyle name="Normal 9 3 2 2 2" xfId="31282"/>
    <cellStyle name="Normal 9 3 2 3" xfId="31283"/>
    <cellStyle name="Normal 9 3 2 3 2" xfId="31284"/>
    <cellStyle name="Normal 9 3 2 4" xfId="31285"/>
    <cellStyle name="Normal 9 3 2 4 2" xfId="31286"/>
    <cellStyle name="Normal 9 3 2 5" xfId="31287"/>
    <cellStyle name="Normal 9 3 2 5 2" xfId="31288"/>
    <cellStyle name="Normal 9 3 2 6" xfId="31289"/>
    <cellStyle name="Normal 9 3 2 6 2" xfId="31290"/>
    <cellStyle name="Normal 9 3 2 7" xfId="31291"/>
    <cellStyle name="Normal 9 3 2 7 2" xfId="31292"/>
    <cellStyle name="Normal 9 3 2 8" xfId="31293"/>
    <cellStyle name="Normal 9 3 2 8 2" xfId="31294"/>
    <cellStyle name="Normal 9 3 2 9" xfId="31295"/>
    <cellStyle name="Normal 9 3 2 9 2" xfId="31296"/>
    <cellStyle name="Normal 9 3 3" xfId="31297"/>
    <cellStyle name="Normal 9 3 3 2" xfId="31298"/>
    <cellStyle name="Normal 9 3 4" xfId="31299"/>
    <cellStyle name="Normal 9 3 4 2" xfId="31300"/>
    <cellStyle name="Normal 9 3 5" xfId="31301"/>
    <cellStyle name="Normal 9 3 5 2" xfId="31302"/>
    <cellStyle name="Normal 9 3 6" xfId="31303"/>
    <cellStyle name="Normal 9 3 6 2" xfId="31304"/>
    <cellStyle name="Normal 9 3 7" xfId="31305"/>
    <cellStyle name="Normal 9 3 7 2" xfId="31306"/>
    <cellStyle name="Normal 9 3 8" xfId="31307"/>
    <cellStyle name="Normal 9 3 8 2" xfId="31308"/>
    <cellStyle name="Normal 9 3 9" xfId="31309"/>
    <cellStyle name="Normal 9 3 9 2" xfId="31310"/>
    <cellStyle name="Normal 9 4" xfId="31311"/>
    <cellStyle name="Normal 9 4 10" xfId="31312"/>
    <cellStyle name="Normal 9 4 10 2" xfId="31313"/>
    <cellStyle name="Normal 9 4 11" xfId="31314"/>
    <cellStyle name="Normal 9 4 2" xfId="31315"/>
    <cellStyle name="Normal 9 4 2 2" xfId="31316"/>
    <cellStyle name="Normal 9 4 3" xfId="31317"/>
    <cellStyle name="Normal 9 4 3 2" xfId="31318"/>
    <cellStyle name="Normal 9 4 4" xfId="31319"/>
    <cellStyle name="Normal 9 4 4 2" xfId="31320"/>
    <cellStyle name="Normal 9 4 5" xfId="31321"/>
    <cellStyle name="Normal 9 4 5 2" xfId="31322"/>
    <cellStyle name="Normal 9 4 6" xfId="31323"/>
    <cellStyle name="Normal 9 4 6 2" xfId="31324"/>
    <cellStyle name="Normal 9 4 7" xfId="31325"/>
    <cellStyle name="Normal 9 4 7 2" xfId="31326"/>
    <cellStyle name="Normal 9 4 8" xfId="31327"/>
    <cellStyle name="Normal 9 4 8 2" xfId="31328"/>
    <cellStyle name="Normal 9 4 9" xfId="31329"/>
    <cellStyle name="Normal 9 4 9 2" xfId="31330"/>
    <cellStyle name="Normal 9 5" xfId="31331"/>
    <cellStyle name="Normal 9 5 2" xfId="31332"/>
    <cellStyle name="Normal 9 6" xfId="31333"/>
    <cellStyle name="Normal 9 6 2" xfId="31334"/>
    <cellStyle name="Normal 9 7" xfId="31335"/>
    <cellStyle name="Normal 9 7 2" xfId="31336"/>
    <cellStyle name="Normal 9 8" xfId="31337"/>
    <cellStyle name="Normal 9 8 2" xfId="31338"/>
    <cellStyle name="Normal 9 9" xfId="31339"/>
    <cellStyle name="Normal 9 9 2" xfId="31340"/>
    <cellStyle name="Normal_AG anchoveta" xfId="41729"/>
    <cellStyle name="Normal_CESION INDUSTRIAL" xfId="195"/>
    <cellStyle name="Normal_Hoja1" xfId="196"/>
    <cellStyle name="Normal_Hoja1_1" xfId="41730"/>
    <cellStyle name="Normal_Hoja2" xfId="197"/>
    <cellStyle name="Notas" xfId="198" builtinId="10" customBuiltin="1"/>
    <cellStyle name="Notas 2" xfId="199"/>
    <cellStyle name="Notas 2 10" xfId="31341"/>
    <cellStyle name="Notas 2 10 10" xfId="31342"/>
    <cellStyle name="Notas 2 10 10 2" xfId="31343"/>
    <cellStyle name="Notas 2 10 11" xfId="31344"/>
    <cellStyle name="Notas 2 10 11 2" xfId="31345"/>
    <cellStyle name="Notas 2 10 12" xfId="31346"/>
    <cellStyle name="Notas 2 10 12 2" xfId="31347"/>
    <cellStyle name="Notas 2 10 13" xfId="31348"/>
    <cellStyle name="Notas 2 10 2" xfId="31349"/>
    <cellStyle name="Notas 2 10 2 10" xfId="31350"/>
    <cellStyle name="Notas 2 10 2 10 2" xfId="31351"/>
    <cellStyle name="Notas 2 10 2 11" xfId="31352"/>
    <cellStyle name="Notas 2 10 2 2" xfId="31353"/>
    <cellStyle name="Notas 2 10 2 2 2" xfId="31354"/>
    <cellStyle name="Notas 2 10 2 3" xfId="31355"/>
    <cellStyle name="Notas 2 10 2 3 2" xfId="31356"/>
    <cellStyle name="Notas 2 10 2 4" xfId="31357"/>
    <cellStyle name="Notas 2 10 2 4 2" xfId="31358"/>
    <cellStyle name="Notas 2 10 2 5" xfId="31359"/>
    <cellStyle name="Notas 2 10 2 5 2" xfId="31360"/>
    <cellStyle name="Notas 2 10 2 6" xfId="31361"/>
    <cellStyle name="Notas 2 10 2 6 2" xfId="31362"/>
    <cellStyle name="Notas 2 10 2 7" xfId="31363"/>
    <cellStyle name="Notas 2 10 2 7 2" xfId="31364"/>
    <cellStyle name="Notas 2 10 2 8" xfId="31365"/>
    <cellStyle name="Notas 2 10 2 8 2" xfId="31366"/>
    <cellStyle name="Notas 2 10 2 9" xfId="31367"/>
    <cellStyle name="Notas 2 10 2 9 2" xfId="31368"/>
    <cellStyle name="Notas 2 10 3" xfId="31369"/>
    <cellStyle name="Notas 2 10 3 10" xfId="31370"/>
    <cellStyle name="Notas 2 10 3 10 2" xfId="31371"/>
    <cellStyle name="Notas 2 10 3 11" xfId="31372"/>
    <cellStyle name="Notas 2 10 3 2" xfId="31373"/>
    <cellStyle name="Notas 2 10 3 2 2" xfId="31374"/>
    <cellStyle name="Notas 2 10 3 3" xfId="31375"/>
    <cellStyle name="Notas 2 10 3 3 2" xfId="31376"/>
    <cellStyle name="Notas 2 10 3 4" xfId="31377"/>
    <cellStyle name="Notas 2 10 3 4 2" xfId="31378"/>
    <cellStyle name="Notas 2 10 3 5" xfId="31379"/>
    <cellStyle name="Notas 2 10 3 5 2" xfId="31380"/>
    <cellStyle name="Notas 2 10 3 6" xfId="31381"/>
    <cellStyle name="Notas 2 10 3 6 2" xfId="31382"/>
    <cellStyle name="Notas 2 10 3 7" xfId="31383"/>
    <cellStyle name="Notas 2 10 3 7 2" xfId="31384"/>
    <cellStyle name="Notas 2 10 3 8" xfId="31385"/>
    <cellStyle name="Notas 2 10 3 8 2" xfId="31386"/>
    <cellStyle name="Notas 2 10 3 9" xfId="31387"/>
    <cellStyle name="Notas 2 10 3 9 2" xfId="31388"/>
    <cellStyle name="Notas 2 10 4" xfId="31389"/>
    <cellStyle name="Notas 2 10 4 2" xfId="31390"/>
    <cellStyle name="Notas 2 10 5" xfId="31391"/>
    <cellStyle name="Notas 2 10 5 2" xfId="31392"/>
    <cellStyle name="Notas 2 10 6" xfId="31393"/>
    <cellStyle name="Notas 2 10 6 2" xfId="31394"/>
    <cellStyle name="Notas 2 10 7" xfId="31395"/>
    <cellStyle name="Notas 2 10 7 2" xfId="31396"/>
    <cellStyle name="Notas 2 10 8" xfId="31397"/>
    <cellStyle name="Notas 2 10 8 2" xfId="31398"/>
    <cellStyle name="Notas 2 10 9" xfId="31399"/>
    <cellStyle name="Notas 2 10 9 2" xfId="31400"/>
    <cellStyle name="Notas 2 11" xfId="31401"/>
    <cellStyle name="Notas 2 11 2" xfId="31402"/>
    <cellStyle name="Notas 2 12" xfId="31403"/>
    <cellStyle name="Notas 2 12 2" xfId="31404"/>
    <cellStyle name="Notas 2 13" xfId="31405"/>
    <cellStyle name="Notas 2 13 2" xfId="31406"/>
    <cellStyle name="Notas 2 14" xfId="31407"/>
    <cellStyle name="Notas 2 14 2" xfId="31408"/>
    <cellStyle name="Notas 2 15" xfId="31409"/>
    <cellStyle name="Notas 2 15 2" xfId="31410"/>
    <cellStyle name="Notas 2 16" xfId="31411"/>
    <cellStyle name="Notas 2 16 2" xfId="31412"/>
    <cellStyle name="Notas 2 17" xfId="31413"/>
    <cellStyle name="Notas 2 17 2" xfId="31414"/>
    <cellStyle name="Notas 2 18" xfId="31415"/>
    <cellStyle name="Notas 2 18 2" xfId="31416"/>
    <cellStyle name="Notas 2 19" xfId="31417"/>
    <cellStyle name="Notas 2 19 2" xfId="31418"/>
    <cellStyle name="Notas 2 2" xfId="200"/>
    <cellStyle name="Notas 2 2 10" xfId="31419"/>
    <cellStyle name="Notas 2 2 10 2" xfId="31420"/>
    <cellStyle name="Notas 2 2 11" xfId="31421"/>
    <cellStyle name="Notas 2 2 11 2" xfId="31422"/>
    <cellStyle name="Notas 2 2 12" xfId="31423"/>
    <cellStyle name="Notas 2 2 12 2" xfId="31424"/>
    <cellStyle name="Notas 2 2 13" xfId="31425"/>
    <cellStyle name="Notas 2 2 13 2" xfId="31426"/>
    <cellStyle name="Notas 2 2 14" xfId="31427"/>
    <cellStyle name="Notas 2 2 14 2" xfId="31428"/>
    <cellStyle name="Notas 2 2 15" xfId="31429"/>
    <cellStyle name="Notas 2 2 15 2" xfId="31430"/>
    <cellStyle name="Notas 2 2 16" xfId="31431"/>
    <cellStyle name="Notas 2 2 16 2" xfId="31432"/>
    <cellStyle name="Notas 2 2 17" xfId="31433"/>
    <cellStyle name="Notas 2 2 17 2" xfId="31434"/>
    <cellStyle name="Notas 2 2 18" xfId="31435"/>
    <cellStyle name="Notas 2 2 19" xfId="31436"/>
    <cellStyle name="Notas 2 2 2" xfId="31437"/>
    <cellStyle name="Notas 2 2 2 10" xfId="31438"/>
    <cellStyle name="Notas 2 2 2 10 2" xfId="31439"/>
    <cellStyle name="Notas 2 2 2 11" xfId="31440"/>
    <cellStyle name="Notas 2 2 2 11 2" xfId="31441"/>
    <cellStyle name="Notas 2 2 2 12" xfId="31442"/>
    <cellStyle name="Notas 2 2 2 12 2" xfId="31443"/>
    <cellStyle name="Notas 2 2 2 13" xfId="31444"/>
    <cellStyle name="Notas 2 2 2 13 2" xfId="31445"/>
    <cellStyle name="Notas 2 2 2 14" xfId="31446"/>
    <cellStyle name="Notas 2 2 2 14 2" xfId="31447"/>
    <cellStyle name="Notas 2 2 2 15" xfId="31448"/>
    <cellStyle name="Notas 2 2 2 2" xfId="31449"/>
    <cellStyle name="Notas 2 2 2 2 10" xfId="31450"/>
    <cellStyle name="Notas 2 2 2 2 10 2" xfId="31451"/>
    <cellStyle name="Notas 2 2 2 2 11" xfId="31452"/>
    <cellStyle name="Notas 2 2 2 2 11 2" xfId="31453"/>
    <cellStyle name="Notas 2 2 2 2 12" xfId="31454"/>
    <cellStyle name="Notas 2 2 2 2 12 2" xfId="31455"/>
    <cellStyle name="Notas 2 2 2 2 13" xfId="31456"/>
    <cellStyle name="Notas 2 2 2 2 2" xfId="31457"/>
    <cellStyle name="Notas 2 2 2 2 2 10" xfId="31458"/>
    <cellStyle name="Notas 2 2 2 2 2 10 2" xfId="31459"/>
    <cellStyle name="Notas 2 2 2 2 2 11" xfId="31460"/>
    <cellStyle name="Notas 2 2 2 2 2 2" xfId="31461"/>
    <cellStyle name="Notas 2 2 2 2 2 2 2" xfId="31462"/>
    <cellStyle name="Notas 2 2 2 2 2 3" xfId="31463"/>
    <cellStyle name="Notas 2 2 2 2 2 3 2" xfId="31464"/>
    <cellStyle name="Notas 2 2 2 2 2 4" xfId="31465"/>
    <cellStyle name="Notas 2 2 2 2 2 4 2" xfId="31466"/>
    <cellStyle name="Notas 2 2 2 2 2 5" xfId="31467"/>
    <cellStyle name="Notas 2 2 2 2 2 5 2" xfId="31468"/>
    <cellStyle name="Notas 2 2 2 2 2 6" xfId="31469"/>
    <cellStyle name="Notas 2 2 2 2 2 6 2" xfId="31470"/>
    <cellStyle name="Notas 2 2 2 2 2 7" xfId="31471"/>
    <cellStyle name="Notas 2 2 2 2 2 7 2" xfId="31472"/>
    <cellStyle name="Notas 2 2 2 2 2 8" xfId="31473"/>
    <cellStyle name="Notas 2 2 2 2 2 8 2" xfId="31474"/>
    <cellStyle name="Notas 2 2 2 2 2 9" xfId="31475"/>
    <cellStyle name="Notas 2 2 2 2 2 9 2" xfId="31476"/>
    <cellStyle name="Notas 2 2 2 2 3" xfId="31477"/>
    <cellStyle name="Notas 2 2 2 2 3 10" xfId="31478"/>
    <cellStyle name="Notas 2 2 2 2 3 10 2" xfId="31479"/>
    <cellStyle name="Notas 2 2 2 2 3 11" xfId="31480"/>
    <cellStyle name="Notas 2 2 2 2 3 2" xfId="31481"/>
    <cellStyle name="Notas 2 2 2 2 3 2 2" xfId="31482"/>
    <cellStyle name="Notas 2 2 2 2 3 3" xfId="31483"/>
    <cellStyle name="Notas 2 2 2 2 3 3 2" xfId="31484"/>
    <cellStyle name="Notas 2 2 2 2 3 4" xfId="31485"/>
    <cellStyle name="Notas 2 2 2 2 3 4 2" xfId="31486"/>
    <cellStyle name="Notas 2 2 2 2 3 5" xfId="31487"/>
    <cellStyle name="Notas 2 2 2 2 3 5 2" xfId="31488"/>
    <cellStyle name="Notas 2 2 2 2 3 6" xfId="31489"/>
    <cellStyle name="Notas 2 2 2 2 3 6 2" xfId="31490"/>
    <cellStyle name="Notas 2 2 2 2 3 7" xfId="31491"/>
    <cellStyle name="Notas 2 2 2 2 3 7 2" xfId="31492"/>
    <cellStyle name="Notas 2 2 2 2 3 8" xfId="31493"/>
    <cellStyle name="Notas 2 2 2 2 3 8 2" xfId="31494"/>
    <cellStyle name="Notas 2 2 2 2 3 9" xfId="31495"/>
    <cellStyle name="Notas 2 2 2 2 3 9 2" xfId="31496"/>
    <cellStyle name="Notas 2 2 2 2 4" xfId="31497"/>
    <cellStyle name="Notas 2 2 2 2 4 2" xfId="31498"/>
    <cellStyle name="Notas 2 2 2 2 5" xfId="31499"/>
    <cellStyle name="Notas 2 2 2 2 5 2" xfId="31500"/>
    <cellStyle name="Notas 2 2 2 2 6" xfId="31501"/>
    <cellStyle name="Notas 2 2 2 2 6 2" xfId="31502"/>
    <cellStyle name="Notas 2 2 2 2 7" xfId="31503"/>
    <cellStyle name="Notas 2 2 2 2 7 2" xfId="31504"/>
    <cellStyle name="Notas 2 2 2 2 8" xfId="31505"/>
    <cellStyle name="Notas 2 2 2 2 8 2" xfId="31506"/>
    <cellStyle name="Notas 2 2 2 2 9" xfId="31507"/>
    <cellStyle name="Notas 2 2 2 2 9 2" xfId="31508"/>
    <cellStyle name="Notas 2 2 2 3" xfId="31509"/>
    <cellStyle name="Notas 2 2 2 3 10" xfId="31510"/>
    <cellStyle name="Notas 2 2 2 3 10 2" xfId="31511"/>
    <cellStyle name="Notas 2 2 2 3 11" xfId="31512"/>
    <cellStyle name="Notas 2 2 2 3 11 2" xfId="31513"/>
    <cellStyle name="Notas 2 2 2 3 12" xfId="31514"/>
    <cellStyle name="Notas 2 2 2 3 12 2" xfId="31515"/>
    <cellStyle name="Notas 2 2 2 3 13" xfId="31516"/>
    <cellStyle name="Notas 2 2 2 3 2" xfId="31517"/>
    <cellStyle name="Notas 2 2 2 3 2 10" xfId="31518"/>
    <cellStyle name="Notas 2 2 2 3 2 10 2" xfId="31519"/>
    <cellStyle name="Notas 2 2 2 3 2 11" xfId="31520"/>
    <cellStyle name="Notas 2 2 2 3 2 2" xfId="31521"/>
    <cellStyle name="Notas 2 2 2 3 2 2 2" xfId="31522"/>
    <cellStyle name="Notas 2 2 2 3 2 3" xfId="31523"/>
    <cellStyle name="Notas 2 2 2 3 2 3 2" xfId="31524"/>
    <cellStyle name="Notas 2 2 2 3 2 4" xfId="31525"/>
    <cellStyle name="Notas 2 2 2 3 2 4 2" xfId="31526"/>
    <cellStyle name="Notas 2 2 2 3 2 5" xfId="31527"/>
    <cellStyle name="Notas 2 2 2 3 2 5 2" xfId="31528"/>
    <cellStyle name="Notas 2 2 2 3 2 6" xfId="31529"/>
    <cellStyle name="Notas 2 2 2 3 2 6 2" xfId="31530"/>
    <cellStyle name="Notas 2 2 2 3 2 7" xfId="31531"/>
    <cellStyle name="Notas 2 2 2 3 2 7 2" xfId="31532"/>
    <cellStyle name="Notas 2 2 2 3 2 8" xfId="31533"/>
    <cellStyle name="Notas 2 2 2 3 2 8 2" xfId="31534"/>
    <cellStyle name="Notas 2 2 2 3 2 9" xfId="31535"/>
    <cellStyle name="Notas 2 2 2 3 2 9 2" xfId="31536"/>
    <cellStyle name="Notas 2 2 2 3 3" xfId="31537"/>
    <cellStyle name="Notas 2 2 2 3 3 10" xfId="31538"/>
    <cellStyle name="Notas 2 2 2 3 3 10 2" xfId="31539"/>
    <cellStyle name="Notas 2 2 2 3 3 11" xfId="31540"/>
    <cellStyle name="Notas 2 2 2 3 3 2" xfId="31541"/>
    <cellStyle name="Notas 2 2 2 3 3 2 2" xfId="31542"/>
    <cellStyle name="Notas 2 2 2 3 3 3" xfId="31543"/>
    <cellStyle name="Notas 2 2 2 3 3 3 2" xfId="31544"/>
    <cellStyle name="Notas 2 2 2 3 3 4" xfId="31545"/>
    <cellStyle name="Notas 2 2 2 3 3 4 2" xfId="31546"/>
    <cellStyle name="Notas 2 2 2 3 3 5" xfId="31547"/>
    <cellStyle name="Notas 2 2 2 3 3 5 2" xfId="31548"/>
    <cellStyle name="Notas 2 2 2 3 3 6" xfId="31549"/>
    <cellStyle name="Notas 2 2 2 3 3 6 2" xfId="31550"/>
    <cellStyle name="Notas 2 2 2 3 3 7" xfId="31551"/>
    <cellStyle name="Notas 2 2 2 3 3 7 2" xfId="31552"/>
    <cellStyle name="Notas 2 2 2 3 3 8" xfId="31553"/>
    <cellStyle name="Notas 2 2 2 3 3 8 2" xfId="31554"/>
    <cellStyle name="Notas 2 2 2 3 3 9" xfId="31555"/>
    <cellStyle name="Notas 2 2 2 3 3 9 2" xfId="31556"/>
    <cellStyle name="Notas 2 2 2 3 4" xfId="31557"/>
    <cellStyle name="Notas 2 2 2 3 4 2" xfId="31558"/>
    <cellStyle name="Notas 2 2 2 3 5" xfId="31559"/>
    <cellStyle name="Notas 2 2 2 3 5 2" xfId="31560"/>
    <cellStyle name="Notas 2 2 2 3 6" xfId="31561"/>
    <cellStyle name="Notas 2 2 2 3 6 2" xfId="31562"/>
    <cellStyle name="Notas 2 2 2 3 7" xfId="31563"/>
    <cellStyle name="Notas 2 2 2 3 7 2" xfId="31564"/>
    <cellStyle name="Notas 2 2 2 3 8" xfId="31565"/>
    <cellStyle name="Notas 2 2 2 3 8 2" xfId="31566"/>
    <cellStyle name="Notas 2 2 2 3 9" xfId="31567"/>
    <cellStyle name="Notas 2 2 2 3 9 2" xfId="31568"/>
    <cellStyle name="Notas 2 2 2 4" xfId="31569"/>
    <cellStyle name="Notas 2 2 2 4 10" xfId="31570"/>
    <cellStyle name="Notas 2 2 2 4 10 2" xfId="31571"/>
    <cellStyle name="Notas 2 2 2 4 11" xfId="31572"/>
    <cellStyle name="Notas 2 2 2 4 2" xfId="31573"/>
    <cellStyle name="Notas 2 2 2 4 2 2" xfId="31574"/>
    <cellStyle name="Notas 2 2 2 4 3" xfId="31575"/>
    <cellStyle name="Notas 2 2 2 4 3 2" xfId="31576"/>
    <cellStyle name="Notas 2 2 2 4 4" xfId="31577"/>
    <cellStyle name="Notas 2 2 2 4 4 2" xfId="31578"/>
    <cellStyle name="Notas 2 2 2 4 5" xfId="31579"/>
    <cellStyle name="Notas 2 2 2 4 5 2" xfId="31580"/>
    <cellStyle name="Notas 2 2 2 4 6" xfId="31581"/>
    <cellStyle name="Notas 2 2 2 4 6 2" xfId="31582"/>
    <cellStyle name="Notas 2 2 2 4 7" xfId="31583"/>
    <cellStyle name="Notas 2 2 2 4 7 2" xfId="31584"/>
    <cellStyle name="Notas 2 2 2 4 8" xfId="31585"/>
    <cellStyle name="Notas 2 2 2 4 8 2" xfId="31586"/>
    <cellStyle name="Notas 2 2 2 4 9" xfId="31587"/>
    <cellStyle name="Notas 2 2 2 4 9 2" xfId="31588"/>
    <cellStyle name="Notas 2 2 2 5" xfId="31589"/>
    <cellStyle name="Notas 2 2 2 5 10" xfId="31590"/>
    <cellStyle name="Notas 2 2 2 5 10 2" xfId="31591"/>
    <cellStyle name="Notas 2 2 2 5 11" xfId="31592"/>
    <cellStyle name="Notas 2 2 2 5 2" xfId="31593"/>
    <cellStyle name="Notas 2 2 2 5 2 2" xfId="31594"/>
    <cellStyle name="Notas 2 2 2 5 3" xfId="31595"/>
    <cellStyle name="Notas 2 2 2 5 3 2" xfId="31596"/>
    <cellStyle name="Notas 2 2 2 5 4" xfId="31597"/>
    <cellStyle name="Notas 2 2 2 5 4 2" xfId="31598"/>
    <cellStyle name="Notas 2 2 2 5 5" xfId="31599"/>
    <cellStyle name="Notas 2 2 2 5 5 2" xfId="31600"/>
    <cellStyle name="Notas 2 2 2 5 6" xfId="31601"/>
    <cellStyle name="Notas 2 2 2 5 6 2" xfId="31602"/>
    <cellStyle name="Notas 2 2 2 5 7" xfId="31603"/>
    <cellStyle name="Notas 2 2 2 5 7 2" xfId="31604"/>
    <cellStyle name="Notas 2 2 2 5 8" xfId="31605"/>
    <cellStyle name="Notas 2 2 2 5 8 2" xfId="31606"/>
    <cellStyle name="Notas 2 2 2 5 9" xfId="31607"/>
    <cellStyle name="Notas 2 2 2 5 9 2" xfId="31608"/>
    <cellStyle name="Notas 2 2 2 6" xfId="31609"/>
    <cellStyle name="Notas 2 2 2 6 2" xfId="31610"/>
    <cellStyle name="Notas 2 2 2 7" xfId="31611"/>
    <cellStyle name="Notas 2 2 2 7 2" xfId="31612"/>
    <cellStyle name="Notas 2 2 2 8" xfId="31613"/>
    <cellStyle name="Notas 2 2 2 8 2" xfId="31614"/>
    <cellStyle name="Notas 2 2 2 9" xfId="31615"/>
    <cellStyle name="Notas 2 2 2 9 2" xfId="31616"/>
    <cellStyle name="Notas 2 2 20" xfId="31617"/>
    <cellStyle name="Notas 2 2 3" xfId="31618"/>
    <cellStyle name="Notas 2 2 3 10" xfId="31619"/>
    <cellStyle name="Notas 2 2 3 10 2" xfId="31620"/>
    <cellStyle name="Notas 2 2 3 11" xfId="31621"/>
    <cellStyle name="Notas 2 2 3 11 2" xfId="31622"/>
    <cellStyle name="Notas 2 2 3 12" xfId="31623"/>
    <cellStyle name="Notas 2 2 3 12 2" xfId="31624"/>
    <cellStyle name="Notas 2 2 3 13" xfId="31625"/>
    <cellStyle name="Notas 2 2 3 13 2" xfId="31626"/>
    <cellStyle name="Notas 2 2 3 14" xfId="31627"/>
    <cellStyle name="Notas 2 2 3 14 2" xfId="31628"/>
    <cellStyle name="Notas 2 2 3 15" xfId="31629"/>
    <cellStyle name="Notas 2 2 3 2" xfId="31630"/>
    <cellStyle name="Notas 2 2 3 2 10" xfId="31631"/>
    <cellStyle name="Notas 2 2 3 2 10 2" xfId="31632"/>
    <cellStyle name="Notas 2 2 3 2 11" xfId="31633"/>
    <cellStyle name="Notas 2 2 3 2 11 2" xfId="31634"/>
    <cellStyle name="Notas 2 2 3 2 12" xfId="31635"/>
    <cellStyle name="Notas 2 2 3 2 12 2" xfId="31636"/>
    <cellStyle name="Notas 2 2 3 2 13" xfId="31637"/>
    <cellStyle name="Notas 2 2 3 2 2" xfId="31638"/>
    <cellStyle name="Notas 2 2 3 2 2 10" xfId="31639"/>
    <cellStyle name="Notas 2 2 3 2 2 10 2" xfId="31640"/>
    <cellStyle name="Notas 2 2 3 2 2 11" xfId="31641"/>
    <cellStyle name="Notas 2 2 3 2 2 2" xfId="31642"/>
    <cellStyle name="Notas 2 2 3 2 2 2 2" xfId="31643"/>
    <cellStyle name="Notas 2 2 3 2 2 3" xfId="31644"/>
    <cellStyle name="Notas 2 2 3 2 2 3 2" xfId="31645"/>
    <cellStyle name="Notas 2 2 3 2 2 4" xfId="31646"/>
    <cellStyle name="Notas 2 2 3 2 2 4 2" xfId="31647"/>
    <cellStyle name="Notas 2 2 3 2 2 5" xfId="31648"/>
    <cellStyle name="Notas 2 2 3 2 2 5 2" xfId="31649"/>
    <cellStyle name="Notas 2 2 3 2 2 6" xfId="31650"/>
    <cellStyle name="Notas 2 2 3 2 2 6 2" xfId="31651"/>
    <cellStyle name="Notas 2 2 3 2 2 7" xfId="31652"/>
    <cellStyle name="Notas 2 2 3 2 2 7 2" xfId="31653"/>
    <cellStyle name="Notas 2 2 3 2 2 8" xfId="31654"/>
    <cellStyle name="Notas 2 2 3 2 2 8 2" xfId="31655"/>
    <cellStyle name="Notas 2 2 3 2 2 9" xfId="31656"/>
    <cellStyle name="Notas 2 2 3 2 2 9 2" xfId="31657"/>
    <cellStyle name="Notas 2 2 3 2 3" xfId="31658"/>
    <cellStyle name="Notas 2 2 3 2 3 10" xfId="31659"/>
    <cellStyle name="Notas 2 2 3 2 3 10 2" xfId="31660"/>
    <cellStyle name="Notas 2 2 3 2 3 11" xfId="31661"/>
    <cellStyle name="Notas 2 2 3 2 3 2" xfId="31662"/>
    <cellStyle name="Notas 2 2 3 2 3 2 2" xfId="31663"/>
    <cellStyle name="Notas 2 2 3 2 3 3" xfId="31664"/>
    <cellStyle name="Notas 2 2 3 2 3 3 2" xfId="31665"/>
    <cellStyle name="Notas 2 2 3 2 3 4" xfId="31666"/>
    <cellStyle name="Notas 2 2 3 2 3 4 2" xfId="31667"/>
    <cellStyle name="Notas 2 2 3 2 3 5" xfId="31668"/>
    <cellStyle name="Notas 2 2 3 2 3 5 2" xfId="31669"/>
    <cellStyle name="Notas 2 2 3 2 3 6" xfId="31670"/>
    <cellStyle name="Notas 2 2 3 2 3 6 2" xfId="31671"/>
    <cellStyle name="Notas 2 2 3 2 3 7" xfId="31672"/>
    <cellStyle name="Notas 2 2 3 2 3 7 2" xfId="31673"/>
    <cellStyle name="Notas 2 2 3 2 3 8" xfId="31674"/>
    <cellStyle name="Notas 2 2 3 2 3 8 2" xfId="31675"/>
    <cellStyle name="Notas 2 2 3 2 3 9" xfId="31676"/>
    <cellStyle name="Notas 2 2 3 2 3 9 2" xfId="31677"/>
    <cellStyle name="Notas 2 2 3 2 4" xfId="31678"/>
    <cellStyle name="Notas 2 2 3 2 4 2" xfId="31679"/>
    <cellStyle name="Notas 2 2 3 2 5" xfId="31680"/>
    <cellStyle name="Notas 2 2 3 2 5 2" xfId="31681"/>
    <cellStyle name="Notas 2 2 3 2 6" xfId="31682"/>
    <cellStyle name="Notas 2 2 3 2 6 2" xfId="31683"/>
    <cellStyle name="Notas 2 2 3 2 7" xfId="31684"/>
    <cellStyle name="Notas 2 2 3 2 7 2" xfId="31685"/>
    <cellStyle name="Notas 2 2 3 2 8" xfId="31686"/>
    <cellStyle name="Notas 2 2 3 2 8 2" xfId="31687"/>
    <cellStyle name="Notas 2 2 3 2 9" xfId="31688"/>
    <cellStyle name="Notas 2 2 3 2 9 2" xfId="31689"/>
    <cellStyle name="Notas 2 2 3 3" xfId="31690"/>
    <cellStyle name="Notas 2 2 3 3 10" xfId="31691"/>
    <cellStyle name="Notas 2 2 3 3 10 2" xfId="31692"/>
    <cellStyle name="Notas 2 2 3 3 11" xfId="31693"/>
    <cellStyle name="Notas 2 2 3 3 11 2" xfId="31694"/>
    <cellStyle name="Notas 2 2 3 3 12" xfId="31695"/>
    <cellStyle name="Notas 2 2 3 3 12 2" xfId="31696"/>
    <cellStyle name="Notas 2 2 3 3 13" xfId="31697"/>
    <cellStyle name="Notas 2 2 3 3 2" xfId="31698"/>
    <cellStyle name="Notas 2 2 3 3 2 10" xfId="31699"/>
    <cellStyle name="Notas 2 2 3 3 2 10 2" xfId="31700"/>
    <cellStyle name="Notas 2 2 3 3 2 11" xfId="31701"/>
    <cellStyle name="Notas 2 2 3 3 2 2" xfId="31702"/>
    <cellStyle name="Notas 2 2 3 3 2 2 2" xfId="31703"/>
    <cellStyle name="Notas 2 2 3 3 2 3" xfId="31704"/>
    <cellStyle name="Notas 2 2 3 3 2 3 2" xfId="31705"/>
    <cellStyle name="Notas 2 2 3 3 2 4" xfId="31706"/>
    <cellStyle name="Notas 2 2 3 3 2 4 2" xfId="31707"/>
    <cellStyle name="Notas 2 2 3 3 2 5" xfId="31708"/>
    <cellStyle name="Notas 2 2 3 3 2 5 2" xfId="31709"/>
    <cellStyle name="Notas 2 2 3 3 2 6" xfId="31710"/>
    <cellStyle name="Notas 2 2 3 3 2 6 2" xfId="31711"/>
    <cellStyle name="Notas 2 2 3 3 2 7" xfId="31712"/>
    <cellStyle name="Notas 2 2 3 3 2 7 2" xfId="31713"/>
    <cellStyle name="Notas 2 2 3 3 2 8" xfId="31714"/>
    <cellStyle name="Notas 2 2 3 3 2 8 2" xfId="31715"/>
    <cellStyle name="Notas 2 2 3 3 2 9" xfId="31716"/>
    <cellStyle name="Notas 2 2 3 3 2 9 2" xfId="31717"/>
    <cellStyle name="Notas 2 2 3 3 3" xfId="31718"/>
    <cellStyle name="Notas 2 2 3 3 3 10" xfId="31719"/>
    <cellStyle name="Notas 2 2 3 3 3 10 2" xfId="31720"/>
    <cellStyle name="Notas 2 2 3 3 3 11" xfId="31721"/>
    <cellStyle name="Notas 2 2 3 3 3 2" xfId="31722"/>
    <cellStyle name="Notas 2 2 3 3 3 2 2" xfId="31723"/>
    <cellStyle name="Notas 2 2 3 3 3 3" xfId="31724"/>
    <cellStyle name="Notas 2 2 3 3 3 3 2" xfId="31725"/>
    <cellStyle name="Notas 2 2 3 3 3 4" xfId="31726"/>
    <cellStyle name="Notas 2 2 3 3 3 4 2" xfId="31727"/>
    <cellStyle name="Notas 2 2 3 3 3 5" xfId="31728"/>
    <cellStyle name="Notas 2 2 3 3 3 5 2" xfId="31729"/>
    <cellStyle name="Notas 2 2 3 3 3 6" xfId="31730"/>
    <cellStyle name="Notas 2 2 3 3 3 6 2" xfId="31731"/>
    <cellStyle name="Notas 2 2 3 3 3 7" xfId="31732"/>
    <cellStyle name="Notas 2 2 3 3 3 7 2" xfId="31733"/>
    <cellStyle name="Notas 2 2 3 3 3 8" xfId="31734"/>
    <cellStyle name="Notas 2 2 3 3 3 8 2" xfId="31735"/>
    <cellStyle name="Notas 2 2 3 3 3 9" xfId="31736"/>
    <cellStyle name="Notas 2 2 3 3 3 9 2" xfId="31737"/>
    <cellStyle name="Notas 2 2 3 3 4" xfId="31738"/>
    <cellStyle name="Notas 2 2 3 3 4 2" xfId="31739"/>
    <cellStyle name="Notas 2 2 3 3 5" xfId="31740"/>
    <cellStyle name="Notas 2 2 3 3 5 2" xfId="31741"/>
    <cellStyle name="Notas 2 2 3 3 6" xfId="31742"/>
    <cellStyle name="Notas 2 2 3 3 6 2" xfId="31743"/>
    <cellStyle name="Notas 2 2 3 3 7" xfId="31744"/>
    <cellStyle name="Notas 2 2 3 3 7 2" xfId="31745"/>
    <cellStyle name="Notas 2 2 3 3 8" xfId="31746"/>
    <cellStyle name="Notas 2 2 3 3 8 2" xfId="31747"/>
    <cellStyle name="Notas 2 2 3 3 9" xfId="31748"/>
    <cellStyle name="Notas 2 2 3 3 9 2" xfId="31749"/>
    <cellStyle name="Notas 2 2 3 4" xfId="31750"/>
    <cellStyle name="Notas 2 2 3 4 10" xfId="31751"/>
    <cellStyle name="Notas 2 2 3 4 10 2" xfId="31752"/>
    <cellStyle name="Notas 2 2 3 4 11" xfId="31753"/>
    <cellStyle name="Notas 2 2 3 4 2" xfId="31754"/>
    <cellStyle name="Notas 2 2 3 4 2 2" xfId="31755"/>
    <cellStyle name="Notas 2 2 3 4 3" xfId="31756"/>
    <cellStyle name="Notas 2 2 3 4 3 2" xfId="31757"/>
    <cellStyle name="Notas 2 2 3 4 4" xfId="31758"/>
    <cellStyle name="Notas 2 2 3 4 4 2" xfId="31759"/>
    <cellStyle name="Notas 2 2 3 4 5" xfId="31760"/>
    <cellStyle name="Notas 2 2 3 4 5 2" xfId="31761"/>
    <cellStyle name="Notas 2 2 3 4 6" xfId="31762"/>
    <cellStyle name="Notas 2 2 3 4 6 2" xfId="31763"/>
    <cellStyle name="Notas 2 2 3 4 7" xfId="31764"/>
    <cellStyle name="Notas 2 2 3 4 7 2" xfId="31765"/>
    <cellStyle name="Notas 2 2 3 4 8" xfId="31766"/>
    <cellStyle name="Notas 2 2 3 4 8 2" xfId="31767"/>
    <cellStyle name="Notas 2 2 3 4 9" xfId="31768"/>
    <cellStyle name="Notas 2 2 3 4 9 2" xfId="31769"/>
    <cellStyle name="Notas 2 2 3 5" xfId="31770"/>
    <cellStyle name="Notas 2 2 3 5 10" xfId="31771"/>
    <cellStyle name="Notas 2 2 3 5 10 2" xfId="31772"/>
    <cellStyle name="Notas 2 2 3 5 11" xfId="31773"/>
    <cellStyle name="Notas 2 2 3 5 2" xfId="31774"/>
    <cellStyle name="Notas 2 2 3 5 2 2" xfId="31775"/>
    <cellStyle name="Notas 2 2 3 5 3" xfId="31776"/>
    <cellStyle name="Notas 2 2 3 5 3 2" xfId="31777"/>
    <cellStyle name="Notas 2 2 3 5 4" xfId="31778"/>
    <cellStyle name="Notas 2 2 3 5 4 2" xfId="31779"/>
    <cellStyle name="Notas 2 2 3 5 5" xfId="31780"/>
    <cellStyle name="Notas 2 2 3 5 5 2" xfId="31781"/>
    <cellStyle name="Notas 2 2 3 5 6" xfId="31782"/>
    <cellStyle name="Notas 2 2 3 5 6 2" xfId="31783"/>
    <cellStyle name="Notas 2 2 3 5 7" xfId="31784"/>
    <cellStyle name="Notas 2 2 3 5 7 2" xfId="31785"/>
    <cellStyle name="Notas 2 2 3 5 8" xfId="31786"/>
    <cellStyle name="Notas 2 2 3 5 8 2" xfId="31787"/>
    <cellStyle name="Notas 2 2 3 5 9" xfId="31788"/>
    <cellStyle name="Notas 2 2 3 5 9 2" xfId="31789"/>
    <cellStyle name="Notas 2 2 3 6" xfId="31790"/>
    <cellStyle name="Notas 2 2 3 6 2" xfId="31791"/>
    <cellStyle name="Notas 2 2 3 7" xfId="31792"/>
    <cellStyle name="Notas 2 2 3 7 2" xfId="31793"/>
    <cellStyle name="Notas 2 2 3 8" xfId="31794"/>
    <cellStyle name="Notas 2 2 3 8 2" xfId="31795"/>
    <cellStyle name="Notas 2 2 3 9" xfId="31796"/>
    <cellStyle name="Notas 2 2 3 9 2" xfId="31797"/>
    <cellStyle name="Notas 2 2 4" xfId="31798"/>
    <cellStyle name="Notas 2 2 4 10" xfId="31799"/>
    <cellStyle name="Notas 2 2 4 10 2" xfId="31800"/>
    <cellStyle name="Notas 2 2 4 11" xfId="31801"/>
    <cellStyle name="Notas 2 2 4 11 2" xfId="31802"/>
    <cellStyle name="Notas 2 2 4 12" xfId="31803"/>
    <cellStyle name="Notas 2 2 4 12 2" xfId="31804"/>
    <cellStyle name="Notas 2 2 4 13" xfId="31805"/>
    <cellStyle name="Notas 2 2 4 13 2" xfId="31806"/>
    <cellStyle name="Notas 2 2 4 14" xfId="31807"/>
    <cellStyle name="Notas 2 2 4 14 2" xfId="31808"/>
    <cellStyle name="Notas 2 2 4 15" xfId="31809"/>
    <cellStyle name="Notas 2 2 4 2" xfId="31810"/>
    <cellStyle name="Notas 2 2 4 2 10" xfId="31811"/>
    <cellStyle name="Notas 2 2 4 2 10 2" xfId="31812"/>
    <cellStyle name="Notas 2 2 4 2 11" xfId="31813"/>
    <cellStyle name="Notas 2 2 4 2 11 2" xfId="31814"/>
    <cellStyle name="Notas 2 2 4 2 12" xfId="31815"/>
    <cellStyle name="Notas 2 2 4 2 12 2" xfId="31816"/>
    <cellStyle name="Notas 2 2 4 2 13" xfId="31817"/>
    <cellStyle name="Notas 2 2 4 2 2" xfId="31818"/>
    <cellStyle name="Notas 2 2 4 2 2 10" xfId="31819"/>
    <cellStyle name="Notas 2 2 4 2 2 10 2" xfId="31820"/>
    <cellStyle name="Notas 2 2 4 2 2 11" xfId="31821"/>
    <cellStyle name="Notas 2 2 4 2 2 2" xfId="31822"/>
    <cellStyle name="Notas 2 2 4 2 2 2 2" xfId="31823"/>
    <cellStyle name="Notas 2 2 4 2 2 3" xfId="31824"/>
    <cellStyle name="Notas 2 2 4 2 2 3 2" xfId="31825"/>
    <cellStyle name="Notas 2 2 4 2 2 4" xfId="31826"/>
    <cellStyle name="Notas 2 2 4 2 2 4 2" xfId="31827"/>
    <cellStyle name="Notas 2 2 4 2 2 5" xfId="31828"/>
    <cellStyle name="Notas 2 2 4 2 2 5 2" xfId="31829"/>
    <cellStyle name="Notas 2 2 4 2 2 6" xfId="31830"/>
    <cellStyle name="Notas 2 2 4 2 2 6 2" xfId="31831"/>
    <cellStyle name="Notas 2 2 4 2 2 7" xfId="31832"/>
    <cellStyle name="Notas 2 2 4 2 2 7 2" xfId="31833"/>
    <cellStyle name="Notas 2 2 4 2 2 8" xfId="31834"/>
    <cellStyle name="Notas 2 2 4 2 2 8 2" xfId="31835"/>
    <cellStyle name="Notas 2 2 4 2 2 9" xfId="31836"/>
    <cellStyle name="Notas 2 2 4 2 2 9 2" xfId="31837"/>
    <cellStyle name="Notas 2 2 4 2 3" xfId="31838"/>
    <cellStyle name="Notas 2 2 4 2 3 10" xfId="31839"/>
    <cellStyle name="Notas 2 2 4 2 3 10 2" xfId="31840"/>
    <cellStyle name="Notas 2 2 4 2 3 11" xfId="31841"/>
    <cellStyle name="Notas 2 2 4 2 3 2" xfId="31842"/>
    <cellStyle name="Notas 2 2 4 2 3 2 2" xfId="31843"/>
    <cellStyle name="Notas 2 2 4 2 3 3" xfId="31844"/>
    <cellStyle name="Notas 2 2 4 2 3 3 2" xfId="31845"/>
    <cellStyle name="Notas 2 2 4 2 3 4" xfId="31846"/>
    <cellStyle name="Notas 2 2 4 2 3 4 2" xfId="31847"/>
    <cellStyle name="Notas 2 2 4 2 3 5" xfId="31848"/>
    <cellStyle name="Notas 2 2 4 2 3 5 2" xfId="31849"/>
    <cellStyle name="Notas 2 2 4 2 3 6" xfId="31850"/>
    <cellStyle name="Notas 2 2 4 2 3 6 2" xfId="31851"/>
    <cellStyle name="Notas 2 2 4 2 3 7" xfId="31852"/>
    <cellStyle name="Notas 2 2 4 2 3 7 2" xfId="31853"/>
    <cellStyle name="Notas 2 2 4 2 3 8" xfId="31854"/>
    <cellStyle name="Notas 2 2 4 2 3 8 2" xfId="31855"/>
    <cellStyle name="Notas 2 2 4 2 3 9" xfId="31856"/>
    <cellStyle name="Notas 2 2 4 2 3 9 2" xfId="31857"/>
    <cellStyle name="Notas 2 2 4 2 4" xfId="31858"/>
    <cellStyle name="Notas 2 2 4 2 4 2" xfId="31859"/>
    <cellStyle name="Notas 2 2 4 2 5" xfId="31860"/>
    <cellStyle name="Notas 2 2 4 2 5 2" xfId="31861"/>
    <cellStyle name="Notas 2 2 4 2 6" xfId="31862"/>
    <cellStyle name="Notas 2 2 4 2 6 2" xfId="31863"/>
    <cellStyle name="Notas 2 2 4 2 7" xfId="31864"/>
    <cellStyle name="Notas 2 2 4 2 7 2" xfId="31865"/>
    <cellStyle name="Notas 2 2 4 2 8" xfId="31866"/>
    <cellStyle name="Notas 2 2 4 2 8 2" xfId="31867"/>
    <cellStyle name="Notas 2 2 4 2 9" xfId="31868"/>
    <cellStyle name="Notas 2 2 4 2 9 2" xfId="31869"/>
    <cellStyle name="Notas 2 2 4 3" xfId="31870"/>
    <cellStyle name="Notas 2 2 4 3 10" xfId="31871"/>
    <cellStyle name="Notas 2 2 4 3 10 2" xfId="31872"/>
    <cellStyle name="Notas 2 2 4 3 11" xfId="31873"/>
    <cellStyle name="Notas 2 2 4 3 11 2" xfId="31874"/>
    <cellStyle name="Notas 2 2 4 3 12" xfId="31875"/>
    <cellStyle name="Notas 2 2 4 3 12 2" xfId="31876"/>
    <cellStyle name="Notas 2 2 4 3 13" xfId="31877"/>
    <cellStyle name="Notas 2 2 4 3 2" xfId="31878"/>
    <cellStyle name="Notas 2 2 4 3 2 10" xfId="31879"/>
    <cellStyle name="Notas 2 2 4 3 2 10 2" xfId="31880"/>
    <cellStyle name="Notas 2 2 4 3 2 11" xfId="31881"/>
    <cellStyle name="Notas 2 2 4 3 2 2" xfId="31882"/>
    <cellStyle name="Notas 2 2 4 3 2 2 2" xfId="31883"/>
    <cellStyle name="Notas 2 2 4 3 2 3" xfId="31884"/>
    <cellStyle name="Notas 2 2 4 3 2 3 2" xfId="31885"/>
    <cellStyle name="Notas 2 2 4 3 2 4" xfId="31886"/>
    <cellStyle name="Notas 2 2 4 3 2 4 2" xfId="31887"/>
    <cellStyle name="Notas 2 2 4 3 2 5" xfId="31888"/>
    <cellStyle name="Notas 2 2 4 3 2 5 2" xfId="31889"/>
    <cellStyle name="Notas 2 2 4 3 2 6" xfId="31890"/>
    <cellStyle name="Notas 2 2 4 3 2 6 2" xfId="31891"/>
    <cellStyle name="Notas 2 2 4 3 2 7" xfId="31892"/>
    <cellStyle name="Notas 2 2 4 3 2 7 2" xfId="31893"/>
    <cellStyle name="Notas 2 2 4 3 2 8" xfId="31894"/>
    <cellStyle name="Notas 2 2 4 3 2 8 2" xfId="31895"/>
    <cellStyle name="Notas 2 2 4 3 2 9" xfId="31896"/>
    <cellStyle name="Notas 2 2 4 3 2 9 2" xfId="31897"/>
    <cellStyle name="Notas 2 2 4 3 3" xfId="31898"/>
    <cellStyle name="Notas 2 2 4 3 3 10" xfId="31899"/>
    <cellStyle name="Notas 2 2 4 3 3 10 2" xfId="31900"/>
    <cellStyle name="Notas 2 2 4 3 3 11" xfId="31901"/>
    <cellStyle name="Notas 2 2 4 3 3 2" xfId="31902"/>
    <cellStyle name="Notas 2 2 4 3 3 2 2" xfId="31903"/>
    <cellStyle name="Notas 2 2 4 3 3 3" xfId="31904"/>
    <cellStyle name="Notas 2 2 4 3 3 3 2" xfId="31905"/>
    <cellStyle name="Notas 2 2 4 3 3 4" xfId="31906"/>
    <cellStyle name="Notas 2 2 4 3 3 4 2" xfId="31907"/>
    <cellStyle name="Notas 2 2 4 3 3 5" xfId="31908"/>
    <cellStyle name="Notas 2 2 4 3 3 5 2" xfId="31909"/>
    <cellStyle name="Notas 2 2 4 3 3 6" xfId="31910"/>
    <cellStyle name="Notas 2 2 4 3 3 6 2" xfId="31911"/>
    <cellStyle name="Notas 2 2 4 3 3 7" xfId="31912"/>
    <cellStyle name="Notas 2 2 4 3 3 7 2" xfId="31913"/>
    <cellStyle name="Notas 2 2 4 3 3 8" xfId="31914"/>
    <cellStyle name="Notas 2 2 4 3 3 8 2" xfId="31915"/>
    <cellStyle name="Notas 2 2 4 3 3 9" xfId="31916"/>
    <cellStyle name="Notas 2 2 4 3 3 9 2" xfId="31917"/>
    <cellStyle name="Notas 2 2 4 3 4" xfId="31918"/>
    <cellStyle name="Notas 2 2 4 3 4 2" xfId="31919"/>
    <cellStyle name="Notas 2 2 4 3 5" xfId="31920"/>
    <cellStyle name="Notas 2 2 4 3 5 2" xfId="31921"/>
    <cellStyle name="Notas 2 2 4 3 6" xfId="31922"/>
    <cellStyle name="Notas 2 2 4 3 6 2" xfId="31923"/>
    <cellStyle name="Notas 2 2 4 3 7" xfId="31924"/>
    <cellStyle name="Notas 2 2 4 3 7 2" xfId="31925"/>
    <cellStyle name="Notas 2 2 4 3 8" xfId="31926"/>
    <cellStyle name="Notas 2 2 4 3 8 2" xfId="31927"/>
    <cellStyle name="Notas 2 2 4 3 9" xfId="31928"/>
    <cellStyle name="Notas 2 2 4 3 9 2" xfId="31929"/>
    <cellStyle name="Notas 2 2 4 4" xfId="31930"/>
    <cellStyle name="Notas 2 2 4 4 10" xfId="31931"/>
    <cellStyle name="Notas 2 2 4 4 10 2" xfId="31932"/>
    <cellStyle name="Notas 2 2 4 4 11" xfId="31933"/>
    <cellStyle name="Notas 2 2 4 4 2" xfId="31934"/>
    <cellStyle name="Notas 2 2 4 4 2 2" xfId="31935"/>
    <cellStyle name="Notas 2 2 4 4 3" xfId="31936"/>
    <cellStyle name="Notas 2 2 4 4 3 2" xfId="31937"/>
    <cellStyle name="Notas 2 2 4 4 4" xfId="31938"/>
    <cellStyle name="Notas 2 2 4 4 4 2" xfId="31939"/>
    <cellStyle name="Notas 2 2 4 4 5" xfId="31940"/>
    <cellStyle name="Notas 2 2 4 4 5 2" xfId="31941"/>
    <cellStyle name="Notas 2 2 4 4 6" xfId="31942"/>
    <cellStyle name="Notas 2 2 4 4 6 2" xfId="31943"/>
    <cellStyle name="Notas 2 2 4 4 7" xfId="31944"/>
    <cellStyle name="Notas 2 2 4 4 7 2" xfId="31945"/>
    <cellStyle name="Notas 2 2 4 4 8" xfId="31946"/>
    <cellStyle name="Notas 2 2 4 4 8 2" xfId="31947"/>
    <cellStyle name="Notas 2 2 4 4 9" xfId="31948"/>
    <cellStyle name="Notas 2 2 4 4 9 2" xfId="31949"/>
    <cellStyle name="Notas 2 2 4 5" xfId="31950"/>
    <cellStyle name="Notas 2 2 4 5 10" xfId="31951"/>
    <cellStyle name="Notas 2 2 4 5 10 2" xfId="31952"/>
    <cellStyle name="Notas 2 2 4 5 11" xfId="31953"/>
    <cellStyle name="Notas 2 2 4 5 2" xfId="31954"/>
    <cellStyle name="Notas 2 2 4 5 2 2" xfId="31955"/>
    <cellStyle name="Notas 2 2 4 5 3" xfId="31956"/>
    <cellStyle name="Notas 2 2 4 5 3 2" xfId="31957"/>
    <cellStyle name="Notas 2 2 4 5 4" xfId="31958"/>
    <cellStyle name="Notas 2 2 4 5 4 2" xfId="31959"/>
    <cellStyle name="Notas 2 2 4 5 5" xfId="31960"/>
    <cellStyle name="Notas 2 2 4 5 5 2" xfId="31961"/>
    <cellStyle name="Notas 2 2 4 5 6" xfId="31962"/>
    <cellStyle name="Notas 2 2 4 5 6 2" xfId="31963"/>
    <cellStyle name="Notas 2 2 4 5 7" xfId="31964"/>
    <cellStyle name="Notas 2 2 4 5 7 2" xfId="31965"/>
    <cellStyle name="Notas 2 2 4 5 8" xfId="31966"/>
    <cellStyle name="Notas 2 2 4 5 8 2" xfId="31967"/>
    <cellStyle name="Notas 2 2 4 5 9" xfId="31968"/>
    <cellStyle name="Notas 2 2 4 5 9 2" xfId="31969"/>
    <cellStyle name="Notas 2 2 4 6" xfId="31970"/>
    <cellStyle name="Notas 2 2 4 6 2" xfId="31971"/>
    <cellStyle name="Notas 2 2 4 7" xfId="31972"/>
    <cellStyle name="Notas 2 2 4 7 2" xfId="31973"/>
    <cellStyle name="Notas 2 2 4 8" xfId="31974"/>
    <cellStyle name="Notas 2 2 4 8 2" xfId="31975"/>
    <cellStyle name="Notas 2 2 4 9" xfId="31976"/>
    <cellStyle name="Notas 2 2 4 9 2" xfId="31977"/>
    <cellStyle name="Notas 2 2 5" xfId="31978"/>
    <cellStyle name="Notas 2 2 5 10" xfId="31979"/>
    <cellStyle name="Notas 2 2 5 10 2" xfId="31980"/>
    <cellStyle name="Notas 2 2 5 11" xfId="31981"/>
    <cellStyle name="Notas 2 2 5 11 2" xfId="31982"/>
    <cellStyle name="Notas 2 2 5 12" xfId="31983"/>
    <cellStyle name="Notas 2 2 5 12 2" xfId="31984"/>
    <cellStyle name="Notas 2 2 5 13" xfId="31985"/>
    <cellStyle name="Notas 2 2 5 13 2" xfId="31986"/>
    <cellStyle name="Notas 2 2 5 14" xfId="31987"/>
    <cellStyle name="Notas 2 2 5 14 2" xfId="31988"/>
    <cellStyle name="Notas 2 2 5 15" xfId="31989"/>
    <cellStyle name="Notas 2 2 5 2" xfId="31990"/>
    <cellStyle name="Notas 2 2 5 2 10" xfId="31991"/>
    <cellStyle name="Notas 2 2 5 2 10 2" xfId="31992"/>
    <cellStyle name="Notas 2 2 5 2 11" xfId="31993"/>
    <cellStyle name="Notas 2 2 5 2 11 2" xfId="31994"/>
    <cellStyle name="Notas 2 2 5 2 12" xfId="31995"/>
    <cellStyle name="Notas 2 2 5 2 12 2" xfId="31996"/>
    <cellStyle name="Notas 2 2 5 2 13" xfId="31997"/>
    <cellStyle name="Notas 2 2 5 2 2" xfId="31998"/>
    <cellStyle name="Notas 2 2 5 2 2 10" xfId="31999"/>
    <cellStyle name="Notas 2 2 5 2 2 10 2" xfId="32000"/>
    <cellStyle name="Notas 2 2 5 2 2 11" xfId="32001"/>
    <cellStyle name="Notas 2 2 5 2 2 2" xfId="32002"/>
    <cellStyle name="Notas 2 2 5 2 2 2 2" xfId="32003"/>
    <cellStyle name="Notas 2 2 5 2 2 3" xfId="32004"/>
    <cellStyle name="Notas 2 2 5 2 2 3 2" xfId="32005"/>
    <cellStyle name="Notas 2 2 5 2 2 4" xfId="32006"/>
    <cellStyle name="Notas 2 2 5 2 2 4 2" xfId="32007"/>
    <cellStyle name="Notas 2 2 5 2 2 5" xfId="32008"/>
    <cellStyle name="Notas 2 2 5 2 2 5 2" xfId="32009"/>
    <cellStyle name="Notas 2 2 5 2 2 6" xfId="32010"/>
    <cellStyle name="Notas 2 2 5 2 2 6 2" xfId="32011"/>
    <cellStyle name="Notas 2 2 5 2 2 7" xfId="32012"/>
    <cellStyle name="Notas 2 2 5 2 2 7 2" xfId="32013"/>
    <cellStyle name="Notas 2 2 5 2 2 8" xfId="32014"/>
    <cellStyle name="Notas 2 2 5 2 2 8 2" xfId="32015"/>
    <cellStyle name="Notas 2 2 5 2 2 9" xfId="32016"/>
    <cellStyle name="Notas 2 2 5 2 2 9 2" xfId="32017"/>
    <cellStyle name="Notas 2 2 5 2 3" xfId="32018"/>
    <cellStyle name="Notas 2 2 5 2 3 10" xfId="32019"/>
    <cellStyle name="Notas 2 2 5 2 3 10 2" xfId="32020"/>
    <cellStyle name="Notas 2 2 5 2 3 11" xfId="32021"/>
    <cellStyle name="Notas 2 2 5 2 3 2" xfId="32022"/>
    <cellStyle name="Notas 2 2 5 2 3 2 2" xfId="32023"/>
    <cellStyle name="Notas 2 2 5 2 3 3" xfId="32024"/>
    <cellStyle name="Notas 2 2 5 2 3 3 2" xfId="32025"/>
    <cellStyle name="Notas 2 2 5 2 3 4" xfId="32026"/>
    <cellStyle name="Notas 2 2 5 2 3 4 2" xfId="32027"/>
    <cellStyle name="Notas 2 2 5 2 3 5" xfId="32028"/>
    <cellStyle name="Notas 2 2 5 2 3 5 2" xfId="32029"/>
    <cellStyle name="Notas 2 2 5 2 3 6" xfId="32030"/>
    <cellStyle name="Notas 2 2 5 2 3 6 2" xfId="32031"/>
    <cellStyle name="Notas 2 2 5 2 3 7" xfId="32032"/>
    <cellStyle name="Notas 2 2 5 2 3 7 2" xfId="32033"/>
    <cellStyle name="Notas 2 2 5 2 3 8" xfId="32034"/>
    <cellStyle name="Notas 2 2 5 2 3 8 2" xfId="32035"/>
    <cellStyle name="Notas 2 2 5 2 3 9" xfId="32036"/>
    <cellStyle name="Notas 2 2 5 2 3 9 2" xfId="32037"/>
    <cellStyle name="Notas 2 2 5 2 4" xfId="32038"/>
    <cellStyle name="Notas 2 2 5 2 4 2" xfId="32039"/>
    <cellStyle name="Notas 2 2 5 2 5" xfId="32040"/>
    <cellStyle name="Notas 2 2 5 2 5 2" xfId="32041"/>
    <cellStyle name="Notas 2 2 5 2 6" xfId="32042"/>
    <cellStyle name="Notas 2 2 5 2 6 2" xfId="32043"/>
    <cellStyle name="Notas 2 2 5 2 7" xfId="32044"/>
    <cellStyle name="Notas 2 2 5 2 7 2" xfId="32045"/>
    <cellStyle name="Notas 2 2 5 2 8" xfId="32046"/>
    <cellStyle name="Notas 2 2 5 2 8 2" xfId="32047"/>
    <cellStyle name="Notas 2 2 5 2 9" xfId="32048"/>
    <cellStyle name="Notas 2 2 5 2 9 2" xfId="32049"/>
    <cellStyle name="Notas 2 2 5 3" xfId="32050"/>
    <cellStyle name="Notas 2 2 5 3 10" xfId="32051"/>
    <cellStyle name="Notas 2 2 5 3 10 2" xfId="32052"/>
    <cellStyle name="Notas 2 2 5 3 11" xfId="32053"/>
    <cellStyle name="Notas 2 2 5 3 11 2" xfId="32054"/>
    <cellStyle name="Notas 2 2 5 3 12" xfId="32055"/>
    <cellStyle name="Notas 2 2 5 3 12 2" xfId="32056"/>
    <cellStyle name="Notas 2 2 5 3 13" xfId="32057"/>
    <cellStyle name="Notas 2 2 5 3 2" xfId="32058"/>
    <cellStyle name="Notas 2 2 5 3 2 10" xfId="32059"/>
    <cellStyle name="Notas 2 2 5 3 2 10 2" xfId="32060"/>
    <cellStyle name="Notas 2 2 5 3 2 11" xfId="32061"/>
    <cellStyle name="Notas 2 2 5 3 2 2" xfId="32062"/>
    <cellStyle name="Notas 2 2 5 3 2 2 2" xfId="32063"/>
    <cellStyle name="Notas 2 2 5 3 2 3" xfId="32064"/>
    <cellStyle name="Notas 2 2 5 3 2 3 2" xfId="32065"/>
    <cellStyle name="Notas 2 2 5 3 2 4" xfId="32066"/>
    <cellStyle name="Notas 2 2 5 3 2 4 2" xfId="32067"/>
    <cellStyle name="Notas 2 2 5 3 2 5" xfId="32068"/>
    <cellStyle name="Notas 2 2 5 3 2 5 2" xfId="32069"/>
    <cellStyle name="Notas 2 2 5 3 2 6" xfId="32070"/>
    <cellStyle name="Notas 2 2 5 3 2 6 2" xfId="32071"/>
    <cellStyle name="Notas 2 2 5 3 2 7" xfId="32072"/>
    <cellStyle name="Notas 2 2 5 3 2 7 2" xfId="32073"/>
    <cellStyle name="Notas 2 2 5 3 2 8" xfId="32074"/>
    <cellStyle name="Notas 2 2 5 3 2 8 2" xfId="32075"/>
    <cellStyle name="Notas 2 2 5 3 2 9" xfId="32076"/>
    <cellStyle name="Notas 2 2 5 3 2 9 2" xfId="32077"/>
    <cellStyle name="Notas 2 2 5 3 3" xfId="32078"/>
    <cellStyle name="Notas 2 2 5 3 3 10" xfId="32079"/>
    <cellStyle name="Notas 2 2 5 3 3 10 2" xfId="32080"/>
    <cellStyle name="Notas 2 2 5 3 3 11" xfId="32081"/>
    <cellStyle name="Notas 2 2 5 3 3 2" xfId="32082"/>
    <cellStyle name="Notas 2 2 5 3 3 2 2" xfId="32083"/>
    <cellStyle name="Notas 2 2 5 3 3 3" xfId="32084"/>
    <cellStyle name="Notas 2 2 5 3 3 3 2" xfId="32085"/>
    <cellStyle name="Notas 2 2 5 3 3 4" xfId="32086"/>
    <cellStyle name="Notas 2 2 5 3 3 4 2" xfId="32087"/>
    <cellStyle name="Notas 2 2 5 3 3 5" xfId="32088"/>
    <cellStyle name="Notas 2 2 5 3 3 5 2" xfId="32089"/>
    <cellStyle name="Notas 2 2 5 3 3 6" xfId="32090"/>
    <cellStyle name="Notas 2 2 5 3 3 6 2" xfId="32091"/>
    <cellStyle name="Notas 2 2 5 3 3 7" xfId="32092"/>
    <cellStyle name="Notas 2 2 5 3 3 7 2" xfId="32093"/>
    <cellStyle name="Notas 2 2 5 3 3 8" xfId="32094"/>
    <cellStyle name="Notas 2 2 5 3 3 8 2" xfId="32095"/>
    <cellStyle name="Notas 2 2 5 3 3 9" xfId="32096"/>
    <cellStyle name="Notas 2 2 5 3 3 9 2" xfId="32097"/>
    <cellStyle name="Notas 2 2 5 3 4" xfId="32098"/>
    <cellStyle name="Notas 2 2 5 3 4 2" xfId="32099"/>
    <cellStyle name="Notas 2 2 5 3 5" xfId="32100"/>
    <cellStyle name="Notas 2 2 5 3 5 2" xfId="32101"/>
    <cellStyle name="Notas 2 2 5 3 6" xfId="32102"/>
    <cellStyle name="Notas 2 2 5 3 6 2" xfId="32103"/>
    <cellStyle name="Notas 2 2 5 3 7" xfId="32104"/>
    <cellStyle name="Notas 2 2 5 3 7 2" xfId="32105"/>
    <cellStyle name="Notas 2 2 5 3 8" xfId="32106"/>
    <cellStyle name="Notas 2 2 5 3 8 2" xfId="32107"/>
    <cellStyle name="Notas 2 2 5 3 9" xfId="32108"/>
    <cellStyle name="Notas 2 2 5 3 9 2" xfId="32109"/>
    <cellStyle name="Notas 2 2 5 4" xfId="32110"/>
    <cellStyle name="Notas 2 2 5 4 10" xfId="32111"/>
    <cellStyle name="Notas 2 2 5 4 10 2" xfId="32112"/>
    <cellStyle name="Notas 2 2 5 4 11" xfId="32113"/>
    <cellStyle name="Notas 2 2 5 4 2" xfId="32114"/>
    <cellStyle name="Notas 2 2 5 4 2 2" xfId="32115"/>
    <cellStyle name="Notas 2 2 5 4 3" xfId="32116"/>
    <cellStyle name="Notas 2 2 5 4 3 2" xfId="32117"/>
    <cellStyle name="Notas 2 2 5 4 4" xfId="32118"/>
    <cellStyle name="Notas 2 2 5 4 4 2" xfId="32119"/>
    <cellStyle name="Notas 2 2 5 4 5" xfId="32120"/>
    <cellStyle name="Notas 2 2 5 4 5 2" xfId="32121"/>
    <cellStyle name="Notas 2 2 5 4 6" xfId="32122"/>
    <cellStyle name="Notas 2 2 5 4 6 2" xfId="32123"/>
    <cellStyle name="Notas 2 2 5 4 7" xfId="32124"/>
    <cellStyle name="Notas 2 2 5 4 7 2" xfId="32125"/>
    <cellStyle name="Notas 2 2 5 4 8" xfId="32126"/>
    <cellStyle name="Notas 2 2 5 4 8 2" xfId="32127"/>
    <cellStyle name="Notas 2 2 5 4 9" xfId="32128"/>
    <cellStyle name="Notas 2 2 5 4 9 2" xfId="32129"/>
    <cellStyle name="Notas 2 2 5 5" xfId="32130"/>
    <cellStyle name="Notas 2 2 5 5 10" xfId="32131"/>
    <cellStyle name="Notas 2 2 5 5 10 2" xfId="32132"/>
    <cellStyle name="Notas 2 2 5 5 11" xfId="32133"/>
    <cellStyle name="Notas 2 2 5 5 2" xfId="32134"/>
    <cellStyle name="Notas 2 2 5 5 2 2" xfId="32135"/>
    <cellStyle name="Notas 2 2 5 5 3" xfId="32136"/>
    <cellStyle name="Notas 2 2 5 5 3 2" xfId="32137"/>
    <cellStyle name="Notas 2 2 5 5 4" xfId="32138"/>
    <cellStyle name="Notas 2 2 5 5 4 2" xfId="32139"/>
    <cellStyle name="Notas 2 2 5 5 5" xfId="32140"/>
    <cellStyle name="Notas 2 2 5 5 5 2" xfId="32141"/>
    <cellStyle name="Notas 2 2 5 5 6" xfId="32142"/>
    <cellStyle name="Notas 2 2 5 5 6 2" xfId="32143"/>
    <cellStyle name="Notas 2 2 5 5 7" xfId="32144"/>
    <cellStyle name="Notas 2 2 5 5 7 2" xfId="32145"/>
    <cellStyle name="Notas 2 2 5 5 8" xfId="32146"/>
    <cellStyle name="Notas 2 2 5 5 8 2" xfId="32147"/>
    <cellStyle name="Notas 2 2 5 5 9" xfId="32148"/>
    <cellStyle name="Notas 2 2 5 5 9 2" xfId="32149"/>
    <cellStyle name="Notas 2 2 5 6" xfId="32150"/>
    <cellStyle name="Notas 2 2 5 6 2" xfId="32151"/>
    <cellStyle name="Notas 2 2 5 7" xfId="32152"/>
    <cellStyle name="Notas 2 2 5 7 2" xfId="32153"/>
    <cellStyle name="Notas 2 2 5 8" xfId="32154"/>
    <cellStyle name="Notas 2 2 5 8 2" xfId="32155"/>
    <cellStyle name="Notas 2 2 5 9" xfId="32156"/>
    <cellStyle name="Notas 2 2 5 9 2" xfId="32157"/>
    <cellStyle name="Notas 2 2 6" xfId="32158"/>
    <cellStyle name="Notas 2 2 6 10" xfId="32159"/>
    <cellStyle name="Notas 2 2 6 10 2" xfId="32160"/>
    <cellStyle name="Notas 2 2 6 11" xfId="32161"/>
    <cellStyle name="Notas 2 2 6 11 2" xfId="32162"/>
    <cellStyle name="Notas 2 2 6 12" xfId="32163"/>
    <cellStyle name="Notas 2 2 6 12 2" xfId="32164"/>
    <cellStyle name="Notas 2 2 6 13" xfId="32165"/>
    <cellStyle name="Notas 2 2 6 2" xfId="32166"/>
    <cellStyle name="Notas 2 2 6 2 10" xfId="32167"/>
    <cellStyle name="Notas 2 2 6 2 10 2" xfId="32168"/>
    <cellStyle name="Notas 2 2 6 2 11" xfId="32169"/>
    <cellStyle name="Notas 2 2 6 2 2" xfId="32170"/>
    <cellStyle name="Notas 2 2 6 2 2 2" xfId="32171"/>
    <cellStyle name="Notas 2 2 6 2 3" xfId="32172"/>
    <cellStyle name="Notas 2 2 6 2 3 2" xfId="32173"/>
    <cellStyle name="Notas 2 2 6 2 4" xfId="32174"/>
    <cellStyle name="Notas 2 2 6 2 4 2" xfId="32175"/>
    <cellStyle name="Notas 2 2 6 2 5" xfId="32176"/>
    <cellStyle name="Notas 2 2 6 2 5 2" xfId="32177"/>
    <cellStyle name="Notas 2 2 6 2 6" xfId="32178"/>
    <cellStyle name="Notas 2 2 6 2 6 2" xfId="32179"/>
    <cellStyle name="Notas 2 2 6 2 7" xfId="32180"/>
    <cellStyle name="Notas 2 2 6 2 7 2" xfId="32181"/>
    <cellStyle name="Notas 2 2 6 2 8" xfId="32182"/>
    <cellStyle name="Notas 2 2 6 2 8 2" xfId="32183"/>
    <cellStyle name="Notas 2 2 6 2 9" xfId="32184"/>
    <cellStyle name="Notas 2 2 6 2 9 2" xfId="32185"/>
    <cellStyle name="Notas 2 2 6 3" xfId="32186"/>
    <cellStyle name="Notas 2 2 6 3 10" xfId="32187"/>
    <cellStyle name="Notas 2 2 6 3 10 2" xfId="32188"/>
    <cellStyle name="Notas 2 2 6 3 11" xfId="32189"/>
    <cellStyle name="Notas 2 2 6 3 2" xfId="32190"/>
    <cellStyle name="Notas 2 2 6 3 2 2" xfId="32191"/>
    <cellStyle name="Notas 2 2 6 3 3" xfId="32192"/>
    <cellStyle name="Notas 2 2 6 3 3 2" xfId="32193"/>
    <cellStyle name="Notas 2 2 6 3 4" xfId="32194"/>
    <cellStyle name="Notas 2 2 6 3 4 2" xfId="32195"/>
    <cellStyle name="Notas 2 2 6 3 5" xfId="32196"/>
    <cellStyle name="Notas 2 2 6 3 5 2" xfId="32197"/>
    <cellStyle name="Notas 2 2 6 3 6" xfId="32198"/>
    <cellStyle name="Notas 2 2 6 3 6 2" xfId="32199"/>
    <cellStyle name="Notas 2 2 6 3 7" xfId="32200"/>
    <cellStyle name="Notas 2 2 6 3 7 2" xfId="32201"/>
    <cellStyle name="Notas 2 2 6 3 8" xfId="32202"/>
    <cellStyle name="Notas 2 2 6 3 8 2" xfId="32203"/>
    <cellStyle name="Notas 2 2 6 3 9" xfId="32204"/>
    <cellStyle name="Notas 2 2 6 3 9 2" xfId="32205"/>
    <cellStyle name="Notas 2 2 6 4" xfId="32206"/>
    <cellStyle name="Notas 2 2 6 4 2" xfId="32207"/>
    <cellStyle name="Notas 2 2 6 5" xfId="32208"/>
    <cellStyle name="Notas 2 2 6 5 2" xfId="32209"/>
    <cellStyle name="Notas 2 2 6 6" xfId="32210"/>
    <cellStyle name="Notas 2 2 6 6 2" xfId="32211"/>
    <cellStyle name="Notas 2 2 6 7" xfId="32212"/>
    <cellStyle name="Notas 2 2 6 7 2" xfId="32213"/>
    <cellStyle name="Notas 2 2 6 8" xfId="32214"/>
    <cellStyle name="Notas 2 2 6 8 2" xfId="32215"/>
    <cellStyle name="Notas 2 2 6 9" xfId="32216"/>
    <cellStyle name="Notas 2 2 6 9 2" xfId="32217"/>
    <cellStyle name="Notas 2 2 7" xfId="32218"/>
    <cellStyle name="Notas 2 2 7 10" xfId="32219"/>
    <cellStyle name="Notas 2 2 7 10 2" xfId="32220"/>
    <cellStyle name="Notas 2 2 7 11" xfId="32221"/>
    <cellStyle name="Notas 2 2 7 11 2" xfId="32222"/>
    <cellStyle name="Notas 2 2 7 12" xfId="32223"/>
    <cellStyle name="Notas 2 2 7 12 2" xfId="32224"/>
    <cellStyle name="Notas 2 2 7 13" xfId="32225"/>
    <cellStyle name="Notas 2 2 7 2" xfId="32226"/>
    <cellStyle name="Notas 2 2 7 2 10" xfId="32227"/>
    <cellStyle name="Notas 2 2 7 2 10 2" xfId="32228"/>
    <cellStyle name="Notas 2 2 7 2 11" xfId="32229"/>
    <cellStyle name="Notas 2 2 7 2 2" xfId="32230"/>
    <cellStyle name="Notas 2 2 7 2 2 2" xfId="32231"/>
    <cellStyle name="Notas 2 2 7 2 3" xfId="32232"/>
    <cellStyle name="Notas 2 2 7 2 3 2" xfId="32233"/>
    <cellStyle name="Notas 2 2 7 2 4" xfId="32234"/>
    <cellStyle name="Notas 2 2 7 2 4 2" xfId="32235"/>
    <cellStyle name="Notas 2 2 7 2 5" xfId="32236"/>
    <cellStyle name="Notas 2 2 7 2 5 2" xfId="32237"/>
    <cellStyle name="Notas 2 2 7 2 6" xfId="32238"/>
    <cellStyle name="Notas 2 2 7 2 6 2" xfId="32239"/>
    <cellStyle name="Notas 2 2 7 2 7" xfId="32240"/>
    <cellStyle name="Notas 2 2 7 2 7 2" xfId="32241"/>
    <cellStyle name="Notas 2 2 7 2 8" xfId="32242"/>
    <cellStyle name="Notas 2 2 7 2 8 2" xfId="32243"/>
    <cellStyle name="Notas 2 2 7 2 9" xfId="32244"/>
    <cellStyle name="Notas 2 2 7 2 9 2" xfId="32245"/>
    <cellStyle name="Notas 2 2 7 3" xfId="32246"/>
    <cellStyle name="Notas 2 2 7 3 10" xfId="32247"/>
    <cellStyle name="Notas 2 2 7 3 10 2" xfId="32248"/>
    <cellStyle name="Notas 2 2 7 3 11" xfId="32249"/>
    <cellStyle name="Notas 2 2 7 3 2" xfId="32250"/>
    <cellStyle name="Notas 2 2 7 3 2 2" xfId="32251"/>
    <cellStyle name="Notas 2 2 7 3 3" xfId="32252"/>
    <cellStyle name="Notas 2 2 7 3 3 2" xfId="32253"/>
    <cellStyle name="Notas 2 2 7 3 4" xfId="32254"/>
    <cellStyle name="Notas 2 2 7 3 4 2" xfId="32255"/>
    <cellStyle name="Notas 2 2 7 3 5" xfId="32256"/>
    <cellStyle name="Notas 2 2 7 3 5 2" xfId="32257"/>
    <cellStyle name="Notas 2 2 7 3 6" xfId="32258"/>
    <cellStyle name="Notas 2 2 7 3 6 2" xfId="32259"/>
    <cellStyle name="Notas 2 2 7 3 7" xfId="32260"/>
    <cellStyle name="Notas 2 2 7 3 7 2" xfId="32261"/>
    <cellStyle name="Notas 2 2 7 3 8" xfId="32262"/>
    <cellStyle name="Notas 2 2 7 3 8 2" xfId="32263"/>
    <cellStyle name="Notas 2 2 7 3 9" xfId="32264"/>
    <cellStyle name="Notas 2 2 7 3 9 2" xfId="32265"/>
    <cellStyle name="Notas 2 2 7 4" xfId="32266"/>
    <cellStyle name="Notas 2 2 7 4 2" xfId="32267"/>
    <cellStyle name="Notas 2 2 7 5" xfId="32268"/>
    <cellStyle name="Notas 2 2 7 5 2" xfId="32269"/>
    <cellStyle name="Notas 2 2 7 6" xfId="32270"/>
    <cellStyle name="Notas 2 2 7 6 2" xfId="32271"/>
    <cellStyle name="Notas 2 2 7 7" xfId="32272"/>
    <cellStyle name="Notas 2 2 7 7 2" xfId="32273"/>
    <cellStyle name="Notas 2 2 7 8" xfId="32274"/>
    <cellStyle name="Notas 2 2 7 8 2" xfId="32275"/>
    <cellStyle name="Notas 2 2 7 9" xfId="32276"/>
    <cellStyle name="Notas 2 2 7 9 2" xfId="32277"/>
    <cellStyle name="Notas 2 2 8" xfId="32278"/>
    <cellStyle name="Notas 2 2 8 2" xfId="32279"/>
    <cellStyle name="Notas 2 2 9" xfId="32280"/>
    <cellStyle name="Notas 2 2 9 2" xfId="32281"/>
    <cellStyle name="Notas 2 20" xfId="32282"/>
    <cellStyle name="Notas 2 20 2" xfId="32283"/>
    <cellStyle name="Notas 2 21" xfId="32284"/>
    <cellStyle name="Notas 2 22" xfId="32285"/>
    <cellStyle name="Notas 2 23" xfId="32286"/>
    <cellStyle name="Notas 2 3" xfId="201"/>
    <cellStyle name="Notas 2 3 10" xfId="32287"/>
    <cellStyle name="Notas 2 3 10 2" xfId="32288"/>
    <cellStyle name="Notas 2 3 11" xfId="32289"/>
    <cellStyle name="Notas 2 3 11 2" xfId="32290"/>
    <cellStyle name="Notas 2 3 12" xfId="32291"/>
    <cellStyle name="Notas 2 3 12 2" xfId="32292"/>
    <cellStyle name="Notas 2 3 13" xfId="32293"/>
    <cellStyle name="Notas 2 3 13 2" xfId="32294"/>
    <cellStyle name="Notas 2 3 14" xfId="32295"/>
    <cellStyle name="Notas 2 3 14 2" xfId="32296"/>
    <cellStyle name="Notas 2 3 15" xfId="32297"/>
    <cellStyle name="Notas 2 3 15 2" xfId="32298"/>
    <cellStyle name="Notas 2 3 16" xfId="32299"/>
    <cellStyle name="Notas 2 3 16 2" xfId="32300"/>
    <cellStyle name="Notas 2 3 17" xfId="32301"/>
    <cellStyle name="Notas 2 3 18" xfId="32302"/>
    <cellStyle name="Notas 2 3 19" xfId="32303"/>
    <cellStyle name="Notas 2 3 2" xfId="32304"/>
    <cellStyle name="Notas 2 3 2 10" xfId="32305"/>
    <cellStyle name="Notas 2 3 2 10 2" xfId="32306"/>
    <cellStyle name="Notas 2 3 2 11" xfId="32307"/>
    <cellStyle name="Notas 2 3 2 11 2" xfId="32308"/>
    <cellStyle name="Notas 2 3 2 12" xfId="32309"/>
    <cellStyle name="Notas 2 3 2 12 2" xfId="32310"/>
    <cellStyle name="Notas 2 3 2 13" xfId="32311"/>
    <cellStyle name="Notas 2 3 2 13 2" xfId="32312"/>
    <cellStyle name="Notas 2 3 2 14" xfId="32313"/>
    <cellStyle name="Notas 2 3 2 14 2" xfId="32314"/>
    <cellStyle name="Notas 2 3 2 15" xfId="32315"/>
    <cellStyle name="Notas 2 3 2 2" xfId="32316"/>
    <cellStyle name="Notas 2 3 2 2 10" xfId="32317"/>
    <cellStyle name="Notas 2 3 2 2 10 2" xfId="32318"/>
    <cellStyle name="Notas 2 3 2 2 11" xfId="32319"/>
    <cellStyle name="Notas 2 3 2 2 11 2" xfId="32320"/>
    <cellStyle name="Notas 2 3 2 2 12" xfId="32321"/>
    <cellStyle name="Notas 2 3 2 2 12 2" xfId="32322"/>
    <cellStyle name="Notas 2 3 2 2 13" xfId="32323"/>
    <cellStyle name="Notas 2 3 2 2 2" xfId="32324"/>
    <cellStyle name="Notas 2 3 2 2 2 10" xfId="32325"/>
    <cellStyle name="Notas 2 3 2 2 2 10 2" xfId="32326"/>
    <cellStyle name="Notas 2 3 2 2 2 11" xfId="32327"/>
    <cellStyle name="Notas 2 3 2 2 2 2" xfId="32328"/>
    <cellStyle name="Notas 2 3 2 2 2 2 2" xfId="32329"/>
    <cellStyle name="Notas 2 3 2 2 2 3" xfId="32330"/>
    <cellStyle name="Notas 2 3 2 2 2 3 2" xfId="32331"/>
    <cellStyle name="Notas 2 3 2 2 2 4" xfId="32332"/>
    <cellStyle name="Notas 2 3 2 2 2 4 2" xfId="32333"/>
    <cellStyle name="Notas 2 3 2 2 2 5" xfId="32334"/>
    <cellStyle name="Notas 2 3 2 2 2 5 2" xfId="32335"/>
    <cellStyle name="Notas 2 3 2 2 2 6" xfId="32336"/>
    <cellStyle name="Notas 2 3 2 2 2 6 2" xfId="32337"/>
    <cellStyle name="Notas 2 3 2 2 2 7" xfId="32338"/>
    <cellStyle name="Notas 2 3 2 2 2 7 2" xfId="32339"/>
    <cellStyle name="Notas 2 3 2 2 2 8" xfId="32340"/>
    <cellStyle name="Notas 2 3 2 2 2 8 2" xfId="32341"/>
    <cellStyle name="Notas 2 3 2 2 2 9" xfId="32342"/>
    <cellStyle name="Notas 2 3 2 2 2 9 2" xfId="32343"/>
    <cellStyle name="Notas 2 3 2 2 3" xfId="32344"/>
    <cellStyle name="Notas 2 3 2 2 3 10" xfId="32345"/>
    <cellStyle name="Notas 2 3 2 2 3 10 2" xfId="32346"/>
    <cellStyle name="Notas 2 3 2 2 3 11" xfId="32347"/>
    <cellStyle name="Notas 2 3 2 2 3 2" xfId="32348"/>
    <cellStyle name="Notas 2 3 2 2 3 2 2" xfId="32349"/>
    <cellStyle name="Notas 2 3 2 2 3 3" xfId="32350"/>
    <cellStyle name="Notas 2 3 2 2 3 3 2" xfId="32351"/>
    <cellStyle name="Notas 2 3 2 2 3 4" xfId="32352"/>
    <cellStyle name="Notas 2 3 2 2 3 4 2" xfId="32353"/>
    <cellStyle name="Notas 2 3 2 2 3 5" xfId="32354"/>
    <cellStyle name="Notas 2 3 2 2 3 5 2" xfId="32355"/>
    <cellStyle name="Notas 2 3 2 2 3 6" xfId="32356"/>
    <cellStyle name="Notas 2 3 2 2 3 6 2" xfId="32357"/>
    <cellStyle name="Notas 2 3 2 2 3 7" xfId="32358"/>
    <cellStyle name="Notas 2 3 2 2 3 7 2" xfId="32359"/>
    <cellStyle name="Notas 2 3 2 2 3 8" xfId="32360"/>
    <cellStyle name="Notas 2 3 2 2 3 8 2" xfId="32361"/>
    <cellStyle name="Notas 2 3 2 2 3 9" xfId="32362"/>
    <cellStyle name="Notas 2 3 2 2 3 9 2" xfId="32363"/>
    <cellStyle name="Notas 2 3 2 2 4" xfId="32364"/>
    <cellStyle name="Notas 2 3 2 2 4 2" xfId="32365"/>
    <cellStyle name="Notas 2 3 2 2 5" xfId="32366"/>
    <cellStyle name="Notas 2 3 2 2 5 2" xfId="32367"/>
    <cellStyle name="Notas 2 3 2 2 6" xfId="32368"/>
    <cellStyle name="Notas 2 3 2 2 6 2" xfId="32369"/>
    <cellStyle name="Notas 2 3 2 2 7" xfId="32370"/>
    <cellStyle name="Notas 2 3 2 2 7 2" xfId="32371"/>
    <cellStyle name="Notas 2 3 2 2 8" xfId="32372"/>
    <cellStyle name="Notas 2 3 2 2 8 2" xfId="32373"/>
    <cellStyle name="Notas 2 3 2 2 9" xfId="32374"/>
    <cellStyle name="Notas 2 3 2 2 9 2" xfId="32375"/>
    <cellStyle name="Notas 2 3 2 3" xfId="32376"/>
    <cellStyle name="Notas 2 3 2 3 10" xfId="32377"/>
    <cellStyle name="Notas 2 3 2 3 10 2" xfId="32378"/>
    <cellStyle name="Notas 2 3 2 3 11" xfId="32379"/>
    <cellStyle name="Notas 2 3 2 3 11 2" xfId="32380"/>
    <cellStyle name="Notas 2 3 2 3 12" xfId="32381"/>
    <cellStyle name="Notas 2 3 2 3 12 2" xfId="32382"/>
    <cellStyle name="Notas 2 3 2 3 13" xfId="32383"/>
    <cellStyle name="Notas 2 3 2 3 2" xfId="32384"/>
    <cellStyle name="Notas 2 3 2 3 2 10" xfId="32385"/>
    <cellStyle name="Notas 2 3 2 3 2 10 2" xfId="32386"/>
    <cellStyle name="Notas 2 3 2 3 2 11" xfId="32387"/>
    <cellStyle name="Notas 2 3 2 3 2 2" xfId="32388"/>
    <cellStyle name="Notas 2 3 2 3 2 2 2" xfId="32389"/>
    <cellStyle name="Notas 2 3 2 3 2 3" xfId="32390"/>
    <cellStyle name="Notas 2 3 2 3 2 3 2" xfId="32391"/>
    <cellStyle name="Notas 2 3 2 3 2 4" xfId="32392"/>
    <cellStyle name="Notas 2 3 2 3 2 4 2" xfId="32393"/>
    <cellStyle name="Notas 2 3 2 3 2 5" xfId="32394"/>
    <cellStyle name="Notas 2 3 2 3 2 5 2" xfId="32395"/>
    <cellStyle name="Notas 2 3 2 3 2 6" xfId="32396"/>
    <cellStyle name="Notas 2 3 2 3 2 6 2" xfId="32397"/>
    <cellStyle name="Notas 2 3 2 3 2 7" xfId="32398"/>
    <cellStyle name="Notas 2 3 2 3 2 7 2" xfId="32399"/>
    <cellStyle name="Notas 2 3 2 3 2 8" xfId="32400"/>
    <cellStyle name="Notas 2 3 2 3 2 8 2" xfId="32401"/>
    <cellStyle name="Notas 2 3 2 3 2 9" xfId="32402"/>
    <cellStyle name="Notas 2 3 2 3 2 9 2" xfId="32403"/>
    <cellStyle name="Notas 2 3 2 3 3" xfId="32404"/>
    <cellStyle name="Notas 2 3 2 3 3 10" xfId="32405"/>
    <cellStyle name="Notas 2 3 2 3 3 10 2" xfId="32406"/>
    <cellStyle name="Notas 2 3 2 3 3 11" xfId="32407"/>
    <cellStyle name="Notas 2 3 2 3 3 2" xfId="32408"/>
    <cellStyle name="Notas 2 3 2 3 3 2 2" xfId="32409"/>
    <cellStyle name="Notas 2 3 2 3 3 3" xfId="32410"/>
    <cellStyle name="Notas 2 3 2 3 3 3 2" xfId="32411"/>
    <cellStyle name="Notas 2 3 2 3 3 4" xfId="32412"/>
    <cellStyle name="Notas 2 3 2 3 3 4 2" xfId="32413"/>
    <cellStyle name="Notas 2 3 2 3 3 5" xfId="32414"/>
    <cellStyle name="Notas 2 3 2 3 3 5 2" xfId="32415"/>
    <cellStyle name="Notas 2 3 2 3 3 6" xfId="32416"/>
    <cellStyle name="Notas 2 3 2 3 3 6 2" xfId="32417"/>
    <cellStyle name="Notas 2 3 2 3 3 7" xfId="32418"/>
    <cellStyle name="Notas 2 3 2 3 3 7 2" xfId="32419"/>
    <cellStyle name="Notas 2 3 2 3 3 8" xfId="32420"/>
    <cellStyle name="Notas 2 3 2 3 3 8 2" xfId="32421"/>
    <cellStyle name="Notas 2 3 2 3 3 9" xfId="32422"/>
    <cellStyle name="Notas 2 3 2 3 3 9 2" xfId="32423"/>
    <cellStyle name="Notas 2 3 2 3 4" xfId="32424"/>
    <cellStyle name="Notas 2 3 2 3 4 2" xfId="32425"/>
    <cellStyle name="Notas 2 3 2 3 5" xfId="32426"/>
    <cellStyle name="Notas 2 3 2 3 5 2" xfId="32427"/>
    <cellStyle name="Notas 2 3 2 3 6" xfId="32428"/>
    <cellStyle name="Notas 2 3 2 3 6 2" xfId="32429"/>
    <cellStyle name="Notas 2 3 2 3 7" xfId="32430"/>
    <cellStyle name="Notas 2 3 2 3 7 2" xfId="32431"/>
    <cellStyle name="Notas 2 3 2 3 8" xfId="32432"/>
    <cellStyle name="Notas 2 3 2 3 8 2" xfId="32433"/>
    <cellStyle name="Notas 2 3 2 3 9" xfId="32434"/>
    <cellStyle name="Notas 2 3 2 3 9 2" xfId="32435"/>
    <cellStyle name="Notas 2 3 2 4" xfId="32436"/>
    <cellStyle name="Notas 2 3 2 4 10" xfId="32437"/>
    <cellStyle name="Notas 2 3 2 4 10 2" xfId="32438"/>
    <cellStyle name="Notas 2 3 2 4 11" xfId="32439"/>
    <cellStyle name="Notas 2 3 2 4 2" xfId="32440"/>
    <cellStyle name="Notas 2 3 2 4 2 2" xfId="32441"/>
    <cellStyle name="Notas 2 3 2 4 3" xfId="32442"/>
    <cellStyle name="Notas 2 3 2 4 3 2" xfId="32443"/>
    <cellStyle name="Notas 2 3 2 4 4" xfId="32444"/>
    <cellStyle name="Notas 2 3 2 4 4 2" xfId="32445"/>
    <cellStyle name="Notas 2 3 2 4 5" xfId="32446"/>
    <cellStyle name="Notas 2 3 2 4 5 2" xfId="32447"/>
    <cellStyle name="Notas 2 3 2 4 6" xfId="32448"/>
    <cellStyle name="Notas 2 3 2 4 6 2" xfId="32449"/>
    <cellStyle name="Notas 2 3 2 4 7" xfId="32450"/>
    <cellStyle name="Notas 2 3 2 4 7 2" xfId="32451"/>
    <cellStyle name="Notas 2 3 2 4 8" xfId="32452"/>
    <cellStyle name="Notas 2 3 2 4 8 2" xfId="32453"/>
    <cellStyle name="Notas 2 3 2 4 9" xfId="32454"/>
    <cellStyle name="Notas 2 3 2 4 9 2" xfId="32455"/>
    <cellStyle name="Notas 2 3 2 5" xfId="32456"/>
    <cellStyle name="Notas 2 3 2 5 10" xfId="32457"/>
    <cellStyle name="Notas 2 3 2 5 10 2" xfId="32458"/>
    <cellStyle name="Notas 2 3 2 5 11" xfId="32459"/>
    <cellStyle name="Notas 2 3 2 5 2" xfId="32460"/>
    <cellStyle name="Notas 2 3 2 5 2 2" xfId="32461"/>
    <cellStyle name="Notas 2 3 2 5 3" xfId="32462"/>
    <cellStyle name="Notas 2 3 2 5 3 2" xfId="32463"/>
    <cellStyle name="Notas 2 3 2 5 4" xfId="32464"/>
    <cellStyle name="Notas 2 3 2 5 4 2" xfId="32465"/>
    <cellStyle name="Notas 2 3 2 5 5" xfId="32466"/>
    <cellStyle name="Notas 2 3 2 5 5 2" xfId="32467"/>
    <cellStyle name="Notas 2 3 2 5 6" xfId="32468"/>
    <cellStyle name="Notas 2 3 2 5 6 2" xfId="32469"/>
    <cellStyle name="Notas 2 3 2 5 7" xfId="32470"/>
    <cellStyle name="Notas 2 3 2 5 7 2" xfId="32471"/>
    <cellStyle name="Notas 2 3 2 5 8" xfId="32472"/>
    <cellStyle name="Notas 2 3 2 5 8 2" xfId="32473"/>
    <cellStyle name="Notas 2 3 2 5 9" xfId="32474"/>
    <cellStyle name="Notas 2 3 2 5 9 2" xfId="32475"/>
    <cellStyle name="Notas 2 3 2 6" xfId="32476"/>
    <cellStyle name="Notas 2 3 2 6 2" xfId="32477"/>
    <cellStyle name="Notas 2 3 2 7" xfId="32478"/>
    <cellStyle name="Notas 2 3 2 7 2" xfId="32479"/>
    <cellStyle name="Notas 2 3 2 8" xfId="32480"/>
    <cellStyle name="Notas 2 3 2 8 2" xfId="32481"/>
    <cellStyle name="Notas 2 3 2 9" xfId="32482"/>
    <cellStyle name="Notas 2 3 2 9 2" xfId="32483"/>
    <cellStyle name="Notas 2 3 3" xfId="32484"/>
    <cellStyle name="Notas 2 3 3 10" xfId="32485"/>
    <cellStyle name="Notas 2 3 3 10 2" xfId="32486"/>
    <cellStyle name="Notas 2 3 3 11" xfId="32487"/>
    <cellStyle name="Notas 2 3 3 11 2" xfId="32488"/>
    <cellStyle name="Notas 2 3 3 12" xfId="32489"/>
    <cellStyle name="Notas 2 3 3 12 2" xfId="32490"/>
    <cellStyle name="Notas 2 3 3 13" xfId="32491"/>
    <cellStyle name="Notas 2 3 3 13 2" xfId="32492"/>
    <cellStyle name="Notas 2 3 3 14" xfId="32493"/>
    <cellStyle name="Notas 2 3 3 14 2" xfId="32494"/>
    <cellStyle name="Notas 2 3 3 15" xfId="32495"/>
    <cellStyle name="Notas 2 3 3 2" xfId="32496"/>
    <cellStyle name="Notas 2 3 3 2 10" xfId="32497"/>
    <cellStyle name="Notas 2 3 3 2 10 2" xfId="32498"/>
    <cellStyle name="Notas 2 3 3 2 11" xfId="32499"/>
    <cellStyle name="Notas 2 3 3 2 11 2" xfId="32500"/>
    <cellStyle name="Notas 2 3 3 2 12" xfId="32501"/>
    <cellStyle name="Notas 2 3 3 2 12 2" xfId="32502"/>
    <cellStyle name="Notas 2 3 3 2 13" xfId="32503"/>
    <cellStyle name="Notas 2 3 3 2 2" xfId="32504"/>
    <cellStyle name="Notas 2 3 3 2 2 10" xfId="32505"/>
    <cellStyle name="Notas 2 3 3 2 2 10 2" xfId="32506"/>
    <cellStyle name="Notas 2 3 3 2 2 11" xfId="32507"/>
    <cellStyle name="Notas 2 3 3 2 2 2" xfId="32508"/>
    <cellStyle name="Notas 2 3 3 2 2 2 2" xfId="32509"/>
    <cellStyle name="Notas 2 3 3 2 2 3" xfId="32510"/>
    <cellStyle name="Notas 2 3 3 2 2 3 2" xfId="32511"/>
    <cellStyle name="Notas 2 3 3 2 2 4" xfId="32512"/>
    <cellStyle name="Notas 2 3 3 2 2 4 2" xfId="32513"/>
    <cellStyle name="Notas 2 3 3 2 2 5" xfId="32514"/>
    <cellStyle name="Notas 2 3 3 2 2 5 2" xfId="32515"/>
    <cellStyle name="Notas 2 3 3 2 2 6" xfId="32516"/>
    <cellStyle name="Notas 2 3 3 2 2 6 2" xfId="32517"/>
    <cellStyle name="Notas 2 3 3 2 2 7" xfId="32518"/>
    <cellStyle name="Notas 2 3 3 2 2 7 2" xfId="32519"/>
    <cellStyle name="Notas 2 3 3 2 2 8" xfId="32520"/>
    <cellStyle name="Notas 2 3 3 2 2 8 2" xfId="32521"/>
    <cellStyle name="Notas 2 3 3 2 2 9" xfId="32522"/>
    <cellStyle name="Notas 2 3 3 2 2 9 2" xfId="32523"/>
    <cellStyle name="Notas 2 3 3 2 3" xfId="32524"/>
    <cellStyle name="Notas 2 3 3 2 3 10" xfId="32525"/>
    <cellStyle name="Notas 2 3 3 2 3 10 2" xfId="32526"/>
    <cellStyle name="Notas 2 3 3 2 3 11" xfId="32527"/>
    <cellStyle name="Notas 2 3 3 2 3 2" xfId="32528"/>
    <cellStyle name="Notas 2 3 3 2 3 2 2" xfId="32529"/>
    <cellStyle name="Notas 2 3 3 2 3 3" xfId="32530"/>
    <cellStyle name="Notas 2 3 3 2 3 3 2" xfId="32531"/>
    <cellStyle name="Notas 2 3 3 2 3 4" xfId="32532"/>
    <cellStyle name="Notas 2 3 3 2 3 4 2" xfId="32533"/>
    <cellStyle name="Notas 2 3 3 2 3 5" xfId="32534"/>
    <cellStyle name="Notas 2 3 3 2 3 5 2" xfId="32535"/>
    <cellStyle name="Notas 2 3 3 2 3 6" xfId="32536"/>
    <cellStyle name="Notas 2 3 3 2 3 6 2" xfId="32537"/>
    <cellStyle name="Notas 2 3 3 2 3 7" xfId="32538"/>
    <cellStyle name="Notas 2 3 3 2 3 7 2" xfId="32539"/>
    <cellStyle name="Notas 2 3 3 2 3 8" xfId="32540"/>
    <cellStyle name="Notas 2 3 3 2 3 8 2" xfId="32541"/>
    <cellStyle name="Notas 2 3 3 2 3 9" xfId="32542"/>
    <cellStyle name="Notas 2 3 3 2 3 9 2" xfId="32543"/>
    <cellStyle name="Notas 2 3 3 2 4" xfId="32544"/>
    <cellStyle name="Notas 2 3 3 2 4 2" xfId="32545"/>
    <cellStyle name="Notas 2 3 3 2 5" xfId="32546"/>
    <cellStyle name="Notas 2 3 3 2 5 2" xfId="32547"/>
    <cellStyle name="Notas 2 3 3 2 6" xfId="32548"/>
    <cellStyle name="Notas 2 3 3 2 6 2" xfId="32549"/>
    <cellStyle name="Notas 2 3 3 2 7" xfId="32550"/>
    <cellStyle name="Notas 2 3 3 2 7 2" xfId="32551"/>
    <cellStyle name="Notas 2 3 3 2 8" xfId="32552"/>
    <cellStyle name="Notas 2 3 3 2 8 2" xfId="32553"/>
    <cellStyle name="Notas 2 3 3 2 9" xfId="32554"/>
    <cellStyle name="Notas 2 3 3 2 9 2" xfId="32555"/>
    <cellStyle name="Notas 2 3 3 3" xfId="32556"/>
    <cellStyle name="Notas 2 3 3 3 10" xfId="32557"/>
    <cellStyle name="Notas 2 3 3 3 10 2" xfId="32558"/>
    <cellStyle name="Notas 2 3 3 3 11" xfId="32559"/>
    <cellStyle name="Notas 2 3 3 3 11 2" xfId="32560"/>
    <cellStyle name="Notas 2 3 3 3 12" xfId="32561"/>
    <cellStyle name="Notas 2 3 3 3 12 2" xfId="32562"/>
    <cellStyle name="Notas 2 3 3 3 13" xfId="32563"/>
    <cellStyle name="Notas 2 3 3 3 2" xfId="32564"/>
    <cellStyle name="Notas 2 3 3 3 2 10" xfId="32565"/>
    <cellStyle name="Notas 2 3 3 3 2 10 2" xfId="32566"/>
    <cellStyle name="Notas 2 3 3 3 2 11" xfId="32567"/>
    <cellStyle name="Notas 2 3 3 3 2 2" xfId="32568"/>
    <cellStyle name="Notas 2 3 3 3 2 2 2" xfId="32569"/>
    <cellStyle name="Notas 2 3 3 3 2 3" xfId="32570"/>
    <cellStyle name="Notas 2 3 3 3 2 3 2" xfId="32571"/>
    <cellStyle name="Notas 2 3 3 3 2 4" xfId="32572"/>
    <cellStyle name="Notas 2 3 3 3 2 4 2" xfId="32573"/>
    <cellStyle name="Notas 2 3 3 3 2 5" xfId="32574"/>
    <cellStyle name="Notas 2 3 3 3 2 5 2" xfId="32575"/>
    <cellStyle name="Notas 2 3 3 3 2 6" xfId="32576"/>
    <cellStyle name="Notas 2 3 3 3 2 6 2" xfId="32577"/>
    <cellStyle name="Notas 2 3 3 3 2 7" xfId="32578"/>
    <cellStyle name="Notas 2 3 3 3 2 7 2" xfId="32579"/>
    <cellStyle name="Notas 2 3 3 3 2 8" xfId="32580"/>
    <cellStyle name="Notas 2 3 3 3 2 8 2" xfId="32581"/>
    <cellStyle name="Notas 2 3 3 3 2 9" xfId="32582"/>
    <cellStyle name="Notas 2 3 3 3 2 9 2" xfId="32583"/>
    <cellStyle name="Notas 2 3 3 3 3" xfId="32584"/>
    <cellStyle name="Notas 2 3 3 3 3 10" xfId="32585"/>
    <cellStyle name="Notas 2 3 3 3 3 10 2" xfId="32586"/>
    <cellStyle name="Notas 2 3 3 3 3 11" xfId="32587"/>
    <cellStyle name="Notas 2 3 3 3 3 2" xfId="32588"/>
    <cellStyle name="Notas 2 3 3 3 3 2 2" xfId="32589"/>
    <cellStyle name="Notas 2 3 3 3 3 3" xfId="32590"/>
    <cellStyle name="Notas 2 3 3 3 3 3 2" xfId="32591"/>
    <cellStyle name="Notas 2 3 3 3 3 4" xfId="32592"/>
    <cellStyle name="Notas 2 3 3 3 3 4 2" xfId="32593"/>
    <cellStyle name="Notas 2 3 3 3 3 5" xfId="32594"/>
    <cellStyle name="Notas 2 3 3 3 3 5 2" xfId="32595"/>
    <cellStyle name="Notas 2 3 3 3 3 6" xfId="32596"/>
    <cellStyle name="Notas 2 3 3 3 3 6 2" xfId="32597"/>
    <cellStyle name="Notas 2 3 3 3 3 7" xfId="32598"/>
    <cellStyle name="Notas 2 3 3 3 3 7 2" xfId="32599"/>
    <cellStyle name="Notas 2 3 3 3 3 8" xfId="32600"/>
    <cellStyle name="Notas 2 3 3 3 3 8 2" xfId="32601"/>
    <cellStyle name="Notas 2 3 3 3 3 9" xfId="32602"/>
    <cellStyle name="Notas 2 3 3 3 3 9 2" xfId="32603"/>
    <cellStyle name="Notas 2 3 3 3 4" xfId="32604"/>
    <cellStyle name="Notas 2 3 3 3 4 2" xfId="32605"/>
    <cellStyle name="Notas 2 3 3 3 5" xfId="32606"/>
    <cellStyle name="Notas 2 3 3 3 5 2" xfId="32607"/>
    <cellStyle name="Notas 2 3 3 3 6" xfId="32608"/>
    <cellStyle name="Notas 2 3 3 3 6 2" xfId="32609"/>
    <cellStyle name="Notas 2 3 3 3 7" xfId="32610"/>
    <cellStyle name="Notas 2 3 3 3 7 2" xfId="32611"/>
    <cellStyle name="Notas 2 3 3 3 8" xfId="32612"/>
    <cellStyle name="Notas 2 3 3 3 8 2" xfId="32613"/>
    <cellStyle name="Notas 2 3 3 3 9" xfId="32614"/>
    <cellStyle name="Notas 2 3 3 3 9 2" xfId="32615"/>
    <cellStyle name="Notas 2 3 3 4" xfId="32616"/>
    <cellStyle name="Notas 2 3 3 4 10" xfId="32617"/>
    <cellStyle name="Notas 2 3 3 4 10 2" xfId="32618"/>
    <cellStyle name="Notas 2 3 3 4 11" xfId="32619"/>
    <cellStyle name="Notas 2 3 3 4 2" xfId="32620"/>
    <cellStyle name="Notas 2 3 3 4 2 2" xfId="32621"/>
    <cellStyle name="Notas 2 3 3 4 3" xfId="32622"/>
    <cellStyle name="Notas 2 3 3 4 3 2" xfId="32623"/>
    <cellStyle name="Notas 2 3 3 4 4" xfId="32624"/>
    <cellStyle name="Notas 2 3 3 4 4 2" xfId="32625"/>
    <cellStyle name="Notas 2 3 3 4 5" xfId="32626"/>
    <cellStyle name="Notas 2 3 3 4 5 2" xfId="32627"/>
    <cellStyle name="Notas 2 3 3 4 6" xfId="32628"/>
    <cellStyle name="Notas 2 3 3 4 6 2" xfId="32629"/>
    <cellStyle name="Notas 2 3 3 4 7" xfId="32630"/>
    <cellStyle name="Notas 2 3 3 4 7 2" xfId="32631"/>
    <cellStyle name="Notas 2 3 3 4 8" xfId="32632"/>
    <cellStyle name="Notas 2 3 3 4 8 2" xfId="32633"/>
    <cellStyle name="Notas 2 3 3 4 9" xfId="32634"/>
    <cellStyle name="Notas 2 3 3 4 9 2" xfId="32635"/>
    <cellStyle name="Notas 2 3 3 5" xfId="32636"/>
    <cellStyle name="Notas 2 3 3 5 10" xfId="32637"/>
    <cellStyle name="Notas 2 3 3 5 10 2" xfId="32638"/>
    <cellStyle name="Notas 2 3 3 5 11" xfId="32639"/>
    <cellStyle name="Notas 2 3 3 5 2" xfId="32640"/>
    <cellStyle name="Notas 2 3 3 5 2 2" xfId="32641"/>
    <cellStyle name="Notas 2 3 3 5 3" xfId="32642"/>
    <cellStyle name="Notas 2 3 3 5 3 2" xfId="32643"/>
    <cellStyle name="Notas 2 3 3 5 4" xfId="32644"/>
    <cellStyle name="Notas 2 3 3 5 4 2" xfId="32645"/>
    <cellStyle name="Notas 2 3 3 5 5" xfId="32646"/>
    <cellStyle name="Notas 2 3 3 5 5 2" xfId="32647"/>
    <cellStyle name="Notas 2 3 3 5 6" xfId="32648"/>
    <cellStyle name="Notas 2 3 3 5 6 2" xfId="32649"/>
    <cellStyle name="Notas 2 3 3 5 7" xfId="32650"/>
    <cellStyle name="Notas 2 3 3 5 7 2" xfId="32651"/>
    <cellStyle name="Notas 2 3 3 5 8" xfId="32652"/>
    <cellStyle name="Notas 2 3 3 5 8 2" xfId="32653"/>
    <cellStyle name="Notas 2 3 3 5 9" xfId="32654"/>
    <cellStyle name="Notas 2 3 3 5 9 2" xfId="32655"/>
    <cellStyle name="Notas 2 3 3 6" xfId="32656"/>
    <cellStyle name="Notas 2 3 3 6 2" xfId="32657"/>
    <cellStyle name="Notas 2 3 3 7" xfId="32658"/>
    <cellStyle name="Notas 2 3 3 7 2" xfId="32659"/>
    <cellStyle name="Notas 2 3 3 8" xfId="32660"/>
    <cellStyle name="Notas 2 3 3 8 2" xfId="32661"/>
    <cellStyle name="Notas 2 3 3 9" xfId="32662"/>
    <cellStyle name="Notas 2 3 3 9 2" xfId="32663"/>
    <cellStyle name="Notas 2 3 4" xfId="32664"/>
    <cellStyle name="Notas 2 3 4 10" xfId="32665"/>
    <cellStyle name="Notas 2 3 4 10 2" xfId="32666"/>
    <cellStyle name="Notas 2 3 4 11" xfId="32667"/>
    <cellStyle name="Notas 2 3 4 11 2" xfId="32668"/>
    <cellStyle name="Notas 2 3 4 12" xfId="32669"/>
    <cellStyle name="Notas 2 3 4 12 2" xfId="32670"/>
    <cellStyle name="Notas 2 3 4 13" xfId="32671"/>
    <cellStyle name="Notas 2 3 4 13 2" xfId="32672"/>
    <cellStyle name="Notas 2 3 4 14" xfId="32673"/>
    <cellStyle name="Notas 2 3 4 14 2" xfId="32674"/>
    <cellStyle name="Notas 2 3 4 15" xfId="32675"/>
    <cellStyle name="Notas 2 3 4 2" xfId="32676"/>
    <cellStyle name="Notas 2 3 4 2 10" xfId="32677"/>
    <cellStyle name="Notas 2 3 4 2 10 2" xfId="32678"/>
    <cellStyle name="Notas 2 3 4 2 11" xfId="32679"/>
    <cellStyle name="Notas 2 3 4 2 11 2" xfId="32680"/>
    <cellStyle name="Notas 2 3 4 2 12" xfId="32681"/>
    <cellStyle name="Notas 2 3 4 2 12 2" xfId="32682"/>
    <cellStyle name="Notas 2 3 4 2 13" xfId="32683"/>
    <cellStyle name="Notas 2 3 4 2 2" xfId="32684"/>
    <cellStyle name="Notas 2 3 4 2 2 10" xfId="32685"/>
    <cellStyle name="Notas 2 3 4 2 2 10 2" xfId="32686"/>
    <cellStyle name="Notas 2 3 4 2 2 11" xfId="32687"/>
    <cellStyle name="Notas 2 3 4 2 2 2" xfId="32688"/>
    <cellStyle name="Notas 2 3 4 2 2 2 2" xfId="32689"/>
    <cellStyle name="Notas 2 3 4 2 2 3" xfId="32690"/>
    <cellStyle name="Notas 2 3 4 2 2 3 2" xfId="32691"/>
    <cellStyle name="Notas 2 3 4 2 2 4" xfId="32692"/>
    <cellStyle name="Notas 2 3 4 2 2 4 2" xfId="32693"/>
    <cellStyle name="Notas 2 3 4 2 2 5" xfId="32694"/>
    <cellStyle name="Notas 2 3 4 2 2 5 2" xfId="32695"/>
    <cellStyle name="Notas 2 3 4 2 2 6" xfId="32696"/>
    <cellStyle name="Notas 2 3 4 2 2 6 2" xfId="32697"/>
    <cellStyle name="Notas 2 3 4 2 2 7" xfId="32698"/>
    <cellStyle name="Notas 2 3 4 2 2 7 2" xfId="32699"/>
    <cellStyle name="Notas 2 3 4 2 2 8" xfId="32700"/>
    <cellStyle name="Notas 2 3 4 2 2 8 2" xfId="32701"/>
    <cellStyle name="Notas 2 3 4 2 2 9" xfId="32702"/>
    <cellStyle name="Notas 2 3 4 2 2 9 2" xfId="32703"/>
    <cellStyle name="Notas 2 3 4 2 3" xfId="32704"/>
    <cellStyle name="Notas 2 3 4 2 3 10" xfId="32705"/>
    <cellStyle name="Notas 2 3 4 2 3 10 2" xfId="32706"/>
    <cellStyle name="Notas 2 3 4 2 3 11" xfId="32707"/>
    <cellStyle name="Notas 2 3 4 2 3 2" xfId="32708"/>
    <cellStyle name="Notas 2 3 4 2 3 2 2" xfId="32709"/>
    <cellStyle name="Notas 2 3 4 2 3 3" xfId="32710"/>
    <cellStyle name="Notas 2 3 4 2 3 3 2" xfId="32711"/>
    <cellStyle name="Notas 2 3 4 2 3 4" xfId="32712"/>
    <cellStyle name="Notas 2 3 4 2 3 4 2" xfId="32713"/>
    <cellStyle name="Notas 2 3 4 2 3 5" xfId="32714"/>
    <cellStyle name="Notas 2 3 4 2 3 5 2" xfId="32715"/>
    <cellStyle name="Notas 2 3 4 2 3 6" xfId="32716"/>
    <cellStyle name="Notas 2 3 4 2 3 6 2" xfId="32717"/>
    <cellStyle name="Notas 2 3 4 2 3 7" xfId="32718"/>
    <cellStyle name="Notas 2 3 4 2 3 7 2" xfId="32719"/>
    <cellStyle name="Notas 2 3 4 2 3 8" xfId="32720"/>
    <cellStyle name="Notas 2 3 4 2 3 8 2" xfId="32721"/>
    <cellStyle name="Notas 2 3 4 2 3 9" xfId="32722"/>
    <cellStyle name="Notas 2 3 4 2 3 9 2" xfId="32723"/>
    <cellStyle name="Notas 2 3 4 2 4" xfId="32724"/>
    <cellStyle name="Notas 2 3 4 2 4 2" xfId="32725"/>
    <cellStyle name="Notas 2 3 4 2 5" xfId="32726"/>
    <cellStyle name="Notas 2 3 4 2 5 2" xfId="32727"/>
    <cellStyle name="Notas 2 3 4 2 6" xfId="32728"/>
    <cellStyle name="Notas 2 3 4 2 6 2" xfId="32729"/>
    <cellStyle name="Notas 2 3 4 2 7" xfId="32730"/>
    <cellStyle name="Notas 2 3 4 2 7 2" xfId="32731"/>
    <cellStyle name="Notas 2 3 4 2 8" xfId="32732"/>
    <cellStyle name="Notas 2 3 4 2 8 2" xfId="32733"/>
    <cellStyle name="Notas 2 3 4 2 9" xfId="32734"/>
    <cellStyle name="Notas 2 3 4 2 9 2" xfId="32735"/>
    <cellStyle name="Notas 2 3 4 3" xfId="32736"/>
    <cellStyle name="Notas 2 3 4 3 10" xfId="32737"/>
    <cellStyle name="Notas 2 3 4 3 10 2" xfId="32738"/>
    <cellStyle name="Notas 2 3 4 3 11" xfId="32739"/>
    <cellStyle name="Notas 2 3 4 3 11 2" xfId="32740"/>
    <cellStyle name="Notas 2 3 4 3 12" xfId="32741"/>
    <cellStyle name="Notas 2 3 4 3 12 2" xfId="32742"/>
    <cellStyle name="Notas 2 3 4 3 13" xfId="32743"/>
    <cellStyle name="Notas 2 3 4 3 2" xfId="32744"/>
    <cellStyle name="Notas 2 3 4 3 2 10" xfId="32745"/>
    <cellStyle name="Notas 2 3 4 3 2 10 2" xfId="32746"/>
    <cellStyle name="Notas 2 3 4 3 2 11" xfId="32747"/>
    <cellStyle name="Notas 2 3 4 3 2 2" xfId="32748"/>
    <cellStyle name="Notas 2 3 4 3 2 2 2" xfId="32749"/>
    <cellStyle name="Notas 2 3 4 3 2 3" xfId="32750"/>
    <cellStyle name="Notas 2 3 4 3 2 3 2" xfId="32751"/>
    <cellStyle name="Notas 2 3 4 3 2 4" xfId="32752"/>
    <cellStyle name="Notas 2 3 4 3 2 4 2" xfId="32753"/>
    <cellStyle name="Notas 2 3 4 3 2 5" xfId="32754"/>
    <cellStyle name="Notas 2 3 4 3 2 5 2" xfId="32755"/>
    <cellStyle name="Notas 2 3 4 3 2 6" xfId="32756"/>
    <cellStyle name="Notas 2 3 4 3 2 6 2" xfId="32757"/>
    <cellStyle name="Notas 2 3 4 3 2 7" xfId="32758"/>
    <cellStyle name="Notas 2 3 4 3 2 7 2" xfId="32759"/>
    <cellStyle name="Notas 2 3 4 3 2 8" xfId="32760"/>
    <cellStyle name="Notas 2 3 4 3 2 8 2" xfId="32761"/>
    <cellStyle name="Notas 2 3 4 3 2 9" xfId="32762"/>
    <cellStyle name="Notas 2 3 4 3 2 9 2" xfId="32763"/>
    <cellStyle name="Notas 2 3 4 3 3" xfId="32764"/>
    <cellStyle name="Notas 2 3 4 3 3 10" xfId="32765"/>
    <cellStyle name="Notas 2 3 4 3 3 10 2" xfId="32766"/>
    <cellStyle name="Notas 2 3 4 3 3 11" xfId="32767"/>
    <cellStyle name="Notas 2 3 4 3 3 2" xfId="32768"/>
    <cellStyle name="Notas 2 3 4 3 3 2 2" xfId="32769"/>
    <cellStyle name="Notas 2 3 4 3 3 3" xfId="32770"/>
    <cellStyle name="Notas 2 3 4 3 3 3 2" xfId="32771"/>
    <cellStyle name="Notas 2 3 4 3 3 4" xfId="32772"/>
    <cellStyle name="Notas 2 3 4 3 3 4 2" xfId="32773"/>
    <cellStyle name="Notas 2 3 4 3 3 5" xfId="32774"/>
    <cellStyle name="Notas 2 3 4 3 3 5 2" xfId="32775"/>
    <cellStyle name="Notas 2 3 4 3 3 6" xfId="32776"/>
    <cellStyle name="Notas 2 3 4 3 3 6 2" xfId="32777"/>
    <cellStyle name="Notas 2 3 4 3 3 7" xfId="32778"/>
    <cellStyle name="Notas 2 3 4 3 3 7 2" xfId="32779"/>
    <cellStyle name="Notas 2 3 4 3 3 8" xfId="32780"/>
    <cellStyle name="Notas 2 3 4 3 3 8 2" xfId="32781"/>
    <cellStyle name="Notas 2 3 4 3 3 9" xfId="32782"/>
    <cellStyle name="Notas 2 3 4 3 3 9 2" xfId="32783"/>
    <cellStyle name="Notas 2 3 4 3 4" xfId="32784"/>
    <cellStyle name="Notas 2 3 4 3 4 2" xfId="32785"/>
    <cellStyle name="Notas 2 3 4 3 5" xfId="32786"/>
    <cellStyle name="Notas 2 3 4 3 5 2" xfId="32787"/>
    <cellStyle name="Notas 2 3 4 3 6" xfId="32788"/>
    <cellStyle name="Notas 2 3 4 3 6 2" xfId="32789"/>
    <cellStyle name="Notas 2 3 4 3 7" xfId="32790"/>
    <cellStyle name="Notas 2 3 4 3 7 2" xfId="32791"/>
    <cellStyle name="Notas 2 3 4 3 8" xfId="32792"/>
    <cellStyle name="Notas 2 3 4 3 8 2" xfId="32793"/>
    <cellStyle name="Notas 2 3 4 3 9" xfId="32794"/>
    <cellStyle name="Notas 2 3 4 3 9 2" xfId="32795"/>
    <cellStyle name="Notas 2 3 4 4" xfId="32796"/>
    <cellStyle name="Notas 2 3 4 4 10" xfId="32797"/>
    <cellStyle name="Notas 2 3 4 4 10 2" xfId="32798"/>
    <cellStyle name="Notas 2 3 4 4 11" xfId="32799"/>
    <cellStyle name="Notas 2 3 4 4 2" xfId="32800"/>
    <cellStyle name="Notas 2 3 4 4 2 2" xfId="32801"/>
    <cellStyle name="Notas 2 3 4 4 3" xfId="32802"/>
    <cellStyle name="Notas 2 3 4 4 3 2" xfId="32803"/>
    <cellStyle name="Notas 2 3 4 4 4" xfId="32804"/>
    <cellStyle name="Notas 2 3 4 4 4 2" xfId="32805"/>
    <cellStyle name="Notas 2 3 4 4 5" xfId="32806"/>
    <cellStyle name="Notas 2 3 4 4 5 2" xfId="32807"/>
    <cellStyle name="Notas 2 3 4 4 6" xfId="32808"/>
    <cellStyle name="Notas 2 3 4 4 6 2" xfId="32809"/>
    <cellStyle name="Notas 2 3 4 4 7" xfId="32810"/>
    <cellStyle name="Notas 2 3 4 4 7 2" xfId="32811"/>
    <cellStyle name="Notas 2 3 4 4 8" xfId="32812"/>
    <cellStyle name="Notas 2 3 4 4 8 2" xfId="32813"/>
    <cellStyle name="Notas 2 3 4 4 9" xfId="32814"/>
    <cellStyle name="Notas 2 3 4 4 9 2" xfId="32815"/>
    <cellStyle name="Notas 2 3 4 5" xfId="32816"/>
    <cellStyle name="Notas 2 3 4 5 10" xfId="32817"/>
    <cellStyle name="Notas 2 3 4 5 10 2" xfId="32818"/>
    <cellStyle name="Notas 2 3 4 5 11" xfId="32819"/>
    <cellStyle name="Notas 2 3 4 5 2" xfId="32820"/>
    <cellStyle name="Notas 2 3 4 5 2 2" xfId="32821"/>
    <cellStyle name="Notas 2 3 4 5 3" xfId="32822"/>
    <cellStyle name="Notas 2 3 4 5 3 2" xfId="32823"/>
    <cellStyle name="Notas 2 3 4 5 4" xfId="32824"/>
    <cellStyle name="Notas 2 3 4 5 4 2" xfId="32825"/>
    <cellStyle name="Notas 2 3 4 5 5" xfId="32826"/>
    <cellStyle name="Notas 2 3 4 5 5 2" xfId="32827"/>
    <cellStyle name="Notas 2 3 4 5 6" xfId="32828"/>
    <cellStyle name="Notas 2 3 4 5 6 2" xfId="32829"/>
    <cellStyle name="Notas 2 3 4 5 7" xfId="32830"/>
    <cellStyle name="Notas 2 3 4 5 7 2" xfId="32831"/>
    <cellStyle name="Notas 2 3 4 5 8" xfId="32832"/>
    <cellStyle name="Notas 2 3 4 5 8 2" xfId="32833"/>
    <cellStyle name="Notas 2 3 4 5 9" xfId="32834"/>
    <cellStyle name="Notas 2 3 4 5 9 2" xfId="32835"/>
    <cellStyle name="Notas 2 3 4 6" xfId="32836"/>
    <cellStyle name="Notas 2 3 4 6 2" xfId="32837"/>
    <cellStyle name="Notas 2 3 4 7" xfId="32838"/>
    <cellStyle name="Notas 2 3 4 7 2" xfId="32839"/>
    <cellStyle name="Notas 2 3 4 8" xfId="32840"/>
    <cellStyle name="Notas 2 3 4 8 2" xfId="32841"/>
    <cellStyle name="Notas 2 3 4 9" xfId="32842"/>
    <cellStyle name="Notas 2 3 4 9 2" xfId="32843"/>
    <cellStyle name="Notas 2 3 5" xfId="32844"/>
    <cellStyle name="Notas 2 3 5 10" xfId="32845"/>
    <cellStyle name="Notas 2 3 5 10 2" xfId="32846"/>
    <cellStyle name="Notas 2 3 5 11" xfId="32847"/>
    <cellStyle name="Notas 2 3 5 11 2" xfId="32848"/>
    <cellStyle name="Notas 2 3 5 12" xfId="32849"/>
    <cellStyle name="Notas 2 3 5 12 2" xfId="32850"/>
    <cellStyle name="Notas 2 3 5 13" xfId="32851"/>
    <cellStyle name="Notas 2 3 5 13 2" xfId="32852"/>
    <cellStyle name="Notas 2 3 5 14" xfId="32853"/>
    <cellStyle name="Notas 2 3 5 14 2" xfId="32854"/>
    <cellStyle name="Notas 2 3 5 15" xfId="32855"/>
    <cellStyle name="Notas 2 3 5 2" xfId="32856"/>
    <cellStyle name="Notas 2 3 5 2 10" xfId="32857"/>
    <cellStyle name="Notas 2 3 5 2 10 2" xfId="32858"/>
    <cellStyle name="Notas 2 3 5 2 11" xfId="32859"/>
    <cellStyle name="Notas 2 3 5 2 11 2" xfId="32860"/>
    <cellStyle name="Notas 2 3 5 2 12" xfId="32861"/>
    <cellStyle name="Notas 2 3 5 2 12 2" xfId="32862"/>
    <cellStyle name="Notas 2 3 5 2 13" xfId="32863"/>
    <cellStyle name="Notas 2 3 5 2 2" xfId="32864"/>
    <cellStyle name="Notas 2 3 5 2 2 10" xfId="32865"/>
    <cellStyle name="Notas 2 3 5 2 2 10 2" xfId="32866"/>
    <cellStyle name="Notas 2 3 5 2 2 11" xfId="32867"/>
    <cellStyle name="Notas 2 3 5 2 2 2" xfId="32868"/>
    <cellStyle name="Notas 2 3 5 2 2 2 2" xfId="32869"/>
    <cellStyle name="Notas 2 3 5 2 2 3" xfId="32870"/>
    <cellStyle name="Notas 2 3 5 2 2 3 2" xfId="32871"/>
    <cellStyle name="Notas 2 3 5 2 2 4" xfId="32872"/>
    <cellStyle name="Notas 2 3 5 2 2 4 2" xfId="32873"/>
    <cellStyle name="Notas 2 3 5 2 2 5" xfId="32874"/>
    <cellStyle name="Notas 2 3 5 2 2 5 2" xfId="32875"/>
    <cellStyle name="Notas 2 3 5 2 2 6" xfId="32876"/>
    <cellStyle name="Notas 2 3 5 2 2 6 2" xfId="32877"/>
    <cellStyle name="Notas 2 3 5 2 2 7" xfId="32878"/>
    <cellStyle name="Notas 2 3 5 2 2 7 2" xfId="32879"/>
    <cellStyle name="Notas 2 3 5 2 2 8" xfId="32880"/>
    <cellStyle name="Notas 2 3 5 2 2 8 2" xfId="32881"/>
    <cellStyle name="Notas 2 3 5 2 2 9" xfId="32882"/>
    <cellStyle name="Notas 2 3 5 2 2 9 2" xfId="32883"/>
    <cellStyle name="Notas 2 3 5 2 3" xfId="32884"/>
    <cellStyle name="Notas 2 3 5 2 3 10" xfId="32885"/>
    <cellStyle name="Notas 2 3 5 2 3 10 2" xfId="32886"/>
    <cellStyle name="Notas 2 3 5 2 3 11" xfId="32887"/>
    <cellStyle name="Notas 2 3 5 2 3 2" xfId="32888"/>
    <cellStyle name="Notas 2 3 5 2 3 2 2" xfId="32889"/>
    <cellStyle name="Notas 2 3 5 2 3 3" xfId="32890"/>
    <cellStyle name="Notas 2 3 5 2 3 3 2" xfId="32891"/>
    <cellStyle name="Notas 2 3 5 2 3 4" xfId="32892"/>
    <cellStyle name="Notas 2 3 5 2 3 4 2" xfId="32893"/>
    <cellStyle name="Notas 2 3 5 2 3 5" xfId="32894"/>
    <cellStyle name="Notas 2 3 5 2 3 5 2" xfId="32895"/>
    <cellStyle name="Notas 2 3 5 2 3 6" xfId="32896"/>
    <cellStyle name="Notas 2 3 5 2 3 6 2" xfId="32897"/>
    <cellStyle name="Notas 2 3 5 2 3 7" xfId="32898"/>
    <cellStyle name="Notas 2 3 5 2 3 7 2" xfId="32899"/>
    <cellStyle name="Notas 2 3 5 2 3 8" xfId="32900"/>
    <cellStyle name="Notas 2 3 5 2 3 8 2" xfId="32901"/>
    <cellStyle name="Notas 2 3 5 2 3 9" xfId="32902"/>
    <cellStyle name="Notas 2 3 5 2 3 9 2" xfId="32903"/>
    <cellStyle name="Notas 2 3 5 2 4" xfId="32904"/>
    <cellStyle name="Notas 2 3 5 2 4 2" xfId="32905"/>
    <cellStyle name="Notas 2 3 5 2 5" xfId="32906"/>
    <cellStyle name="Notas 2 3 5 2 5 2" xfId="32907"/>
    <cellStyle name="Notas 2 3 5 2 6" xfId="32908"/>
    <cellStyle name="Notas 2 3 5 2 6 2" xfId="32909"/>
    <cellStyle name="Notas 2 3 5 2 7" xfId="32910"/>
    <cellStyle name="Notas 2 3 5 2 7 2" xfId="32911"/>
    <cellStyle name="Notas 2 3 5 2 8" xfId="32912"/>
    <cellStyle name="Notas 2 3 5 2 8 2" xfId="32913"/>
    <cellStyle name="Notas 2 3 5 2 9" xfId="32914"/>
    <cellStyle name="Notas 2 3 5 2 9 2" xfId="32915"/>
    <cellStyle name="Notas 2 3 5 3" xfId="32916"/>
    <cellStyle name="Notas 2 3 5 3 10" xfId="32917"/>
    <cellStyle name="Notas 2 3 5 3 10 2" xfId="32918"/>
    <cellStyle name="Notas 2 3 5 3 11" xfId="32919"/>
    <cellStyle name="Notas 2 3 5 3 11 2" xfId="32920"/>
    <cellStyle name="Notas 2 3 5 3 12" xfId="32921"/>
    <cellStyle name="Notas 2 3 5 3 12 2" xfId="32922"/>
    <cellStyle name="Notas 2 3 5 3 13" xfId="32923"/>
    <cellStyle name="Notas 2 3 5 3 2" xfId="32924"/>
    <cellStyle name="Notas 2 3 5 3 2 10" xfId="32925"/>
    <cellStyle name="Notas 2 3 5 3 2 10 2" xfId="32926"/>
    <cellStyle name="Notas 2 3 5 3 2 11" xfId="32927"/>
    <cellStyle name="Notas 2 3 5 3 2 2" xfId="32928"/>
    <cellStyle name="Notas 2 3 5 3 2 2 2" xfId="32929"/>
    <cellStyle name="Notas 2 3 5 3 2 3" xfId="32930"/>
    <cellStyle name="Notas 2 3 5 3 2 3 2" xfId="32931"/>
    <cellStyle name="Notas 2 3 5 3 2 4" xfId="32932"/>
    <cellStyle name="Notas 2 3 5 3 2 4 2" xfId="32933"/>
    <cellStyle name="Notas 2 3 5 3 2 5" xfId="32934"/>
    <cellStyle name="Notas 2 3 5 3 2 5 2" xfId="32935"/>
    <cellStyle name="Notas 2 3 5 3 2 6" xfId="32936"/>
    <cellStyle name="Notas 2 3 5 3 2 6 2" xfId="32937"/>
    <cellStyle name="Notas 2 3 5 3 2 7" xfId="32938"/>
    <cellStyle name="Notas 2 3 5 3 2 7 2" xfId="32939"/>
    <cellStyle name="Notas 2 3 5 3 2 8" xfId="32940"/>
    <cellStyle name="Notas 2 3 5 3 2 8 2" xfId="32941"/>
    <cellStyle name="Notas 2 3 5 3 2 9" xfId="32942"/>
    <cellStyle name="Notas 2 3 5 3 2 9 2" xfId="32943"/>
    <cellStyle name="Notas 2 3 5 3 3" xfId="32944"/>
    <cellStyle name="Notas 2 3 5 3 3 10" xfId="32945"/>
    <cellStyle name="Notas 2 3 5 3 3 10 2" xfId="32946"/>
    <cellStyle name="Notas 2 3 5 3 3 11" xfId="32947"/>
    <cellStyle name="Notas 2 3 5 3 3 2" xfId="32948"/>
    <cellStyle name="Notas 2 3 5 3 3 2 2" xfId="32949"/>
    <cellStyle name="Notas 2 3 5 3 3 3" xfId="32950"/>
    <cellStyle name="Notas 2 3 5 3 3 3 2" xfId="32951"/>
    <cellStyle name="Notas 2 3 5 3 3 4" xfId="32952"/>
    <cellStyle name="Notas 2 3 5 3 3 4 2" xfId="32953"/>
    <cellStyle name="Notas 2 3 5 3 3 5" xfId="32954"/>
    <cellStyle name="Notas 2 3 5 3 3 5 2" xfId="32955"/>
    <cellStyle name="Notas 2 3 5 3 3 6" xfId="32956"/>
    <cellStyle name="Notas 2 3 5 3 3 6 2" xfId="32957"/>
    <cellStyle name="Notas 2 3 5 3 3 7" xfId="32958"/>
    <cellStyle name="Notas 2 3 5 3 3 7 2" xfId="32959"/>
    <cellStyle name="Notas 2 3 5 3 3 8" xfId="32960"/>
    <cellStyle name="Notas 2 3 5 3 3 8 2" xfId="32961"/>
    <cellStyle name="Notas 2 3 5 3 3 9" xfId="32962"/>
    <cellStyle name="Notas 2 3 5 3 3 9 2" xfId="32963"/>
    <cellStyle name="Notas 2 3 5 3 4" xfId="32964"/>
    <cellStyle name="Notas 2 3 5 3 4 2" xfId="32965"/>
    <cellStyle name="Notas 2 3 5 3 5" xfId="32966"/>
    <cellStyle name="Notas 2 3 5 3 5 2" xfId="32967"/>
    <cellStyle name="Notas 2 3 5 3 6" xfId="32968"/>
    <cellStyle name="Notas 2 3 5 3 6 2" xfId="32969"/>
    <cellStyle name="Notas 2 3 5 3 7" xfId="32970"/>
    <cellStyle name="Notas 2 3 5 3 7 2" xfId="32971"/>
    <cellStyle name="Notas 2 3 5 3 8" xfId="32972"/>
    <cellStyle name="Notas 2 3 5 3 8 2" xfId="32973"/>
    <cellStyle name="Notas 2 3 5 3 9" xfId="32974"/>
    <cellStyle name="Notas 2 3 5 3 9 2" xfId="32975"/>
    <cellStyle name="Notas 2 3 5 4" xfId="32976"/>
    <cellStyle name="Notas 2 3 5 4 10" xfId="32977"/>
    <cellStyle name="Notas 2 3 5 4 10 2" xfId="32978"/>
    <cellStyle name="Notas 2 3 5 4 11" xfId="32979"/>
    <cellStyle name="Notas 2 3 5 4 2" xfId="32980"/>
    <cellStyle name="Notas 2 3 5 4 2 2" xfId="32981"/>
    <cellStyle name="Notas 2 3 5 4 3" xfId="32982"/>
    <cellStyle name="Notas 2 3 5 4 3 2" xfId="32983"/>
    <cellStyle name="Notas 2 3 5 4 4" xfId="32984"/>
    <cellStyle name="Notas 2 3 5 4 4 2" xfId="32985"/>
    <cellStyle name="Notas 2 3 5 4 5" xfId="32986"/>
    <cellStyle name="Notas 2 3 5 4 5 2" xfId="32987"/>
    <cellStyle name="Notas 2 3 5 4 6" xfId="32988"/>
    <cellStyle name="Notas 2 3 5 4 6 2" xfId="32989"/>
    <cellStyle name="Notas 2 3 5 4 7" xfId="32990"/>
    <cellStyle name="Notas 2 3 5 4 7 2" xfId="32991"/>
    <cellStyle name="Notas 2 3 5 4 8" xfId="32992"/>
    <cellStyle name="Notas 2 3 5 4 8 2" xfId="32993"/>
    <cellStyle name="Notas 2 3 5 4 9" xfId="32994"/>
    <cellStyle name="Notas 2 3 5 4 9 2" xfId="32995"/>
    <cellStyle name="Notas 2 3 5 5" xfId="32996"/>
    <cellStyle name="Notas 2 3 5 5 10" xfId="32997"/>
    <cellStyle name="Notas 2 3 5 5 10 2" xfId="32998"/>
    <cellStyle name="Notas 2 3 5 5 11" xfId="32999"/>
    <cellStyle name="Notas 2 3 5 5 2" xfId="33000"/>
    <cellStyle name="Notas 2 3 5 5 2 2" xfId="33001"/>
    <cellStyle name="Notas 2 3 5 5 3" xfId="33002"/>
    <cellStyle name="Notas 2 3 5 5 3 2" xfId="33003"/>
    <cellStyle name="Notas 2 3 5 5 4" xfId="33004"/>
    <cellStyle name="Notas 2 3 5 5 4 2" xfId="33005"/>
    <cellStyle name="Notas 2 3 5 5 5" xfId="33006"/>
    <cellStyle name="Notas 2 3 5 5 5 2" xfId="33007"/>
    <cellStyle name="Notas 2 3 5 5 6" xfId="33008"/>
    <cellStyle name="Notas 2 3 5 5 6 2" xfId="33009"/>
    <cellStyle name="Notas 2 3 5 5 7" xfId="33010"/>
    <cellStyle name="Notas 2 3 5 5 7 2" xfId="33011"/>
    <cellStyle name="Notas 2 3 5 5 8" xfId="33012"/>
    <cellStyle name="Notas 2 3 5 5 8 2" xfId="33013"/>
    <cellStyle name="Notas 2 3 5 5 9" xfId="33014"/>
    <cellStyle name="Notas 2 3 5 5 9 2" xfId="33015"/>
    <cellStyle name="Notas 2 3 5 6" xfId="33016"/>
    <cellStyle name="Notas 2 3 5 6 2" xfId="33017"/>
    <cellStyle name="Notas 2 3 5 7" xfId="33018"/>
    <cellStyle name="Notas 2 3 5 7 2" xfId="33019"/>
    <cellStyle name="Notas 2 3 5 8" xfId="33020"/>
    <cellStyle name="Notas 2 3 5 8 2" xfId="33021"/>
    <cellStyle name="Notas 2 3 5 9" xfId="33022"/>
    <cellStyle name="Notas 2 3 5 9 2" xfId="33023"/>
    <cellStyle name="Notas 2 3 6" xfId="33024"/>
    <cellStyle name="Notas 2 3 6 10" xfId="33025"/>
    <cellStyle name="Notas 2 3 6 10 2" xfId="33026"/>
    <cellStyle name="Notas 2 3 6 11" xfId="33027"/>
    <cellStyle name="Notas 2 3 6 11 2" xfId="33028"/>
    <cellStyle name="Notas 2 3 6 12" xfId="33029"/>
    <cellStyle name="Notas 2 3 6 12 2" xfId="33030"/>
    <cellStyle name="Notas 2 3 6 13" xfId="33031"/>
    <cellStyle name="Notas 2 3 6 2" xfId="33032"/>
    <cellStyle name="Notas 2 3 6 2 10" xfId="33033"/>
    <cellStyle name="Notas 2 3 6 2 10 2" xfId="33034"/>
    <cellStyle name="Notas 2 3 6 2 11" xfId="33035"/>
    <cellStyle name="Notas 2 3 6 2 2" xfId="33036"/>
    <cellStyle name="Notas 2 3 6 2 2 2" xfId="33037"/>
    <cellStyle name="Notas 2 3 6 2 3" xfId="33038"/>
    <cellStyle name="Notas 2 3 6 2 3 2" xfId="33039"/>
    <cellStyle name="Notas 2 3 6 2 4" xfId="33040"/>
    <cellStyle name="Notas 2 3 6 2 4 2" xfId="33041"/>
    <cellStyle name="Notas 2 3 6 2 5" xfId="33042"/>
    <cellStyle name="Notas 2 3 6 2 5 2" xfId="33043"/>
    <cellStyle name="Notas 2 3 6 2 6" xfId="33044"/>
    <cellStyle name="Notas 2 3 6 2 6 2" xfId="33045"/>
    <cellStyle name="Notas 2 3 6 2 7" xfId="33046"/>
    <cellStyle name="Notas 2 3 6 2 7 2" xfId="33047"/>
    <cellStyle name="Notas 2 3 6 2 8" xfId="33048"/>
    <cellStyle name="Notas 2 3 6 2 8 2" xfId="33049"/>
    <cellStyle name="Notas 2 3 6 2 9" xfId="33050"/>
    <cellStyle name="Notas 2 3 6 2 9 2" xfId="33051"/>
    <cellStyle name="Notas 2 3 6 3" xfId="33052"/>
    <cellStyle name="Notas 2 3 6 3 10" xfId="33053"/>
    <cellStyle name="Notas 2 3 6 3 10 2" xfId="33054"/>
    <cellStyle name="Notas 2 3 6 3 11" xfId="33055"/>
    <cellStyle name="Notas 2 3 6 3 2" xfId="33056"/>
    <cellStyle name="Notas 2 3 6 3 2 2" xfId="33057"/>
    <cellStyle name="Notas 2 3 6 3 3" xfId="33058"/>
    <cellStyle name="Notas 2 3 6 3 3 2" xfId="33059"/>
    <cellStyle name="Notas 2 3 6 3 4" xfId="33060"/>
    <cellStyle name="Notas 2 3 6 3 4 2" xfId="33061"/>
    <cellStyle name="Notas 2 3 6 3 5" xfId="33062"/>
    <cellStyle name="Notas 2 3 6 3 5 2" xfId="33063"/>
    <cellStyle name="Notas 2 3 6 3 6" xfId="33064"/>
    <cellStyle name="Notas 2 3 6 3 6 2" xfId="33065"/>
    <cellStyle name="Notas 2 3 6 3 7" xfId="33066"/>
    <cellStyle name="Notas 2 3 6 3 7 2" xfId="33067"/>
    <cellStyle name="Notas 2 3 6 3 8" xfId="33068"/>
    <cellStyle name="Notas 2 3 6 3 8 2" xfId="33069"/>
    <cellStyle name="Notas 2 3 6 3 9" xfId="33070"/>
    <cellStyle name="Notas 2 3 6 3 9 2" xfId="33071"/>
    <cellStyle name="Notas 2 3 6 4" xfId="33072"/>
    <cellStyle name="Notas 2 3 6 4 2" xfId="33073"/>
    <cellStyle name="Notas 2 3 6 5" xfId="33074"/>
    <cellStyle name="Notas 2 3 6 5 2" xfId="33075"/>
    <cellStyle name="Notas 2 3 6 6" xfId="33076"/>
    <cellStyle name="Notas 2 3 6 6 2" xfId="33077"/>
    <cellStyle name="Notas 2 3 6 7" xfId="33078"/>
    <cellStyle name="Notas 2 3 6 7 2" xfId="33079"/>
    <cellStyle name="Notas 2 3 6 8" xfId="33080"/>
    <cellStyle name="Notas 2 3 6 8 2" xfId="33081"/>
    <cellStyle name="Notas 2 3 6 9" xfId="33082"/>
    <cellStyle name="Notas 2 3 6 9 2" xfId="33083"/>
    <cellStyle name="Notas 2 3 7" xfId="33084"/>
    <cellStyle name="Notas 2 3 7 10" xfId="33085"/>
    <cellStyle name="Notas 2 3 7 10 2" xfId="33086"/>
    <cellStyle name="Notas 2 3 7 11" xfId="33087"/>
    <cellStyle name="Notas 2 3 7 11 2" xfId="33088"/>
    <cellStyle name="Notas 2 3 7 12" xfId="33089"/>
    <cellStyle name="Notas 2 3 7 12 2" xfId="33090"/>
    <cellStyle name="Notas 2 3 7 13" xfId="33091"/>
    <cellStyle name="Notas 2 3 7 2" xfId="33092"/>
    <cellStyle name="Notas 2 3 7 2 10" xfId="33093"/>
    <cellStyle name="Notas 2 3 7 2 10 2" xfId="33094"/>
    <cellStyle name="Notas 2 3 7 2 11" xfId="33095"/>
    <cellStyle name="Notas 2 3 7 2 2" xfId="33096"/>
    <cellStyle name="Notas 2 3 7 2 2 2" xfId="33097"/>
    <cellStyle name="Notas 2 3 7 2 3" xfId="33098"/>
    <cellStyle name="Notas 2 3 7 2 3 2" xfId="33099"/>
    <cellStyle name="Notas 2 3 7 2 4" xfId="33100"/>
    <cellStyle name="Notas 2 3 7 2 4 2" xfId="33101"/>
    <cellStyle name="Notas 2 3 7 2 5" xfId="33102"/>
    <cellStyle name="Notas 2 3 7 2 5 2" xfId="33103"/>
    <cellStyle name="Notas 2 3 7 2 6" xfId="33104"/>
    <cellStyle name="Notas 2 3 7 2 6 2" xfId="33105"/>
    <cellStyle name="Notas 2 3 7 2 7" xfId="33106"/>
    <cellStyle name="Notas 2 3 7 2 7 2" xfId="33107"/>
    <cellStyle name="Notas 2 3 7 2 8" xfId="33108"/>
    <cellStyle name="Notas 2 3 7 2 8 2" xfId="33109"/>
    <cellStyle name="Notas 2 3 7 2 9" xfId="33110"/>
    <cellStyle name="Notas 2 3 7 2 9 2" xfId="33111"/>
    <cellStyle name="Notas 2 3 7 3" xfId="33112"/>
    <cellStyle name="Notas 2 3 7 3 10" xfId="33113"/>
    <cellStyle name="Notas 2 3 7 3 10 2" xfId="33114"/>
    <cellStyle name="Notas 2 3 7 3 11" xfId="33115"/>
    <cellStyle name="Notas 2 3 7 3 2" xfId="33116"/>
    <cellStyle name="Notas 2 3 7 3 2 2" xfId="33117"/>
    <cellStyle name="Notas 2 3 7 3 3" xfId="33118"/>
    <cellStyle name="Notas 2 3 7 3 3 2" xfId="33119"/>
    <cellStyle name="Notas 2 3 7 3 4" xfId="33120"/>
    <cellStyle name="Notas 2 3 7 3 4 2" xfId="33121"/>
    <cellStyle name="Notas 2 3 7 3 5" xfId="33122"/>
    <cellStyle name="Notas 2 3 7 3 5 2" xfId="33123"/>
    <cellStyle name="Notas 2 3 7 3 6" xfId="33124"/>
    <cellStyle name="Notas 2 3 7 3 6 2" xfId="33125"/>
    <cellStyle name="Notas 2 3 7 3 7" xfId="33126"/>
    <cellStyle name="Notas 2 3 7 3 7 2" xfId="33127"/>
    <cellStyle name="Notas 2 3 7 3 8" xfId="33128"/>
    <cellStyle name="Notas 2 3 7 3 8 2" xfId="33129"/>
    <cellStyle name="Notas 2 3 7 3 9" xfId="33130"/>
    <cellStyle name="Notas 2 3 7 3 9 2" xfId="33131"/>
    <cellStyle name="Notas 2 3 7 4" xfId="33132"/>
    <cellStyle name="Notas 2 3 7 4 2" xfId="33133"/>
    <cellStyle name="Notas 2 3 7 5" xfId="33134"/>
    <cellStyle name="Notas 2 3 7 5 2" xfId="33135"/>
    <cellStyle name="Notas 2 3 7 6" xfId="33136"/>
    <cellStyle name="Notas 2 3 7 6 2" xfId="33137"/>
    <cellStyle name="Notas 2 3 7 7" xfId="33138"/>
    <cellStyle name="Notas 2 3 7 7 2" xfId="33139"/>
    <cellStyle name="Notas 2 3 7 8" xfId="33140"/>
    <cellStyle name="Notas 2 3 7 8 2" xfId="33141"/>
    <cellStyle name="Notas 2 3 7 9" xfId="33142"/>
    <cellStyle name="Notas 2 3 7 9 2" xfId="33143"/>
    <cellStyle name="Notas 2 3 8" xfId="33144"/>
    <cellStyle name="Notas 2 3 8 2" xfId="33145"/>
    <cellStyle name="Notas 2 3 9" xfId="33146"/>
    <cellStyle name="Notas 2 3 9 2" xfId="33147"/>
    <cellStyle name="Notas 2 4" xfId="33148"/>
    <cellStyle name="Notas 2 4 10" xfId="33149"/>
    <cellStyle name="Notas 2 4 10 2" xfId="33150"/>
    <cellStyle name="Notas 2 4 11" xfId="33151"/>
    <cellStyle name="Notas 2 4 11 2" xfId="33152"/>
    <cellStyle name="Notas 2 4 12" xfId="33153"/>
    <cellStyle name="Notas 2 4 12 2" xfId="33154"/>
    <cellStyle name="Notas 2 4 13" xfId="33155"/>
    <cellStyle name="Notas 2 4 13 2" xfId="33156"/>
    <cellStyle name="Notas 2 4 14" xfId="33157"/>
    <cellStyle name="Notas 2 4 14 2" xfId="33158"/>
    <cellStyle name="Notas 2 4 15" xfId="33159"/>
    <cellStyle name="Notas 2 4 2" xfId="33160"/>
    <cellStyle name="Notas 2 4 2 10" xfId="33161"/>
    <cellStyle name="Notas 2 4 2 10 2" xfId="33162"/>
    <cellStyle name="Notas 2 4 2 11" xfId="33163"/>
    <cellStyle name="Notas 2 4 2 11 2" xfId="33164"/>
    <cellStyle name="Notas 2 4 2 12" xfId="33165"/>
    <cellStyle name="Notas 2 4 2 12 2" xfId="33166"/>
    <cellStyle name="Notas 2 4 2 13" xfId="33167"/>
    <cellStyle name="Notas 2 4 2 2" xfId="33168"/>
    <cellStyle name="Notas 2 4 2 2 10" xfId="33169"/>
    <cellStyle name="Notas 2 4 2 2 10 2" xfId="33170"/>
    <cellStyle name="Notas 2 4 2 2 11" xfId="33171"/>
    <cellStyle name="Notas 2 4 2 2 2" xfId="33172"/>
    <cellStyle name="Notas 2 4 2 2 2 2" xfId="33173"/>
    <cellStyle name="Notas 2 4 2 2 3" xfId="33174"/>
    <cellStyle name="Notas 2 4 2 2 3 2" xfId="33175"/>
    <cellStyle name="Notas 2 4 2 2 4" xfId="33176"/>
    <cellStyle name="Notas 2 4 2 2 4 2" xfId="33177"/>
    <cellStyle name="Notas 2 4 2 2 5" xfId="33178"/>
    <cellStyle name="Notas 2 4 2 2 5 2" xfId="33179"/>
    <cellStyle name="Notas 2 4 2 2 6" xfId="33180"/>
    <cellStyle name="Notas 2 4 2 2 6 2" xfId="33181"/>
    <cellStyle name="Notas 2 4 2 2 7" xfId="33182"/>
    <cellStyle name="Notas 2 4 2 2 7 2" xfId="33183"/>
    <cellStyle name="Notas 2 4 2 2 8" xfId="33184"/>
    <cellStyle name="Notas 2 4 2 2 8 2" xfId="33185"/>
    <cellStyle name="Notas 2 4 2 2 9" xfId="33186"/>
    <cellStyle name="Notas 2 4 2 2 9 2" xfId="33187"/>
    <cellStyle name="Notas 2 4 2 3" xfId="33188"/>
    <cellStyle name="Notas 2 4 2 3 10" xfId="33189"/>
    <cellStyle name="Notas 2 4 2 3 10 2" xfId="33190"/>
    <cellStyle name="Notas 2 4 2 3 11" xfId="33191"/>
    <cellStyle name="Notas 2 4 2 3 2" xfId="33192"/>
    <cellStyle name="Notas 2 4 2 3 2 2" xfId="33193"/>
    <cellStyle name="Notas 2 4 2 3 3" xfId="33194"/>
    <cellStyle name="Notas 2 4 2 3 3 2" xfId="33195"/>
    <cellStyle name="Notas 2 4 2 3 4" xfId="33196"/>
    <cellStyle name="Notas 2 4 2 3 4 2" xfId="33197"/>
    <cellStyle name="Notas 2 4 2 3 5" xfId="33198"/>
    <cellStyle name="Notas 2 4 2 3 5 2" xfId="33199"/>
    <cellStyle name="Notas 2 4 2 3 6" xfId="33200"/>
    <cellStyle name="Notas 2 4 2 3 6 2" xfId="33201"/>
    <cellStyle name="Notas 2 4 2 3 7" xfId="33202"/>
    <cellStyle name="Notas 2 4 2 3 7 2" xfId="33203"/>
    <cellStyle name="Notas 2 4 2 3 8" xfId="33204"/>
    <cellStyle name="Notas 2 4 2 3 8 2" xfId="33205"/>
    <cellStyle name="Notas 2 4 2 3 9" xfId="33206"/>
    <cellStyle name="Notas 2 4 2 3 9 2" xfId="33207"/>
    <cellStyle name="Notas 2 4 2 4" xfId="33208"/>
    <cellStyle name="Notas 2 4 2 4 2" xfId="33209"/>
    <cellStyle name="Notas 2 4 2 5" xfId="33210"/>
    <cellStyle name="Notas 2 4 2 5 2" xfId="33211"/>
    <cellStyle name="Notas 2 4 2 6" xfId="33212"/>
    <cellStyle name="Notas 2 4 2 6 2" xfId="33213"/>
    <cellStyle name="Notas 2 4 2 7" xfId="33214"/>
    <cellStyle name="Notas 2 4 2 7 2" xfId="33215"/>
    <cellStyle name="Notas 2 4 2 8" xfId="33216"/>
    <cellStyle name="Notas 2 4 2 8 2" xfId="33217"/>
    <cellStyle name="Notas 2 4 2 9" xfId="33218"/>
    <cellStyle name="Notas 2 4 2 9 2" xfId="33219"/>
    <cellStyle name="Notas 2 4 3" xfId="33220"/>
    <cellStyle name="Notas 2 4 3 10" xfId="33221"/>
    <cellStyle name="Notas 2 4 3 10 2" xfId="33222"/>
    <cellStyle name="Notas 2 4 3 11" xfId="33223"/>
    <cellStyle name="Notas 2 4 3 11 2" xfId="33224"/>
    <cellStyle name="Notas 2 4 3 12" xfId="33225"/>
    <cellStyle name="Notas 2 4 3 12 2" xfId="33226"/>
    <cellStyle name="Notas 2 4 3 13" xfId="33227"/>
    <cellStyle name="Notas 2 4 3 2" xfId="33228"/>
    <cellStyle name="Notas 2 4 3 2 10" xfId="33229"/>
    <cellStyle name="Notas 2 4 3 2 10 2" xfId="33230"/>
    <cellStyle name="Notas 2 4 3 2 11" xfId="33231"/>
    <cellStyle name="Notas 2 4 3 2 2" xfId="33232"/>
    <cellStyle name="Notas 2 4 3 2 2 2" xfId="33233"/>
    <cellStyle name="Notas 2 4 3 2 3" xfId="33234"/>
    <cellStyle name="Notas 2 4 3 2 3 2" xfId="33235"/>
    <cellStyle name="Notas 2 4 3 2 4" xfId="33236"/>
    <cellStyle name="Notas 2 4 3 2 4 2" xfId="33237"/>
    <cellStyle name="Notas 2 4 3 2 5" xfId="33238"/>
    <cellStyle name="Notas 2 4 3 2 5 2" xfId="33239"/>
    <cellStyle name="Notas 2 4 3 2 6" xfId="33240"/>
    <cellStyle name="Notas 2 4 3 2 6 2" xfId="33241"/>
    <cellStyle name="Notas 2 4 3 2 7" xfId="33242"/>
    <cellStyle name="Notas 2 4 3 2 7 2" xfId="33243"/>
    <cellStyle name="Notas 2 4 3 2 8" xfId="33244"/>
    <cellStyle name="Notas 2 4 3 2 8 2" xfId="33245"/>
    <cellStyle name="Notas 2 4 3 2 9" xfId="33246"/>
    <cellStyle name="Notas 2 4 3 2 9 2" xfId="33247"/>
    <cellStyle name="Notas 2 4 3 3" xfId="33248"/>
    <cellStyle name="Notas 2 4 3 3 10" xfId="33249"/>
    <cellStyle name="Notas 2 4 3 3 10 2" xfId="33250"/>
    <cellStyle name="Notas 2 4 3 3 11" xfId="33251"/>
    <cellStyle name="Notas 2 4 3 3 2" xfId="33252"/>
    <cellStyle name="Notas 2 4 3 3 2 2" xfId="33253"/>
    <cellStyle name="Notas 2 4 3 3 3" xfId="33254"/>
    <cellStyle name="Notas 2 4 3 3 3 2" xfId="33255"/>
    <cellStyle name="Notas 2 4 3 3 4" xfId="33256"/>
    <cellStyle name="Notas 2 4 3 3 4 2" xfId="33257"/>
    <cellStyle name="Notas 2 4 3 3 5" xfId="33258"/>
    <cellStyle name="Notas 2 4 3 3 5 2" xfId="33259"/>
    <cellStyle name="Notas 2 4 3 3 6" xfId="33260"/>
    <cellStyle name="Notas 2 4 3 3 6 2" xfId="33261"/>
    <cellStyle name="Notas 2 4 3 3 7" xfId="33262"/>
    <cellStyle name="Notas 2 4 3 3 7 2" xfId="33263"/>
    <cellStyle name="Notas 2 4 3 3 8" xfId="33264"/>
    <cellStyle name="Notas 2 4 3 3 8 2" xfId="33265"/>
    <cellStyle name="Notas 2 4 3 3 9" xfId="33266"/>
    <cellStyle name="Notas 2 4 3 3 9 2" xfId="33267"/>
    <cellStyle name="Notas 2 4 3 4" xfId="33268"/>
    <cellStyle name="Notas 2 4 3 4 2" xfId="33269"/>
    <cellStyle name="Notas 2 4 3 5" xfId="33270"/>
    <cellStyle name="Notas 2 4 3 5 2" xfId="33271"/>
    <cellStyle name="Notas 2 4 3 6" xfId="33272"/>
    <cellStyle name="Notas 2 4 3 6 2" xfId="33273"/>
    <cellStyle name="Notas 2 4 3 7" xfId="33274"/>
    <cellStyle name="Notas 2 4 3 7 2" xfId="33275"/>
    <cellStyle name="Notas 2 4 3 8" xfId="33276"/>
    <cellStyle name="Notas 2 4 3 8 2" xfId="33277"/>
    <cellStyle name="Notas 2 4 3 9" xfId="33278"/>
    <cellStyle name="Notas 2 4 3 9 2" xfId="33279"/>
    <cellStyle name="Notas 2 4 4" xfId="33280"/>
    <cellStyle name="Notas 2 4 4 10" xfId="33281"/>
    <cellStyle name="Notas 2 4 4 10 2" xfId="33282"/>
    <cellStyle name="Notas 2 4 4 11" xfId="33283"/>
    <cellStyle name="Notas 2 4 4 2" xfId="33284"/>
    <cellStyle name="Notas 2 4 4 2 2" xfId="33285"/>
    <cellStyle name="Notas 2 4 4 3" xfId="33286"/>
    <cellStyle name="Notas 2 4 4 3 2" xfId="33287"/>
    <cellStyle name="Notas 2 4 4 4" xfId="33288"/>
    <cellStyle name="Notas 2 4 4 4 2" xfId="33289"/>
    <cellStyle name="Notas 2 4 4 5" xfId="33290"/>
    <cellStyle name="Notas 2 4 4 5 2" xfId="33291"/>
    <cellStyle name="Notas 2 4 4 6" xfId="33292"/>
    <cellStyle name="Notas 2 4 4 6 2" xfId="33293"/>
    <cellStyle name="Notas 2 4 4 7" xfId="33294"/>
    <cellStyle name="Notas 2 4 4 7 2" xfId="33295"/>
    <cellStyle name="Notas 2 4 4 8" xfId="33296"/>
    <cellStyle name="Notas 2 4 4 8 2" xfId="33297"/>
    <cellStyle name="Notas 2 4 4 9" xfId="33298"/>
    <cellStyle name="Notas 2 4 4 9 2" xfId="33299"/>
    <cellStyle name="Notas 2 4 5" xfId="33300"/>
    <cellStyle name="Notas 2 4 5 10" xfId="33301"/>
    <cellStyle name="Notas 2 4 5 10 2" xfId="33302"/>
    <cellStyle name="Notas 2 4 5 11" xfId="33303"/>
    <cellStyle name="Notas 2 4 5 2" xfId="33304"/>
    <cellStyle name="Notas 2 4 5 2 2" xfId="33305"/>
    <cellStyle name="Notas 2 4 5 3" xfId="33306"/>
    <cellStyle name="Notas 2 4 5 3 2" xfId="33307"/>
    <cellStyle name="Notas 2 4 5 4" xfId="33308"/>
    <cellStyle name="Notas 2 4 5 4 2" xfId="33309"/>
    <cellStyle name="Notas 2 4 5 5" xfId="33310"/>
    <cellStyle name="Notas 2 4 5 5 2" xfId="33311"/>
    <cellStyle name="Notas 2 4 5 6" xfId="33312"/>
    <cellStyle name="Notas 2 4 5 6 2" xfId="33313"/>
    <cellStyle name="Notas 2 4 5 7" xfId="33314"/>
    <cellStyle name="Notas 2 4 5 7 2" xfId="33315"/>
    <cellStyle name="Notas 2 4 5 8" xfId="33316"/>
    <cellStyle name="Notas 2 4 5 8 2" xfId="33317"/>
    <cellStyle name="Notas 2 4 5 9" xfId="33318"/>
    <cellStyle name="Notas 2 4 5 9 2" xfId="33319"/>
    <cellStyle name="Notas 2 4 6" xfId="33320"/>
    <cellStyle name="Notas 2 4 6 2" xfId="33321"/>
    <cellStyle name="Notas 2 4 7" xfId="33322"/>
    <cellStyle name="Notas 2 4 7 2" xfId="33323"/>
    <cellStyle name="Notas 2 4 8" xfId="33324"/>
    <cellStyle name="Notas 2 4 8 2" xfId="33325"/>
    <cellStyle name="Notas 2 4 9" xfId="33326"/>
    <cellStyle name="Notas 2 4 9 2" xfId="33327"/>
    <cellStyle name="Notas 2 5" xfId="33328"/>
    <cellStyle name="Notas 2 5 10" xfId="33329"/>
    <cellStyle name="Notas 2 5 10 2" xfId="33330"/>
    <cellStyle name="Notas 2 5 11" xfId="33331"/>
    <cellStyle name="Notas 2 5 11 2" xfId="33332"/>
    <cellStyle name="Notas 2 5 12" xfId="33333"/>
    <cellStyle name="Notas 2 5 12 2" xfId="33334"/>
    <cellStyle name="Notas 2 5 13" xfId="33335"/>
    <cellStyle name="Notas 2 5 13 2" xfId="33336"/>
    <cellStyle name="Notas 2 5 14" xfId="33337"/>
    <cellStyle name="Notas 2 5 14 2" xfId="33338"/>
    <cellStyle name="Notas 2 5 15" xfId="33339"/>
    <cellStyle name="Notas 2 5 2" xfId="33340"/>
    <cellStyle name="Notas 2 5 2 10" xfId="33341"/>
    <cellStyle name="Notas 2 5 2 10 2" xfId="33342"/>
    <cellStyle name="Notas 2 5 2 11" xfId="33343"/>
    <cellStyle name="Notas 2 5 2 11 2" xfId="33344"/>
    <cellStyle name="Notas 2 5 2 12" xfId="33345"/>
    <cellStyle name="Notas 2 5 2 12 2" xfId="33346"/>
    <cellStyle name="Notas 2 5 2 13" xfId="33347"/>
    <cellStyle name="Notas 2 5 2 2" xfId="33348"/>
    <cellStyle name="Notas 2 5 2 2 10" xfId="33349"/>
    <cellStyle name="Notas 2 5 2 2 10 2" xfId="33350"/>
    <cellStyle name="Notas 2 5 2 2 11" xfId="33351"/>
    <cellStyle name="Notas 2 5 2 2 2" xfId="33352"/>
    <cellStyle name="Notas 2 5 2 2 2 2" xfId="33353"/>
    <cellStyle name="Notas 2 5 2 2 3" xfId="33354"/>
    <cellStyle name="Notas 2 5 2 2 3 2" xfId="33355"/>
    <cellStyle name="Notas 2 5 2 2 4" xfId="33356"/>
    <cellStyle name="Notas 2 5 2 2 4 2" xfId="33357"/>
    <cellStyle name="Notas 2 5 2 2 5" xfId="33358"/>
    <cellStyle name="Notas 2 5 2 2 5 2" xfId="33359"/>
    <cellStyle name="Notas 2 5 2 2 6" xfId="33360"/>
    <cellStyle name="Notas 2 5 2 2 6 2" xfId="33361"/>
    <cellStyle name="Notas 2 5 2 2 7" xfId="33362"/>
    <cellStyle name="Notas 2 5 2 2 7 2" xfId="33363"/>
    <cellStyle name="Notas 2 5 2 2 8" xfId="33364"/>
    <cellStyle name="Notas 2 5 2 2 8 2" xfId="33365"/>
    <cellStyle name="Notas 2 5 2 2 9" xfId="33366"/>
    <cellStyle name="Notas 2 5 2 2 9 2" xfId="33367"/>
    <cellStyle name="Notas 2 5 2 3" xfId="33368"/>
    <cellStyle name="Notas 2 5 2 3 10" xfId="33369"/>
    <cellStyle name="Notas 2 5 2 3 10 2" xfId="33370"/>
    <cellStyle name="Notas 2 5 2 3 11" xfId="33371"/>
    <cellStyle name="Notas 2 5 2 3 2" xfId="33372"/>
    <cellStyle name="Notas 2 5 2 3 2 2" xfId="33373"/>
    <cellStyle name="Notas 2 5 2 3 3" xfId="33374"/>
    <cellStyle name="Notas 2 5 2 3 3 2" xfId="33375"/>
    <cellStyle name="Notas 2 5 2 3 4" xfId="33376"/>
    <cellStyle name="Notas 2 5 2 3 4 2" xfId="33377"/>
    <cellStyle name="Notas 2 5 2 3 5" xfId="33378"/>
    <cellStyle name="Notas 2 5 2 3 5 2" xfId="33379"/>
    <cellStyle name="Notas 2 5 2 3 6" xfId="33380"/>
    <cellStyle name="Notas 2 5 2 3 6 2" xfId="33381"/>
    <cellStyle name="Notas 2 5 2 3 7" xfId="33382"/>
    <cellStyle name="Notas 2 5 2 3 7 2" xfId="33383"/>
    <cellStyle name="Notas 2 5 2 3 8" xfId="33384"/>
    <cellStyle name="Notas 2 5 2 3 8 2" xfId="33385"/>
    <cellStyle name="Notas 2 5 2 3 9" xfId="33386"/>
    <cellStyle name="Notas 2 5 2 3 9 2" xfId="33387"/>
    <cellStyle name="Notas 2 5 2 4" xfId="33388"/>
    <cellStyle name="Notas 2 5 2 4 2" xfId="33389"/>
    <cellStyle name="Notas 2 5 2 5" xfId="33390"/>
    <cellStyle name="Notas 2 5 2 5 2" xfId="33391"/>
    <cellStyle name="Notas 2 5 2 6" xfId="33392"/>
    <cellStyle name="Notas 2 5 2 6 2" xfId="33393"/>
    <cellStyle name="Notas 2 5 2 7" xfId="33394"/>
    <cellStyle name="Notas 2 5 2 7 2" xfId="33395"/>
    <cellStyle name="Notas 2 5 2 8" xfId="33396"/>
    <cellStyle name="Notas 2 5 2 8 2" xfId="33397"/>
    <cellStyle name="Notas 2 5 2 9" xfId="33398"/>
    <cellStyle name="Notas 2 5 2 9 2" xfId="33399"/>
    <cellStyle name="Notas 2 5 3" xfId="33400"/>
    <cellStyle name="Notas 2 5 3 10" xfId="33401"/>
    <cellStyle name="Notas 2 5 3 10 2" xfId="33402"/>
    <cellStyle name="Notas 2 5 3 11" xfId="33403"/>
    <cellStyle name="Notas 2 5 3 11 2" xfId="33404"/>
    <cellStyle name="Notas 2 5 3 12" xfId="33405"/>
    <cellStyle name="Notas 2 5 3 12 2" xfId="33406"/>
    <cellStyle name="Notas 2 5 3 13" xfId="33407"/>
    <cellStyle name="Notas 2 5 3 2" xfId="33408"/>
    <cellStyle name="Notas 2 5 3 2 10" xfId="33409"/>
    <cellStyle name="Notas 2 5 3 2 10 2" xfId="33410"/>
    <cellStyle name="Notas 2 5 3 2 11" xfId="33411"/>
    <cellStyle name="Notas 2 5 3 2 2" xfId="33412"/>
    <cellStyle name="Notas 2 5 3 2 2 2" xfId="33413"/>
    <cellStyle name="Notas 2 5 3 2 3" xfId="33414"/>
    <cellStyle name="Notas 2 5 3 2 3 2" xfId="33415"/>
    <cellStyle name="Notas 2 5 3 2 4" xfId="33416"/>
    <cellStyle name="Notas 2 5 3 2 4 2" xfId="33417"/>
    <cellStyle name="Notas 2 5 3 2 5" xfId="33418"/>
    <cellStyle name="Notas 2 5 3 2 5 2" xfId="33419"/>
    <cellStyle name="Notas 2 5 3 2 6" xfId="33420"/>
    <cellStyle name="Notas 2 5 3 2 6 2" xfId="33421"/>
    <cellStyle name="Notas 2 5 3 2 7" xfId="33422"/>
    <cellStyle name="Notas 2 5 3 2 7 2" xfId="33423"/>
    <cellStyle name="Notas 2 5 3 2 8" xfId="33424"/>
    <cellStyle name="Notas 2 5 3 2 8 2" xfId="33425"/>
    <cellStyle name="Notas 2 5 3 2 9" xfId="33426"/>
    <cellStyle name="Notas 2 5 3 2 9 2" xfId="33427"/>
    <cellStyle name="Notas 2 5 3 3" xfId="33428"/>
    <cellStyle name="Notas 2 5 3 3 10" xfId="33429"/>
    <cellStyle name="Notas 2 5 3 3 10 2" xfId="33430"/>
    <cellStyle name="Notas 2 5 3 3 11" xfId="33431"/>
    <cellStyle name="Notas 2 5 3 3 2" xfId="33432"/>
    <cellStyle name="Notas 2 5 3 3 2 2" xfId="33433"/>
    <cellStyle name="Notas 2 5 3 3 3" xfId="33434"/>
    <cellStyle name="Notas 2 5 3 3 3 2" xfId="33435"/>
    <cellStyle name="Notas 2 5 3 3 4" xfId="33436"/>
    <cellStyle name="Notas 2 5 3 3 4 2" xfId="33437"/>
    <cellStyle name="Notas 2 5 3 3 5" xfId="33438"/>
    <cellStyle name="Notas 2 5 3 3 5 2" xfId="33439"/>
    <cellStyle name="Notas 2 5 3 3 6" xfId="33440"/>
    <cellStyle name="Notas 2 5 3 3 6 2" xfId="33441"/>
    <cellStyle name="Notas 2 5 3 3 7" xfId="33442"/>
    <cellStyle name="Notas 2 5 3 3 7 2" xfId="33443"/>
    <cellStyle name="Notas 2 5 3 3 8" xfId="33444"/>
    <cellStyle name="Notas 2 5 3 3 8 2" xfId="33445"/>
    <cellStyle name="Notas 2 5 3 3 9" xfId="33446"/>
    <cellStyle name="Notas 2 5 3 3 9 2" xfId="33447"/>
    <cellStyle name="Notas 2 5 3 4" xfId="33448"/>
    <cellStyle name="Notas 2 5 3 4 2" xfId="33449"/>
    <cellStyle name="Notas 2 5 3 5" xfId="33450"/>
    <cellStyle name="Notas 2 5 3 5 2" xfId="33451"/>
    <cellStyle name="Notas 2 5 3 6" xfId="33452"/>
    <cellStyle name="Notas 2 5 3 6 2" xfId="33453"/>
    <cellStyle name="Notas 2 5 3 7" xfId="33454"/>
    <cellStyle name="Notas 2 5 3 7 2" xfId="33455"/>
    <cellStyle name="Notas 2 5 3 8" xfId="33456"/>
    <cellStyle name="Notas 2 5 3 8 2" xfId="33457"/>
    <cellStyle name="Notas 2 5 3 9" xfId="33458"/>
    <cellStyle name="Notas 2 5 3 9 2" xfId="33459"/>
    <cellStyle name="Notas 2 5 4" xfId="33460"/>
    <cellStyle name="Notas 2 5 4 10" xfId="33461"/>
    <cellStyle name="Notas 2 5 4 10 2" xfId="33462"/>
    <cellStyle name="Notas 2 5 4 11" xfId="33463"/>
    <cellStyle name="Notas 2 5 4 2" xfId="33464"/>
    <cellStyle name="Notas 2 5 4 2 2" xfId="33465"/>
    <cellStyle name="Notas 2 5 4 3" xfId="33466"/>
    <cellStyle name="Notas 2 5 4 3 2" xfId="33467"/>
    <cellStyle name="Notas 2 5 4 4" xfId="33468"/>
    <cellStyle name="Notas 2 5 4 4 2" xfId="33469"/>
    <cellStyle name="Notas 2 5 4 5" xfId="33470"/>
    <cellStyle name="Notas 2 5 4 5 2" xfId="33471"/>
    <cellStyle name="Notas 2 5 4 6" xfId="33472"/>
    <cellStyle name="Notas 2 5 4 6 2" xfId="33473"/>
    <cellStyle name="Notas 2 5 4 7" xfId="33474"/>
    <cellStyle name="Notas 2 5 4 7 2" xfId="33475"/>
    <cellStyle name="Notas 2 5 4 8" xfId="33476"/>
    <cellStyle name="Notas 2 5 4 8 2" xfId="33477"/>
    <cellStyle name="Notas 2 5 4 9" xfId="33478"/>
    <cellStyle name="Notas 2 5 4 9 2" xfId="33479"/>
    <cellStyle name="Notas 2 5 5" xfId="33480"/>
    <cellStyle name="Notas 2 5 5 10" xfId="33481"/>
    <cellStyle name="Notas 2 5 5 10 2" xfId="33482"/>
    <cellStyle name="Notas 2 5 5 11" xfId="33483"/>
    <cellStyle name="Notas 2 5 5 2" xfId="33484"/>
    <cellStyle name="Notas 2 5 5 2 2" xfId="33485"/>
    <cellStyle name="Notas 2 5 5 3" xfId="33486"/>
    <cellStyle name="Notas 2 5 5 3 2" xfId="33487"/>
    <cellStyle name="Notas 2 5 5 4" xfId="33488"/>
    <cellStyle name="Notas 2 5 5 4 2" xfId="33489"/>
    <cellStyle name="Notas 2 5 5 5" xfId="33490"/>
    <cellStyle name="Notas 2 5 5 5 2" xfId="33491"/>
    <cellStyle name="Notas 2 5 5 6" xfId="33492"/>
    <cellStyle name="Notas 2 5 5 6 2" xfId="33493"/>
    <cellStyle name="Notas 2 5 5 7" xfId="33494"/>
    <cellStyle name="Notas 2 5 5 7 2" xfId="33495"/>
    <cellStyle name="Notas 2 5 5 8" xfId="33496"/>
    <cellStyle name="Notas 2 5 5 8 2" xfId="33497"/>
    <cellStyle name="Notas 2 5 5 9" xfId="33498"/>
    <cellStyle name="Notas 2 5 5 9 2" xfId="33499"/>
    <cellStyle name="Notas 2 5 6" xfId="33500"/>
    <cellStyle name="Notas 2 5 6 2" xfId="33501"/>
    <cellStyle name="Notas 2 5 7" xfId="33502"/>
    <cellStyle name="Notas 2 5 7 2" xfId="33503"/>
    <cellStyle name="Notas 2 5 8" xfId="33504"/>
    <cellStyle name="Notas 2 5 8 2" xfId="33505"/>
    <cellStyle name="Notas 2 5 9" xfId="33506"/>
    <cellStyle name="Notas 2 5 9 2" xfId="33507"/>
    <cellStyle name="Notas 2 6" xfId="33508"/>
    <cellStyle name="Notas 2 6 10" xfId="33509"/>
    <cellStyle name="Notas 2 6 10 2" xfId="33510"/>
    <cellStyle name="Notas 2 6 11" xfId="33511"/>
    <cellStyle name="Notas 2 6 11 2" xfId="33512"/>
    <cellStyle name="Notas 2 6 12" xfId="33513"/>
    <cellStyle name="Notas 2 6 12 2" xfId="33514"/>
    <cellStyle name="Notas 2 6 13" xfId="33515"/>
    <cellStyle name="Notas 2 6 13 2" xfId="33516"/>
    <cellStyle name="Notas 2 6 14" xfId="33517"/>
    <cellStyle name="Notas 2 6 14 2" xfId="33518"/>
    <cellStyle name="Notas 2 6 15" xfId="33519"/>
    <cellStyle name="Notas 2 6 2" xfId="33520"/>
    <cellStyle name="Notas 2 6 2 10" xfId="33521"/>
    <cellStyle name="Notas 2 6 2 10 2" xfId="33522"/>
    <cellStyle name="Notas 2 6 2 11" xfId="33523"/>
    <cellStyle name="Notas 2 6 2 11 2" xfId="33524"/>
    <cellStyle name="Notas 2 6 2 12" xfId="33525"/>
    <cellStyle name="Notas 2 6 2 12 2" xfId="33526"/>
    <cellStyle name="Notas 2 6 2 13" xfId="33527"/>
    <cellStyle name="Notas 2 6 2 2" xfId="33528"/>
    <cellStyle name="Notas 2 6 2 2 10" xfId="33529"/>
    <cellStyle name="Notas 2 6 2 2 10 2" xfId="33530"/>
    <cellStyle name="Notas 2 6 2 2 11" xfId="33531"/>
    <cellStyle name="Notas 2 6 2 2 2" xfId="33532"/>
    <cellStyle name="Notas 2 6 2 2 2 2" xfId="33533"/>
    <cellStyle name="Notas 2 6 2 2 3" xfId="33534"/>
    <cellStyle name="Notas 2 6 2 2 3 2" xfId="33535"/>
    <cellStyle name="Notas 2 6 2 2 4" xfId="33536"/>
    <cellStyle name="Notas 2 6 2 2 4 2" xfId="33537"/>
    <cellStyle name="Notas 2 6 2 2 5" xfId="33538"/>
    <cellStyle name="Notas 2 6 2 2 5 2" xfId="33539"/>
    <cellStyle name="Notas 2 6 2 2 6" xfId="33540"/>
    <cellStyle name="Notas 2 6 2 2 6 2" xfId="33541"/>
    <cellStyle name="Notas 2 6 2 2 7" xfId="33542"/>
    <cellStyle name="Notas 2 6 2 2 7 2" xfId="33543"/>
    <cellStyle name="Notas 2 6 2 2 8" xfId="33544"/>
    <cellStyle name="Notas 2 6 2 2 8 2" xfId="33545"/>
    <cellStyle name="Notas 2 6 2 2 9" xfId="33546"/>
    <cellStyle name="Notas 2 6 2 2 9 2" xfId="33547"/>
    <cellStyle name="Notas 2 6 2 3" xfId="33548"/>
    <cellStyle name="Notas 2 6 2 3 10" xfId="33549"/>
    <cellStyle name="Notas 2 6 2 3 10 2" xfId="33550"/>
    <cellStyle name="Notas 2 6 2 3 11" xfId="33551"/>
    <cellStyle name="Notas 2 6 2 3 2" xfId="33552"/>
    <cellStyle name="Notas 2 6 2 3 2 2" xfId="33553"/>
    <cellStyle name="Notas 2 6 2 3 3" xfId="33554"/>
    <cellStyle name="Notas 2 6 2 3 3 2" xfId="33555"/>
    <cellStyle name="Notas 2 6 2 3 4" xfId="33556"/>
    <cellStyle name="Notas 2 6 2 3 4 2" xfId="33557"/>
    <cellStyle name="Notas 2 6 2 3 5" xfId="33558"/>
    <cellStyle name="Notas 2 6 2 3 5 2" xfId="33559"/>
    <cellStyle name="Notas 2 6 2 3 6" xfId="33560"/>
    <cellStyle name="Notas 2 6 2 3 6 2" xfId="33561"/>
    <cellStyle name="Notas 2 6 2 3 7" xfId="33562"/>
    <cellStyle name="Notas 2 6 2 3 7 2" xfId="33563"/>
    <cellStyle name="Notas 2 6 2 3 8" xfId="33564"/>
    <cellStyle name="Notas 2 6 2 3 8 2" xfId="33565"/>
    <cellStyle name="Notas 2 6 2 3 9" xfId="33566"/>
    <cellStyle name="Notas 2 6 2 3 9 2" xfId="33567"/>
    <cellStyle name="Notas 2 6 2 4" xfId="33568"/>
    <cellStyle name="Notas 2 6 2 4 2" xfId="33569"/>
    <cellStyle name="Notas 2 6 2 5" xfId="33570"/>
    <cellStyle name="Notas 2 6 2 5 2" xfId="33571"/>
    <cellStyle name="Notas 2 6 2 6" xfId="33572"/>
    <cellStyle name="Notas 2 6 2 6 2" xfId="33573"/>
    <cellStyle name="Notas 2 6 2 7" xfId="33574"/>
    <cellStyle name="Notas 2 6 2 7 2" xfId="33575"/>
    <cellStyle name="Notas 2 6 2 8" xfId="33576"/>
    <cellStyle name="Notas 2 6 2 8 2" xfId="33577"/>
    <cellStyle name="Notas 2 6 2 9" xfId="33578"/>
    <cellStyle name="Notas 2 6 2 9 2" xfId="33579"/>
    <cellStyle name="Notas 2 6 3" xfId="33580"/>
    <cellStyle name="Notas 2 6 3 10" xfId="33581"/>
    <cellStyle name="Notas 2 6 3 10 2" xfId="33582"/>
    <cellStyle name="Notas 2 6 3 11" xfId="33583"/>
    <cellStyle name="Notas 2 6 3 11 2" xfId="33584"/>
    <cellStyle name="Notas 2 6 3 12" xfId="33585"/>
    <cellStyle name="Notas 2 6 3 12 2" xfId="33586"/>
    <cellStyle name="Notas 2 6 3 13" xfId="33587"/>
    <cellStyle name="Notas 2 6 3 2" xfId="33588"/>
    <cellStyle name="Notas 2 6 3 2 10" xfId="33589"/>
    <cellStyle name="Notas 2 6 3 2 10 2" xfId="33590"/>
    <cellStyle name="Notas 2 6 3 2 11" xfId="33591"/>
    <cellStyle name="Notas 2 6 3 2 2" xfId="33592"/>
    <cellStyle name="Notas 2 6 3 2 2 2" xfId="33593"/>
    <cellStyle name="Notas 2 6 3 2 3" xfId="33594"/>
    <cellStyle name="Notas 2 6 3 2 3 2" xfId="33595"/>
    <cellStyle name="Notas 2 6 3 2 4" xfId="33596"/>
    <cellStyle name="Notas 2 6 3 2 4 2" xfId="33597"/>
    <cellStyle name="Notas 2 6 3 2 5" xfId="33598"/>
    <cellStyle name="Notas 2 6 3 2 5 2" xfId="33599"/>
    <cellStyle name="Notas 2 6 3 2 6" xfId="33600"/>
    <cellStyle name="Notas 2 6 3 2 6 2" xfId="33601"/>
    <cellStyle name="Notas 2 6 3 2 7" xfId="33602"/>
    <cellStyle name="Notas 2 6 3 2 7 2" xfId="33603"/>
    <cellStyle name="Notas 2 6 3 2 8" xfId="33604"/>
    <cellStyle name="Notas 2 6 3 2 8 2" xfId="33605"/>
    <cellStyle name="Notas 2 6 3 2 9" xfId="33606"/>
    <cellStyle name="Notas 2 6 3 2 9 2" xfId="33607"/>
    <cellStyle name="Notas 2 6 3 3" xfId="33608"/>
    <cellStyle name="Notas 2 6 3 3 10" xfId="33609"/>
    <cellStyle name="Notas 2 6 3 3 10 2" xfId="33610"/>
    <cellStyle name="Notas 2 6 3 3 11" xfId="33611"/>
    <cellStyle name="Notas 2 6 3 3 2" xfId="33612"/>
    <cellStyle name="Notas 2 6 3 3 2 2" xfId="33613"/>
    <cellStyle name="Notas 2 6 3 3 3" xfId="33614"/>
    <cellStyle name="Notas 2 6 3 3 3 2" xfId="33615"/>
    <cellStyle name="Notas 2 6 3 3 4" xfId="33616"/>
    <cellStyle name="Notas 2 6 3 3 4 2" xfId="33617"/>
    <cellStyle name="Notas 2 6 3 3 5" xfId="33618"/>
    <cellStyle name="Notas 2 6 3 3 5 2" xfId="33619"/>
    <cellStyle name="Notas 2 6 3 3 6" xfId="33620"/>
    <cellStyle name="Notas 2 6 3 3 6 2" xfId="33621"/>
    <cellStyle name="Notas 2 6 3 3 7" xfId="33622"/>
    <cellStyle name="Notas 2 6 3 3 7 2" xfId="33623"/>
    <cellStyle name="Notas 2 6 3 3 8" xfId="33624"/>
    <cellStyle name="Notas 2 6 3 3 8 2" xfId="33625"/>
    <cellStyle name="Notas 2 6 3 3 9" xfId="33626"/>
    <cellStyle name="Notas 2 6 3 3 9 2" xfId="33627"/>
    <cellStyle name="Notas 2 6 3 4" xfId="33628"/>
    <cellStyle name="Notas 2 6 3 4 2" xfId="33629"/>
    <cellStyle name="Notas 2 6 3 5" xfId="33630"/>
    <cellStyle name="Notas 2 6 3 5 2" xfId="33631"/>
    <cellStyle name="Notas 2 6 3 6" xfId="33632"/>
    <cellStyle name="Notas 2 6 3 6 2" xfId="33633"/>
    <cellStyle name="Notas 2 6 3 7" xfId="33634"/>
    <cellStyle name="Notas 2 6 3 7 2" xfId="33635"/>
    <cellStyle name="Notas 2 6 3 8" xfId="33636"/>
    <cellStyle name="Notas 2 6 3 8 2" xfId="33637"/>
    <cellStyle name="Notas 2 6 3 9" xfId="33638"/>
    <cellStyle name="Notas 2 6 3 9 2" xfId="33639"/>
    <cellStyle name="Notas 2 6 4" xfId="33640"/>
    <cellStyle name="Notas 2 6 4 10" xfId="33641"/>
    <cellStyle name="Notas 2 6 4 10 2" xfId="33642"/>
    <cellStyle name="Notas 2 6 4 11" xfId="33643"/>
    <cellStyle name="Notas 2 6 4 2" xfId="33644"/>
    <cellStyle name="Notas 2 6 4 2 2" xfId="33645"/>
    <cellStyle name="Notas 2 6 4 3" xfId="33646"/>
    <cellStyle name="Notas 2 6 4 3 2" xfId="33647"/>
    <cellStyle name="Notas 2 6 4 4" xfId="33648"/>
    <cellStyle name="Notas 2 6 4 4 2" xfId="33649"/>
    <cellStyle name="Notas 2 6 4 5" xfId="33650"/>
    <cellStyle name="Notas 2 6 4 5 2" xfId="33651"/>
    <cellStyle name="Notas 2 6 4 6" xfId="33652"/>
    <cellStyle name="Notas 2 6 4 6 2" xfId="33653"/>
    <cellStyle name="Notas 2 6 4 7" xfId="33654"/>
    <cellStyle name="Notas 2 6 4 7 2" xfId="33655"/>
    <cellStyle name="Notas 2 6 4 8" xfId="33656"/>
    <cellStyle name="Notas 2 6 4 8 2" xfId="33657"/>
    <cellStyle name="Notas 2 6 4 9" xfId="33658"/>
    <cellStyle name="Notas 2 6 4 9 2" xfId="33659"/>
    <cellStyle name="Notas 2 6 5" xfId="33660"/>
    <cellStyle name="Notas 2 6 5 10" xfId="33661"/>
    <cellStyle name="Notas 2 6 5 10 2" xfId="33662"/>
    <cellStyle name="Notas 2 6 5 11" xfId="33663"/>
    <cellStyle name="Notas 2 6 5 2" xfId="33664"/>
    <cellStyle name="Notas 2 6 5 2 2" xfId="33665"/>
    <cellStyle name="Notas 2 6 5 3" xfId="33666"/>
    <cellStyle name="Notas 2 6 5 3 2" xfId="33667"/>
    <cellStyle name="Notas 2 6 5 4" xfId="33668"/>
    <cellStyle name="Notas 2 6 5 4 2" xfId="33669"/>
    <cellStyle name="Notas 2 6 5 5" xfId="33670"/>
    <cellStyle name="Notas 2 6 5 5 2" xfId="33671"/>
    <cellStyle name="Notas 2 6 5 6" xfId="33672"/>
    <cellStyle name="Notas 2 6 5 6 2" xfId="33673"/>
    <cellStyle name="Notas 2 6 5 7" xfId="33674"/>
    <cellStyle name="Notas 2 6 5 7 2" xfId="33675"/>
    <cellStyle name="Notas 2 6 5 8" xfId="33676"/>
    <cellStyle name="Notas 2 6 5 8 2" xfId="33677"/>
    <cellStyle name="Notas 2 6 5 9" xfId="33678"/>
    <cellStyle name="Notas 2 6 5 9 2" xfId="33679"/>
    <cellStyle name="Notas 2 6 6" xfId="33680"/>
    <cellStyle name="Notas 2 6 6 2" xfId="33681"/>
    <cellStyle name="Notas 2 6 7" xfId="33682"/>
    <cellStyle name="Notas 2 6 7 2" xfId="33683"/>
    <cellStyle name="Notas 2 6 8" xfId="33684"/>
    <cellStyle name="Notas 2 6 8 2" xfId="33685"/>
    <cellStyle name="Notas 2 6 9" xfId="33686"/>
    <cellStyle name="Notas 2 6 9 2" xfId="33687"/>
    <cellStyle name="Notas 2 7" xfId="33688"/>
    <cellStyle name="Notas 2 7 10" xfId="33689"/>
    <cellStyle name="Notas 2 7 10 2" xfId="33690"/>
    <cellStyle name="Notas 2 7 11" xfId="33691"/>
    <cellStyle name="Notas 2 7 11 2" xfId="33692"/>
    <cellStyle name="Notas 2 7 12" xfId="33693"/>
    <cellStyle name="Notas 2 7 12 2" xfId="33694"/>
    <cellStyle name="Notas 2 7 13" xfId="33695"/>
    <cellStyle name="Notas 2 7 13 2" xfId="33696"/>
    <cellStyle name="Notas 2 7 14" xfId="33697"/>
    <cellStyle name="Notas 2 7 14 2" xfId="33698"/>
    <cellStyle name="Notas 2 7 15" xfId="33699"/>
    <cellStyle name="Notas 2 7 2" xfId="33700"/>
    <cellStyle name="Notas 2 7 2 10" xfId="33701"/>
    <cellStyle name="Notas 2 7 2 10 2" xfId="33702"/>
    <cellStyle name="Notas 2 7 2 11" xfId="33703"/>
    <cellStyle name="Notas 2 7 2 11 2" xfId="33704"/>
    <cellStyle name="Notas 2 7 2 12" xfId="33705"/>
    <cellStyle name="Notas 2 7 2 12 2" xfId="33706"/>
    <cellStyle name="Notas 2 7 2 13" xfId="33707"/>
    <cellStyle name="Notas 2 7 2 2" xfId="33708"/>
    <cellStyle name="Notas 2 7 2 2 10" xfId="33709"/>
    <cellStyle name="Notas 2 7 2 2 10 2" xfId="33710"/>
    <cellStyle name="Notas 2 7 2 2 11" xfId="33711"/>
    <cellStyle name="Notas 2 7 2 2 2" xfId="33712"/>
    <cellStyle name="Notas 2 7 2 2 2 2" xfId="33713"/>
    <cellStyle name="Notas 2 7 2 2 3" xfId="33714"/>
    <cellStyle name="Notas 2 7 2 2 3 2" xfId="33715"/>
    <cellStyle name="Notas 2 7 2 2 4" xfId="33716"/>
    <cellStyle name="Notas 2 7 2 2 4 2" xfId="33717"/>
    <cellStyle name="Notas 2 7 2 2 5" xfId="33718"/>
    <cellStyle name="Notas 2 7 2 2 5 2" xfId="33719"/>
    <cellStyle name="Notas 2 7 2 2 6" xfId="33720"/>
    <cellStyle name="Notas 2 7 2 2 6 2" xfId="33721"/>
    <cellStyle name="Notas 2 7 2 2 7" xfId="33722"/>
    <cellStyle name="Notas 2 7 2 2 7 2" xfId="33723"/>
    <cellStyle name="Notas 2 7 2 2 8" xfId="33724"/>
    <cellStyle name="Notas 2 7 2 2 8 2" xfId="33725"/>
    <cellStyle name="Notas 2 7 2 2 9" xfId="33726"/>
    <cellStyle name="Notas 2 7 2 2 9 2" xfId="33727"/>
    <cellStyle name="Notas 2 7 2 3" xfId="33728"/>
    <cellStyle name="Notas 2 7 2 3 10" xfId="33729"/>
    <cellStyle name="Notas 2 7 2 3 10 2" xfId="33730"/>
    <cellStyle name="Notas 2 7 2 3 11" xfId="33731"/>
    <cellStyle name="Notas 2 7 2 3 2" xfId="33732"/>
    <cellStyle name="Notas 2 7 2 3 2 2" xfId="33733"/>
    <cellStyle name="Notas 2 7 2 3 3" xfId="33734"/>
    <cellStyle name="Notas 2 7 2 3 3 2" xfId="33735"/>
    <cellStyle name="Notas 2 7 2 3 4" xfId="33736"/>
    <cellStyle name="Notas 2 7 2 3 4 2" xfId="33737"/>
    <cellStyle name="Notas 2 7 2 3 5" xfId="33738"/>
    <cellStyle name="Notas 2 7 2 3 5 2" xfId="33739"/>
    <cellStyle name="Notas 2 7 2 3 6" xfId="33740"/>
    <cellStyle name="Notas 2 7 2 3 6 2" xfId="33741"/>
    <cellStyle name="Notas 2 7 2 3 7" xfId="33742"/>
    <cellStyle name="Notas 2 7 2 3 7 2" xfId="33743"/>
    <cellStyle name="Notas 2 7 2 3 8" xfId="33744"/>
    <cellStyle name="Notas 2 7 2 3 8 2" xfId="33745"/>
    <cellStyle name="Notas 2 7 2 3 9" xfId="33746"/>
    <cellStyle name="Notas 2 7 2 3 9 2" xfId="33747"/>
    <cellStyle name="Notas 2 7 2 4" xfId="33748"/>
    <cellStyle name="Notas 2 7 2 4 2" xfId="33749"/>
    <cellStyle name="Notas 2 7 2 5" xfId="33750"/>
    <cellStyle name="Notas 2 7 2 5 2" xfId="33751"/>
    <cellStyle name="Notas 2 7 2 6" xfId="33752"/>
    <cellStyle name="Notas 2 7 2 6 2" xfId="33753"/>
    <cellStyle name="Notas 2 7 2 7" xfId="33754"/>
    <cellStyle name="Notas 2 7 2 7 2" xfId="33755"/>
    <cellStyle name="Notas 2 7 2 8" xfId="33756"/>
    <cellStyle name="Notas 2 7 2 8 2" xfId="33757"/>
    <cellStyle name="Notas 2 7 2 9" xfId="33758"/>
    <cellStyle name="Notas 2 7 2 9 2" xfId="33759"/>
    <cellStyle name="Notas 2 7 3" xfId="33760"/>
    <cellStyle name="Notas 2 7 3 10" xfId="33761"/>
    <cellStyle name="Notas 2 7 3 10 2" xfId="33762"/>
    <cellStyle name="Notas 2 7 3 11" xfId="33763"/>
    <cellStyle name="Notas 2 7 3 11 2" xfId="33764"/>
    <cellStyle name="Notas 2 7 3 12" xfId="33765"/>
    <cellStyle name="Notas 2 7 3 12 2" xfId="33766"/>
    <cellStyle name="Notas 2 7 3 13" xfId="33767"/>
    <cellStyle name="Notas 2 7 3 2" xfId="33768"/>
    <cellStyle name="Notas 2 7 3 2 10" xfId="33769"/>
    <cellStyle name="Notas 2 7 3 2 10 2" xfId="33770"/>
    <cellStyle name="Notas 2 7 3 2 11" xfId="33771"/>
    <cellStyle name="Notas 2 7 3 2 2" xfId="33772"/>
    <cellStyle name="Notas 2 7 3 2 2 2" xfId="33773"/>
    <cellStyle name="Notas 2 7 3 2 3" xfId="33774"/>
    <cellStyle name="Notas 2 7 3 2 3 2" xfId="33775"/>
    <cellStyle name="Notas 2 7 3 2 4" xfId="33776"/>
    <cellStyle name="Notas 2 7 3 2 4 2" xfId="33777"/>
    <cellStyle name="Notas 2 7 3 2 5" xfId="33778"/>
    <cellStyle name="Notas 2 7 3 2 5 2" xfId="33779"/>
    <cellStyle name="Notas 2 7 3 2 6" xfId="33780"/>
    <cellStyle name="Notas 2 7 3 2 6 2" xfId="33781"/>
    <cellStyle name="Notas 2 7 3 2 7" xfId="33782"/>
    <cellStyle name="Notas 2 7 3 2 7 2" xfId="33783"/>
    <cellStyle name="Notas 2 7 3 2 8" xfId="33784"/>
    <cellStyle name="Notas 2 7 3 2 8 2" xfId="33785"/>
    <cellStyle name="Notas 2 7 3 2 9" xfId="33786"/>
    <cellStyle name="Notas 2 7 3 2 9 2" xfId="33787"/>
    <cellStyle name="Notas 2 7 3 3" xfId="33788"/>
    <cellStyle name="Notas 2 7 3 3 10" xfId="33789"/>
    <cellStyle name="Notas 2 7 3 3 10 2" xfId="33790"/>
    <cellStyle name="Notas 2 7 3 3 11" xfId="33791"/>
    <cellStyle name="Notas 2 7 3 3 2" xfId="33792"/>
    <cellStyle name="Notas 2 7 3 3 2 2" xfId="33793"/>
    <cellStyle name="Notas 2 7 3 3 3" xfId="33794"/>
    <cellStyle name="Notas 2 7 3 3 3 2" xfId="33795"/>
    <cellStyle name="Notas 2 7 3 3 4" xfId="33796"/>
    <cellStyle name="Notas 2 7 3 3 4 2" xfId="33797"/>
    <cellStyle name="Notas 2 7 3 3 5" xfId="33798"/>
    <cellStyle name="Notas 2 7 3 3 5 2" xfId="33799"/>
    <cellStyle name="Notas 2 7 3 3 6" xfId="33800"/>
    <cellStyle name="Notas 2 7 3 3 6 2" xfId="33801"/>
    <cellStyle name="Notas 2 7 3 3 7" xfId="33802"/>
    <cellStyle name="Notas 2 7 3 3 7 2" xfId="33803"/>
    <cellStyle name="Notas 2 7 3 3 8" xfId="33804"/>
    <cellStyle name="Notas 2 7 3 3 8 2" xfId="33805"/>
    <cellStyle name="Notas 2 7 3 3 9" xfId="33806"/>
    <cellStyle name="Notas 2 7 3 3 9 2" xfId="33807"/>
    <cellStyle name="Notas 2 7 3 4" xfId="33808"/>
    <cellStyle name="Notas 2 7 3 4 2" xfId="33809"/>
    <cellStyle name="Notas 2 7 3 5" xfId="33810"/>
    <cellStyle name="Notas 2 7 3 5 2" xfId="33811"/>
    <cellStyle name="Notas 2 7 3 6" xfId="33812"/>
    <cellStyle name="Notas 2 7 3 6 2" xfId="33813"/>
    <cellStyle name="Notas 2 7 3 7" xfId="33814"/>
    <cellStyle name="Notas 2 7 3 7 2" xfId="33815"/>
    <cellStyle name="Notas 2 7 3 8" xfId="33816"/>
    <cellStyle name="Notas 2 7 3 8 2" xfId="33817"/>
    <cellStyle name="Notas 2 7 3 9" xfId="33818"/>
    <cellStyle name="Notas 2 7 3 9 2" xfId="33819"/>
    <cellStyle name="Notas 2 7 4" xfId="33820"/>
    <cellStyle name="Notas 2 7 4 10" xfId="33821"/>
    <cellStyle name="Notas 2 7 4 10 2" xfId="33822"/>
    <cellStyle name="Notas 2 7 4 11" xfId="33823"/>
    <cellStyle name="Notas 2 7 4 2" xfId="33824"/>
    <cellStyle name="Notas 2 7 4 2 2" xfId="33825"/>
    <cellStyle name="Notas 2 7 4 3" xfId="33826"/>
    <cellStyle name="Notas 2 7 4 3 2" xfId="33827"/>
    <cellStyle name="Notas 2 7 4 4" xfId="33828"/>
    <cellStyle name="Notas 2 7 4 4 2" xfId="33829"/>
    <cellStyle name="Notas 2 7 4 5" xfId="33830"/>
    <cellStyle name="Notas 2 7 4 5 2" xfId="33831"/>
    <cellStyle name="Notas 2 7 4 6" xfId="33832"/>
    <cellStyle name="Notas 2 7 4 6 2" xfId="33833"/>
    <cellStyle name="Notas 2 7 4 7" xfId="33834"/>
    <cellStyle name="Notas 2 7 4 7 2" xfId="33835"/>
    <cellStyle name="Notas 2 7 4 8" xfId="33836"/>
    <cellStyle name="Notas 2 7 4 8 2" xfId="33837"/>
    <cellStyle name="Notas 2 7 4 9" xfId="33838"/>
    <cellStyle name="Notas 2 7 4 9 2" xfId="33839"/>
    <cellStyle name="Notas 2 7 5" xfId="33840"/>
    <cellStyle name="Notas 2 7 5 10" xfId="33841"/>
    <cellStyle name="Notas 2 7 5 10 2" xfId="33842"/>
    <cellStyle name="Notas 2 7 5 11" xfId="33843"/>
    <cellStyle name="Notas 2 7 5 2" xfId="33844"/>
    <cellStyle name="Notas 2 7 5 2 2" xfId="33845"/>
    <cellStyle name="Notas 2 7 5 3" xfId="33846"/>
    <cellStyle name="Notas 2 7 5 3 2" xfId="33847"/>
    <cellStyle name="Notas 2 7 5 4" xfId="33848"/>
    <cellStyle name="Notas 2 7 5 4 2" xfId="33849"/>
    <cellStyle name="Notas 2 7 5 5" xfId="33850"/>
    <cellStyle name="Notas 2 7 5 5 2" xfId="33851"/>
    <cellStyle name="Notas 2 7 5 6" xfId="33852"/>
    <cellStyle name="Notas 2 7 5 6 2" xfId="33853"/>
    <cellStyle name="Notas 2 7 5 7" xfId="33854"/>
    <cellStyle name="Notas 2 7 5 7 2" xfId="33855"/>
    <cellStyle name="Notas 2 7 5 8" xfId="33856"/>
    <cellStyle name="Notas 2 7 5 8 2" xfId="33857"/>
    <cellStyle name="Notas 2 7 5 9" xfId="33858"/>
    <cellStyle name="Notas 2 7 5 9 2" xfId="33859"/>
    <cellStyle name="Notas 2 7 6" xfId="33860"/>
    <cellStyle name="Notas 2 7 6 2" xfId="33861"/>
    <cellStyle name="Notas 2 7 7" xfId="33862"/>
    <cellStyle name="Notas 2 7 7 2" xfId="33863"/>
    <cellStyle name="Notas 2 7 8" xfId="33864"/>
    <cellStyle name="Notas 2 7 8 2" xfId="33865"/>
    <cellStyle name="Notas 2 7 9" xfId="33866"/>
    <cellStyle name="Notas 2 7 9 2" xfId="33867"/>
    <cellStyle name="Notas 2 8" xfId="33868"/>
    <cellStyle name="Notas 2 8 10" xfId="33869"/>
    <cellStyle name="Notas 2 8 10 2" xfId="33870"/>
    <cellStyle name="Notas 2 8 11" xfId="33871"/>
    <cellStyle name="Notas 2 8 11 2" xfId="33872"/>
    <cellStyle name="Notas 2 8 12" xfId="33873"/>
    <cellStyle name="Notas 2 8 12 2" xfId="33874"/>
    <cellStyle name="Notas 2 8 13" xfId="33875"/>
    <cellStyle name="Notas 2 8 13 2" xfId="33876"/>
    <cellStyle name="Notas 2 8 14" xfId="33877"/>
    <cellStyle name="Notas 2 8 14 2" xfId="33878"/>
    <cellStyle name="Notas 2 8 15" xfId="33879"/>
    <cellStyle name="Notas 2 8 2" xfId="33880"/>
    <cellStyle name="Notas 2 8 2 10" xfId="33881"/>
    <cellStyle name="Notas 2 8 2 10 2" xfId="33882"/>
    <cellStyle name="Notas 2 8 2 11" xfId="33883"/>
    <cellStyle name="Notas 2 8 2 11 2" xfId="33884"/>
    <cellStyle name="Notas 2 8 2 12" xfId="33885"/>
    <cellStyle name="Notas 2 8 2 12 2" xfId="33886"/>
    <cellStyle name="Notas 2 8 2 13" xfId="33887"/>
    <cellStyle name="Notas 2 8 2 2" xfId="33888"/>
    <cellStyle name="Notas 2 8 2 2 10" xfId="33889"/>
    <cellStyle name="Notas 2 8 2 2 10 2" xfId="33890"/>
    <cellStyle name="Notas 2 8 2 2 11" xfId="33891"/>
    <cellStyle name="Notas 2 8 2 2 2" xfId="33892"/>
    <cellStyle name="Notas 2 8 2 2 2 2" xfId="33893"/>
    <cellStyle name="Notas 2 8 2 2 3" xfId="33894"/>
    <cellStyle name="Notas 2 8 2 2 3 2" xfId="33895"/>
    <cellStyle name="Notas 2 8 2 2 4" xfId="33896"/>
    <cellStyle name="Notas 2 8 2 2 4 2" xfId="33897"/>
    <cellStyle name="Notas 2 8 2 2 5" xfId="33898"/>
    <cellStyle name="Notas 2 8 2 2 5 2" xfId="33899"/>
    <cellStyle name="Notas 2 8 2 2 6" xfId="33900"/>
    <cellStyle name="Notas 2 8 2 2 6 2" xfId="33901"/>
    <cellStyle name="Notas 2 8 2 2 7" xfId="33902"/>
    <cellStyle name="Notas 2 8 2 2 7 2" xfId="33903"/>
    <cellStyle name="Notas 2 8 2 2 8" xfId="33904"/>
    <cellStyle name="Notas 2 8 2 2 8 2" xfId="33905"/>
    <cellStyle name="Notas 2 8 2 2 9" xfId="33906"/>
    <cellStyle name="Notas 2 8 2 2 9 2" xfId="33907"/>
    <cellStyle name="Notas 2 8 2 3" xfId="33908"/>
    <cellStyle name="Notas 2 8 2 3 10" xfId="33909"/>
    <cellStyle name="Notas 2 8 2 3 10 2" xfId="33910"/>
    <cellStyle name="Notas 2 8 2 3 11" xfId="33911"/>
    <cellStyle name="Notas 2 8 2 3 2" xfId="33912"/>
    <cellStyle name="Notas 2 8 2 3 2 2" xfId="33913"/>
    <cellStyle name="Notas 2 8 2 3 3" xfId="33914"/>
    <cellStyle name="Notas 2 8 2 3 3 2" xfId="33915"/>
    <cellStyle name="Notas 2 8 2 3 4" xfId="33916"/>
    <cellStyle name="Notas 2 8 2 3 4 2" xfId="33917"/>
    <cellStyle name="Notas 2 8 2 3 5" xfId="33918"/>
    <cellStyle name="Notas 2 8 2 3 5 2" xfId="33919"/>
    <cellStyle name="Notas 2 8 2 3 6" xfId="33920"/>
    <cellStyle name="Notas 2 8 2 3 6 2" xfId="33921"/>
    <cellStyle name="Notas 2 8 2 3 7" xfId="33922"/>
    <cellStyle name="Notas 2 8 2 3 7 2" xfId="33923"/>
    <cellStyle name="Notas 2 8 2 3 8" xfId="33924"/>
    <cellStyle name="Notas 2 8 2 3 8 2" xfId="33925"/>
    <cellStyle name="Notas 2 8 2 3 9" xfId="33926"/>
    <cellStyle name="Notas 2 8 2 3 9 2" xfId="33927"/>
    <cellStyle name="Notas 2 8 2 4" xfId="33928"/>
    <cellStyle name="Notas 2 8 2 4 2" xfId="33929"/>
    <cellStyle name="Notas 2 8 2 5" xfId="33930"/>
    <cellStyle name="Notas 2 8 2 5 2" xfId="33931"/>
    <cellStyle name="Notas 2 8 2 6" xfId="33932"/>
    <cellStyle name="Notas 2 8 2 6 2" xfId="33933"/>
    <cellStyle name="Notas 2 8 2 7" xfId="33934"/>
    <cellStyle name="Notas 2 8 2 7 2" xfId="33935"/>
    <cellStyle name="Notas 2 8 2 8" xfId="33936"/>
    <cellStyle name="Notas 2 8 2 8 2" xfId="33937"/>
    <cellStyle name="Notas 2 8 2 9" xfId="33938"/>
    <cellStyle name="Notas 2 8 2 9 2" xfId="33939"/>
    <cellStyle name="Notas 2 8 3" xfId="33940"/>
    <cellStyle name="Notas 2 8 3 10" xfId="33941"/>
    <cellStyle name="Notas 2 8 3 10 2" xfId="33942"/>
    <cellStyle name="Notas 2 8 3 11" xfId="33943"/>
    <cellStyle name="Notas 2 8 3 11 2" xfId="33944"/>
    <cellStyle name="Notas 2 8 3 12" xfId="33945"/>
    <cellStyle name="Notas 2 8 3 12 2" xfId="33946"/>
    <cellStyle name="Notas 2 8 3 13" xfId="33947"/>
    <cellStyle name="Notas 2 8 3 2" xfId="33948"/>
    <cellStyle name="Notas 2 8 3 2 10" xfId="33949"/>
    <cellStyle name="Notas 2 8 3 2 10 2" xfId="33950"/>
    <cellStyle name="Notas 2 8 3 2 11" xfId="33951"/>
    <cellStyle name="Notas 2 8 3 2 2" xfId="33952"/>
    <cellStyle name="Notas 2 8 3 2 2 2" xfId="33953"/>
    <cellStyle name="Notas 2 8 3 2 3" xfId="33954"/>
    <cellStyle name="Notas 2 8 3 2 3 2" xfId="33955"/>
    <cellStyle name="Notas 2 8 3 2 4" xfId="33956"/>
    <cellStyle name="Notas 2 8 3 2 4 2" xfId="33957"/>
    <cellStyle name="Notas 2 8 3 2 5" xfId="33958"/>
    <cellStyle name="Notas 2 8 3 2 5 2" xfId="33959"/>
    <cellStyle name="Notas 2 8 3 2 6" xfId="33960"/>
    <cellStyle name="Notas 2 8 3 2 6 2" xfId="33961"/>
    <cellStyle name="Notas 2 8 3 2 7" xfId="33962"/>
    <cellStyle name="Notas 2 8 3 2 7 2" xfId="33963"/>
    <cellStyle name="Notas 2 8 3 2 8" xfId="33964"/>
    <cellStyle name="Notas 2 8 3 2 8 2" xfId="33965"/>
    <cellStyle name="Notas 2 8 3 2 9" xfId="33966"/>
    <cellStyle name="Notas 2 8 3 2 9 2" xfId="33967"/>
    <cellStyle name="Notas 2 8 3 3" xfId="33968"/>
    <cellStyle name="Notas 2 8 3 3 10" xfId="33969"/>
    <cellStyle name="Notas 2 8 3 3 10 2" xfId="33970"/>
    <cellStyle name="Notas 2 8 3 3 11" xfId="33971"/>
    <cellStyle name="Notas 2 8 3 3 2" xfId="33972"/>
    <cellStyle name="Notas 2 8 3 3 2 2" xfId="33973"/>
    <cellStyle name="Notas 2 8 3 3 3" xfId="33974"/>
    <cellStyle name="Notas 2 8 3 3 3 2" xfId="33975"/>
    <cellStyle name="Notas 2 8 3 3 4" xfId="33976"/>
    <cellStyle name="Notas 2 8 3 3 4 2" xfId="33977"/>
    <cellStyle name="Notas 2 8 3 3 5" xfId="33978"/>
    <cellStyle name="Notas 2 8 3 3 5 2" xfId="33979"/>
    <cellStyle name="Notas 2 8 3 3 6" xfId="33980"/>
    <cellStyle name="Notas 2 8 3 3 6 2" xfId="33981"/>
    <cellStyle name="Notas 2 8 3 3 7" xfId="33982"/>
    <cellStyle name="Notas 2 8 3 3 7 2" xfId="33983"/>
    <cellStyle name="Notas 2 8 3 3 8" xfId="33984"/>
    <cellStyle name="Notas 2 8 3 3 8 2" xfId="33985"/>
    <cellStyle name="Notas 2 8 3 3 9" xfId="33986"/>
    <cellStyle name="Notas 2 8 3 3 9 2" xfId="33987"/>
    <cellStyle name="Notas 2 8 3 4" xfId="33988"/>
    <cellStyle name="Notas 2 8 3 4 2" xfId="33989"/>
    <cellStyle name="Notas 2 8 3 5" xfId="33990"/>
    <cellStyle name="Notas 2 8 3 5 2" xfId="33991"/>
    <cellStyle name="Notas 2 8 3 6" xfId="33992"/>
    <cellStyle name="Notas 2 8 3 6 2" xfId="33993"/>
    <cellStyle name="Notas 2 8 3 7" xfId="33994"/>
    <cellStyle name="Notas 2 8 3 7 2" xfId="33995"/>
    <cellStyle name="Notas 2 8 3 8" xfId="33996"/>
    <cellStyle name="Notas 2 8 3 8 2" xfId="33997"/>
    <cellStyle name="Notas 2 8 3 9" xfId="33998"/>
    <cellStyle name="Notas 2 8 3 9 2" xfId="33999"/>
    <cellStyle name="Notas 2 8 4" xfId="34000"/>
    <cellStyle name="Notas 2 8 4 10" xfId="34001"/>
    <cellStyle name="Notas 2 8 4 10 2" xfId="34002"/>
    <cellStyle name="Notas 2 8 4 11" xfId="34003"/>
    <cellStyle name="Notas 2 8 4 2" xfId="34004"/>
    <cellStyle name="Notas 2 8 4 2 2" xfId="34005"/>
    <cellStyle name="Notas 2 8 4 3" xfId="34006"/>
    <cellStyle name="Notas 2 8 4 3 2" xfId="34007"/>
    <cellStyle name="Notas 2 8 4 4" xfId="34008"/>
    <cellStyle name="Notas 2 8 4 4 2" xfId="34009"/>
    <cellStyle name="Notas 2 8 4 5" xfId="34010"/>
    <cellStyle name="Notas 2 8 4 5 2" xfId="34011"/>
    <cellStyle name="Notas 2 8 4 6" xfId="34012"/>
    <cellStyle name="Notas 2 8 4 6 2" xfId="34013"/>
    <cellStyle name="Notas 2 8 4 7" xfId="34014"/>
    <cellStyle name="Notas 2 8 4 7 2" xfId="34015"/>
    <cellStyle name="Notas 2 8 4 8" xfId="34016"/>
    <cellStyle name="Notas 2 8 4 8 2" xfId="34017"/>
    <cellStyle name="Notas 2 8 4 9" xfId="34018"/>
    <cellStyle name="Notas 2 8 4 9 2" xfId="34019"/>
    <cellStyle name="Notas 2 8 5" xfId="34020"/>
    <cellStyle name="Notas 2 8 5 10" xfId="34021"/>
    <cellStyle name="Notas 2 8 5 10 2" xfId="34022"/>
    <cellStyle name="Notas 2 8 5 11" xfId="34023"/>
    <cellStyle name="Notas 2 8 5 2" xfId="34024"/>
    <cellStyle name="Notas 2 8 5 2 2" xfId="34025"/>
    <cellStyle name="Notas 2 8 5 3" xfId="34026"/>
    <cellStyle name="Notas 2 8 5 3 2" xfId="34027"/>
    <cellStyle name="Notas 2 8 5 4" xfId="34028"/>
    <cellStyle name="Notas 2 8 5 4 2" xfId="34029"/>
    <cellStyle name="Notas 2 8 5 5" xfId="34030"/>
    <cellStyle name="Notas 2 8 5 5 2" xfId="34031"/>
    <cellStyle name="Notas 2 8 5 6" xfId="34032"/>
    <cellStyle name="Notas 2 8 5 6 2" xfId="34033"/>
    <cellStyle name="Notas 2 8 5 7" xfId="34034"/>
    <cellStyle name="Notas 2 8 5 7 2" xfId="34035"/>
    <cellStyle name="Notas 2 8 5 8" xfId="34036"/>
    <cellStyle name="Notas 2 8 5 8 2" xfId="34037"/>
    <cellStyle name="Notas 2 8 5 9" xfId="34038"/>
    <cellStyle name="Notas 2 8 5 9 2" xfId="34039"/>
    <cellStyle name="Notas 2 8 6" xfId="34040"/>
    <cellStyle name="Notas 2 8 6 2" xfId="34041"/>
    <cellStyle name="Notas 2 8 7" xfId="34042"/>
    <cellStyle name="Notas 2 8 7 2" xfId="34043"/>
    <cellStyle name="Notas 2 8 8" xfId="34044"/>
    <cellStyle name="Notas 2 8 8 2" xfId="34045"/>
    <cellStyle name="Notas 2 8 9" xfId="34046"/>
    <cellStyle name="Notas 2 8 9 2" xfId="34047"/>
    <cellStyle name="Notas 2 9" xfId="34048"/>
    <cellStyle name="Notas 2 9 10" xfId="34049"/>
    <cellStyle name="Notas 2 9 10 2" xfId="34050"/>
    <cellStyle name="Notas 2 9 11" xfId="34051"/>
    <cellStyle name="Notas 2 9 11 2" xfId="34052"/>
    <cellStyle name="Notas 2 9 12" xfId="34053"/>
    <cellStyle name="Notas 2 9 12 2" xfId="34054"/>
    <cellStyle name="Notas 2 9 13" xfId="34055"/>
    <cellStyle name="Notas 2 9 2" xfId="34056"/>
    <cellStyle name="Notas 2 9 2 10" xfId="34057"/>
    <cellStyle name="Notas 2 9 2 10 2" xfId="34058"/>
    <cellStyle name="Notas 2 9 2 11" xfId="34059"/>
    <cellStyle name="Notas 2 9 2 2" xfId="34060"/>
    <cellStyle name="Notas 2 9 2 2 2" xfId="34061"/>
    <cellStyle name="Notas 2 9 2 3" xfId="34062"/>
    <cellStyle name="Notas 2 9 2 3 2" xfId="34063"/>
    <cellStyle name="Notas 2 9 2 4" xfId="34064"/>
    <cellStyle name="Notas 2 9 2 4 2" xfId="34065"/>
    <cellStyle name="Notas 2 9 2 5" xfId="34066"/>
    <cellStyle name="Notas 2 9 2 5 2" xfId="34067"/>
    <cellStyle name="Notas 2 9 2 6" xfId="34068"/>
    <cellStyle name="Notas 2 9 2 6 2" xfId="34069"/>
    <cellStyle name="Notas 2 9 2 7" xfId="34070"/>
    <cellStyle name="Notas 2 9 2 7 2" xfId="34071"/>
    <cellStyle name="Notas 2 9 2 8" xfId="34072"/>
    <cellStyle name="Notas 2 9 2 8 2" xfId="34073"/>
    <cellStyle name="Notas 2 9 2 9" xfId="34074"/>
    <cellStyle name="Notas 2 9 2 9 2" xfId="34075"/>
    <cellStyle name="Notas 2 9 3" xfId="34076"/>
    <cellStyle name="Notas 2 9 3 10" xfId="34077"/>
    <cellStyle name="Notas 2 9 3 10 2" xfId="34078"/>
    <cellStyle name="Notas 2 9 3 11" xfId="34079"/>
    <cellStyle name="Notas 2 9 3 2" xfId="34080"/>
    <cellStyle name="Notas 2 9 3 2 2" xfId="34081"/>
    <cellStyle name="Notas 2 9 3 3" xfId="34082"/>
    <cellStyle name="Notas 2 9 3 3 2" xfId="34083"/>
    <cellStyle name="Notas 2 9 3 4" xfId="34084"/>
    <cellStyle name="Notas 2 9 3 4 2" xfId="34085"/>
    <cellStyle name="Notas 2 9 3 5" xfId="34086"/>
    <cellStyle name="Notas 2 9 3 5 2" xfId="34087"/>
    <cellStyle name="Notas 2 9 3 6" xfId="34088"/>
    <cellStyle name="Notas 2 9 3 6 2" xfId="34089"/>
    <cellStyle name="Notas 2 9 3 7" xfId="34090"/>
    <cellStyle name="Notas 2 9 3 7 2" xfId="34091"/>
    <cellStyle name="Notas 2 9 3 8" xfId="34092"/>
    <cellStyle name="Notas 2 9 3 8 2" xfId="34093"/>
    <cellStyle name="Notas 2 9 3 9" xfId="34094"/>
    <cellStyle name="Notas 2 9 3 9 2" xfId="34095"/>
    <cellStyle name="Notas 2 9 4" xfId="34096"/>
    <cellStyle name="Notas 2 9 4 2" xfId="34097"/>
    <cellStyle name="Notas 2 9 5" xfId="34098"/>
    <cellStyle name="Notas 2 9 5 2" xfId="34099"/>
    <cellStyle name="Notas 2 9 6" xfId="34100"/>
    <cellStyle name="Notas 2 9 6 2" xfId="34101"/>
    <cellStyle name="Notas 2 9 7" xfId="34102"/>
    <cellStyle name="Notas 2 9 7 2" xfId="34103"/>
    <cellStyle name="Notas 2 9 8" xfId="34104"/>
    <cellStyle name="Notas 2 9 8 2" xfId="34105"/>
    <cellStyle name="Notas 2 9 9" xfId="34106"/>
    <cellStyle name="Notas 2 9 9 2" xfId="34107"/>
    <cellStyle name="Notas 3" xfId="202"/>
    <cellStyle name="Notas 3 10" xfId="34108"/>
    <cellStyle name="Notas 3 10 2" xfId="34109"/>
    <cellStyle name="Notas 3 11" xfId="34110"/>
    <cellStyle name="Notas 3 11 2" xfId="34111"/>
    <cellStyle name="Notas 3 12" xfId="34112"/>
    <cellStyle name="Notas 3 12 2" xfId="34113"/>
    <cellStyle name="Notas 3 13" xfId="34114"/>
    <cellStyle name="Notas 3 13 2" xfId="34115"/>
    <cellStyle name="Notas 3 14" xfId="34116"/>
    <cellStyle name="Notas 3 14 2" xfId="34117"/>
    <cellStyle name="Notas 3 15" xfId="34118"/>
    <cellStyle name="Notas 3 15 2" xfId="34119"/>
    <cellStyle name="Notas 3 16" xfId="34120"/>
    <cellStyle name="Notas 3 16 2" xfId="34121"/>
    <cellStyle name="Notas 3 17" xfId="34122"/>
    <cellStyle name="Notas 3 18" xfId="34123"/>
    <cellStyle name="Notas 3 19" xfId="34124"/>
    <cellStyle name="Notas 3 2" xfId="34125"/>
    <cellStyle name="Notas 3 2 10" xfId="34126"/>
    <cellStyle name="Notas 3 2 10 2" xfId="34127"/>
    <cellStyle name="Notas 3 2 11" xfId="34128"/>
    <cellStyle name="Notas 3 2 11 2" xfId="34129"/>
    <cellStyle name="Notas 3 2 12" xfId="34130"/>
    <cellStyle name="Notas 3 2 12 2" xfId="34131"/>
    <cellStyle name="Notas 3 2 13" xfId="34132"/>
    <cellStyle name="Notas 3 2 13 2" xfId="34133"/>
    <cellStyle name="Notas 3 2 14" xfId="34134"/>
    <cellStyle name="Notas 3 2 14 2" xfId="34135"/>
    <cellStyle name="Notas 3 2 15" xfId="34136"/>
    <cellStyle name="Notas 3 2 2" xfId="34137"/>
    <cellStyle name="Notas 3 2 2 10" xfId="34138"/>
    <cellStyle name="Notas 3 2 2 10 2" xfId="34139"/>
    <cellStyle name="Notas 3 2 2 11" xfId="34140"/>
    <cellStyle name="Notas 3 2 2 11 2" xfId="34141"/>
    <cellStyle name="Notas 3 2 2 12" xfId="34142"/>
    <cellStyle name="Notas 3 2 2 12 2" xfId="34143"/>
    <cellStyle name="Notas 3 2 2 13" xfId="34144"/>
    <cellStyle name="Notas 3 2 2 2" xfId="34145"/>
    <cellStyle name="Notas 3 2 2 2 10" xfId="34146"/>
    <cellStyle name="Notas 3 2 2 2 10 2" xfId="34147"/>
    <cellStyle name="Notas 3 2 2 2 11" xfId="34148"/>
    <cellStyle name="Notas 3 2 2 2 2" xfId="34149"/>
    <cellStyle name="Notas 3 2 2 2 2 2" xfId="34150"/>
    <cellStyle name="Notas 3 2 2 2 3" xfId="34151"/>
    <cellStyle name="Notas 3 2 2 2 3 2" xfId="34152"/>
    <cellStyle name="Notas 3 2 2 2 4" xfId="34153"/>
    <cellStyle name="Notas 3 2 2 2 4 2" xfId="34154"/>
    <cellStyle name="Notas 3 2 2 2 5" xfId="34155"/>
    <cellStyle name="Notas 3 2 2 2 5 2" xfId="34156"/>
    <cellStyle name="Notas 3 2 2 2 6" xfId="34157"/>
    <cellStyle name="Notas 3 2 2 2 6 2" xfId="34158"/>
    <cellStyle name="Notas 3 2 2 2 7" xfId="34159"/>
    <cellStyle name="Notas 3 2 2 2 7 2" xfId="34160"/>
    <cellStyle name="Notas 3 2 2 2 8" xfId="34161"/>
    <cellStyle name="Notas 3 2 2 2 8 2" xfId="34162"/>
    <cellStyle name="Notas 3 2 2 2 9" xfId="34163"/>
    <cellStyle name="Notas 3 2 2 2 9 2" xfId="34164"/>
    <cellStyle name="Notas 3 2 2 3" xfId="34165"/>
    <cellStyle name="Notas 3 2 2 3 10" xfId="34166"/>
    <cellStyle name="Notas 3 2 2 3 10 2" xfId="34167"/>
    <cellStyle name="Notas 3 2 2 3 11" xfId="34168"/>
    <cellStyle name="Notas 3 2 2 3 2" xfId="34169"/>
    <cellStyle name="Notas 3 2 2 3 2 2" xfId="34170"/>
    <cellStyle name="Notas 3 2 2 3 3" xfId="34171"/>
    <cellStyle name="Notas 3 2 2 3 3 2" xfId="34172"/>
    <cellStyle name="Notas 3 2 2 3 4" xfId="34173"/>
    <cellStyle name="Notas 3 2 2 3 4 2" xfId="34174"/>
    <cellStyle name="Notas 3 2 2 3 5" xfId="34175"/>
    <cellStyle name="Notas 3 2 2 3 5 2" xfId="34176"/>
    <cellStyle name="Notas 3 2 2 3 6" xfId="34177"/>
    <cellStyle name="Notas 3 2 2 3 6 2" xfId="34178"/>
    <cellStyle name="Notas 3 2 2 3 7" xfId="34179"/>
    <cellStyle name="Notas 3 2 2 3 7 2" xfId="34180"/>
    <cellStyle name="Notas 3 2 2 3 8" xfId="34181"/>
    <cellStyle name="Notas 3 2 2 3 8 2" xfId="34182"/>
    <cellStyle name="Notas 3 2 2 3 9" xfId="34183"/>
    <cellStyle name="Notas 3 2 2 3 9 2" xfId="34184"/>
    <cellStyle name="Notas 3 2 2 4" xfId="34185"/>
    <cellStyle name="Notas 3 2 2 4 2" xfId="34186"/>
    <cellStyle name="Notas 3 2 2 5" xfId="34187"/>
    <cellStyle name="Notas 3 2 2 5 2" xfId="34188"/>
    <cellStyle name="Notas 3 2 2 6" xfId="34189"/>
    <cellStyle name="Notas 3 2 2 6 2" xfId="34190"/>
    <cellStyle name="Notas 3 2 2 7" xfId="34191"/>
    <cellStyle name="Notas 3 2 2 7 2" xfId="34192"/>
    <cellStyle name="Notas 3 2 2 8" xfId="34193"/>
    <cellStyle name="Notas 3 2 2 8 2" xfId="34194"/>
    <cellStyle name="Notas 3 2 2 9" xfId="34195"/>
    <cellStyle name="Notas 3 2 2 9 2" xfId="34196"/>
    <cellStyle name="Notas 3 2 3" xfId="34197"/>
    <cellStyle name="Notas 3 2 3 10" xfId="34198"/>
    <cellStyle name="Notas 3 2 3 10 2" xfId="34199"/>
    <cellStyle name="Notas 3 2 3 11" xfId="34200"/>
    <cellStyle name="Notas 3 2 3 11 2" xfId="34201"/>
    <cellStyle name="Notas 3 2 3 12" xfId="34202"/>
    <cellStyle name="Notas 3 2 3 12 2" xfId="34203"/>
    <cellStyle name="Notas 3 2 3 13" xfId="34204"/>
    <cellStyle name="Notas 3 2 3 2" xfId="34205"/>
    <cellStyle name="Notas 3 2 3 2 10" xfId="34206"/>
    <cellStyle name="Notas 3 2 3 2 10 2" xfId="34207"/>
    <cellStyle name="Notas 3 2 3 2 11" xfId="34208"/>
    <cellStyle name="Notas 3 2 3 2 2" xfId="34209"/>
    <cellStyle name="Notas 3 2 3 2 2 2" xfId="34210"/>
    <cellStyle name="Notas 3 2 3 2 3" xfId="34211"/>
    <cellStyle name="Notas 3 2 3 2 3 2" xfId="34212"/>
    <cellStyle name="Notas 3 2 3 2 4" xfId="34213"/>
    <cellStyle name="Notas 3 2 3 2 4 2" xfId="34214"/>
    <cellStyle name="Notas 3 2 3 2 5" xfId="34215"/>
    <cellStyle name="Notas 3 2 3 2 5 2" xfId="34216"/>
    <cellStyle name="Notas 3 2 3 2 6" xfId="34217"/>
    <cellStyle name="Notas 3 2 3 2 6 2" xfId="34218"/>
    <cellStyle name="Notas 3 2 3 2 7" xfId="34219"/>
    <cellStyle name="Notas 3 2 3 2 7 2" xfId="34220"/>
    <cellStyle name="Notas 3 2 3 2 8" xfId="34221"/>
    <cellStyle name="Notas 3 2 3 2 8 2" xfId="34222"/>
    <cellStyle name="Notas 3 2 3 2 9" xfId="34223"/>
    <cellStyle name="Notas 3 2 3 2 9 2" xfId="34224"/>
    <cellStyle name="Notas 3 2 3 3" xfId="34225"/>
    <cellStyle name="Notas 3 2 3 3 10" xfId="34226"/>
    <cellStyle name="Notas 3 2 3 3 10 2" xfId="34227"/>
    <cellStyle name="Notas 3 2 3 3 11" xfId="34228"/>
    <cellStyle name="Notas 3 2 3 3 2" xfId="34229"/>
    <cellStyle name="Notas 3 2 3 3 2 2" xfId="34230"/>
    <cellStyle name="Notas 3 2 3 3 3" xfId="34231"/>
    <cellStyle name="Notas 3 2 3 3 3 2" xfId="34232"/>
    <cellStyle name="Notas 3 2 3 3 4" xfId="34233"/>
    <cellStyle name="Notas 3 2 3 3 4 2" xfId="34234"/>
    <cellStyle name="Notas 3 2 3 3 5" xfId="34235"/>
    <cellStyle name="Notas 3 2 3 3 5 2" xfId="34236"/>
    <cellStyle name="Notas 3 2 3 3 6" xfId="34237"/>
    <cellStyle name="Notas 3 2 3 3 6 2" xfId="34238"/>
    <cellStyle name="Notas 3 2 3 3 7" xfId="34239"/>
    <cellStyle name="Notas 3 2 3 3 7 2" xfId="34240"/>
    <cellStyle name="Notas 3 2 3 3 8" xfId="34241"/>
    <cellStyle name="Notas 3 2 3 3 8 2" xfId="34242"/>
    <cellStyle name="Notas 3 2 3 3 9" xfId="34243"/>
    <cellStyle name="Notas 3 2 3 3 9 2" xfId="34244"/>
    <cellStyle name="Notas 3 2 3 4" xfId="34245"/>
    <cellStyle name="Notas 3 2 3 4 2" xfId="34246"/>
    <cellStyle name="Notas 3 2 3 5" xfId="34247"/>
    <cellStyle name="Notas 3 2 3 5 2" xfId="34248"/>
    <cellStyle name="Notas 3 2 3 6" xfId="34249"/>
    <cellStyle name="Notas 3 2 3 6 2" xfId="34250"/>
    <cellStyle name="Notas 3 2 3 7" xfId="34251"/>
    <cellStyle name="Notas 3 2 3 7 2" xfId="34252"/>
    <cellStyle name="Notas 3 2 3 8" xfId="34253"/>
    <cellStyle name="Notas 3 2 3 8 2" xfId="34254"/>
    <cellStyle name="Notas 3 2 3 9" xfId="34255"/>
    <cellStyle name="Notas 3 2 3 9 2" xfId="34256"/>
    <cellStyle name="Notas 3 2 4" xfId="34257"/>
    <cellStyle name="Notas 3 2 4 10" xfId="34258"/>
    <cellStyle name="Notas 3 2 4 10 2" xfId="34259"/>
    <cellStyle name="Notas 3 2 4 11" xfId="34260"/>
    <cellStyle name="Notas 3 2 4 2" xfId="34261"/>
    <cellStyle name="Notas 3 2 4 2 2" xfId="34262"/>
    <cellStyle name="Notas 3 2 4 3" xfId="34263"/>
    <cellStyle name="Notas 3 2 4 3 2" xfId="34264"/>
    <cellStyle name="Notas 3 2 4 4" xfId="34265"/>
    <cellStyle name="Notas 3 2 4 4 2" xfId="34266"/>
    <cellStyle name="Notas 3 2 4 5" xfId="34267"/>
    <cellStyle name="Notas 3 2 4 5 2" xfId="34268"/>
    <cellStyle name="Notas 3 2 4 6" xfId="34269"/>
    <cellStyle name="Notas 3 2 4 6 2" xfId="34270"/>
    <cellStyle name="Notas 3 2 4 7" xfId="34271"/>
    <cellStyle name="Notas 3 2 4 7 2" xfId="34272"/>
    <cellStyle name="Notas 3 2 4 8" xfId="34273"/>
    <cellStyle name="Notas 3 2 4 8 2" xfId="34274"/>
    <cellStyle name="Notas 3 2 4 9" xfId="34275"/>
    <cellStyle name="Notas 3 2 4 9 2" xfId="34276"/>
    <cellStyle name="Notas 3 2 5" xfId="34277"/>
    <cellStyle name="Notas 3 2 5 10" xfId="34278"/>
    <cellStyle name="Notas 3 2 5 10 2" xfId="34279"/>
    <cellStyle name="Notas 3 2 5 11" xfId="34280"/>
    <cellStyle name="Notas 3 2 5 2" xfId="34281"/>
    <cellStyle name="Notas 3 2 5 2 2" xfId="34282"/>
    <cellStyle name="Notas 3 2 5 3" xfId="34283"/>
    <cellStyle name="Notas 3 2 5 3 2" xfId="34284"/>
    <cellStyle name="Notas 3 2 5 4" xfId="34285"/>
    <cellStyle name="Notas 3 2 5 4 2" xfId="34286"/>
    <cellStyle name="Notas 3 2 5 5" xfId="34287"/>
    <cellStyle name="Notas 3 2 5 5 2" xfId="34288"/>
    <cellStyle name="Notas 3 2 5 6" xfId="34289"/>
    <cellStyle name="Notas 3 2 5 6 2" xfId="34290"/>
    <cellStyle name="Notas 3 2 5 7" xfId="34291"/>
    <cellStyle name="Notas 3 2 5 7 2" xfId="34292"/>
    <cellStyle name="Notas 3 2 5 8" xfId="34293"/>
    <cellStyle name="Notas 3 2 5 8 2" xfId="34294"/>
    <cellStyle name="Notas 3 2 5 9" xfId="34295"/>
    <cellStyle name="Notas 3 2 5 9 2" xfId="34296"/>
    <cellStyle name="Notas 3 2 6" xfId="34297"/>
    <cellStyle name="Notas 3 2 6 2" xfId="34298"/>
    <cellStyle name="Notas 3 2 7" xfId="34299"/>
    <cellStyle name="Notas 3 2 7 2" xfId="34300"/>
    <cellStyle name="Notas 3 2 8" xfId="34301"/>
    <cellStyle name="Notas 3 2 8 2" xfId="34302"/>
    <cellStyle name="Notas 3 2 9" xfId="34303"/>
    <cellStyle name="Notas 3 2 9 2" xfId="34304"/>
    <cellStyle name="Notas 3 3" xfId="34305"/>
    <cellStyle name="Notas 3 3 10" xfId="34306"/>
    <cellStyle name="Notas 3 3 10 2" xfId="34307"/>
    <cellStyle name="Notas 3 3 11" xfId="34308"/>
    <cellStyle name="Notas 3 3 11 2" xfId="34309"/>
    <cellStyle name="Notas 3 3 12" xfId="34310"/>
    <cellStyle name="Notas 3 3 12 2" xfId="34311"/>
    <cellStyle name="Notas 3 3 13" xfId="34312"/>
    <cellStyle name="Notas 3 3 13 2" xfId="34313"/>
    <cellStyle name="Notas 3 3 14" xfId="34314"/>
    <cellStyle name="Notas 3 3 14 2" xfId="34315"/>
    <cellStyle name="Notas 3 3 15" xfId="34316"/>
    <cellStyle name="Notas 3 3 2" xfId="34317"/>
    <cellStyle name="Notas 3 3 2 10" xfId="34318"/>
    <cellStyle name="Notas 3 3 2 10 2" xfId="34319"/>
    <cellStyle name="Notas 3 3 2 11" xfId="34320"/>
    <cellStyle name="Notas 3 3 2 11 2" xfId="34321"/>
    <cellStyle name="Notas 3 3 2 12" xfId="34322"/>
    <cellStyle name="Notas 3 3 2 12 2" xfId="34323"/>
    <cellStyle name="Notas 3 3 2 13" xfId="34324"/>
    <cellStyle name="Notas 3 3 2 2" xfId="34325"/>
    <cellStyle name="Notas 3 3 2 2 10" xfId="34326"/>
    <cellStyle name="Notas 3 3 2 2 10 2" xfId="34327"/>
    <cellStyle name="Notas 3 3 2 2 11" xfId="34328"/>
    <cellStyle name="Notas 3 3 2 2 2" xfId="34329"/>
    <cellStyle name="Notas 3 3 2 2 2 2" xfId="34330"/>
    <cellStyle name="Notas 3 3 2 2 3" xfId="34331"/>
    <cellStyle name="Notas 3 3 2 2 3 2" xfId="34332"/>
    <cellStyle name="Notas 3 3 2 2 4" xfId="34333"/>
    <cellStyle name="Notas 3 3 2 2 4 2" xfId="34334"/>
    <cellStyle name="Notas 3 3 2 2 5" xfId="34335"/>
    <cellStyle name="Notas 3 3 2 2 5 2" xfId="34336"/>
    <cellStyle name="Notas 3 3 2 2 6" xfId="34337"/>
    <cellStyle name="Notas 3 3 2 2 6 2" xfId="34338"/>
    <cellStyle name="Notas 3 3 2 2 7" xfId="34339"/>
    <cellStyle name="Notas 3 3 2 2 7 2" xfId="34340"/>
    <cellStyle name="Notas 3 3 2 2 8" xfId="34341"/>
    <cellStyle name="Notas 3 3 2 2 8 2" xfId="34342"/>
    <cellStyle name="Notas 3 3 2 2 9" xfId="34343"/>
    <cellStyle name="Notas 3 3 2 2 9 2" xfId="34344"/>
    <cellStyle name="Notas 3 3 2 3" xfId="34345"/>
    <cellStyle name="Notas 3 3 2 3 10" xfId="34346"/>
    <cellStyle name="Notas 3 3 2 3 10 2" xfId="34347"/>
    <cellStyle name="Notas 3 3 2 3 11" xfId="34348"/>
    <cellStyle name="Notas 3 3 2 3 2" xfId="34349"/>
    <cellStyle name="Notas 3 3 2 3 2 2" xfId="34350"/>
    <cellStyle name="Notas 3 3 2 3 3" xfId="34351"/>
    <cellStyle name="Notas 3 3 2 3 3 2" xfId="34352"/>
    <cellStyle name="Notas 3 3 2 3 4" xfId="34353"/>
    <cellStyle name="Notas 3 3 2 3 4 2" xfId="34354"/>
    <cellStyle name="Notas 3 3 2 3 5" xfId="34355"/>
    <cellStyle name="Notas 3 3 2 3 5 2" xfId="34356"/>
    <cellStyle name="Notas 3 3 2 3 6" xfId="34357"/>
    <cellStyle name="Notas 3 3 2 3 6 2" xfId="34358"/>
    <cellStyle name="Notas 3 3 2 3 7" xfId="34359"/>
    <cellStyle name="Notas 3 3 2 3 7 2" xfId="34360"/>
    <cellStyle name="Notas 3 3 2 3 8" xfId="34361"/>
    <cellStyle name="Notas 3 3 2 3 8 2" xfId="34362"/>
    <cellStyle name="Notas 3 3 2 3 9" xfId="34363"/>
    <cellStyle name="Notas 3 3 2 3 9 2" xfId="34364"/>
    <cellStyle name="Notas 3 3 2 4" xfId="34365"/>
    <cellStyle name="Notas 3 3 2 4 2" xfId="34366"/>
    <cellStyle name="Notas 3 3 2 5" xfId="34367"/>
    <cellStyle name="Notas 3 3 2 5 2" xfId="34368"/>
    <cellStyle name="Notas 3 3 2 6" xfId="34369"/>
    <cellStyle name="Notas 3 3 2 6 2" xfId="34370"/>
    <cellStyle name="Notas 3 3 2 7" xfId="34371"/>
    <cellStyle name="Notas 3 3 2 7 2" xfId="34372"/>
    <cellStyle name="Notas 3 3 2 8" xfId="34373"/>
    <cellStyle name="Notas 3 3 2 8 2" xfId="34374"/>
    <cellStyle name="Notas 3 3 2 9" xfId="34375"/>
    <cellStyle name="Notas 3 3 2 9 2" xfId="34376"/>
    <cellStyle name="Notas 3 3 3" xfId="34377"/>
    <cellStyle name="Notas 3 3 3 10" xfId="34378"/>
    <cellStyle name="Notas 3 3 3 10 2" xfId="34379"/>
    <cellStyle name="Notas 3 3 3 11" xfId="34380"/>
    <cellStyle name="Notas 3 3 3 11 2" xfId="34381"/>
    <cellStyle name="Notas 3 3 3 12" xfId="34382"/>
    <cellStyle name="Notas 3 3 3 12 2" xfId="34383"/>
    <cellStyle name="Notas 3 3 3 13" xfId="34384"/>
    <cellStyle name="Notas 3 3 3 2" xfId="34385"/>
    <cellStyle name="Notas 3 3 3 2 10" xfId="34386"/>
    <cellStyle name="Notas 3 3 3 2 10 2" xfId="34387"/>
    <cellStyle name="Notas 3 3 3 2 11" xfId="34388"/>
    <cellStyle name="Notas 3 3 3 2 2" xfId="34389"/>
    <cellStyle name="Notas 3 3 3 2 2 2" xfId="34390"/>
    <cellStyle name="Notas 3 3 3 2 3" xfId="34391"/>
    <cellStyle name="Notas 3 3 3 2 3 2" xfId="34392"/>
    <cellStyle name="Notas 3 3 3 2 4" xfId="34393"/>
    <cellStyle name="Notas 3 3 3 2 4 2" xfId="34394"/>
    <cellStyle name="Notas 3 3 3 2 5" xfId="34395"/>
    <cellStyle name="Notas 3 3 3 2 5 2" xfId="34396"/>
    <cellStyle name="Notas 3 3 3 2 6" xfId="34397"/>
    <cellStyle name="Notas 3 3 3 2 6 2" xfId="34398"/>
    <cellStyle name="Notas 3 3 3 2 7" xfId="34399"/>
    <cellStyle name="Notas 3 3 3 2 7 2" xfId="34400"/>
    <cellStyle name="Notas 3 3 3 2 8" xfId="34401"/>
    <cellStyle name="Notas 3 3 3 2 8 2" xfId="34402"/>
    <cellStyle name="Notas 3 3 3 2 9" xfId="34403"/>
    <cellStyle name="Notas 3 3 3 2 9 2" xfId="34404"/>
    <cellStyle name="Notas 3 3 3 3" xfId="34405"/>
    <cellStyle name="Notas 3 3 3 3 10" xfId="34406"/>
    <cellStyle name="Notas 3 3 3 3 10 2" xfId="34407"/>
    <cellStyle name="Notas 3 3 3 3 11" xfId="34408"/>
    <cellStyle name="Notas 3 3 3 3 2" xfId="34409"/>
    <cellStyle name="Notas 3 3 3 3 2 2" xfId="34410"/>
    <cellStyle name="Notas 3 3 3 3 3" xfId="34411"/>
    <cellStyle name="Notas 3 3 3 3 3 2" xfId="34412"/>
    <cellStyle name="Notas 3 3 3 3 4" xfId="34413"/>
    <cellStyle name="Notas 3 3 3 3 4 2" xfId="34414"/>
    <cellStyle name="Notas 3 3 3 3 5" xfId="34415"/>
    <cellStyle name="Notas 3 3 3 3 5 2" xfId="34416"/>
    <cellStyle name="Notas 3 3 3 3 6" xfId="34417"/>
    <cellStyle name="Notas 3 3 3 3 6 2" xfId="34418"/>
    <cellStyle name="Notas 3 3 3 3 7" xfId="34419"/>
    <cellStyle name="Notas 3 3 3 3 7 2" xfId="34420"/>
    <cellStyle name="Notas 3 3 3 3 8" xfId="34421"/>
    <cellStyle name="Notas 3 3 3 3 8 2" xfId="34422"/>
    <cellStyle name="Notas 3 3 3 3 9" xfId="34423"/>
    <cellStyle name="Notas 3 3 3 3 9 2" xfId="34424"/>
    <cellStyle name="Notas 3 3 3 4" xfId="34425"/>
    <cellStyle name="Notas 3 3 3 4 2" xfId="34426"/>
    <cellStyle name="Notas 3 3 3 5" xfId="34427"/>
    <cellStyle name="Notas 3 3 3 5 2" xfId="34428"/>
    <cellStyle name="Notas 3 3 3 6" xfId="34429"/>
    <cellStyle name="Notas 3 3 3 6 2" xfId="34430"/>
    <cellStyle name="Notas 3 3 3 7" xfId="34431"/>
    <cellStyle name="Notas 3 3 3 7 2" xfId="34432"/>
    <cellStyle name="Notas 3 3 3 8" xfId="34433"/>
    <cellStyle name="Notas 3 3 3 8 2" xfId="34434"/>
    <cellStyle name="Notas 3 3 3 9" xfId="34435"/>
    <cellStyle name="Notas 3 3 3 9 2" xfId="34436"/>
    <cellStyle name="Notas 3 3 4" xfId="34437"/>
    <cellStyle name="Notas 3 3 4 10" xfId="34438"/>
    <cellStyle name="Notas 3 3 4 10 2" xfId="34439"/>
    <cellStyle name="Notas 3 3 4 11" xfId="34440"/>
    <cellStyle name="Notas 3 3 4 2" xfId="34441"/>
    <cellStyle name="Notas 3 3 4 2 2" xfId="34442"/>
    <cellStyle name="Notas 3 3 4 3" xfId="34443"/>
    <cellStyle name="Notas 3 3 4 3 2" xfId="34444"/>
    <cellStyle name="Notas 3 3 4 4" xfId="34445"/>
    <cellStyle name="Notas 3 3 4 4 2" xfId="34446"/>
    <cellStyle name="Notas 3 3 4 5" xfId="34447"/>
    <cellStyle name="Notas 3 3 4 5 2" xfId="34448"/>
    <cellStyle name="Notas 3 3 4 6" xfId="34449"/>
    <cellStyle name="Notas 3 3 4 6 2" xfId="34450"/>
    <cellStyle name="Notas 3 3 4 7" xfId="34451"/>
    <cellStyle name="Notas 3 3 4 7 2" xfId="34452"/>
    <cellStyle name="Notas 3 3 4 8" xfId="34453"/>
    <cellStyle name="Notas 3 3 4 8 2" xfId="34454"/>
    <cellStyle name="Notas 3 3 4 9" xfId="34455"/>
    <cellStyle name="Notas 3 3 4 9 2" xfId="34456"/>
    <cellStyle name="Notas 3 3 5" xfId="34457"/>
    <cellStyle name="Notas 3 3 5 10" xfId="34458"/>
    <cellStyle name="Notas 3 3 5 10 2" xfId="34459"/>
    <cellStyle name="Notas 3 3 5 11" xfId="34460"/>
    <cellStyle name="Notas 3 3 5 2" xfId="34461"/>
    <cellStyle name="Notas 3 3 5 2 2" xfId="34462"/>
    <cellStyle name="Notas 3 3 5 3" xfId="34463"/>
    <cellStyle name="Notas 3 3 5 3 2" xfId="34464"/>
    <cellStyle name="Notas 3 3 5 4" xfId="34465"/>
    <cellStyle name="Notas 3 3 5 4 2" xfId="34466"/>
    <cellStyle name="Notas 3 3 5 5" xfId="34467"/>
    <cellStyle name="Notas 3 3 5 5 2" xfId="34468"/>
    <cellStyle name="Notas 3 3 5 6" xfId="34469"/>
    <cellStyle name="Notas 3 3 5 6 2" xfId="34470"/>
    <cellStyle name="Notas 3 3 5 7" xfId="34471"/>
    <cellStyle name="Notas 3 3 5 7 2" xfId="34472"/>
    <cellStyle name="Notas 3 3 5 8" xfId="34473"/>
    <cellStyle name="Notas 3 3 5 8 2" xfId="34474"/>
    <cellStyle name="Notas 3 3 5 9" xfId="34475"/>
    <cellStyle name="Notas 3 3 5 9 2" xfId="34476"/>
    <cellStyle name="Notas 3 3 6" xfId="34477"/>
    <cellStyle name="Notas 3 3 6 2" xfId="34478"/>
    <cellStyle name="Notas 3 3 7" xfId="34479"/>
    <cellStyle name="Notas 3 3 7 2" xfId="34480"/>
    <cellStyle name="Notas 3 3 8" xfId="34481"/>
    <cellStyle name="Notas 3 3 8 2" xfId="34482"/>
    <cellStyle name="Notas 3 3 9" xfId="34483"/>
    <cellStyle name="Notas 3 3 9 2" xfId="34484"/>
    <cellStyle name="Notas 3 4" xfId="34485"/>
    <cellStyle name="Notas 3 4 10" xfId="34486"/>
    <cellStyle name="Notas 3 4 10 2" xfId="34487"/>
    <cellStyle name="Notas 3 4 11" xfId="34488"/>
    <cellStyle name="Notas 3 4 11 2" xfId="34489"/>
    <cellStyle name="Notas 3 4 12" xfId="34490"/>
    <cellStyle name="Notas 3 4 12 2" xfId="34491"/>
    <cellStyle name="Notas 3 4 13" xfId="34492"/>
    <cellStyle name="Notas 3 4 13 2" xfId="34493"/>
    <cellStyle name="Notas 3 4 14" xfId="34494"/>
    <cellStyle name="Notas 3 4 14 2" xfId="34495"/>
    <cellStyle name="Notas 3 4 15" xfId="34496"/>
    <cellStyle name="Notas 3 4 2" xfId="34497"/>
    <cellStyle name="Notas 3 4 2 10" xfId="34498"/>
    <cellStyle name="Notas 3 4 2 10 2" xfId="34499"/>
    <cellStyle name="Notas 3 4 2 11" xfId="34500"/>
    <cellStyle name="Notas 3 4 2 11 2" xfId="34501"/>
    <cellStyle name="Notas 3 4 2 12" xfId="34502"/>
    <cellStyle name="Notas 3 4 2 12 2" xfId="34503"/>
    <cellStyle name="Notas 3 4 2 13" xfId="34504"/>
    <cellStyle name="Notas 3 4 2 2" xfId="34505"/>
    <cellStyle name="Notas 3 4 2 2 10" xfId="34506"/>
    <cellStyle name="Notas 3 4 2 2 10 2" xfId="34507"/>
    <cellStyle name="Notas 3 4 2 2 11" xfId="34508"/>
    <cellStyle name="Notas 3 4 2 2 2" xfId="34509"/>
    <cellStyle name="Notas 3 4 2 2 2 2" xfId="34510"/>
    <cellStyle name="Notas 3 4 2 2 3" xfId="34511"/>
    <cellStyle name="Notas 3 4 2 2 3 2" xfId="34512"/>
    <cellStyle name="Notas 3 4 2 2 4" xfId="34513"/>
    <cellStyle name="Notas 3 4 2 2 4 2" xfId="34514"/>
    <cellStyle name="Notas 3 4 2 2 5" xfId="34515"/>
    <cellStyle name="Notas 3 4 2 2 5 2" xfId="34516"/>
    <cellStyle name="Notas 3 4 2 2 6" xfId="34517"/>
    <cellStyle name="Notas 3 4 2 2 6 2" xfId="34518"/>
    <cellStyle name="Notas 3 4 2 2 7" xfId="34519"/>
    <cellStyle name="Notas 3 4 2 2 7 2" xfId="34520"/>
    <cellStyle name="Notas 3 4 2 2 8" xfId="34521"/>
    <cellStyle name="Notas 3 4 2 2 8 2" xfId="34522"/>
    <cellStyle name="Notas 3 4 2 2 9" xfId="34523"/>
    <cellStyle name="Notas 3 4 2 2 9 2" xfId="34524"/>
    <cellStyle name="Notas 3 4 2 3" xfId="34525"/>
    <cellStyle name="Notas 3 4 2 3 10" xfId="34526"/>
    <cellStyle name="Notas 3 4 2 3 10 2" xfId="34527"/>
    <cellStyle name="Notas 3 4 2 3 11" xfId="34528"/>
    <cellStyle name="Notas 3 4 2 3 2" xfId="34529"/>
    <cellStyle name="Notas 3 4 2 3 2 2" xfId="34530"/>
    <cellStyle name="Notas 3 4 2 3 3" xfId="34531"/>
    <cellStyle name="Notas 3 4 2 3 3 2" xfId="34532"/>
    <cellStyle name="Notas 3 4 2 3 4" xfId="34533"/>
    <cellStyle name="Notas 3 4 2 3 4 2" xfId="34534"/>
    <cellStyle name="Notas 3 4 2 3 5" xfId="34535"/>
    <cellStyle name="Notas 3 4 2 3 5 2" xfId="34536"/>
    <cellStyle name="Notas 3 4 2 3 6" xfId="34537"/>
    <cellStyle name="Notas 3 4 2 3 6 2" xfId="34538"/>
    <cellStyle name="Notas 3 4 2 3 7" xfId="34539"/>
    <cellStyle name="Notas 3 4 2 3 7 2" xfId="34540"/>
    <cellStyle name="Notas 3 4 2 3 8" xfId="34541"/>
    <cellStyle name="Notas 3 4 2 3 8 2" xfId="34542"/>
    <cellStyle name="Notas 3 4 2 3 9" xfId="34543"/>
    <cellStyle name="Notas 3 4 2 3 9 2" xfId="34544"/>
    <cellStyle name="Notas 3 4 2 4" xfId="34545"/>
    <cellStyle name="Notas 3 4 2 4 2" xfId="34546"/>
    <cellStyle name="Notas 3 4 2 5" xfId="34547"/>
    <cellStyle name="Notas 3 4 2 5 2" xfId="34548"/>
    <cellStyle name="Notas 3 4 2 6" xfId="34549"/>
    <cellStyle name="Notas 3 4 2 6 2" xfId="34550"/>
    <cellStyle name="Notas 3 4 2 7" xfId="34551"/>
    <cellStyle name="Notas 3 4 2 7 2" xfId="34552"/>
    <cellStyle name="Notas 3 4 2 8" xfId="34553"/>
    <cellStyle name="Notas 3 4 2 8 2" xfId="34554"/>
    <cellStyle name="Notas 3 4 2 9" xfId="34555"/>
    <cellStyle name="Notas 3 4 2 9 2" xfId="34556"/>
    <cellStyle name="Notas 3 4 3" xfId="34557"/>
    <cellStyle name="Notas 3 4 3 10" xfId="34558"/>
    <cellStyle name="Notas 3 4 3 10 2" xfId="34559"/>
    <cellStyle name="Notas 3 4 3 11" xfId="34560"/>
    <cellStyle name="Notas 3 4 3 11 2" xfId="34561"/>
    <cellStyle name="Notas 3 4 3 12" xfId="34562"/>
    <cellStyle name="Notas 3 4 3 12 2" xfId="34563"/>
    <cellStyle name="Notas 3 4 3 13" xfId="34564"/>
    <cellStyle name="Notas 3 4 3 2" xfId="34565"/>
    <cellStyle name="Notas 3 4 3 2 10" xfId="34566"/>
    <cellStyle name="Notas 3 4 3 2 10 2" xfId="34567"/>
    <cellStyle name="Notas 3 4 3 2 11" xfId="34568"/>
    <cellStyle name="Notas 3 4 3 2 2" xfId="34569"/>
    <cellStyle name="Notas 3 4 3 2 2 2" xfId="34570"/>
    <cellStyle name="Notas 3 4 3 2 3" xfId="34571"/>
    <cellStyle name="Notas 3 4 3 2 3 2" xfId="34572"/>
    <cellStyle name="Notas 3 4 3 2 4" xfId="34573"/>
    <cellStyle name="Notas 3 4 3 2 4 2" xfId="34574"/>
    <cellStyle name="Notas 3 4 3 2 5" xfId="34575"/>
    <cellStyle name="Notas 3 4 3 2 5 2" xfId="34576"/>
    <cellStyle name="Notas 3 4 3 2 6" xfId="34577"/>
    <cellStyle name="Notas 3 4 3 2 6 2" xfId="34578"/>
    <cellStyle name="Notas 3 4 3 2 7" xfId="34579"/>
    <cellStyle name="Notas 3 4 3 2 7 2" xfId="34580"/>
    <cellStyle name="Notas 3 4 3 2 8" xfId="34581"/>
    <cellStyle name="Notas 3 4 3 2 8 2" xfId="34582"/>
    <cellStyle name="Notas 3 4 3 2 9" xfId="34583"/>
    <cellStyle name="Notas 3 4 3 2 9 2" xfId="34584"/>
    <cellStyle name="Notas 3 4 3 3" xfId="34585"/>
    <cellStyle name="Notas 3 4 3 3 10" xfId="34586"/>
    <cellStyle name="Notas 3 4 3 3 10 2" xfId="34587"/>
    <cellStyle name="Notas 3 4 3 3 11" xfId="34588"/>
    <cellStyle name="Notas 3 4 3 3 2" xfId="34589"/>
    <cellStyle name="Notas 3 4 3 3 2 2" xfId="34590"/>
    <cellStyle name="Notas 3 4 3 3 3" xfId="34591"/>
    <cellStyle name="Notas 3 4 3 3 3 2" xfId="34592"/>
    <cellStyle name="Notas 3 4 3 3 4" xfId="34593"/>
    <cellStyle name="Notas 3 4 3 3 4 2" xfId="34594"/>
    <cellStyle name="Notas 3 4 3 3 5" xfId="34595"/>
    <cellStyle name="Notas 3 4 3 3 5 2" xfId="34596"/>
    <cellStyle name="Notas 3 4 3 3 6" xfId="34597"/>
    <cellStyle name="Notas 3 4 3 3 6 2" xfId="34598"/>
    <cellStyle name="Notas 3 4 3 3 7" xfId="34599"/>
    <cellStyle name="Notas 3 4 3 3 7 2" xfId="34600"/>
    <cellStyle name="Notas 3 4 3 3 8" xfId="34601"/>
    <cellStyle name="Notas 3 4 3 3 8 2" xfId="34602"/>
    <cellStyle name="Notas 3 4 3 3 9" xfId="34603"/>
    <cellStyle name="Notas 3 4 3 3 9 2" xfId="34604"/>
    <cellStyle name="Notas 3 4 3 4" xfId="34605"/>
    <cellStyle name="Notas 3 4 3 4 2" xfId="34606"/>
    <cellStyle name="Notas 3 4 3 5" xfId="34607"/>
    <cellStyle name="Notas 3 4 3 5 2" xfId="34608"/>
    <cellStyle name="Notas 3 4 3 6" xfId="34609"/>
    <cellStyle name="Notas 3 4 3 6 2" xfId="34610"/>
    <cellStyle name="Notas 3 4 3 7" xfId="34611"/>
    <cellStyle name="Notas 3 4 3 7 2" xfId="34612"/>
    <cellStyle name="Notas 3 4 3 8" xfId="34613"/>
    <cellStyle name="Notas 3 4 3 8 2" xfId="34614"/>
    <cellStyle name="Notas 3 4 3 9" xfId="34615"/>
    <cellStyle name="Notas 3 4 3 9 2" xfId="34616"/>
    <cellStyle name="Notas 3 4 4" xfId="34617"/>
    <cellStyle name="Notas 3 4 4 10" xfId="34618"/>
    <cellStyle name="Notas 3 4 4 10 2" xfId="34619"/>
    <cellStyle name="Notas 3 4 4 11" xfId="34620"/>
    <cellStyle name="Notas 3 4 4 2" xfId="34621"/>
    <cellStyle name="Notas 3 4 4 2 2" xfId="34622"/>
    <cellStyle name="Notas 3 4 4 3" xfId="34623"/>
    <cellStyle name="Notas 3 4 4 3 2" xfId="34624"/>
    <cellStyle name="Notas 3 4 4 4" xfId="34625"/>
    <cellStyle name="Notas 3 4 4 4 2" xfId="34626"/>
    <cellStyle name="Notas 3 4 4 5" xfId="34627"/>
    <cellStyle name="Notas 3 4 4 5 2" xfId="34628"/>
    <cellStyle name="Notas 3 4 4 6" xfId="34629"/>
    <cellStyle name="Notas 3 4 4 6 2" xfId="34630"/>
    <cellStyle name="Notas 3 4 4 7" xfId="34631"/>
    <cellStyle name="Notas 3 4 4 7 2" xfId="34632"/>
    <cellStyle name="Notas 3 4 4 8" xfId="34633"/>
    <cellStyle name="Notas 3 4 4 8 2" xfId="34634"/>
    <cellStyle name="Notas 3 4 4 9" xfId="34635"/>
    <cellStyle name="Notas 3 4 4 9 2" xfId="34636"/>
    <cellStyle name="Notas 3 4 5" xfId="34637"/>
    <cellStyle name="Notas 3 4 5 10" xfId="34638"/>
    <cellStyle name="Notas 3 4 5 10 2" xfId="34639"/>
    <cellStyle name="Notas 3 4 5 11" xfId="34640"/>
    <cellStyle name="Notas 3 4 5 2" xfId="34641"/>
    <cellStyle name="Notas 3 4 5 2 2" xfId="34642"/>
    <cellStyle name="Notas 3 4 5 3" xfId="34643"/>
    <cellStyle name="Notas 3 4 5 3 2" xfId="34644"/>
    <cellStyle name="Notas 3 4 5 4" xfId="34645"/>
    <cellStyle name="Notas 3 4 5 4 2" xfId="34646"/>
    <cellStyle name="Notas 3 4 5 5" xfId="34647"/>
    <cellStyle name="Notas 3 4 5 5 2" xfId="34648"/>
    <cellStyle name="Notas 3 4 5 6" xfId="34649"/>
    <cellStyle name="Notas 3 4 5 6 2" xfId="34650"/>
    <cellStyle name="Notas 3 4 5 7" xfId="34651"/>
    <cellStyle name="Notas 3 4 5 7 2" xfId="34652"/>
    <cellStyle name="Notas 3 4 5 8" xfId="34653"/>
    <cellStyle name="Notas 3 4 5 8 2" xfId="34654"/>
    <cellStyle name="Notas 3 4 5 9" xfId="34655"/>
    <cellStyle name="Notas 3 4 5 9 2" xfId="34656"/>
    <cellStyle name="Notas 3 4 6" xfId="34657"/>
    <cellStyle name="Notas 3 4 6 2" xfId="34658"/>
    <cellStyle name="Notas 3 4 7" xfId="34659"/>
    <cellStyle name="Notas 3 4 7 2" xfId="34660"/>
    <cellStyle name="Notas 3 4 8" xfId="34661"/>
    <cellStyle name="Notas 3 4 8 2" xfId="34662"/>
    <cellStyle name="Notas 3 4 9" xfId="34663"/>
    <cellStyle name="Notas 3 4 9 2" xfId="34664"/>
    <cellStyle name="Notas 3 5" xfId="34665"/>
    <cellStyle name="Notas 3 5 10" xfId="34666"/>
    <cellStyle name="Notas 3 5 10 2" xfId="34667"/>
    <cellStyle name="Notas 3 5 11" xfId="34668"/>
    <cellStyle name="Notas 3 5 11 2" xfId="34669"/>
    <cellStyle name="Notas 3 5 12" xfId="34670"/>
    <cellStyle name="Notas 3 5 12 2" xfId="34671"/>
    <cellStyle name="Notas 3 5 13" xfId="34672"/>
    <cellStyle name="Notas 3 5 13 2" xfId="34673"/>
    <cellStyle name="Notas 3 5 14" xfId="34674"/>
    <cellStyle name="Notas 3 5 14 2" xfId="34675"/>
    <cellStyle name="Notas 3 5 15" xfId="34676"/>
    <cellStyle name="Notas 3 5 2" xfId="34677"/>
    <cellStyle name="Notas 3 5 2 10" xfId="34678"/>
    <cellStyle name="Notas 3 5 2 10 2" xfId="34679"/>
    <cellStyle name="Notas 3 5 2 11" xfId="34680"/>
    <cellStyle name="Notas 3 5 2 11 2" xfId="34681"/>
    <cellStyle name="Notas 3 5 2 12" xfId="34682"/>
    <cellStyle name="Notas 3 5 2 12 2" xfId="34683"/>
    <cellStyle name="Notas 3 5 2 13" xfId="34684"/>
    <cellStyle name="Notas 3 5 2 2" xfId="34685"/>
    <cellStyle name="Notas 3 5 2 2 10" xfId="34686"/>
    <cellStyle name="Notas 3 5 2 2 10 2" xfId="34687"/>
    <cellStyle name="Notas 3 5 2 2 11" xfId="34688"/>
    <cellStyle name="Notas 3 5 2 2 2" xfId="34689"/>
    <cellStyle name="Notas 3 5 2 2 2 2" xfId="34690"/>
    <cellStyle name="Notas 3 5 2 2 3" xfId="34691"/>
    <cellStyle name="Notas 3 5 2 2 3 2" xfId="34692"/>
    <cellStyle name="Notas 3 5 2 2 4" xfId="34693"/>
    <cellStyle name="Notas 3 5 2 2 4 2" xfId="34694"/>
    <cellStyle name="Notas 3 5 2 2 5" xfId="34695"/>
    <cellStyle name="Notas 3 5 2 2 5 2" xfId="34696"/>
    <cellStyle name="Notas 3 5 2 2 6" xfId="34697"/>
    <cellStyle name="Notas 3 5 2 2 6 2" xfId="34698"/>
    <cellStyle name="Notas 3 5 2 2 7" xfId="34699"/>
    <cellStyle name="Notas 3 5 2 2 7 2" xfId="34700"/>
    <cellStyle name="Notas 3 5 2 2 8" xfId="34701"/>
    <cellStyle name="Notas 3 5 2 2 8 2" xfId="34702"/>
    <cellStyle name="Notas 3 5 2 2 9" xfId="34703"/>
    <cellStyle name="Notas 3 5 2 2 9 2" xfId="34704"/>
    <cellStyle name="Notas 3 5 2 3" xfId="34705"/>
    <cellStyle name="Notas 3 5 2 3 10" xfId="34706"/>
    <cellStyle name="Notas 3 5 2 3 10 2" xfId="34707"/>
    <cellStyle name="Notas 3 5 2 3 11" xfId="34708"/>
    <cellStyle name="Notas 3 5 2 3 2" xfId="34709"/>
    <cellStyle name="Notas 3 5 2 3 2 2" xfId="34710"/>
    <cellStyle name="Notas 3 5 2 3 3" xfId="34711"/>
    <cellStyle name="Notas 3 5 2 3 3 2" xfId="34712"/>
    <cellStyle name="Notas 3 5 2 3 4" xfId="34713"/>
    <cellStyle name="Notas 3 5 2 3 4 2" xfId="34714"/>
    <cellStyle name="Notas 3 5 2 3 5" xfId="34715"/>
    <cellStyle name="Notas 3 5 2 3 5 2" xfId="34716"/>
    <cellStyle name="Notas 3 5 2 3 6" xfId="34717"/>
    <cellStyle name="Notas 3 5 2 3 6 2" xfId="34718"/>
    <cellStyle name="Notas 3 5 2 3 7" xfId="34719"/>
    <cellStyle name="Notas 3 5 2 3 7 2" xfId="34720"/>
    <cellStyle name="Notas 3 5 2 3 8" xfId="34721"/>
    <cellStyle name="Notas 3 5 2 3 8 2" xfId="34722"/>
    <cellStyle name="Notas 3 5 2 3 9" xfId="34723"/>
    <cellStyle name="Notas 3 5 2 3 9 2" xfId="34724"/>
    <cellStyle name="Notas 3 5 2 4" xfId="34725"/>
    <cellStyle name="Notas 3 5 2 4 2" xfId="34726"/>
    <cellStyle name="Notas 3 5 2 5" xfId="34727"/>
    <cellStyle name="Notas 3 5 2 5 2" xfId="34728"/>
    <cellStyle name="Notas 3 5 2 6" xfId="34729"/>
    <cellStyle name="Notas 3 5 2 6 2" xfId="34730"/>
    <cellStyle name="Notas 3 5 2 7" xfId="34731"/>
    <cellStyle name="Notas 3 5 2 7 2" xfId="34732"/>
    <cellStyle name="Notas 3 5 2 8" xfId="34733"/>
    <cellStyle name="Notas 3 5 2 8 2" xfId="34734"/>
    <cellStyle name="Notas 3 5 2 9" xfId="34735"/>
    <cellStyle name="Notas 3 5 2 9 2" xfId="34736"/>
    <cellStyle name="Notas 3 5 3" xfId="34737"/>
    <cellStyle name="Notas 3 5 3 10" xfId="34738"/>
    <cellStyle name="Notas 3 5 3 10 2" xfId="34739"/>
    <cellStyle name="Notas 3 5 3 11" xfId="34740"/>
    <cellStyle name="Notas 3 5 3 11 2" xfId="34741"/>
    <cellStyle name="Notas 3 5 3 12" xfId="34742"/>
    <cellStyle name="Notas 3 5 3 12 2" xfId="34743"/>
    <cellStyle name="Notas 3 5 3 13" xfId="34744"/>
    <cellStyle name="Notas 3 5 3 2" xfId="34745"/>
    <cellStyle name="Notas 3 5 3 2 10" xfId="34746"/>
    <cellStyle name="Notas 3 5 3 2 10 2" xfId="34747"/>
    <cellStyle name="Notas 3 5 3 2 11" xfId="34748"/>
    <cellStyle name="Notas 3 5 3 2 2" xfId="34749"/>
    <cellStyle name="Notas 3 5 3 2 2 2" xfId="34750"/>
    <cellStyle name="Notas 3 5 3 2 3" xfId="34751"/>
    <cellStyle name="Notas 3 5 3 2 3 2" xfId="34752"/>
    <cellStyle name="Notas 3 5 3 2 4" xfId="34753"/>
    <cellStyle name="Notas 3 5 3 2 4 2" xfId="34754"/>
    <cellStyle name="Notas 3 5 3 2 5" xfId="34755"/>
    <cellStyle name="Notas 3 5 3 2 5 2" xfId="34756"/>
    <cellStyle name="Notas 3 5 3 2 6" xfId="34757"/>
    <cellStyle name="Notas 3 5 3 2 6 2" xfId="34758"/>
    <cellStyle name="Notas 3 5 3 2 7" xfId="34759"/>
    <cellStyle name="Notas 3 5 3 2 7 2" xfId="34760"/>
    <cellStyle name="Notas 3 5 3 2 8" xfId="34761"/>
    <cellStyle name="Notas 3 5 3 2 8 2" xfId="34762"/>
    <cellStyle name="Notas 3 5 3 2 9" xfId="34763"/>
    <cellStyle name="Notas 3 5 3 2 9 2" xfId="34764"/>
    <cellStyle name="Notas 3 5 3 3" xfId="34765"/>
    <cellStyle name="Notas 3 5 3 3 10" xfId="34766"/>
    <cellStyle name="Notas 3 5 3 3 10 2" xfId="34767"/>
    <cellStyle name="Notas 3 5 3 3 11" xfId="34768"/>
    <cellStyle name="Notas 3 5 3 3 2" xfId="34769"/>
    <cellStyle name="Notas 3 5 3 3 2 2" xfId="34770"/>
    <cellStyle name="Notas 3 5 3 3 3" xfId="34771"/>
    <cellStyle name="Notas 3 5 3 3 3 2" xfId="34772"/>
    <cellStyle name="Notas 3 5 3 3 4" xfId="34773"/>
    <cellStyle name="Notas 3 5 3 3 4 2" xfId="34774"/>
    <cellStyle name="Notas 3 5 3 3 5" xfId="34775"/>
    <cellStyle name="Notas 3 5 3 3 5 2" xfId="34776"/>
    <cellStyle name="Notas 3 5 3 3 6" xfId="34777"/>
    <cellStyle name="Notas 3 5 3 3 6 2" xfId="34778"/>
    <cellStyle name="Notas 3 5 3 3 7" xfId="34779"/>
    <cellStyle name="Notas 3 5 3 3 7 2" xfId="34780"/>
    <cellStyle name="Notas 3 5 3 3 8" xfId="34781"/>
    <cellStyle name="Notas 3 5 3 3 8 2" xfId="34782"/>
    <cellStyle name="Notas 3 5 3 3 9" xfId="34783"/>
    <cellStyle name="Notas 3 5 3 3 9 2" xfId="34784"/>
    <cellStyle name="Notas 3 5 3 4" xfId="34785"/>
    <cellStyle name="Notas 3 5 3 4 2" xfId="34786"/>
    <cellStyle name="Notas 3 5 3 5" xfId="34787"/>
    <cellStyle name="Notas 3 5 3 5 2" xfId="34788"/>
    <cellStyle name="Notas 3 5 3 6" xfId="34789"/>
    <cellStyle name="Notas 3 5 3 6 2" xfId="34790"/>
    <cellStyle name="Notas 3 5 3 7" xfId="34791"/>
    <cellStyle name="Notas 3 5 3 7 2" xfId="34792"/>
    <cellStyle name="Notas 3 5 3 8" xfId="34793"/>
    <cellStyle name="Notas 3 5 3 8 2" xfId="34794"/>
    <cellStyle name="Notas 3 5 3 9" xfId="34795"/>
    <cellStyle name="Notas 3 5 3 9 2" xfId="34796"/>
    <cellStyle name="Notas 3 5 4" xfId="34797"/>
    <cellStyle name="Notas 3 5 4 10" xfId="34798"/>
    <cellStyle name="Notas 3 5 4 10 2" xfId="34799"/>
    <cellStyle name="Notas 3 5 4 11" xfId="34800"/>
    <cellStyle name="Notas 3 5 4 2" xfId="34801"/>
    <cellStyle name="Notas 3 5 4 2 2" xfId="34802"/>
    <cellStyle name="Notas 3 5 4 3" xfId="34803"/>
    <cellStyle name="Notas 3 5 4 3 2" xfId="34804"/>
    <cellStyle name="Notas 3 5 4 4" xfId="34805"/>
    <cellStyle name="Notas 3 5 4 4 2" xfId="34806"/>
    <cellStyle name="Notas 3 5 4 5" xfId="34807"/>
    <cellStyle name="Notas 3 5 4 5 2" xfId="34808"/>
    <cellStyle name="Notas 3 5 4 6" xfId="34809"/>
    <cellStyle name="Notas 3 5 4 6 2" xfId="34810"/>
    <cellStyle name="Notas 3 5 4 7" xfId="34811"/>
    <cellStyle name="Notas 3 5 4 7 2" xfId="34812"/>
    <cellStyle name="Notas 3 5 4 8" xfId="34813"/>
    <cellStyle name="Notas 3 5 4 8 2" xfId="34814"/>
    <cellStyle name="Notas 3 5 4 9" xfId="34815"/>
    <cellStyle name="Notas 3 5 4 9 2" xfId="34816"/>
    <cellStyle name="Notas 3 5 5" xfId="34817"/>
    <cellStyle name="Notas 3 5 5 10" xfId="34818"/>
    <cellStyle name="Notas 3 5 5 10 2" xfId="34819"/>
    <cellStyle name="Notas 3 5 5 11" xfId="34820"/>
    <cellStyle name="Notas 3 5 5 2" xfId="34821"/>
    <cellStyle name="Notas 3 5 5 2 2" xfId="34822"/>
    <cellStyle name="Notas 3 5 5 3" xfId="34823"/>
    <cellStyle name="Notas 3 5 5 3 2" xfId="34824"/>
    <cellStyle name="Notas 3 5 5 4" xfId="34825"/>
    <cellStyle name="Notas 3 5 5 4 2" xfId="34826"/>
    <cellStyle name="Notas 3 5 5 5" xfId="34827"/>
    <cellStyle name="Notas 3 5 5 5 2" xfId="34828"/>
    <cellStyle name="Notas 3 5 5 6" xfId="34829"/>
    <cellStyle name="Notas 3 5 5 6 2" xfId="34830"/>
    <cellStyle name="Notas 3 5 5 7" xfId="34831"/>
    <cellStyle name="Notas 3 5 5 7 2" xfId="34832"/>
    <cellStyle name="Notas 3 5 5 8" xfId="34833"/>
    <cellStyle name="Notas 3 5 5 8 2" xfId="34834"/>
    <cellStyle name="Notas 3 5 5 9" xfId="34835"/>
    <cellStyle name="Notas 3 5 5 9 2" xfId="34836"/>
    <cellStyle name="Notas 3 5 6" xfId="34837"/>
    <cellStyle name="Notas 3 5 6 2" xfId="34838"/>
    <cellStyle name="Notas 3 5 7" xfId="34839"/>
    <cellStyle name="Notas 3 5 7 2" xfId="34840"/>
    <cellStyle name="Notas 3 5 8" xfId="34841"/>
    <cellStyle name="Notas 3 5 8 2" xfId="34842"/>
    <cellStyle name="Notas 3 5 9" xfId="34843"/>
    <cellStyle name="Notas 3 5 9 2" xfId="34844"/>
    <cellStyle name="Notas 3 6" xfId="34845"/>
    <cellStyle name="Notas 3 6 10" xfId="34846"/>
    <cellStyle name="Notas 3 6 10 2" xfId="34847"/>
    <cellStyle name="Notas 3 6 11" xfId="34848"/>
    <cellStyle name="Notas 3 6 11 2" xfId="34849"/>
    <cellStyle name="Notas 3 6 12" xfId="34850"/>
    <cellStyle name="Notas 3 6 12 2" xfId="34851"/>
    <cellStyle name="Notas 3 6 13" xfId="34852"/>
    <cellStyle name="Notas 3 6 2" xfId="34853"/>
    <cellStyle name="Notas 3 6 2 10" xfId="34854"/>
    <cellStyle name="Notas 3 6 2 10 2" xfId="34855"/>
    <cellStyle name="Notas 3 6 2 11" xfId="34856"/>
    <cellStyle name="Notas 3 6 2 2" xfId="34857"/>
    <cellStyle name="Notas 3 6 2 2 2" xfId="34858"/>
    <cellStyle name="Notas 3 6 2 3" xfId="34859"/>
    <cellStyle name="Notas 3 6 2 3 2" xfId="34860"/>
    <cellStyle name="Notas 3 6 2 4" xfId="34861"/>
    <cellStyle name="Notas 3 6 2 4 2" xfId="34862"/>
    <cellStyle name="Notas 3 6 2 5" xfId="34863"/>
    <cellStyle name="Notas 3 6 2 5 2" xfId="34864"/>
    <cellStyle name="Notas 3 6 2 6" xfId="34865"/>
    <cellStyle name="Notas 3 6 2 6 2" xfId="34866"/>
    <cellStyle name="Notas 3 6 2 7" xfId="34867"/>
    <cellStyle name="Notas 3 6 2 7 2" xfId="34868"/>
    <cellStyle name="Notas 3 6 2 8" xfId="34869"/>
    <cellStyle name="Notas 3 6 2 8 2" xfId="34870"/>
    <cellStyle name="Notas 3 6 2 9" xfId="34871"/>
    <cellStyle name="Notas 3 6 2 9 2" xfId="34872"/>
    <cellStyle name="Notas 3 6 3" xfId="34873"/>
    <cellStyle name="Notas 3 6 3 10" xfId="34874"/>
    <cellStyle name="Notas 3 6 3 10 2" xfId="34875"/>
    <cellStyle name="Notas 3 6 3 11" xfId="34876"/>
    <cellStyle name="Notas 3 6 3 2" xfId="34877"/>
    <cellStyle name="Notas 3 6 3 2 2" xfId="34878"/>
    <cellStyle name="Notas 3 6 3 3" xfId="34879"/>
    <cellStyle name="Notas 3 6 3 3 2" xfId="34880"/>
    <cellStyle name="Notas 3 6 3 4" xfId="34881"/>
    <cellStyle name="Notas 3 6 3 4 2" xfId="34882"/>
    <cellStyle name="Notas 3 6 3 5" xfId="34883"/>
    <cellStyle name="Notas 3 6 3 5 2" xfId="34884"/>
    <cellStyle name="Notas 3 6 3 6" xfId="34885"/>
    <cellStyle name="Notas 3 6 3 6 2" xfId="34886"/>
    <cellStyle name="Notas 3 6 3 7" xfId="34887"/>
    <cellStyle name="Notas 3 6 3 7 2" xfId="34888"/>
    <cellStyle name="Notas 3 6 3 8" xfId="34889"/>
    <cellStyle name="Notas 3 6 3 8 2" xfId="34890"/>
    <cellStyle name="Notas 3 6 3 9" xfId="34891"/>
    <cellStyle name="Notas 3 6 3 9 2" xfId="34892"/>
    <cellStyle name="Notas 3 6 4" xfId="34893"/>
    <cellStyle name="Notas 3 6 4 2" xfId="34894"/>
    <cellStyle name="Notas 3 6 5" xfId="34895"/>
    <cellStyle name="Notas 3 6 5 2" xfId="34896"/>
    <cellStyle name="Notas 3 6 6" xfId="34897"/>
    <cellStyle name="Notas 3 6 6 2" xfId="34898"/>
    <cellStyle name="Notas 3 6 7" xfId="34899"/>
    <cellStyle name="Notas 3 6 7 2" xfId="34900"/>
    <cellStyle name="Notas 3 6 8" xfId="34901"/>
    <cellStyle name="Notas 3 6 8 2" xfId="34902"/>
    <cellStyle name="Notas 3 6 9" xfId="34903"/>
    <cellStyle name="Notas 3 6 9 2" xfId="34904"/>
    <cellStyle name="Notas 3 7" xfId="34905"/>
    <cellStyle name="Notas 3 7 10" xfId="34906"/>
    <cellStyle name="Notas 3 7 10 2" xfId="34907"/>
    <cellStyle name="Notas 3 7 11" xfId="34908"/>
    <cellStyle name="Notas 3 7 11 2" xfId="34909"/>
    <cellStyle name="Notas 3 7 12" xfId="34910"/>
    <cellStyle name="Notas 3 7 12 2" xfId="34911"/>
    <cellStyle name="Notas 3 7 13" xfId="34912"/>
    <cellStyle name="Notas 3 7 2" xfId="34913"/>
    <cellStyle name="Notas 3 7 2 10" xfId="34914"/>
    <cellStyle name="Notas 3 7 2 10 2" xfId="34915"/>
    <cellStyle name="Notas 3 7 2 11" xfId="34916"/>
    <cellStyle name="Notas 3 7 2 2" xfId="34917"/>
    <cellStyle name="Notas 3 7 2 2 2" xfId="34918"/>
    <cellStyle name="Notas 3 7 2 3" xfId="34919"/>
    <cellStyle name="Notas 3 7 2 3 2" xfId="34920"/>
    <cellStyle name="Notas 3 7 2 4" xfId="34921"/>
    <cellStyle name="Notas 3 7 2 4 2" xfId="34922"/>
    <cellStyle name="Notas 3 7 2 5" xfId="34923"/>
    <cellStyle name="Notas 3 7 2 5 2" xfId="34924"/>
    <cellStyle name="Notas 3 7 2 6" xfId="34925"/>
    <cellStyle name="Notas 3 7 2 6 2" xfId="34926"/>
    <cellStyle name="Notas 3 7 2 7" xfId="34927"/>
    <cellStyle name="Notas 3 7 2 7 2" xfId="34928"/>
    <cellStyle name="Notas 3 7 2 8" xfId="34929"/>
    <cellStyle name="Notas 3 7 2 8 2" xfId="34930"/>
    <cellStyle name="Notas 3 7 2 9" xfId="34931"/>
    <cellStyle name="Notas 3 7 2 9 2" xfId="34932"/>
    <cellStyle name="Notas 3 7 3" xfId="34933"/>
    <cellStyle name="Notas 3 7 3 10" xfId="34934"/>
    <cellStyle name="Notas 3 7 3 10 2" xfId="34935"/>
    <cellStyle name="Notas 3 7 3 11" xfId="34936"/>
    <cellStyle name="Notas 3 7 3 2" xfId="34937"/>
    <cellStyle name="Notas 3 7 3 2 2" xfId="34938"/>
    <cellStyle name="Notas 3 7 3 3" xfId="34939"/>
    <cellStyle name="Notas 3 7 3 3 2" xfId="34940"/>
    <cellStyle name="Notas 3 7 3 4" xfId="34941"/>
    <cellStyle name="Notas 3 7 3 4 2" xfId="34942"/>
    <cellStyle name="Notas 3 7 3 5" xfId="34943"/>
    <cellStyle name="Notas 3 7 3 5 2" xfId="34944"/>
    <cellStyle name="Notas 3 7 3 6" xfId="34945"/>
    <cellStyle name="Notas 3 7 3 6 2" xfId="34946"/>
    <cellStyle name="Notas 3 7 3 7" xfId="34947"/>
    <cellStyle name="Notas 3 7 3 7 2" xfId="34948"/>
    <cellStyle name="Notas 3 7 3 8" xfId="34949"/>
    <cellStyle name="Notas 3 7 3 8 2" xfId="34950"/>
    <cellStyle name="Notas 3 7 3 9" xfId="34951"/>
    <cellStyle name="Notas 3 7 3 9 2" xfId="34952"/>
    <cellStyle name="Notas 3 7 4" xfId="34953"/>
    <cellStyle name="Notas 3 7 4 2" xfId="34954"/>
    <cellStyle name="Notas 3 7 5" xfId="34955"/>
    <cellStyle name="Notas 3 7 5 2" xfId="34956"/>
    <cellStyle name="Notas 3 7 6" xfId="34957"/>
    <cellStyle name="Notas 3 7 6 2" xfId="34958"/>
    <cellStyle name="Notas 3 7 7" xfId="34959"/>
    <cellStyle name="Notas 3 7 7 2" xfId="34960"/>
    <cellStyle name="Notas 3 7 8" xfId="34961"/>
    <cellStyle name="Notas 3 7 8 2" xfId="34962"/>
    <cellStyle name="Notas 3 7 9" xfId="34963"/>
    <cellStyle name="Notas 3 7 9 2" xfId="34964"/>
    <cellStyle name="Notas 3 8" xfId="34965"/>
    <cellStyle name="Notas 3 8 2" xfId="34966"/>
    <cellStyle name="Notas 3 9" xfId="34967"/>
    <cellStyle name="Notas 3 9 2" xfId="34968"/>
    <cellStyle name="Notas 4" xfId="34969"/>
    <cellStyle name="Notas 4 10" xfId="34970"/>
    <cellStyle name="Notas 4 10 2" xfId="34971"/>
    <cellStyle name="Notas 4 11" xfId="34972"/>
    <cellStyle name="Notas 4 11 2" xfId="34973"/>
    <cellStyle name="Notas 4 12" xfId="34974"/>
    <cellStyle name="Notas 4 12 2" xfId="34975"/>
    <cellStyle name="Notas 4 13" xfId="34976"/>
    <cellStyle name="Notas 4 13 2" xfId="34977"/>
    <cellStyle name="Notas 4 14" xfId="34978"/>
    <cellStyle name="Notas 4 14 2" xfId="34979"/>
    <cellStyle name="Notas 4 15" xfId="34980"/>
    <cellStyle name="Notas 4 15 2" xfId="34981"/>
    <cellStyle name="Notas 4 16" xfId="34982"/>
    <cellStyle name="Notas 4 16 2" xfId="34983"/>
    <cellStyle name="Notas 4 17" xfId="34984"/>
    <cellStyle name="Notas 4 17 2" xfId="34985"/>
    <cellStyle name="Notas 4 18" xfId="34986"/>
    <cellStyle name="Notas 4 19" xfId="34987"/>
    <cellStyle name="Notas 4 2" xfId="34988"/>
    <cellStyle name="Notas 4 2 10" xfId="34989"/>
    <cellStyle name="Notas 4 2 10 2" xfId="34990"/>
    <cellStyle name="Notas 4 2 11" xfId="34991"/>
    <cellStyle name="Notas 4 2 11 2" xfId="34992"/>
    <cellStyle name="Notas 4 2 12" xfId="34993"/>
    <cellStyle name="Notas 4 2 12 2" xfId="34994"/>
    <cellStyle name="Notas 4 2 13" xfId="34995"/>
    <cellStyle name="Notas 4 2 13 2" xfId="34996"/>
    <cellStyle name="Notas 4 2 14" xfId="34997"/>
    <cellStyle name="Notas 4 2 14 2" xfId="34998"/>
    <cellStyle name="Notas 4 2 15" xfId="34999"/>
    <cellStyle name="Notas 4 2 2" xfId="35000"/>
    <cellStyle name="Notas 4 2 2 10" xfId="35001"/>
    <cellStyle name="Notas 4 2 2 10 2" xfId="35002"/>
    <cellStyle name="Notas 4 2 2 11" xfId="35003"/>
    <cellStyle name="Notas 4 2 2 11 2" xfId="35004"/>
    <cellStyle name="Notas 4 2 2 12" xfId="35005"/>
    <cellStyle name="Notas 4 2 2 12 2" xfId="35006"/>
    <cellStyle name="Notas 4 2 2 13" xfId="35007"/>
    <cellStyle name="Notas 4 2 2 2" xfId="35008"/>
    <cellStyle name="Notas 4 2 2 2 10" xfId="35009"/>
    <cellStyle name="Notas 4 2 2 2 10 2" xfId="35010"/>
    <cellStyle name="Notas 4 2 2 2 11" xfId="35011"/>
    <cellStyle name="Notas 4 2 2 2 2" xfId="35012"/>
    <cellStyle name="Notas 4 2 2 2 2 2" xfId="35013"/>
    <cellStyle name="Notas 4 2 2 2 3" xfId="35014"/>
    <cellStyle name="Notas 4 2 2 2 3 2" xfId="35015"/>
    <cellStyle name="Notas 4 2 2 2 4" xfId="35016"/>
    <cellStyle name="Notas 4 2 2 2 4 2" xfId="35017"/>
    <cellStyle name="Notas 4 2 2 2 5" xfId="35018"/>
    <cellStyle name="Notas 4 2 2 2 5 2" xfId="35019"/>
    <cellStyle name="Notas 4 2 2 2 6" xfId="35020"/>
    <cellStyle name="Notas 4 2 2 2 6 2" xfId="35021"/>
    <cellStyle name="Notas 4 2 2 2 7" xfId="35022"/>
    <cellStyle name="Notas 4 2 2 2 7 2" xfId="35023"/>
    <cellStyle name="Notas 4 2 2 2 8" xfId="35024"/>
    <cellStyle name="Notas 4 2 2 2 8 2" xfId="35025"/>
    <cellStyle name="Notas 4 2 2 2 9" xfId="35026"/>
    <cellStyle name="Notas 4 2 2 2 9 2" xfId="35027"/>
    <cellStyle name="Notas 4 2 2 3" xfId="35028"/>
    <cellStyle name="Notas 4 2 2 3 10" xfId="35029"/>
    <cellStyle name="Notas 4 2 2 3 10 2" xfId="35030"/>
    <cellStyle name="Notas 4 2 2 3 11" xfId="35031"/>
    <cellStyle name="Notas 4 2 2 3 2" xfId="35032"/>
    <cellStyle name="Notas 4 2 2 3 2 2" xfId="35033"/>
    <cellStyle name="Notas 4 2 2 3 3" xfId="35034"/>
    <cellStyle name="Notas 4 2 2 3 3 2" xfId="35035"/>
    <cellStyle name="Notas 4 2 2 3 4" xfId="35036"/>
    <cellStyle name="Notas 4 2 2 3 4 2" xfId="35037"/>
    <cellStyle name="Notas 4 2 2 3 5" xfId="35038"/>
    <cellStyle name="Notas 4 2 2 3 5 2" xfId="35039"/>
    <cellStyle name="Notas 4 2 2 3 6" xfId="35040"/>
    <cellStyle name="Notas 4 2 2 3 6 2" xfId="35041"/>
    <cellStyle name="Notas 4 2 2 3 7" xfId="35042"/>
    <cellStyle name="Notas 4 2 2 3 7 2" xfId="35043"/>
    <cellStyle name="Notas 4 2 2 3 8" xfId="35044"/>
    <cellStyle name="Notas 4 2 2 3 8 2" xfId="35045"/>
    <cellStyle name="Notas 4 2 2 3 9" xfId="35046"/>
    <cellStyle name="Notas 4 2 2 3 9 2" xfId="35047"/>
    <cellStyle name="Notas 4 2 2 4" xfId="35048"/>
    <cellStyle name="Notas 4 2 2 4 2" xfId="35049"/>
    <cellStyle name="Notas 4 2 2 5" xfId="35050"/>
    <cellStyle name="Notas 4 2 2 5 2" xfId="35051"/>
    <cellStyle name="Notas 4 2 2 6" xfId="35052"/>
    <cellStyle name="Notas 4 2 2 6 2" xfId="35053"/>
    <cellStyle name="Notas 4 2 2 7" xfId="35054"/>
    <cellStyle name="Notas 4 2 2 7 2" xfId="35055"/>
    <cellStyle name="Notas 4 2 2 8" xfId="35056"/>
    <cellStyle name="Notas 4 2 2 8 2" xfId="35057"/>
    <cellStyle name="Notas 4 2 2 9" xfId="35058"/>
    <cellStyle name="Notas 4 2 2 9 2" xfId="35059"/>
    <cellStyle name="Notas 4 2 3" xfId="35060"/>
    <cellStyle name="Notas 4 2 3 10" xfId="35061"/>
    <cellStyle name="Notas 4 2 3 10 2" xfId="35062"/>
    <cellStyle name="Notas 4 2 3 11" xfId="35063"/>
    <cellStyle name="Notas 4 2 3 11 2" xfId="35064"/>
    <cellStyle name="Notas 4 2 3 12" xfId="35065"/>
    <cellStyle name="Notas 4 2 3 12 2" xfId="35066"/>
    <cellStyle name="Notas 4 2 3 13" xfId="35067"/>
    <cellStyle name="Notas 4 2 3 2" xfId="35068"/>
    <cellStyle name="Notas 4 2 3 2 10" xfId="35069"/>
    <cellStyle name="Notas 4 2 3 2 10 2" xfId="35070"/>
    <cellStyle name="Notas 4 2 3 2 11" xfId="35071"/>
    <cellStyle name="Notas 4 2 3 2 2" xfId="35072"/>
    <cellStyle name="Notas 4 2 3 2 2 2" xfId="35073"/>
    <cellStyle name="Notas 4 2 3 2 3" xfId="35074"/>
    <cellStyle name="Notas 4 2 3 2 3 2" xfId="35075"/>
    <cellStyle name="Notas 4 2 3 2 4" xfId="35076"/>
    <cellStyle name="Notas 4 2 3 2 4 2" xfId="35077"/>
    <cellStyle name="Notas 4 2 3 2 5" xfId="35078"/>
    <cellStyle name="Notas 4 2 3 2 5 2" xfId="35079"/>
    <cellStyle name="Notas 4 2 3 2 6" xfId="35080"/>
    <cellStyle name="Notas 4 2 3 2 6 2" xfId="35081"/>
    <cellStyle name="Notas 4 2 3 2 7" xfId="35082"/>
    <cellStyle name="Notas 4 2 3 2 7 2" xfId="35083"/>
    <cellStyle name="Notas 4 2 3 2 8" xfId="35084"/>
    <cellStyle name="Notas 4 2 3 2 8 2" xfId="35085"/>
    <cellStyle name="Notas 4 2 3 2 9" xfId="35086"/>
    <cellStyle name="Notas 4 2 3 2 9 2" xfId="35087"/>
    <cellStyle name="Notas 4 2 3 3" xfId="35088"/>
    <cellStyle name="Notas 4 2 3 3 10" xfId="35089"/>
    <cellStyle name="Notas 4 2 3 3 10 2" xfId="35090"/>
    <cellStyle name="Notas 4 2 3 3 11" xfId="35091"/>
    <cellStyle name="Notas 4 2 3 3 2" xfId="35092"/>
    <cellStyle name="Notas 4 2 3 3 2 2" xfId="35093"/>
    <cellStyle name="Notas 4 2 3 3 3" xfId="35094"/>
    <cellStyle name="Notas 4 2 3 3 3 2" xfId="35095"/>
    <cellStyle name="Notas 4 2 3 3 4" xfId="35096"/>
    <cellStyle name="Notas 4 2 3 3 4 2" xfId="35097"/>
    <cellStyle name="Notas 4 2 3 3 5" xfId="35098"/>
    <cellStyle name="Notas 4 2 3 3 5 2" xfId="35099"/>
    <cellStyle name="Notas 4 2 3 3 6" xfId="35100"/>
    <cellStyle name="Notas 4 2 3 3 6 2" xfId="35101"/>
    <cellStyle name="Notas 4 2 3 3 7" xfId="35102"/>
    <cellStyle name="Notas 4 2 3 3 7 2" xfId="35103"/>
    <cellStyle name="Notas 4 2 3 3 8" xfId="35104"/>
    <cellStyle name="Notas 4 2 3 3 8 2" xfId="35105"/>
    <cellStyle name="Notas 4 2 3 3 9" xfId="35106"/>
    <cellStyle name="Notas 4 2 3 3 9 2" xfId="35107"/>
    <cellStyle name="Notas 4 2 3 4" xfId="35108"/>
    <cellStyle name="Notas 4 2 3 4 2" xfId="35109"/>
    <cellStyle name="Notas 4 2 3 5" xfId="35110"/>
    <cellStyle name="Notas 4 2 3 5 2" xfId="35111"/>
    <cellStyle name="Notas 4 2 3 6" xfId="35112"/>
    <cellStyle name="Notas 4 2 3 6 2" xfId="35113"/>
    <cellStyle name="Notas 4 2 3 7" xfId="35114"/>
    <cellStyle name="Notas 4 2 3 7 2" xfId="35115"/>
    <cellStyle name="Notas 4 2 3 8" xfId="35116"/>
    <cellStyle name="Notas 4 2 3 8 2" xfId="35117"/>
    <cellStyle name="Notas 4 2 3 9" xfId="35118"/>
    <cellStyle name="Notas 4 2 3 9 2" xfId="35119"/>
    <cellStyle name="Notas 4 2 4" xfId="35120"/>
    <cellStyle name="Notas 4 2 4 10" xfId="35121"/>
    <cellStyle name="Notas 4 2 4 10 2" xfId="35122"/>
    <cellStyle name="Notas 4 2 4 11" xfId="35123"/>
    <cellStyle name="Notas 4 2 4 2" xfId="35124"/>
    <cellStyle name="Notas 4 2 4 2 2" xfId="35125"/>
    <cellStyle name="Notas 4 2 4 3" xfId="35126"/>
    <cellStyle name="Notas 4 2 4 3 2" xfId="35127"/>
    <cellStyle name="Notas 4 2 4 4" xfId="35128"/>
    <cellStyle name="Notas 4 2 4 4 2" xfId="35129"/>
    <cellStyle name="Notas 4 2 4 5" xfId="35130"/>
    <cellStyle name="Notas 4 2 4 5 2" xfId="35131"/>
    <cellStyle name="Notas 4 2 4 6" xfId="35132"/>
    <cellStyle name="Notas 4 2 4 6 2" xfId="35133"/>
    <cellStyle name="Notas 4 2 4 7" xfId="35134"/>
    <cellStyle name="Notas 4 2 4 7 2" xfId="35135"/>
    <cellStyle name="Notas 4 2 4 8" xfId="35136"/>
    <cellStyle name="Notas 4 2 4 8 2" xfId="35137"/>
    <cellStyle name="Notas 4 2 4 9" xfId="35138"/>
    <cellStyle name="Notas 4 2 4 9 2" xfId="35139"/>
    <cellStyle name="Notas 4 2 5" xfId="35140"/>
    <cellStyle name="Notas 4 2 5 10" xfId="35141"/>
    <cellStyle name="Notas 4 2 5 10 2" xfId="35142"/>
    <cellStyle name="Notas 4 2 5 11" xfId="35143"/>
    <cellStyle name="Notas 4 2 5 2" xfId="35144"/>
    <cellStyle name="Notas 4 2 5 2 2" xfId="35145"/>
    <cellStyle name="Notas 4 2 5 3" xfId="35146"/>
    <cellStyle name="Notas 4 2 5 3 2" xfId="35147"/>
    <cellStyle name="Notas 4 2 5 4" xfId="35148"/>
    <cellStyle name="Notas 4 2 5 4 2" xfId="35149"/>
    <cellStyle name="Notas 4 2 5 5" xfId="35150"/>
    <cellStyle name="Notas 4 2 5 5 2" xfId="35151"/>
    <cellStyle name="Notas 4 2 5 6" xfId="35152"/>
    <cellStyle name="Notas 4 2 5 6 2" xfId="35153"/>
    <cellStyle name="Notas 4 2 5 7" xfId="35154"/>
    <cellStyle name="Notas 4 2 5 7 2" xfId="35155"/>
    <cellStyle name="Notas 4 2 5 8" xfId="35156"/>
    <cellStyle name="Notas 4 2 5 8 2" xfId="35157"/>
    <cellStyle name="Notas 4 2 5 9" xfId="35158"/>
    <cellStyle name="Notas 4 2 5 9 2" xfId="35159"/>
    <cellStyle name="Notas 4 2 6" xfId="35160"/>
    <cellStyle name="Notas 4 2 6 2" xfId="35161"/>
    <cellStyle name="Notas 4 2 7" xfId="35162"/>
    <cellStyle name="Notas 4 2 7 2" xfId="35163"/>
    <cellStyle name="Notas 4 2 8" xfId="35164"/>
    <cellStyle name="Notas 4 2 8 2" xfId="35165"/>
    <cellStyle name="Notas 4 2 9" xfId="35166"/>
    <cellStyle name="Notas 4 2 9 2" xfId="35167"/>
    <cellStyle name="Notas 4 20" xfId="35168"/>
    <cellStyle name="Notas 4 3" xfId="35169"/>
    <cellStyle name="Notas 4 3 10" xfId="35170"/>
    <cellStyle name="Notas 4 3 10 2" xfId="35171"/>
    <cellStyle name="Notas 4 3 11" xfId="35172"/>
    <cellStyle name="Notas 4 3 11 2" xfId="35173"/>
    <cellStyle name="Notas 4 3 12" xfId="35174"/>
    <cellStyle name="Notas 4 3 12 2" xfId="35175"/>
    <cellStyle name="Notas 4 3 13" xfId="35176"/>
    <cellStyle name="Notas 4 3 13 2" xfId="35177"/>
    <cellStyle name="Notas 4 3 14" xfId="35178"/>
    <cellStyle name="Notas 4 3 14 2" xfId="35179"/>
    <cellStyle name="Notas 4 3 15" xfId="35180"/>
    <cellStyle name="Notas 4 3 2" xfId="35181"/>
    <cellStyle name="Notas 4 3 2 10" xfId="35182"/>
    <cellStyle name="Notas 4 3 2 10 2" xfId="35183"/>
    <cellStyle name="Notas 4 3 2 11" xfId="35184"/>
    <cellStyle name="Notas 4 3 2 11 2" xfId="35185"/>
    <cellStyle name="Notas 4 3 2 12" xfId="35186"/>
    <cellStyle name="Notas 4 3 2 12 2" xfId="35187"/>
    <cellStyle name="Notas 4 3 2 13" xfId="35188"/>
    <cellStyle name="Notas 4 3 2 2" xfId="35189"/>
    <cellStyle name="Notas 4 3 2 2 10" xfId="35190"/>
    <cellStyle name="Notas 4 3 2 2 10 2" xfId="35191"/>
    <cellStyle name="Notas 4 3 2 2 11" xfId="35192"/>
    <cellStyle name="Notas 4 3 2 2 2" xfId="35193"/>
    <cellStyle name="Notas 4 3 2 2 2 2" xfId="35194"/>
    <cellStyle name="Notas 4 3 2 2 3" xfId="35195"/>
    <cellStyle name="Notas 4 3 2 2 3 2" xfId="35196"/>
    <cellStyle name="Notas 4 3 2 2 4" xfId="35197"/>
    <cellStyle name="Notas 4 3 2 2 4 2" xfId="35198"/>
    <cellStyle name="Notas 4 3 2 2 5" xfId="35199"/>
    <cellStyle name="Notas 4 3 2 2 5 2" xfId="35200"/>
    <cellStyle name="Notas 4 3 2 2 6" xfId="35201"/>
    <cellStyle name="Notas 4 3 2 2 6 2" xfId="35202"/>
    <cellStyle name="Notas 4 3 2 2 7" xfId="35203"/>
    <cellStyle name="Notas 4 3 2 2 7 2" xfId="35204"/>
    <cellStyle name="Notas 4 3 2 2 8" xfId="35205"/>
    <cellStyle name="Notas 4 3 2 2 8 2" xfId="35206"/>
    <cellStyle name="Notas 4 3 2 2 9" xfId="35207"/>
    <cellStyle name="Notas 4 3 2 2 9 2" xfId="35208"/>
    <cellStyle name="Notas 4 3 2 3" xfId="35209"/>
    <cellStyle name="Notas 4 3 2 3 10" xfId="35210"/>
    <cellStyle name="Notas 4 3 2 3 10 2" xfId="35211"/>
    <cellStyle name="Notas 4 3 2 3 11" xfId="35212"/>
    <cellStyle name="Notas 4 3 2 3 2" xfId="35213"/>
    <cellStyle name="Notas 4 3 2 3 2 2" xfId="35214"/>
    <cellStyle name="Notas 4 3 2 3 3" xfId="35215"/>
    <cellStyle name="Notas 4 3 2 3 3 2" xfId="35216"/>
    <cellStyle name="Notas 4 3 2 3 4" xfId="35217"/>
    <cellStyle name="Notas 4 3 2 3 4 2" xfId="35218"/>
    <cellStyle name="Notas 4 3 2 3 5" xfId="35219"/>
    <cellStyle name="Notas 4 3 2 3 5 2" xfId="35220"/>
    <cellStyle name="Notas 4 3 2 3 6" xfId="35221"/>
    <cellStyle name="Notas 4 3 2 3 6 2" xfId="35222"/>
    <cellStyle name="Notas 4 3 2 3 7" xfId="35223"/>
    <cellStyle name="Notas 4 3 2 3 7 2" xfId="35224"/>
    <cellStyle name="Notas 4 3 2 3 8" xfId="35225"/>
    <cellStyle name="Notas 4 3 2 3 8 2" xfId="35226"/>
    <cellStyle name="Notas 4 3 2 3 9" xfId="35227"/>
    <cellStyle name="Notas 4 3 2 3 9 2" xfId="35228"/>
    <cellStyle name="Notas 4 3 2 4" xfId="35229"/>
    <cellStyle name="Notas 4 3 2 4 2" xfId="35230"/>
    <cellStyle name="Notas 4 3 2 5" xfId="35231"/>
    <cellStyle name="Notas 4 3 2 5 2" xfId="35232"/>
    <cellStyle name="Notas 4 3 2 6" xfId="35233"/>
    <cellStyle name="Notas 4 3 2 6 2" xfId="35234"/>
    <cellStyle name="Notas 4 3 2 7" xfId="35235"/>
    <cellStyle name="Notas 4 3 2 7 2" xfId="35236"/>
    <cellStyle name="Notas 4 3 2 8" xfId="35237"/>
    <cellStyle name="Notas 4 3 2 8 2" xfId="35238"/>
    <cellStyle name="Notas 4 3 2 9" xfId="35239"/>
    <cellStyle name="Notas 4 3 2 9 2" xfId="35240"/>
    <cellStyle name="Notas 4 3 3" xfId="35241"/>
    <cellStyle name="Notas 4 3 3 10" xfId="35242"/>
    <cellStyle name="Notas 4 3 3 10 2" xfId="35243"/>
    <cellStyle name="Notas 4 3 3 11" xfId="35244"/>
    <cellStyle name="Notas 4 3 3 11 2" xfId="35245"/>
    <cellStyle name="Notas 4 3 3 12" xfId="35246"/>
    <cellStyle name="Notas 4 3 3 12 2" xfId="35247"/>
    <cellStyle name="Notas 4 3 3 13" xfId="35248"/>
    <cellStyle name="Notas 4 3 3 2" xfId="35249"/>
    <cellStyle name="Notas 4 3 3 2 10" xfId="35250"/>
    <cellStyle name="Notas 4 3 3 2 10 2" xfId="35251"/>
    <cellStyle name="Notas 4 3 3 2 11" xfId="35252"/>
    <cellStyle name="Notas 4 3 3 2 2" xfId="35253"/>
    <cellStyle name="Notas 4 3 3 2 2 2" xfId="35254"/>
    <cellStyle name="Notas 4 3 3 2 3" xfId="35255"/>
    <cellStyle name="Notas 4 3 3 2 3 2" xfId="35256"/>
    <cellStyle name="Notas 4 3 3 2 4" xfId="35257"/>
    <cellStyle name="Notas 4 3 3 2 4 2" xfId="35258"/>
    <cellStyle name="Notas 4 3 3 2 5" xfId="35259"/>
    <cellStyle name="Notas 4 3 3 2 5 2" xfId="35260"/>
    <cellStyle name="Notas 4 3 3 2 6" xfId="35261"/>
    <cellStyle name="Notas 4 3 3 2 6 2" xfId="35262"/>
    <cellStyle name="Notas 4 3 3 2 7" xfId="35263"/>
    <cellStyle name="Notas 4 3 3 2 7 2" xfId="35264"/>
    <cellStyle name="Notas 4 3 3 2 8" xfId="35265"/>
    <cellStyle name="Notas 4 3 3 2 8 2" xfId="35266"/>
    <cellStyle name="Notas 4 3 3 2 9" xfId="35267"/>
    <cellStyle name="Notas 4 3 3 2 9 2" xfId="35268"/>
    <cellStyle name="Notas 4 3 3 3" xfId="35269"/>
    <cellStyle name="Notas 4 3 3 3 10" xfId="35270"/>
    <cellStyle name="Notas 4 3 3 3 10 2" xfId="35271"/>
    <cellStyle name="Notas 4 3 3 3 11" xfId="35272"/>
    <cellStyle name="Notas 4 3 3 3 2" xfId="35273"/>
    <cellStyle name="Notas 4 3 3 3 2 2" xfId="35274"/>
    <cellStyle name="Notas 4 3 3 3 3" xfId="35275"/>
    <cellStyle name="Notas 4 3 3 3 3 2" xfId="35276"/>
    <cellStyle name="Notas 4 3 3 3 4" xfId="35277"/>
    <cellStyle name="Notas 4 3 3 3 4 2" xfId="35278"/>
    <cellStyle name="Notas 4 3 3 3 5" xfId="35279"/>
    <cellStyle name="Notas 4 3 3 3 5 2" xfId="35280"/>
    <cellStyle name="Notas 4 3 3 3 6" xfId="35281"/>
    <cellStyle name="Notas 4 3 3 3 6 2" xfId="35282"/>
    <cellStyle name="Notas 4 3 3 3 7" xfId="35283"/>
    <cellStyle name="Notas 4 3 3 3 7 2" xfId="35284"/>
    <cellStyle name="Notas 4 3 3 3 8" xfId="35285"/>
    <cellStyle name="Notas 4 3 3 3 8 2" xfId="35286"/>
    <cellStyle name="Notas 4 3 3 3 9" xfId="35287"/>
    <cellStyle name="Notas 4 3 3 3 9 2" xfId="35288"/>
    <cellStyle name="Notas 4 3 3 4" xfId="35289"/>
    <cellStyle name="Notas 4 3 3 4 2" xfId="35290"/>
    <cellStyle name="Notas 4 3 3 5" xfId="35291"/>
    <cellStyle name="Notas 4 3 3 5 2" xfId="35292"/>
    <cellStyle name="Notas 4 3 3 6" xfId="35293"/>
    <cellStyle name="Notas 4 3 3 6 2" xfId="35294"/>
    <cellStyle name="Notas 4 3 3 7" xfId="35295"/>
    <cellStyle name="Notas 4 3 3 7 2" xfId="35296"/>
    <cellStyle name="Notas 4 3 3 8" xfId="35297"/>
    <cellStyle name="Notas 4 3 3 8 2" xfId="35298"/>
    <cellStyle name="Notas 4 3 3 9" xfId="35299"/>
    <cellStyle name="Notas 4 3 3 9 2" xfId="35300"/>
    <cellStyle name="Notas 4 3 4" xfId="35301"/>
    <cellStyle name="Notas 4 3 4 10" xfId="35302"/>
    <cellStyle name="Notas 4 3 4 10 2" xfId="35303"/>
    <cellStyle name="Notas 4 3 4 11" xfId="35304"/>
    <cellStyle name="Notas 4 3 4 2" xfId="35305"/>
    <cellStyle name="Notas 4 3 4 2 2" xfId="35306"/>
    <cellStyle name="Notas 4 3 4 3" xfId="35307"/>
    <cellStyle name="Notas 4 3 4 3 2" xfId="35308"/>
    <cellStyle name="Notas 4 3 4 4" xfId="35309"/>
    <cellStyle name="Notas 4 3 4 4 2" xfId="35310"/>
    <cellStyle name="Notas 4 3 4 5" xfId="35311"/>
    <cellStyle name="Notas 4 3 4 5 2" xfId="35312"/>
    <cellStyle name="Notas 4 3 4 6" xfId="35313"/>
    <cellStyle name="Notas 4 3 4 6 2" xfId="35314"/>
    <cellStyle name="Notas 4 3 4 7" xfId="35315"/>
    <cellStyle name="Notas 4 3 4 7 2" xfId="35316"/>
    <cellStyle name="Notas 4 3 4 8" xfId="35317"/>
    <cellStyle name="Notas 4 3 4 8 2" xfId="35318"/>
    <cellStyle name="Notas 4 3 4 9" xfId="35319"/>
    <cellStyle name="Notas 4 3 4 9 2" xfId="35320"/>
    <cellStyle name="Notas 4 3 5" xfId="35321"/>
    <cellStyle name="Notas 4 3 5 10" xfId="35322"/>
    <cellStyle name="Notas 4 3 5 10 2" xfId="35323"/>
    <cellStyle name="Notas 4 3 5 11" xfId="35324"/>
    <cellStyle name="Notas 4 3 5 2" xfId="35325"/>
    <cellStyle name="Notas 4 3 5 2 2" xfId="35326"/>
    <cellStyle name="Notas 4 3 5 3" xfId="35327"/>
    <cellStyle name="Notas 4 3 5 3 2" xfId="35328"/>
    <cellStyle name="Notas 4 3 5 4" xfId="35329"/>
    <cellStyle name="Notas 4 3 5 4 2" xfId="35330"/>
    <cellStyle name="Notas 4 3 5 5" xfId="35331"/>
    <cellStyle name="Notas 4 3 5 5 2" xfId="35332"/>
    <cellStyle name="Notas 4 3 5 6" xfId="35333"/>
    <cellStyle name="Notas 4 3 5 6 2" xfId="35334"/>
    <cellStyle name="Notas 4 3 5 7" xfId="35335"/>
    <cellStyle name="Notas 4 3 5 7 2" xfId="35336"/>
    <cellStyle name="Notas 4 3 5 8" xfId="35337"/>
    <cellStyle name="Notas 4 3 5 8 2" xfId="35338"/>
    <cellStyle name="Notas 4 3 5 9" xfId="35339"/>
    <cellStyle name="Notas 4 3 5 9 2" xfId="35340"/>
    <cellStyle name="Notas 4 3 6" xfId="35341"/>
    <cellStyle name="Notas 4 3 6 2" xfId="35342"/>
    <cellStyle name="Notas 4 3 7" xfId="35343"/>
    <cellStyle name="Notas 4 3 7 2" xfId="35344"/>
    <cellStyle name="Notas 4 3 8" xfId="35345"/>
    <cellStyle name="Notas 4 3 8 2" xfId="35346"/>
    <cellStyle name="Notas 4 3 9" xfId="35347"/>
    <cellStyle name="Notas 4 3 9 2" xfId="35348"/>
    <cellStyle name="Notas 4 4" xfId="35349"/>
    <cellStyle name="Notas 4 4 10" xfId="35350"/>
    <cellStyle name="Notas 4 4 10 2" xfId="35351"/>
    <cellStyle name="Notas 4 4 11" xfId="35352"/>
    <cellStyle name="Notas 4 4 11 2" xfId="35353"/>
    <cellStyle name="Notas 4 4 12" xfId="35354"/>
    <cellStyle name="Notas 4 4 12 2" xfId="35355"/>
    <cellStyle name="Notas 4 4 13" xfId="35356"/>
    <cellStyle name="Notas 4 4 13 2" xfId="35357"/>
    <cellStyle name="Notas 4 4 14" xfId="35358"/>
    <cellStyle name="Notas 4 4 14 2" xfId="35359"/>
    <cellStyle name="Notas 4 4 15" xfId="35360"/>
    <cellStyle name="Notas 4 4 2" xfId="35361"/>
    <cellStyle name="Notas 4 4 2 10" xfId="35362"/>
    <cellStyle name="Notas 4 4 2 10 2" xfId="35363"/>
    <cellStyle name="Notas 4 4 2 11" xfId="35364"/>
    <cellStyle name="Notas 4 4 2 11 2" xfId="35365"/>
    <cellStyle name="Notas 4 4 2 12" xfId="35366"/>
    <cellStyle name="Notas 4 4 2 12 2" xfId="35367"/>
    <cellStyle name="Notas 4 4 2 13" xfId="35368"/>
    <cellStyle name="Notas 4 4 2 2" xfId="35369"/>
    <cellStyle name="Notas 4 4 2 2 10" xfId="35370"/>
    <cellStyle name="Notas 4 4 2 2 10 2" xfId="35371"/>
    <cellStyle name="Notas 4 4 2 2 11" xfId="35372"/>
    <cellStyle name="Notas 4 4 2 2 2" xfId="35373"/>
    <cellStyle name="Notas 4 4 2 2 2 2" xfId="35374"/>
    <cellStyle name="Notas 4 4 2 2 3" xfId="35375"/>
    <cellStyle name="Notas 4 4 2 2 3 2" xfId="35376"/>
    <cellStyle name="Notas 4 4 2 2 4" xfId="35377"/>
    <cellStyle name="Notas 4 4 2 2 4 2" xfId="35378"/>
    <cellStyle name="Notas 4 4 2 2 5" xfId="35379"/>
    <cellStyle name="Notas 4 4 2 2 5 2" xfId="35380"/>
    <cellStyle name="Notas 4 4 2 2 6" xfId="35381"/>
    <cellStyle name="Notas 4 4 2 2 6 2" xfId="35382"/>
    <cellStyle name="Notas 4 4 2 2 7" xfId="35383"/>
    <cellStyle name="Notas 4 4 2 2 7 2" xfId="35384"/>
    <cellStyle name="Notas 4 4 2 2 8" xfId="35385"/>
    <cellStyle name="Notas 4 4 2 2 8 2" xfId="35386"/>
    <cellStyle name="Notas 4 4 2 2 9" xfId="35387"/>
    <cellStyle name="Notas 4 4 2 2 9 2" xfId="35388"/>
    <cellStyle name="Notas 4 4 2 3" xfId="35389"/>
    <cellStyle name="Notas 4 4 2 3 10" xfId="35390"/>
    <cellStyle name="Notas 4 4 2 3 10 2" xfId="35391"/>
    <cellStyle name="Notas 4 4 2 3 11" xfId="35392"/>
    <cellStyle name="Notas 4 4 2 3 2" xfId="35393"/>
    <cellStyle name="Notas 4 4 2 3 2 2" xfId="35394"/>
    <cellStyle name="Notas 4 4 2 3 3" xfId="35395"/>
    <cellStyle name="Notas 4 4 2 3 3 2" xfId="35396"/>
    <cellStyle name="Notas 4 4 2 3 4" xfId="35397"/>
    <cellStyle name="Notas 4 4 2 3 4 2" xfId="35398"/>
    <cellStyle name="Notas 4 4 2 3 5" xfId="35399"/>
    <cellStyle name="Notas 4 4 2 3 5 2" xfId="35400"/>
    <cellStyle name="Notas 4 4 2 3 6" xfId="35401"/>
    <cellStyle name="Notas 4 4 2 3 6 2" xfId="35402"/>
    <cellStyle name="Notas 4 4 2 3 7" xfId="35403"/>
    <cellStyle name="Notas 4 4 2 3 7 2" xfId="35404"/>
    <cellStyle name="Notas 4 4 2 3 8" xfId="35405"/>
    <cellStyle name="Notas 4 4 2 3 8 2" xfId="35406"/>
    <cellStyle name="Notas 4 4 2 3 9" xfId="35407"/>
    <cellStyle name="Notas 4 4 2 3 9 2" xfId="35408"/>
    <cellStyle name="Notas 4 4 2 4" xfId="35409"/>
    <cellStyle name="Notas 4 4 2 4 2" xfId="35410"/>
    <cellStyle name="Notas 4 4 2 5" xfId="35411"/>
    <cellStyle name="Notas 4 4 2 5 2" xfId="35412"/>
    <cellStyle name="Notas 4 4 2 6" xfId="35413"/>
    <cellStyle name="Notas 4 4 2 6 2" xfId="35414"/>
    <cellStyle name="Notas 4 4 2 7" xfId="35415"/>
    <cellStyle name="Notas 4 4 2 7 2" xfId="35416"/>
    <cellStyle name="Notas 4 4 2 8" xfId="35417"/>
    <cellStyle name="Notas 4 4 2 8 2" xfId="35418"/>
    <cellStyle name="Notas 4 4 2 9" xfId="35419"/>
    <cellStyle name="Notas 4 4 2 9 2" xfId="35420"/>
    <cellStyle name="Notas 4 4 3" xfId="35421"/>
    <cellStyle name="Notas 4 4 3 10" xfId="35422"/>
    <cellStyle name="Notas 4 4 3 10 2" xfId="35423"/>
    <cellStyle name="Notas 4 4 3 11" xfId="35424"/>
    <cellStyle name="Notas 4 4 3 11 2" xfId="35425"/>
    <cellStyle name="Notas 4 4 3 12" xfId="35426"/>
    <cellStyle name="Notas 4 4 3 12 2" xfId="35427"/>
    <cellStyle name="Notas 4 4 3 13" xfId="35428"/>
    <cellStyle name="Notas 4 4 3 2" xfId="35429"/>
    <cellStyle name="Notas 4 4 3 2 10" xfId="35430"/>
    <cellStyle name="Notas 4 4 3 2 10 2" xfId="35431"/>
    <cellStyle name="Notas 4 4 3 2 11" xfId="35432"/>
    <cellStyle name="Notas 4 4 3 2 2" xfId="35433"/>
    <cellStyle name="Notas 4 4 3 2 2 2" xfId="35434"/>
    <cellStyle name="Notas 4 4 3 2 3" xfId="35435"/>
    <cellStyle name="Notas 4 4 3 2 3 2" xfId="35436"/>
    <cellStyle name="Notas 4 4 3 2 4" xfId="35437"/>
    <cellStyle name="Notas 4 4 3 2 4 2" xfId="35438"/>
    <cellStyle name="Notas 4 4 3 2 5" xfId="35439"/>
    <cellStyle name="Notas 4 4 3 2 5 2" xfId="35440"/>
    <cellStyle name="Notas 4 4 3 2 6" xfId="35441"/>
    <cellStyle name="Notas 4 4 3 2 6 2" xfId="35442"/>
    <cellStyle name="Notas 4 4 3 2 7" xfId="35443"/>
    <cellStyle name="Notas 4 4 3 2 7 2" xfId="35444"/>
    <cellStyle name="Notas 4 4 3 2 8" xfId="35445"/>
    <cellStyle name="Notas 4 4 3 2 8 2" xfId="35446"/>
    <cellStyle name="Notas 4 4 3 2 9" xfId="35447"/>
    <cellStyle name="Notas 4 4 3 2 9 2" xfId="35448"/>
    <cellStyle name="Notas 4 4 3 3" xfId="35449"/>
    <cellStyle name="Notas 4 4 3 3 10" xfId="35450"/>
    <cellStyle name="Notas 4 4 3 3 10 2" xfId="35451"/>
    <cellStyle name="Notas 4 4 3 3 11" xfId="35452"/>
    <cellStyle name="Notas 4 4 3 3 2" xfId="35453"/>
    <cellStyle name="Notas 4 4 3 3 2 2" xfId="35454"/>
    <cellStyle name="Notas 4 4 3 3 3" xfId="35455"/>
    <cellStyle name="Notas 4 4 3 3 3 2" xfId="35456"/>
    <cellStyle name="Notas 4 4 3 3 4" xfId="35457"/>
    <cellStyle name="Notas 4 4 3 3 4 2" xfId="35458"/>
    <cellStyle name="Notas 4 4 3 3 5" xfId="35459"/>
    <cellStyle name="Notas 4 4 3 3 5 2" xfId="35460"/>
    <cellStyle name="Notas 4 4 3 3 6" xfId="35461"/>
    <cellStyle name="Notas 4 4 3 3 6 2" xfId="35462"/>
    <cellStyle name="Notas 4 4 3 3 7" xfId="35463"/>
    <cellStyle name="Notas 4 4 3 3 7 2" xfId="35464"/>
    <cellStyle name="Notas 4 4 3 3 8" xfId="35465"/>
    <cellStyle name="Notas 4 4 3 3 8 2" xfId="35466"/>
    <cellStyle name="Notas 4 4 3 3 9" xfId="35467"/>
    <cellStyle name="Notas 4 4 3 3 9 2" xfId="35468"/>
    <cellStyle name="Notas 4 4 3 4" xfId="35469"/>
    <cellStyle name="Notas 4 4 3 4 2" xfId="35470"/>
    <cellStyle name="Notas 4 4 3 5" xfId="35471"/>
    <cellStyle name="Notas 4 4 3 5 2" xfId="35472"/>
    <cellStyle name="Notas 4 4 3 6" xfId="35473"/>
    <cellStyle name="Notas 4 4 3 6 2" xfId="35474"/>
    <cellStyle name="Notas 4 4 3 7" xfId="35475"/>
    <cellStyle name="Notas 4 4 3 7 2" xfId="35476"/>
    <cellStyle name="Notas 4 4 3 8" xfId="35477"/>
    <cellStyle name="Notas 4 4 3 8 2" xfId="35478"/>
    <cellStyle name="Notas 4 4 3 9" xfId="35479"/>
    <cellStyle name="Notas 4 4 3 9 2" xfId="35480"/>
    <cellStyle name="Notas 4 4 4" xfId="35481"/>
    <cellStyle name="Notas 4 4 4 10" xfId="35482"/>
    <cellStyle name="Notas 4 4 4 10 2" xfId="35483"/>
    <cellStyle name="Notas 4 4 4 11" xfId="35484"/>
    <cellStyle name="Notas 4 4 4 2" xfId="35485"/>
    <cellStyle name="Notas 4 4 4 2 2" xfId="35486"/>
    <cellStyle name="Notas 4 4 4 3" xfId="35487"/>
    <cellStyle name="Notas 4 4 4 3 2" xfId="35488"/>
    <cellStyle name="Notas 4 4 4 4" xfId="35489"/>
    <cellStyle name="Notas 4 4 4 4 2" xfId="35490"/>
    <cellStyle name="Notas 4 4 4 5" xfId="35491"/>
    <cellStyle name="Notas 4 4 4 5 2" xfId="35492"/>
    <cellStyle name="Notas 4 4 4 6" xfId="35493"/>
    <cellStyle name="Notas 4 4 4 6 2" xfId="35494"/>
    <cellStyle name="Notas 4 4 4 7" xfId="35495"/>
    <cellStyle name="Notas 4 4 4 7 2" xfId="35496"/>
    <cellStyle name="Notas 4 4 4 8" xfId="35497"/>
    <cellStyle name="Notas 4 4 4 8 2" xfId="35498"/>
    <cellStyle name="Notas 4 4 4 9" xfId="35499"/>
    <cellStyle name="Notas 4 4 4 9 2" xfId="35500"/>
    <cellStyle name="Notas 4 4 5" xfId="35501"/>
    <cellStyle name="Notas 4 4 5 10" xfId="35502"/>
    <cellStyle name="Notas 4 4 5 10 2" xfId="35503"/>
    <cellStyle name="Notas 4 4 5 11" xfId="35504"/>
    <cellStyle name="Notas 4 4 5 2" xfId="35505"/>
    <cellStyle name="Notas 4 4 5 2 2" xfId="35506"/>
    <cellStyle name="Notas 4 4 5 3" xfId="35507"/>
    <cellStyle name="Notas 4 4 5 3 2" xfId="35508"/>
    <cellStyle name="Notas 4 4 5 4" xfId="35509"/>
    <cellStyle name="Notas 4 4 5 4 2" xfId="35510"/>
    <cellStyle name="Notas 4 4 5 5" xfId="35511"/>
    <cellStyle name="Notas 4 4 5 5 2" xfId="35512"/>
    <cellStyle name="Notas 4 4 5 6" xfId="35513"/>
    <cellStyle name="Notas 4 4 5 6 2" xfId="35514"/>
    <cellStyle name="Notas 4 4 5 7" xfId="35515"/>
    <cellStyle name="Notas 4 4 5 7 2" xfId="35516"/>
    <cellStyle name="Notas 4 4 5 8" xfId="35517"/>
    <cellStyle name="Notas 4 4 5 8 2" xfId="35518"/>
    <cellStyle name="Notas 4 4 5 9" xfId="35519"/>
    <cellStyle name="Notas 4 4 5 9 2" xfId="35520"/>
    <cellStyle name="Notas 4 4 6" xfId="35521"/>
    <cellStyle name="Notas 4 4 6 2" xfId="35522"/>
    <cellStyle name="Notas 4 4 7" xfId="35523"/>
    <cellStyle name="Notas 4 4 7 2" xfId="35524"/>
    <cellStyle name="Notas 4 4 8" xfId="35525"/>
    <cellStyle name="Notas 4 4 8 2" xfId="35526"/>
    <cellStyle name="Notas 4 4 9" xfId="35527"/>
    <cellStyle name="Notas 4 4 9 2" xfId="35528"/>
    <cellStyle name="Notas 4 5" xfId="35529"/>
    <cellStyle name="Notas 4 5 10" xfId="35530"/>
    <cellStyle name="Notas 4 5 10 2" xfId="35531"/>
    <cellStyle name="Notas 4 5 11" xfId="35532"/>
    <cellStyle name="Notas 4 5 11 2" xfId="35533"/>
    <cellStyle name="Notas 4 5 12" xfId="35534"/>
    <cellStyle name="Notas 4 5 12 2" xfId="35535"/>
    <cellStyle name="Notas 4 5 13" xfId="35536"/>
    <cellStyle name="Notas 4 5 2" xfId="35537"/>
    <cellStyle name="Notas 4 5 2 10" xfId="35538"/>
    <cellStyle name="Notas 4 5 2 10 2" xfId="35539"/>
    <cellStyle name="Notas 4 5 2 11" xfId="35540"/>
    <cellStyle name="Notas 4 5 2 2" xfId="35541"/>
    <cellStyle name="Notas 4 5 2 2 2" xfId="35542"/>
    <cellStyle name="Notas 4 5 2 3" xfId="35543"/>
    <cellStyle name="Notas 4 5 2 3 2" xfId="35544"/>
    <cellStyle name="Notas 4 5 2 4" xfId="35545"/>
    <cellStyle name="Notas 4 5 2 4 2" xfId="35546"/>
    <cellStyle name="Notas 4 5 2 5" xfId="35547"/>
    <cellStyle name="Notas 4 5 2 5 2" xfId="35548"/>
    <cellStyle name="Notas 4 5 2 6" xfId="35549"/>
    <cellStyle name="Notas 4 5 2 6 2" xfId="35550"/>
    <cellStyle name="Notas 4 5 2 7" xfId="35551"/>
    <cellStyle name="Notas 4 5 2 7 2" xfId="35552"/>
    <cellStyle name="Notas 4 5 2 8" xfId="35553"/>
    <cellStyle name="Notas 4 5 2 8 2" xfId="35554"/>
    <cellStyle name="Notas 4 5 2 9" xfId="35555"/>
    <cellStyle name="Notas 4 5 2 9 2" xfId="35556"/>
    <cellStyle name="Notas 4 5 3" xfId="35557"/>
    <cellStyle name="Notas 4 5 3 10" xfId="35558"/>
    <cellStyle name="Notas 4 5 3 10 2" xfId="35559"/>
    <cellStyle name="Notas 4 5 3 11" xfId="35560"/>
    <cellStyle name="Notas 4 5 3 2" xfId="35561"/>
    <cellStyle name="Notas 4 5 3 2 2" xfId="35562"/>
    <cellStyle name="Notas 4 5 3 3" xfId="35563"/>
    <cellStyle name="Notas 4 5 3 3 2" xfId="35564"/>
    <cellStyle name="Notas 4 5 3 4" xfId="35565"/>
    <cellStyle name="Notas 4 5 3 4 2" xfId="35566"/>
    <cellStyle name="Notas 4 5 3 5" xfId="35567"/>
    <cellStyle name="Notas 4 5 3 5 2" xfId="35568"/>
    <cellStyle name="Notas 4 5 3 6" xfId="35569"/>
    <cellStyle name="Notas 4 5 3 6 2" xfId="35570"/>
    <cellStyle name="Notas 4 5 3 7" xfId="35571"/>
    <cellStyle name="Notas 4 5 3 7 2" xfId="35572"/>
    <cellStyle name="Notas 4 5 3 8" xfId="35573"/>
    <cellStyle name="Notas 4 5 3 8 2" xfId="35574"/>
    <cellStyle name="Notas 4 5 3 9" xfId="35575"/>
    <cellStyle name="Notas 4 5 3 9 2" xfId="35576"/>
    <cellStyle name="Notas 4 5 4" xfId="35577"/>
    <cellStyle name="Notas 4 5 4 2" xfId="35578"/>
    <cellStyle name="Notas 4 5 5" xfId="35579"/>
    <cellStyle name="Notas 4 5 5 2" xfId="35580"/>
    <cellStyle name="Notas 4 5 6" xfId="35581"/>
    <cellStyle name="Notas 4 5 6 2" xfId="35582"/>
    <cellStyle name="Notas 4 5 7" xfId="35583"/>
    <cellStyle name="Notas 4 5 7 2" xfId="35584"/>
    <cellStyle name="Notas 4 5 8" xfId="35585"/>
    <cellStyle name="Notas 4 5 8 2" xfId="35586"/>
    <cellStyle name="Notas 4 5 9" xfId="35587"/>
    <cellStyle name="Notas 4 5 9 2" xfId="35588"/>
    <cellStyle name="Notas 4 6" xfId="35589"/>
    <cellStyle name="Notas 4 6 10" xfId="35590"/>
    <cellStyle name="Notas 4 6 10 2" xfId="35591"/>
    <cellStyle name="Notas 4 6 11" xfId="35592"/>
    <cellStyle name="Notas 4 6 11 2" xfId="35593"/>
    <cellStyle name="Notas 4 6 12" xfId="35594"/>
    <cellStyle name="Notas 4 6 12 2" xfId="35595"/>
    <cellStyle name="Notas 4 6 13" xfId="35596"/>
    <cellStyle name="Notas 4 6 2" xfId="35597"/>
    <cellStyle name="Notas 4 6 2 10" xfId="35598"/>
    <cellStyle name="Notas 4 6 2 10 2" xfId="35599"/>
    <cellStyle name="Notas 4 6 2 11" xfId="35600"/>
    <cellStyle name="Notas 4 6 2 2" xfId="35601"/>
    <cellStyle name="Notas 4 6 2 2 2" xfId="35602"/>
    <cellStyle name="Notas 4 6 2 3" xfId="35603"/>
    <cellStyle name="Notas 4 6 2 3 2" xfId="35604"/>
    <cellStyle name="Notas 4 6 2 4" xfId="35605"/>
    <cellStyle name="Notas 4 6 2 4 2" xfId="35606"/>
    <cellStyle name="Notas 4 6 2 5" xfId="35607"/>
    <cellStyle name="Notas 4 6 2 5 2" xfId="35608"/>
    <cellStyle name="Notas 4 6 2 6" xfId="35609"/>
    <cellStyle name="Notas 4 6 2 6 2" xfId="35610"/>
    <cellStyle name="Notas 4 6 2 7" xfId="35611"/>
    <cellStyle name="Notas 4 6 2 7 2" xfId="35612"/>
    <cellStyle name="Notas 4 6 2 8" xfId="35613"/>
    <cellStyle name="Notas 4 6 2 8 2" xfId="35614"/>
    <cellStyle name="Notas 4 6 2 9" xfId="35615"/>
    <cellStyle name="Notas 4 6 2 9 2" xfId="35616"/>
    <cellStyle name="Notas 4 6 3" xfId="35617"/>
    <cellStyle name="Notas 4 6 3 10" xfId="35618"/>
    <cellStyle name="Notas 4 6 3 10 2" xfId="35619"/>
    <cellStyle name="Notas 4 6 3 11" xfId="35620"/>
    <cellStyle name="Notas 4 6 3 2" xfId="35621"/>
    <cellStyle name="Notas 4 6 3 2 2" xfId="35622"/>
    <cellStyle name="Notas 4 6 3 3" xfId="35623"/>
    <cellStyle name="Notas 4 6 3 3 2" xfId="35624"/>
    <cellStyle name="Notas 4 6 3 4" xfId="35625"/>
    <cellStyle name="Notas 4 6 3 4 2" xfId="35626"/>
    <cellStyle name="Notas 4 6 3 5" xfId="35627"/>
    <cellStyle name="Notas 4 6 3 5 2" xfId="35628"/>
    <cellStyle name="Notas 4 6 3 6" xfId="35629"/>
    <cellStyle name="Notas 4 6 3 6 2" xfId="35630"/>
    <cellStyle name="Notas 4 6 3 7" xfId="35631"/>
    <cellStyle name="Notas 4 6 3 7 2" xfId="35632"/>
    <cellStyle name="Notas 4 6 3 8" xfId="35633"/>
    <cellStyle name="Notas 4 6 3 8 2" xfId="35634"/>
    <cellStyle name="Notas 4 6 3 9" xfId="35635"/>
    <cellStyle name="Notas 4 6 3 9 2" xfId="35636"/>
    <cellStyle name="Notas 4 6 4" xfId="35637"/>
    <cellStyle name="Notas 4 6 4 2" xfId="35638"/>
    <cellStyle name="Notas 4 6 5" xfId="35639"/>
    <cellStyle name="Notas 4 6 5 2" xfId="35640"/>
    <cellStyle name="Notas 4 6 6" xfId="35641"/>
    <cellStyle name="Notas 4 6 6 2" xfId="35642"/>
    <cellStyle name="Notas 4 6 7" xfId="35643"/>
    <cellStyle name="Notas 4 6 7 2" xfId="35644"/>
    <cellStyle name="Notas 4 6 8" xfId="35645"/>
    <cellStyle name="Notas 4 6 8 2" xfId="35646"/>
    <cellStyle name="Notas 4 6 9" xfId="35647"/>
    <cellStyle name="Notas 4 6 9 2" xfId="35648"/>
    <cellStyle name="Notas 4 7" xfId="35649"/>
    <cellStyle name="Notas 4 7 10" xfId="35650"/>
    <cellStyle name="Notas 4 7 10 2" xfId="35651"/>
    <cellStyle name="Notas 4 7 11" xfId="35652"/>
    <cellStyle name="Notas 4 7 2" xfId="35653"/>
    <cellStyle name="Notas 4 7 2 2" xfId="35654"/>
    <cellStyle name="Notas 4 7 3" xfId="35655"/>
    <cellStyle name="Notas 4 7 3 2" xfId="35656"/>
    <cellStyle name="Notas 4 7 4" xfId="35657"/>
    <cellStyle name="Notas 4 7 4 2" xfId="35658"/>
    <cellStyle name="Notas 4 7 5" xfId="35659"/>
    <cellStyle name="Notas 4 7 5 2" xfId="35660"/>
    <cellStyle name="Notas 4 7 6" xfId="35661"/>
    <cellStyle name="Notas 4 7 6 2" xfId="35662"/>
    <cellStyle name="Notas 4 7 7" xfId="35663"/>
    <cellStyle name="Notas 4 7 7 2" xfId="35664"/>
    <cellStyle name="Notas 4 7 8" xfId="35665"/>
    <cellStyle name="Notas 4 7 8 2" xfId="35666"/>
    <cellStyle name="Notas 4 7 9" xfId="35667"/>
    <cellStyle name="Notas 4 7 9 2" xfId="35668"/>
    <cellStyle name="Notas 4 8" xfId="35669"/>
    <cellStyle name="Notas 4 8 10" xfId="35670"/>
    <cellStyle name="Notas 4 8 10 2" xfId="35671"/>
    <cellStyle name="Notas 4 8 11" xfId="35672"/>
    <cellStyle name="Notas 4 8 2" xfId="35673"/>
    <cellStyle name="Notas 4 8 2 2" xfId="35674"/>
    <cellStyle name="Notas 4 8 3" xfId="35675"/>
    <cellStyle name="Notas 4 8 3 2" xfId="35676"/>
    <cellStyle name="Notas 4 8 4" xfId="35677"/>
    <cellStyle name="Notas 4 8 4 2" xfId="35678"/>
    <cellStyle name="Notas 4 8 5" xfId="35679"/>
    <cellStyle name="Notas 4 8 5 2" xfId="35680"/>
    <cellStyle name="Notas 4 8 6" xfId="35681"/>
    <cellStyle name="Notas 4 8 6 2" xfId="35682"/>
    <cellStyle name="Notas 4 8 7" xfId="35683"/>
    <cellStyle name="Notas 4 8 7 2" xfId="35684"/>
    <cellStyle name="Notas 4 8 8" xfId="35685"/>
    <cellStyle name="Notas 4 8 8 2" xfId="35686"/>
    <cellStyle name="Notas 4 8 9" xfId="35687"/>
    <cellStyle name="Notas 4 8 9 2" xfId="35688"/>
    <cellStyle name="Notas 4 9" xfId="35689"/>
    <cellStyle name="Notas 4 9 2" xfId="35690"/>
    <cellStyle name="Notas 5" xfId="35691"/>
    <cellStyle name="Notas 5 10" xfId="35692"/>
    <cellStyle name="Notas 5 10 2" xfId="35693"/>
    <cellStyle name="Notas 5 11" xfId="35694"/>
    <cellStyle name="Notas 5 11 2" xfId="35695"/>
    <cellStyle name="Notas 5 12" xfId="35696"/>
    <cellStyle name="Notas 5 12 2" xfId="35697"/>
    <cellStyle name="Notas 5 13" xfId="35698"/>
    <cellStyle name="Notas 5 2" xfId="35699"/>
    <cellStyle name="Notas 5 2 10" xfId="35700"/>
    <cellStyle name="Notas 5 2 10 2" xfId="35701"/>
    <cellStyle name="Notas 5 2 11" xfId="35702"/>
    <cellStyle name="Notas 5 2 2" xfId="35703"/>
    <cellStyle name="Notas 5 2 2 2" xfId="35704"/>
    <cellStyle name="Notas 5 2 3" xfId="35705"/>
    <cellStyle name="Notas 5 2 3 2" xfId="35706"/>
    <cellStyle name="Notas 5 2 4" xfId="35707"/>
    <cellStyle name="Notas 5 2 4 2" xfId="35708"/>
    <cellStyle name="Notas 5 2 5" xfId="35709"/>
    <cellStyle name="Notas 5 2 5 2" xfId="35710"/>
    <cellStyle name="Notas 5 2 6" xfId="35711"/>
    <cellStyle name="Notas 5 2 6 2" xfId="35712"/>
    <cellStyle name="Notas 5 2 7" xfId="35713"/>
    <cellStyle name="Notas 5 2 7 2" xfId="35714"/>
    <cellStyle name="Notas 5 2 8" xfId="35715"/>
    <cellStyle name="Notas 5 2 8 2" xfId="35716"/>
    <cellStyle name="Notas 5 2 9" xfId="35717"/>
    <cellStyle name="Notas 5 2 9 2" xfId="35718"/>
    <cellStyle name="Notas 5 3" xfId="35719"/>
    <cellStyle name="Notas 5 3 10" xfId="35720"/>
    <cellStyle name="Notas 5 3 10 2" xfId="35721"/>
    <cellStyle name="Notas 5 3 11" xfId="35722"/>
    <cellStyle name="Notas 5 3 2" xfId="35723"/>
    <cellStyle name="Notas 5 3 2 2" xfId="35724"/>
    <cellStyle name="Notas 5 3 3" xfId="35725"/>
    <cellStyle name="Notas 5 3 3 2" xfId="35726"/>
    <cellStyle name="Notas 5 3 4" xfId="35727"/>
    <cellStyle name="Notas 5 3 4 2" xfId="35728"/>
    <cellStyle name="Notas 5 3 5" xfId="35729"/>
    <cellStyle name="Notas 5 3 5 2" xfId="35730"/>
    <cellStyle name="Notas 5 3 6" xfId="35731"/>
    <cellStyle name="Notas 5 3 6 2" xfId="35732"/>
    <cellStyle name="Notas 5 3 7" xfId="35733"/>
    <cellStyle name="Notas 5 3 7 2" xfId="35734"/>
    <cellStyle name="Notas 5 3 8" xfId="35735"/>
    <cellStyle name="Notas 5 3 8 2" xfId="35736"/>
    <cellStyle name="Notas 5 3 9" xfId="35737"/>
    <cellStyle name="Notas 5 3 9 2" xfId="35738"/>
    <cellStyle name="Notas 5 4" xfId="35739"/>
    <cellStyle name="Notas 5 4 2" xfId="35740"/>
    <cellStyle name="Notas 5 5" xfId="35741"/>
    <cellStyle name="Notas 5 5 2" xfId="35742"/>
    <cellStyle name="Notas 5 6" xfId="35743"/>
    <cellStyle name="Notas 5 6 2" xfId="35744"/>
    <cellStyle name="Notas 5 7" xfId="35745"/>
    <cellStyle name="Notas 5 7 2" xfId="35746"/>
    <cellStyle name="Notas 5 8" xfId="35747"/>
    <cellStyle name="Notas 5 8 2" xfId="35748"/>
    <cellStyle name="Notas 5 9" xfId="35749"/>
    <cellStyle name="Notas 5 9 2" xfId="35750"/>
    <cellStyle name="Notas 6" xfId="35751"/>
    <cellStyle name="Notas 6 10" xfId="35752"/>
    <cellStyle name="Notas 6 10 2" xfId="35753"/>
    <cellStyle name="Notas 6 11" xfId="35754"/>
    <cellStyle name="Notas 6 11 2" xfId="35755"/>
    <cellStyle name="Notas 6 12" xfId="35756"/>
    <cellStyle name="Notas 6 12 2" xfId="35757"/>
    <cellStyle name="Notas 6 13" xfId="35758"/>
    <cellStyle name="Notas 6 2" xfId="35759"/>
    <cellStyle name="Notas 6 2 10" xfId="35760"/>
    <cellStyle name="Notas 6 2 10 2" xfId="35761"/>
    <cellStyle name="Notas 6 2 11" xfId="35762"/>
    <cellStyle name="Notas 6 2 2" xfId="35763"/>
    <cellStyle name="Notas 6 2 2 2" xfId="35764"/>
    <cellStyle name="Notas 6 2 3" xfId="35765"/>
    <cellStyle name="Notas 6 2 3 2" xfId="35766"/>
    <cellStyle name="Notas 6 2 4" xfId="35767"/>
    <cellStyle name="Notas 6 2 4 2" xfId="35768"/>
    <cellStyle name="Notas 6 2 5" xfId="35769"/>
    <cellStyle name="Notas 6 2 5 2" xfId="35770"/>
    <cellStyle name="Notas 6 2 6" xfId="35771"/>
    <cellStyle name="Notas 6 2 6 2" xfId="35772"/>
    <cellStyle name="Notas 6 2 7" xfId="35773"/>
    <cellStyle name="Notas 6 2 7 2" xfId="35774"/>
    <cellStyle name="Notas 6 2 8" xfId="35775"/>
    <cellStyle name="Notas 6 2 8 2" xfId="35776"/>
    <cellStyle name="Notas 6 2 9" xfId="35777"/>
    <cellStyle name="Notas 6 2 9 2" xfId="35778"/>
    <cellStyle name="Notas 6 3" xfId="35779"/>
    <cellStyle name="Notas 6 3 10" xfId="35780"/>
    <cellStyle name="Notas 6 3 10 2" xfId="35781"/>
    <cellStyle name="Notas 6 3 11" xfId="35782"/>
    <cellStyle name="Notas 6 3 2" xfId="35783"/>
    <cellStyle name="Notas 6 3 2 2" xfId="35784"/>
    <cellStyle name="Notas 6 3 3" xfId="35785"/>
    <cellStyle name="Notas 6 3 3 2" xfId="35786"/>
    <cellStyle name="Notas 6 3 4" xfId="35787"/>
    <cellStyle name="Notas 6 3 4 2" xfId="35788"/>
    <cellStyle name="Notas 6 3 5" xfId="35789"/>
    <cellStyle name="Notas 6 3 5 2" xfId="35790"/>
    <cellStyle name="Notas 6 3 6" xfId="35791"/>
    <cellStyle name="Notas 6 3 6 2" xfId="35792"/>
    <cellStyle name="Notas 6 3 7" xfId="35793"/>
    <cellStyle name="Notas 6 3 7 2" xfId="35794"/>
    <cellStyle name="Notas 6 3 8" xfId="35795"/>
    <cellStyle name="Notas 6 3 8 2" xfId="35796"/>
    <cellStyle name="Notas 6 3 9" xfId="35797"/>
    <cellStyle name="Notas 6 3 9 2" xfId="35798"/>
    <cellStyle name="Notas 6 4" xfId="35799"/>
    <cellStyle name="Notas 6 4 2" xfId="35800"/>
    <cellStyle name="Notas 6 5" xfId="35801"/>
    <cellStyle name="Notas 6 5 2" xfId="35802"/>
    <cellStyle name="Notas 6 6" xfId="35803"/>
    <cellStyle name="Notas 6 6 2" xfId="35804"/>
    <cellStyle name="Notas 6 7" xfId="35805"/>
    <cellStyle name="Notas 6 7 2" xfId="35806"/>
    <cellStyle name="Notas 6 8" xfId="35807"/>
    <cellStyle name="Notas 6 8 2" xfId="35808"/>
    <cellStyle name="Notas 6 9" xfId="35809"/>
    <cellStyle name="Notas 6 9 2" xfId="35810"/>
    <cellStyle name="Notas 7" xfId="35811"/>
    <cellStyle name="Notas 7 10" xfId="35812"/>
    <cellStyle name="Notas 7 10 2" xfId="35813"/>
    <cellStyle name="Notas 7 11" xfId="35814"/>
    <cellStyle name="Notas 7 11 2" xfId="35815"/>
    <cellStyle name="Notas 7 12" xfId="35816"/>
    <cellStyle name="Notas 7 12 2" xfId="35817"/>
    <cellStyle name="Notas 7 13" xfId="35818"/>
    <cellStyle name="Notas 7 2" xfId="35819"/>
    <cellStyle name="Notas 7 2 10" xfId="35820"/>
    <cellStyle name="Notas 7 2 10 2" xfId="35821"/>
    <cellStyle name="Notas 7 2 11" xfId="35822"/>
    <cellStyle name="Notas 7 2 2" xfId="35823"/>
    <cellStyle name="Notas 7 2 2 2" xfId="35824"/>
    <cellStyle name="Notas 7 2 3" xfId="35825"/>
    <cellStyle name="Notas 7 2 3 2" xfId="35826"/>
    <cellStyle name="Notas 7 2 4" xfId="35827"/>
    <cellStyle name="Notas 7 2 4 2" xfId="35828"/>
    <cellStyle name="Notas 7 2 5" xfId="35829"/>
    <cellStyle name="Notas 7 2 5 2" xfId="35830"/>
    <cellStyle name="Notas 7 2 6" xfId="35831"/>
    <cellStyle name="Notas 7 2 6 2" xfId="35832"/>
    <cellStyle name="Notas 7 2 7" xfId="35833"/>
    <cellStyle name="Notas 7 2 7 2" xfId="35834"/>
    <cellStyle name="Notas 7 2 8" xfId="35835"/>
    <cellStyle name="Notas 7 2 8 2" xfId="35836"/>
    <cellStyle name="Notas 7 2 9" xfId="35837"/>
    <cellStyle name="Notas 7 2 9 2" xfId="35838"/>
    <cellStyle name="Notas 7 3" xfId="35839"/>
    <cellStyle name="Notas 7 3 10" xfId="35840"/>
    <cellStyle name="Notas 7 3 10 2" xfId="35841"/>
    <cellStyle name="Notas 7 3 11" xfId="35842"/>
    <cellStyle name="Notas 7 3 2" xfId="35843"/>
    <cellStyle name="Notas 7 3 2 2" xfId="35844"/>
    <cellStyle name="Notas 7 3 3" xfId="35845"/>
    <cellStyle name="Notas 7 3 3 2" xfId="35846"/>
    <cellStyle name="Notas 7 3 4" xfId="35847"/>
    <cellStyle name="Notas 7 3 4 2" xfId="35848"/>
    <cellStyle name="Notas 7 3 5" xfId="35849"/>
    <cellStyle name="Notas 7 3 5 2" xfId="35850"/>
    <cellStyle name="Notas 7 3 6" xfId="35851"/>
    <cellStyle name="Notas 7 3 6 2" xfId="35852"/>
    <cellStyle name="Notas 7 3 7" xfId="35853"/>
    <cellStyle name="Notas 7 3 7 2" xfId="35854"/>
    <cellStyle name="Notas 7 3 8" xfId="35855"/>
    <cellStyle name="Notas 7 3 8 2" xfId="35856"/>
    <cellStyle name="Notas 7 3 9" xfId="35857"/>
    <cellStyle name="Notas 7 3 9 2" xfId="35858"/>
    <cellStyle name="Notas 7 4" xfId="35859"/>
    <cellStyle name="Notas 7 4 2" xfId="35860"/>
    <cellStyle name="Notas 7 5" xfId="35861"/>
    <cellStyle name="Notas 7 5 2" xfId="35862"/>
    <cellStyle name="Notas 7 6" xfId="35863"/>
    <cellStyle name="Notas 7 6 2" xfId="35864"/>
    <cellStyle name="Notas 7 7" xfId="35865"/>
    <cellStyle name="Notas 7 7 2" xfId="35866"/>
    <cellStyle name="Notas 7 8" xfId="35867"/>
    <cellStyle name="Notas 7 8 2" xfId="35868"/>
    <cellStyle name="Notas 7 9" xfId="35869"/>
    <cellStyle name="Notas 7 9 2" xfId="35870"/>
    <cellStyle name="Notas 8" xfId="35871"/>
    <cellStyle name="Porcentual" xfId="203" builtinId="5"/>
    <cellStyle name="Porcentual 10" xfId="35872"/>
    <cellStyle name="Porcentual 10 10" xfId="35873"/>
    <cellStyle name="Porcentual 10 11" xfId="35874"/>
    <cellStyle name="Porcentual 10 12" xfId="35875"/>
    <cellStyle name="Porcentual 10 2" xfId="35876"/>
    <cellStyle name="Porcentual 10 3" xfId="35877"/>
    <cellStyle name="Porcentual 10 4" xfId="35878"/>
    <cellStyle name="Porcentual 10 5" xfId="35879"/>
    <cellStyle name="Porcentual 10 6" xfId="35880"/>
    <cellStyle name="Porcentual 10 7" xfId="35881"/>
    <cellStyle name="Porcentual 10 8" xfId="35882"/>
    <cellStyle name="Porcentual 10 9" xfId="35883"/>
    <cellStyle name="Porcentual 11" xfId="35884"/>
    <cellStyle name="Porcentual 11 10" xfId="35885"/>
    <cellStyle name="Porcentual 11 11" xfId="35886"/>
    <cellStyle name="Porcentual 11 12" xfId="35887"/>
    <cellStyle name="Porcentual 11 2" xfId="35888"/>
    <cellStyle name="Porcentual 11 3" xfId="35889"/>
    <cellStyle name="Porcentual 11 4" xfId="35890"/>
    <cellStyle name="Porcentual 11 5" xfId="35891"/>
    <cellStyle name="Porcentual 11 6" xfId="35892"/>
    <cellStyle name="Porcentual 11 7" xfId="35893"/>
    <cellStyle name="Porcentual 11 8" xfId="35894"/>
    <cellStyle name="Porcentual 11 9" xfId="35895"/>
    <cellStyle name="Porcentual 12" xfId="35896"/>
    <cellStyle name="Porcentual 13" xfId="35897"/>
    <cellStyle name="Porcentual 2" xfId="204"/>
    <cellStyle name="Porcentual 2 2" xfId="205"/>
    <cellStyle name="Porcentual 2 2 10" xfId="35898"/>
    <cellStyle name="Porcentual 2 2 11" xfId="35899"/>
    <cellStyle name="Porcentual 2 2 12" xfId="35900"/>
    <cellStyle name="Porcentual 2 2 13" xfId="35901"/>
    <cellStyle name="Porcentual 2 2 14" xfId="35902"/>
    <cellStyle name="Porcentual 2 2 15" xfId="35903"/>
    <cellStyle name="Porcentual 2 2 16" xfId="35904"/>
    <cellStyle name="Porcentual 2 2 2" xfId="35905"/>
    <cellStyle name="Porcentual 2 2 3" xfId="35906"/>
    <cellStyle name="Porcentual 2 2 4" xfId="35907"/>
    <cellStyle name="Porcentual 2 2 5" xfId="35908"/>
    <cellStyle name="Porcentual 2 2 6" xfId="35909"/>
    <cellStyle name="Porcentual 2 2 7" xfId="35910"/>
    <cellStyle name="Porcentual 2 2 8" xfId="35911"/>
    <cellStyle name="Porcentual 2 2 9" xfId="35912"/>
    <cellStyle name="Porcentual 2 3" xfId="206"/>
    <cellStyle name="Porcentual 2 3 10" xfId="35913"/>
    <cellStyle name="Porcentual 2 3 11" xfId="35914"/>
    <cellStyle name="Porcentual 2 3 12" xfId="35915"/>
    <cellStyle name="Porcentual 2 3 13" xfId="35916"/>
    <cellStyle name="Porcentual 2 3 14" xfId="35917"/>
    <cellStyle name="Porcentual 2 3 2" xfId="35918"/>
    <cellStyle name="Porcentual 2 3 3" xfId="35919"/>
    <cellStyle name="Porcentual 2 3 4" xfId="35920"/>
    <cellStyle name="Porcentual 2 3 5" xfId="35921"/>
    <cellStyle name="Porcentual 2 3 6" xfId="35922"/>
    <cellStyle name="Porcentual 2 3 7" xfId="35923"/>
    <cellStyle name="Porcentual 2 3 8" xfId="35924"/>
    <cellStyle name="Porcentual 2 3 9" xfId="35925"/>
    <cellStyle name="Porcentual 2 4" xfId="35926"/>
    <cellStyle name="Porcentual 2 5" xfId="35927"/>
    <cellStyle name="Porcentual 2 6" xfId="35928"/>
    <cellStyle name="Porcentual 2 7" xfId="35929"/>
    <cellStyle name="Porcentual 3" xfId="207"/>
    <cellStyle name="Porcentual 3 10" xfId="35930"/>
    <cellStyle name="Porcentual 3 11" xfId="35931"/>
    <cellStyle name="Porcentual 3 12" xfId="35932"/>
    <cellStyle name="Porcentual 3 13" xfId="35933"/>
    <cellStyle name="Porcentual 3 14" xfId="35934"/>
    <cellStyle name="Porcentual 3 15" xfId="35935"/>
    <cellStyle name="Porcentual 3 16" xfId="35936"/>
    <cellStyle name="Porcentual 3 2" xfId="35937"/>
    <cellStyle name="Porcentual 3 3" xfId="35938"/>
    <cellStyle name="Porcentual 3 4" xfId="35939"/>
    <cellStyle name="Porcentual 3 5" xfId="35940"/>
    <cellStyle name="Porcentual 3 6" xfId="35941"/>
    <cellStyle name="Porcentual 3 7" xfId="35942"/>
    <cellStyle name="Porcentual 3 8" xfId="35943"/>
    <cellStyle name="Porcentual 3 9" xfId="35944"/>
    <cellStyle name="Porcentual 4" xfId="208"/>
    <cellStyle name="Porcentual 4 10" xfId="35945"/>
    <cellStyle name="Porcentual 4 11" xfId="35946"/>
    <cellStyle name="Porcentual 4 12" xfId="35947"/>
    <cellStyle name="Porcentual 4 13" xfId="35948"/>
    <cellStyle name="Porcentual 4 14" xfId="35949"/>
    <cellStyle name="Porcentual 4 15" xfId="35950"/>
    <cellStyle name="Porcentual 4 16" xfId="35951"/>
    <cellStyle name="Porcentual 4 2" xfId="35952"/>
    <cellStyle name="Porcentual 4 3" xfId="35953"/>
    <cellStyle name="Porcentual 4 4" xfId="35954"/>
    <cellStyle name="Porcentual 4 5" xfId="35955"/>
    <cellStyle name="Porcentual 4 6" xfId="35956"/>
    <cellStyle name="Porcentual 4 7" xfId="35957"/>
    <cellStyle name="Porcentual 4 8" xfId="35958"/>
    <cellStyle name="Porcentual 4 9" xfId="35959"/>
    <cellStyle name="Porcentual 5" xfId="209"/>
    <cellStyle name="Porcentual 5 10" xfId="35960"/>
    <cellStyle name="Porcentual 5 11" xfId="35961"/>
    <cellStyle name="Porcentual 5 12" xfId="35962"/>
    <cellStyle name="Porcentual 5 13" xfId="35963"/>
    <cellStyle name="Porcentual 5 14" xfId="35964"/>
    <cellStyle name="Porcentual 5 15" xfId="35965"/>
    <cellStyle name="Porcentual 5 16" xfId="35966"/>
    <cellStyle name="Porcentual 5 2" xfId="35967"/>
    <cellStyle name="Porcentual 5 3" xfId="35968"/>
    <cellStyle name="Porcentual 5 4" xfId="35969"/>
    <cellStyle name="Porcentual 5 5" xfId="35970"/>
    <cellStyle name="Porcentual 5 6" xfId="35971"/>
    <cellStyle name="Porcentual 5 7" xfId="35972"/>
    <cellStyle name="Porcentual 5 8" xfId="35973"/>
    <cellStyle name="Porcentual 5 9" xfId="35974"/>
    <cellStyle name="Porcentual 6" xfId="210"/>
    <cellStyle name="Porcentual 6 10" xfId="35975"/>
    <cellStyle name="Porcentual 6 11" xfId="35976"/>
    <cellStyle name="Porcentual 6 12" xfId="35977"/>
    <cellStyle name="Porcentual 6 13" xfId="35978"/>
    <cellStyle name="Porcentual 6 14" xfId="35979"/>
    <cellStyle name="Porcentual 6 15" xfId="35980"/>
    <cellStyle name="Porcentual 6 16" xfId="35981"/>
    <cellStyle name="Porcentual 6 2" xfId="35982"/>
    <cellStyle name="Porcentual 6 3" xfId="35983"/>
    <cellStyle name="Porcentual 6 4" xfId="35984"/>
    <cellStyle name="Porcentual 6 5" xfId="35985"/>
    <cellStyle name="Porcentual 6 6" xfId="35986"/>
    <cellStyle name="Porcentual 6 7" xfId="35987"/>
    <cellStyle name="Porcentual 6 8" xfId="35988"/>
    <cellStyle name="Porcentual 6 9" xfId="35989"/>
    <cellStyle name="Porcentual 7" xfId="211"/>
    <cellStyle name="Porcentual 7 2" xfId="212"/>
    <cellStyle name="Porcentual 7 2 10" xfId="35990"/>
    <cellStyle name="Porcentual 7 2 11" xfId="35991"/>
    <cellStyle name="Porcentual 7 2 12" xfId="35992"/>
    <cellStyle name="Porcentual 7 2 13" xfId="35993"/>
    <cellStyle name="Porcentual 7 2 14" xfId="35994"/>
    <cellStyle name="Porcentual 7 2 15" xfId="35995"/>
    <cellStyle name="Porcentual 7 2 2" xfId="35996"/>
    <cellStyle name="Porcentual 7 2 3" xfId="35997"/>
    <cellStyle name="Porcentual 7 2 4" xfId="35998"/>
    <cellStyle name="Porcentual 7 2 5" xfId="35999"/>
    <cellStyle name="Porcentual 7 2 6" xfId="36000"/>
    <cellStyle name="Porcentual 7 2 7" xfId="36001"/>
    <cellStyle name="Porcentual 7 2 8" xfId="36002"/>
    <cellStyle name="Porcentual 7 2 9" xfId="36003"/>
    <cellStyle name="Porcentual 7 3" xfId="213"/>
    <cellStyle name="Porcentual 7 3 10" xfId="36004"/>
    <cellStyle name="Porcentual 7 3 11" xfId="36005"/>
    <cellStyle name="Porcentual 7 3 12" xfId="36006"/>
    <cellStyle name="Porcentual 7 3 13" xfId="36007"/>
    <cellStyle name="Porcentual 7 3 14" xfId="36008"/>
    <cellStyle name="Porcentual 7 3 2" xfId="36009"/>
    <cellStyle name="Porcentual 7 3 3" xfId="36010"/>
    <cellStyle name="Porcentual 7 3 4" xfId="36011"/>
    <cellStyle name="Porcentual 7 3 5" xfId="36012"/>
    <cellStyle name="Porcentual 7 3 6" xfId="36013"/>
    <cellStyle name="Porcentual 7 3 7" xfId="36014"/>
    <cellStyle name="Porcentual 7 3 8" xfId="36015"/>
    <cellStyle name="Porcentual 7 3 9" xfId="36016"/>
    <cellStyle name="Porcentual 8" xfId="36017"/>
    <cellStyle name="Porcentual 9" xfId="36018"/>
    <cellStyle name="Porcentual 9 10" xfId="36019"/>
    <cellStyle name="Porcentual 9 10 2" xfId="36020"/>
    <cellStyle name="Porcentual 9 11" xfId="36021"/>
    <cellStyle name="Porcentual 9 11 2" xfId="36022"/>
    <cellStyle name="Porcentual 9 12" xfId="36023"/>
    <cellStyle name="Porcentual 9 12 2" xfId="36024"/>
    <cellStyle name="Porcentual 9 13" xfId="36025"/>
    <cellStyle name="Porcentual 9 2" xfId="36026"/>
    <cellStyle name="Porcentual 9 2 10" xfId="36027"/>
    <cellStyle name="Porcentual 9 2 10 2" xfId="36028"/>
    <cellStyle name="Porcentual 9 2 11" xfId="36029"/>
    <cellStyle name="Porcentual 9 2 11 2" xfId="36030"/>
    <cellStyle name="Porcentual 9 2 12" xfId="36031"/>
    <cellStyle name="Porcentual 9 2 2" xfId="36032"/>
    <cellStyle name="Porcentual 9 2 2 10" xfId="36033"/>
    <cellStyle name="Porcentual 9 2 2 10 2" xfId="36034"/>
    <cellStyle name="Porcentual 9 2 2 11" xfId="36035"/>
    <cellStyle name="Porcentual 9 2 2 2" xfId="36036"/>
    <cellStyle name="Porcentual 9 2 2 2 2" xfId="36037"/>
    <cellStyle name="Porcentual 9 2 2 3" xfId="36038"/>
    <cellStyle name="Porcentual 9 2 2 3 2" xfId="36039"/>
    <cellStyle name="Porcentual 9 2 2 4" xfId="36040"/>
    <cellStyle name="Porcentual 9 2 2 4 2" xfId="36041"/>
    <cellStyle name="Porcentual 9 2 2 5" xfId="36042"/>
    <cellStyle name="Porcentual 9 2 2 5 2" xfId="36043"/>
    <cellStyle name="Porcentual 9 2 2 6" xfId="36044"/>
    <cellStyle name="Porcentual 9 2 2 6 2" xfId="36045"/>
    <cellStyle name="Porcentual 9 2 2 7" xfId="36046"/>
    <cellStyle name="Porcentual 9 2 2 7 2" xfId="36047"/>
    <cellStyle name="Porcentual 9 2 2 8" xfId="36048"/>
    <cellStyle name="Porcentual 9 2 2 8 2" xfId="36049"/>
    <cellStyle name="Porcentual 9 2 2 9" xfId="36050"/>
    <cellStyle name="Porcentual 9 2 2 9 2" xfId="36051"/>
    <cellStyle name="Porcentual 9 2 3" xfId="36052"/>
    <cellStyle name="Porcentual 9 2 3 2" xfId="36053"/>
    <cellStyle name="Porcentual 9 2 4" xfId="36054"/>
    <cellStyle name="Porcentual 9 2 4 2" xfId="36055"/>
    <cellStyle name="Porcentual 9 2 5" xfId="36056"/>
    <cellStyle name="Porcentual 9 2 5 2" xfId="36057"/>
    <cellStyle name="Porcentual 9 2 6" xfId="36058"/>
    <cellStyle name="Porcentual 9 2 6 2" xfId="36059"/>
    <cellStyle name="Porcentual 9 2 7" xfId="36060"/>
    <cellStyle name="Porcentual 9 2 7 2" xfId="36061"/>
    <cellStyle name="Porcentual 9 2 8" xfId="36062"/>
    <cellStyle name="Porcentual 9 2 8 2" xfId="36063"/>
    <cellStyle name="Porcentual 9 2 9" xfId="36064"/>
    <cellStyle name="Porcentual 9 2 9 2" xfId="36065"/>
    <cellStyle name="Porcentual 9 3" xfId="36066"/>
    <cellStyle name="Porcentual 9 3 10" xfId="36067"/>
    <cellStyle name="Porcentual 9 3 10 2" xfId="36068"/>
    <cellStyle name="Porcentual 9 3 11" xfId="36069"/>
    <cellStyle name="Porcentual 9 3 2" xfId="36070"/>
    <cellStyle name="Porcentual 9 3 2 2" xfId="36071"/>
    <cellStyle name="Porcentual 9 3 3" xfId="36072"/>
    <cellStyle name="Porcentual 9 3 3 2" xfId="36073"/>
    <cellStyle name="Porcentual 9 3 4" xfId="36074"/>
    <cellStyle name="Porcentual 9 3 4 2" xfId="36075"/>
    <cellStyle name="Porcentual 9 3 5" xfId="36076"/>
    <cellStyle name="Porcentual 9 3 5 2" xfId="36077"/>
    <cellStyle name="Porcentual 9 3 6" xfId="36078"/>
    <cellStyle name="Porcentual 9 3 6 2" xfId="36079"/>
    <cellStyle name="Porcentual 9 3 7" xfId="36080"/>
    <cellStyle name="Porcentual 9 3 7 2" xfId="36081"/>
    <cellStyle name="Porcentual 9 3 8" xfId="36082"/>
    <cellStyle name="Porcentual 9 3 8 2" xfId="36083"/>
    <cellStyle name="Porcentual 9 3 9" xfId="36084"/>
    <cellStyle name="Porcentual 9 3 9 2" xfId="36085"/>
    <cellStyle name="Porcentual 9 4" xfId="36086"/>
    <cellStyle name="Porcentual 9 4 2" xfId="36087"/>
    <cellStyle name="Porcentual 9 5" xfId="36088"/>
    <cellStyle name="Porcentual 9 5 2" xfId="36089"/>
    <cellStyle name="Porcentual 9 6" xfId="36090"/>
    <cellStyle name="Porcentual 9 6 2" xfId="36091"/>
    <cellStyle name="Porcentual 9 7" xfId="36092"/>
    <cellStyle name="Porcentual 9 7 2" xfId="36093"/>
    <cellStyle name="Porcentual 9 8" xfId="36094"/>
    <cellStyle name="Porcentual 9 8 2" xfId="36095"/>
    <cellStyle name="Porcentual 9 9" xfId="36096"/>
    <cellStyle name="Porcentual 9 9 2" xfId="36097"/>
    <cellStyle name="Salida" xfId="214" builtinId="21" customBuiltin="1"/>
    <cellStyle name="Salida 2" xfId="215"/>
    <cellStyle name="Salida 2 10" xfId="36098"/>
    <cellStyle name="Salida 2 10 2" xfId="36099"/>
    <cellStyle name="Salida 2 11" xfId="36100"/>
    <cellStyle name="Salida 2 11 2" xfId="36101"/>
    <cellStyle name="Salida 2 12" xfId="36102"/>
    <cellStyle name="Salida 2 12 2" xfId="36103"/>
    <cellStyle name="Salida 2 13" xfId="36104"/>
    <cellStyle name="Salida 2 13 2" xfId="36105"/>
    <cellStyle name="Salida 2 14" xfId="36106"/>
    <cellStyle name="Salida 2 14 2" xfId="36107"/>
    <cellStyle name="Salida 2 15" xfId="36108"/>
    <cellStyle name="Salida 2 15 2" xfId="36109"/>
    <cellStyle name="Salida 2 16" xfId="36110"/>
    <cellStyle name="Salida 2 16 2" xfId="36111"/>
    <cellStyle name="Salida 2 17" xfId="36112"/>
    <cellStyle name="Salida 2 17 2" xfId="36113"/>
    <cellStyle name="Salida 2 18" xfId="36114"/>
    <cellStyle name="Salida 2 18 2" xfId="36115"/>
    <cellStyle name="Salida 2 19" xfId="36116"/>
    <cellStyle name="Salida 2 2" xfId="216"/>
    <cellStyle name="Salida 2 2 10" xfId="36117"/>
    <cellStyle name="Salida 2 2 10 2" xfId="36118"/>
    <cellStyle name="Salida 2 2 11" xfId="36119"/>
    <cellStyle name="Salida 2 2 11 2" xfId="36120"/>
    <cellStyle name="Salida 2 2 12" xfId="36121"/>
    <cellStyle name="Salida 2 2 12 2" xfId="36122"/>
    <cellStyle name="Salida 2 2 13" xfId="36123"/>
    <cellStyle name="Salida 2 2 13 2" xfId="36124"/>
    <cellStyle name="Salida 2 2 14" xfId="36125"/>
    <cellStyle name="Salida 2 2 14 2" xfId="36126"/>
    <cellStyle name="Salida 2 2 15" xfId="36127"/>
    <cellStyle name="Salida 2 2 15 2" xfId="36128"/>
    <cellStyle name="Salida 2 2 16" xfId="36129"/>
    <cellStyle name="Salida 2 2 17" xfId="36130"/>
    <cellStyle name="Salida 2 2 18" xfId="36131"/>
    <cellStyle name="Salida 2 2 2" xfId="36132"/>
    <cellStyle name="Salida 2 2 2 10" xfId="36133"/>
    <cellStyle name="Salida 2 2 2 10 2" xfId="36134"/>
    <cellStyle name="Salida 2 2 2 11" xfId="36135"/>
    <cellStyle name="Salida 2 2 2 11 2" xfId="36136"/>
    <cellStyle name="Salida 2 2 2 12" xfId="36137"/>
    <cellStyle name="Salida 2 2 2 12 2" xfId="36138"/>
    <cellStyle name="Salida 2 2 2 13" xfId="36139"/>
    <cellStyle name="Salida 2 2 2 13 2" xfId="36140"/>
    <cellStyle name="Salida 2 2 2 14" xfId="36141"/>
    <cellStyle name="Salida 2 2 2 14 2" xfId="36142"/>
    <cellStyle name="Salida 2 2 2 15" xfId="36143"/>
    <cellStyle name="Salida 2 2 2 2" xfId="36144"/>
    <cellStyle name="Salida 2 2 2 2 10" xfId="36145"/>
    <cellStyle name="Salida 2 2 2 2 10 2" xfId="36146"/>
    <cellStyle name="Salida 2 2 2 2 11" xfId="36147"/>
    <cellStyle name="Salida 2 2 2 2 11 2" xfId="36148"/>
    <cellStyle name="Salida 2 2 2 2 12" xfId="36149"/>
    <cellStyle name="Salida 2 2 2 2 12 2" xfId="36150"/>
    <cellStyle name="Salida 2 2 2 2 13" xfId="36151"/>
    <cellStyle name="Salida 2 2 2 2 2" xfId="36152"/>
    <cellStyle name="Salida 2 2 2 2 2 10" xfId="36153"/>
    <cellStyle name="Salida 2 2 2 2 2 10 2" xfId="36154"/>
    <cellStyle name="Salida 2 2 2 2 2 11" xfId="36155"/>
    <cellStyle name="Salida 2 2 2 2 2 2" xfId="36156"/>
    <cellStyle name="Salida 2 2 2 2 2 2 2" xfId="36157"/>
    <cellStyle name="Salida 2 2 2 2 2 3" xfId="36158"/>
    <cellStyle name="Salida 2 2 2 2 2 3 2" xfId="36159"/>
    <cellStyle name="Salida 2 2 2 2 2 4" xfId="36160"/>
    <cellStyle name="Salida 2 2 2 2 2 4 2" xfId="36161"/>
    <cellStyle name="Salida 2 2 2 2 2 5" xfId="36162"/>
    <cellStyle name="Salida 2 2 2 2 2 5 2" xfId="36163"/>
    <cellStyle name="Salida 2 2 2 2 2 6" xfId="36164"/>
    <cellStyle name="Salida 2 2 2 2 2 6 2" xfId="36165"/>
    <cellStyle name="Salida 2 2 2 2 2 7" xfId="36166"/>
    <cellStyle name="Salida 2 2 2 2 2 7 2" xfId="36167"/>
    <cellStyle name="Salida 2 2 2 2 2 8" xfId="36168"/>
    <cellStyle name="Salida 2 2 2 2 2 8 2" xfId="36169"/>
    <cellStyle name="Salida 2 2 2 2 2 9" xfId="36170"/>
    <cellStyle name="Salida 2 2 2 2 2 9 2" xfId="36171"/>
    <cellStyle name="Salida 2 2 2 2 3" xfId="36172"/>
    <cellStyle name="Salida 2 2 2 2 3 10" xfId="36173"/>
    <cellStyle name="Salida 2 2 2 2 3 10 2" xfId="36174"/>
    <cellStyle name="Salida 2 2 2 2 3 11" xfId="36175"/>
    <cellStyle name="Salida 2 2 2 2 3 2" xfId="36176"/>
    <cellStyle name="Salida 2 2 2 2 3 2 2" xfId="36177"/>
    <cellStyle name="Salida 2 2 2 2 3 3" xfId="36178"/>
    <cellStyle name="Salida 2 2 2 2 3 3 2" xfId="36179"/>
    <cellStyle name="Salida 2 2 2 2 3 4" xfId="36180"/>
    <cellStyle name="Salida 2 2 2 2 3 4 2" xfId="36181"/>
    <cellStyle name="Salida 2 2 2 2 3 5" xfId="36182"/>
    <cellStyle name="Salida 2 2 2 2 3 5 2" xfId="36183"/>
    <cellStyle name="Salida 2 2 2 2 3 6" xfId="36184"/>
    <cellStyle name="Salida 2 2 2 2 3 6 2" xfId="36185"/>
    <cellStyle name="Salida 2 2 2 2 3 7" xfId="36186"/>
    <cellStyle name="Salida 2 2 2 2 3 7 2" xfId="36187"/>
    <cellStyle name="Salida 2 2 2 2 3 8" xfId="36188"/>
    <cellStyle name="Salida 2 2 2 2 3 8 2" xfId="36189"/>
    <cellStyle name="Salida 2 2 2 2 3 9" xfId="36190"/>
    <cellStyle name="Salida 2 2 2 2 3 9 2" xfId="36191"/>
    <cellStyle name="Salida 2 2 2 2 4" xfId="36192"/>
    <cellStyle name="Salida 2 2 2 2 4 2" xfId="36193"/>
    <cellStyle name="Salida 2 2 2 2 5" xfId="36194"/>
    <cellStyle name="Salida 2 2 2 2 5 2" xfId="36195"/>
    <cellStyle name="Salida 2 2 2 2 6" xfId="36196"/>
    <cellStyle name="Salida 2 2 2 2 6 2" xfId="36197"/>
    <cellStyle name="Salida 2 2 2 2 7" xfId="36198"/>
    <cellStyle name="Salida 2 2 2 2 7 2" xfId="36199"/>
    <cellStyle name="Salida 2 2 2 2 8" xfId="36200"/>
    <cellStyle name="Salida 2 2 2 2 8 2" xfId="36201"/>
    <cellStyle name="Salida 2 2 2 2 9" xfId="36202"/>
    <cellStyle name="Salida 2 2 2 2 9 2" xfId="36203"/>
    <cellStyle name="Salida 2 2 2 3" xfId="36204"/>
    <cellStyle name="Salida 2 2 2 3 10" xfId="36205"/>
    <cellStyle name="Salida 2 2 2 3 10 2" xfId="36206"/>
    <cellStyle name="Salida 2 2 2 3 11" xfId="36207"/>
    <cellStyle name="Salida 2 2 2 3 11 2" xfId="36208"/>
    <cellStyle name="Salida 2 2 2 3 12" xfId="36209"/>
    <cellStyle name="Salida 2 2 2 3 12 2" xfId="36210"/>
    <cellStyle name="Salida 2 2 2 3 13" xfId="36211"/>
    <cellStyle name="Salida 2 2 2 3 2" xfId="36212"/>
    <cellStyle name="Salida 2 2 2 3 2 10" xfId="36213"/>
    <cellStyle name="Salida 2 2 2 3 2 10 2" xfId="36214"/>
    <cellStyle name="Salida 2 2 2 3 2 11" xfId="36215"/>
    <cellStyle name="Salida 2 2 2 3 2 2" xfId="36216"/>
    <cellStyle name="Salida 2 2 2 3 2 2 2" xfId="36217"/>
    <cellStyle name="Salida 2 2 2 3 2 3" xfId="36218"/>
    <cellStyle name="Salida 2 2 2 3 2 3 2" xfId="36219"/>
    <cellStyle name="Salida 2 2 2 3 2 4" xfId="36220"/>
    <cellStyle name="Salida 2 2 2 3 2 4 2" xfId="36221"/>
    <cellStyle name="Salida 2 2 2 3 2 5" xfId="36222"/>
    <cellStyle name="Salida 2 2 2 3 2 5 2" xfId="36223"/>
    <cellStyle name="Salida 2 2 2 3 2 6" xfId="36224"/>
    <cellStyle name="Salida 2 2 2 3 2 6 2" xfId="36225"/>
    <cellStyle name="Salida 2 2 2 3 2 7" xfId="36226"/>
    <cellStyle name="Salida 2 2 2 3 2 7 2" xfId="36227"/>
    <cellStyle name="Salida 2 2 2 3 2 8" xfId="36228"/>
    <cellStyle name="Salida 2 2 2 3 2 8 2" xfId="36229"/>
    <cellStyle name="Salida 2 2 2 3 2 9" xfId="36230"/>
    <cellStyle name="Salida 2 2 2 3 2 9 2" xfId="36231"/>
    <cellStyle name="Salida 2 2 2 3 3" xfId="36232"/>
    <cellStyle name="Salida 2 2 2 3 3 10" xfId="36233"/>
    <cellStyle name="Salida 2 2 2 3 3 10 2" xfId="36234"/>
    <cellStyle name="Salida 2 2 2 3 3 11" xfId="36235"/>
    <cellStyle name="Salida 2 2 2 3 3 2" xfId="36236"/>
    <cellStyle name="Salida 2 2 2 3 3 2 2" xfId="36237"/>
    <cellStyle name="Salida 2 2 2 3 3 3" xfId="36238"/>
    <cellStyle name="Salida 2 2 2 3 3 3 2" xfId="36239"/>
    <cellStyle name="Salida 2 2 2 3 3 4" xfId="36240"/>
    <cellStyle name="Salida 2 2 2 3 3 4 2" xfId="36241"/>
    <cellStyle name="Salida 2 2 2 3 3 5" xfId="36242"/>
    <cellStyle name="Salida 2 2 2 3 3 5 2" xfId="36243"/>
    <cellStyle name="Salida 2 2 2 3 3 6" xfId="36244"/>
    <cellStyle name="Salida 2 2 2 3 3 6 2" xfId="36245"/>
    <cellStyle name="Salida 2 2 2 3 3 7" xfId="36246"/>
    <cellStyle name="Salida 2 2 2 3 3 7 2" xfId="36247"/>
    <cellStyle name="Salida 2 2 2 3 3 8" xfId="36248"/>
    <cellStyle name="Salida 2 2 2 3 3 8 2" xfId="36249"/>
    <cellStyle name="Salida 2 2 2 3 3 9" xfId="36250"/>
    <cellStyle name="Salida 2 2 2 3 3 9 2" xfId="36251"/>
    <cellStyle name="Salida 2 2 2 3 4" xfId="36252"/>
    <cellStyle name="Salida 2 2 2 3 4 2" xfId="36253"/>
    <cellStyle name="Salida 2 2 2 3 5" xfId="36254"/>
    <cellStyle name="Salida 2 2 2 3 5 2" xfId="36255"/>
    <cellStyle name="Salida 2 2 2 3 6" xfId="36256"/>
    <cellStyle name="Salida 2 2 2 3 6 2" xfId="36257"/>
    <cellStyle name="Salida 2 2 2 3 7" xfId="36258"/>
    <cellStyle name="Salida 2 2 2 3 7 2" xfId="36259"/>
    <cellStyle name="Salida 2 2 2 3 8" xfId="36260"/>
    <cellStyle name="Salida 2 2 2 3 8 2" xfId="36261"/>
    <cellStyle name="Salida 2 2 2 3 9" xfId="36262"/>
    <cellStyle name="Salida 2 2 2 3 9 2" xfId="36263"/>
    <cellStyle name="Salida 2 2 2 4" xfId="36264"/>
    <cellStyle name="Salida 2 2 2 4 10" xfId="36265"/>
    <cellStyle name="Salida 2 2 2 4 10 2" xfId="36266"/>
    <cellStyle name="Salida 2 2 2 4 11" xfId="36267"/>
    <cellStyle name="Salida 2 2 2 4 2" xfId="36268"/>
    <cellStyle name="Salida 2 2 2 4 2 2" xfId="36269"/>
    <cellStyle name="Salida 2 2 2 4 3" xfId="36270"/>
    <cellStyle name="Salida 2 2 2 4 3 2" xfId="36271"/>
    <cellStyle name="Salida 2 2 2 4 4" xfId="36272"/>
    <cellStyle name="Salida 2 2 2 4 4 2" xfId="36273"/>
    <cellStyle name="Salida 2 2 2 4 5" xfId="36274"/>
    <cellStyle name="Salida 2 2 2 4 5 2" xfId="36275"/>
    <cellStyle name="Salida 2 2 2 4 6" xfId="36276"/>
    <cellStyle name="Salida 2 2 2 4 6 2" xfId="36277"/>
    <cellStyle name="Salida 2 2 2 4 7" xfId="36278"/>
    <cellStyle name="Salida 2 2 2 4 7 2" xfId="36279"/>
    <cellStyle name="Salida 2 2 2 4 8" xfId="36280"/>
    <cellStyle name="Salida 2 2 2 4 8 2" xfId="36281"/>
    <cellStyle name="Salida 2 2 2 4 9" xfId="36282"/>
    <cellStyle name="Salida 2 2 2 4 9 2" xfId="36283"/>
    <cellStyle name="Salida 2 2 2 5" xfId="36284"/>
    <cellStyle name="Salida 2 2 2 5 10" xfId="36285"/>
    <cellStyle name="Salida 2 2 2 5 10 2" xfId="36286"/>
    <cellStyle name="Salida 2 2 2 5 11" xfId="36287"/>
    <cellStyle name="Salida 2 2 2 5 2" xfId="36288"/>
    <cellStyle name="Salida 2 2 2 5 2 2" xfId="36289"/>
    <cellStyle name="Salida 2 2 2 5 3" xfId="36290"/>
    <cellStyle name="Salida 2 2 2 5 3 2" xfId="36291"/>
    <cellStyle name="Salida 2 2 2 5 4" xfId="36292"/>
    <cellStyle name="Salida 2 2 2 5 4 2" xfId="36293"/>
    <cellStyle name="Salida 2 2 2 5 5" xfId="36294"/>
    <cellStyle name="Salida 2 2 2 5 5 2" xfId="36295"/>
    <cellStyle name="Salida 2 2 2 5 6" xfId="36296"/>
    <cellStyle name="Salida 2 2 2 5 6 2" xfId="36297"/>
    <cellStyle name="Salida 2 2 2 5 7" xfId="36298"/>
    <cellStyle name="Salida 2 2 2 5 7 2" xfId="36299"/>
    <cellStyle name="Salida 2 2 2 5 8" xfId="36300"/>
    <cellStyle name="Salida 2 2 2 5 8 2" xfId="36301"/>
    <cellStyle name="Salida 2 2 2 5 9" xfId="36302"/>
    <cellStyle name="Salida 2 2 2 5 9 2" xfId="36303"/>
    <cellStyle name="Salida 2 2 2 6" xfId="36304"/>
    <cellStyle name="Salida 2 2 2 6 2" xfId="36305"/>
    <cellStyle name="Salida 2 2 2 7" xfId="36306"/>
    <cellStyle name="Salida 2 2 2 7 2" xfId="36307"/>
    <cellStyle name="Salida 2 2 2 8" xfId="36308"/>
    <cellStyle name="Salida 2 2 2 8 2" xfId="36309"/>
    <cellStyle name="Salida 2 2 2 9" xfId="36310"/>
    <cellStyle name="Salida 2 2 2 9 2" xfId="36311"/>
    <cellStyle name="Salida 2 2 3" xfId="36312"/>
    <cellStyle name="Salida 2 2 3 10" xfId="36313"/>
    <cellStyle name="Salida 2 2 3 10 2" xfId="36314"/>
    <cellStyle name="Salida 2 2 3 11" xfId="36315"/>
    <cellStyle name="Salida 2 2 3 11 2" xfId="36316"/>
    <cellStyle name="Salida 2 2 3 12" xfId="36317"/>
    <cellStyle name="Salida 2 2 3 12 2" xfId="36318"/>
    <cellStyle name="Salida 2 2 3 13" xfId="36319"/>
    <cellStyle name="Salida 2 2 3 13 2" xfId="36320"/>
    <cellStyle name="Salida 2 2 3 14" xfId="36321"/>
    <cellStyle name="Salida 2 2 3 14 2" xfId="36322"/>
    <cellStyle name="Salida 2 2 3 15" xfId="36323"/>
    <cellStyle name="Salida 2 2 3 2" xfId="36324"/>
    <cellStyle name="Salida 2 2 3 2 10" xfId="36325"/>
    <cellStyle name="Salida 2 2 3 2 10 2" xfId="36326"/>
    <cellStyle name="Salida 2 2 3 2 11" xfId="36327"/>
    <cellStyle name="Salida 2 2 3 2 11 2" xfId="36328"/>
    <cellStyle name="Salida 2 2 3 2 12" xfId="36329"/>
    <cellStyle name="Salida 2 2 3 2 12 2" xfId="36330"/>
    <cellStyle name="Salida 2 2 3 2 13" xfId="36331"/>
    <cellStyle name="Salida 2 2 3 2 2" xfId="36332"/>
    <cellStyle name="Salida 2 2 3 2 2 10" xfId="36333"/>
    <cellStyle name="Salida 2 2 3 2 2 10 2" xfId="36334"/>
    <cellStyle name="Salida 2 2 3 2 2 11" xfId="36335"/>
    <cellStyle name="Salida 2 2 3 2 2 2" xfId="36336"/>
    <cellStyle name="Salida 2 2 3 2 2 2 2" xfId="36337"/>
    <cellStyle name="Salida 2 2 3 2 2 3" xfId="36338"/>
    <cellStyle name="Salida 2 2 3 2 2 3 2" xfId="36339"/>
    <cellStyle name="Salida 2 2 3 2 2 4" xfId="36340"/>
    <cellStyle name="Salida 2 2 3 2 2 4 2" xfId="36341"/>
    <cellStyle name="Salida 2 2 3 2 2 5" xfId="36342"/>
    <cellStyle name="Salida 2 2 3 2 2 5 2" xfId="36343"/>
    <cellStyle name="Salida 2 2 3 2 2 6" xfId="36344"/>
    <cellStyle name="Salida 2 2 3 2 2 6 2" xfId="36345"/>
    <cellStyle name="Salida 2 2 3 2 2 7" xfId="36346"/>
    <cellStyle name="Salida 2 2 3 2 2 7 2" xfId="36347"/>
    <cellStyle name="Salida 2 2 3 2 2 8" xfId="36348"/>
    <cellStyle name="Salida 2 2 3 2 2 8 2" xfId="36349"/>
    <cellStyle name="Salida 2 2 3 2 2 9" xfId="36350"/>
    <cellStyle name="Salida 2 2 3 2 2 9 2" xfId="36351"/>
    <cellStyle name="Salida 2 2 3 2 3" xfId="36352"/>
    <cellStyle name="Salida 2 2 3 2 3 10" xfId="36353"/>
    <cellStyle name="Salida 2 2 3 2 3 10 2" xfId="36354"/>
    <cellStyle name="Salida 2 2 3 2 3 11" xfId="36355"/>
    <cellStyle name="Salida 2 2 3 2 3 2" xfId="36356"/>
    <cellStyle name="Salida 2 2 3 2 3 2 2" xfId="36357"/>
    <cellStyle name="Salida 2 2 3 2 3 3" xfId="36358"/>
    <cellStyle name="Salida 2 2 3 2 3 3 2" xfId="36359"/>
    <cellStyle name="Salida 2 2 3 2 3 4" xfId="36360"/>
    <cellStyle name="Salida 2 2 3 2 3 4 2" xfId="36361"/>
    <cellStyle name="Salida 2 2 3 2 3 5" xfId="36362"/>
    <cellStyle name="Salida 2 2 3 2 3 5 2" xfId="36363"/>
    <cellStyle name="Salida 2 2 3 2 3 6" xfId="36364"/>
    <cellStyle name="Salida 2 2 3 2 3 6 2" xfId="36365"/>
    <cellStyle name="Salida 2 2 3 2 3 7" xfId="36366"/>
    <cellStyle name="Salida 2 2 3 2 3 7 2" xfId="36367"/>
    <cellStyle name="Salida 2 2 3 2 3 8" xfId="36368"/>
    <cellStyle name="Salida 2 2 3 2 3 8 2" xfId="36369"/>
    <cellStyle name="Salida 2 2 3 2 3 9" xfId="36370"/>
    <cellStyle name="Salida 2 2 3 2 3 9 2" xfId="36371"/>
    <cellStyle name="Salida 2 2 3 2 4" xfId="36372"/>
    <cellStyle name="Salida 2 2 3 2 4 2" xfId="36373"/>
    <cellStyle name="Salida 2 2 3 2 5" xfId="36374"/>
    <cellStyle name="Salida 2 2 3 2 5 2" xfId="36375"/>
    <cellStyle name="Salida 2 2 3 2 6" xfId="36376"/>
    <cellStyle name="Salida 2 2 3 2 6 2" xfId="36377"/>
    <cellStyle name="Salida 2 2 3 2 7" xfId="36378"/>
    <cellStyle name="Salida 2 2 3 2 7 2" xfId="36379"/>
    <cellStyle name="Salida 2 2 3 2 8" xfId="36380"/>
    <cellStyle name="Salida 2 2 3 2 8 2" xfId="36381"/>
    <cellStyle name="Salida 2 2 3 2 9" xfId="36382"/>
    <cellStyle name="Salida 2 2 3 2 9 2" xfId="36383"/>
    <cellStyle name="Salida 2 2 3 3" xfId="36384"/>
    <cellStyle name="Salida 2 2 3 3 10" xfId="36385"/>
    <cellStyle name="Salida 2 2 3 3 10 2" xfId="36386"/>
    <cellStyle name="Salida 2 2 3 3 11" xfId="36387"/>
    <cellStyle name="Salida 2 2 3 3 11 2" xfId="36388"/>
    <cellStyle name="Salida 2 2 3 3 12" xfId="36389"/>
    <cellStyle name="Salida 2 2 3 3 12 2" xfId="36390"/>
    <cellStyle name="Salida 2 2 3 3 13" xfId="36391"/>
    <cellStyle name="Salida 2 2 3 3 2" xfId="36392"/>
    <cellStyle name="Salida 2 2 3 3 2 10" xfId="36393"/>
    <cellStyle name="Salida 2 2 3 3 2 10 2" xfId="36394"/>
    <cellStyle name="Salida 2 2 3 3 2 11" xfId="36395"/>
    <cellStyle name="Salida 2 2 3 3 2 2" xfId="36396"/>
    <cellStyle name="Salida 2 2 3 3 2 2 2" xfId="36397"/>
    <cellStyle name="Salida 2 2 3 3 2 3" xfId="36398"/>
    <cellStyle name="Salida 2 2 3 3 2 3 2" xfId="36399"/>
    <cellStyle name="Salida 2 2 3 3 2 4" xfId="36400"/>
    <cellStyle name="Salida 2 2 3 3 2 4 2" xfId="36401"/>
    <cellStyle name="Salida 2 2 3 3 2 5" xfId="36402"/>
    <cellStyle name="Salida 2 2 3 3 2 5 2" xfId="36403"/>
    <cellStyle name="Salida 2 2 3 3 2 6" xfId="36404"/>
    <cellStyle name="Salida 2 2 3 3 2 6 2" xfId="36405"/>
    <cellStyle name="Salida 2 2 3 3 2 7" xfId="36406"/>
    <cellStyle name="Salida 2 2 3 3 2 7 2" xfId="36407"/>
    <cellStyle name="Salida 2 2 3 3 2 8" xfId="36408"/>
    <cellStyle name="Salida 2 2 3 3 2 8 2" xfId="36409"/>
    <cellStyle name="Salida 2 2 3 3 2 9" xfId="36410"/>
    <cellStyle name="Salida 2 2 3 3 2 9 2" xfId="36411"/>
    <cellStyle name="Salida 2 2 3 3 3" xfId="36412"/>
    <cellStyle name="Salida 2 2 3 3 3 10" xfId="36413"/>
    <cellStyle name="Salida 2 2 3 3 3 10 2" xfId="36414"/>
    <cellStyle name="Salida 2 2 3 3 3 11" xfId="36415"/>
    <cellStyle name="Salida 2 2 3 3 3 2" xfId="36416"/>
    <cellStyle name="Salida 2 2 3 3 3 2 2" xfId="36417"/>
    <cellStyle name="Salida 2 2 3 3 3 3" xfId="36418"/>
    <cellStyle name="Salida 2 2 3 3 3 3 2" xfId="36419"/>
    <cellStyle name="Salida 2 2 3 3 3 4" xfId="36420"/>
    <cellStyle name="Salida 2 2 3 3 3 4 2" xfId="36421"/>
    <cellStyle name="Salida 2 2 3 3 3 5" xfId="36422"/>
    <cellStyle name="Salida 2 2 3 3 3 5 2" xfId="36423"/>
    <cellStyle name="Salida 2 2 3 3 3 6" xfId="36424"/>
    <cellStyle name="Salida 2 2 3 3 3 6 2" xfId="36425"/>
    <cellStyle name="Salida 2 2 3 3 3 7" xfId="36426"/>
    <cellStyle name="Salida 2 2 3 3 3 7 2" xfId="36427"/>
    <cellStyle name="Salida 2 2 3 3 3 8" xfId="36428"/>
    <cellStyle name="Salida 2 2 3 3 3 8 2" xfId="36429"/>
    <cellStyle name="Salida 2 2 3 3 3 9" xfId="36430"/>
    <cellStyle name="Salida 2 2 3 3 3 9 2" xfId="36431"/>
    <cellStyle name="Salida 2 2 3 3 4" xfId="36432"/>
    <cellStyle name="Salida 2 2 3 3 4 2" xfId="36433"/>
    <cellStyle name="Salida 2 2 3 3 5" xfId="36434"/>
    <cellStyle name="Salida 2 2 3 3 5 2" xfId="36435"/>
    <cellStyle name="Salida 2 2 3 3 6" xfId="36436"/>
    <cellStyle name="Salida 2 2 3 3 6 2" xfId="36437"/>
    <cellStyle name="Salida 2 2 3 3 7" xfId="36438"/>
    <cellStyle name="Salida 2 2 3 3 7 2" xfId="36439"/>
    <cellStyle name="Salida 2 2 3 3 8" xfId="36440"/>
    <cellStyle name="Salida 2 2 3 3 8 2" xfId="36441"/>
    <cellStyle name="Salida 2 2 3 3 9" xfId="36442"/>
    <cellStyle name="Salida 2 2 3 3 9 2" xfId="36443"/>
    <cellStyle name="Salida 2 2 3 4" xfId="36444"/>
    <cellStyle name="Salida 2 2 3 4 10" xfId="36445"/>
    <cellStyle name="Salida 2 2 3 4 10 2" xfId="36446"/>
    <cellStyle name="Salida 2 2 3 4 11" xfId="36447"/>
    <cellStyle name="Salida 2 2 3 4 2" xfId="36448"/>
    <cellStyle name="Salida 2 2 3 4 2 2" xfId="36449"/>
    <cellStyle name="Salida 2 2 3 4 3" xfId="36450"/>
    <cellStyle name="Salida 2 2 3 4 3 2" xfId="36451"/>
    <cellStyle name="Salida 2 2 3 4 4" xfId="36452"/>
    <cellStyle name="Salida 2 2 3 4 4 2" xfId="36453"/>
    <cellStyle name="Salida 2 2 3 4 5" xfId="36454"/>
    <cellStyle name="Salida 2 2 3 4 5 2" xfId="36455"/>
    <cellStyle name="Salida 2 2 3 4 6" xfId="36456"/>
    <cellStyle name="Salida 2 2 3 4 6 2" xfId="36457"/>
    <cellStyle name="Salida 2 2 3 4 7" xfId="36458"/>
    <cellStyle name="Salida 2 2 3 4 7 2" xfId="36459"/>
    <cellStyle name="Salida 2 2 3 4 8" xfId="36460"/>
    <cellStyle name="Salida 2 2 3 4 8 2" xfId="36461"/>
    <cellStyle name="Salida 2 2 3 4 9" xfId="36462"/>
    <cellStyle name="Salida 2 2 3 4 9 2" xfId="36463"/>
    <cellStyle name="Salida 2 2 3 5" xfId="36464"/>
    <cellStyle name="Salida 2 2 3 5 10" xfId="36465"/>
    <cellStyle name="Salida 2 2 3 5 10 2" xfId="36466"/>
    <cellStyle name="Salida 2 2 3 5 11" xfId="36467"/>
    <cellStyle name="Salida 2 2 3 5 2" xfId="36468"/>
    <cellStyle name="Salida 2 2 3 5 2 2" xfId="36469"/>
    <cellStyle name="Salida 2 2 3 5 3" xfId="36470"/>
    <cellStyle name="Salida 2 2 3 5 3 2" xfId="36471"/>
    <cellStyle name="Salida 2 2 3 5 4" xfId="36472"/>
    <cellStyle name="Salida 2 2 3 5 4 2" xfId="36473"/>
    <cellStyle name="Salida 2 2 3 5 5" xfId="36474"/>
    <cellStyle name="Salida 2 2 3 5 5 2" xfId="36475"/>
    <cellStyle name="Salida 2 2 3 5 6" xfId="36476"/>
    <cellStyle name="Salida 2 2 3 5 6 2" xfId="36477"/>
    <cellStyle name="Salida 2 2 3 5 7" xfId="36478"/>
    <cellStyle name="Salida 2 2 3 5 7 2" xfId="36479"/>
    <cellStyle name="Salida 2 2 3 5 8" xfId="36480"/>
    <cellStyle name="Salida 2 2 3 5 8 2" xfId="36481"/>
    <cellStyle name="Salida 2 2 3 5 9" xfId="36482"/>
    <cellStyle name="Salida 2 2 3 5 9 2" xfId="36483"/>
    <cellStyle name="Salida 2 2 3 6" xfId="36484"/>
    <cellStyle name="Salida 2 2 3 6 2" xfId="36485"/>
    <cellStyle name="Salida 2 2 3 7" xfId="36486"/>
    <cellStyle name="Salida 2 2 3 7 2" xfId="36487"/>
    <cellStyle name="Salida 2 2 3 8" xfId="36488"/>
    <cellStyle name="Salida 2 2 3 8 2" xfId="36489"/>
    <cellStyle name="Salida 2 2 3 9" xfId="36490"/>
    <cellStyle name="Salida 2 2 3 9 2" xfId="36491"/>
    <cellStyle name="Salida 2 2 4" xfId="36492"/>
    <cellStyle name="Salida 2 2 4 10" xfId="36493"/>
    <cellStyle name="Salida 2 2 4 10 2" xfId="36494"/>
    <cellStyle name="Salida 2 2 4 11" xfId="36495"/>
    <cellStyle name="Salida 2 2 4 11 2" xfId="36496"/>
    <cellStyle name="Salida 2 2 4 12" xfId="36497"/>
    <cellStyle name="Salida 2 2 4 12 2" xfId="36498"/>
    <cellStyle name="Salida 2 2 4 13" xfId="36499"/>
    <cellStyle name="Salida 2 2 4 2" xfId="36500"/>
    <cellStyle name="Salida 2 2 4 2 10" xfId="36501"/>
    <cellStyle name="Salida 2 2 4 2 10 2" xfId="36502"/>
    <cellStyle name="Salida 2 2 4 2 11" xfId="36503"/>
    <cellStyle name="Salida 2 2 4 2 2" xfId="36504"/>
    <cellStyle name="Salida 2 2 4 2 2 2" xfId="36505"/>
    <cellStyle name="Salida 2 2 4 2 3" xfId="36506"/>
    <cellStyle name="Salida 2 2 4 2 3 2" xfId="36507"/>
    <cellStyle name="Salida 2 2 4 2 4" xfId="36508"/>
    <cellStyle name="Salida 2 2 4 2 4 2" xfId="36509"/>
    <cellStyle name="Salida 2 2 4 2 5" xfId="36510"/>
    <cellStyle name="Salida 2 2 4 2 5 2" xfId="36511"/>
    <cellStyle name="Salida 2 2 4 2 6" xfId="36512"/>
    <cellStyle name="Salida 2 2 4 2 6 2" xfId="36513"/>
    <cellStyle name="Salida 2 2 4 2 7" xfId="36514"/>
    <cellStyle name="Salida 2 2 4 2 7 2" xfId="36515"/>
    <cellStyle name="Salida 2 2 4 2 8" xfId="36516"/>
    <cellStyle name="Salida 2 2 4 2 8 2" xfId="36517"/>
    <cellStyle name="Salida 2 2 4 2 9" xfId="36518"/>
    <cellStyle name="Salida 2 2 4 2 9 2" xfId="36519"/>
    <cellStyle name="Salida 2 2 4 3" xfId="36520"/>
    <cellStyle name="Salida 2 2 4 3 10" xfId="36521"/>
    <cellStyle name="Salida 2 2 4 3 10 2" xfId="36522"/>
    <cellStyle name="Salida 2 2 4 3 11" xfId="36523"/>
    <cellStyle name="Salida 2 2 4 3 2" xfId="36524"/>
    <cellStyle name="Salida 2 2 4 3 2 2" xfId="36525"/>
    <cellStyle name="Salida 2 2 4 3 3" xfId="36526"/>
    <cellStyle name="Salida 2 2 4 3 3 2" xfId="36527"/>
    <cellStyle name="Salida 2 2 4 3 4" xfId="36528"/>
    <cellStyle name="Salida 2 2 4 3 4 2" xfId="36529"/>
    <cellStyle name="Salida 2 2 4 3 5" xfId="36530"/>
    <cellStyle name="Salida 2 2 4 3 5 2" xfId="36531"/>
    <cellStyle name="Salida 2 2 4 3 6" xfId="36532"/>
    <cellStyle name="Salida 2 2 4 3 6 2" xfId="36533"/>
    <cellStyle name="Salida 2 2 4 3 7" xfId="36534"/>
    <cellStyle name="Salida 2 2 4 3 7 2" xfId="36535"/>
    <cellStyle name="Salida 2 2 4 3 8" xfId="36536"/>
    <cellStyle name="Salida 2 2 4 3 8 2" xfId="36537"/>
    <cellStyle name="Salida 2 2 4 3 9" xfId="36538"/>
    <cellStyle name="Salida 2 2 4 3 9 2" xfId="36539"/>
    <cellStyle name="Salida 2 2 4 4" xfId="36540"/>
    <cellStyle name="Salida 2 2 4 4 2" xfId="36541"/>
    <cellStyle name="Salida 2 2 4 5" xfId="36542"/>
    <cellStyle name="Salida 2 2 4 5 2" xfId="36543"/>
    <cellStyle name="Salida 2 2 4 6" xfId="36544"/>
    <cellStyle name="Salida 2 2 4 6 2" xfId="36545"/>
    <cellStyle name="Salida 2 2 4 7" xfId="36546"/>
    <cellStyle name="Salida 2 2 4 7 2" xfId="36547"/>
    <cellStyle name="Salida 2 2 4 8" xfId="36548"/>
    <cellStyle name="Salida 2 2 4 8 2" xfId="36549"/>
    <cellStyle name="Salida 2 2 4 9" xfId="36550"/>
    <cellStyle name="Salida 2 2 4 9 2" xfId="36551"/>
    <cellStyle name="Salida 2 2 5" xfId="36552"/>
    <cellStyle name="Salida 2 2 5 10" xfId="36553"/>
    <cellStyle name="Salida 2 2 5 10 2" xfId="36554"/>
    <cellStyle name="Salida 2 2 5 11" xfId="36555"/>
    <cellStyle name="Salida 2 2 5 11 2" xfId="36556"/>
    <cellStyle name="Salida 2 2 5 12" xfId="36557"/>
    <cellStyle name="Salida 2 2 5 12 2" xfId="36558"/>
    <cellStyle name="Salida 2 2 5 13" xfId="36559"/>
    <cellStyle name="Salida 2 2 5 2" xfId="36560"/>
    <cellStyle name="Salida 2 2 5 2 10" xfId="36561"/>
    <cellStyle name="Salida 2 2 5 2 10 2" xfId="36562"/>
    <cellStyle name="Salida 2 2 5 2 11" xfId="36563"/>
    <cellStyle name="Salida 2 2 5 2 2" xfId="36564"/>
    <cellStyle name="Salida 2 2 5 2 2 2" xfId="36565"/>
    <cellStyle name="Salida 2 2 5 2 3" xfId="36566"/>
    <cellStyle name="Salida 2 2 5 2 3 2" xfId="36567"/>
    <cellStyle name="Salida 2 2 5 2 4" xfId="36568"/>
    <cellStyle name="Salida 2 2 5 2 4 2" xfId="36569"/>
    <cellStyle name="Salida 2 2 5 2 5" xfId="36570"/>
    <cellStyle name="Salida 2 2 5 2 5 2" xfId="36571"/>
    <cellStyle name="Salida 2 2 5 2 6" xfId="36572"/>
    <cellStyle name="Salida 2 2 5 2 6 2" xfId="36573"/>
    <cellStyle name="Salida 2 2 5 2 7" xfId="36574"/>
    <cellStyle name="Salida 2 2 5 2 7 2" xfId="36575"/>
    <cellStyle name="Salida 2 2 5 2 8" xfId="36576"/>
    <cellStyle name="Salida 2 2 5 2 8 2" xfId="36577"/>
    <cellStyle name="Salida 2 2 5 2 9" xfId="36578"/>
    <cellStyle name="Salida 2 2 5 2 9 2" xfId="36579"/>
    <cellStyle name="Salida 2 2 5 3" xfId="36580"/>
    <cellStyle name="Salida 2 2 5 3 10" xfId="36581"/>
    <cellStyle name="Salida 2 2 5 3 10 2" xfId="36582"/>
    <cellStyle name="Salida 2 2 5 3 11" xfId="36583"/>
    <cellStyle name="Salida 2 2 5 3 2" xfId="36584"/>
    <cellStyle name="Salida 2 2 5 3 2 2" xfId="36585"/>
    <cellStyle name="Salida 2 2 5 3 3" xfId="36586"/>
    <cellStyle name="Salida 2 2 5 3 3 2" xfId="36587"/>
    <cellStyle name="Salida 2 2 5 3 4" xfId="36588"/>
    <cellStyle name="Salida 2 2 5 3 4 2" xfId="36589"/>
    <cellStyle name="Salida 2 2 5 3 5" xfId="36590"/>
    <cellStyle name="Salida 2 2 5 3 5 2" xfId="36591"/>
    <cellStyle name="Salida 2 2 5 3 6" xfId="36592"/>
    <cellStyle name="Salida 2 2 5 3 6 2" xfId="36593"/>
    <cellStyle name="Salida 2 2 5 3 7" xfId="36594"/>
    <cellStyle name="Salida 2 2 5 3 7 2" xfId="36595"/>
    <cellStyle name="Salida 2 2 5 3 8" xfId="36596"/>
    <cellStyle name="Salida 2 2 5 3 8 2" xfId="36597"/>
    <cellStyle name="Salida 2 2 5 3 9" xfId="36598"/>
    <cellStyle name="Salida 2 2 5 3 9 2" xfId="36599"/>
    <cellStyle name="Salida 2 2 5 4" xfId="36600"/>
    <cellStyle name="Salida 2 2 5 4 2" xfId="36601"/>
    <cellStyle name="Salida 2 2 5 5" xfId="36602"/>
    <cellStyle name="Salida 2 2 5 5 2" xfId="36603"/>
    <cellStyle name="Salida 2 2 5 6" xfId="36604"/>
    <cellStyle name="Salida 2 2 5 6 2" xfId="36605"/>
    <cellStyle name="Salida 2 2 5 7" xfId="36606"/>
    <cellStyle name="Salida 2 2 5 7 2" xfId="36607"/>
    <cellStyle name="Salida 2 2 5 8" xfId="36608"/>
    <cellStyle name="Salida 2 2 5 8 2" xfId="36609"/>
    <cellStyle name="Salida 2 2 5 9" xfId="36610"/>
    <cellStyle name="Salida 2 2 5 9 2" xfId="36611"/>
    <cellStyle name="Salida 2 2 6" xfId="36612"/>
    <cellStyle name="Salida 2 2 6 2" xfId="36613"/>
    <cellStyle name="Salida 2 2 7" xfId="36614"/>
    <cellStyle name="Salida 2 2 7 2" xfId="36615"/>
    <cellStyle name="Salida 2 2 8" xfId="36616"/>
    <cellStyle name="Salida 2 2 8 2" xfId="36617"/>
    <cellStyle name="Salida 2 2 9" xfId="36618"/>
    <cellStyle name="Salida 2 2 9 2" xfId="36619"/>
    <cellStyle name="Salida 2 20" xfId="36620"/>
    <cellStyle name="Salida 2 21" xfId="36621"/>
    <cellStyle name="Salida 2 3" xfId="217"/>
    <cellStyle name="Salida 2 3 10" xfId="36622"/>
    <cellStyle name="Salida 2 3 10 2" xfId="36623"/>
    <cellStyle name="Salida 2 3 11" xfId="36624"/>
    <cellStyle name="Salida 2 3 11 2" xfId="36625"/>
    <cellStyle name="Salida 2 3 12" xfId="36626"/>
    <cellStyle name="Salida 2 3 12 2" xfId="36627"/>
    <cellStyle name="Salida 2 3 13" xfId="36628"/>
    <cellStyle name="Salida 2 3 13 2" xfId="36629"/>
    <cellStyle name="Salida 2 3 14" xfId="36630"/>
    <cellStyle name="Salida 2 3 14 2" xfId="36631"/>
    <cellStyle name="Salida 2 3 15" xfId="36632"/>
    <cellStyle name="Salida 2 3 16" xfId="36633"/>
    <cellStyle name="Salida 2 3 17" xfId="36634"/>
    <cellStyle name="Salida 2 3 2" xfId="36635"/>
    <cellStyle name="Salida 2 3 2 10" xfId="36636"/>
    <cellStyle name="Salida 2 3 2 10 2" xfId="36637"/>
    <cellStyle name="Salida 2 3 2 11" xfId="36638"/>
    <cellStyle name="Salida 2 3 2 11 2" xfId="36639"/>
    <cellStyle name="Salida 2 3 2 12" xfId="36640"/>
    <cellStyle name="Salida 2 3 2 12 2" xfId="36641"/>
    <cellStyle name="Salida 2 3 2 13" xfId="36642"/>
    <cellStyle name="Salida 2 3 2 13 2" xfId="36643"/>
    <cellStyle name="Salida 2 3 2 14" xfId="36644"/>
    <cellStyle name="Salida 2 3 2 14 2" xfId="36645"/>
    <cellStyle name="Salida 2 3 2 15" xfId="36646"/>
    <cellStyle name="Salida 2 3 2 2" xfId="36647"/>
    <cellStyle name="Salida 2 3 2 2 10" xfId="36648"/>
    <cellStyle name="Salida 2 3 2 2 10 2" xfId="36649"/>
    <cellStyle name="Salida 2 3 2 2 11" xfId="36650"/>
    <cellStyle name="Salida 2 3 2 2 11 2" xfId="36651"/>
    <cellStyle name="Salida 2 3 2 2 12" xfId="36652"/>
    <cellStyle name="Salida 2 3 2 2 12 2" xfId="36653"/>
    <cellStyle name="Salida 2 3 2 2 13" xfId="36654"/>
    <cellStyle name="Salida 2 3 2 2 2" xfId="36655"/>
    <cellStyle name="Salida 2 3 2 2 2 10" xfId="36656"/>
    <cellStyle name="Salida 2 3 2 2 2 10 2" xfId="36657"/>
    <cellStyle name="Salida 2 3 2 2 2 11" xfId="36658"/>
    <cellStyle name="Salida 2 3 2 2 2 2" xfId="36659"/>
    <cellStyle name="Salida 2 3 2 2 2 2 2" xfId="36660"/>
    <cellStyle name="Salida 2 3 2 2 2 3" xfId="36661"/>
    <cellStyle name="Salida 2 3 2 2 2 3 2" xfId="36662"/>
    <cellStyle name="Salida 2 3 2 2 2 4" xfId="36663"/>
    <cellStyle name="Salida 2 3 2 2 2 4 2" xfId="36664"/>
    <cellStyle name="Salida 2 3 2 2 2 5" xfId="36665"/>
    <cellStyle name="Salida 2 3 2 2 2 5 2" xfId="36666"/>
    <cellStyle name="Salida 2 3 2 2 2 6" xfId="36667"/>
    <cellStyle name="Salida 2 3 2 2 2 6 2" xfId="36668"/>
    <cellStyle name="Salida 2 3 2 2 2 7" xfId="36669"/>
    <cellStyle name="Salida 2 3 2 2 2 7 2" xfId="36670"/>
    <cellStyle name="Salida 2 3 2 2 2 8" xfId="36671"/>
    <cellStyle name="Salida 2 3 2 2 2 8 2" xfId="36672"/>
    <cellStyle name="Salida 2 3 2 2 2 9" xfId="36673"/>
    <cellStyle name="Salida 2 3 2 2 2 9 2" xfId="36674"/>
    <cellStyle name="Salida 2 3 2 2 3" xfId="36675"/>
    <cellStyle name="Salida 2 3 2 2 3 10" xfId="36676"/>
    <cellStyle name="Salida 2 3 2 2 3 10 2" xfId="36677"/>
    <cellStyle name="Salida 2 3 2 2 3 11" xfId="36678"/>
    <cellStyle name="Salida 2 3 2 2 3 2" xfId="36679"/>
    <cellStyle name="Salida 2 3 2 2 3 2 2" xfId="36680"/>
    <cellStyle name="Salida 2 3 2 2 3 3" xfId="36681"/>
    <cellStyle name="Salida 2 3 2 2 3 3 2" xfId="36682"/>
    <cellStyle name="Salida 2 3 2 2 3 4" xfId="36683"/>
    <cellStyle name="Salida 2 3 2 2 3 4 2" xfId="36684"/>
    <cellStyle name="Salida 2 3 2 2 3 5" xfId="36685"/>
    <cellStyle name="Salida 2 3 2 2 3 5 2" xfId="36686"/>
    <cellStyle name="Salida 2 3 2 2 3 6" xfId="36687"/>
    <cellStyle name="Salida 2 3 2 2 3 6 2" xfId="36688"/>
    <cellStyle name="Salida 2 3 2 2 3 7" xfId="36689"/>
    <cellStyle name="Salida 2 3 2 2 3 7 2" xfId="36690"/>
    <cellStyle name="Salida 2 3 2 2 3 8" xfId="36691"/>
    <cellStyle name="Salida 2 3 2 2 3 8 2" xfId="36692"/>
    <cellStyle name="Salida 2 3 2 2 3 9" xfId="36693"/>
    <cellStyle name="Salida 2 3 2 2 3 9 2" xfId="36694"/>
    <cellStyle name="Salida 2 3 2 2 4" xfId="36695"/>
    <cellStyle name="Salida 2 3 2 2 4 2" xfId="36696"/>
    <cellStyle name="Salida 2 3 2 2 5" xfId="36697"/>
    <cellStyle name="Salida 2 3 2 2 5 2" xfId="36698"/>
    <cellStyle name="Salida 2 3 2 2 6" xfId="36699"/>
    <cellStyle name="Salida 2 3 2 2 6 2" xfId="36700"/>
    <cellStyle name="Salida 2 3 2 2 7" xfId="36701"/>
    <cellStyle name="Salida 2 3 2 2 7 2" xfId="36702"/>
    <cellStyle name="Salida 2 3 2 2 8" xfId="36703"/>
    <cellStyle name="Salida 2 3 2 2 8 2" xfId="36704"/>
    <cellStyle name="Salida 2 3 2 2 9" xfId="36705"/>
    <cellStyle name="Salida 2 3 2 2 9 2" xfId="36706"/>
    <cellStyle name="Salida 2 3 2 3" xfId="36707"/>
    <cellStyle name="Salida 2 3 2 3 10" xfId="36708"/>
    <cellStyle name="Salida 2 3 2 3 10 2" xfId="36709"/>
    <cellStyle name="Salida 2 3 2 3 11" xfId="36710"/>
    <cellStyle name="Salida 2 3 2 3 11 2" xfId="36711"/>
    <cellStyle name="Salida 2 3 2 3 12" xfId="36712"/>
    <cellStyle name="Salida 2 3 2 3 12 2" xfId="36713"/>
    <cellStyle name="Salida 2 3 2 3 13" xfId="36714"/>
    <cellStyle name="Salida 2 3 2 3 2" xfId="36715"/>
    <cellStyle name="Salida 2 3 2 3 2 10" xfId="36716"/>
    <cellStyle name="Salida 2 3 2 3 2 10 2" xfId="36717"/>
    <cellStyle name="Salida 2 3 2 3 2 11" xfId="36718"/>
    <cellStyle name="Salida 2 3 2 3 2 2" xfId="36719"/>
    <cellStyle name="Salida 2 3 2 3 2 2 2" xfId="36720"/>
    <cellStyle name="Salida 2 3 2 3 2 3" xfId="36721"/>
    <cellStyle name="Salida 2 3 2 3 2 3 2" xfId="36722"/>
    <cellStyle name="Salida 2 3 2 3 2 4" xfId="36723"/>
    <cellStyle name="Salida 2 3 2 3 2 4 2" xfId="36724"/>
    <cellStyle name="Salida 2 3 2 3 2 5" xfId="36725"/>
    <cellStyle name="Salida 2 3 2 3 2 5 2" xfId="36726"/>
    <cellStyle name="Salida 2 3 2 3 2 6" xfId="36727"/>
    <cellStyle name="Salida 2 3 2 3 2 6 2" xfId="36728"/>
    <cellStyle name="Salida 2 3 2 3 2 7" xfId="36729"/>
    <cellStyle name="Salida 2 3 2 3 2 7 2" xfId="36730"/>
    <cellStyle name="Salida 2 3 2 3 2 8" xfId="36731"/>
    <cellStyle name="Salida 2 3 2 3 2 8 2" xfId="36732"/>
    <cellStyle name="Salida 2 3 2 3 2 9" xfId="36733"/>
    <cellStyle name="Salida 2 3 2 3 2 9 2" xfId="36734"/>
    <cellStyle name="Salida 2 3 2 3 3" xfId="36735"/>
    <cellStyle name="Salida 2 3 2 3 3 10" xfId="36736"/>
    <cellStyle name="Salida 2 3 2 3 3 10 2" xfId="36737"/>
    <cellStyle name="Salida 2 3 2 3 3 11" xfId="36738"/>
    <cellStyle name="Salida 2 3 2 3 3 2" xfId="36739"/>
    <cellStyle name="Salida 2 3 2 3 3 2 2" xfId="36740"/>
    <cellStyle name="Salida 2 3 2 3 3 3" xfId="36741"/>
    <cellStyle name="Salida 2 3 2 3 3 3 2" xfId="36742"/>
    <cellStyle name="Salida 2 3 2 3 3 4" xfId="36743"/>
    <cellStyle name="Salida 2 3 2 3 3 4 2" xfId="36744"/>
    <cellStyle name="Salida 2 3 2 3 3 5" xfId="36745"/>
    <cellStyle name="Salida 2 3 2 3 3 5 2" xfId="36746"/>
    <cellStyle name="Salida 2 3 2 3 3 6" xfId="36747"/>
    <cellStyle name="Salida 2 3 2 3 3 6 2" xfId="36748"/>
    <cellStyle name="Salida 2 3 2 3 3 7" xfId="36749"/>
    <cellStyle name="Salida 2 3 2 3 3 7 2" xfId="36750"/>
    <cellStyle name="Salida 2 3 2 3 3 8" xfId="36751"/>
    <cellStyle name="Salida 2 3 2 3 3 8 2" xfId="36752"/>
    <cellStyle name="Salida 2 3 2 3 3 9" xfId="36753"/>
    <cellStyle name="Salida 2 3 2 3 3 9 2" xfId="36754"/>
    <cellStyle name="Salida 2 3 2 3 4" xfId="36755"/>
    <cellStyle name="Salida 2 3 2 3 4 2" xfId="36756"/>
    <cellStyle name="Salida 2 3 2 3 5" xfId="36757"/>
    <cellStyle name="Salida 2 3 2 3 5 2" xfId="36758"/>
    <cellStyle name="Salida 2 3 2 3 6" xfId="36759"/>
    <cellStyle name="Salida 2 3 2 3 6 2" xfId="36760"/>
    <cellStyle name="Salida 2 3 2 3 7" xfId="36761"/>
    <cellStyle name="Salida 2 3 2 3 7 2" xfId="36762"/>
    <cellStyle name="Salida 2 3 2 3 8" xfId="36763"/>
    <cellStyle name="Salida 2 3 2 3 8 2" xfId="36764"/>
    <cellStyle name="Salida 2 3 2 3 9" xfId="36765"/>
    <cellStyle name="Salida 2 3 2 3 9 2" xfId="36766"/>
    <cellStyle name="Salida 2 3 2 4" xfId="36767"/>
    <cellStyle name="Salida 2 3 2 4 10" xfId="36768"/>
    <cellStyle name="Salida 2 3 2 4 10 2" xfId="36769"/>
    <cellStyle name="Salida 2 3 2 4 11" xfId="36770"/>
    <cellStyle name="Salida 2 3 2 4 2" xfId="36771"/>
    <cellStyle name="Salida 2 3 2 4 2 2" xfId="36772"/>
    <cellStyle name="Salida 2 3 2 4 3" xfId="36773"/>
    <cellStyle name="Salida 2 3 2 4 3 2" xfId="36774"/>
    <cellStyle name="Salida 2 3 2 4 4" xfId="36775"/>
    <cellStyle name="Salida 2 3 2 4 4 2" xfId="36776"/>
    <cellStyle name="Salida 2 3 2 4 5" xfId="36777"/>
    <cellStyle name="Salida 2 3 2 4 5 2" xfId="36778"/>
    <cellStyle name="Salida 2 3 2 4 6" xfId="36779"/>
    <cellStyle name="Salida 2 3 2 4 6 2" xfId="36780"/>
    <cellStyle name="Salida 2 3 2 4 7" xfId="36781"/>
    <cellStyle name="Salida 2 3 2 4 7 2" xfId="36782"/>
    <cellStyle name="Salida 2 3 2 4 8" xfId="36783"/>
    <cellStyle name="Salida 2 3 2 4 8 2" xfId="36784"/>
    <cellStyle name="Salida 2 3 2 4 9" xfId="36785"/>
    <cellStyle name="Salida 2 3 2 4 9 2" xfId="36786"/>
    <cellStyle name="Salida 2 3 2 5" xfId="36787"/>
    <cellStyle name="Salida 2 3 2 5 10" xfId="36788"/>
    <cellStyle name="Salida 2 3 2 5 10 2" xfId="36789"/>
    <cellStyle name="Salida 2 3 2 5 11" xfId="36790"/>
    <cellStyle name="Salida 2 3 2 5 2" xfId="36791"/>
    <cellStyle name="Salida 2 3 2 5 2 2" xfId="36792"/>
    <cellStyle name="Salida 2 3 2 5 3" xfId="36793"/>
    <cellStyle name="Salida 2 3 2 5 3 2" xfId="36794"/>
    <cellStyle name="Salida 2 3 2 5 4" xfId="36795"/>
    <cellStyle name="Salida 2 3 2 5 4 2" xfId="36796"/>
    <cellStyle name="Salida 2 3 2 5 5" xfId="36797"/>
    <cellStyle name="Salida 2 3 2 5 5 2" xfId="36798"/>
    <cellStyle name="Salida 2 3 2 5 6" xfId="36799"/>
    <cellStyle name="Salida 2 3 2 5 6 2" xfId="36800"/>
    <cellStyle name="Salida 2 3 2 5 7" xfId="36801"/>
    <cellStyle name="Salida 2 3 2 5 7 2" xfId="36802"/>
    <cellStyle name="Salida 2 3 2 5 8" xfId="36803"/>
    <cellStyle name="Salida 2 3 2 5 8 2" xfId="36804"/>
    <cellStyle name="Salida 2 3 2 5 9" xfId="36805"/>
    <cellStyle name="Salida 2 3 2 5 9 2" xfId="36806"/>
    <cellStyle name="Salida 2 3 2 6" xfId="36807"/>
    <cellStyle name="Salida 2 3 2 6 2" xfId="36808"/>
    <cellStyle name="Salida 2 3 2 7" xfId="36809"/>
    <cellStyle name="Salida 2 3 2 7 2" xfId="36810"/>
    <cellStyle name="Salida 2 3 2 8" xfId="36811"/>
    <cellStyle name="Salida 2 3 2 8 2" xfId="36812"/>
    <cellStyle name="Salida 2 3 2 9" xfId="36813"/>
    <cellStyle name="Salida 2 3 2 9 2" xfId="36814"/>
    <cellStyle name="Salida 2 3 3" xfId="36815"/>
    <cellStyle name="Salida 2 3 3 10" xfId="36816"/>
    <cellStyle name="Salida 2 3 3 10 2" xfId="36817"/>
    <cellStyle name="Salida 2 3 3 11" xfId="36818"/>
    <cellStyle name="Salida 2 3 3 11 2" xfId="36819"/>
    <cellStyle name="Salida 2 3 3 12" xfId="36820"/>
    <cellStyle name="Salida 2 3 3 12 2" xfId="36821"/>
    <cellStyle name="Salida 2 3 3 13" xfId="36822"/>
    <cellStyle name="Salida 2 3 3 13 2" xfId="36823"/>
    <cellStyle name="Salida 2 3 3 14" xfId="36824"/>
    <cellStyle name="Salida 2 3 3 14 2" xfId="36825"/>
    <cellStyle name="Salida 2 3 3 15" xfId="36826"/>
    <cellStyle name="Salida 2 3 3 2" xfId="36827"/>
    <cellStyle name="Salida 2 3 3 2 10" xfId="36828"/>
    <cellStyle name="Salida 2 3 3 2 10 2" xfId="36829"/>
    <cellStyle name="Salida 2 3 3 2 11" xfId="36830"/>
    <cellStyle name="Salida 2 3 3 2 11 2" xfId="36831"/>
    <cellStyle name="Salida 2 3 3 2 12" xfId="36832"/>
    <cellStyle name="Salida 2 3 3 2 12 2" xfId="36833"/>
    <cellStyle name="Salida 2 3 3 2 13" xfId="36834"/>
    <cellStyle name="Salida 2 3 3 2 2" xfId="36835"/>
    <cellStyle name="Salida 2 3 3 2 2 10" xfId="36836"/>
    <cellStyle name="Salida 2 3 3 2 2 10 2" xfId="36837"/>
    <cellStyle name="Salida 2 3 3 2 2 11" xfId="36838"/>
    <cellStyle name="Salida 2 3 3 2 2 2" xfId="36839"/>
    <cellStyle name="Salida 2 3 3 2 2 2 2" xfId="36840"/>
    <cellStyle name="Salida 2 3 3 2 2 3" xfId="36841"/>
    <cellStyle name="Salida 2 3 3 2 2 3 2" xfId="36842"/>
    <cellStyle name="Salida 2 3 3 2 2 4" xfId="36843"/>
    <cellStyle name="Salida 2 3 3 2 2 4 2" xfId="36844"/>
    <cellStyle name="Salida 2 3 3 2 2 5" xfId="36845"/>
    <cellStyle name="Salida 2 3 3 2 2 5 2" xfId="36846"/>
    <cellStyle name="Salida 2 3 3 2 2 6" xfId="36847"/>
    <cellStyle name="Salida 2 3 3 2 2 6 2" xfId="36848"/>
    <cellStyle name="Salida 2 3 3 2 2 7" xfId="36849"/>
    <cellStyle name="Salida 2 3 3 2 2 7 2" xfId="36850"/>
    <cellStyle name="Salida 2 3 3 2 2 8" xfId="36851"/>
    <cellStyle name="Salida 2 3 3 2 2 8 2" xfId="36852"/>
    <cellStyle name="Salida 2 3 3 2 2 9" xfId="36853"/>
    <cellStyle name="Salida 2 3 3 2 2 9 2" xfId="36854"/>
    <cellStyle name="Salida 2 3 3 2 3" xfId="36855"/>
    <cellStyle name="Salida 2 3 3 2 3 10" xfId="36856"/>
    <cellStyle name="Salida 2 3 3 2 3 10 2" xfId="36857"/>
    <cellStyle name="Salida 2 3 3 2 3 11" xfId="36858"/>
    <cellStyle name="Salida 2 3 3 2 3 2" xfId="36859"/>
    <cellStyle name="Salida 2 3 3 2 3 2 2" xfId="36860"/>
    <cellStyle name="Salida 2 3 3 2 3 3" xfId="36861"/>
    <cellStyle name="Salida 2 3 3 2 3 3 2" xfId="36862"/>
    <cellStyle name="Salida 2 3 3 2 3 4" xfId="36863"/>
    <cellStyle name="Salida 2 3 3 2 3 4 2" xfId="36864"/>
    <cellStyle name="Salida 2 3 3 2 3 5" xfId="36865"/>
    <cellStyle name="Salida 2 3 3 2 3 5 2" xfId="36866"/>
    <cellStyle name="Salida 2 3 3 2 3 6" xfId="36867"/>
    <cellStyle name="Salida 2 3 3 2 3 6 2" xfId="36868"/>
    <cellStyle name="Salida 2 3 3 2 3 7" xfId="36869"/>
    <cellStyle name="Salida 2 3 3 2 3 7 2" xfId="36870"/>
    <cellStyle name="Salida 2 3 3 2 3 8" xfId="36871"/>
    <cellStyle name="Salida 2 3 3 2 3 8 2" xfId="36872"/>
    <cellStyle name="Salida 2 3 3 2 3 9" xfId="36873"/>
    <cellStyle name="Salida 2 3 3 2 3 9 2" xfId="36874"/>
    <cellStyle name="Salida 2 3 3 2 4" xfId="36875"/>
    <cellStyle name="Salida 2 3 3 2 4 2" xfId="36876"/>
    <cellStyle name="Salida 2 3 3 2 5" xfId="36877"/>
    <cellStyle name="Salida 2 3 3 2 5 2" xfId="36878"/>
    <cellStyle name="Salida 2 3 3 2 6" xfId="36879"/>
    <cellStyle name="Salida 2 3 3 2 6 2" xfId="36880"/>
    <cellStyle name="Salida 2 3 3 2 7" xfId="36881"/>
    <cellStyle name="Salida 2 3 3 2 7 2" xfId="36882"/>
    <cellStyle name="Salida 2 3 3 2 8" xfId="36883"/>
    <cellStyle name="Salida 2 3 3 2 8 2" xfId="36884"/>
    <cellStyle name="Salida 2 3 3 2 9" xfId="36885"/>
    <cellStyle name="Salida 2 3 3 2 9 2" xfId="36886"/>
    <cellStyle name="Salida 2 3 3 3" xfId="36887"/>
    <cellStyle name="Salida 2 3 3 3 10" xfId="36888"/>
    <cellStyle name="Salida 2 3 3 3 10 2" xfId="36889"/>
    <cellStyle name="Salida 2 3 3 3 11" xfId="36890"/>
    <cellStyle name="Salida 2 3 3 3 11 2" xfId="36891"/>
    <cellStyle name="Salida 2 3 3 3 12" xfId="36892"/>
    <cellStyle name="Salida 2 3 3 3 12 2" xfId="36893"/>
    <cellStyle name="Salida 2 3 3 3 13" xfId="36894"/>
    <cellStyle name="Salida 2 3 3 3 2" xfId="36895"/>
    <cellStyle name="Salida 2 3 3 3 2 10" xfId="36896"/>
    <cellStyle name="Salida 2 3 3 3 2 10 2" xfId="36897"/>
    <cellStyle name="Salida 2 3 3 3 2 11" xfId="36898"/>
    <cellStyle name="Salida 2 3 3 3 2 2" xfId="36899"/>
    <cellStyle name="Salida 2 3 3 3 2 2 2" xfId="36900"/>
    <cellStyle name="Salida 2 3 3 3 2 3" xfId="36901"/>
    <cellStyle name="Salida 2 3 3 3 2 3 2" xfId="36902"/>
    <cellStyle name="Salida 2 3 3 3 2 4" xfId="36903"/>
    <cellStyle name="Salida 2 3 3 3 2 4 2" xfId="36904"/>
    <cellStyle name="Salida 2 3 3 3 2 5" xfId="36905"/>
    <cellStyle name="Salida 2 3 3 3 2 5 2" xfId="36906"/>
    <cellStyle name="Salida 2 3 3 3 2 6" xfId="36907"/>
    <cellStyle name="Salida 2 3 3 3 2 6 2" xfId="36908"/>
    <cellStyle name="Salida 2 3 3 3 2 7" xfId="36909"/>
    <cellStyle name="Salida 2 3 3 3 2 7 2" xfId="36910"/>
    <cellStyle name="Salida 2 3 3 3 2 8" xfId="36911"/>
    <cellStyle name="Salida 2 3 3 3 2 8 2" xfId="36912"/>
    <cellStyle name="Salida 2 3 3 3 2 9" xfId="36913"/>
    <cellStyle name="Salida 2 3 3 3 2 9 2" xfId="36914"/>
    <cellStyle name="Salida 2 3 3 3 3" xfId="36915"/>
    <cellStyle name="Salida 2 3 3 3 3 10" xfId="36916"/>
    <cellStyle name="Salida 2 3 3 3 3 10 2" xfId="36917"/>
    <cellStyle name="Salida 2 3 3 3 3 11" xfId="36918"/>
    <cellStyle name="Salida 2 3 3 3 3 2" xfId="36919"/>
    <cellStyle name="Salida 2 3 3 3 3 2 2" xfId="36920"/>
    <cellStyle name="Salida 2 3 3 3 3 3" xfId="36921"/>
    <cellStyle name="Salida 2 3 3 3 3 3 2" xfId="36922"/>
    <cellStyle name="Salida 2 3 3 3 3 4" xfId="36923"/>
    <cellStyle name="Salida 2 3 3 3 3 4 2" xfId="36924"/>
    <cellStyle name="Salida 2 3 3 3 3 5" xfId="36925"/>
    <cellStyle name="Salida 2 3 3 3 3 5 2" xfId="36926"/>
    <cellStyle name="Salida 2 3 3 3 3 6" xfId="36927"/>
    <cellStyle name="Salida 2 3 3 3 3 6 2" xfId="36928"/>
    <cellStyle name="Salida 2 3 3 3 3 7" xfId="36929"/>
    <cellStyle name="Salida 2 3 3 3 3 7 2" xfId="36930"/>
    <cellStyle name="Salida 2 3 3 3 3 8" xfId="36931"/>
    <cellStyle name="Salida 2 3 3 3 3 8 2" xfId="36932"/>
    <cellStyle name="Salida 2 3 3 3 3 9" xfId="36933"/>
    <cellStyle name="Salida 2 3 3 3 3 9 2" xfId="36934"/>
    <cellStyle name="Salida 2 3 3 3 4" xfId="36935"/>
    <cellStyle name="Salida 2 3 3 3 4 2" xfId="36936"/>
    <cellStyle name="Salida 2 3 3 3 5" xfId="36937"/>
    <cellStyle name="Salida 2 3 3 3 5 2" xfId="36938"/>
    <cellStyle name="Salida 2 3 3 3 6" xfId="36939"/>
    <cellStyle name="Salida 2 3 3 3 6 2" xfId="36940"/>
    <cellStyle name="Salida 2 3 3 3 7" xfId="36941"/>
    <cellStyle name="Salida 2 3 3 3 7 2" xfId="36942"/>
    <cellStyle name="Salida 2 3 3 3 8" xfId="36943"/>
    <cellStyle name="Salida 2 3 3 3 8 2" xfId="36944"/>
    <cellStyle name="Salida 2 3 3 3 9" xfId="36945"/>
    <cellStyle name="Salida 2 3 3 3 9 2" xfId="36946"/>
    <cellStyle name="Salida 2 3 3 4" xfId="36947"/>
    <cellStyle name="Salida 2 3 3 4 10" xfId="36948"/>
    <cellStyle name="Salida 2 3 3 4 10 2" xfId="36949"/>
    <cellStyle name="Salida 2 3 3 4 11" xfId="36950"/>
    <cellStyle name="Salida 2 3 3 4 2" xfId="36951"/>
    <cellStyle name="Salida 2 3 3 4 2 2" xfId="36952"/>
    <cellStyle name="Salida 2 3 3 4 3" xfId="36953"/>
    <cellStyle name="Salida 2 3 3 4 3 2" xfId="36954"/>
    <cellStyle name="Salida 2 3 3 4 4" xfId="36955"/>
    <cellStyle name="Salida 2 3 3 4 4 2" xfId="36956"/>
    <cellStyle name="Salida 2 3 3 4 5" xfId="36957"/>
    <cellStyle name="Salida 2 3 3 4 5 2" xfId="36958"/>
    <cellStyle name="Salida 2 3 3 4 6" xfId="36959"/>
    <cellStyle name="Salida 2 3 3 4 6 2" xfId="36960"/>
    <cellStyle name="Salida 2 3 3 4 7" xfId="36961"/>
    <cellStyle name="Salida 2 3 3 4 7 2" xfId="36962"/>
    <cellStyle name="Salida 2 3 3 4 8" xfId="36963"/>
    <cellStyle name="Salida 2 3 3 4 8 2" xfId="36964"/>
    <cellStyle name="Salida 2 3 3 4 9" xfId="36965"/>
    <cellStyle name="Salida 2 3 3 4 9 2" xfId="36966"/>
    <cellStyle name="Salida 2 3 3 5" xfId="36967"/>
    <cellStyle name="Salida 2 3 3 5 10" xfId="36968"/>
    <cellStyle name="Salida 2 3 3 5 10 2" xfId="36969"/>
    <cellStyle name="Salida 2 3 3 5 11" xfId="36970"/>
    <cellStyle name="Salida 2 3 3 5 2" xfId="36971"/>
    <cellStyle name="Salida 2 3 3 5 2 2" xfId="36972"/>
    <cellStyle name="Salida 2 3 3 5 3" xfId="36973"/>
    <cellStyle name="Salida 2 3 3 5 3 2" xfId="36974"/>
    <cellStyle name="Salida 2 3 3 5 4" xfId="36975"/>
    <cellStyle name="Salida 2 3 3 5 4 2" xfId="36976"/>
    <cellStyle name="Salida 2 3 3 5 5" xfId="36977"/>
    <cellStyle name="Salida 2 3 3 5 5 2" xfId="36978"/>
    <cellStyle name="Salida 2 3 3 5 6" xfId="36979"/>
    <cellStyle name="Salida 2 3 3 5 6 2" xfId="36980"/>
    <cellStyle name="Salida 2 3 3 5 7" xfId="36981"/>
    <cellStyle name="Salida 2 3 3 5 7 2" xfId="36982"/>
    <cellStyle name="Salida 2 3 3 5 8" xfId="36983"/>
    <cellStyle name="Salida 2 3 3 5 8 2" xfId="36984"/>
    <cellStyle name="Salida 2 3 3 5 9" xfId="36985"/>
    <cellStyle name="Salida 2 3 3 5 9 2" xfId="36986"/>
    <cellStyle name="Salida 2 3 3 6" xfId="36987"/>
    <cellStyle name="Salida 2 3 3 6 2" xfId="36988"/>
    <cellStyle name="Salida 2 3 3 7" xfId="36989"/>
    <cellStyle name="Salida 2 3 3 7 2" xfId="36990"/>
    <cellStyle name="Salida 2 3 3 8" xfId="36991"/>
    <cellStyle name="Salida 2 3 3 8 2" xfId="36992"/>
    <cellStyle name="Salida 2 3 3 9" xfId="36993"/>
    <cellStyle name="Salida 2 3 3 9 2" xfId="36994"/>
    <cellStyle name="Salida 2 3 4" xfId="36995"/>
    <cellStyle name="Salida 2 3 4 10" xfId="36996"/>
    <cellStyle name="Salida 2 3 4 10 2" xfId="36997"/>
    <cellStyle name="Salida 2 3 4 11" xfId="36998"/>
    <cellStyle name="Salida 2 3 4 11 2" xfId="36999"/>
    <cellStyle name="Salida 2 3 4 12" xfId="37000"/>
    <cellStyle name="Salida 2 3 4 12 2" xfId="37001"/>
    <cellStyle name="Salida 2 3 4 13" xfId="37002"/>
    <cellStyle name="Salida 2 3 4 2" xfId="37003"/>
    <cellStyle name="Salida 2 3 4 2 10" xfId="37004"/>
    <cellStyle name="Salida 2 3 4 2 10 2" xfId="37005"/>
    <cellStyle name="Salida 2 3 4 2 11" xfId="37006"/>
    <cellStyle name="Salida 2 3 4 2 2" xfId="37007"/>
    <cellStyle name="Salida 2 3 4 2 2 2" xfId="37008"/>
    <cellStyle name="Salida 2 3 4 2 3" xfId="37009"/>
    <cellStyle name="Salida 2 3 4 2 3 2" xfId="37010"/>
    <cellStyle name="Salida 2 3 4 2 4" xfId="37011"/>
    <cellStyle name="Salida 2 3 4 2 4 2" xfId="37012"/>
    <cellStyle name="Salida 2 3 4 2 5" xfId="37013"/>
    <cellStyle name="Salida 2 3 4 2 5 2" xfId="37014"/>
    <cellStyle name="Salida 2 3 4 2 6" xfId="37015"/>
    <cellStyle name="Salida 2 3 4 2 6 2" xfId="37016"/>
    <cellStyle name="Salida 2 3 4 2 7" xfId="37017"/>
    <cellStyle name="Salida 2 3 4 2 7 2" xfId="37018"/>
    <cellStyle name="Salida 2 3 4 2 8" xfId="37019"/>
    <cellStyle name="Salida 2 3 4 2 8 2" xfId="37020"/>
    <cellStyle name="Salida 2 3 4 2 9" xfId="37021"/>
    <cellStyle name="Salida 2 3 4 2 9 2" xfId="37022"/>
    <cellStyle name="Salida 2 3 4 3" xfId="37023"/>
    <cellStyle name="Salida 2 3 4 3 10" xfId="37024"/>
    <cellStyle name="Salida 2 3 4 3 10 2" xfId="37025"/>
    <cellStyle name="Salida 2 3 4 3 11" xfId="37026"/>
    <cellStyle name="Salida 2 3 4 3 2" xfId="37027"/>
    <cellStyle name="Salida 2 3 4 3 2 2" xfId="37028"/>
    <cellStyle name="Salida 2 3 4 3 3" xfId="37029"/>
    <cellStyle name="Salida 2 3 4 3 3 2" xfId="37030"/>
    <cellStyle name="Salida 2 3 4 3 4" xfId="37031"/>
    <cellStyle name="Salida 2 3 4 3 4 2" xfId="37032"/>
    <cellStyle name="Salida 2 3 4 3 5" xfId="37033"/>
    <cellStyle name="Salida 2 3 4 3 5 2" xfId="37034"/>
    <cellStyle name="Salida 2 3 4 3 6" xfId="37035"/>
    <cellStyle name="Salida 2 3 4 3 6 2" xfId="37036"/>
    <cellStyle name="Salida 2 3 4 3 7" xfId="37037"/>
    <cellStyle name="Salida 2 3 4 3 7 2" xfId="37038"/>
    <cellStyle name="Salida 2 3 4 3 8" xfId="37039"/>
    <cellStyle name="Salida 2 3 4 3 8 2" xfId="37040"/>
    <cellStyle name="Salida 2 3 4 3 9" xfId="37041"/>
    <cellStyle name="Salida 2 3 4 3 9 2" xfId="37042"/>
    <cellStyle name="Salida 2 3 4 4" xfId="37043"/>
    <cellStyle name="Salida 2 3 4 4 2" xfId="37044"/>
    <cellStyle name="Salida 2 3 4 5" xfId="37045"/>
    <cellStyle name="Salida 2 3 4 5 2" xfId="37046"/>
    <cellStyle name="Salida 2 3 4 6" xfId="37047"/>
    <cellStyle name="Salida 2 3 4 6 2" xfId="37048"/>
    <cellStyle name="Salida 2 3 4 7" xfId="37049"/>
    <cellStyle name="Salida 2 3 4 7 2" xfId="37050"/>
    <cellStyle name="Salida 2 3 4 8" xfId="37051"/>
    <cellStyle name="Salida 2 3 4 8 2" xfId="37052"/>
    <cellStyle name="Salida 2 3 4 9" xfId="37053"/>
    <cellStyle name="Salida 2 3 4 9 2" xfId="37054"/>
    <cellStyle name="Salida 2 3 5" xfId="37055"/>
    <cellStyle name="Salida 2 3 5 10" xfId="37056"/>
    <cellStyle name="Salida 2 3 5 10 2" xfId="37057"/>
    <cellStyle name="Salida 2 3 5 11" xfId="37058"/>
    <cellStyle name="Salida 2 3 5 11 2" xfId="37059"/>
    <cellStyle name="Salida 2 3 5 12" xfId="37060"/>
    <cellStyle name="Salida 2 3 5 12 2" xfId="37061"/>
    <cellStyle name="Salida 2 3 5 13" xfId="37062"/>
    <cellStyle name="Salida 2 3 5 2" xfId="37063"/>
    <cellStyle name="Salida 2 3 5 2 10" xfId="37064"/>
    <cellStyle name="Salida 2 3 5 2 10 2" xfId="37065"/>
    <cellStyle name="Salida 2 3 5 2 11" xfId="37066"/>
    <cellStyle name="Salida 2 3 5 2 2" xfId="37067"/>
    <cellStyle name="Salida 2 3 5 2 2 2" xfId="37068"/>
    <cellStyle name="Salida 2 3 5 2 3" xfId="37069"/>
    <cellStyle name="Salida 2 3 5 2 3 2" xfId="37070"/>
    <cellStyle name="Salida 2 3 5 2 4" xfId="37071"/>
    <cellStyle name="Salida 2 3 5 2 4 2" xfId="37072"/>
    <cellStyle name="Salida 2 3 5 2 5" xfId="37073"/>
    <cellStyle name="Salida 2 3 5 2 5 2" xfId="37074"/>
    <cellStyle name="Salida 2 3 5 2 6" xfId="37075"/>
    <cellStyle name="Salida 2 3 5 2 6 2" xfId="37076"/>
    <cellStyle name="Salida 2 3 5 2 7" xfId="37077"/>
    <cellStyle name="Salida 2 3 5 2 7 2" xfId="37078"/>
    <cellStyle name="Salida 2 3 5 2 8" xfId="37079"/>
    <cellStyle name="Salida 2 3 5 2 8 2" xfId="37080"/>
    <cellStyle name="Salida 2 3 5 2 9" xfId="37081"/>
    <cellStyle name="Salida 2 3 5 2 9 2" xfId="37082"/>
    <cellStyle name="Salida 2 3 5 3" xfId="37083"/>
    <cellStyle name="Salida 2 3 5 3 10" xfId="37084"/>
    <cellStyle name="Salida 2 3 5 3 10 2" xfId="37085"/>
    <cellStyle name="Salida 2 3 5 3 11" xfId="37086"/>
    <cellStyle name="Salida 2 3 5 3 2" xfId="37087"/>
    <cellStyle name="Salida 2 3 5 3 2 2" xfId="37088"/>
    <cellStyle name="Salida 2 3 5 3 3" xfId="37089"/>
    <cellStyle name="Salida 2 3 5 3 3 2" xfId="37090"/>
    <cellStyle name="Salida 2 3 5 3 4" xfId="37091"/>
    <cellStyle name="Salida 2 3 5 3 4 2" xfId="37092"/>
    <cellStyle name="Salida 2 3 5 3 5" xfId="37093"/>
    <cellStyle name="Salida 2 3 5 3 5 2" xfId="37094"/>
    <cellStyle name="Salida 2 3 5 3 6" xfId="37095"/>
    <cellStyle name="Salida 2 3 5 3 6 2" xfId="37096"/>
    <cellStyle name="Salida 2 3 5 3 7" xfId="37097"/>
    <cellStyle name="Salida 2 3 5 3 7 2" xfId="37098"/>
    <cellStyle name="Salida 2 3 5 3 8" xfId="37099"/>
    <cellStyle name="Salida 2 3 5 3 8 2" xfId="37100"/>
    <cellStyle name="Salida 2 3 5 3 9" xfId="37101"/>
    <cellStyle name="Salida 2 3 5 3 9 2" xfId="37102"/>
    <cellStyle name="Salida 2 3 5 4" xfId="37103"/>
    <cellStyle name="Salida 2 3 5 4 2" xfId="37104"/>
    <cellStyle name="Salida 2 3 5 5" xfId="37105"/>
    <cellStyle name="Salida 2 3 5 5 2" xfId="37106"/>
    <cellStyle name="Salida 2 3 5 6" xfId="37107"/>
    <cellStyle name="Salida 2 3 5 6 2" xfId="37108"/>
    <cellStyle name="Salida 2 3 5 7" xfId="37109"/>
    <cellStyle name="Salida 2 3 5 7 2" xfId="37110"/>
    <cellStyle name="Salida 2 3 5 8" xfId="37111"/>
    <cellStyle name="Salida 2 3 5 8 2" xfId="37112"/>
    <cellStyle name="Salida 2 3 5 9" xfId="37113"/>
    <cellStyle name="Salida 2 3 5 9 2" xfId="37114"/>
    <cellStyle name="Salida 2 3 6" xfId="37115"/>
    <cellStyle name="Salida 2 3 6 2" xfId="37116"/>
    <cellStyle name="Salida 2 3 7" xfId="37117"/>
    <cellStyle name="Salida 2 3 7 2" xfId="37118"/>
    <cellStyle name="Salida 2 3 8" xfId="37119"/>
    <cellStyle name="Salida 2 3 8 2" xfId="37120"/>
    <cellStyle name="Salida 2 3 9" xfId="37121"/>
    <cellStyle name="Salida 2 3 9 2" xfId="37122"/>
    <cellStyle name="Salida 2 4" xfId="37123"/>
    <cellStyle name="Salida 2 4 10" xfId="37124"/>
    <cellStyle name="Salida 2 4 10 2" xfId="37125"/>
    <cellStyle name="Salida 2 4 11" xfId="37126"/>
    <cellStyle name="Salida 2 4 11 2" xfId="37127"/>
    <cellStyle name="Salida 2 4 12" xfId="37128"/>
    <cellStyle name="Salida 2 4 12 2" xfId="37129"/>
    <cellStyle name="Salida 2 4 13" xfId="37130"/>
    <cellStyle name="Salida 2 4 13 2" xfId="37131"/>
    <cellStyle name="Salida 2 4 14" xfId="37132"/>
    <cellStyle name="Salida 2 4 14 2" xfId="37133"/>
    <cellStyle name="Salida 2 4 15" xfId="37134"/>
    <cellStyle name="Salida 2 4 2" xfId="37135"/>
    <cellStyle name="Salida 2 4 2 10" xfId="37136"/>
    <cellStyle name="Salida 2 4 2 10 2" xfId="37137"/>
    <cellStyle name="Salida 2 4 2 11" xfId="37138"/>
    <cellStyle name="Salida 2 4 2 11 2" xfId="37139"/>
    <cellStyle name="Salida 2 4 2 12" xfId="37140"/>
    <cellStyle name="Salida 2 4 2 12 2" xfId="37141"/>
    <cellStyle name="Salida 2 4 2 13" xfId="37142"/>
    <cellStyle name="Salida 2 4 2 2" xfId="37143"/>
    <cellStyle name="Salida 2 4 2 2 10" xfId="37144"/>
    <cellStyle name="Salida 2 4 2 2 10 2" xfId="37145"/>
    <cellStyle name="Salida 2 4 2 2 11" xfId="37146"/>
    <cellStyle name="Salida 2 4 2 2 2" xfId="37147"/>
    <cellStyle name="Salida 2 4 2 2 2 2" xfId="37148"/>
    <cellStyle name="Salida 2 4 2 2 3" xfId="37149"/>
    <cellStyle name="Salida 2 4 2 2 3 2" xfId="37150"/>
    <cellStyle name="Salida 2 4 2 2 4" xfId="37151"/>
    <cellStyle name="Salida 2 4 2 2 4 2" xfId="37152"/>
    <cellStyle name="Salida 2 4 2 2 5" xfId="37153"/>
    <cellStyle name="Salida 2 4 2 2 5 2" xfId="37154"/>
    <cellStyle name="Salida 2 4 2 2 6" xfId="37155"/>
    <cellStyle name="Salida 2 4 2 2 6 2" xfId="37156"/>
    <cellStyle name="Salida 2 4 2 2 7" xfId="37157"/>
    <cellStyle name="Salida 2 4 2 2 7 2" xfId="37158"/>
    <cellStyle name="Salida 2 4 2 2 8" xfId="37159"/>
    <cellStyle name="Salida 2 4 2 2 8 2" xfId="37160"/>
    <cellStyle name="Salida 2 4 2 2 9" xfId="37161"/>
    <cellStyle name="Salida 2 4 2 2 9 2" xfId="37162"/>
    <cellStyle name="Salida 2 4 2 3" xfId="37163"/>
    <cellStyle name="Salida 2 4 2 3 10" xfId="37164"/>
    <cellStyle name="Salida 2 4 2 3 10 2" xfId="37165"/>
    <cellStyle name="Salida 2 4 2 3 11" xfId="37166"/>
    <cellStyle name="Salida 2 4 2 3 2" xfId="37167"/>
    <cellStyle name="Salida 2 4 2 3 2 2" xfId="37168"/>
    <cellStyle name="Salida 2 4 2 3 3" xfId="37169"/>
    <cellStyle name="Salida 2 4 2 3 3 2" xfId="37170"/>
    <cellStyle name="Salida 2 4 2 3 4" xfId="37171"/>
    <cellStyle name="Salida 2 4 2 3 4 2" xfId="37172"/>
    <cellStyle name="Salida 2 4 2 3 5" xfId="37173"/>
    <cellStyle name="Salida 2 4 2 3 5 2" xfId="37174"/>
    <cellStyle name="Salida 2 4 2 3 6" xfId="37175"/>
    <cellStyle name="Salida 2 4 2 3 6 2" xfId="37176"/>
    <cellStyle name="Salida 2 4 2 3 7" xfId="37177"/>
    <cellStyle name="Salida 2 4 2 3 7 2" xfId="37178"/>
    <cellStyle name="Salida 2 4 2 3 8" xfId="37179"/>
    <cellStyle name="Salida 2 4 2 3 8 2" xfId="37180"/>
    <cellStyle name="Salida 2 4 2 3 9" xfId="37181"/>
    <cellStyle name="Salida 2 4 2 3 9 2" xfId="37182"/>
    <cellStyle name="Salida 2 4 2 4" xfId="37183"/>
    <cellStyle name="Salida 2 4 2 4 2" xfId="37184"/>
    <cellStyle name="Salida 2 4 2 5" xfId="37185"/>
    <cellStyle name="Salida 2 4 2 5 2" xfId="37186"/>
    <cellStyle name="Salida 2 4 2 6" xfId="37187"/>
    <cellStyle name="Salida 2 4 2 6 2" xfId="37188"/>
    <cellStyle name="Salida 2 4 2 7" xfId="37189"/>
    <cellStyle name="Salida 2 4 2 7 2" xfId="37190"/>
    <cellStyle name="Salida 2 4 2 8" xfId="37191"/>
    <cellStyle name="Salida 2 4 2 8 2" xfId="37192"/>
    <cellStyle name="Salida 2 4 2 9" xfId="37193"/>
    <cellStyle name="Salida 2 4 2 9 2" xfId="37194"/>
    <cellStyle name="Salida 2 4 3" xfId="37195"/>
    <cellStyle name="Salida 2 4 3 10" xfId="37196"/>
    <cellStyle name="Salida 2 4 3 10 2" xfId="37197"/>
    <cellStyle name="Salida 2 4 3 11" xfId="37198"/>
    <cellStyle name="Salida 2 4 3 11 2" xfId="37199"/>
    <cellStyle name="Salida 2 4 3 12" xfId="37200"/>
    <cellStyle name="Salida 2 4 3 12 2" xfId="37201"/>
    <cellStyle name="Salida 2 4 3 13" xfId="37202"/>
    <cellStyle name="Salida 2 4 3 2" xfId="37203"/>
    <cellStyle name="Salida 2 4 3 2 10" xfId="37204"/>
    <cellStyle name="Salida 2 4 3 2 10 2" xfId="37205"/>
    <cellStyle name="Salida 2 4 3 2 11" xfId="37206"/>
    <cellStyle name="Salida 2 4 3 2 2" xfId="37207"/>
    <cellStyle name="Salida 2 4 3 2 2 2" xfId="37208"/>
    <cellStyle name="Salida 2 4 3 2 3" xfId="37209"/>
    <cellStyle name="Salida 2 4 3 2 3 2" xfId="37210"/>
    <cellStyle name="Salida 2 4 3 2 4" xfId="37211"/>
    <cellStyle name="Salida 2 4 3 2 4 2" xfId="37212"/>
    <cellStyle name="Salida 2 4 3 2 5" xfId="37213"/>
    <cellStyle name="Salida 2 4 3 2 5 2" xfId="37214"/>
    <cellStyle name="Salida 2 4 3 2 6" xfId="37215"/>
    <cellStyle name="Salida 2 4 3 2 6 2" xfId="37216"/>
    <cellStyle name="Salida 2 4 3 2 7" xfId="37217"/>
    <cellStyle name="Salida 2 4 3 2 7 2" xfId="37218"/>
    <cellStyle name="Salida 2 4 3 2 8" xfId="37219"/>
    <cellStyle name="Salida 2 4 3 2 8 2" xfId="37220"/>
    <cellStyle name="Salida 2 4 3 2 9" xfId="37221"/>
    <cellStyle name="Salida 2 4 3 2 9 2" xfId="37222"/>
    <cellStyle name="Salida 2 4 3 3" xfId="37223"/>
    <cellStyle name="Salida 2 4 3 3 10" xfId="37224"/>
    <cellStyle name="Salida 2 4 3 3 10 2" xfId="37225"/>
    <cellStyle name="Salida 2 4 3 3 11" xfId="37226"/>
    <cellStyle name="Salida 2 4 3 3 2" xfId="37227"/>
    <cellStyle name="Salida 2 4 3 3 2 2" xfId="37228"/>
    <cellStyle name="Salida 2 4 3 3 3" xfId="37229"/>
    <cellStyle name="Salida 2 4 3 3 3 2" xfId="37230"/>
    <cellStyle name="Salida 2 4 3 3 4" xfId="37231"/>
    <cellStyle name="Salida 2 4 3 3 4 2" xfId="37232"/>
    <cellStyle name="Salida 2 4 3 3 5" xfId="37233"/>
    <cellStyle name="Salida 2 4 3 3 5 2" xfId="37234"/>
    <cellStyle name="Salida 2 4 3 3 6" xfId="37235"/>
    <cellStyle name="Salida 2 4 3 3 6 2" xfId="37236"/>
    <cellStyle name="Salida 2 4 3 3 7" xfId="37237"/>
    <cellStyle name="Salida 2 4 3 3 7 2" xfId="37238"/>
    <cellStyle name="Salida 2 4 3 3 8" xfId="37239"/>
    <cellStyle name="Salida 2 4 3 3 8 2" xfId="37240"/>
    <cellStyle name="Salida 2 4 3 3 9" xfId="37241"/>
    <cellStyle name="Salida 2 4 3 3 9 2" xfId="37242"/>
    <cellStyle name="Salida 2 4 3 4" xfId="37243"/>
    <cellStyle name="Salida 2 4 3 4 2" xfId="37244"/>
    <cellStyle name="Salida 2 4 3 5" xfId="37245"/>
    <cellStyle name="Salida 2 4 3 5 2" xfId="37246"/>
    <cellStyle name="Salida 2 4 3 6" xfId="37247"/>
    <cellStyle name="Salida 2 4 3 6 2" xfId="37248"/>
    <cellStyle name="Salida 2 4 3 7" xfId="37249"/>
    <cellStyle name="Salida 2 4 3 7 2" xfId="37250"/>
    <cellStyle name="Salida 2 4 3 8" xfId="37251"/>
    <cellStyle name="Salida 2 4 3 8 2" xfId="37252"/>
    <cellStyle name="Salida 2 4 3 9" xfId="37253"/>
    <cellStyle name="Salida 2 4 3 9 2" xfId="37254"/>
    <cellStyle name="Salida 2 4 4" xfId="37255"/>
    <cellStyle name="Salida 2 4 4 10" xfId="37256"/>
    <cellStyle name="Salida 2 4 4 10 2" xfId="37257"/>
    <cellStyle name="Salida 2 4 4 11" xfId="37258"/>
    <cellStyle name="Salida 2 4 4 2" xfId="37259"/>
    <cellStyle name="Salida 2 4 4 2 2" xfId="37260"/>
    <cellStyle name="Salida 2 4 4 3" xfId="37261"/>
    <cellStyle name="Salida 2 4 4 3 2" xfId="37262"/>
    <cellStyle name="Salida 2 4 4 4" xfId="37263"/>
    <cellStyle name="Salida 2 4 4 4 2" xfId="37264"/>
    <cellStyle name="Salida 2 4 4 5" xfId="37265"/>
    <cellStyle name="Salida 2 4 4 5 2" xfId="37266"/>
    <cellStyle name="Salida 2 4 4 6" xfId="37267"/>
    <cellStyle name="Salida 2 4 4 6 2" xfId="37268"/>
    <cellStyle name="Salida 2 4 4 7" xfId="37269"/>
    <cellStyle name="Salida 2 4 4 7 2" xfId="37270"/>
    <cellStyle name="Salida 2 4 4 8" xfId="37271"/>
    <cellStyle name="Salida 2 4 4 8 2" xfId="37272"/>
    <cellStyle name="Salida 2 4 4 9" xfId="37273"/>
    <cellStyle name="Salida 2 4 4 9 2" xfId="37274"/>
    <cellStyle name="Salida 2 4 5" xfId="37275"/>
    <cellStyle name="Salida 2 4 5 10" xfId="37276"/>
    <cellStyle name="Salida 2 4 5 10 2" xfId="37277"/>
    <cellStyle name="Salida 2 4 5 11" xfId="37278"/>
    <cellStyle name="Salida 2 4 5 2" xfId="37279"/>
    <cellStyle name="Salida 2 4 5 2 2" xfId="37280"/>
    <cellStyle name="Salida 2 4 5 3" xfId="37281"/>
    <cellStyle name="Salida 2 4 5 3 2" xfId="37282"/>
    <cellStyle name="Salida 2 4 5 4" xfId="37283"/>
    <cellStyle name="Salida 2 4 5 4 2" xfId="37284"/>
    <cellStyle name="Salida 2 4 5 5" xfId="37285"/>
    <cellStyle name="Salida 2 4 5 5 2" xfId="37286"/>
    <cellStyle name="Salida 2 4 5 6" xfId="37287"/>
    <cellStyle name="Salida 2 4 5 6 2" xfId="37288"/>
    <cellStyle name="Salida 2 4 5 7" xfId="37289"/>
    <cellStyle name="Salida 2 4 5 7 2" xfId="37290"/>
    <cellStyle name="Salida 2 4 5 8" xfId="37291"/>
    <cellStyle name="Salida 2 4 5 8 2" xfId="37292"/>
    <cellStyle name="Salida 2 4 5 9" xfId="37293"/>
    <cellStyle name="Salida 2 4 5 9 2" xfId="37294"/>
    <cellStyle name="Salida 2 4 6" xfId="37295"/>
    <cellStyle name="Salida 2 4 6 2" xfId="37296"/>
    <cellStyle name="Salida 2 4 7" xfId="37297"/>
    <cellStyle name="Salida 2 4 7 2" xfId="37298"/>
    <cellStyle name="Salida 2 4 8" xfId="37299"/>
    <cellStyle name="Salida 2 4 8 2" xfId="37300"/>
    <cellStyle name="Salida 2 4 9" xfId="37301"/>
    <cellStyle name="Salida 2 4 9 2" xfId="37302"/>
    <cellStyle name="Salida 2 5" xfId="37303"/>
    <cellStyle name="Salida 2 5 10" xfId="37304"/>
    <cellStyle name="Salida 2 5 10 2" xfId="37305"/>
    <cellStyle name="Salida 2 5 11" xfId="37306"/>
    <cellStyle name="Salida 2 5 11 2" xfId="37307"/>
    <cellStyle name="Salida 2 5 12" xfId="37308"/>
    <cellStyle name="Salida 2 5 12 2" xfId="37309"/>
    <cellStyle name="Salida 2 5 13" xfId="37310"/>
    <cellStyle name="Salida 2 5 13 2" xfId="37311"/>
    <cellStyle name="Salida 2 5 14" xfId="37312"/>
    <cellStyle name="Salida 2 5 14 2" xfId="37313"/>
    <cellStyle name="Salida 2 5 15" xfId="37314"/>
    <cellStyle name="Salida 2 5 2" xfId="37315"/>
    <cellStyle name="Salida 2 5 2 10" xfId="37316"/>
    <cellStyle name="Salida 2 5 2 10 2" xfId="37317"/>
    <cellStyle name="Salida 2 5 2 11" xfId="37318"/>
    <cellStyle name="Salida 2 5 2 11 2" xfId="37319"/>
    <cellStyle name="Salida 2 5 2 12" xfId="37320"/>
    <cellStyle name="Salida 2 5 2 12 2" xfId="37321"/>
    <cellStyle name="Salida 2 5 2 13" xfId="37322"/>
    <cellStyle name="Salida 2 5 2 2" xfId="37323"/>
    <cellStyle name="Salida 2 5 2 2 10" xfId="37324"/>
    <cellStyle name="Salida 2 5 2 2 10 2" xfId="37325"/>
    <cellStyle name="Salida 2 5 2 2 11" xfId="37326"/>
    <cellStyle name="Salida 2 5 2 2 2" xfId="37327"/>
    <cellStyle name="Salida 2 5 2 2 2 2" xfId="37328"/>
    <cellStyle name="Salida 2 5 2 2 3" xfId="37329"/>
    <cellStyle name="Salida 2 5 2 2 3 2" xfId="37330"/>
    <cellStyle name="Salida 2 5 2 2 4" xfId="37331"/>
    <cellStyle name="Salida 2 5 2 2 4 2" xfId="37332"/>
    <cellStyle name="Salida 2 5 2 2 5" xfId="37333"/>
    <cellStyle name="Salida 2 5 2 2 5 2" xfId="37334"/>
    <cellStyle name="Salida 2 5 2 2 6" xfId="37335"/>
    <cellStyle name="Salida 2 5 2 2 6 2" xfId="37336"/>
    <cellStyle name="Salida 2 5 2 2 7" xfId="37337"/>
    <cellStyle name="Salida 2 5 2 2 7 2" xfId="37338"/>
    <cellStyle name="Salida 2 5 2 2 8" xfId="37339"/>
    <cellStyle name="Salida 2 5 2 2 8 2" xfId="37340"/>
    <cellStyle name="Salida 2 5 2 2 9" xfId="37341"/>
    <cellStyle name="Salida 2 5 2 2 9 2" xfId="37342"/>
    <cellStyle name="Salida 2 5 2 3" xfId="37343"/>
    <cellStyle name="Salida 2 5 2 3 10" xfId="37344"/>
    <cellStyle name="Salida 2 5 2 3 10 2" xfId="37345"/>
    <cellStyle name="Salida 2 5 2 3 11" xfId="37346"/>
    <cellStyle name="Salida 2 5 2 3 2" xfId="37347"/>
    <cellStyle name="Salida 2 5 2 3 2 2" xfId="37348"/>
    <cellStyle name="Salida 2 5 2 3 3" xfId="37349"/>
    <cellStyle name="Salida 2 5 2 3 3 2" xfId="37350"/>
    <cellStyle name="Salida 2 5 2 3 4" xfId="37351"/>
    <cellStyle name="Salida 2 5 2 3 4 2" xfId="37352"/>
    <cellStyle name="Salida 2 5 2 3 5" xfId="37353"/>
    <cellStyle name="Salida 2 5 2 3 5 2" xfId="37354"/>
    <cellStyle name="Salida 2 5 2 3 6" xfId="37355"/>
    <cellStyle name="Salida 2 5 2 3 6 2" xfId="37356"/>
    <cellStyle name="Salida 2 5 2 3 7" xfId="37357"/>
    <cellStyle name="Salida 2 5 2 3 7 2" xfId="37358"/>
    <cellStyle name="Salida 2 5 2 3 8" xfId="37359"/>
    <cellStyle name="Salida 2 5 2 3 8 2" xfId="37360"/>
    <cellStyle name="Salida 2 5 2 3 9" xfId="37361"/>
    <cellStyle name="Salida 2 5 2 3 9 2" xfId="37362"/>
    <cellStyle name="Salida 2 5 2 4" xfId="37363"/>
    <cellStyle name="Salida 2 5 2 4 2" xfId="37364"/>
    <cellStyle name="Salida 2 5 2 5" xfId="37365"/>
    <cellStyle name="Salida 2 5 2 5 2" xfId="37366"/>
    <cellStyle name="Salida 2 5 2 6" xfId="37367"/>
    <cellStyle name="Salida 2 5 2 6 2" xfId="37368"/>
    <cellStyle name="Salida 2 5 2 7" xfId="37369"/>
    <cellStyle name="Salida 2 5 2 7 2" xfId="37370"/>
    <cellStyle name="Salida 2 5 2 8" xfId="37371"/>
    <cellStyle name="Salida 2 5 2 8 2" xfId="37372"/>
    <cellStyle name="Salida 2 5 2 9" xfId="37373"/>
    <cellStyle name="Salida 2 5 2 9 2" xfId="37374"/>
    <cellStyle name="Salida 2 5 3" xfId="37375"/>
    <cellStyle name="Salida 2 5 3 10" xfId="37376"/>
    <cellStyle name="Salida 2 5 3 10 2" xfId="37377"/>
    <cellStyle name="Salida 2 5 3 11" xfId="37378"/>
    <cellStyle name="Salida 2 5 3 11 2" xfId="37379"/>
    <cellStyle name="Salida 2 5 3 12" xfId="37380"/>
    <cellStyle name="Salida 2 5 3 12 2" xfId="37381"/>
    <cellStyle name="Salida 2 5 3 13" xfId="37382"/>
    <cellStyle name="Salida 2 5 3 2" xfId="37383"/>
    <cellStyle name="Salida 2 5 3 2 10" xfId="37384"/>
    <cellStyle name="Salida 2 5 3 2 10 2" xfId="37385"/>
    <cellStyle name="Salida 2 5 3 2 11" xfId="37386"/>
    <cellStyle name="Salida 2 5 3 2 2" xfId="37387"/>
    <cellStyle name="Salida 2 5 3 2 2 2" xfId="37388"/>
    <cellStyle name="Salida 2 5 3 2 3" xfId="37389"/>
    <cellStyle name="Salida 2 5 3 2 3 2" xfId="37390"/>
    <cellStyle name="Salida 2 5 3 2 4" xfId="37391"/>
    <cellStyle name="Salida 2 5 3 2 4 2" xfId="37392"/>
    <cellStyle name="Salida 2 5 3 2 5" xfId="37393"/>
    <cellStyle name="Salida 2 5 3 2 5 2" xfId="37394"/>
    <cellStyle name="Salida 2 5 3 2 6" xfId="37395"/>
    <cellStyle name="Salida 2 5 3 2 6 2" xfId="37396"/>
    <cellStyle name="Salida 2 5 3 2 7" xfId="37397"/>
    <cellStyle name="Salida 2 5 3 2 7 2" xfId="37398"/>
    <cellStyle name="Salida 2 5 3 2 8" xfId="37399"/>
    <cellStyle name="Salida 2 5 3 2 8 2" xfId="37400"/>
    <cellStyle name="Salida 2 5 3 2 9" xfId="37401"/>
    <cellStyle name="Salida 2 5 3 2 9 2" xfId="37402"/>
    <cellStyle name="Salida 2 5 3 3" xfId="37403"/>
    <cellStyle name="Salida 2 5 3 3 10" xfId="37404"/>
    <cellStyle name="Salida 2 5 3 3 10 2" xfId="37405"/>
    <cellStyle name="Salida 2 5 3 3 11" xfId="37406"/>
    <cellStyle name="Salida 2 5 3 3 2" xfId="37407"/>
    <cellStyle name="Salida 2 5 3 3 2 2" xfId="37408"/>
    <cellStyle name="Salida 2 5 3 3 3" xfId="37409"/>
    <cellStyle name="Salida 2 5 3 3 3 2" xfId="37410"/>
    <cellStyle name="Salida 2 5 3 3 4" xfId="37411"/>
    <cellStyle name="Salida 2 5 3 3 4 2" xfId="37412"/>
    <cellStyle name="Salida 2 5 3 3 5" xfId="37413"/>
    <cellStyle name="Salida 2 5 3 3 5 2" xfId="37414"/>
    <cellStyle name="Salida 2 5 3 3 6" xfId="37415"/>
    <cellStyle name="Salida 2 5 3 3 6 2" xfId="37416"/>
    <cellStyle name="Salida 2 5 3 3 7" xfId="37417"/>
    <cellStyle name="Salida 2 5 3 3 7 2" xfId="37418"/>
    <cellStyle name="Salida 2 5 3 3 8" xfId="37419"/>
    <cellStyle name="Salida 2 5 3 3 8 2" xfId="37420"/>
    <cellStyle name="Salida 2 5 3 3 9" xfId="37421"/>
    <cellStyle name="Salida 2 5 3 3 9 2" xfId="37422"/>
    <cellStyle name="Salida 2 5 3 4" xfId="37423"/>
    <cellStyle name="Salida 2 5 3 4 2" xfId="37424"/>
    <cellStyle name="Salida 2 5 3 5" xfId="37425"/>
    <cellStyle name="Salida 2 5 3 5 2" xfId="37426"/>
    <cellStyle name="Salida 2 5 3 6" xfId="37427"/>
    <cellStyle name="Salida 2 5 3 6 2" xfId="37428"/>
    <cellStyle name="Salida 2 5 3 7" xfId="37429"/>
    <cellStyle name="Salida 2 5 3 7 2" xfId="37430"/>
    <cellStyle name="Salida 2 5 3 8" xfId="37431"/>
    <cellStyle name="Salida 2 5 3 8 2" xfId="37432"/>
    <cellStyle name="Salida 2 5 3 9" xfId="37433"/>
    <cellStyle name="Salida 2 5 3 9 2" xfId="37434"/>
    <cellStyle name="Salida 2 5 4" xfId="37435"/>
    <cellStyle name="Salida 2 5 4 10" xfId="37436"/>
    <cellStyle name="Salida 2 5 4 10 2" xfId="37437"/>
    <cellStyle name="Salida 2 5 4 11" xfId="37438"/>
    <cellStyle name="Salida 2 5 4 2" xfId="37439"/>
    <cellStyle name="Salida 2 5 4 2 2" xfId="37440"/>
    <cellStyle name="Salida 2 5 4 3" xfId="37441"/>
    <cellStyle name="Salida 2 5 4 3 2" xfId="37442"/>
    <cellStyle name="Salida 2 5 4 4" xfId="37443"/>
    <cellStyle name="Salida 2 5 4 4 2" xfId="37444"/>
    <cellStyle name="Salida 2 5 4 5" xfId="37445"/>
    <cellStyle name="Salida 2 5 4 5 2" xfId="37446"/>
    <cellStyle name="Salida 2 5 4 6" xfId="37447"/>
    <cellStyle name="Salida 2 5 4 6 2" xfId="37448"/>
    <cellStyle name="Salida 2 5 4 7" xfId="37449"/>
    <cellStyle name="Salida 2 5 4 7 2" xfId="37450"/>
    <cellStyle name="Salida 2 5 4 8" xfId="37451"/>
    <cellStyle name="Salida 2 5 4 8 2" xfId="37452"/>
    <cellStyle name="Salida 2 5 4 9" xfId="37453"/>
    <cellStyle name="Salida 2 5 4 9 2" xfId="37454"/>
    <cellStyle name="Salida 2 5 5" xfId="37455"/>
    <cellStyle name="Salida 2 5 5 10" xfId="37456"/>
    <cellStyle name="Salida 2 5 5 10 2" xfId="37457"/>
    <cellStyle name="Salida 2 5 5 11" xfId="37458"/>
    <cellStyle name="Salida 2 5 5 2" xfId="37459"/>
    <cellStyle name="Salida 2 5 5 2 2" xfId="37460"/>
    <cellStyle name="Salida 2 5 5 3" xfId="37461"/>
    <cellStyle name="Salida 2 5 5 3 2" xfId="37462"/>
    <cellStyle name="Salida 2 5 5 4" xfId="37463"/>
    <cellStyle name="Salida 2 5 5 4 2" xfId="37464"/>
    <cellStyle name="Salida 2 5 5 5" xfId="37465"/>
    <cellStyle name="Salida 2 5 5 5 2" xfId="37466"/>
    <cellStyle name="Salida 2 5 5 6" xfId="37467"/>
    <cellStyle name="Salida 2 5 5 6 2" xfId="37468"/>
    <cellStyle name="Salida 2 5 5 7" xfId="37469"/>
    <cellStyle name="Salida 2 5 5 7 2" xfId="37470"/>
    <cellStyle name="Salida 2 5 5 8" xfId="37471"/>
    <cellStyle name="Salida 2 5 5 8 2" xfId="37472"/>
    <cellStyle name="Salida 2 5 5 9" xfId="37473"/>
    <cellStyle name="Salida 2 5 5 9 2" xfId="37474"/>
    <cellStyle name="Salida 2 5 6" xfId="37475"/>
    <cellStyle name="Salida 2 5 6 2" xfId="37476"/>
    <cellStyle name="Salida 2 5 7" xfId="37477"/>
    <cellStyle name="Salida 2 5 7 2" xfId="37478"/>
    <cellStyle name="Salida 2 5 8" xfId="37479"/>
    <cellStyle name="Salida 2 5 8 2" xfId="37480"/>
    <cellStyle name="Salida 2 5 9" xfId="37481"/>
    <cellStyle name="Salida 2 5 9 2" xfId="37482"/>
    <cellStyle name="Salida 2 6" xfId="37483"/>
    <cellStyle name="Salida 2 6 10" xfId="37484"/>
    <cellStyle name="Salida 2 6 10 2" xfId="37485"/>
    <cellStyle name="Salida 2 6 11" xfId="37486"/>
    <cellStyle name="Salida 2 6 11 2" xfId="37487"/>
    <cellStyle name="Salida 2 6 12" xfId="37488"/>
    <cellStyle name="Salida 2 6 12 2" xfId="37489"/>
    <cellStyle name="Salida 2 6 13" xfId="37490"/>
    <cellStyle name="Salida 2 6 13 2" xfId="37491"/>
    <cellStyle name="Salida 2 6 14" xfId="37492"/>
    <cellStyle name="Salida 2 6 14 2" xfId="37493"/>
    <cellStyle name="Salida 2 6 15" xfId="37494"/>
    <cellStyle name="Salida 2 6 2" xfId="37495"/>
    <cellStyle name="Salida 2 6 2 10" xfId="37496"/>
    <cellStyle name="Salida 2 6 2 10 2" xfId="37497"/>
    <cellStyle name="Salida 2 6 2 11" xfId="37498"/>
    <cellStyle name="Salida 2 6 2 11 2" xfId="37499"/>
    <cellStyle name="Salida 2 6 2 12" xfId="37500"/>
    <cellStyle name="Salida 2 6 2 12 2" xfId="37501"/>
    <cellStyle name="Salida 2 6 2 13" xfId="37502"/>
    <cellStyle name="Salida 2 6 2 2" xfId="37503"/>
    <cellStyle name="Salida 2 6 2 2 10" xfId="37504"/>
    <cellStyle name="Salida 2 6 2 2 10 2" xfId="37505"/>
    <cellStyle name="Salida 2 6 2 2 11" xfId="37506"/>
    <cellStyle name="Salida 2 6 2 2 2" xfId="37507"/>
    <cellStyle name="Salida 2 6 2 2 2 2" xfId="37508"/>
    <cellStyle name="Salida 2 6 2 2 3" xfId="37509"/>
    <cellStyle name="Salida 2 6 2 2 3 2" xfId="37510"/>
    <cellStyle name="Salida 2 6 2 2 4" xfId="37511"/>
    <cellStyle name="Salida 2 6 2 2 4 2" xfId="37512"/>
    <cellStyle name="Salida 2 6 2 2 5" xfId="37513"/>
    <cellStyle name="Salida 2 6 2 2 5 2" xfId="37514"/>
    <cellStyle name="Salida 2 6 2 2 6" xfId="37515"/>
    <cellStyle name="Salida 2 6 2 2 6 2" xfId="37516"/>
    <cellStyle name="Salida 2 6 2 2 7" xfId="37517"/>
    <cellStyle name="Salida 2 6 2 2 7 2" xfId="37518"/>
    <cellStyle name="Salida 2 6 2 2 8" xfId="37519"/>
    <cellStyle name="Salida 2 6 2 2 8 2" xfId="37520"/>
    <cellStyle name="Salida 2 6 2 2 9" xfId="37521"/>
    <cellStyle name="Salida 2 6 2 2 9 2" xfId="37522"/>
    <cellStyle name="Salida 2 6 2 3" xfId="37523"/>
    <cellStyle name="Salida 2 6 2 3 10" xfId="37524"/>
    <cellStyle name="Salida 2 6 2 3 10 2" xfId="37525"/>
    <cellStyle name="Salida 2 6 2 3 11" xfId="37526"/>
    <cellStyle name="Salida 2 6 2 3 2" xfId="37527"/>
    <cellStyle name="Salida 2 6 2 3 2 2" xfId="37528"/>
    <cellStyle name="Salida 2 6 2 3 3" xfId="37529"/>
    <cellStyle name="Salida 2 6 2 3 3 2" xfId="37530"/>
    <cellStyle name="Salida 2 6 2 3 4" xfId="37531"/>
    <cellStyle name="Salida 2 6 2 3 4 2" xfId="37532"/>
    <cellStyle name="Salida 2 6 2 3 5" xfId="37533"/>
    <cellStyle name="Salida 2 6 2 3 5 2" xfId="37534"/>
    <cellStyle name="Salida 2 6 2 3 6" xfId="37535"/>
    <cellStyle name="Salida 2 6 2 3 6 2" xfId="37536"/>
    <cellStyle name="Salida 2 6 2 3 7" xfId="37537"/>
    <cellStyle name="Salida 2 6 2 3 7 2" xfId="37538"/>
    <cellStyle name="Salida 2 6 2 3 8" xfId="37539"/>
    <cellStyle name="Salida 2 6 2 3 8 2" xfId="37540"/>
    <cellStyle name="Salida 2 6 2 3 9" xfId="37541"/>
    <cellStyle name="Salida 2 6 2 3 9 2" xfId="37542"/>
    <cellStyle name="Salida 2 6 2 4" xfId="37543"/>
    <cellStyle name="Salida 2 6 2 4 2" xfId="37544"/>
    <cellStyle name="Salida 2 6 2 5" xfId="37545"/>
    <cellStyle name="Salida 2 6 2 5 2" xfId="37546"/>
    <cellStyle name="Salida 2 6 2 6" xfId="37547"/>
    <cellStyle name="Salida 2 6 2 6 2" xfId="37548"/>
    <cellStyle name="Salida 2 6 2 7" xfId="37549"/>
    <cellStyle name="Salida 2 6 2 7 2" xfId="37550"/>
    <cellStyle name="Salida 2 6 2 8" xfId="37551"/>
    <cellStyle name="Salida 2 6 2 8 2" xfId="37552"/>
    <cellStyle name="Salida 2 6 2 9" xfId="37553"/>
    <cellStyle name="Salida 2 6 2 9 2" xfId="37554"/>
    <cellStyle name="Salida 2 6 3" xfId="37555"/>
    <cellStyle name="Salida 2 6 3 10" xfId="37556"/>
    <cellStyle name="Salida 2 6 3 10 2" xfId="37557"/>
    <cellStyle name="Salida 2 6 3 11" xfId="37558"/>
    <cellStyle name="Salida 2 6 3 11 2" xfId="37559"/>
    <cellStyle name="Salida 2 6 3 12" xfId="37560"/>
    <cellStyle name="Salida 2 6 3 12 2" xfId="37561"/>
    <cellStyle name="Salida 2 6 3 13" xfId="37562"/>
    <cellStyle name="Salida 2 6 3 2" xfId="37563"/>
    <cellStyle name="Salida 2 6 3 2 10" xfId="37564"/>
    <cellStyle name="Salida 2 6 3 2 10 2" xfId="37565"/>
    <cellStyle name="Salida 2 6 3 2 11" xfId="37566"/>
    <cellStyle name="Salida 2 6 3 2 2" xfId="37567"/>
    <cellStyle name="Salida 2 6 3 2 2 2" xfId="37568"/>
    <cellStyle name="Salida 2 6 3 2 3" xfId="37569"/>
    <cellStyle name="Salida 2 6 3 2 3 2" xfId="37570"/>
    <cellStyle name="Salida 2 6 3 2 4" xfId="37571"/>
    <cellStyle name="Salida 2 6 3 2 4 2" xfId="37572"/>
    <cellStyle name="Salida 2 6 3 2 5" xfId="37573"/>
    <cellStyle name="Salida 2 6 3 2 5 2" xfId="37574"/>
    <cellStyle name="Salida 2 6 3 2 6" xfId="37575"/>
    <cellStyle name="Salida 2 6 3 2 6 2" xfId="37576"/>
    <cellStyle name="Salida 2 6 3 2 7" xfId="37577"/>
    <cellStyle name="Salida 2 6 3 2 7 2" xfId="37578"/>
    <cellStyle name="Salida 2 6 3 2 8" xfId="37579"/>
    <cellStyle name="Salida 2 6 3 2 8 2" xfId="37580"/>
    <cellStyle name="Salida 2 6 3 2 9" xfId="37581"/>
    <cellStyle name="Salida 2 6 3 2 9 2" xfId="37582"/>
    <cellStyle name="Salida 2 6 3 3" xfId="37583"/>
    <cellStyle name="Salida 2 6 3 3 10" xfId="37584"/>
    <cellStyle name="Salida 2 6 3 3 10 2" xfId="37585"/>
    <cellStyle name="Salida 2 6 3 3 11" xfId="37586"/>
    <cellStyle name="Salida 2 6 3 3 2" xfId="37587"/>
    <cellStyle name="Salida 2 6 3 3 2 2" xfId="37588"/>
    <cellStyle name="Salida 2 6 3 3 3" xfId="37589"/>
    <cellStyle name="Salida 2 6 3 3 3 2" xfId="37590"/>
    <cellStyle name="Salida 2 6 3 3 4" xfId="37591"/>
    <cellStyle name="Salida 2 6 3 3 4 2" xfId="37592"/>
    <cellStyle name="Salida 2 6 3 3 5" xfId="37593"/>
    <cellStyle name="Salida 2 6 3 3 5 2" xfId="37594"/>
    <cellStyle name="Salida 2 6 3 3 6" xfId="37595"/>
    <cellStyle name="Salida 2 6 3 3 6 2" xfId="37596"/>
    <cellStyle name="Salida 2 6 3 3 7" xfId="37597"/>
    <cellStyle name="Salida 2 6 3 3 7 2" xfId="37598"/>
    <cellStyle name="Salida 2 6 3 3 8" xfId="37599"/>
    <cellStyle name="Salida 2 6 3 3 8 2" xfId="37600"/>
    <cellStyle name="Salida 2 6 3 3 9" xfId="37601"/>
    <cellStyle name="Salida 2 6 3 3 9 2" xfId="37602"/>
    <cellStyle name="Salida 2 6 3 4" xfId="37603"/>
    <cellStyle name="Salida 2 6 3 4 2" xfId="37604"/>
    <cellStyle name="Salida 2 6 3 5" xfId="37605"/>
    <cellStyle name="Salida 2 6 3 5 2" xfId="37606"/>
    <cellStyle name="Salida 2 6 3 6" xfId="37607"/>
    <cellStyle name="Salida 2 6 3 6 2" xfId="37608"/>
    <cellStyle name="Salida 2 6 3 7" xfId="37609"/>
    <cellStyle name="Salida 2 6 3 7 2" xfId="37610"/>
    <cellStyle name="Salida 2 6 3 8" xfId="37611"/>
    <cellStyle name="Salida 2 6 3 8 2" xfId="37612"/>
    <cellStyle name="Salida 2 6 3 9" xfId="37613"/>
    <cellStyle name="Salida 2 6 3 9 2" xfId="37614"/>
    <cellStyle name="Salida 2 6 4" xfId="37615"/>
    <cellStyle name="Salida 2 6 4 10" xfId="37616"/>
    <cellStyle name="Salida 2 6 4 10 2" xfId="37617"/>
    <cellStyle name="Salida 2 6 4 11" xfId="37618"/>
    <cellStyle name="Salida 2 6 4 2" xfId="37619"/>
    <cellStyle name="Salida 2 6 4 2 2" xfId="37620"/>
    <cellStyle name="Salida 2 6 4 3" xfId="37621"/>
    <cellStyle name="Salida 2 6 4 3 2" xfId="37622"/>
    <cellStyle name="Salida 2 6 4 4" xfId="37623"/>
    <cellStyle name="Salida 2 6 4 4 2" xfId="37624"/>
    <cellStyle name="Salida 2 6 4 5" xfId="37625"/>
    <cellStyle name="Salida 2 6 4 5 2" xfId="37626"/>
    <cellStyle name="Salida 2 6 4 6" xfId="37627"/>
    <cellStyle name="Salida 2 6 4 6 2" xfId="37628"/>
    <cellStyle name="Salida 2 6 4 7" xfId="37629"/>
    <cellStyle name="Salida 2 6 4 7 2" xfId="37630"/>
    <cellStyle name="Salida 2 6 4 8" xfId="37631"/>
    <cellStyle name="Salida 2 6 4 8 2" xfId="37632"/>
    <cellStyle name="Salida 2 6 4 9" xfId="37633"/>
    <cellStyle name="Salida 2 6 4 9 2" xfId="37634"/>
    <cellStyle name="Salida 2 6 5" xfId="37635"/>
    <cellStyle name="Salida 2 6 5 10" xfId="37636"/>
    <cellStyle name="Salida 2 6 5 10 2" xfId="37637"/>
    <cellStyle name="Salida 2 6 5 11" xfId="37638"/>
    <cellStyle name="Salida 2 6 5 2" xfId="37639"/>
    <cellStyle name="Salida 2 6 5 2 2" xfId="37640"/>
    <cellStyle name="Salida 2 6 5 3" xfId="37641"/>
    <cellStyle name="Salida 2 6 5 3 2" xfId="37642"/>
    <cellStyle name="Salida 2 6 5 4" xfId="37643"/>
    <cellStyle name="Salida 2 6 5 4 2" xfId="37644"/>
    <cellStyle name="Salida 2 6 5 5" xfId="37645"/>
    <cellStyle name="Salida 2 6 5 5 2" xfId="37646"/>
    <cellStyle name="Salida 2 6 5 6" xfId="37647"/>
    <cellStyle name="Salida 2 6 5 6 2" xfId="37648"/>
    <cellStyle name="Salida 2 6 5 7" xfId="37649"/>
    <cellStyle name="Salida 2 6 5 7 2" xfId="37650"/>
    <cellStyle name="Salida 2 6 5 8" xfId="37651"/>
    <cellStyle name="Salida 2 6 5 8 2" xfId="37652"/>
    <cellStyle name="Salida 2 6 5 9" xfId="37653"/>
    <cellStyle name="Salida 2 6 5 9 2" xfId="37654"/>
    <cellStyle name="Salida 2 6 6" xfId="37655"/>
    <cellStyle name="Salida 2 6 6 2" xfId="37656"/>
    <cellStyle name="Salida 2 6 7" xfId="37657"/>
    <cellStyle name="Salida 2 6 7 2" xfId="37658"/>
    <cellStyle name="Salida 2 6 8" xfId="37659"/>
    <cellStyle name="Salida 2 6 8 2" xfId="37660"/>
    <cellStyle name="Salida 2 6 9" xfId="37661"/>
    <cellStyle name="Salida 2 6 9 2" xfId="37662"/>
    <cellStyle name="Salida 2 7" xfId="37663"/>
    <cellStyle name="Salida 2 7 10" xfId="37664"/>
    <cellStyle name="Salida 2 7 10 2" xfId="37665"/>
    <cellStyle name="Salida 2 7 11" xfId="37666"/>
    <cellStyle name="Salida 2 7 11 2" xfId="37667"/>
    <cellStyle name="Salida 2 7 12" xfId="37668"/>
    <cellStyle name="Salida 2 7 12 2" xfId="37669"/>
    <cellStyle name="Salida 2 7 13" xfId="37670"/>
    <cellStyle name="Salida 2 7 2" xfId="37671"/>
    <cellStyle name="Salida 2 7 2 10" xfId="37672"/>
    <cellStyle name="Salida 2 7 2 10 2" xfId="37673"/>
    <cellStyle name="Salida 2 7 2 11" xfId="37674"/>
    <cellStyle name="Salida 2 7 2 2" xfId="37675"/>
    <cellStyle name="Salida 2 7 2 2 2" xfId="37676"/>
    <cellStyle name="Salida 2 7 2 3" xfId="37677"/>
    <cellStyle name="Salida 2 7 2 3 2" xfId="37678"/>
    <cellStyle name="Salida 2 7 2 4" xfId="37679"/>
    <cellStyle name="Salida 2 7 2 4 2" xfId="37680"/>
    <cellStyle name="Salida 2 7 2 5" xfId="37681"/>
    <cellStyle name="Salida 2 7 2 5 2" xfId="37682"/>
    <cellStyle name="Salida 2 7 2 6" xfId="37683"/>
    <cellStyle name="Salida 2 7 2 6 2" xfId="37684"/>
    <cellStyle name="Salida 2 7 2 7" xfId="37685"/>
    <cellStyle name="Salida 2 7 2 7 2" xfId="37686"/>
    <cellStyle name="Salida 2 7 2 8" xfId="37687"/>
    <cellStyle name="Salida 2 7 2 8 2" xfId="37688"/>
    <cellStyle name="Salida 2 7 2 9" xfId="37689"/>
    <cellStyle name="Salida 2 7 2 9 2" xfId="37690"/>
    <cellStyle name="Salida 2 7 3" xfId="37691"/>
    <cellStyle name="Salida 2 7 3 10" xfId="37692"/>
    <cellStyle name="Salida 2 7 3 10 2" xfId="37693"/>
    <cellStyle name="Salida 2 7 3 11" xfId="37694"/>
    <cellStyle name="Salida 2 7 3 2" xfId="37695"/>
    <cellStyle name="Salida 2 7 3 2 2" xfId="37696"/>
    <cellStyle name="Salida 2 7 3 3" xfId="37697"/>
    <cellStyle name="Salida 2 7 3 3 2" xfId="37698"/>
    <cellStyle name="Salida 2 7 3 4" xfId="37699"/>
    <cellStyle name="Salida 2 7 3 4 2" xfId="37700"/>
    <cellStyle name="Salida 2 7 3 5" xfId="37701"/>
    <cellStyle name="Salida 2 7 3 5 2" xfId="37702"/>
    <cellStyle name="Salida 2 7 3 6" xfId="37703"/>
    <cellStyle name="Salida 2 7 3 6 2" xfId="37704"/>
    <cellStyle name="Salida 2 7 3 7" xfId="37705"/>
    <cellStyle name="Salida 2 7 3 7 2" xfId="37706"/>
    <cellStyle name="Salida 2 7 3 8" xfId="37707"/>
    <cellStyle name="Salida 2 7 3 8 2" xfId="37708"/>
    <cellStyle name="Salida 2 7 3 9" xfId="37709"/>
    <cellStyle name="Salida 2 7 3 9 2" xfId="37710"/>
    <cellStyle name="Salida 2 7 4" xfId="37711"/>
    <cellStyle name="Salida 2 7 4 2" xfId="37712"/>
    <cellStyle name="Salida 2 7 5" xfId="37713"/>
    <cellStyle name="Salida 2 7 5 2" xfId="37714"/>
    <cellStyle name="Salida 2 7 6" xfId="37715"/>
    <cellStyle name="Salida 2 7 6 2" xfId="37716"/>
    <cellStyle name="Salida 2 7 7" xfId="37717"/>
    <cellStyle name="Salida 2 7 7 2" xfId="37718"/>
    <cellStyle name="Salida 2 7 8" xfId="37719"/>
    <cellStyle name="Salida 2 7 8 2" xfId="37720"/>
    <cellStyle name="Salida 2 7 9" xfId="37721"/>
    <cellStyle name="Salida 2 7 9 2" xfId="37722"/>
    <cellStyle name="Salida 2 8" xfId="37723"/>
    <cellStyle name="Salida 2 8 10" xfId="37724"/>
    <cellStyle name="Salida 2 8 10 2" xfId="37725"/>
    <cellStyle name="Salida 2 8 11" xfId="37726"/>
    <cellStyle name="Salida 2 8 11 2" xfId="37727"/>
    <cellStyle name="Salida 2 8 12" xfId="37728"/>
    <cellStyle name="Salida 2 8 12 2" xfId="37729"/>
    <cellStyle name="Salida 2 8 13" xfId="37730"/>
    <cellStyle name="Salida 2 8 2" xfId="37731"/>
    <cellStyle name="Salida 2 8 2 10" xfId="37732"/>
    <cellStyle name="Salida 2 8 2 10 2" xfId="37733"/>
    <cellStyle name="Salida 2 8 2 11" xfId="37734"/>
    <cellStyle name="Salida 2 8 2 2" xfId="37735"/>
    <cellStyle name="Salida 2 8 2 2 2" xfId="37736"/>
    <cellStyle name="Salida 2 8 2 3" xfId="37737"/>
    <cellStyle name="Salida 2 8 2 3 2" xfId="37738"/>
    <cellStyle name="Salida 2 8 2 4" xfId="37739"/>
    <cellStyle name="Salida 2 8 2 4 2" xfId="37740"/>
    <cellStyle name="Salida 2 8 2 5" xfId="37741"/>
    <cellStyle name="Salida 2 8 2 5 2" xfId="37742"/>
    <cellStyle name="Salida 2 8 2 6" xfId="37743"/>
    <cellStyle name="Salida 2 8 2 6 2" xfId="37744"/>
    <cellStyle name="Salida 2 8 2 7" xfId="37745"/>
    <cellStyle name="Salida 2 8 2 7 2" xfId="37746"/>
    <cellStyle name="Salida 2 8 2 8" xfId="37747"/>
    <cellStyle name="Salida 2 8 2 8 2" xfId="37748"/>
    <cellStyle name="Salida 2 8 2 9" xfId="37749"/>
    <cellStyle name="Salida 2 8 2 9 2" xfId="37750"/>
    <cellStyle name="Salida 2 8 3" xfId="37751"/>
    <cellStyle name="Salida 2 8 3 10" xfId="37752"/>
    <cellStyle name="Salida 2 8 3 10 2" xfId="37753"/>
    <cellStyle name="Salida 2 8 3 11" xfId="37754"/>
    <cellStyle name="Salida 2 8 3 2" xfId="37755"/>
    <cellStyle name="Salida 2 8 3 2 2" xfId="37756"/>
    <cellStyle name="Salida 2 8 3 3" xfId="37757"/>
    <cellStyle name="Salida 2 8 3 3 2" xfId="37758"/>
    <cellStyle name="Salida 2 8 3 4" xfId="37759"/>
    <cellStyle name="Salida 2 8 3 4 2" xfId="37760"/>
    <cellStyle name="Salida 2 8 3 5" xfId="37761"/>
    <cellStyle name="Salida 2 8 3 5 2" xfId="37762"/>
    <cellStyle name="Salida 2 8 3 6" xfId="37763"/>
    <cellStyle name="Salida 2 8 3 6 2" xfId="37764"/>
    <cellStyle name="Salida 2 8 3 7" xfId="37765"/>
    <cellStyle name="Salida 2 8 3 7 2" xfId="37766"/>
    <cellStyle name="Salida 2 8 3 8" xfId="37767"/>
    <cellStyle name="Salida 2 8 3 8 2" xfId="37768"/>
    <cellStyle name="Salida 2 8 3 9" xfId="37769"/>
    <cellStyle name="Salida 2 8 3 9 2" xfId="37770"/>
    <cellStyle name="Salida 2 8 4" xfId="37771"/>
    <cellStyle name="Salida 2 8 4 2" xfId="37772"/>
    <cellStyle name="Salida 2 8 5" xfId="37773"/>
    <cellStyle name="Salida 2 8 5 2" xfId="37774"/>
    <cellStyle name="Salida 2 8 6" xfId="37775"/>
    <cellStyle name="Salida 2 8 6 2" xfId="37776"/>
    <cellStyle name="Salida 2 8 7" xfId="37777"/>
    <cellStyle name="Salida 2 8 7 2" xfId="37778"/>
    <cellStyle name="Salida 2 8 8" xfId="37779"/>
    <cellStyle name="Salida 2 8 8 2" xfId="37780"/>
    <cellStyle name="Salida 2 8 9" xfId="37781"/>
    <cellStyle name="Salida 2 8 9 2" xfId="37782"/>
    <cellStyle name="Salida 2 9" xfId="37783"/>
    <cellStyle name="Salida 2 9 2" xfId="37784"/>
    <cellStyle name="Salida 3" xfId="218"/>
    <cellStyle name="Salida 3 10" xfId="37785"/>
    <cellStyle name="Salida 3 10 2" xfId="37786"/>
    <cellStyle name="Salida 3 11" xfId="37787"/>
    <cellStyle name="Salida 3 11 2" xfId="37788"/>
    <cellStyle name="Salida 3 12" xfId="37789"/>
    <cellStyle name="Salida 3 12 2" xfId="37790"/>
    <cellStyle name="Salida 3 13" xfId="37791"/>
    <cellStyle name="Salida 3 13 2" xfId="37792"/>
    <cellStyle name="Salida 3 14" xfId="37793"/>
    <cellStyle name="Salida 3 14 2" xfId="37794"/>
    <cellStyle name="Salida 3 15" xfId="37795"/>
    <cellStyle name="Salida 3 16" xfId="37796"/>
    <cellStyle name="Salida 3 17" xfId="37797"/>
    <cellStyle name="Salida 3 2" xfId="37798"/>
    <cellStyle name="Salida 3 2 10" xfId="37799"/>
    <cellStyle name="Salida 3 2 10 2" xfId="37800"/>
    <cellStyle name="Salida 3 2 11" xfId="37801"/>
    <cellStyle name="Salida 3 2 11 2" xfId="37802"/>
    <cellStyle name="Salida 3 2 12" xfId="37803"/>
    <cellStyle name="Salida 3 2 12 2" xfId="37804"/>
    <cellStyle name="Salida 3 2 13" xfId="37805"/>
    <cellStyle name="Salida 3 2 13 2" xfId="37806"/>
    <cellStyle name="Salida 3 2 14" xfId="37807"/>
    <cellStyle name="Salida 3 2 14 2" xfId="37808"/>
    <cellStyle name="Salida 3 2 15" xfId="37809"/>
    <cellStyle name="Salida 3 2 2" xfId="37810"/>
    <cellStyle name="Salida 3 2 2 10" xfId="37811"/>
    <cellStyle name="Salida 3 2 2 10 2" xfId="37812"/>
    <cellStyle name="Salida 3 2 2 11" xfId="37813"/>
    <cellStyle name="Salida 3 2 2 11 2" xfId="37814"/>
    <cellStyle name="Salida 3 2 2 12" xfId="37815"/>
    <cellStyle name="Salida 3 2 2 12 2" xfId="37816"/>
    <cellStyle name="Salida 3 2 2 13" xfId="37817"/>
    <cellStyle name="Salida 3 2 2 2" xfId="37818"/>
    <cellStyle name="Salida 3 2 2 2 10" xfId="37819"/>
    <cellStyle name="Salida 3 2 2 2 10 2" xfId="37820"/>
    <cellStyle name="Salida 3 2 2 2 11" xfId="37821"/>
    <cellStyle name="Salida 3 2 2 2 2" xfId="37822"/>
    <cellStyle name="Salida 3 2 2 2 2 2" xfId="37823"/>
    <cellStyle name="Salida 3 2 2 2 3" xfId="37824"/>
    <cellStyle name="Salida 3 2 2 2 3 2" xfId="37825"/>
    <cellStyle name="Salida 3 2 2 2 4" xfId="37826"/>
    <cellStyle name="Salida 3 2 2 2 4 2" xfId="37827"/>
    <cellStyle name="Salida 3 2 2 2 5" xfId="37828"/>
    <cellStyle name="Salida 3 2 2 2 5 2" xfId="37829"/>
    <cellStyle name="Salida 3 2 2 2 6" xfId="37830"/>
    <cellStyle name="Salida 3 2 2 2 6 2" xfId="37831"/>
    <cellStyle name="Salida 3 2 2 2 7" xfId="37832"/>
    <cellStyle name="Salida 3 2 2 2 7 2" xfId="37833"/>
    <cellStyle name="Salida 3 2 2 2 8" xfId="37834"/>
    <cellStyle name="Salida 3 2 2 2 8 2" xfId="37835"/>
    <cellStyle name="Salida 3 2 2 2 9" xfId="37836"/>
    <cellStyle name="Salida 3 2 2 2 9 2" xfId="37837"/>
    <cellStyle name="Salida 3 2 2 3" xfId="37838"/>
    <cellStyle name="Salida 3 2 2 3 10" xfId="37839"/>
    <cellStyle name="Salida 3 2 2 3 10 2" xfId="37840"/>
    <cellStyle name="Salida 3 2 2 3 11" xfId="37841"/>
    <cellStyle name="Salida 3 2 2 3 2" xfId="37842"/>
    <cellStyle name="Salida 3 2 2 3 2 2" xfId="37843"/>
    <cellStyle name="Salida 3 2 2 3 3" xfId="37844"/>
    <cellStyle name="Salida 3 2 2 3 3 2" xfId="37845"/>
    <cellStyle name="Salida 3 2 2 3 4" xfId="37846"/>
    <cellStyle name="Salida 3 2 2 3 4 2" xfId="37847"/>
    <cellStyle name="Salida 3 2 2 3 5" xfId="37848"/>
    <cellStyle name="Salida 3 2 2 3 5 2" xfId="37849"/>
    <cellStyle name="Salida 3 2 2 3 6" xfId="37850"/>
    <cellStyle name="Salida 3 2 2 3 6 2" xfId="37851"/>
    <cellStyle name="Salida 3 2 2 3 7" xfId="37852"/>
    <cellStyle name="Salida 3 2 2 3 7 2" xfId="37853"/>
    <cellStyle name="Salida 3 2 2 3 8" xfId="37854"/>
    <cellStyle name="Salida 3 2 2 3 8 2" xfId="37855"/>
    <cellStyle name="Salida 3 2 2 3 9" xfId="37856"/>
    <cellStyle name="Salida 3 2 2 3 9 2" xfId="37857"/>
    <cellStyle name="Salida 3 2 2 4" xfId="37858"/>
    <cellStyle name="Salida 3 2 2 4 2" xfId="37859"/>
    <cellStyle name="Salida 3 2 2 5" xfId="37860"/>
    <cellStyle name="Salida 3 2 2 5 2" xfId="37861"/>
    <cellStyle name="Salida 3 2 2 6" xfId="37862"/>
    <cellStyle name="Salida 3 2 2 6 2" xfId="37863"/>
    <cellStyle name="Salida 3 2 2 7" xfId="37864"/>
    <cellStyle name="Salida 3 2 2 7 2" xfId="37865"/>
    <cellStyle name="Salida 3 2 2 8" xfId="37866"/>
    <cellStyle name="Salida 3 2 2 8 2" xfId="37867"/>
    <cellStyle name="Salida 3 2 2 9" xfId="37868"/>
    <cellStyle name="Salida 3 2 2 9 2" xfId="37869"/>
    <cellStyle name="Salida 3 2 3" xfId="37870"/>
    <cellStyle name="Salida 3 2 3 10" xfId="37871"/>
    <cellStyle name="Salida 3 2 3 10 2" xfId="37872"/>
    <cellStyle name="Salida 3 2 3 11" xfId="37873"/>
    <cellStyle name="Salida 3 2 3 11 2" xfId="37874"/>
    <cellStyle name="Salida 3 2 3 12" xfId="37875"/>
    <cellStyle name="Salida 3 2 3 12 2" xfId="37876"/>
    <cellStyle name="Salida 3 2 3 13" xfId="37877"/>
    <cellStyle name="Salida 3 2 3 2" xfId="37878"/>
    <cellStyle name="Salida 3 2 3 2 10" xfId="37879"/>
    <cellStyle name="Salida 3 2 3 2 10 2" xfId="37880"/>
    <cellStyle name="Salida 3 2 3 2 11" xfId="37881"/>
    <cellStyle name="Salida 3 2 3 2 2" xfId="37882"/>
    <cellStyle name="Salida 3 2 3 2 2 2" xfId="37883"/>
    <cellStyle name="Salida 3 2 3 2 3" xfId="37884"/>
    <cellStyle name="Salida 3 2 3 2 3 2" xfId="37885"/>
    <cellStyle name="Salida 3 2 3 2 4" xfId="37886"/>
    <cellStyle name="Salida 3 2 3 2 4 2" xfId="37887"/>
    <cellStyle name="Salida 3 2 3 2 5" xfId="37888"/>
    <cellStyle name="Salida 3 2 3 2 5 2" xfId="37889"/>
    <cellStyle name="Salida 3 2 3 2 6" xfId="37890"/>
    <cellStyle name="Salida 3 2 3 2 6 2" xfId="37891"/>
    <cellStyle name="Salida 3 2 3 2 7" xfId="37892"/>
    <cellStyle name="Salida 3 2 3 2 7 2" xfId="37893"/>
    <cellStyle name="Salida 3 2 3 2 8" xfId="37894"/>
    <cellStyle name="Salida 3 2 3 2 8 2" xfId="37895"/>
    <cellStyle name="Salida 3 2 3 2 9" xfId="37896"/>
    <cellStyle name="Salida 3 2 3 2 9 2" xfId="37897"/>
    <cellStyle name="Salida 3 2 3 3" xfId="37898"/>
    <cellStyle name="Salida 3 2 3 3 10" xfId="37899"/>
    <cellStyle name="Salida 3 2 3 3 10 2" xfId="37900"/>
    <cellStyle name="Salida 3 2 3 3 11" xfId="37901"/>
    <cellStyle name="Salida 3 2 3 3 2" xfId="37902"/>
    <cellStyle name="Salida 3 2 3 3 2 2" xfId="37903"/>
    <cellStyle name="Salida 3 2 3 3 3" xfId="37904"/>
    <cellStyle name="Salida 3 2 3 3 3 2" xfId="37905"/>
    <cellStyle name="Salida 3 2 3 3 4" xfId="37906"/>
    <cellStyle name="Salida 3 2 3 3 4 2" xfId="37907"/>
    <cellStyle name="Salida 3 2 3 3 5" xfId="37908"/>
    <cellStyle name="Salida 3 2 3 3 5 2" xfId="37909"/>
    <cellStyle name="Salida 3 2 3 3 6" xfId="37910"/>
    <cellStyle name="Salida 3 2 3 3 6 2" xfId="37911"/>
    <cellStyle name="Salida 3 2 3 3 7" xfId="37912"/>
    <cellStyle name="Salida 3 2 3 3 7 2" xfId="37913"/>
    <cellStyle name="Salida 3 2 3 3 8" xfId="37914"/>
    <cellStyle name="Salida 3 2 3 3 8 2" xfId="37915"/>
    <cellStyle name="Salida 3 2 3 3 9" xfId="37916"/>
    <cellStyle name="Salida 3 2 3 3 9 2" xfId="37917"/>
    <cellStyle name="Salida 3 2 3 4" xfId="37918"/>
    <cellStyle name="Salida 3 2 3 4 2" xfId="37919"/>
    <cellStyle name="Salida 3 2 3 5" xfId="37920"/>
    <cellStyle name="Salida 3 2 3 5 2" xfId="37921"/>
    <cellStyle name="Salida 3 2 3 6" xfId="37922"/>
    <cellStyle name="Salida 3 2 3 6 2" xfId="37923"/>
    <cellStyle name="Salida 3 2 3 7" xfId="37924"/>
    <cellStyle name="Salida 3 2 3 7 2" xfId="37925"/>
    <cellStyle name="Salida 3 2 3 8" xfId="37926"/>
    <cellStyle name="Salida 3 2 3 8 2" xfId="37927"/>
    <cellStyle name="Salida 3 2 3 9" xfId="37928"/>
    <cellStyle name="Salida 3 2 3 9 2" xfId="37929"/>
    <cellStyle name="Salida 3 2 4" xfId="37930"/>
    <cellStyle name="Salida 3 2 4 10" xfId="37931"/>
    <cellStyle name="Salida 3 2 4 10 2" xfId="37932"/>
    <cellStyle name="Salida 3 2 4 11" xfId="37933"/>
    <cellStyle name="Salida 3 2 4 2" xfId="37934"/>
    <cellStyle name="Salida 3 2 4 2 2" xfId="37935"/>
    <cellStyle name="Salida 3 2 4 3" xfId="37936"/>
    <cellStyle name="Salida 3 2 4 3 2" xfId="37937"/>
    <cellStyle name="Salida 3 2 4 4" xfId="37938"/>
    <cellStyle name="Salida 3 2 4 4 2" xfId="37939"/>
    <cellStyle name="Salida 3 2 4 5" xfId="37940"/>
    <cellStyle name="Salida 3 2 4 5 2" xfId="37941"/>
    <cellStyle name="Salida 3 2 4 6" xfId="37942"/>
    <cellStyle name="Salida 3 2 4 6 2" xfId="37943"/>
    <cellStyle name="Salida 3 2 4 7" xfId="37944"/>
    <cellStyle name="Salida 3 2 4 7 2" xfId="37945"/>
    <cellStyle name="Salida 3 2 4 8" xfId="37946"/>
    <cellStyle name="Salida 3 2 4 8 2" xfId="37947"/>
    <cellStyle name="Salida 3 2 4 9" xfId="37948"/>
    <cellStyle name="Salida 3 2 4 9 2" xfId="37949"/>
    <cellStyle name="Salida 3 2 5" xfId="37950"/>
    <cellStyle name="Salida 3 2 5 10" xfId="37951"/>
    <cellStyle name="Salida 3 2 5 10 2" xfId="37952"/>
    <cellStyle name="Salida 3 2 5 11" xfId="37953"/>
    <cellStyle name="Salida 3 2 5 2" xfId="37954"/>
    <cellStyle name="Salida 3 2 5 2 2" xfId="37955"/>
    <cellStyle name="Salida 3 2 5 3" xfId="37956"/>
    <cellStyle name="Salida 3 2 5 3 2" xfId="37957"/>
    <cellStyle name="Salida 3 2 5 4" xfId="37958"/>
    <cellStyle name="Salida 3 2 5 4 2" xfId="37959"/>
    <cellStyle name="Salida 3 2 5 5" xfId="37960"/>
    <cellStyle name="Salida 3 2 5 5 2" xfId="37961"/>
    <cellStyle name="Salida 3 2 5 6" xfId="37962"/>
    <cellStyle name="Salida 3 2 5 6 2" xfId="37963"/>
    <cellStyle name="Salida 3 2 5 7" xfId="37964"/>
    <cellStyle name="Salida 3 2 5 7 2" xfId="37965"/>
    <cellStyle name="Salida 3 2 5 8" xfId="37966"/>
    <cellStyle name="Salida 3 2 5 8 2" xfId="37967"/>
    <cellStyle name="Salida 3 2 5 9" xfId="37968"/>
    <cellStyle name="Salida 3 2 5 9 2" xfId="37969"/>
    <cellStyle name="Salida 3 2 6" xfId="37970"/>
    <cellStyle name="Salida 3 2 6 2" xfId="37971"/>
    <cellStyle name="Salida 3 2 7" xfId="37972"/>
    <cellStyle name="Salida 3 2 7 2" xfId="37973"/>
    <cellStyle name="Salida 3 2 8" xfId="37974"/>
    <cellStyle name="Salida 3 2 8 2" xfId="37975"/>
    <cellStyle name="Salida 3 2 9" xfId="37976"/>
    <cellStyle name="Salida 3 2 9 2" xfId="37977"/>
    <cellStyle name="Salida 3 3" xfId="37978"/>
    <cellStyle name="Salida 3 3 10" xfId="37979"/>
    <cellStyle name="Salida 3 3 10 2" xfId="37980"/>
    <cellStyle name="Salida 3 3 11" xfId="37981"/>
    <cellStyle name="Salida 3 3 11 2" xfId="37982"/>
    <cellStyle name="Salida 3 3 12" xfId="37983"/>
    <cellStyle name="Salida 3 3 12 2" xfId="37984"/>
    <cellStyle name="Salida 3 3 13" xfId="37985"/>
    <cellStyle name="Salida 3 3 13 2" xfId="37986"/>
    <cellStyle name="Salida 3 3 14" xfId="37987"/>
    <cellStyle name="Salida 3 3 14 2" xfId="37988"/>
    <cellStyle name="Salida 3 3 15" xfId="37989"/>
    <cellStyle name="Salida 3 3 2" xfId="37990"/>
    <cellStyle name="Salida 3 3 2 10" xfId="37991"/>
    <cellStyle name="Salida 3 3 2 10 2" xfId="37992"/>
    <cellStyle name="Salida 3 3 2 11" xfId="37993"/>
    <cellStyle name="Salida 3 3 2 11 2" xfId="37994"/>
    <cellStyle name="Salida 3 3 2 12" xfId="37995"/>
    <cellStyle name="Salida 3 3 2 12 2" xfId="37996"/>
    <cellStyle name="Salida 3 3 2 13" xfId="37997"/>
    <cellStyle name="Salida 3 3 2 2" xfId="37998"/>
    <cellStyle name="Salida 3 3 2 2 10" xfId="37999"/>
    <cellStyle name="Salida 3 3 2 2 10 2" xfId="38000"/>
    <cellStyle name="Salida 3 3 2 2 11" xfId="38001"/>
    <cellStyle name="Salida 3 3 2 2 2" xfId="38002"/>
    <cellStyle name="Salida 3 3 2 2 2 2" xfId="38003"/>
    <cellStyle name="Salida 3 3 2 2 3" xfId="38004"/>
    <cellStyle name="Salida 3 3 2 2 3 2" xfId="38005"/>
    <cellStyle name="Salida 3 3 2 2 4" xfId="38006"/>
    <cellStyle name="Salida 3 3 2 2 4 2" xfId="38007"/>
    <cellStyle name="Salida 3 3 2 2 5" xfId="38008"/>
    <cellStyle name="Salida 3 3 2 2 5 2" xfId="38009"/>
    <cellStyle name="Salida 3 3 2 2 6" xfId="38010"/>
    <cellStyle name="Salida 3 3 2 2 6 2" xfId="38011"/>
    <cellStyle name="Salida 3 3 2 2 7" xfId="38012"/>
    <cellStyle name="Salida 3 3 2 2 7 2" xfId="38013"/>
    <cellStyle name="Salida 3 3 2 2 8" xfId="38014"/>
    <cellStyle name="Salida 3 3 2 2 8 2" xfId="38015"/>
    <cellStyle name="Salida 3 3 2 2 9" xfId="38016"/>
    <cellStyle name="Salida 3 3 2 2 9 2" xfId="38017"/>
    <cellStyle name="Salida 3 3 2 3" xfId="38018"/>
    <cellStyle name="Salida 3 3 2 3 10" xfId="38019"/>
    <cellStyle name="Salida 3 3 2 3 10 2" xfId="38020"/>
    <cellStyle name="Salida 3 3 2 3 11" xfId="38021"/>
    <cellStyle name="Salida 3 3 2 3 2" xfId="38022"/>
    <cellStyle name="Salida 3 3 2 3 2 2" xfId="38023"/>
    <cellStyle name="Salida 3 3 2 3 3" xfId="38024"/>
    <cellStyle name="Salida 3 3 2 3 3 2" xfId="38025"/>
    <cellStyle name="Salida 3 3 2 3 4" xfId="38026"/>
    <cellStyle name="Salida 3 3 2 3 4 2" xfId="38027"/>
    <cellStyle name="Salida 3 3 2 3 5" xfId="38028"/>
    <cellStyle name="Salida 3 3 2 3 5 2" xfId="38029"/>
    <cellStyle name="Salida 3 3 2 3 6" xfId="38030"/>
    <cellStyle name="Salida 3 3 2 3 6 2" xfId="38031"/>
    <cellStyle name="Salida 3 3 2 3 7" xfId="38032"/>
    <cellStyle name="Salida 3 3 2 3 7 2" xfId="38033"/>
    <cellStyle name="Salida 3 3 2 3 8" xfId="38034"/>
    <cellStyle name="Salida 3 3 2 3 8 2" xfId="38035"/>
    <cellStyle name="Salida 3 3 2 3 9" xfId="38036"/>
    <cellStyle name="Salida 3 3 2 3 9 2" xfId="38037"/>
    <cellStyle name="Salida 3 3 2 4" xfId="38038"/>
    <cellStyle name="Salida 3 3 2 4 2" xfId="38039"/>
    <cellStyle name="Salida 3 3 2 5" xfId="38040"/>
    <cellStyle name="Salida 3 3 2 5 2" xfId="38041"/>
    <cellStyle name="Salida 3 3 2 6" xfId="38042"/>
    <cellStyle name="Salida 3 3 2 6 2" xfId="38043"/>
    <cellStyle name="Salida 3 3 2 7" xfId="38044"/>
    <cellStyle name="Salida 3 3 2 7 2" xfId="38045"/>
    <cellStyle name="Salida 3 3 2 8" xfId="38046"/>
    <cellStyle name="Salida 3 3 2 8 2" xfId="38047"/>
    <cellStyle name="Salida 3 3 2 9" xfId="38048"/>
    <cellStyle name="Salida 3 3 2 9 2" xfId="38049"/>
    <cellStyle name="Salida 3 3 3" xfId="38050"/>
    <cellStyle name="Salida 3 3 3 10" xfId="38051"/>
    <cellStyle name="Salida 3 3 3 10 2" xfId="38052"/>
    <cellStyle name="Salida 3 3 3 11" xfId="38053"/>
    <cellStyle name="Salida 3 3 3 11 2" xfId="38054"/>
    <cellStyle name="Salida 3 3 3 12" xfId="38055"/>
    <cellStyle name="Salida 3 3 3 12 2" xfId="38056"/>
    <cellStyle name="Salida 3 3 3 13" xfId="38057"/>
    <cellStyle name="Salida 3 3 3 2" xfId="38058"/>
    <cellStyle name="Salida 3 3 3 2 10" xfId="38059"/>
    <cellStyle name="Salida 3 3 3 2 10 2" xfId="38060"/>
    <cellStyle name="Salida 3 3 3 2 11" xfId="38061"/>
    <cellStyle name="Salida 3 3 3 2 2" xfId="38062"/>
    <cellStyle name="Salida 3 3 3 2 2 2" xfId="38063"/>
    <cellStyle name="Salida 3 3 3 2 3" xfId="38064"/>
    <cellStyle name="Salida 3 3 3 2 3 2" xfId="38065"/>
    <cellStyle name="Salida 3 3 3 2 4" xfId="38066"/>
    <cellStyle name="Salida 3 3 3 2 4 2" xfId="38067"/>
    <cellStyle name="Salida 3 3 3 2 5" xfId="38068"/>
    <cellStyle name="Salida 3 3 3 2 5 2" xfId="38069"/>
    <cellStyle name="Salida 3 3 3 2 6" xfId="38070"/>
    <cellStyle name="Salida 3 3 3 2 6 2" xfId="38071"/>
    <cellStyle name="Salida 3 3 3 2 7" xfId="38072"/>
    <cellStyle name="Salida 3 3 3 2 7 2" xfId="38073"/>
    <cellStyle name="Salida 3 3 3 2 8" xfId="38074"/>
    <cellStyle name="Salida 3 3 3 2 8 2" xfId="38075"/>
    <cellStyle name="Salida 3 3 3 2 9" xfId="38076"/>
    <cellStyle name="Salida 3 3 3 2 9 2" xfId="38077"/>
    <cellStyle name="Salida 3 3 3 3" xfId="38078"/>
    <cellStyle name="Salida 3 3 3 3 10" xfId="38079"/>
    <cellStyle name="Salida 3 3 3 3 10 2" xfId="38080"/>
    <cellStyle name="Salida 3 3 3 3 11" xfId="38081"/>
    <cellStyle name="Salida 3 3 3 3 2" xfId="38082"/>
    <cellStyle name="Salida 3 3 3 3 2 2" xfId="38083"/>
    <cellStyle name="Salida 3 3 3 3 3" xfId="38084"/>
    <cellStyle name="Salida 3 3 3 3 3 2" xfId="38085"/>
    <cellStyle name="Salida 3 3 3 3 4" xfId="38086"/>
    <cellStyle name="Salida 3 3 3 3 4 2" xfId="38087"/>
    <cellStyle name="Salida 3 3 3 3 5" xfId="38088"/>
    <cellStyle name="Salida 3 3 3 3 5 2" xfId="38089"/>
    <cellStyle name="Salida 3 3 3 3 6" xfId="38090"/>
    <cellStyle name="Salida 3 3 3 3 6 2" xfId="38091"/>
    <cellStyle name="Salida 3 3 3 3 7" xfId="38092"/>
    <cellStyle name="Salida 3 3 3 3 7 2" xfId="38093"/>
    <cellStyle name="Salida 3 3 3 3 8" xfId="38094"/>
    <cellStyle name="Salida 3 3 3 3 8 2" xfId="38095"/>
    <cellStyle name="Salida 3 3 3 3 9" xfId="38096"/>
    <cellStyle name="Salida 3 3 3 3 9 2" xfId="38097"/>
    <cellStyle name="Salida 3 3 3 4" xfId="38098"/>
    <cellStyle name="Salida 3 3 3 4 2" xfId="38099"/>
    <cellStyle name="Salida 3 3 3 5" xfId="38100"/>
    <cellStyle name="Salida 3 3 3 5 2" xfId="38101"/>
    <cellStyle name="Salida 3 3 3 6" xfId="38102"/>
    <cellStyle name="Salida 3 3 3 6 2" xfId="38103"/>
    <cellStyle name="Salida 3 3 3 7" xfId="38104"/>
    <cellStyle name="Salida 3 3 3 7 2" xfId="38105"/>
    <cellStyle name="Salida 3 3 3 8" xfId="38106"/>
    <cellStyle name="Salida 3 3 3 8 2" xfId="38107"/>
    <cellStyle name="Salida 3 3 3 9" xfId="38108"/>
    <cellStyle name="Salida 3 3 3 9 2" xfId="38109"/>
    <cellStyle name="Salida 3 3 4" xfId="38110"/>
    <cellStyle name="Salida 3 3 4 10" xfId="38111"/>
    <cellStyle name="Salida 3 3 4 10 2" xfId="38112"/>
    <cellStyle name="Salida 3 3 4 11" xfId="38113"/>
    <cellStyle name="Salida 3 3 4 2" xfId="38114"/>
    <cellStyle name="Salida 3 3 4 2 2" xfId="38115"/>
    <cellStyle name="Salida 3 3 4 3" xfId="38116"/>
    <cellStyle name="Salida 3 3 4 3 2" xfId="38117"/>
    <cellStyle name="Salida 3 3 4 4" xfId="38118"/>
    <cellStyle name="Salida 3 3 4 4 2" xfId="38119"/>
    <cellStyle name="Salida 3 3 4 5" xfId="38120"/>
    <cellStyle name="Salida 3 3 4 5 2" xfId="38121"/>
    <cellStyle name="Salida 3 3 4 6" xfId="38122"/>
    <cellStyle name="Salida 3 3 4 6 2" xfId="38123"/>
    <cellStyle name="Salida 3 3 4 7" xfId="38124"/>
    <cellStyle name="Salida 3 3 4 7 2" xfId="38125"/>
    <cellStyle name="Salida 3 3 4 8" xfId="38126"/>
    <cellStyle name="Salida 3 3 4 8 2" xfId="38127"/>
    <cellStyle name="Salida 3 3 4 9" xfId="38128"/>
    <cellStyle name="Salida 3 3 4 9 2" xfId="38129"/>
    <cellStyle name="Salida 3 3 5" xfId="38130"/>
    <cellStyle name="Salida 3 3 5 10" xfId="38131"/>
    <cellStyle name="Salida 3 3 5 10 2" xfId="38132"/>
    <cellStyle name="Salida 3 3 5 11" xfId="38133"/>
    <cellStyle name="Salida 3 3 5 2" xfId="38134"/>
    <cellStyle name="Salida 3 3 5 2 2" xfId="38135"/>
    <cellStyle name="Salida 3 3 5 3" xfId="38136"/>
    <cellStyle name="Salida 3 3 5 3 2" xfId="38137"/>
    <cellStyle name="Salida 3 3 5 4" xfId="38138"/>
    <cellStyle name="Salida 3 3 5 4 2" xfId="38139"/>
    <cellStyle name="Salida 3 3 5 5" xfId="38140"/>
    <cellStyle name="Salida 3 3 5 5 2" xfId="38141"/>
    <cellStyle name="Salida 3 3 5 6" xfId="38142"/>
    <cellStyle name="Salida 3 3 5 6 2" xfId="38143"/>
    <cellStyle name="Salida 3 3 5 7" xfId="38144"/>
    <cellStyle name="Salida 3 3 5 7 2" xfId="38145"/>
    <cellStyle name="Salida 3 3 5 8" xfId="38146"/>
    <cellStyle name="Salida 3 3 5 8 2" xfId="38147"/>
    <cellStyle name="Salida 3 3 5 9" xfId="38148"/>
    <cellStyle name="Salida 3 3 5 9 2" xfId="38149"/>
    <cellStyle name="Salida 3 3 6" xfId="38150"/>
    <cellStyle name="Salida 3 3 6 2" xfId="38151"/>
    <cellStyle name="Salida 3 3 7" xfId="38152"/>
    <cellStyle name="Salida 3 3 7 2" xfId="38153"/>
    <cellStyle name="Salida 3 3 8" xfId="38154"/>
    <cellStyle name="Salida 3 3 8 2" xfId="38155"/>
    <cellStyle name="Salida 3 3 9" xfId="38156"/>
    <cellStyle name="Salida 3 3 9 2" xfId="38157"/>
    <cellStyle name="Salida 3 4" xfId="38158"/>
    <cellStyle name="Salida 3 4 10" xfId="38159"/>
    <cellStyle name="Salida 3 4 10 2" xfId="38160"/>
    <cellStyle name="Salida 3 4 11" xfId="38161"/>
    <cellStyle name="Salida 3 4 11 2" xfId="38162"/>
    <cellStyle name="Salida 3 4 12" xfId="38163"/>
    <cellStyle name="Salida 3 4 12 2" xfId="38164"/>
    <cellStyle name="Salida 3 4 13" xfId="38165"/>
    <cellStyle name="Salida 3 4 2" xfId="38166"/>
    <cellStyle name="Salida 3 4 2 10" xfId="38167"/>
    <cellStyle name="Salida 3 4 2 10 2" xfId="38168"/>
    <cellStyle name="Salida 3 4 2 11" xfId="38169"/>
    <cellStyle name="Salida 3 4 2 2" xfId="38170"/>
    <cellStyle name="Salida 3 4 2 2 2" xfId="38171"/>
    <cellStyle name="Salida 3 4 2 3" xfId="38172"/>
    <cellStyle name="Salida 3 4 2 3 2" xfId="38173"/>
    <cellStyle name="Salida 3 4 2 4" xfId="38174"/>
    <cellStyle name="Salida 3 4 2 4 2" xfId="38175"/>
    <cellStyle name="Salida 3 4 2 5" xfId="38176"/>
    <cellStyle name="Salida 3 4 2 5 2" xfId="38177"/>
    <cellStyle name="Salida 3 4 2 6" xfId="38178"/>
    <cellStyle name="Salida 3 4 2 6 2" xfId="38179"/>
    <cellStyle name="Salida 3 4 2 7" xfId="38180"/>
    <cellStyle name="Salida 3 4 2 7 2" xfId="38181"/>
    <cellStyle name="Salida 3 4 2 8" xfId="38182"/>
    <cellStyle name="Salida 3 4 2 8 2" xfId="38183"/>
    <cellStyle name="Salida 3 4 2 9" xfId="38184"/>
    <cellStyle name="Salida 3 4 2 9 2" xfId="38185"/>
    <cellStyle name="Salida 3 4 3" xfId="38186"/>
    <cellStyle name="Salida 3 4 3 10" xfId="38187"/>
    <cellStyle name="Salida 3 4 3 10 2" xfId="38188"/>
    <cellStyle name="Salida 3 4 3 11" xfId="38189"/>
    <cellStyle name="Salida 3 4 3 2" xfId="38190"/>
    <cellStyle name="Salida 3 4 3 2 2" xfId="38191"/>
    <cellStyle name="Salida 3 4 3 3" xfId="38192"/>
    <cellStyle name="Salida 3 4 3 3 2" xfId="38193"/>
    <cellStyle name="Salida 3 4 3 4" xfId="38194"/>
    <cellStyle name="Salida 3 4 3 4 2" xfId="38195"/>
    <cellStyle name="Salida 3 4 3 5" xfId="38196"/>
    <cellStyle name="Salida 3 4 3 5 2" xfId="38197"/>
    <cellStyle name="Salida 3 4 3 6" xfId="38198"/>
    <cellStyle name="Salida 3 4 3 6 2" xfId="38199"/>
    <cellStyle name="Salida 3 4 3 7" xfId="38200"/>
    <cellStyle name="Salida 3 4 3 7 2" xfId="38201"/>
    <cellStyle name="Salida 3 4 3 8" xfId="38202"/>
    <cellStyle name="Salida 3 4 3 8 2" xfId="38203"/>
    <cellStyle name="Salida 3 4 3 9" xfId="38204"/>
    <cellStyle name="Salida 3 4 3 9 2" xfId="38205"/>
    <cellStyle name="Salida 3 4 4" xfId="38206"/>
    <cellStyle name="Salida 3 4 4 2" xfId="38207"/>
    <cellStyle name="Salida 3 4 5" xfId="38208"/>
    <cellStyle name="Salida 3 4 5 2" xfId="38209"/>
    <cellStyle name="Salida 3 4 6" xfId="38210"/>
    <cellStyle name="Salida 3 4 6 2" xfId="38211"/>
    <cellStyle name="Salida 3 4 7" xfId="38212"/>
    <cellStyle name="Salida 3 4 7 2" xfId="38213"/>
    <cellStyle name="Salida 3 4 8" xfId="38214"/>
    <cellStyle name="Salida 3 4 8 2" xfId="38215"/>
    <cellStyle name="Salida 3 4 9" xfId="38216"/>
    <cellStyle name="Salida 3 4 9 2" xfId="38217"/>
    <cellStyle name="Salida 3 5" xfId="38218"/>
    <cellStyle name="Salida 3 5 10" xfId="38219"/>
    <cellStyle name="Salida 3 5 10 2" xfId="38220"/>
    <cellStyle name="Salida 3 5 11" xfId="38221"/>
    <cellStyle name="Salida 3 5 11 2" xfId="38222"/>
    <cellStyle name="Salida 3 5 12" xfId="38223"/>
    <cellStyle name="Salida 3 5 12 2" xfId="38224"/>
    <cellStyle name="Salida 3 5 13" xfId="38225"/>
    <cellStyle name="Salida 3 5 2" xfId="38226"/>
    <cellStyle name="Salida 3 5 2 10" xfId="38227"/>
    <cellStyle name="Salida 3 5 2 10 2" xfId="38228"/>
    <cellStyle name="Salida 3 5 2 11" xfId="38229"/>
    <cellStyle name="Salida 3 5 2 2" xfId="38230"/>
    <cellStyle name="Salida 3 5 2 2 2" xfId="38231"/>
    <cellStyle name="Salida 3 5 2 3" xfId="38232"/>
    <cellStyle name="Salida 3 5 2 3 2" xfId="38233"/>
    <cellStyle name="Salida 3 5 2 4" xfId="38234"/>
    <cellStyle name="Salida 3 5 2 4 2" xfId="38235"/>
    <cellStyle name="Salida 3 5 2 5" xfId="38236"/>
    <cellStyle name="Salida 3 5 2 5 2" xfId="38237"/>
    <cellStyle name="Salida 3 5 2 6" xfId="38238"/>
    <cellStyle name="Salida 3 5 2 6 2" xfId="38239"/>
    <cellStyle name="Salida 3 5 2 7" xfId="38240"/>
    <cellStyle name="Salida 3 5 2 7 2" xfId="38241"/>
    <cellStyle name="Salida 3 5 2 8" xfId="38242"/>
    <cellStyle name="Salida 3 5 2 8 2" xfId="38243"/>
    <cellStyle name="Salida 3 5 2 9" xfId="38244"/>
    <cellStyle name="Salida 3 5 2 9 2" xfId="38245"/>
    <cellStyle name="Salida 3 5 3" xfId="38246"/>
    <cellStyle name="Salida 3 5 3 10" xfId="38247"/>
    <cellStyle name="Salida 3 5 3 10 2" xfId="38248"/>
    <cellStyle name="Salida 3 5 3 11" xfId="38249"/>
    <cellStyle name="Salida 3 5 3 2" xfId="38250"/>
    <cellStyle name="Salida 3 5 3 2 2" xfId="38251"/>
    <cellStyle name="Salida 3 5 3 3" xfId="38252"/>
    <cellStyle name="Salida 3 5 3 3 2" xfId="38253"/>
    <cellStyle name="Salida 3 5 3 4" xfId="38254"/>
    <cellStyle name="Salida 3 5 3 4 2" xfId="38255"/>
    <cellStyle name="Salida 3 5 3 5" xfId="38256"/>
    <cellStyle name="Salida 3 5 3 5 2" xfId="38257"/>
    <cellStyle name="Salida 3 5 3 6" xfId="38258"/>
    <cellStyle name="Salida 3 5 3 6 2" xfId="38259"/>
    <cellStyle name="Salida 3 5 3 7" xfId="38260"/>
    <cellStyle name="Salida 3 5 3 7 2" xfId="38261"/>
    <cellStyle name="Salida 3 5 3 8" xfId="38262"/>
    <cellStyle name="Salida 3 5 3 8 2" xfId="38263"/>
    <cellStyle name="Salida 3 5 3 9" xfId="38264"/>
    <cellStyle name="Salida 3 5 3 9 2" xfId="38265"/>
    <cellStyle name="Salida 3 5 4" xfId="38266"/>
    <cellStyle name="Salida 3 5 4 2" xfId="38267"/>
    <cellStyle name="Salida 3 5 5" xfId="38268"/>
    <cellStyle name="Salida 3 5 5 2" xfId="38269"/>
    <cellStyle name="Salida 3 5 6" xfId="38270"/>
    <cellStyle name="Salida 3 5 6 2" xfId="38271"/>
    <cellStyle name="Salida 3 5 7" xfId="38272"/>
    <cellStyle name="Salida 3 5 7 2" xfId="38273"/>
    <cellStyle name="Salida 3 5 8" xfId="38274"/>
    <cellStyle name="Salida 3 5 8 2" xfId="38275"/>
    <cellStyle name="Salida 3 5 9" xfId="38276"/>
    <cellStyle name="Salida 3 5 9 2" xfId="38277"/>
    <cellStyle name="Salida 3 6" xfId="38278"/>
    <cellStyle name="Salida 3 6 2" xfId="38279"/>
    <cellStyle name="Salida 3 7" xfId="38280"/>
    <cellStyle name="Salida 3 7 2" xfId="38281"/>
    <cellStyle name="Salida 3 8" xfId="38282"/>
    <cellStyle name="Salida 3 8 2" xfId="38283"/>
    <cellStyle name="Salida 3 9" xfId="38284"/>
    <cellStyle name="Salida 3 9 2" xfId="38285"/>
    <cellStyle name="Salida 4" xfId="38286"/>
    <cellStyle name="Salida 4 10" xfId="38287"/>
    <cellStyle name="Salida 4 10 2" xfId="38288"/>
    <cellStyle name="Salida 4 11" xfId="38289"/>
    <cellStyle name="Salida 4 11 2" xfId="38290"/>
    <cellStyle name="Salida 4 12" xfId="38291"/>
    <cellStyle name="Salida 4 12 2" xfId="38292"/>
    <cellStyle name="Salida 4 13" xfId="38293"/>
    <cellStyle name="Salida 4 13 2" xfId="38294"/>
    <cellStyle name="Salida 4 14" xfId="38295"/>
    <cellStyle name="Salida 4 14 2" xfId="38296"/>
    <cellStyle name="Salida 4 15" xfId="38297"/>
    <cellStyle name="Salida 4 15 2" xfId="38298"/>
    <cellStyle name="Salida 4 16" xfId="38299"/>
    <cellStyle name="Salida 4 17" xfId="38300"/>
    <cellStyle name="Salida 4 18" xfId="38301"/>
    <cellStyle name="Salida 4 2" xfId="38302"/>
    <cellStyle name="Salida 4 2 10" xfId="38303"/>
    <cellStyle name="Salida 4 2 10 2" xfId="38304"/>
    <cellStyle name="Salida 4 2 11" xfId="38305"/>
    <cellStyle name="Salida 4 2 11 2" xfId="38306"/>
    <cellStyle name="Salida 4 2 12" xfId="38307"/>
    <cellStyle name="Salida 4 2 12 2" xfId="38308"/>
    <cellStyle name="Salida 4 2 13" xfId="38309"/>
    <cellStyle name="Salida 4 2 13 2" xfId="38310"/>
    <cellStyle name="Salida 4 2 14" xfId="38311"/>
    <cellStyle name="Salida 4 2 14 2" xfId="38312"/>
    <cellStyle name="Salida 4 2 15" xfId="38313"/>
    <cellStyle name="Salida 4 2 2" xfId="38314"/>
    <cellStyle name="Salida 4 2 2 10" xfId="38315"/>
    <cellStyle name="Salida 4 2 2 10 2" xfId="38316"/>
    <cellStyle name="Salida 4 2 2 11" xfId="38317"/>
    <cellStyle name="Salida 4 2 2 11 2" xfId="38318"/>
    <cellStyle name="Salida 4 2 2 12" xfId="38319"/>
    <cellStyle name="Salida 4 2 2 12 2" xfId="38320"/>
    <cellStyle name="Salida 4 2 2 13" xfId="38321"/>
    <cellStyle name="Salida 4 2 2 2" xfId="38322"/>
    <cellStyle name="Salida 4 2 2 2 10" xfId="38323"/>
    <cellStyle name="Salida 4 2 2 2 10 2" xfId="38324"/>
    <cellStyle name="Salida 4 2 2 2 11" xfId="38325"/>
    <cellStyle name="Salida 4 2 2 2 2" xfId="38326"/>
    <cellStyle name="Salida 4 2 2 2 2 2" xfId="38327"/>
    <cellStyle name="Salida 4 2 2 2 3" xfId="38328"/>
    <cellStyle name="Salida 4 2 2 2 3 2" xfId="38329"/>
    <cellStyle name="Salida 4 2 2 2 4" xfId="38330"/>
    <cellStyle name="Salida 4 2 2 2 4 2" xfId="38331"/>
    <cellStyle name="Salida 4 2 2 2 5" xfId="38332"/>
    <cellStyle name="Salida 4 2 2 2 5 2" xfId="38333"/>
    <cellStyle name="Salida 4 2 2 2 6" xfId="38334"/>
    <cellStyle name="Salida 4 2 2 2 6 2" xfId="38335"/>
    <cellStyle name="Salida 4 2 2 2 7" xfId="38336"/>
    <cellStyle name="Salida 4 2 2 2 7 2" xfId="38337"/>
    <cellStyle name="Salida 4 2 2 2 8" xfId="38338"/>
    <cellStyle name="Salida 4 2 2 2 8 2" xfId="38339"/>
    <cellStyle name="Salida 4 2 2 2 9" xfId="38340"/>
    <cellStyle name="Salida 4 2 2 2 9 2" xfId="38341"/>
    <cellStyle name="Salida 4 2 2 3" xfId="38342"/>
    <cellStyle name="Salida 4 2 2 3 10" xfId="38343"/>
    <cellStyle name="Salida 4 2 2 3 10 2" xfId="38344"/>
    <cellStyle name="Salida 4 2 2 3 11" xfId="38345"/>
    <cellStyle name="Salida 4 2 2 3 2" xfId="38346"/>
    <cellStyle name="Salida 4 2 2 3 2 2" xfId="38347"/>
    <cellStyle name="Salida 4 2 2 3 3" xfId="38348"/>
    <cellStyle name="Salida 4 2 2 3 3 2" xfId="38349"/>
    <cellStyle name="Salida 4 2 2 3 4" xfId="38350"/>
    <cellStyle name="Salida 4 2 2 3 4 2" xfId="38351"/>
    <cellStyle name="Salida 4 2 2 3 5" xfId="38352"/>
    <cellStyle name="Salida 4 2 2 3 5 2" xfId="38353"/>
    <cellStyle name="Salida 4 2 2 3 6" xfId="38354"/>
    <cellStyle name="Salida 4 2 2 3 6 2" xfId="38355"/>
    <cellStyle name="Salida 4 2 2 3 7" xfId="38356"/>
    <cellStyle name="Salida 4 2 2 3 7 2" xfId="38357"/>
    <cellStyle name="Salida 4 2 2 3 8" xfId="38358"/>
    <cellStyle name="Salida 4 2 2 3 8 2" xfId="38359"/>
    <cellStyle name="Salida 4 2 2 3 9" xfId="38360"/>
    <cellStyle name="Salida 4 2 2 3 9 2" xfId="38361"/>
    <cellStyle name="Salida 4 2 2 4" xfId="38362"/>
    <cellStyle name="Salida 4 2 2 4 2" xfId="38363"/>
    <cellStyle name="Salida 4 2 2 5" xfId="38364"/>
    <cellStyle name="Salida 4 2 2 5 2" xfId="38365"/>
    <cellStyle name="Salida 4 2 2 6" xfId="38366"/>
    <cellStyle name="Salida 4 2 2 6 2" xfId="38367"/>
    <cellStyle name="Salida 4 2 2 7" xfId="38368"/>
    <cellStyle name="Salida 4 2 2 7 2" xfId="38369"/>
    <cellStyle name="Salida 4 2 2 8" xfId="38370"/>
    <cellStyle name="Salida 4 2 2 8 2" xfId="38371"/>
    <cellStyle name="Salida 4 2 2 9" xfId="38372"/>
    <cellStyle name="Salida 4 2 2 9 2" xfId="38373"/>
    <cellStyle name="Salida 4 2 3" xfId="38374"/>
    <cellStyle name="Salida 4 2 3 10" xfId="38375"/>
    <cellStyle name="Salida 4 2 3 10 2" xfId="38376"/>
    <cellStyle name="Salida 4 2 3 11" xfId="38377"/>
    <cellStyle name="Salida 4 2 3 11 2" xfId="38378"/>
    <cellStyle name="Salida 4 2 3 12" xfId="38379"/>
    <cellStyle name="Salida 4 2 3 12 2" xfId="38380"/>
    <cellStyle name="Salida 4 2 3 13" xfId="38381"/>
    <cellStyle name="Salida 4 2 3 2" xfId="38382"/>
    <cellStyle name="Salida 4 2 3 2 10" xfId="38383"/>
    <cellStyle name="Salida 4 2 3 2 10 2" xfId="38384"/>
    <cellStyle name="Salida 4 2 3 2 11" xfId="38385"/>
    <cellStyle name="Salida 4 2 3 2 2" xfId="38386"/>
    <cellStyle name="Salida 4 2 3 2 2 2" xfId="38387"/>
    <cellStyle name="Salida 4 2 3 2 3" xfId="38388"/>
    <cellStyle name="Salida 4 2 3 2 3 2" xfId="38389"/>
    <cellStyle name="Salida 4 2 3 2 4" xfId="38390"/>
    <cellStyle name="Salida 4 2 3 2 4 2" xfId="38391"/>
    <cellStyle name="Salida 4 2 3 2 5" xfId="38392"/>
    <cellStyle name="Salida 4 2 3 2 5 2" xfId="38393"/>
    <cellStyle name="Salida 4 2 3 2 6" xfId="38394"/>
    <cellStyle name="Salida 4 2 3 2 6 2" xfId="38395"/>
    <cellStyle name="Salida 4 2 3 2 7" xfId="38396"/>
    <cellStyle name="Salida 4 2 3 2 7 2" xfId="38397"/>
    <cellStyle name="Salida 4 2 3 2 8" xfId="38398"/>
    <cellStyle name="Salida 4 2 3 2 8 2" xfId="38399"/>
    <cellStyle name="Salida 4 2 3 2 9" xfId="38400"/>
    <cellStyle name="Salida 4 2 3 2 9 2" xfId="38401"/>
    <cellStyle name="Salida 4 2 3 3" xfId="38402"/>
    <cellStyle name="Salida 4 2 3 3 10" xfId="38403"/>
    <cellStyle name="Salida 4 2 3 3 10 2" xfId="38404"/>
    <cellStyle name="Salida 4 2 3 3 11" xfId="38405"/>
    <cellStyle name="Salida 4 2 3 3 2" xfId="38406"/>
    <cellStyle name="Salida 4 2 3 3 2 2" xfId="38407"/>
    <cellStyle name="Salida 4 2 3 3 3" xfId="38408"/>
    <cellStyle name="Salida 4 2 3 3 3 2" xfId="38409"/>
    <cellStyle name="Salida 4 2 3 3 4" xfId="38410"/>
    <cellStyle name="Salida 4 2 3 3 4 2" xfId="38411"/>
    <cellStyle name="Salida 4 2 3 3 5" xfId="38412"/>
    <cellStyle name="Salida 4 2 3 3 5 2" xfId="38413"/>
    <cellStyle name="Salida 4 2 3 3 6" xfId="38414"/>
    <cellStyle name="Salida 4 2 3 3 6 2" xfId="38415"/>
    <cellStyle name="Salida 4 2 3 3 7" xfId="38416"/>
    <cellStyle name="Salida 4 2 3 3 7 2" xfId="38417"/>
    <cellStyle name="Salida 4 2 3 3 8" xfId="38418"/>
    <cellStyle name="Salida 4 2 3 3 8 2" xfId="38419"/>
    <cellStyle name="Salida 4 2 3 3 9" xfId="38420"/>
    <cellStyle name="Salida 4 2 3 3 9 2" xfId="38421"/>
    <cellStyle name="Salida 4 2 3 4" xfId="38422"/>
    <cellStyle name="Salida 4 2 3 4 2" xfId="38423"/>
    <cellStyle name="Salida 4 2 3 5" xfId="38424"/>
    <cellStyle name="Salida 4 2 3 5 2" xfId="38425"/>
    <cellStyle name="Salida 4 2 3 6" xfId="38426"/>
    <cellStyle name="Salida 4 2 3 6 2" xfId="38427"/>
    <cellStyle name="Salida 4 2 3 7" xfId="38428"/>
    <cellStyle name="Salida 4 2 3 7 2" xfId="38429"/>
    <cellStyle name="Salida 4 2 3 8" xfId="38430"/>
    <cellStyle name="Salida 4 2 3 8 2" xfId="38431"/>
    <cellStyle name="Salida 4 2 3 9" xfId="38432"/>
    <cellStyle name="Salida 4 2 3 9 2" xfId="38433"/>
    <cellStyle name="Salida 4 2 4" xfId="38434"/>
    <cellStyle name="Salida 4 2 4 10" xfId="38435"/>
    <cellStyle name="Salida 4 2 4 10 2" xfId="38436"/>
    <cellStyle name="Salida 4 2 4 11" xfId="38437"/>
    <cellStyle name="Salida 4 2 4 2" xfId="38438"/>
    <cellStyle name="Salida 4 2 4 2 2" xfId="38439"/>
    <cellStyle name="Salida 4 2 4 3" xfId="38440"/>
    <cellStyle name="Salida 4 2 4 3 2" xfId="38441"/>
    <cellStyle name="Salida 4 2 4 4" xfId="38442"/>
    <cellStyle name="Salida 4 2 4 4 2" xfId="38443"/>
    <cellStyle name="Salida 4 2 4 5" xfId="38444"/>
    <cellStyle name="Salida 4 2 4 5 2" xfId="38445"/>
    <cellStyle name="Salida 4 2 4 6" xfId="38446"/>
    <cellStyle name="Salida 4 2 4 6 2" xfId="38447"/>
    <cellStyle name="Salida 4 2 4 7" xfId="38448"/>
    <cellStyle name="Salida 4 2 4 7 2" xfId="38449"/>
    <cellStyle name="Salida 4 2 4 8" xfId="38450"/>
    <cellStyle name="Salida 4 2 4 8 2" xfId="38451"/>
    <cellStyle name="Salida 4 2 4 9" xfId="38452"/>
    <cellStyle name="Salida 4 2 4 9 2" xfId="38453"/>
    <cellStyle name="Salida 4 2 5" xfId="38454"/>
    <cellStyle name="Salida 4 2 5 10" xfId="38455"/>
    <cellStyle name="Salida 4 2 5 10 2" xfId="38456"/>
    <cellStyle name="Salida 4 2 5 11" xfId="38457"/>
    <cellStyle name="Salida 4 2 5 2" xfId="38458"/>
    <cellStyle name="Salida 4 2 5 2 2" xfId="38459"/>
    <cellStyle name="Salida 4 2 5 3" xfId="38460"/>
    <cellStyle name="Salida 4 2 5 3 2" xfId="38461"/>
    <cellStyle name="Salida 4 2 5 4" xfId="38462"/>
    <cellStyle name="Salida 4 2 5 4 2" xfId="38463"/>
    <cellStyle name="Salida 4 2 5 5" xfId="38464"/>
    <cellStyle name="Salida 4 2 5 5 2" xfId="38465"/>
    <cellStyle name="Salida 4 2 5 6" xfId="38466"/>
    <cellStyle name="Salida 4 2 5 6 2" xfId="38467"/>
    <cellStyle name="Salida 4 2 5 7" xfId="38468"/>
    <cellStyle name="Salida 4 2 5 7 2" xfId="38469"/>
    <cellStyle name="Salida 4 2 5 8" xfId="38470"/>
    <cellStyle name="Salida 4 2 5 8 2" xfId="38471"/>
    <cellStyle name="Salida 4 2 5 9" xfId="38472"/>
    <cellStyle name="Salida 4 2 5 9 2" xfId="38473"/>
    <cellStyle name="Salida 4 2 6" xfId="38474"/>
    <cellStyle name="Salida 4 2 6 2" xfId="38475"/>
    <cellStyle name="Salida 4 2 7" xfId="38476"/>
    <cellStyle name="Salida 4 2 7 2" xfId="38477"/>
    <cellStyle name="Salida 4 2 8" xfId="38478"/>
    <cellStyle name="Salida 4 2 8 2" xfId="38479"/>
    <cellStyle name="Salida 4 2 9" xfId="38480"/>
    <cellStyle name="Salida 4 2 9 2" xfId="38481"/>
    <cellStyle name="Salida 4 3" xfId="38482"/>
    <cellStyle name="Salida 4 3 10" xfId="38483"/>
    <cellStyle name="Salida 4 3 10 2" xfId="38484"/>
    <cellStyle name="Salida 4 3 11" xfId="38485"/>
    <cellStyle name="Salida 4 3 11 2" xfId="38486"/>
    <cellStyle name="Salida 4 3 12" xfId="38487"/>
    <cellStyle name="Salida 4 3 12 2" xfId="38488"/>
    <cellStyle name="Salida 4 3 13" xfId="38489"/>
    <cellStyle name="Salida 4 3 2" xfId="38490"/>
    <cellStyle name="Salida 4 3 2 10" xfId="38491"/>
    <cellStyle name="Salida 4 3 2 10 2" xfId="38492"/>
    <cellStyle name="Salida 4 3 2 11" xfId="38493"/>
    <cellStyle name="Salida 4 3 2 2" xfId="38494"/>
    <cellStyle name="Salida 4 3 2 2 2" xfId="38495"/>
    <cellStyle name="Salida 4 3 2 3" xfId="38496"/>
    <cellStyle name="Salida 4 3 2 3 2" xfId="38497"/>
    <cellStyle name="Salida 4 3 2 4" xfId="38498"/>
    <cellStyle name="Salida 4 3 2 4 2" xfId="38499"/>
    <cellStyle name="Salida 4 3 2 5" xfId="38500"/>
    <cellStyle name="Salida 4 3 2 5 2" xfId="38501"/>
    <cellStyle name="Salida 4 3 2 6" xfId="38502"/>
    <cellStyle name="Salida 4 3 2 6 2" xfId="38503"/>
    <cellStyle name="Salida 4 3 2 7" xfId="38504"/>
    <cellStyle name="Salida 4 3 2 7 2" xfId="38505"/>
    <cellStyle name="Salida 4 3 2 8" xfId="38506"/>
    <cellStyle name="Salida 4 3 2 8 2" xfId="38507"/>
    <cellStyle name="Salida 4 3 2 9" xfId="38508"/>
    <cellStyle name="Salida 4 3 2 9 2" xfId="38509"/>
    <cellStyle name="Salida 4 3 3" xfId="38510"/>
    <cellStyle name="Salida 4 3 3 10" xfId="38511"/>
    <cellStyle name="Salida 4 3 3 10 2" xfId="38512"/>
    <cellStyle name="Salida 4 3 3 11" xfId="38513"/>
    <cellStyle name="Salida 4 3 3 2" xfId="38514"/>
    <cellStyle name="Salida 4 3 3 2 2" xfId="38515"/>
    <cellStyle name="Salida 4 3 3 3" xfId="38516"/>
    <cellStyle name="Salida 4 3 3 3 2" xfId="38517"/>
    <cellStyle name="Salida 4 3 3 4" xfId="38518"/>
    <cellStyle name="Salida 4 3 3 4 2" xfId="38519"/>
    <cellStyle name="Salida 4 3 3 5" xfId="38520"/>
    <cellStyle name="Salida 4 3 3 5 2" xfId="38521"/>
    <cellStyle name="Salida 4 3 3 6" xfId="38522"/>
    <cellStyle name="Salida 4 3 3 6 2" xfId="38523"/>
    <cellStyle name="Salida 4 3 3 7" xfId="38524"/>
    <cellStyle name="Salida 4 3 3 7 2" xfId="38525"/>
    <cellStyle name="Salida 4 3 3 8" xfId="38526"/>
    <cellStyle name="Salida 4 3 3 8 2" xfId="38527"/>
    <cellStyle name="Salida 4 3 3 9" xfId="38528"/>
    <cellStyle name="Salida 4 3 3 9 2" xfId="38529"/>
    <cellStyle name="Salida 4 3 4" xfId="38530"/>
    <cellStyle name="Salida 4 3 4 2" xfId="38531"/>
    <cellStyle name="Salida 4 3 5" xfId="38532"/>
    <cellStyle name="Salida 4 3 5 2" xfId="38533"/>
    <cellStyle name="Salida 4 3 6" xfId="38534"/>
    <cellStyle name="Salida 4 3 6 2" xfId="38535"/>
    <cellStyle name="Salida 4 3 7" xfId="38536"/>
    <cellStyle name="Salida 4 3 7 2" xfId="38537"/>
    <cellStyle name="Salida 4 3 8" xfId="38538"/>
    <cellStyle name="Salida 4 3 8 2" xfId="38539"/>
    <cellStyle name="Salida 4 3 9" xfId="38540"/>
    <cellStyle name="Salida 4 3 9 2" xfId="38541"/>
    <cellStyle name="Salida 4 4" xfId="38542"/>
    <cellStyle name="Salida 4 4 10" xfId="38543"/>
    <cellStyle name="Salida 4 4 10 2" xfId="38544"/>
    <cellStyle name="Salida 4 4 11" xfId="38545"/>
    <cellStyle name="Salida 4 4 11 2" xfId="38546"/>
    <cellStyle name="Salida 4 4 12" xfId="38547"/>
    <cellStyle name="Salida 4 4 12 2" xfId="38548"/>
    <cellStyle name="Salida 4 4 13" xfId="38549"/>
    <cellStyle name="Salida 4 4 2" xfId="38550"/>
    <cellStyle name="Salida 4 4 2 10" xfId="38551"/>
    <cellStyle name="Salida 4 4 2 10 2" xfId="38552"/>
    <cellStyle name="Salida 4 4 2 11" xfId="38553"/>
    <cellStyle name="Salida 4 4 2 2" xfId="38554"/>
    <cellStyle name="Salida 4 4 2 2 2" xfId="38555"/>
    <cellStyle name="Salida 4 4 2 3" xfId="38556"/>
    <cellStyle name="Salida 4 4 2 3 2" xfId="38557"/>
    <cellStyle name="Salida 4 4 2 4" xfId="38558"/>
    <cellStyle name="Salida 4 4 2 4 2" xfId="38559"/>
    <cellStyle name="Salida 4 4 2 5" xfId="38560"/>
    <cellStyle name="Salida 4 4 2 5 2" xfId="38561"/>
    <cellStyle name="Salida 4 4 2 6" xfId="38562"/>
    <cellStyle name="Salida 4 4 2 6 2" xfId="38563"/>
    <cellStyle name="Salida 4 4 2 7" xfId="38564"/>
    <cellStyle name="Salida 4 4 2 7 2" xfId="38565"/>
    <cellStyle name="Salida 4 4 2 8" xfId="38566"/>
    <cellStyle name="Salida 4 4 2 8 2" xfId="38567"/>
    <cellStyle name="Salida 4 4 2 9" xfId="38568"/>
    <cellStyle name="Salida 4 4 2 9 2" xfId="38569"/>
    <cellStyle name="Salida 4 4 3" xfId="38570"/>
    <cellStyle name="Salida 4 4 3 10" xfId="38571"/>
    <cellStyle name="Salida 4 4 3 10 2" xfId="38572"/>
    <cellStyle name="Salida 4 4 3 11" xfId="38573"/>
    <cellStyle name="Salida 4 4 3 2" xfId="38574"/>
    <cellStyle name="Salida 4 4 3 2 2" xfId="38575"/>
    <cellStyle name="Salida 4 4 3 3" xfId="38576"/>
    <cellStyle name="Salida 4 4 3 3 2" xfId="38577"/>
    <cellStyle name="Salida 4 4 3 4" xfId="38578"/>
    <cellStyle name="Salida 4 4 3 4 2" xfId="38579"/>
    <cellStyle name="Salida 4 4 3 5" xfId="38580"/>
    <cellStyle name="Salida 4 4 3 5 2" xfId="38581"/>
    <cellStyle name="Salida 4 4 3 6" xfId="38582"/>
    <cellStyle name="Salida 4 4 3 6 2" xfId="38583"/>
    <cellStyle name="Salida 4 4 3 7" xfId="38584"/>
    <cellStyle name="Salida 4 4 3 7 2" xfId="38585"/>
    <cellStyle name="Salida 4 4 3 8" xfId="38586"/>
    <cellStyle name="Salida 4 4 3 8 2" xfId="38587"/>
    <cellStyle name="Salida 4 4 3 9" xfId="38588"/>
    <cellStyle name="Salida 4 4 3 9 2" xfId="38589"/>
    <cellStyle name="Salida 4 4 4" xfId="38590"/>
    <cellStyle name="Salida 4 4 4 2" xfId="38591"/>
    <cellStyle name="Salida 4 4 5" xfId="38592"/>
    <cellStyle name="Salida 4 4 5 2" xfId="38593"/>
    <cellStyle name="Salida 4 4 6" xfId="38594"/>
    <cellStyle name="Salida 4 4 6 2" xfId="38595"/>
    <cellStyle name="Salida 4 4 7" xfId="38596"/>
    <cellStyle name="Salida 4 4 7 2" xfId="38597"/>
    <cellStyle name="Salida 4 4 8" xfId="38598"/>
    <cellStyle name="Salida 4 4 8 2" xfId="38599"/>
    <cellStyle name="Salida 4 4 9" xfId="38600"/>
    <cellStyle name="Salida 4 4 9 2" xfId="38601"/>
    <cellStyle name="Salida 4 5" xfId="38602"/>
    <cellStyle name="Salida 4 5 10" xfId="38603"/>
    <cellStyle name="Salida 4 5 10 2" xfId="38604"/>
    <cellStyle name="Salida 4 5 11" xfId="38605"/>
    <cellStyle name="Salida 4 5 2" xfId="38606"/>
    <cellStyle name="Salida 4 5 2 2" xfId="38607"/>
    <cellStyle name="Salida 4 5 3" xfId="38608"/>
    <cellStyle name="Salida 4 5 3 2" xfId="38609"/>
    <cellStyle name="Salida 4 5 4" xfId="38610"/>
    <cellStyle name="Salida 4 5 4 2" xfId="38611"/>
    <cellStyle name="Salida 4 5 5" xfId="38612"/>
    <cellStyle name="Salida 4 5 5 2" xfId="38613"/>
    <cellStyle name="Salida 4 5 6" xfId="38614"/>
    <cellStyle name="Salida 4 5 6 2" xfId="38615"/>
    <cellStyle name="Salida 4 5 7" xfId="38616"/>
    <cellStyle name="Salida 4 5 7 2" xfId="38617"/>
    <cellStyle name="Salida 4 5 8" xfId="38618"/>
    <cellStyle name="Salida 4 5 8 2" xfId="38619"/>
    <cellStyle name="Salida 4 5 9" xfId="38620"/>
    <cellStyle name="Salida 4 5 9 2" xfId="38621"/>
    <cellStyle name="Salida 4 6" xfId="38622"/>
    <cellStyle name="Salida 4 6 10" xfId="38623"/>
    <cellStyle name="Salida 4 6 10 2" xfId="38624"/>
    <cellStyle name="Salida 4 6 11" xfId="38625"/>
    <cellStyle name="Salida 4 6 2" xfId="38626"/>
    <cellStyle name="Salida 4 6 2 2" xfId="38627"/>
    <cellStyle name="Salida 4 6 3" xfId="38628"/>
    <cellStyle name="Salida 4 6 3 2" xfId="38629"/>
    <cellStyle name="Salida 4 6 4" xfId="38630"/>
    <cellStyle name="Salida 4 6 4 2" xfId="38631"/>
    <cellStyle name="Salida 4 6 5" xfId="38632"/>
    <cellStyle name="Salida 4 6 5 2" xfId="38633"/>
    <cellStyle name="Salida 4 6 6" xfId="38634"/>
    <cellStyle name="Salida 4 6 6 2" xfId="38635"/>
    <cellStyle name="Salida 4 6 7" xfId="38636"/>
    <cellStyle name="Salida 4 6 7 2" xfId="38637"/>
    <cellStyle name="Salida 4 6 8" xfId="38638"/>
    <cellStyle name="Salida 4 6 8 2" xfId="38639"/>
    <cellStyle name="Salida 4 6 9" xfId="38640"/>
    <cellStyle name="Salida 4 6 9 2" xfId="38641"/>
    <cellStyle name="Salida 4 7" xfId="38642"/>
    <cellStyle name="Salida 4 7 2" xfId="38643"/>
    <cellStyle name="Salida 4 8" xfId="38644"/>
    <cellStyle name="Salida 4 8 2" xfId="38645"/>
    <cellStyle name="Salida 4 9" xfId="38646"/>
    <cellStyle name="Salida 4 9 2" xfId="38647"/>
    <cellStyle name="Salida 5" xfId="38648"/>
    <cellStyle name="Salida 5 10" xfId="38649"/>
    <cellStyle name="Salida 5 10 2" xfId="38650"/>
    <cellStyle name="Salida 5 11" xfId="38651"/>
    <cellStyle name="Salida 5 11 2" xfId="38652"/>
    <cellStyle name="Salida 5 12" xfId="38653"/>
    <cellStyle name="Salida 5 12 2" xfId="38654"/>
    <cellStyle name="Salida 5 13" xfId="38655"/>
    <cellStyle name="Salida 5 2" xfId="38656"/>
    <cellStyle name="Salida 5 2 10" xfId="38657"/>
    <cellStyle name="Salida 5 2 10 2" xfId="38658"/>
    <cellStyle name="Salida 5 2 11" xfId="38659"/>
    <cellStyle name="Salida 5 2 2" xfId="38660"/>
    <cellStyle name="Salida 5 2 2 2" xfId="38661"/>
    <cellStyle name="Salida 5 2 3" xfId="38662"/>
    <cellStyle name="Salida 5 2 3 2" xfId="38663"/>
    <cellStyle name="Salida 5 2 4" xfId="38664"/>
    <cellStyle name="Salida 5 2 4 2" xfId="38665"/>
    <cellStyle name="Salida 5 2 5" xfId="38666"/>
    <cellStyle name="Salida 5 2 5 2" xfId="38667"/>
    <cellStyle name="Salida 5 2 6" xfId="38668"/>
    <cellStyle name="Salida 5 2 6 2" xfId="38669"/>
    <cellStyle name="Salida 5 2 7" xfId="38670"/>
    <cellStyle name="Salida 5 2 7 2" xfId="38671"/>
    <cellStyle name="Salida 5 2 8" xfId="38672"/>
    <cellStyle name="Salida 5 2 8 2" xfId="38673"/>
    <cellStyle name="Salida 5 2 9" xfId="38674"/>
    <cellStyle name="Salida 5 2 9 2" xfId="38675"/>
    <cellStyle name="Salida 5 3" xfId="38676"/>
    <cellStyle name="Salida 5 3 10" xfId="38677"/>
    <cellStyle name="Salida 5 3 10 2" xfId="38678"/>
    <cellStyle name="Salida 5 3 11" xfId="38679"/>
    <cellStyle name="Salida 5 3 2" xfId="38680"/>
    <cellStyle name="Salida 5 3 2 2" xfId="38681"/>
    <cellStyle name="Salida 5 3 3" xfId="38682"/>
    <cellStyle name="Salida 5 3 3 2" xfId="38683"/>
    <cellStyle name="Salida 5 3 4" xfId="38684"/>
    <cellStyle name="Salida 5 3 4 2" xfId="38685"/>
    <cellStyle name="Salida 5 3 5" xfId="38686"/>
    <cellStyle name="Salida 5 3 5 2" xfId="38687"/>
    <cellStyle name="Salida 5 3 6" xfId="38688"/>
    <cellStyle name="Salida 5 3 6 2" xfId="38689"/>
    <cellStyle name="Salida 5 3 7" xfId="38690"/>
    <cellStyle name="Salida 5 3 7 2" xfId="38691"/>
    <cellStyle name="Salida 5 3 8" xfId="38692"/>
    <cellStyle name="Salida 5 3 8 2" xfId="38693"/>
    <cellStyle name="Salida 5 3 9" xfId="38694"/>
    <cellStyle name="Salida 5 3 9 2" xfId="38695"/>
    <cellStyle name="Salida 5 4" xfId="38696"/>
    <cellStyle name="Salida 5 4 2" xfId="38697"/>
    <cellStyle name="Salida 5 5" xfId="38698"/>
    <cellStyle name="Salida 5 5 2" xfId="38699"/>
    <cellStyle name="Salida 5 6" xfId="38700"/>
    <cellStyle name="Salida 5 6 2" xfId="38701"/>
    <cellStyle name="Salida 5 7" xfId="38702"/>
    <cellStyle name="Salida 5 7 2" xfId="38703"/>
    <cellStyle name="Salida 5 8" xfId="38704"/>
    <cellStyle name="Salida 5 8 2" xfId="38705"/>
    <cellStyle name="Salida 5 9" xfId="38706"/>
    <cellStyle name="Salida 5 9 2" xfId="38707"/>
    <cellStyle name="Salida 6" xfId="38708"/>
    <cellStyle name="Salida 6 10" xfId="38709"/>
    <cellStyle name="Salida 6 10 2" xfId="38710"/>
    <cellStyle name="Salida 6 11" xfId="38711"/>
    <cellStyle name="Salida 6 11 2" xfId="38712"/>
    <cellStyle name="Salida 6 12" xfId="38713"/>
    <cellStyle name="Salida 6 12 2" xfId="38714"/>
    <cellStyle name="Salida 6 13" xfId="38715"/>
    <cellStyle name="Salida 6 2" xfId="38716"/>
    <cellStyle name="Salida 6 2 10" xfId="38717"/>
    <cellStyle name="Salida 6 2 10 2" xfId="38718"/>
    <cellStyle name="Salida 6 2 11" xfId="38719"/>
    <cellStyle name="Salida 6 2 2" xfId="38720"/>
    <cellStyle name="Salida 6 2 2 2" xfId="38721"/>
    <cellStyle name="Salida 6 2 3" xfId="38722"/>
    <cellStyle name="Salida 6 2 3 2" xfId="38723"/>
    <cellStyle name="Salida 6 2 4" xfId="38724"/>
    <cellStyle name="Salida 6 2 4 2" xfId="38725"/>
    <cellStyle name="Salida 6 2 5" xfId="38726"/>
    <cellStyle name="Salida 6 2 5 2" xfId="38727"/>
    <cellStyle name="Salida 6 2 6" xfId="38728"/>
    <cellStyle name="Salida 6 2 6 2" xfId="38729"/>
    <cellStyle name="Salida 6 2 7" xfId="38730"/>
    <cellStyle name="Salida 6 2 7 2" xfId="38731"/>
    <cellStyle name="Salida 6 2 8" xfId="38732"/>
    <cellStyle name="Salida 6 2 8 2" xfId="38733"/>
    <cellStyle name="Salida 6 2 9" xfId="38734"/>
    <cellStyle name="Salida 6 2 9 2" xfId="38735"/>
    <cellStyle name="Salida 6 3" xfId="38736"/>
    <cellStyle name="Salida 6 3 10" xfId="38737"/>
    <cellStyle name="Salida 6 3 10 2" xfId="38738"/>
    <cellStyle name="Salida 6 3 11" xfId="38739"/>
    <cellStyle name="Salida 6 3 2" xfId="38740"/>
    <cellStyle name="Salida 6 3 2 2" xfId="38741"/>
    <cellStyle name="Salida 6 3 3" xfId="38742"/>
    <cellStyle name="Salida 6 3 3 2" xfId="38743"/>
    <cellStyle name="Salida 6 3 4" xfId="38744"/>
    <cellStyle name="Salida 6 3 4 2" xfId="38745"/>
    <cellStyle name="Salida 6 3 5" xfId="38746"/>
    <cellStyle name="Salida 6 3 5 2" xfId="38747"/>
    <cellStyle name="Salida 6 3 6" xfId="38748"/>
    <cellStyle name="Salida 6 3 6 2" xfId="38749"/>
    <cellStyle name="Salida 6 3 7" xfId="38750"/>
    <cellStyle name="Salida 6 3 7 2" xfId="38751"/>
    <cellStyle name="Salida 6 3 8" xfId="38752"/>
    <cellStyle name="Salida 6 3 8 2" xfId="38753"/>
    <cellStyle name="Salida 6 3 9" xfId="38754"/>
    <cellStyle name="Salida 6 3 9 2" xfId="38755"/>
    <cellStyle name="Salida 6 4" xfId="38756"/>
    <cellStyle name="Salida 6 4 2" xfId="38757"/>
    <cellStyle name="Salida 6 5" xfId="38758"/>
    <cellStyle name="Salida 6 5 2" xfId="38759"/>
    <cellStyle name="Salida 6 6" xfId="38760"/>
    <cellStyle name="Salida 6 6 2" xfId="38761"/>
    <cellStyle name="Salida 6 7" xfId="38762"/>
    <cellStyle name="Salida 6 7 2" xfId="38763"/>
    <cellStyle name="Salida 6 8" xfId="38764"/>
    <cellStyle name="Salida 6 8 2" xfId="38765"/>
    <cellStyle name="Salida 6 9" xfId="38766"/>
    <cellStyle name="Salida 6 9 2" xfId="38767"/>
    <cellStyle name="Salida 7" xfId="38768"/>
    <cellStyle name="Salida 7 10" xfId="38769"/>
    <cellStyle name="Salida 7 10 2" xfId="38770"/>
    <cellStyle name="Salida 7 11" xfId="38771"/>
    <cellStyle name="Salida 7 11 2" xfId="38772"/>
    <cellStyle name="Salida 7 12" xfId="38773"/>
    <cellStyle name="Salida 7 12 2" xfId="38774"/>
    <cellStyle name="Salida 7 13" xfId="38775"/>
    <cellStyle name="Salida 7 2" xfId="38776"/>
    <cellStyle name="Salida 7 2 10" xfId="38777"/>
    <cellStyle name="Salida 7 2 10 2" xfId="38778"/>
    <cellStyle name="Salida 7 2 11" xfId="38779"/>
    <cellStyle name="Salida 7 2 2" xfId="38780"/>
    <cellStyle name="Salida 7 2 2 2" xfId="38781"/>
    <cellStyle name="Salida 7 2 3" xfId="38782"/>
    <cellStyle name="Salida 7 2 3 2" xfId="38783"/>
    <cellStyle name="Salida 7 2 4" xfId="38784"/>
    <cellStyle name="Salida 7 2 4 2" xfId="38785"/>
    <cellStyle name="Salida 7 2 5" xfId="38786"/>
    <cellStyle name="Salida 7 2 5 2" xfId="38787"/>
    <cellStyle name="Salida 7 2 6" xfId="38788"/>
    <cellStyle name="Salida 7 2 6 2" xfId="38789"/>
    <cellStyle name="Salida 7 2 7" xfId="38790"/>
    <cellStyle name="Salida 7 2 7 2" xfId="38791"/>
    <cellStyle name="Salida 7 2 8" xfId="38792"/>
    <cellStyle name="Salida 7 2 8 2" xfId="38793"/>
    <cellStyle name="Salida 7 2 9" xfId="38794"/>
    <cellStyle name="Salida 7 2 9 2" xfId="38795"/>
    <cellStyle name="Salida 7 3" xfId="38796"/>
    <cellStyle name="Salida 7 3 10" xfId="38797"/>
    <cellStyle name="Salida 7 3 10 2" xfId="38798"/>
    <cellStyle name="Salida 7 3 11" xfId="38799"/>
    <cellStyle name="Salida 7 3 2" xfId="38800"/>
    <cellStyle name="Salida 7 3 2 2" xfId="38801"/>
    <cellStyle name="Salida 7 3 3" xfId="38802"/>
    <cellStyle name="Salida 7 3 3 2" xfId="38803"/>
    <cellStyle name="Salida 7 3 4" xfId="38804"/>
    <cellStyle name="Salida 7 3 4 2" xfId="38805"/>
    <cellStyle name="Salida 7 3 5" xfId="38806"/>
    <cellStyle name="Salida 7 3 5 2" xfId="38807"/>
    <cellStyle name="Salida 7 3 6" xfId="38808"/>
    <cellStyle name="Salida 7 3 6 2" xfId="38809"/>
    <cellStyle name="Salida 7 3 7" xfId="38810"/>
    <cellStyle name="Salida 7 3 7 2" xfId="38811"/>
    <cellStyle name="Salida 7 3 8" xfId="38812"/>
    <cellStyle name="Salida 7 3 8 2" xfId="38813"/>
    <cellStyle name="Salida 7 3 9" xfId="38814"/>
    <cellStyle name="Salida 7 3 9 2" xfId="38815"/>
    <cellStyle name="Salida 7 4" xfId="38816"/>
    <cellStyle name="Salida 7 4 2" xfId="38817"/>
    <cellStyle name="Salida 7 5" xfId="38818"/>
    <cellStyle name="Salida 7 5 2" xfId="38819"/>
    <cellStyle name="Salida 7 6" xfId="38820"/>
    <cellStyle name="Salida 7 6 2" xfId="38821"/>
    <cellStyle name="Salida 7 7" xfId="38822"/>
    <cellStyle name="Salida 7 7 2" xfId="38823"/>
    <cellStyle name="Salida 7 8" xfId="38824"/>
    <cellStyle name="Salida 7 8 2" xfId="38825"/>
    <cellStyle name="Salida 7 9" xfId="38826"/>
    <cellStyle name="Salida 7 9 2" xfId="38827"/>
    <cellStyle name="Salida 8" xfId="38828"/>
    <cellStyle name="Texto de advertencia" xfId="219" builtinId="11" customBuiltin="1"/>
    <cellStyle name="Texto de advertencia 2" xfId="220"/>
    <cellStyle name="Texto de advertencia 2 2" xfId="221"/>
    <cellStyle name="Texto de advertencia 2 3" xfId="222"/>
    <cellStyle name="Texto de advertencia 2 4" xfId="38829"/>
    <cellStyle name="Texto de advertencia 3" xfId="223"/>
    <cellStyle name="Texto de advertencia 4" xfId="38830"/>
    <cellStyle name="Texto de advertencia 5" xfId="38831"/>
    <cellStyle name="Texto de advertencia 6" xfId="38832"/>
    <cellStyle name="Texto de advertencia 7" xfId="38833"/>
    <cellStyle name="Texto explicativo" xfId="224" builtinId="53" customBuiltin="1"/>
    <cellStyle name="Texto explicativo 2" xfId="225"/>
    <cellStyle name="Texto explicativo 2 2" xfId="226"/>
    <cellStyle name="Texto explicativo 2 3" xfId="227"/>
    <cellStyle name="Texto explicativo 2 4" xfId="38834"/>
    <cellStyle name="Texto explicativo 3" xfId="228"/>
    <cellStyle name="Texto explicativo 4" xfId="38835"/>
    <cellStyle name="Texto explicativo 5" xfId="38836"/>
    <cellStyle name="Texto explicativo 6" xfId="38837"/>
    <cellStyle name="Texto explicativo 7" xfId="38838"/>
    <cellStyle name="Título" xfId="229" builtinId="15" customBuiltin="1"/>
    <cellStyle name="Título 1" xfId="230" builtinId="16" customBuiltin="1"/>
    <cellStyle name="Título 1 2" xfId="231"/>
    <cellStyle name="Título 1 2 2" xfId="232"/>
    <cellStyle name="Título 1 2 3" xfId="233"/>
    <cellStyle name="Título 1 2 4" xfId="38839"/>
    <cellStyle name="Título 1 3" xfId="234"/>
    <cellStyle name="Título 1 4" xfId="38840"/>
    <cellStyle name="Título 1 5" xfId="38841"/>
    <cellStyle name="Título 1 6" xfId="38842"/>
    <cellStyle name="Título 1 7" xfId="38843"/>
    <cellStyle name="Título 2" xfId="235" builtinId="17" customBuiltin="1"/>
    <cellStyle name="Título 2 2" xfId="236"/>
    <cellStyle name="Título 2 2 2" xfId="237"/>
    <cellStyle name="Título 2 2 3" xfId="238"/>
    <cellStyle name="Título 2 2 4" xfId="38844"/>
    <cellStyle name="Título 2 3" xfId="239"/>
    <cellStyle name="Título 2 4" xfId="38845"/>
    <cellStyle name="Título 2 5" xfId="38846"/>
    <cellStyle name="Título 2 6" xfId="38847"/>
    <cellStyle name="Título 2 7" xfId="38848"/>
    <cellStyle name="Título 3" xfId="240" builtinId="18" customBuiltin="1"/>
    <cellStyle name="Título 3 2" xfId="241"/>
    <cellStyle name="Título 3 2 10" xfId="38849"/>
    <cellStyle name="Título 3 2 10 2" xfId="38850"/>
    <cellStyle name="Título 3 2 11" xfId="38851"/>
    <cellStyle name="Título 3 2 11 2" xfId="38852"/>
    <cellStyle name="Título 3 2 12" xfId="38853"/>
    <cellStyle name="Título 3 2 12 2" xfId="38854"/>
    <cellStyle name="Título 3 2 13" xfId="38855"/>
    <cellStyle name="Título 3 2 13 2" xfId="38856"/>
    <cellStyle name="Título 3 2 14" xfId="38857"/>
    <cellStyle name="Título 3 2 14 2" xfId="38858"/>
    <cellStyle name="Título 3 2 15" xfId="38859"/>
    <cellStyle name="Título 3 2 15 2" xfId="38860"/>
    <cellStyle name="Título 3 2 16" xfId="38861"/>
    <cellStyle name="Título 3 2 17" xfId="38862"/>
    <cellStyle name="Título 3 2 18" xfId="38863"/>
    <cellStyle name="Título 3 2 2" xfId="242"/>
    <cellStyle name="Título 3 2 2 10" xfId="38864"/>
    <cellStyle name="Título 3 2 2 10 2" xfId="38865"/>
    <cellStyle name="Título 3 2 2 11" xfId="38866"/>
    <cellStyle name="Título 3 2 2 11 2" xfId="38867"/>
    <cellStyle name="Título 3 2 2 12" xfId="38868"/>
    <cellStyle name="Título 3 2 2 12 2" xfId="38869"/>
    <cellStyle name="Título 3 2 2 13" xfId="38870"/>
    <cellStyle name="Título 3 2 2 14" xfId="38871"/>
    <cellStyle name="Título 3 2 2 15" xfId="38872"/>
    <cellStyle name="Título 3 2 2 2" xfId="38873"/>
    <cellStyle name="Título 3 2 2 2 2" xfId="38874"/>
    <cellStyle name="Título 3 2 2 2 2 2" xfId="38875"/>
    <cellStyle name="Título 3 2 2 2 2 2 2" xfId="38876"/>
    <cellStyle name="Título 3 2 2 2 2 3" xfId="38877"/>
    <cellStyle name="Título 3 2 2 2 3" xfId="38878"/>
    <cellStyle name="Título 3 2 2 2 3 2" xfId="38879"/>
    <cellStyle name="Título 3 2 2 2 4" xfId="38880"/>
    <cellStyle name="Título 3 2 2 3" xfId="38881"/>
    <cellStyle name="Título 3 2 2 3 2" xfId="38882"/>
    <cellStyle name="Título 3 2 2 4" xfId="38883"/>
    <cellStyle name="Título 3 2 2 4 2" xfId="38884"/>
    <cellStyle name="Título 3 2 2 5" xfId="38885"/>
    <cellStyle name="Título 3 2 2 5 2" xfId="38886"/>
    <cellStyle name="Título 3 2 2 6" xfId="38887"/>
    <cellStyle name="Título 3 2 2 6 2" xfId="38888"/>
    <cellStyle name="Título 3 2 2 7" xfId="38889"/>
    <cellStyle name="Título 3 2 2 7 2" xfId="38890"/>
    <cellStyle name="Título 3 2 2 8" xfId="38891"/>
    <cellStyle name="Título 3 2 2 8 2" xfId="38892"/>
    <cellStyle name="Título 3 2 2 9" xfId="38893"/>
    <cellStyle name="Título 3 2 2 9 2" xfId="38894"/>
    <cellStyle name="Título 3 2 3" xfId="243"/>
    <cellStyle name="Título 3 2 3 10" xfId="38895"/>
    <cellStyle name="Título 3 2 3 10 2" xfId="38896"/>
    <cellStyle name="Título 3 2 3 11" xfId="38897"/>
    <cellStyle name="Título 3 2 3 11 2" xfId="38898"/>
    <cellStyle name="Título 3 2 3 12" xfId="38899"/>
    <cellStyle name="Título 3 2 3 13" xfId="38900"/>
    <cellStyle name="Título 3 2 3 14" xfId="38901"/>
    <cellStyle name="Título 3 2 3 2" xfId="38902"/>
    <cellStyle name="Título 3 2 3 2 2" xfId="38903"/>
    <cellStyle name="Título 3 2 3 2 2 2" xfId="38904"/>
    <cellStyle name="Título 3 2 3 2 2 2 2" xfId="38905"/>
    <cellStyle name="Título 3 2 3 2 2 3" xfId="38906"/>
    <cellStyle name="Título 3 2 3 2 3" xfId="38907"/>
    <cellStyle name="Título 3 2 3 2 3 2" xfId="38908"/>
    <cellStyle name="Título 3 2 3 2 4" xfId="38909"/>
    <cellStyle name="Título 3 2 3 3" xfId="38910"/>
    <cellStyle name="Título 3 2 3 3 2" xfId="38911"/>
    <cellStyle name="Título 3 2 3 4" xfId="38912"/>
    <cellStyle name="Título 3 2 3 4 2" xfId="38913"/>
    <cellStyle name="Título 3 2 3 5" xfId="38914"/>
    <cellStyle name="Título 3 2 3 5 2" xfId="38915"/>
    <cellStyle name="Título 3 2 3 6" xfId="38916"/>
    <cellStyle name="Título 3 2 3 6 2" xfId="38917"/>
    <cellStyle name="Título 3 2 3 7" xfId="38918"/>
    <cellStyle name="Título 3 2 3 7 2" xfId="38919"/>
    <cellStyle name="Título 3 2 3 8" xfId="38920"/>
    <cellStyle name="Título 3 2 3 8 2" xfId="38921"/>
    <cellStyle name="Título 3 2 3 9" xfId="38922"/>
    <cellStyle name="Título 3 2 3 9 2" xfId="38923"/>
    <cellStyle name="Título 3 2 4" xfId="38924"/>
    <cellStyle name="Título 3 2 4 2" xfId="38925"/>
    <cellStyle name="Título 3 2 4 2 2" xfId="38926"/>
    <cellStyle name="Título 3 2 4 2 2 2" xfId="38927"/>
    <cellStyle name="Título 3 2 4 2 3" xfId="38928"/>
    <cellStyle name="Título 3 2 4 3" xfId="38929"/>
    <cellStyle name="Título 3 2 4 3 2" xfId="38930"/>
    <cellStyle name="Título 3 2 4 4" xfId="38931"/>
    <cellStyle name="Título 3 2 5" xfId="38932"/>
    <cellStyle name="Título 3 2 5 2" xfId="38933"/>
    <cellStyle name="Título 3 2 5 2 2" xfId="38934"/>
    <cellStyle name="Título 3 2 5 2 2 2" xfId="38935"/>
    <cellStyle name="Título 3 2 5 2 3" xfId="38936"/>
    <cellStyle name="Título 3 2 5 3" xfId="38937"/>
    <cellStyle name="Título 3 2 5 3 2" xfId="38938"/>
    <cellStyle name="Título 3 2 5 4" xfId="38939"/>
    <cellStyle name="Título 3 2 6" xfId="38940"/>
    <cellStyle name="Título 3 2 6 2" xfId="38941"/>
    <cellStyle name="Título 3 2 7" xfId="38942"/>
    <cellStyle name="Título 3 2 7 2" xfId="38943"/>
    <cellStyle name="Título 3 2 8" xfId="38944"/>
    <cellStyle name="Título 3 2 8 2" xfId="38945"/>
    <cellStyle name="Título 3 2 9" xfId="38946"/>
    <cellStyle name="Título 3 2 9 2" xfId="38947"/>
    <cellStyle name="Título 3 3" xfId="244"/>
    <cellStyle name="Título 3 3 10" xfId="38948"/>
    <cellStyle name="Título 3 3 10 2" xfId="38949"/>
    <cellStyle name="Título 3 3 11" xfId="38950"/>
    <cellStyle name="Título 3 3 11 2" xfId="38951"/>
    <cellStyle name="Título 3 3 12" xfId="38952"/>
    <cellStyle name="Título 3 3 13" xfId="38953"/>
    <cellStyle name="Título 3 3 14" xfId="38954"/>
    <cellStyle name="Título 3 3 2" xfId="38955"/>
    <cellStyle name="Título 3 3 2 2" xfId="38956"/>
    <cellStyle name="Título 3 3 2 2 2" xfId="38957"/>
    <cellStyle name="Título 3 3 2 2 2 2" xfId="38958"/>
    <cellStyle name="Título 3 3 2 2 3" xfId="38959"/>
    <cellStyle name="Título 3 3 2 3" xfId="38960"/>
    <cellStyle name="Título 3 3 2 3 2" xfId="38961"/>
    <cellStyle name="Título 3 3 2 4" xfId="38962"/>
    <cellStyle name="Título 3 3 3" xfId="38963"/>
    <cellStyle name="Título 3 3 3 2" xfId="38964"/>
    <cellStyle name="Título 3 3 4" xfId="38965"/>
    <cellStyle name="Título 3 3 4 2" xfId="38966"/>
    <cellStyle name="Título 3 3 5" xfId="38967"/>
    <cellStyle name="Título 3 3 5 2" xfId="38968"/>
    <cellStyle name="Título 3 3 6" xfId="38969"/>
    <cellStyle name="Título 3 3 6 2" xfId="38970"/>
    <cellStyle name="Título 3 3 7" xfId="38971"/>
    <cellStyle name="Título 3 3 7 2" xfId="38972"/>
    <cellStyle name="Título 3 3 8" xfId="38973"/>
    <cellStyle name="Título 3 3 8 2" xfId="38974"/>
    <cellStyle name="Título 3 3 9" xfId="38975"/>
    <cellStyle name="Título 3 3 9 2" xfId="38976"/>
    <cellStyle name="Título 3 4" xfId="38977"/>
    <cellStyle name="Título 3 4 2" xfId="38978"/>
    <cellStyle name="Título 3 4 2 2" xfId="38979"/>
    <cellStyle name="Título 3 4 2 2 2" xfId="38980"/>
    <cellStyle name="Título 3 4 2 3" xfId="38981"/>
    <cellStyle name="Título 3 4 3" xfId="38982"/>
    <cellStyle name="Título 3 4 3 2" xfId="38983"/>
    <cellStyle name="Título 3 4 4" xfId="38984"/>
    <cellStyle name="Título 3 5" xfId="38985"/>
    <cellStyle name="Título 3 5 2" xfId="38986"/>
    <cellStyle name="Título 3 5 2 2" xfId="38987"/>
    <cellStyle name="Título 3 5 3" xfId="38988"/>
    <cellStyle name="Título 3 6" xfId="38989"/>
    <cellStyle name="Título 3 6 2" xfId="38990"/>
    <cellStyle name="Título 3 7" xfId="38991"/>
    <cellStyle name="Título 4" xfId="245"/>
    <cellStyle name="Título 4 2" xfId="246"/>
    <cellStyle name="Título 4 3" xfId="247"/>
    <cellStyle name="Título 4 4" xfId="38992"/>
    <cellStyle name="Título 5" xfId="248"/>
    <cellStyle name="Título 6" xfId="38993"/>
    <cellStyle name="Título 7" xfId="38994"/>
    <cellStyle name="Título 8" xfId="38995"/>
    <cellStyle name="Título 9" xfId="38996"/>
    <cellStyle name="Total" xfId="249" builtinId="25" customBuiltin="1"/>
    <cellStyle name="Total 2" xfId="250"/>
    <cellStyle name="Total 2 10" xfId="38997"/>
    <cellStyle name="Total 2 10 2" xfId="38998"/>
    <cellStyle name="Total 2 11" xfId="38999"/>
    <cellStyle name="Total 2 11 2" xfId="39000"/>
    <cellStyle name="Total 2 12" xfId="39001"/>
    <cellStyle name="Total 2 12 2" xfId="39002"/>
    <cellStyle name="Total 2 13" xfId="39003"/>
    <cellStyle name="Total 2 13 2" xfId="39004"/>
    <cellStyle name="Total 2 14" xfId="39005"/>
    <cellStyle name="Total 2 14 2" xfId="39006"/>
    <cellStyle name="Total 2 15" xfId="39007"/>
    <cellStyle name="Total 2 15 2" xfId="39008"/>
    <cellStyle name="Total 2 16" xfId="39009"/>
    <cellStyle name="Total 2 16 2" xfId="39010"/>
    <cellStyle name="Total 2 17" xfId="39011"/>
    <cellStyle name="Total 2 17 2" xfId="39012"/>
    <cellStyle name="Total 2 18" xfId="39013"/>
    <cellStyle name="Total 2 18 2" xfId="39014"/>
    <cellStyle name="Total 2 19" xfId="39015"/>
    <cellStyle name="Total 2 2" xfId="251"/>
    <cellStyle name="Total 2 2 10" xfId="39016"/>
    <cellStyle name="Total 2 2 10 2" xfId="39017"/>
    <cellStyle name="Total 2 2 11" xfId="39018"/>
    <cellStyle name="Total 2 2 11 2" xfId="39019"/>
    <cellStyle name="Total 2 2 12" xfId="39020"/>
    <cellStyle name="Total 2 2 12 2" xfId="39021"/>
    <cellStyle name="Total 2 2 13" xfId="39022"/>
    <cellStyle name="Total 2 2 13 2" xfId="39023"/>
    <cellStyle name="Total 2 2 14" xfId="39024"/>
    <cellStyle name="Total 2 2 14 2" xfId="39025"/>
    <cellStyle name="Total 2 2 15" xfId="39026"/>
    <cellStyle name="Total 2 2 15 2" xfId="39027"/>
    <cellStyle name="Total 2 2 16" xfId="39028"/>
    <cellStyle name="Total 2 2 17" xfId="39029"/>
    <cellStyle name="Total 2 2 18" xfId="39030"/>
    <cellStyle name="Total 2 2 2" xfId="39031"/>
    <cellStyle name="Total 2 2 2 10" xfId="39032"/>
    <cellStyle name="Total 2 2 2 10 2" xfId="39033"/>
    <cellStyle name="Total 2 2 2 11" xfId="39034"/>
    <cellStyle name="Total 2 2 2 11 2" xfId="39035"/>
    <cellStyle name="Total 2 2 2 12" xfId="39036"/>
    <cellStyle name="Total 2 2 2 12 2" xfId="39037"/>
    <cellStyle name="Total 2 2 2 13" xfId="39038"/>
    <cellStyle name="Total 2 2 2 13 2" xfId="39039"/>
    <cellStyle name="Total 2 2 2 14" xfId="39040"/>
    <cellStyle name="Total 2 2 2 14 2" xfId="39041"/>
    <cellStyle name="Total 2 2 2 15" xfId="39042"/>
    <cellStyle name="Total 2 2 2 2" xfId="39043"/>
    <cellStyle name="Total 2 2 2 2 10" xfId="39044"/>
    <cellStyle name="Total 2 2 2 2 10 2" xfId="39045"/>
    <cellStyle name="Total 2 2 2 2 11" xfId="39046"/>
    <cellStyle name="Total 2 2 2 2 11 2" xfId="39047"/>
    <cellStyle name="Total 2 2 2 2 12" xfId="39048"/>
    <cellStyle name="Total 2 2 2 2 12 2" xfId="39049"/>
    <cellStyle name="Total 2 2 2 2 13" xfId="39050"/>
    <cellStyle name="Total 2 2 2 2 2" xfId="39051"/>
    <cellStyle name="Total 2 2 2 2 2 10" xfId="39052"/>
    <cellStyle name="Total 2 2 2 2 2 10 2" xfId="39053"/>
    <cellStyle name="Total 2 2 2 2 2 11" xfId="39054"/>
    <cellStyle name="Total 2 2 2 2 2 2" xfId="39055"/>
    <cellStyle name="Total 2 2 2 2 2 2 2" xfId="39056"/>
    <cellStyle name="Total 2 2 2 2 2 3" xfId="39057"/>
    <cellStyle name="Total 2 2 2 2 2 3 2" xfId="39058"/>
    <cellStyle name="Total 2 2 2 2 2 4" xfId="39059"/>
    <cellStyle name="Total 2 2 2 2 2 4 2" xfId="39060"/>
    <cellStyle name="Total 2 2 2 2 2 5" xfId="39061"/>
    <cellStyle name="Total 2 2 2 2 2 5 2" xfId="39062"/>
    <cellStyle name="Total 2 2 2 2 2 6" xfId="39063"/>
    <cellStyle name="Total 2 2 2 2 2 6 2" xfId="39064"/>
    <cellStyle name="Total 2 2 2 2 2 7" xfId="39065"/>
    <cellStyle name="Total 2 2 2 2 2 7 2" xfId="39066"/>
    <cellStyle name="Total 2 2 2 2 2 8" xfId="39067"/>
    <cellStyle name="Total 2 2 2 2 2 8 2" xfId="39068"/>
    <cellStyle name="Total 2 2 2 2 2 9" xfId="39069"/>
    <cellStyle name="Total 2 2 2 2 2 9 2" xfId="39070"/>
    <cellStyle name="Total 2 2 2 2 3" xfId="39071"/>
    <cellStyle name="Total 2 2 2 2 3 10" xfId="39072"/>
    <cellStyle name="Total 2 2 2 2 3 10 2" xfId="39073"/>
    <cellStyle name="Total 2 2 2 2 3 11" xfId="39074"/>
    <cellStyle name="Total 2 2 2 2 3 2" xfId="39075"/>
    <cellStyle name="Total 2 2 2 2 3 2 2" xfId="39076"/>
    <cellStyle name="Total 2 2 2 2 3 3" xfId="39077"/>
    <cellStyle name="Total 2 2 2 2 3 3 2" xfId="39078"/>
    <cellStyle name="Total 2 2 2 2 3 4" xfId="39079"/>
    <cellStyle name="Total 2 2 2 2 3 4 2" xfId="39080"/>
    <cellStyle name="Total 2 2 2 2 3 5" xfId="39081"/>
    <cellStyle name="Total 2 2 2 2 3 5 2" xfId="39082"/>
    <cellStyle name="Total 2 2 2 2 3 6" xfId="39083"/>
    <cellStyle name="Total 2 2 2 2 3 6 2" xfId="39084"/>
    <cellStyle name="Total 2 2 2 2 3 7" xfId="39085"/>
    <cellStyle name="Total 2 2 2 2 3 7 2" xfId="39086"/>
    <cellStyle name="Total 2 2 2 2 3 8" xfId="39087"/>
    <cellStyle name="Total 2 2 2 2 3 8 2" xfId="39088"/>
    <cellStyle name="Total 2 2 2 2 3 9" xfId="39089"/>
    <cellStyle name="Total 2 2 2 2 3 9 2" xfId="39090"/>
    <cellStyle name="Total 2 2 2 2 4" xfId="39091"/>
    <cellStyle name="Total 2 2 2 2 4 2" xfId="39092"/>
    <cellStyle name="Total 2 2 2 2 5" xfId="39093"/>
    <cellStyle name="Total 2 2 2 2 5 2" xfId="39094"/>
    <cellStyle name="Total 2 2 2 2 6" xfId="39095"/>
    <cellStyle name="Total 2 2 2 2 6 2" xfId="39096"/>
    <cellStyle name="Total 2 2 2 2 7" xfId="39097"/>
    <cellStyle name="Total 2 2 2 2 7 2" xfId="39098"/>
    <cellStyle name="Total 2 2 2 2 8" xfId="39099"/>
    <cellStyle name="Total 2 2 2 2 8 2" xfId="39100"/>
    <cellStyle name="Total 2 2 2 2 9" xfId="39101"/>
    <cellStyle name="Total 2 2 2 2 9 2" xfId="39102"/>
    <cellStyle name="Total 2 2 2 3" xfId="39103"/>
    <cellStyle name="Total 2 2 2 3 10" xfId="39104"/>
    <cellStyle name="Total 2 2 2 3 10 2" xfId="39105"/>
    <cellStyle name="Total 2 2 2 3 11" xfId="39106"/>
    <cellStyle name="Total 2 2 2 3 11 2" xfId="39107"/>
    <cellStyle name="Total 2 2 2 3 12" xfId="39108"/>
    <cellStyle name="Total 2 2 2 3 12 2" xfId="39109"/>
    <cellStyle name="Total 2 2 2 3 13" xfId="39110"/>
    <cellStyle name="Total 2 2 2 3 2" xfId="39111"/>
    <cellStyle name="Total 2 2 2 3 2 10" xfId="39112"/>
    <cellStyle name="Total 2 2 2 3 2 10 2" xfId="39113"/>
    <cellStyle name="Total 2 2 2 3 2 11" xfId="39114"/>
    <cellStyle name="Total 2 2 2 3 2 2" xfId="39115"/>
    <cellStyle name="Total 2 2 2 3 2 2 2" xfId="39116"/>
    <cellStyle name="Total 2 2 2 3 2 3" xfId="39117"/>
    <cellStyle name="Total 2 2 2 3 2 3 2" xfId="39118"/>
    <cellStyle name="Total 2 2 2 3 2 4" xfId="39119"/>
    <cellStyle name="Total 2 2 2 3 2 4 2" xfId="39120"/>
    <cellStyle name="Total 2 2 2 3 2 5" xfId="39121"/>
    <cellStyle name="Total 2 2 2 3 2 5 2" xfId="39122"/>
    <cellStyle name="Total 2 2 2 3 2 6" xfId="39123"/>
    <cellStyle name="Total 2 2 2 3 2 6 2" xfId="39124"/>
    <cellStyle name="Total 2 2 2 3 2 7" xfId="39125"/>
    <cellStyle name="Total 2 2 2 3 2 7 2" xfId="39126"/>
    <cellStyle name="Total 2 2 2 3 2 8" xfId="39127"/>
    <cellStyle name="Total 2 2 2 3 2 8 2" xfId="39128"/>
    <cellStyle name="Total 2 2 2 3 2 9" xfId="39129"/>
    <cellStyle name="Total 2 2 2 3 2 9 2" xfId="39130"/>
    <cellStyle name="Total 2 2 2 3 3" xfId="39131"/>
    <cellStyle name="Total 2 2 2 3 3 10" xfId="39132"/>
    <cellStyle name="Total 2 2 2 3 3 10 2" xfId="39133"/>
    <cellStyle name="Total 2 2 2 3 3 11" xfId="39134"/>
    <cellStyle name="Total 2 2 2 3 3 2" xfId="39135"/>
    <cellStyle name="Total 2 2 2 3 3 2 2" xfId="39136"/>
    <cellStyle name="Total 2 2 2 3 3 3" xfId="39137"/>
    <cellStyle name="Total 2 2 2 3 3 3 2" xfId="39138"/>
    <cellStyle name="Total 2 2 2 3 3 4" xfId="39139"/>
    <cellStyle name="Total 2 2 2 3 3 4 2" xfId="39140"/>
    <cellStyle name="Total 2 2 2 3 3 5" xfId="39141"/>
    <cellStyle name="Total 2 2 2 3 3 5 2" xfId="39142"/>
    <cellStyle name="Total 2 2 2 3 3 6" xfId="39143"/>
    <cellStyle name="Total 2 2 2 3 3 6 2" xfId="39144"/>
    <cellStyle name="Total 2 2 2 3 3 7" xfId="39145"/>
    <cellStyle name="Total 2 2 2 3 3 7 2" xfId="39146"/>
    <cellStyle name="Total 2 2 2 3 3 8" xfId="39147"/>
    <cellStyle name="Total 2 2 2 3 3 8 2" xfId="39148"/>
    <cellStyle name="Total 2 2 2 3 3 9" xfId="39149"/>
    <cellStyle name="Total 2 2 2 3 3 9 2" xfId="39150"/>
    <cellStyle name="Total 2 2 2 3 4" xfId="39151"/>
    <cellStyle name="Total 2 2 2 3 4 2" xfId="39152"/>
    <cellStyle name="Total 2 2 2 3 5" xfId="39153"/>
    <cellStyle name="Total 2 2 2 3 5 2" xfId="39154"/>
    <cellStyle name="Total 2 2 2 3 6" xfId="39155"/>
    <cellStyle name="Total 2 2 2 3 6 2" xfId="39156"/>
    <cellStyle name="Total 2 2 2 3 7" xfId="39157"/>
    <cellStyle name="Total 2 2 2 3 7 2" xfId="39158"/>
    <cellStyle name="Total 2 2 2 3 8" xfId="39159"/>
    <cellStyle name="Total 2 2 2 3 8 2" xfId="39160"/>
    <cellStyle name="Total 2 2 2 3 9" xfId="39161"/>
    <cellStyle name="Total 2 2 2 3 9 2" xfId="39162"/>
    <cellStyle name="Total 2 2 2 4" xfId="39163"/>
    <cellStyle name="Total 2 2 2 4 10" xfId="39164"/>
    <cellStyle name="Total 2 2 2 4 10 2" xfId="39165"/>
    <cellStyle name="Total 2 2 2 4 11" xfId="39166"/>
    <cellStyle name="Total 2 2 2 4 2" xfId="39167"/>
    <cellStyle name="Total 2 2 2 4 2 2" xfId="39168"/>
    <cellStyle name="Total 2 2 2 4 3" xfId="39169"/>
    <cellStyle name="Total 2 2 2 4 3 2" xfId="39170"/>
    <cellStyle name="Total 2 2 2 4 4" xfId="39171"/>
    <cellStyle name="Total 2 2 2 4 4 2" xfId="39172"/>
    <cellStyle name="Total 2 2 2 4 5" xfId="39173"/>
    <cellStyle name="Total 2 2 2 4 5 2" xfId="39174"/>
    <cellStyle name="Total 2 2 2 4 6" xfId="39175"/>
    <cellStyle name="Total 2 2 2 4 6 2" xfId="39176"/>
    <cellStyle name="Total 2 2 2 4 7" xfId="39177"/>
    <cellStyle name="Total 2 2 2 4 7 2" xfId="39178"/>
    <cellStyle name="Total 2 2 2 4 8" xfId="39179"/>
    <cellStyle name="Total 2 2 2 4 8 2" xfId="39180"/>
    <cellStyle name="Total 2 2 2 4 9" xfId="39181"/>
    <cellStyle name="Total 2 2 2 4 9 2" xfId="39182"/>
    <cellStyle name="Total 2 2 2 5" xfId="39183"/>
    <cellStyle name="Total 2 2 2 5 10" xfId="39184"/>
    <cellStyle name="Total 2 2 2 5 10 2" xfId="39185"/>
    <cellStyle name="Total 2 2 2 5 11" xfId="39186"/>
    <cellStyle name="Total 2 2 2 5 2" xfId="39187"/>
    <cellStyle name="Total 2 2 2 5 2 2" xfId="39188"/>
    <cellStyle name="Total 2 2 2 5 3" xfId="39189"/>
    <cellStyle name="Total 2 2 2 5 3 2" xfId="39190"/>
    <cellStyle name="Total 2 2 2 5 4" xfId="39191"/>
    <cellStyle name="Total 2 2 2 5 4 2" xfId="39192"/>
    <cellStyle name="Total 2 2 2 5 5" xfId="39193"/>
    <cellStyle name="Total 2 2 2 5 5 2" xfId="39194"/>
    <cellStyle name="Total 2 2 2 5 6" xfId="39195"/>
    <cellStyle name="Total 2 2 2 5 6 2" xfId="39196"/>
    <cellStyle name="Total 2 2 2 5 7" xfId="39197"/>
    <cellStyle name="Total 2 2 2 5 7 2" xfId="39198"/>
    <cellStyle name="Total 2 2 2 5 8" xfId="39199"/>
    <cellStyle name="Total 2 2 2 5 8 2" xfId="39200"/>
    <cellStyle name="Total 2 2 2 5 9" xfId="39201"/>
    <cellStyle name="Total 2 2 2 5 9 2" xfId="39202"/>
    <cellStyle name="Total 2 2 2 6" xfId="39203"/>
    <cellStyle name="Total 2 2 2 6 2" xfId="39204"/>
    <cellStyle name="Total 2 2 2 7" xfId="39205"/>
    <cellStyle name="Total 2 2 2 7 2" xfId="39206"/>
    <cellStyle name="Total 2 2 2 8" xfId="39207"/>
    <cellStyle name="Total 2 2 2 8 2" xfId="39208"/>
    <cellStyle name="Total 2 2 2 9" xfId="39209"/>
    <cellStyle name="Total 2 2 2 9 2" xfId="39210"/>
    <cellStyle name="Total 2 2 3" xfId="39211"/>
    <cellStyle name="Total 2 2 3 10" xfId="39212"/>
    <cellStyle name="Total 2 2 3 10 2" xfId="39213"/>
    <cellStyle name="Total 2 2 3 11" xfId="39214"/>
    <cellStyle name="Total 2 2 3 11 2" xfId="39215"/>
    <cellStyle name="Total 2 2 3 12" xfId="39216"/>
    <cellStyle name="Total 2 2 3 12 2" xfId="39217"/>
    <cellStyle name="Total 2 2 3 13" xfId="39218"/>
    <cellStyle name="Total 2 2 3 13 2" xfId="39219"/>
    <cellStyle name="Total 2 2 3 14" xfId="39220"/>
    <cellStyle name="Total 2 2 3 14 2" xfId="39221"/>
    <cellStyle name="Total 2 2 3 15" xfId="39222"/>
    <cellStyle name="Total 2 2 3 2" xfId="39223"/>
    <cellStyle name="Total 2 2 3 2 10" xfId="39224"/>
    <cellStyle name="Total 2 2 3 2 10 2" xfId="39225"/>
    <cellStyle name="Total 2 2 3 2 11" xfId="39226"/>
    <cellStyle name="Total 2 2 3 2 11 2" xfId="39227"/>
    <cellStyle name="Total 2 2 3 2 12" xfId="39228"/>
    <cellStyle name="Total 2 2 3 2 12 2" xfId="39229"/>
    <cellStyle name="Total 2 2 3 2 13" xfId="39230"/>
    <cellStyle name="Total 2 2 3 2 2" xfId="39231"/>
    <cellStyle name="Total 2 2 3 2 2 10" xfId="39232"/>
    <cellStyle name="Total 2 2 3 2 2 10 2" xfId="39233"/>
    <cellStyle name="Total 2 2 3 2 2 11" xfId="39234"/>
    <cellStyle name="Total 2 2 3 2 2 2" xfId="39235"/>
    <cellStyle name="Total 2 2 3 2 2 2 2" xfId="39236"/>
    <cellStyle name="Total 2 2 3 2 2 3" xfId="39237"/>
    <cellStyle name="Total 2 2 3 2 2 3 2" xfId="39238"/>
    <cellStyle name="Total 2 2 3 2 2 4" xfId="39239"/>
    <cellStyle name="Total 2 2 3 2 2 4 2" xfId="39240"/>
    <cellStyle name="Total 2 2 3 2 2 5" xfId="39241"/>
    <cellStyle name="Total 2 2 3 2 2 5 2" xfId="39242"/>
    <cellStyle name="Total 2 2 3 2 2 6" xfId="39243"/>
    <cellStyle name="Total 2 2 3 2 2 6 2" xfId="39244"/>
    <cellStyle name="Total 2 2 3 2 2 7" xfId="39245"/>
    <cellStyle name="Total 2 2 3 2 2 7 2" xfId="39246"/>
    <cellStyle name="Total 2 2 3 2 2 8" xfId="39247"/>
    <cellStyle name="Total 2 2 3 2 2 8 2" xfId="39248"/>
    <cellStyle name="Total 2 2 3 2 2 9" xfId="39249"/>
    <cellStyle name="Total 2 2 3 2 2 9 2" xfId="39250"/>
    <cellStyle name="Total 2 2 3 2 3" xfId="39251"/>
    <cellStyle name="Total 2 2 3 2 3 10" xfId="39252"/>
    <cellStyle name="Total 2 2 3 2 3 10 2" xfId="39253"/>
    <cellStyle name="Total 2 2 3 2 3 11" xfId="39254"/>
    <cellStyle name="Total 2 2 3 2 3 2" xfId="39255"/>
    <cellStyle name="Total 2 2 3 2 3 2 2" xfId="39256"/>
    <cellStyle name="Total 2 2 3 2 3 3" xfId="39257"/>
    <cellStyle name="Total 2 2 3 2 3 3 2" xfId="39258"/>
    <cellStyle name="Total 2 2 3 2 3 4" xfId="39259"/>
    <cellStyle name="Total 2 2 3 2 3 4 2" xfId="39260"/>
    <cellStyle name="Total 2 2 3 2 3 5" xfId="39261"/>
    <cellStyle name="Total 2 2 3 2 3 5 2" xfId="39262"/>
    <cellStyle name="Total 2 2 3 2 3 6" xfId="39263"/>
    <cellStyle name="Total 2 2 3 2 3 6 2" xfId="39264"/>
    <cellStyle name="Total 2 2 3 2 3 7" xfId="39265"/>
    <cellStyle name="Total 2 2 3 2 3 7 2" xfId="39266"/>
    <cellStyle name="Total 2 2 3 2 3 8" xfId="39267"/>
    <cellStyle name="Total 2 2 3 2 3 8 2" xfId="39268"/>
    <cellStyle name="Total 2 2 3 2 3 9" xfId="39269"/>
    <cellStyle name="Total 2 2 3 2 3 9 2" xfId="39270"/>
    <cellStyle name="Total 2 2 3 2 4" xfId="39271"/>
    <cellStyle name="Total 2 2 3 2 4 2" xfId="39272"/>
    <cellStyle name="Total 2 2 3 2 5" xfId="39273"/>
    <cellStyle name="Total 2 2 3 2 5 2" xfId="39274"/>
    <cellStyle name="Total 2 2 3 2 6" xfId="39275"/>
    <cellStyle name="Total 2 2 3 2 6 2" xfId="39276"/>
    <cellStyle name="Total 2 2 3 2 7" xfId="39277"/>
    <cellStyle name="Total 2 2 3 2 7 2" xfId="39278"/>
    <cellStyle name="Total 2 2 3 2 8" xfId="39279"/>
    <cellStyle name="Total 2 2 3 2 8 2" xfId="39280"/>
    <cellStyle name="Total 2 2 3 2 9" xfId="39281"/>
    <cellStyle name="Total 2 2 3 2 9 2" xfId="39282"/>
    <cellStyle name="Total 2 2 3 3" xfId="39283"/>
    <cellStyle name="Total 2 2 3 3 10" xfId="39284"/>
    <cellStyle name="Total 2 2 3 3 10 2" xfId="39285"/>
    <cellStyle name="Total 2 2 3 3 11" xfId="39286"/>
    <cellStyle name="Total 2 2 3 3 11 2" xfId="39287"/>
    <cellStyle name="Total 2 2 3 3 12" xfId="39288"/>
    <cellStyle name="Total 2 2 3 3 12 2" xfId="39289"/>
    <cellStyle name="Total 2 2 3 3 13" xfId="39290"/>
    <cellStyle name="Total 2 2 3 3 2" xfId="39291"/>
    <cellStyle name="Total 2 2 3 3 2 10" xfId="39292"/>
    <cellStyle name="Total 2 2 3 3 2 10 2" xfId="39293"/>
    <cellStyle name="Total 2 2 3 3 2 11" xfId="39294"/>
    <cellStyle name="Total 2 2 3 3 2 2" xfId="39295"/>
    <cellStyle name="Total 2 2 3 3 2 2 2" xfId="39296"/>
    <cellStyle name="Total 2 2 3 3 2 3" xfId="39297"/>
    <cellStyle name="Total 2 2 3 3 2 3 2" xfId="39298"/>
    <cellStyle name="Total 2 2 3 3 2 4" xfId="39299"/>
    <cellStyle name="Total 2 2 3 3 2 4 2" xfId="39300"/>
    <cellStyle name="Total 2 2 3 3 2 5" xfId="39301"/>
    <cellStyle name="Total 2 2 3 3 2 5 2" xfId="39302"/>
    <cellStyle name="Total 2 2 3 3 2 6" xfId="39303"/>
    <cellStyle name="Total 2 2 3 3 2 6 2" xfId="39304"/>
    <cellStyle name="Total 2 2 3 3 2 7" xfId="39305"/>
    <cellStyle name="Total 2 2 3 3 2 7 2" xfId="39306"/>
    <cellStyle name="Total 2 2 3 3 2 8" xfId="39307"/>
    <cellStyle name="Total 2 2 3 3 2 8 2" xfId="39308"/>
    <cellStyle name="Total 2 2 3 3 2 9" xfId="39309"/>
    <cellStyle name="Total 2 2 3 3 2 9 2" xfId="39310"/>
    <cellStyle name="Total 2 2 3 3 3" xfId="39311"/>
    <cellStyle name="Total 2 2 3 3 3 10" xfId="39312"/>
    <cellStyle name="Total 2 2 3 3 3 10 2" xfId="39313"/>
    <cellStyle name="Total 2 2 3 3 3 11" xfId="39314"/>
    <cellStyle name="Total 2 2 3 3 3 2" xfId="39315"/>
    <cellStyle name="Total 2 2 3 3 3 2 2" xfId="39316"/>
    <cellStyle name="Total 2 2 3 3 3 3" xfId="39317"/>
    <cellStyle name="Total 2 2 3 3 3 3 2" xfId="39318"/>
    <cellStyle name="Total 2 2 3 3 3 4" xfId="39319"/>
    <cellStyle name="Total 2 2 3 3 3 4 2" xfId="39320"/>
    <cellStyle name="Total 2 2 3 3 3 5" xfId="39321"/>
    <cellStyle name="Total 2 2 3 3 3 5 2" xfId="39322"/>
    <cellStyle name="Total 2 2 3 3 3 6" xfId="39323"/>
    <cellStyle name="Total 2 2 3 3 3 6 2" xfId="39324"/>
    <cellStyle name="Total 2 2 3 3 3 7" xfId="39325"/>
    <cellStyle name="Total 2 2 3 3 3 7 2" xfId="39326"/>
    <cellStyle name="Total 2 2 3 3 3 8" xfId="39327"/>
    <cellStyle name="Total 2 2 3 3 3 8 2" xfId="39328"/>
    <cellStyle name="Total 2 2 3 3 3 9" xfId="39329"/>
    <cellStyle name="Total 2 2 3 3 3 9 2" xfId="39330"/>
    <cellStyle name="Total 2 2 3 3 4" xfId="39331"/>
    <cellStyle name="Total 2 2 3 3 4 2" xfId="39332"/>
    <cellStyle name="Total 2 2 3 3 5" xfId="39333"/>
    <cellStyle name="Total 2 2 3 3 5 2" xfId="39334"/>
    <cellStyle name="Total 2 2 3 3 6" xfId="39335"/>
    <cellStyle name="Total 2 2 3 3 6 2" xfId="39336"/>
    <cellStyle name="Total 2 2 3 3 7" xfId="39337"/>
    <cellStyle name="Total 2 2 3 3 7 2" xfId="39338"/>
    <cellStyle name="Total 2 2 3 3 8" xfId="39339"/>
    <cellStyle name="Total 2 2 3 3 8 2" xfId="39340"/>
    <cellStyle name="Total 2 2 3 3 9" xfId="39341"/>
    <cellStyle name="Total 2 2 3 3 9 2" xfId="39342"/>
    <cellStyle name="Total 2 2 3 4" xfId="39343"/>
    <cellStyle name="Total 2 2 3 4 10" xfId="39344"/>
    <cellStyle name="Total 2 2 3 4 10 2" xfId="39345"/>
    <cellStyle name="Total 2 2 3 4 11" xfId="39346"/>
    <cellStyle name="Total 2 2 3 4 2" xfId="39347"/>
    <cellStyle name="Total 2 2 3 4 2 2" xfId="39348"/>
    <cellStyle name="Total 2 2 3 4 3" xfId="39349"/>
    <cellStyle name="Total 2 2 3 4 3 2" xfId="39350"/>
    <cellStyle name="Total 2 2 3 4 4" xfId="39351"/>
    <cellStyle name="Total 2 2 3 4 4 2" xfId="39352"/>
    <cellStyle name="Total 2 2 3 4 5" xfId="39353"/>
    <cellStyle name="Total 2 2 3 4 5 2" xfId="39354"/>
    <cellStyle name="Total 2 2 3 4 6" xfId="39355"/>
    <cellStyle name="Total 2 2 3 4 6 2" xfId="39356"/>
    <cellStyle name="Total 2 2 3 4 7" xfId="39357"/>
    <cellStyle name="Total 2 2 3 4 7 2" xfId="39358"/>
    <cellStyle name="Total 2 2 3 4 8" xfId="39359"/>
    <cellStyle name="Total 2 2 3 4 8 2" xfId="39360"/>
    <cellStyle name="Total 2 2 3 4 9" xfId="39361"/>
    <cellStyle name="Total 2 2 3 4 9 2" xfId="39362"/>
    <cellStyle name="Total 2 2 3 5" xfId="39363"/>
    <cellStyle name="Total 2 2 3 5 10" xfId="39364"/>
    <cellStyle name="Total 2 2 3 5 10 2" xfId="39365"/>
    <cellStyle name="Total 2 2 3 5 11" xfId="39366"/>
    <cellStyle name="Total 2 2 3 5 2" xfId="39367"/>
    <cellStyle name="Total 2 2 3 5 2 2" xfId="39368"/>
    <cellStyle name="Total 2 2 3 5 3" xfId="39369"/>
    <cellStyle name="Total 2 2 3 5 3 2" xfId="39370"/>
    <cellStyle name="Total 2 2 3 5 4" xfId="39371"/>
    <cellStyle name="Total 2 2 3 5 4 2" xfId="39372"/>
    <cellStyle name="Total 2 2 3 5 5" xfId="39373"/>
    <cellStyle name="Total 2 2 3 5 5 2" xfId="39374"/>
    <cellStyle name="Total 2 2 3 5 6" xfId="39375"/>
    <cellStyle name="Total 2 2 3 5 6 2" xfId="39376"/>
    <cellStyle name="Total 2 2 3 5 7" xfId="39377"/>
    <cellStyle name="Total 2 2 3 5 7 2" xfId="39378"/>
    <cellStyle name="Total 2 2 3 5 8" xfId="39379"/>
    <cellStyle name="Total 2 2 3 5 8 2" xfId="39380"/>
    <cellStyle name="Total 2 2 3 5 9" xfId="39381"/>
    <cellStyle name="Total 2 2 3 5 9 2" xfId="39382"/>
    <cellStyle name="Total 2 2 3 6" xfId="39383"/>
    <cellStyle name="Total 2 2 3 6 2" xfId="39384"/>
    <cellStyle name="Total 2 2 3 7" xfId="39385"/>
    <cellStyle name="Total 2 2 3 7 2" xfId="39386"/>
    <cellStyle name="Total 2 2 3 8" xfId="39387"/>
    <cellStyle name="Total 2 2 3 8 2" xfId="39388"/>
    <cellStyle name="Total 2 2 3 9" xfId="39389"/>
    <cellStyle name="Total 2 2 3 9 2" xfId="39390"/>
    <cellStyle name="Total 2 2 4" xfId="39391"/>
    <cellStyle name="Total 2 2 4 10" xfId="39392"/>
    <cellStyle name="Total 2 2 4 10 2" xfId="39393"/>
    <cellStyle name="Total 2 2 4 11" xfId="39394"/>
    <cellStyle name="Total 2 2 4 11 2" xfId="39395"/>
    <cellStyle name="Total 2 2 4 12" xfId="39396"/>
    <cellStyle name="Total 2 2 4 12 2" xfId="39397"/>
    <cellStyle name="Total 2 2 4 13" xfId="39398"/>
    <cellStyle name="Total 2 2 4 2" xfId="39399"/>
    <cellStyle name="Total 2 2 4 2 10" xfId="39400"/>
    <cellStyle name="Total 2 2 4 2 10 2" xfId="39401"/>
    <cellStyle name="Total 2 2 4 2 11" xfId="39402"/>
    <cellStyle name="Total 2 2 4 2 2" xfId="39403"/>
    <cellStyle name="Total 2 2 4 2 2 2" xfId="39404"/>
    <cellStyle name="Total 2 2 4 2 3" xfId="39405"/>
    <cellStyle name="Total 2 2 4 2 3 2" xfId="39406"/>
    <cellStyle name="Total 2 2 4 2 4" xfId="39407"/>
    <cellStyle name="Total 2 2 4 2 4 2" xfId="39408"/>
    <cellStyle name="Total 2 2 4 2 5" xfId="39409"/>
    <cellStyle name="Total 2 2 4 2 5 2" xfId="39410"/>
    <cellStyle name="Total 2 2 4 2 6" xfId="39411"/>
    <cellStyle name="Total 2 2 4 2 6 2" xfId="39412"/>
    <cellStyle name="Total 2 2 4 2 7" xfId="39413"/>
    <cellStyle name="Total 2 2 4 2 7 2" xfId="39414"/>
    <cellStyle name="Total 2 2 4 2 8" xfId="39415"/>
    <cellStyle name="Total 2 2 4 2 8 2" xfId="39416"/>
    <cellStyle name="Total 2 2 4 2 9" xfId="39417"/>
    <cellStyle name="Total 2 2 4 2 9 2" xfId="39418"/>
    <cellStyle name="Total 2 2 4 3" xfId="39419"/>
    <cellStyle name="Total 2 2 4 3 10" xfId="39420"/>
    <cellStyle name="Total 2 2 4 3 10 2" xfId="39421"/>
    <cellStyle name="Total 2 2 4 3 11" xfId="39422"/>
    <cellStyle name="Total 2 2 4 3 2" xfId="39423"/>
    <cellStyle name="Total 2 2 4 3 2 2" xfId="39424"/>
    <cellStyle name="Total 2 2 4 3 3" xfId="39425"/>
    <cellStyle name="Total 2 2 4 3 3 2" xfId="39426"/>
    <cellStyle name="Total 2 2 4 3 4" xfId="39427"/>
    <cellStyle name="Total 2 2 4 3 4 2" xfId="39428"/>
    <cellStyle name="Total 2 2 4 3 5" xfId="39429"/>
    <cellStyle name="Total 2 2 4 3 5 2" xfId="39430"/>
    <cellStyle name="Total 2 2 4 3 6" xfId="39431"/>
    <cellStyle name="Total 2 2 4 3 6 2" xfId="39432"/>
    <cellStyle name="Total 2 2 4 3 7" xfId="39433"/>
    <cellStyle name="Total 2 2 4 3 7 2" xfId="39434"/>
    <cellStyle name="Total 2 2 4 3 8" xfId="39435"/>
    <cellStyle name="Total 2 2 4 3 8 2" xfId="39436"/>
    <cellStyle name="Total 2 2 4 3 9" xfId="39437"/>
    <cellStyle name="Total 2 2 4 3 9 2" xfId="39438"/>
    <cellStyle name="Total 2 2 4 4" xfId="39439"/>
    <cellStyle name="Total 2 2 4 4 2" xfId="39440"/>
    <cellStyle name="Total 2 2 4 5" xfId="39441"/>
    <cellStyle name="Total 2 2 4 5 2" xfId="39442"/>
    <cellStyle name="Total 2 2 4 6" xfId="39443"/>
    <cellStyle name="Total 2 2 4 6 2" xfId="39444"/>
    <cellStyle name="Total 2 2 4 7" xfId="39445"/>
    <cellStyle name="Total 2 2 4 7 2" xfId="39446"/>
    <cellStyle name="Total 2 2 4 8" xfId="39447"/>
    <cellStyle name="Total 2 2 4 8 2" xfId="39448"/>
    <cellStyle name="Total 2 2 4 9" xfId="39449"/>
    <cellStyle name="Total 2 2 4 9 2" xfId="39450"/>
    <cellStyle name="Total 2 2 5" xfId="39451"/>
    <cellStyle name="Total 2 2 5 10" xfId="39452"/>
    <cellStyle name="Total 2 2 5 10 2" xfId="39453"/>
    <cellStyle name="Total 2 2 5 11" xfId="39454"/>
    <cellStyle name="Total 2 2 5 11 2" xfId="39455"/>
    <cellStyle name="Total 2 2 5 12" xfId="39456"/>
    <cellStyle name="Total 2 2 5 12 2" xfId="39457"/>
    <cellStyle name="Total 2 2 5 13" xfId="39458"/>
    <cellStyle name="Total 2 2 5 2" xfId="39459"/>
    <cellStyle name="Total 2 2 5 2 10" xfId="39460"/>
    <cellStyle name="Total 2 2 5 2 10 2" xfId="39461"/>
    <cellStyle name="Total 2 2 5 2 11" xfId="39462"/>
    <cellStyle name="Total 2 2 5 2 2" xfId="39463"/>
    <cellStyle name="Total 2 2 5 2 2 2" xfId="39464"/>
    <cellStyle name="Total 2 2 5 2 3" xfId="39465"/>
    <cellStyle name="Total 2 2 5 2 3 2" xfId="39466"/>
    <cellStyle name="Total 2 2 5 2 4" xfId="39467"/>
    <cellStyle name="Total 2 2 5 2 4 2" xfId="39468"/>
    <cellStyle name="Total 2 2 5 2 5" xfId="39469"/>
    <cellStyle name="Total 2 2 5 2 5 2" xfId="39470"/>
    <cellStyle name="Total 2 2 5 2 6" xfId="39471"/>
    <cellStyle name="Total 2 2 5 2 6 2" xfId="39472"/>
    <cellStyle name="Total 2 2 5 2 7" xfId="39473"/>
    <cellStyle name="Total 2 2 5 2 7 2" xfId="39474"/>
    <cellStyle name="Total 2 2 5 2 8" xfId="39475"/>
    <cellStyle name="Total 2 2 5 2 8 2" xfId="39476"/>
    <cellStyle name="Total 2 2 5 2 9" xfId="39477"/>
    <cellStyle name="Total 2 2 5 2 9 2" xfId="39478"/>
    <cellStyle name="Total 2 2 5 3" xfId="39479"/>
    <cellStyle name="Total 2 2 5 3 10" xfId="39480"/>
    <cellStyle name="Total 2 2 5 3 10 2" xfId="39481"/>
    <cellStyle name="Total 2 2 5 3 11" xfId="39482"/>
    <cellStyle name="Total 2 2 5 3 2" xfId="39483"/>
    <cellStyle name="Total 2 2 5 3 2 2" xfId="39484"/>
    <cellStyle name="Total 2 2 5 3 3" xfId="39485"/>
    <cellStyle name="Total 2 2 5 3 3 2" xfId="39486"/>
    <cellStyle name="Total 2 2 5 3 4" xfId="39487"/>
    <cellStyle name="Total 2 2 5 3 4 2" xfId="39488"/>
    <cellStyle name="Total 2 2 5 3 5" xfId="39489"/>
    <cellStyle name="Total 2 2 5 3 5 2" xfId="39490"/>
    <cellStyle name="Total 2 2 5 3 6" xfId="39491"/>
    <cellStyle name="Total 2 2 5 3 6 2" xfId="39492"/>
    <cellStyle name="Total 2 2 5 3 7" xfId="39493"/>
    <cellStyle name="Total 2 2 5 3 7 2" xfId="39494"/>
    <cellStyle name="Total 2 2 5 3 8" xfId="39495"/>
    <cellStyle name="Total 2 2 5 3 8 2" xfId="39496"/>
    <cellStyle name="Total 2 2 5 3 9" xfId="39497"/>
    <cellStyle name="Total 2 2 5 3 9 2" xfId="39498"/>
    <cellStyle name="Total 2 2 5 4" xfId="39499"/>
    <cellStyle name="Total 2 2 5 4 2" xfId="39500"/>
    <cellStyle name="Total 2 2 5 5" xfId="39501"/>
    <cellStyle name="Total 2 2 5 5 2" xfId="39502"/>
    <cellStyle name="Total 2 2 5 6" xfId="39503"/>
    <cellStyle name="Total 2 2 5 6 2" xfId="39504"/>
    <cellStyle name="Total 2 2 5 7" xfId="39505"/>
    <cellStyle name="Total 2 2 5 7 2" xfId="39506"/>
    <cellStyle name="Total 2 2 5 8" xfId="39507"/>
    <cellStyle name="Total 2 2 5 8 2" xfId="39508"/>
    <cellStyle name="Total 2 2 5 9" xfId="39509"/>
    <cellStyle name="Total 2 2 5 9 2" xfId="39510"/>
    <cellStyle name="Total 2 2 6" xfId="39511"/>
    <cellStyle name="Total 2 2 6 2" xfId="39512"/>
    <cellStyle name="Total 2 2 7" xfId="39513"/>
    <cellStyle name="Total 2 2 7 2" xfId="39514"/>
    <cellStyle name="Total 2 2 8" xfId="39515"/>
    <cellStyle name="Total 2 2 8 2" xfId="39516"/>
    <cellStyle name="Total 2 2 9" xfId="39517"/>
    <cellStyle name="Total 2 2 9 2" xfId="39518"/>
    <cellStyle name="Total 2 20" xfId="39519"/>
    <cellStyle name="Total 2 21" xfId="39520"/>
    <cellStyle name="Total 2 3" xfId="252"/>
    <cellStyle name="Total 2 3 10" xfId="39521"/>
    <cellStyle name="Total 2 3 10 2" xfId="39522"/>
    <cellStyle name="Total 2 3 11" xfId="39523"/>
    <cellStyle name="Total 2 3 11 2" xfId="39524"/>
    <cellStyle name="Total 2 3 12" xfId="39525"/>
    <cellStyle name="Total 2 3 12 2" xfId="39526"/>
    <cellStyle name="Total 2 3 13" xfId="39527"/>
    <cellStyle name="Total 2 3 13 2" xfId="39528"/>
    <cellStyle name="Total 2 3 14" xfId="39529"/>
    <cellStyle name="Total 2 3 14 2" xfId="39530"/>
    <cellStyle name="Total 2 3 15" xfId="39531"/>
    <cellStyle name="Total 2 3 16" xfId="39532"/>
    <cellStyle name="Total 2 3 17" xfId="39533"/>
    <cellStyle name="Total 2 3 2" xfId="39534"/>
    <cellStyle name="Total 2 3 2 10" xfId="39535"/>
    <cellStyle name="Total 2 3 2 10 2" xfId="39536"/>
    <cellStyle name="Total 2 3 2 11" xfId="39537"/>
    <cellStyle name="Total 2 3 2 11 2" xfId="39538"/>
    <cellStyle name="Total 2 3 2 12" xfId="39539"/>
    <cellStyle name="Total 2 3 2 12 2" xfId="39540"/>
    <cellStyle name="Total 2 3 2 13" xfId="39541"/>
    <cellStyle name="Total 2 3 2 13 2" xfId="39542"/>
    <cellStyle name="Total 2 3 2 14" xfId="39543"/>
    <cellStyle name="Total 2 3 2 14 2" xfId="39544"/>
    <cellStyle name="Total 2 3 2 15" xfId="39545"/>
    <cellStyle name="Total 2 3 2 2" xfId="39546"/>
    <cellStyle name="Total 2 3 2 2 10" xfId="39547"/>
    <cellStyle name="Total 2 3 2 2 10 2" xfId="39548"/>
    <cellStyle name="Total 2 3 2 2 11" xfId="39549"/>
    <cellStyle name="Total 2 3 2 2 11 2" xfId="39550"/>
    <cellStyle name="Total 2 3 2 2 12" xfId="39551"/>
    <cellStyle name="Total 2 3 2 2 12 2" xfId="39552"/>
    <cellStyle name="Total 2 3 2 2 13" xfId="39553"/>
    <cellStyle name="Total 2 3 2 2 2" xfId="39554"/>
    <cellStyle name="Total 2 3 2 2 2 10" xfId="39555"/>
    <cellStyle name="Total 2 3 2 2 2 10 2" xfId="39556"/>
    <cellStyle name="Total 2 3 2 2 2 11" xfId="39557"/>
    <cellStyle name="Total 2 3 2 2 2 2" xfId="39558"/>
    <cellStyle name="Total 2 3 2 2 2 2 2" xfId="39559"/>
    <cellStyle name="Total 2 3 2 2 2 3" xfId="39560"/>
    <cellStyle name="Total 2 3 2 2 2 3 2" xfId="39561"/>
    <cellStyle name="Total 2 3 2 2 2 4" xfId="39562"/>
    <cellStyle name="Total 2 3 2 2 2 4 2" xfId="39563"/>
    <cellStyle name="Total 2 3 2 2 2 5" xfId="39564"/>
    <cellStyle name="Total 2 3 2 2 2 5 2" xfId="39565"/>
    <cellStyle name="Total 2 3 2 2 2 6" xfId="39566"/>
    <cellStyle name="Total 2 3 2 2 2 6 2" xfId="39567"/>
    <cellStyle name="Total 2 3 2 2 2 7" xfId="39568"/>
    <cellStyle name="Total 2 3 2 2 2 7 2" xfId="39569"/>
    <cellStyle name="Total 2 3 2 2 2 8" xfId="39570"/>
    <cellStyle name="Total 2 3 2 2 2 8 2" xfId="39571"/>
    <cellStyle name="Total 2 3 2 2 2 9" xfId="39572"/>
    <cellStyle name="Total 2 3 2 2 2 9 2" xfId="39573"/>
    <cellStyle name="Total 2 3 2 2 3" xfId="39574"/>
    <cellStyle name="Total 2 3 2 2 3 10" xfId="39575"/>
    <cellStyle name="Total 2 3 2 2 3 10 2" xfId="39576"/>
    <cellStyle name="Total 2 3 2 2 3 11" xfId="39577"/>
    <cellStyle name="Total 2 3 2 2 3 2" xfId="39578"/>
    <cellStyle name="Total 2 3 2 2 3 2 2" xfId="39579"/>
    <cellStyle name="Total 2 3 2 2 3 3" xfId="39580"/>
    <cellStyle name="Total 2 3 2 2 3 3 2" xfId="39581"/>
    <cellStyle name="Total 2 3 2 2 3 4" xfId="39582"/>
    <cellStyle name="Total 2 3 2 2 3 4 2" xfId="39583"/>
    <cellStyle name="Total 2 3 2 2 3 5" xfId="39584"/>
    <cellStyle name="Total 2 3 2 2 3 5 2" xfId="39585"/>
    <cellStyle name="Total 2 3 2 2 3 6" xfId="39586"/>
    <cellStyle name="Total 2 3 2 2 3 6 2" xfId="39587"/>
    <cellStyle name="Total 2 3 2 2 3 7" xfId="39588"/>
    <cellStyle name="Total 2 3 2 2 3 7 2" xfId="39589"/>
    <cellStyle name="Total 2 3 2 2 3 8" xfId="39590"/>
    <cellStyle name="Total 2 3 2 2 3 8 2" xfId="39591"/>
    <cellStyle name="Total 2 3 2 2 3 9" xfId="39592"/>
    <cellStyle name="Total 2 3 2 2 3 9 2" xfId="39593"/>
    <cellStyle name="Total 2 3 2 2 4" xfId="39594"/>
    <cellStyle name="Total 2 3 2 2 4 2" xfId="39595"/>
    <cellStyle name="Total 2 3 2 2 5" xfId="39596"/>
    <cellStyle name="Total 2 3 2 2 5 2" xfId="39597"/>
    <cellStyle name="Total 2 3 2 2 6" xfId="39598"/>
    <cellStyle name="Total 2 3 2 2 6 2" xfId="39599"/>
    <cellStyle name="Total 2 3 2 2 7" xfId="39600"/>
    <cellStyle name="Total 2 3 2 2 7 2" xfId="39601"/>
    <cellStyle name="Total 2 3 2 2 8" xfId="39602"/>
    <cellStyle name="Total 2 3 2 2 8 2" xfId="39603"/>
    <cellStyle name="Total 2 3 2 2 9" xfId="39604"/>
    <cellStyle name="Total 2 3 2 2 9 2" xfId="39605"/>
    <cellStyle name="Total 2 3 2 3" xfId="39606"/>
    <cellStyle name="Total 2 3 2 3 10" xfId="39607"/>
    <cellStyle name="Total 2 3 2 3 10 2" xfId="39608"/>
    <cellStyle name="Total 2 3 2 3 11" xfId="39609"/>
    <cellStyle name="Total 2 3 2 3 11 2" xfId="39610"/>
    <cellStyle name="Total 2 3 2 3 12" xfId="39611"/>
    <cellStyle name="Total 2 3 2 3 12 2" xfId="39612"/>
    <cellStyle name="Total 2 3 2 3 13" xfId="39613"/>
    <cellStyle name="Total 2 3 2 3 2" xfId="39614"/>
    <cellStyle name="Total 2 3 2 3 2 10" xfId="39615"/>
    <cellStyle name="Total 2 3 2 3 2 10 2" xfId="39616"/>
    <cellStyle name="Total 2 3 2 3 2 11" xfId="39617"/>
    <cellStyle name="Total 2 3 2 3 2 2" xfId="39618"/>
    <cellStyle name="Total 2 3 2 3 2 2 2" xfId="39619"/>
    <cellStyle name="Total 2 3 2 3 2 3" xfId="39620"/>
    <cellStyle name="Total 2 3 2 3 2 3 2" xfId="39621"/>
    <cellStyle name="Total 2 3 2 3 2 4" xfId="39622"/>
    <cellStyle name="Total 2 3 2 3 2 4 2" xfId="39623"/>
    <cellStyle name="Total 2 3 2 3 2 5" xfId="39624"/>
    <cellStyle name="Total 2 3 2 3 2 5 2" xfId="39625"/>
    <cellStyle name="Total 2 3 2 3 2 6" xfId="39626"/>
    <cellStyle name="Total 2 3 2 3 2 6 2" xfId="39627"/>
    <cellStyle name="Total 2 3 2 3 2 7" xfId="39628"/>
    <cellStyle name="Total 2 3 2 3 2 7 2" xfId="39629"/>
    <cellStyle name="Total 2 3 2 3 2 8" xfId="39630"/>
    <cellStyle name="Total 2 3 2 3 2 8 2" xfId="39631"/>
    <cellStyle name="Total 2 3 2 3 2 9" xfId="39632"/>
    <cellStyle name="Total 2 3 2 3 2 9 2" xfId="39633"/>
    <cellStyle name="Total 2 3 2 3 3" xfId="39634"/>
    <cellStyle name="Total 2 3 2 3 3 10" xfId="39635"/>
    <cellStyle name="Total 2 3 2 3 3 10 2" xfId="39636"/>
    <cellStyle name="Total 2 3 2 3 3 11" xfId="39637"/>
    <cellStyle name="Total 2 3 2 3 3 2" xfId="39638"/>
    <cellStyle name="Total 2 3 2 3 3 2 2" xfId="39639"/>
    <cellStyle name="Total 2 3 2 3 3 3" xfId="39640"/>
    <cellStyle name="Total 2 3 2 3 3 3 2" xfId="39641"/>
    <cellStyle name="Total 2 3 2 3 3 4" xfId="39642"/>
    <cellStyle name="Total 2 3 2 3 3 4 2" xfId="39643"/>
    <cellStyle name="Total 2 3 2 3 3 5" xfId="39644"/>
    <cellStyle name="Total 2 3 2 3 3 5 2" xfId="39645"/>
    <cellStyle name="Total 2 3 2 3 3 6" xfId="39646"/>
    <cellStyle name="Total 2 3 2 3 3 6 2" xfId="39647"/>
    <cellStyle name="Total 2 3 2 3 3 7" xfId="39648"/>
    <cellStyle name="Total 2 3 2 3 3 7 2" xfId="39649"/>
    <cellStyle name="Total 2 3 2 3 3 8" xfId="39650"/>
    <cellStyle name="Total 2 3 2 3 3 8 2" xfId="39651"/>
    <cellStyle name="Total 2 3 2 3 3 9" xfId="39652"/>
    <cellStyle name="Total 2 3 2 3 3 9 2" xfId="39653"/>
    <cellStyle name="Total 2 3 2 3 4" xfId="39654"/>
    <cellStyle name="Total 2 3 2 3 4 2" xfId="39655"/>
    <cellStyle name="Total 2 3 2 3 5" xfId="39656"/>
    <cellStyle name="Total 2 3 2 3 5 2" xfId="39657"/>
    <cellStyle name="Total 2 3 2 3 6" xfId="39658"/>
    <cellStyle name="Total 2 3 2 3 6 2" xfId="39659"/>
    <cellStyle name="Total 2 3 2 3 7" xfId="39660"/>
    <cellStyle name="Total 2 3 2 3 7 2" xfId="39661"/>
    <cellStyle name="Total 2 3 2 3 8" xfId="39662"/>
    <cellStyle name="Total 2 3 2 3 8 2" xfId="39663"/>
    <cellStyle name="Total 2 3 2 3 9" xfId="39664"/>
    <cellStyle name="Total 2 3 2 3 9 2" xfId="39665"/>
    <cellStyle name="Total 2 3 2 4" xfId="39666"/>
    <cellStyle name="Total 2 3 2 4 10" xfId="39667"/>
    <cellStyle name="Total 2 3 2 4 10 2" xfId="39668"/>
    <cellStyle name="Total 2 3 2 4 11" xfId="39669"/>
    <cellStyle name="Total 2 3 2 4 2" xfId="39670"/>
    <cellStyle name="Total 2 3 2 4 2 2" xfId="39671"/>
    <cellStyle name="Total 2 3 2 4 3" xfId="39672"/>
    <cellStyle name="Total 2 3 2 4 3 2" xfId="39673"/>
    <cellStyle name="Total 2 3 2 4 4" xfId="39674"/>
    <cellStyle name="Total 2 3 2 4 4 2" xfId="39675"/>
    <cellStyle name="Total 2 3 2 4 5" xfId="39676"/>
    <cellStyle name="Total 2 3 2 4 5 2" xfId="39677"/>
    <cellStyle name="Total 2 3 2 4 6" xfId="39678"/>
    <cellStyle name="Total 2 3 2 4 6 2" xfId="39679"/>
    <cellStyle name="Total 2 3 2 4 7" xfId="39680"/>
    <cellStyle name="Total 2 3 2 4 7 2" xfId="39681"/>
    <cellStyle name="Total 2 3 2 4 8" xfId="39682"/>
    <cellStyle name="Total 2 3 2 4 8 2" xfId="39683"/>
    <cellStyle name="Total 2 3 2 4 9" xfId="39684"/>
    <cellStyle name="Total 2 3 2 4 9 2" xfId="39685"/>
    <cellStyle name="Total 2 3 2 5" xfId="39686"/>
    <cellStyle name="Total 2 3 2 5 10" xfId="39687"/>
    <cellStyle name="Total 2 3 2 5 10 2" xfId="39688"/>
    <cellStyle name="Total 2 3 2 5 11" xfId="39689"/>
    <cellStyle name="Total 2 3 2 5 2" xfId="39690"/>
    <cellStyle name="Total 2 3 2 5 2 2" xfId="39691"/>
    <cellStyle name="Total 2 3 2 5 3" xfId="39692"/>
    <cellStyle name="Total 2 3 2 5 3 2" xfId="39693"/>
    <cellStyle name="Total 2 3 2 5 4" xfId="39694"/>
    <cellStyle name="Total 2 3 2 5 4 2" xfId="39695"/>
    <cellStyle name="Total 2 3 2 5 5" xfId="39696"/>
    <cellStyle name="Total 2 3 2 5 5 2" xfId="39697"/>
    <cellStyle name="Total 2 3 2 5 6" xfId="39698"/>
    <cellStyle name="Total 2 3 2 5 6 2" xfId="39699"/>
    <cellStyle name="Total 2 3 2 5 7" xfId="39700"/>
    <cellStyle name="Total 2 3 2 5 7 2" xfId="39701"/>
    <cellStyle name="Total 2 3 2 5 8" xfId="39702"/>
    <cellStyle name="Total 2 3 2 5 8 2" xfId="39703"/>
    <cellStyle name="Total 2 3 2 5 9" xfId="39704"/>
    <cellStyle name="Total 2 3 2 5 9 2" xfId="39705"/>
    <cellStyle name="Total 2 3 2 6" xfId="39706"/>
    <cellStyle name="Total 2 3 2 6 2" xfId="39707"/>
    <cellStyle name="Total 2 3 2 7" xfId="39708"/>
    <cellStyle name="Total 2 3 2 7 2" xfId="39709"/>
    <cellStyle name="Total 2 3 2 8" xfId="39710"/>
    <cellStyle name="Total 2 3 2 8 2" xfId="39711"/>
    <cellStyle name="Total 2 3 2 9" xfId="39712"/>
    <cellStyle name="Total 2 3 2 9 2" xfId="39713"/>
    <cellStyle name="Total 2 3 3" xfId="39714"/>
    <cellStyle name="Total 2 3 3 10" xfId="39715"/>
    <cellStyle name="Total 2 3 3 10 2" xfId="39716"/>
    <cellStyle name="Total 2 3 3 11" xfId="39717"/>
    <cellStyle name="Total 2 3 3 11 2" xfId="39718"/>
    <cellStyle name="Total 2 3 3 12" xfId="39719"/>
    <cellStyle name="Total 2 3 3 12 2" xfId="39720"/>
    <cellStyle name="Total 2 3 3 13" xfId="39721"/>
    <cellStyle name="Total 2 3 3 13 2" xfId="39722"/>
    <cellStyle name="Total 2 3 3 14" xfId="39723"/>
    <cellStyle name="Total 2 3 3 14 2" xfId="39724"/>
    <cellStyle name="Total 2 3 3 15" xfId="39725"/>
    <cellStyle name="Total 2 3 3 2" xfId="39726"/>
    <cellStyle name="Total 2 3 3 2 10" xfId="39727"/>
    <cellStyle name="Total 2 3 3 2 10 2" xfId="39728"/>
    <cellStyle name="Total 2 3 3 2 11" xfId="39729"/>
    <cellStyle name="Total 2 3 3 2 11 2" xfId="39730"/>
    <cellStyle name="Total 2 3 3 2 12" xfId="39731"/>
    <cellStyle name="Total 2 3 3 2 12 2" xfId="39732"/>
    <cellStyle name="Total 2 3 3 2 13" xfId="39733"/>
    <cellStyle name="Total 2 3 3 2 2" xfId="39734"/>
    <cellStyle name="Total 2 3 3 2 2 10" xfId="39735"/>
    <cellStyle name="Total 2 3 3 2 2 10 2" xfId="39736"/>
    <cellStyle name="Total 2 3 3 2 2 11" xfId="39737"/>
    <cellStyle name="Total 2 3 3 2 2 2" xfId="39738"/>
    <cellStyle name="Total 2 3 3 2 2 2 2" xfId="39739"/>
    <cellStyle name="Total 2 3 3 2 2 3" xfId="39740"/>
    <cellStyle name="Total 2 3 3 2 2 3 2" xfId="39741"/>
    <cellStyle name="Total 2 3 3 2 2 4" xfId="39742"/>
    <cellStyle name="Total 2 3 3 2 2 4 2" xfId="39743"/>
    <cellStyle name="Total 2 3 3 2 2 5" xfId="39744"/>
    <cellStyle name="Total 2 3 3 2 2 5 2" xfId="39745"/>
    <cellStyle name="Total 2 3 3 2 2 6" xfId="39746"/>
    <cellStyle name="Total 2 3 3 2 2 6 2" xfId="39747"/>
    <cellStyle name="Total 2 3 3 2 2 7" xfId="39748"/>
    <cellStyle name="Total 2 3 3 2 2 7 2" xfId="39749"/>
    <cellStyle name="Total 2 3 3 2 2 8" xfId="39750"/>
    <cellStyle name="Total 2 3 3 2 2 8 2" xfId="39751"/>
    <cellStyle name="Total 2 3 3 2 2 9" xfId="39752"/>
    <cellStyle name="Total 2 3 3 2 2 9 2" xfId="39753"/>
    <cellStyle name="Total 2 3 3 2 3" xfId="39754"/>
    <cellStyle name="Total 2 3 3 2 3 10" xfId="39755"/>
    <cellStyle name="Total 2 3 3 2 3 10 2" xfId="39756"/>
    <cellStyle name="Total 2 3 3 2 3 11" xfId="39757"/>
    <cellStyle name="Total 2 3 3 2 3 2" xfId="39758"/>
    <cellStyle name="Total 2 3 3 2 3 2 2" xfId="39759"/>
    <cellStyle name="Total 2 3 3 2 3 3" xfId="39760"/>
    <cellStyle name="Total 2 3 3 2 3 3 2" xfId="39761"/>
    <cellStyle name="Total 2 3 3 2 3 4" xfId="39762"/>
    <cellStyle name="Total 2 3 3 2 3 4 2" xfId="39763"/>
    <cellStyle name="Total 2 3 3 2 3 5" xfId="39764"/>
    <cellStyle name="Total 2 3 3 2 3 5 2" xfId="39765"/>
    <cellStyle name="Total 2 3 3 2 3 6" xfId="39766"/>
    <cellStyle name="Total 2 3 3 2 3 6 2" xfId="39767"/>
    <cellStyle name="Total 2 3 3 2 3 7" xfId="39768"/>
    <cellStyle name="Total 2 3 3 2 3 7 2" xfId="39769"/>
    <cellStyle name="Total 2 3 3 2 3 8" xfId="39770"/>
    <cellStyle name="Total 2 3 3 2 3 8 2" xfId="39771"/>
    <cellStyle name="Total 2 3 3 2 3 9" xfId="39772"/>
    <cellStyle name="Total 2 3 3 2 3 9 2" xfId="39773"/>
    <cellStyle name="Total 2 3 3 2 4" xfId="39774"/>
    <cellStyle name="Total 2 3 3 2 4 2" xfId="39775"/>
    <cellStyle name="Total 2 3 3 2 5" xfId="39776"/>
    <cellStyle name="Total 2 3 3 2 5 2" xfId="39777"/>
    <cellStyle name="Total 2 3 3 2 6" xfId="39778"/>
    <cellStyle name="Total 2 3 3 2 6 2" xfId="39779"/>
    <cellStyle name="Total 2 3 3 2 7" xfId="39780"/>
    <cellStyle name="Total 2 3 3 2 7 2" xfId="39781"/>
    <cellStyle name="Total 2 3 3 2 8" xfId="39782"/>
    <cellStyle name="Total 2 3 3 2 8 2" xfId="39783"/>
    <cellStyle name="Total 2 3 3 2 9" xfId="39784"/>
    <cellStyle name="Total 2 3 3 2 9 2" xfId="39785"/>
    <cellStyle name="Total 2 3 3 3" xfId="39786"/>
    <cellStyle name="Total 2 3 3 3 10" xfId="39787"/>
    <cellStyle name="Total 2 3 3 3 10 2" xfId="39788"/>
    <cellStyle name="Total 2 3 3 3 11" xfId="39789"/>
    <cellStyle name="Total 2 3 3 3 11 2" xfId="39790"/>
    <cellStyle name="Total 2 3 3 3 12" xfId="39791"/>
    <cellStyle name="Total 2 3 3 3 12 2" xfId="39792"/>
    <cellStyle name="Total 2 3 3 3 13" xfId="39793"/>
    <cellStyle name="Total 2 3 3 3 2" xfId="39794"/>
    <cellStyle name="Total 2 3 3 3 2 10" xfId="39795"/>
    <cellStyle name="Total 2 3 3 3 2 10 2" xfId="39796"/>
    <cellStyle name="Total 2 3 3 3 2 11" xfId="39797"/>
    <cellStyle name="Total 2 3 3 3 2 2" xfId="39798"/>
    <cellStyle name="Total 2 3 3 3 2 2 2" xfId="39799"/>
    <cellStyle name="Total 2 3 3 3 2 3" xfId="39800"/>
    <cellStyle name="Total 2 3 3 3 2 3 2" xfId="39801"/>
    <cellStyle name="Total 2 3 3 3 2 4" xfId="39802"/>
    <cellStyle name="Total 2 3 3 3 2 4 2" xfId="39803"/>
    <cellStyle name="Total 2 3 3 3 2 5" xfId="39804"/>
    <cellStyle name="Total 2 3 3 3 2 5 2" xfId="39805"/>
    <cellStyle name="Total 2 3 3 3 2 6" xfId="39806"/>
    <cellStyle name="Total 2 3 3 3 2 6 2" xfId="39807"/>
    <cellStyle name="Total 2 3 3 3 2 7" xfId="39808"/>
    <cellStyle name="Total 2 3 3 3 2 7 2" xfId="39809"/>
    <cellStyle name="Total 2 3 3 3 2 8" xfId="39810"/>
    <cellStyle name="Total 2 3 3 3 2 8 2" xfId="39811"/>
    <cellStyle name="Total 2 3 3 3 2 9" xfId="39812"/>
    <cellStyle name="Total 2 3 3 3 2 9 2" xfId="39813"/>
    <cellStyle name="Total 2 3 3 3 3" xfId="39814"/>
    <cellStyle name="Total 2 3 3 3 3 10" xfId="39815"/>
    <cellStyle name="Total 2 3 3 3 3 10 2" xfId="39816"/>
    <cellStyle name="Total 2 3 3 3 3 11" xfId="39817"/>
    <cellStyle name="Total 2 3 3 3 3 2" xfId="39818"/>
    <cellStyle name="Total 2 3 3 3 3 2 2" xfId="39819"/>
    <cellStyle name="Total 2 3 3 3 3 3" xfId="39820"/>
    <cellStyle name="Total 2 3 3 3 3 3 2" xfId="39821"/>
    <cellStyle name="Total 2 3 3 3 3 4" xfId="39822"/>
    <cellStyle name="Total 2 3 3 3 3 4 2" xfId="39823"/>
    <cellStyle name="Total 2 3 3 3 3 5" xfId="39824"/>
    <cellStyle name="Total 2 3 3 3 3 5 2" xfId="39825"/>
    <cellStyle name="Total 2 3 3 3 3 6" xfId="39826"/>
    <cellStyle name="Total 2 3 3 3 3 6 2" xfId="39827"/>
    <cellStyle name="Total 2 3 3 3 3 7" xfId="39828"/>
    <cellStyle name="Total 2 3 3 3 3 7 2" xfId="39829"/>
    <cellStyle name="Total 2 3 3 3 3 8" xfId="39830"/>
    <cellStyle name="Total 2 3 3 3 3 8 2" xfId="39831"/>
    <cellStyle name="Total 2 3 3 3 3 9" xfId="39832"/>
    <cellStyle name="Total 2 3 3 3 3 9 2" xfId="39833"/>
    <cellStyle name="Total 2 3 3 3 4" xfId="39834"/>
    <cellStyle name="Total 2 3 3 3 4 2" xfId="39835"/>
    <cellStyle name="Total 2 3 3 3 5" xfId="39836"/>
    <cellStyle name="Total 2 3 3 3 5 2" xfId="39837"/>
    <cellStyle name="Total 2 3 3 3 6" xfId="39838"/>
    <cellStyle name="Total 2 3 3 3 6 2" xfId="39839"/>
    <cellStyle name="Total 2 3 3 3 7" xfId="39840"/>
    <cellStyle name="Total 2 3 3 3 7 2" xfId="39841"/>
    <cellStyle name="Total 2 3 3 3 8" xfId="39842"/>
    <cellStyle name="Total 2 3 3 3 8 2" xfId="39843"/>
    <cellStyle name="Total 2 3 3 3 9" xfId="39844"/>
    <cellStyle name="Total 2 3 3 3 9 2" xfId="39845"/>
    <cellStyle name="Total 2 3 3 4" xfId="39846"/>
    <cellStyle name="Total 2 3 3 4 10" xfId="39847"/>
    <cellStyle name="Total 2 3 3 4 10 2" xfId="39848"/>
    <cellStyle name="Total 2 3 3 4 11" xfId="39849"/>
    <cellStyle name="Total 2 3 3 4 2" xfId="39850"/>
    <cellStyle name="Total 2 3 3 4 2 2" xfId="39851"/>
    <cellStyle name="Total 2 3 3 4 3" xfId="39852"/>
    <cellStyle name="Total 2 3 3 4 3 2" xfId="39853"/>
    <cellStyle name="Total 2 3 3 4 4" xfId="39854"/>
    <cellStyle name="Total 2 3 3 4 4 2" xfId="39855"/>
    <cellStyle name="Total 2 3 3 4 5" xfId="39856"/>
    <cellStyle name="Total 2 3 3 4 5 2" xfId="39857"/>
    <cellStyle name="Total 2 3 3 4 6" xfId="39858"/>
    <cellStyle name="Total 2 3 3 4 6 2" xfId="39859"/>
    <cellStyle name="Total 2 3 3 4 7" xfId="39860"/>
    <cellStyle name="Total 2 3 3 4 7 2" xfId="39861"/>
    <cellStyle name="Total 2 3 3 4 8" xfId="39862"/>
    <cellStyle name="Total 2 3 3 4 8 2" xfId="39863"/>
    <cellStyle name="Total 2 3 3 4 9" xfId="39864"/>
    <cellStyle name="Total 2 3 3 4 9 2" xfId="39865"/>
    <cellStyle name="Total 2 3 3 5" xfId="39866"/>
    <cellStyle name="Total 2 3 3 5 10" xfId="39867"/>
    <cellStyle name="Total 2 3 3 5 10 2" xfId="39868"/>
    <cellStyle name="Total 2 3 3 5 11" xfId="39869"/>
    <cellStyle name="Total 2 3 3 5 2" xfId="39870"/>
    <cellStyle name="Total 2 3 3 5 2 2" xfId="39871"/>
    <cellStyle name="Total 2 3 3 5 3" xfId="39872"/>
    <cellStyle name="Total 2 3 3 5 3 2" xfId="39873"/>
    <cellStyle name="Total 2 3 3 5 4" xfId="39874"/>
    <cellStyle name="Total 2 3 3 5 4 2" xfId="39875"/>
    <cellStyle name="Total 2 3 3 5 5" xfId="39876"/>
    <cellStyle name="Total 2 3 3 5 5 2" xfId="39877"/>
    <cellStyle name="Total 2 3 3 5 6" xfId="39878"/>
    <cellStyle name="Total 2 3 3 5 6 2" xfId="39879"/>
    <cellStyle name="Total 2 3 3 5 7" xfId="39880"/>
    <cellStyle name="Total 2 3 3 5 7 2" xfId="39881"/>
    <cellStyle name="Total 2 3 3 5 8" xfId="39882"/>
    <cellStyle name="Total 2 3 3 5 8 2" xfId="39883"/>
    <cellStyle name="Total 2 3 3 5 9" xfId="39884"/>
    <cellStyle name="Total 2 3 3 5 9 2" xfId="39885"/>
    <cellStyle name="Total 2 3 3 6" xfId="39886"/>
    <cellStyle name="Total 2 3 3 6 2" xfId="39887"/>
    <cellStyle name="Total 2 3 3 7" xfId="39888"/>
    <cellStyle name="Total 2 3 3 7 2" xfId="39889"/>
    <cellStyle name="Total 2 3 3 8" xfId="39890"/>
    <cellStyle name="Total 2 3 3 8 2" xfId="39891"/>
    <cellStyle name="Total 2 3 3 9" xfId="39892"/>
    <cellStyle name="Total 2 3 3 9 2" xfId="39893"/>
    <cellStyle name="Total 2 3 4" xfId="39894"/>
    <cellStyle name="Total 2 3 4 10" xfId="39895"/>
    <cellStyle name="Total 2 3 4 10 2" xfId="39896"/>
    <cellStyle name="Total 2 3 4 11" xfId="39897"/>
    <cellStyle name="Total 2 3 4 11 2" xfId="39898"/>
    <cellStyle name="Total 2 3 4 12" xfId="39899"/>
    <cellStyle name="Total 2 3 4 12 2" xfId="39900"/>
    <cellStyle name="Total 2 3 4 13" xfId="39901"/>
    <cellStyle name="Total 2 3 4 2" xfId="39902"/>
    <cellStyle name="Total 2 3 4 2 10" xfId="39903"/>
    <cellStyle name="Total 2 3 4 2 10 2" xfId="39904"/>
    <cellStyle name="Total 2 3 4 2 11" xfId="39905"/>
    <cellStyle name="Total 2 3 4 2 2" xfId="39906"/>
    <cellStyle name="Total 2 3 4 2 2 2" xfId="39907"/>
    <cellStyle name="Total 2 3 4 2 3" xfId="39908"/>
    <cellStyle name="Total 2 3 4 2 3 2" xfId="39909"/>
    <cellStyle name="Total 2 3 4 2 4" xfId="39910"/>
    <cellStyle name="Total 2 3 4 2 4 2" xfId="39911"/>
    <cellStyle name="Total 2 3 4 2 5" xfId="39912"/>
    <cellStyle name="Total 2 3 4 2 5 2" xfId="39913"/>
    <cellStyle name="Total 2 3 4 2 6" xfId="39914"/>
    <cellStyle name="Total 2 3 4 2 6 2" xfId="39915"/>
    <cellStyle name="Total 2 3 4 2 7" xfId="39916"/>
    <cellStyle name="Total 2 3 4 2 7 2" xfId="39917"/>
    <cellStyle name="Total 2 3 4 2 8" xfId="39918"/>
    <cellStyle name="Total 2 3 4 2 8 2" xfId="39919"/>
    <cellStyle name="Total 2 3 4 2 9" xfId="39920"/>
    <cellStyle name="Total 2 3 4 2 9 2" xfId="39921"/>
    <cellStyle name="Total 2 3 4 3" xfId="39922"/>
    <cellStyle name="Total 2 3 4 3 10" xfId="39923"/>
    <cellStyle name="Total 2 3 4 3 10 2" xfId="39924"/>
    <cellStyle name="Total 2 3 4 3 11" xfId="39925"/>
    <cellStyle name="Total 2 3 4 3 2" xfId="39926"/>
    <cellStyle name="Total 2 3 4 3 2 2" xfId="39927"/>
    <cellStyle name="Total 2 3 4 3 3" xfId="39928"/>
    <cellStyle name="Total 2 3 4 3 3 2" xfId="39929"/>
    <cellStyle name="Total 2 3 4 3 4" xfId="39930"/>
    <cellStyle name="Total 2 3 4 3 4 2" xfId="39931"/>
    <cellStyle name="Total 2 3 4 3 5" xfId="39932"/>
    <cellStyle name="Total 2 3 4 3 5 2" xfId="39933"/>
    <cellStyle name="Total 2 3 4 3 6" xfId="39934"/>
    <cellStyle name="Total 2 3 4 3 6 2" xfId="39935"/>
    <cellStyle name="Total 2 3 4 3 7" xfId="39936"/>
    <cellStyle name="Total 2 3 4 3 7 2" xfId="39937"/>
    <cellStyle name="Total 2 3 4 3 8" xfId="39938"/>
    <cellStyle name="Total 2 3 4 3 8 2" xfId="39939"/>
    <cellStyle name="Total 2 3 4 3 9" xfId="39940"/>
    <cellStyle name="Total 2 3 4 3 9 2" xfId="39941"/>
    <cellStyle name="Total 2 3 4 4" xfId="39942"/>
    <cellStyle name="Total 2 3 4 4 2" xfId="39943"/>
    <cellStyle name="Total 2 3 4 5" xfId="39944"/>
    <cellStyle name="Total 2 3 4 5 2" xfId="39945"/>
    <cellStyle name="Total 2 3 4 6" xfId="39946"/>
    <cellStyle name="Total 2 3 4 6 2" xfId="39947"/>
    <cellStyle name="Total 2 3 4 7" xfId="39948"/>
    <cellStyle name="Total 2 3 4 7 2" xfId="39949"/>
    <cellStyle name="Total 2 3 4 8" xfId="39950"/>
    <cellStyle name="Total 2 3 4 8 2" xfId="39951"/>
    <cellStyle name="Total 2 3 4 9" xfId="39952"/>
    <cellStyle name="Total 2 3 4 9 2" xfId="39953"/>
    <cellStyle name="Total 2 3 5" xfId="39954"/>
    <cellStyle name="Total 2 3 5 10" xfId="39955"/>
    <cellStyle name="Total 2 3 5 10 2" xfId="39956"/>
    <cellStyle name="Total 2 3 5 11" xfId="39957"/>
    <cellStyle name="Total 2 3 5 11 2" xfId="39958"/>
    <cellStyle name="Total 2 3 5 12" xfId="39959"/>
    <cellStyle name="Total 2 3 5 12 2" xfId="39960"/>
    <cellStyle name="Total 2 3 5 13" xfId="39961"/>
    <cellStyle name="Total 2 3 5 2" xfId="39962"/>
    <cellStyle name="Total 2 3 5 2 10" xfId="39963"/>
    <cellStyle name="Total 2 3 5 2 10 2" xfId="39964"/>
    <cellStyle name="Total 2 3 5 2 11" xfId="39965"/>
    <cellStyle name="Total 2 3 5 2 2" xfId="39966"/>
    <cellStyle name="Total 2 3 5 2 2 2" xfId="39967"/>
    <cellStyle name="Total 2 3 5 2 3" xfId="39968"/>
    <cellStyle name="Total 2 3 5 2 3 2" xfId="39969"/>
    <cellStyle name="Total 2 3 5 2 4" xfId="39970"/>
    <cellStyle name="Total 2 3 5 2 4 2" xfId="39971"/>
    <cellStyle name="Total 2 3 5 2 5" xfId="39972"/>
    <cellStyle name="Total 2 3 5 2 5 2" xfId="39973"/>
    <cellStyle name="Total 2 3 5 2 6" xfId="39974"/>
    <cellStyle name="Total 2 3 5 2 6 2" xfId="39975"/>
    <cellStyle name="Total 2 3 5 2 7" xfId="39976"/>
    <cellStyle name="Total 2 3 5 2 7 2" xfId="39977"/>
    <cellStyle name="Total 2 3 5 2 8" xfId="39978"/>
    <cellStyle name="Total 2 3 5 2 8 2" xfId="39979"/>
    <cellStyle name="Total 2 3 5 2 9" xfId="39980"/>
    <cellStyle name="Total 2 3 5 2 9 2" xfId="39981"/>
    <cellStyle name="Total 2 3 5 3" xfId="39982"/>
    <cellStyle name="Total 2 3 5 3 10" xfId="39983"/>
    <cellStyle name="Total 2 3 5 3 10 2" xfId="39984"/>
    <cellStyle name="Total 2 3 5 3 11" xfId="39985"/>
    <cellStyle name="Total 2 3 5 3 2" xfId="39986"/>
    <cellStyle name="Total 2 3 5 3 2 2" xfId="39987"/>
    <cellStyle name="Total 2 3 5 3 3" xfId="39988"/>
    <cellStyle name="Total 2 3 5 3 3 2" xfId="39989"/>
    <cellStyle name="Total 2 3 5 3 4" xfId="39990"/>
    <cellStyle name="Total 2 3 5 3 4 2" xfId="39991"/>
    <cellStyle name="Total 2 3 5 3 5" xfId="39992"/>
    <cellStyle name="Total 2 3 5 3 5 2" xfId="39993"/>
    <cellStyle name="Total 2 3 5 3 6" xfId="39994"/>
    <cellStyle name="Total 2 3 5 3 6 2" xfId="39995"/>
    <cellStyle name="Total 2 3 5 3 7" xfId="39996"/>
    <cellStyle name="Total 2 3 5 3 7 2" xfId="39997"/>
    <cellStyle name="Total 2 3 5 3 8" xfId="39998"/>
    <cellStyle name="Total 2 3 5 3 8 2" xfId="39999"/>
    <cellStyle name="Total 2 3 5 3 9" xfId="40000"/>
    <cellStyle name="Total 2 3 5 3 9 2" xfId="40001"/>
    <cellStyle name="Total 2 3 5 4" xfId="40002"/>
    <cellStyle name="Total 2 3 5 4 2" xfId="40003"/>
    <cellStyle name="Total 2 3 5 5" xfId="40004"/>
    <cellStyle name="Total 2 3 5 5 2" xfId="40005"/>
    <cellStyle name="Total 2 3 5 6" xfId="40006"/>
    <cellStyle name="Total 2 3 5 6 2" xfId="40007"/>
    <cellStyle name="Total 2 3 5 7" xfId="40008"/>
    <cellStyle name="Total 2 3 5 7 2" xfId="40009"/>
    <cellStyle name="Total 2 3 5 8" xfId="40010"/>
    <cellStyle name="Total 2 3 5 8 2" xfId="40011"/>
    <cellStyle name="Total 2 3 5 9" xfId="40012"/>
    <cellStyle name="Total 2 3 5 9 2" xfId="40013"/>
    <cellStyle name="Total 2 3 6" xfId="40014"/>
    <cellStyle name="Total 2 3 6 2" xfId="40015"/>
    <cellStyle name="Total 2 3 7" xfId="40016"/>
    <cellStyle name="Total 2 3 7 2" xfId="40017"/>
    <cellStyle name="Total 2 3 8" xfId="40018"/>
    <cellStyle name="Total 2 3 8 2" xfId="40019"/>
    <cellStyle name="Total 2 3 9" xfId="40020"/>
    <cellStyle name="Total 2 3 9 2" xfId="40021"/>
    <cellStyle name="Total 2 4" xfId="40022"/>
    <cellStyle name="Total 2 4 10" xfId="40023"/>
    <cellStyle name="Total 2 4 10 2" xfId="40024"/>
    <cellStyle name="Total 2 4 11" xfId="40025"/>
    <cellStyle name="Total 2 4 11 2" xfId="40026"/>
    <cellStyle name="Total 2 4 12" xfId="40027"/>
    <cellStyle name="Total 2 4 12 2" xfId="40028"/>
    <cellStyle name="Total 2 4 13" xfId="40029"/>
    <cellStyle name="Total 2 4 13 2" xfId="40030"/>
    <cellStyle name="Total 2 4 14" xfId="40031"/>
    <cellStyle name="Total 2 4 14 2" xfId="40032"/>
    <cellStyle name="Total 2 4 15" xfId="40033"/>
    <cellStyle name="Total 2 4 2" xfId="40034"/>
    <cellStyle name="Total 2 4 2 10" xfId="40035"/>
    <cellStyle name="Total 2 4 2 10 2" xfId="40036"/>
    <cellStyle name="Total 2 4 2 11" xfId="40037"/>
    <cellStyle name="Total 2 4 2 11 2" xfId="40038"/>
    <cellStyle name="Total 2 4 2 12" xfId="40039"/>
    <cellStyle name="Total 2 4 2 12 2" xfId="40040"/>
    <cellStyle name="Total 2 4 2 13" xfId="40041"/>
    <cellStyle name="Total 2 4 2 2" xfId="40042"/>
    <cellStyle name="Total 2 4 2 2 10" xfId="40043"/>
    <cellStyle name="Total 2 4 2 2 10 2" xfId="40044"/>
    <cellStyle name="Total 2 4 2 2 11" xfId="40045"/>
    <cellStyle name="Total 2 4 2 2 2" xfId="40046"/>
    <cellStyle name="Total 2 4 2 2 2 2" xfId="40047"/>
    <cellStyle name="Total 2 4 2 2 3" xfId="40048"/>
    <cellStyle name="Total 2 4 2 2 3 2" xfId="40049"/>
    <cellStyle name="Total 2 4 2 2 4" xfId="40050"/>
    <cellStyle name="Total 2 4 2 2 4 2" xfId="40051"/>
    <cellStyle name="Total 2 4 2 2 5" xfId="40052"/>
    <cellStyle name="Total 2 4 2 2 5 2" xfId="40053"/>
    <cellStyle name="Total 2 4 2 2 6" xfId="40054"/>
    <cellStyle name="Total 2 4 2 2 6 2" xfId="40055"/>
    <cellStyle name="Total 2 4 2 2 7" xfId="40056"/>
    <cellStyle name="Total 2 4 2 2 7 2" xfId="40057"/>
    <cellStyle name="Total 2 4 2 2 8" xfId="40058"/>
    <cellStyle name="Total 2 4 2 2 8 2" xfId="40059"/>
    <cellStyle name="Total 2 4 2 2 9" xfId="40060"/>
    <cellStyle name="Total 2 4 2 2 9 2" xfId="40061"/>
    <cellStyle name="Total 2 4 2 3" xfId="40062"/>
    <cellStyle name="Total 2 4 2 3 10" xfId="40063"/>
    <cellStyle name="Total 2 4 2 3 10 2" xfId="40064"/>
    <cellStyle name="Total 2 4 2 3 11" xfId="40065"/>
    <cellStyle name="Total 2 4 2 3 2" xfId="40066"/>
    <cellStyle name="Total 2 4 2 3 2 2" xfId="40067"/>
    <cellStyle name="Total 2 4 2 3 3" xfId="40068"/>
    <cellStyle name="Total 2 4 2 3 3 2" xfId="40069"/>
    <cellStyle name="Total 2 4 2 3 4" xfId="40070"/>
    <cellStyle name="Total 2 4 2 3 4 2" xfId="40071"/>
    <cellStyle name="Total 2 4 2 3 5" xfId="40072"/>
    <cellStyle name="Total 2 4 2 3 5 2" xfId="40073"/>
    <cellStyle name="Total 2 4 2 3 6" xfId="40074"/>
    <cellStyle name="Total 2 4 2 3 6 2" xfId="40075"/>
    <cellStyle name="Total 2 4 2 3 7" xfId="40076"/>
    <cellStyle name="Total 2 4 2 3 7 2" xfId="40077"/>
    <cellStyle name="Total 2 4 2 3 8" xfId="40078"/>
    <cellStyle name="Total 2 4 2 3 8 2" xfId="40079"/>
    <cellStyle name="Total 2 4 2 3 9" xfId="40080"/>
    <cellStyle name="Total 2 4 2 3 9 2" xfId="40081"/>
    <cellStyle name="Total 2 4 2 4" xfId="40082"/>
    <cellStyle name="Total 2 4 2 4 2" xfId="40083"/>
    <cellStyle name="Total 2 4 2 5" xfId="40084"/>
    <cellStyle name="Total 2 4 2 5 2" xfId="40085"/>
    <cellStyle name="Total 2 4 2 6" xfId="40086"/>
    <cellStyle name="Total 2 4 2 6 2" xfId="40087"/>
    <cellStyle name="Total 2 4 2 7" xfId="40088"/>
    <cellStyle name="Total 2 4 2 7 2" xfId="40089"/>
    <cellStyle name="Total 2 4 2 8" xfId="40090"/>
    <cellStyle name="Total 2 4 2 8 2" xfId="40091"/>
    <cellStyle name="Total 2 4 2 9" xfId="40092"/>
    <cellStyle name="Total 2 4 2 9 2" xfId="40093"/>
    <cellStyle name="Total 2 4 3" xfId="40094"/>
    <cellStyle name="Total 2 4 3 10" xfId="40095"/>
    <cellStyle name="Total 2 4 3 10 2" xfId="40096"/>
    <cellStyle name="Total 2 4 3 11" xfId="40097"/>
    <cellStyle name="Total 2 4 3 11 2" xfId="40098"/>
    <cellStyle name="Total 2 4 3 12" xfId="40099"/>
    <cellStyle name="Total 2 4 3 12 2" xfId="40100"/>
    <cellStyle name="Total 2 4 3 13" xfId="40101"/>
    <cellStyle name="Total 2 4 3 2" xfId="40102"/>
    <cellStyle name="Total 2 4 3 2 10" xfId="40103"/>
    <cellStyle name="Total 2 4 3 2 10 2" xfId="40104"/>
    <cellStyle name="Total 2 4 3 2 11" xfId="40105"/>
    <cellStyle name="Total 2 4 3 2 2" xfId="40106"/>
    <cellStyle name="Total 2 4 3 2 2 2" xfId="40107"/>
    <cellStyle name="Total 2 4 3 2 3" xfId="40108"/>
    <cellStyle name="Total 2 4 3 2 3 2" xfId="40109"/>
    <cellStyle name="Total 2 4 3 2 4" xfId="40110"/>
    <cellStyle name="Total 2 4 3 2 4 2" xfId="40111"/>
    <cellStyle name="Total 2 4 3 2 5" xfId="40112"/>
    <cellStyle name="Total 2 4 3 2 5 2" xfId="40113"/>
    <cellStyle name="Total 2 4 3 2 6" xfId="40114"/>
    <cellStyle name="Total 2 4 3 2 6 2" xfId="40115"/>
    <cellStyle name="Total 2 4 3 2 7" xfId="40116"/>
    <cellStyle name="Total 2 4 3 2 7 2" xfId="40117"/>
    <cellStyle name="Total 2 4 3 2 8" xfId="40118"/>
    <cellStyle name="Total 2 4 3 2 8 2" xfId="40119"/>
    <cellStyle name="Total 2 4 3 2 9" xfId="40120"/>
    <cellStyle name="Total 2 4 3 2 9 2" xfId="40121"/>
    <cellStyle name="Total 2 4 3 3" xfId="40122"/>
    <cellStyle name="Total 2 4 3 3 10" xfId="40123"/>
    <cellStyle name="Total 2 4 3 3 10 2" xfId="40124"/>
    <cellStyle name="Total 2 4 3 3 11" xfId="40125"/>
    <cellStyle name="Total 2 4 3 3 2" xfId="40126"/>
    <cellStyle name="Total 2 4 3 3 2 2" xfId="40127"/>
    <cellStyle name="Total 2 4 3 3 3" xfId="40128"/>
    <cellStyle name="Total 2 4 3 3 3 2" xfId="40129"/>
    <cellStyle name="Total 2 4 3 3 4" xfId="40130"/>
    <cellStyle name="Total 2 4 3 3 4 2" xfId="40131"/>
    <cellStyle name="Total 2 4 3 3 5" xfId="40132"/>
    <cellStyle name="Total 2 4 3 3 5 2" xfId="40133"/>
    <cellStyle name="Total 2 4 3 3 6" xfId="40134"/>
    <cellStyle name="Total 2 4 3 3 6 2" xfId="40135"/>
    <cellStyle name="Total 2 4 3 3 7" xfId="40136"/>
    <cellStyle name="Total 2 4 3 3 7 2" xfId="40137"/>
    <cellStyle name="Total 2 4 3 3 8" xfId="40138"/>
    <cellStyle name="Total 2 4 3 3 8 2" xfId="40139"/>
    <cellStyle name="Total 2 4 3 3 9" xfId="40140"/>
    <cellStyle name="Total 2 4 3 3 9 2" xfId="40141"/>
    <cellStyle name="Total 2 4 3 4" xfId="40142"/>
    <cellStyle name="Total 2 4 3 4 2" xfId="40143"/>
    <cellStyle name="Total 2 4 3 5" xfId="40144"/>
    <cellStyle name="Total 2 4 3 5 2" xfId="40145"/>
    <cellStyle name="Total 2 4 3 6" xfId="40146"/>
    <cellStyle name="Total 2 4 3 6 2" xfId="40147"/>
    <cellStyle name="Total 2 4 3 7" xfId="40148"/>
    <cellStyle name="Total 2 4 3 7 2" xfId="40149"/>
    <cellStyle name="Total 2 4 3 8" xfId="40150"/>
    <cellStyle name="Total 2 4 3 8 2" xfId="40151"/>
    <cellStyle name="Total 2 4 3 9" xfId="40152"/>
    <cellStyle name="Total 2 4 3 9 2" xfId="40153"/>
    <cellStyle name="Total 2 4 4" xfId="40154"/>
    <cellStyle name="Total 2 4 4 10" xfId="40155"/>
    <cellStyle name="Total 2 4 4 10 2" xfId="40156"/>
    <cellStyle name="Total 2 4 4 11" xfId="40157"/>
    <cellStyle name="Total 2 4 4 2" xfId="40158"/>
    <cellStyle name="Total 2 4 4 2 2" xfId="40159"/>
    <cellStyle name="Total 2 4 4 3" xfId="40160"/>
    <cellStyle name="Total 2 4 4 3 2" xfId="40161"/>
    <cellStyle name="Total 2 4 4 4" xfId="40162"/>
    <cellStyle name="Total 2 4 4 4 2" xfId="40163"/>
    <cellStyle name="Total 2 4 4 5" xfId="40164"/>
    <cellStyle name="Total 2 4 4 5 2" xfId="40165"/>
    <cellStyle name="Total 2 4 4 6" xfId="40166"/>
    <cellStyle name="Total 2 4 4 6 2" xfId="40167"/>
    <cellStyle name="Total 2 4 4 7" xfId="40168"/>
    <cellStyle name="Total 2 4 4 7 2" xfId="40169"/>
    <cellStyle name="Total 2 4 4 8" xfId="40170"/>
    <cellStyle name="Total 2 4 4 8 2" xfId="40171"/>
    <cellStyle name="Total 2 4 4 9" xfId="40172"/>
    <cellStyle name="Total 2 4 4 9 2" xfId="40173"/>
    <cellStyle name="Total 2 4 5" xfId="40174"/>
    <cellStyle name="Total 2 4 5 10" xfId="40175"/>
    <cellStyle name="Total 2 4 5 10 2" xfId="40176"/>
    <cellStyle name="Total 2 4 5 11" xfId="40177"/>
    <cellStyle name="Total 2 4 5 2" xfId="40178"/>
    <cellStyle name="Total 2 4 5 2 2" xfId="40179"/>
    <cellStyle name="Total 2 4 5 3" xfId="40180"/>
    <cellStyle name="Total 2 4 5 3 2" xfId="40181"/>
    <cellStyle name="Total 2 4 5 4" xfId="40182"/>
    <cellStyle name="Total 2 4 5 4 2" xfId="40183"/>
    <cellStyle name="Total 2 4 5 5" xfId="40184"/>
    <cellStyle name="Total 2 4 5 5 2" xfId="40185"/>
    <cellStyle name="Total 2 4 5 6" xfId="40186"/>
    <cellStyle name="Total 2 4 5 6 2" xfId="40187"/>
    <cellStyle name="Total 2 4 5 7" xfId="40188"/>
    <cellStyle name="Total 2 4 5 7 2" xfId="40189"/>
    <cellStyle name="Total 2 4 5 8" xfId="40190"/>
    <cellStyle name="Total 2 4 5 8 2" xfId="40191"/>
    <cellStyle name="Total 2 4 5 9" xfId="40192"/>
    <cellStyle name="Total 2 4 5 9 2" xfId="40193"/>
    <cellStyle name="Total 2 4 6" xfId="40194"/>
    <cellStyle name="Total 2 4 6 2" xfId="40195"/>
    <cellStyle name="Total 2 4 7" xfId="40196"/>
    <cellStyle name="Total 2 4 7 2" xfId="40197"/>
    <cellStyle name="Total 2 4 8" xfId="40198"/>
    <cellStyle name="Total 2 4 8 2" xfId="40199"/>
    <cellStyle name="Total 2 4 9" xfId="40200"/>
    <cellStyle name="Total 2 4 9 2" xfId="40201"/>
    <cellStyle name="Total 2 5" xfId="40202"/>
    <cellStyle name="Total 2 5 10" xfId="40203"/>
    <cellStyle name="Total 2 5 10 2" xfId="40204"/>
    <cellStyle name="Total 2 5 11" xfId="40205"/>
    <cellStyle name="Total 2 5 11 2" xfId="40206"/>
    <cellStyle name="Total 2 5 12" xfId="40207"/>
    <cellStyle name="Total 2 5 12 2" xfId="40208"/>
    <cellStyle name="Total 2 5 13" xfId="40209"/>
    <cellStyle name="Total 2 5 13 2" xfId="40210"/>
    <cellStyle name="Total 2 5 14" xfId="40211"/>
    <cellStyle name="Total 2 5 14 2" xfId="40212"/>
    <cellStyle name="Total 2 5 15" xfId="40213"/>
    <cellStyle name="Total 2 5 2" xfId="40214"/>
    <cellStyle name="Total 2 5 2 10" xfId="40215"/>
    <cellStyle name="Total 2 5 2 10 2" xfId="40216"/>
    <cellStyle name="Total 2 5 2 11" xfId="40217"/>
    <cellStyle name="Total 2 5 2 11 2" xfId="40218"/>
    <cellStyle name="Total 2 5 2 12" xfId="40219"/>
    <cellStyle name="Total 2 5 2 12 2" xfId="40220"/>
    <cellStyle name="Total 2 5 2 13" xfId="40221"/>
    <cellStyle name="Total 2 5 2 2" xfId="40222"/>
    <cellStyle name="Total 2 5 2 2 10" xfId="40223"/>
    <cellStyle name="Total 2 5 2 2 10 2" xfId="40224"/>
    <cellStyle name="Total 2 5 2 2 11" xfId="40225"/>
    <cellStyle name="Total 2 5 2 2 2" xfId="40226"/>
    <cellStyle name="Total 2 5 2 2 2 2" xfId="40227"/>
    <cellStyle name="Total 2 5 2 2 3" xfId="40228"/>
    <cellStyle name="Total 2 5 2 2 3 2" xfId="40229"/>
    <cellStyle name="Total 2 5 2 2 4" xfId="40230"/>
    <cellStyle name="Total 2 5 2 2 4 2" xfId="40231"/>
    <cellStyle name="Total 2 5 2 2 5" xfId="40232"/>
    <cellStyle name="Total 2 5 2 2 5 2" xfId="40233"/>
    <cellStyle name="Total 2 5 2 2 6" xfId="40234"/>
    <cellStyle name="Total 2 5 2 2 6 2" xfId="40235"/>
    <cellStyle name="Total 2 5 2 2 7" xfId="40236"/>
    <cellStyle name="Total 2 5 2 2 7 2" xfId="40237"/>
    <cellStyle name="Total 2 5 2 2 8" xfId="40238"/>
    <cellStyle name="Total 2 5 2 2 8 2" xfId="40239"/>
    <cellStyle name="Total 2 5 2 2 9" xfId="40240"/>
    <cellStyle name="Total 2 5 2 2 9 2" xfId="40241"/>
    <cellStyle name="Total 2 5 2 3" xfId="40242"/>
    <cellStyle name="Total 2 5 2 3 10" xfId="40243"/>
    <cellStyle name="Total 2 5 2 3 10 2" xfId="40244"/>
    <cellStyle name="Total 2 5 2 3 11" xfId="40245"/>
    <cellStyle name="Total 2 5 2 3 2" xfId="40246"/>
    <cellStyle name="Total 2 5 2 3 2 2" xfId="40247"/>
    <cellStyle name="Total 2 5 2 3 3" xfId="40248"/>
    <cellStyle name="Total 2 5 2 3 3 2" xfId="40249"/>
    <cellStyle name="Total 2 5 2 3 4" xfId="40250"/>
    <cellStyle name="Total 2 5 2 3 4 2" xfId="40251"/>
    <cellStyle name="Total 2 5 2 3 5" xfId="40252"/>
    <cellStyle name="Total 2 5 2 3 5 2" xfId="40253"/>
    <cellStyle name="Total 2 5 2 3 6" xfId="40254"/>
    <cellStyle name="Total 2 5 2 3 6 2" xfId="40255"/>
    <cellStyle name="Total 2 5 2 3 7" xfId="40256"/>
    <cellStyle name="Total 2 5 2 3 7 2" xfId="40257"/>
    <cellStyle name="Total 2 5 2 3 8" xfId="40258"/>
    <cellStyle name="Total 2 5 2 3 8 2" xfId="40259"/>
    <cellStyle name="Total 2 5 2 3 9" xfId="40260"/>
    <cellStyle name="Total 2 5 2 3 9 2" xfId="40261"/>
    <cellStyle name="Total 2 5 2 4" xfId="40262"/>
    <cellStyle name="Total 2 5 2 4 2" xfId="40263"/>
    <cellStyle name="Total 2 5 2 5" xfId="40264"/>
    <cellStyle name="Total 2 5 2 5 2" xfId="40265"/>
    <cellStyle name="Total 2 5 2 6" xfId="40266"/>
    <cellStyle name="Total 2 5 2 6 2" xfId="40267"/>
    <cellStyle name="Total 2 5 2 7" xfId="40268"/>
    <cellStyle name="Total 2 5 2 7 2" xfId="40269"/>
    <cellStyle name="Total 2 5 2 8" xfId="40270"/>
    <cellStyle name="Total 2 5 2 8 2" xfId="40271"/>
    <cellStyle name="Total 2 5 2 9" xfId="40272"/>
    <cellStyle name="Total 2 5 2 9 2" xfId="40273"/>
    <cellStyle name="Total 2 5 3" xfId="40274"/>
    <cellStyle name="Total 2 5 3 10" xfId="40275"/>
    <cellStyle name="Total 2 5 3 10 2" xfId="40276"/>
    <cellStyle name="Total 2 5 3 11" xfId="40277"/>
    <cellStyle name="Total 2 5 3 11 2" xfId="40278"/>
    <cellStyle name="Total 2 5 3 12" xfId="40279"/>
    <cellStyle name="Total 2 5 3 12 2" xfId="40280"/>
    <cellStyle name="Total 2 5 3 13" xfId="40281"/>
    <cellStyle name="Total 2 5 3 2" xfId="40282"/>
    <cellStyle name="Total 2 5 3 2 10" xfId="40283"/>
    <cellStyle name="Total 2 5 3 2 10 2" xfId="40284"/>
    <cellStyle name="Total 2 5 3 2 11" xfId="40285"/>
    <cellStyle name="Total 2 5 3 2 2" xfId="40286"/>
    <cellStyle name="Total 2 5 3 2 2 2" xfId="40287"/>
    <cellStyle name="Total 2 5 3 2 3" xfId="40288"/>
    <cellStyle name="Total 2 5 3 2 3 2" xfId="40289"/>
    <cellStyle name="Total 2 5 3 2 4" xfId="40290"/>
    <cellStyle name="Total 2 5 3 2 4 2" xfId="40291"/>
    <cellStyle name="Total 2 5 3 2 5" xfId="40292"/>
    <cellStyle name="Total 2 5 3 2 5 2" xfId="40293"/>
    <cellStyle name="Total 2 5 3 2 6" xfId="40294"/>
    <cellStyle name="Total 2 5 3 2 6 2" xfId="40295"/>
    <cellStyle name="Total 2 5 3 2 7" xfId="40296"/>
    <cellStyle name="Total 2 5 3 2 7 2" xfId="40297"/>
    <cellStyle name="Total 2 5 3 2 8" xfId="40298"/>
    <cellStyle name="Total 2 5 3 2 8 2" xfId="40299"/>
    <cellStyle name="Total 2 5 3 2 9" xfId="40300"/>
    <cellStyle name="Total 2 5 3 2 9 2" xfId="40301"/>
    <cellStyle name="Total 2 5 3 3" xfId="40302"/>
    <cellStyle name="Total 2 5 3 3 10" xfId="40303"/>
    <cellStyle name="Total 2 5 3 3 10 2" xfId="40304"/>
    <cellStyle name="Total 2 5 3 3 11" xfId="40305"/>
    <cellStyle name="Total 2 5 3 3 2" xfId="40306"/>
    <cellStyle name="Total 2 5 3 3 2 2" xfId="40307"/>
    <cellStyle name="Total 2 5 3 3 3" xfId="40308"/>
    <cellStyle name="Total 2 5 3 3 3 2" xfId="40309"/>
    <cellStyle name="Total 2 5 3 3 4" xfId="40310"/>
    <cellStyle name="Total 2 5 3 3 4 2" xfId="40311"/>
    <cellStyle name="Total 2 5 3 3 5" xfId="40312"/>
    <cellStyle name="Total 2 5 3 3 5 2" xfId="40313"/>
    <cellStyle name="Total 2 5 3 3 6" xfId="40314"/>
    <cellStyle name="Total 2 5 3 3 6 2" xfId="40315"/>
    <cellStyle name="Total 2 5 3 3 7" xfId="40316"/>
    <cellStyle name="Total 2 5 3 3 7 2" xfId="40317"/>
    <cellStyle name="Total 2 5 3 3 8" xfId="40318"/>
    <cellStyle name="Total 2 5 3 3 8 2" xfId="40319"/>
    <cellStyle name="Total 2 5 3 3 9" xfId="40320"/>
    <cellStyle name="Total 2 5 3 3 9 2" xfId="40321"/>
    <cellStyle name="Total 2 5 3 4" xfId="40322"/>
    <cellStyle name="Total 2 5 3 4 2" xfId="40323"/>
    <cellStyle name="Total 2 5 3 5" xfId="40324"/>
    <cellStyle name="Total 2 5 3 5 2" xfId="40325"/>
    <cellStyle name="Total 2 5 3 6" xfId="40326"/>
    <cellStyle name="Total 2 5 3 6 2" xfId="40327"/>
    <cellStyle name="Total 2 5 3 7" xfId="40328"/>
    <cellStyle name="Total 2 5 3 7 2" xfId="40329"/>
    <cellStyle name="Total 2 5 3 8" xfId="40330"/>
    <cellStyle name="Total 2 5 3 8 2" xfId="40331"/>
    <cellStyle name="Total 2 5 3 9" xfId="40332"/>
    <cellStyle name="Total 2 5 3 9 2" xfId="40333"/>
    <cellStyle name="Total 2 5 4" xfId="40334"/>
    <cellStyle name="Total 2 5 4 10" xfId="40335"/>
    <cellStyle name="Total 2 5 4 10 2" xfId="40336"/>
    <cellStyle name="Total 2 5 4 11" xfId="40337"/>
    <cellStyle name="Total 2 5 4 2" xfId="40338"/>
    <cellStyle name="Total 2 5 4 2 2" xfId="40339"/>
    <cellStyle name="Total 2 5 4 3" xfId="40340"/>
    <cellStyle name="Total 2 5 4 3 2" xfId="40341"/>
    <cellStyle name="Total 2 5 4 4" xfId="40342"/>
    <cellStyle name="Total 2 5 4 4 2" xfId="40343"/>
    <cellStyle name="Total 2 5 4 5" xfId="40344"/>
    <cellStyle name="Total 2 5 4 5 2" xfId="40345"/>
    <cellStyle name="Total 2 5 4 6" xfId="40346"/>
    <cellStyle name="Total 2 5 4 6 2" xfId="40347"/>
    <cellStyle name="Total 2 5 4 7" xfId="40348"/>
    <cellStyle name="Total 2 5 4 7 2" xfId="40349"/>
    <cellStyle name="Total 2 5 4 8" xfId="40350"/>
    <cellStyle name="Total 2 5 4 8 2" xfId="40351"/>
    <cellStyle name="Total 2 5 4 9" xfId="40352"/>
    <cellStyle name="Total 2 5 4 9 2" xfId="40353"/>
    <cellStyle name="Total 2 5 5" xfId="40354"/>
    <cellStyle name="Total 2 5 5 10" xfId="40355"/>
    <cellStyle name="Total 2 5 5 10 2" xfId="40356"/>
    <cellStyle name="Total 2 5 5 11" xfId="40357"/>
    <cellStyle name="Total 2 5 5 2" xfId="40358"/>
    <cellStyle name="Total 2 5 5 2 2" xfId="40359"/>
    <cellStyle name="Total 2 5 5 3" xfId="40360"/>
    <cellStyle name="Total 2 5 5 3 2" xfId="40361"/>
    <cellStyle name="Total 2 5 5 4" xfId="40362"/>
    <cellStyle name="Total 2 5 5 4 2" xfId="40363"/>
    <cellStyle name="Total 2 5 5 5" xfId="40364"/>
    <cellStyle name="Total 2 5 5 5 2" xfId="40365"/>
    <cellStyle name="Total 2 5 5 6" xfId="40366"/>
    <cellStyle name="Total 2 5 5 6 2" xfId="40367"/>
    <cellStyle name="Total 2 5 5 7" xfId="40368"/>
    <cellStyle name="Total 2 5 5 7 2" xfId="40369"/>
    <cellStyle name="Total 2 5 5 8" xfId="40370"/>
    <cellStyle name="Total 2 5 5 8 2" xfId="40371"/>
    <cellStyle name="Total 2 5 5 9" xfId="40372"/>
    <cellStyle name="Total 2 5 5 9 2" xfId="40373"/>
    <cellStyle name="Total 2 5 6" xfId="40374"/>
    <cellStyle name="Total 2 5 6 2" xfId="40375"/>
    <cellStyle name="Total 2 5 7" xfId="40376"/>
    <cellStyle name="Total 2 5 7 2" xfId="40377"/>
    <cellStyle name="Total 2 5 8" xfId="40378"/>
    <cellStyle name="Total 2 5 8 2" xfId="40379"/>
    <cellStyle name="Total 2 5 9" xfId="40380"/>
    <cellStyle name="Total 2 5 9 2" xfId="40381"/>
    <cellStyle name="Total 2 6" xfId="40382"/>
    <cellStyle name="Total 2 6 10" xfId="40383"/>
    <cellStyle name="Total 2 6 10 2" xfId="40384"/>
    <cellStyle name="Total 2 6 11" xfId="40385"/>
    <cellStyle name="Total 2 6 11 2" xfId="40386"/>
    <cellStyle name="Total 2 6 12" xfId="40387"/>
    <cellStyle name="Total 2 6 12 2" xfId="40388"/>
    <cellStyle name="Total 2 6 13" xfId="40389"/>
    <cellStyle name="Total 2 6 13 2" xfId="40390"/>
    <cellStyle name="Total 2 6 14" xfId="40391"/>
    <cellStyle name="Total 2 6 14 2" xfId="40392"/>
    <cellStyle name="Total 2 6 15" xfId="40393"/>
    <cellStyle name="Total 2 6 2" xfId="40394"/>
    <cellStyle name="Total 2 6 2 10" xfId="40395"/>
    <cellStyle name="Total 2 6 2 10 2" xfId="40396"/>
    <cellStyle name="Total 2 6 2 11" xfId="40397"/>
    <cellStyle name="Total 2 6 2 11 2" xfId="40398"/>
    <cellStyle name="Total 2 6 2 12" xfId="40399"/>
    <cellStyle name="Total 2 6 2 12 2" xfId="40400"/>
    <cellStyle name="Total 2 6 2 13" xfId="40401"/>
    <cellStyle name="Total 2 6 2 2" xfId="40402"/>
    <cellStyle name="Total 2 6 2 2 10" xfId="40403"/>
    <cellStyle name="Total 2 6 2 2 10 2" xfId="40404"/>
    <cellStyle name="Total 2 6 2 2 11" xfId="40405"/>
    <cellStyle name="Total 2 6 2 2 2" xfId="40406"/>
    <cellStyle name="Total 2 6 2 2 2 2" xfId="40407"/>
    <cellStyle name="Total 2 6 2 2 3" xfId="40408"/>
    <cellStyle name="Total 2 6 2 2 3 2" xfId="40409"/>
    <cellStyle name="Total 2 6 2 2 4" xfId="40410"/>
    <cellStyle name="Total 2 6 2 2 4 2" xfId="40411"/>
    <cellStyle name="Total 2 6 2 2 5" xfId="40412"/>
    <cellStyle name="Total 2 6 2 2 5 2" xfId="40413"/>
    <cellStyle name="Total 2 6 2 2 6" xfId="40414"/>
    <cellStyle name="Total 2 6 2 2 6 2" xfId="40415"/>
    <cellStyle name="Total 2 6 2 2 7" xfId="40416"/>
    <cellStyle name="Total 2 6 2 2 7 2" xfId="40417"/>
    <cellStyle name="Total 2 6 2 2 8" xfId="40418"/>
    <cellStyle name="Total 2 6 2 2 8 2" xfId="40419"/>
    <cellStyle name="Total 2 6 2 2 9" xfId="40420"/>
    <cellStyle name="Total 2 6 2 2 9 2" xfId="40421"/>
    <cellStyle name="Total 2 6 2 3" xfId="40422"/>
    <cellStyle name="Total 2 6 2 3 10" xfId="40423"/>
    <cellStyle name="Total 2 6 2 3 10 2" xfId="40424"/>
    <cellStyle name="Total 2 6 2 3 11" xfId="40425"/>
    <cellStyle name="Total 2 6 2 3 2" xfId="40426"/>
    <cellStyle name="Total 2 6 2 3 2 2" xfId="40427"/>
    <cellStyle name="Total 2 6 2 3 3" xfId="40428"/>
    <cellStyle name="Total 2 6 2 3 3 2" xfId="40429"/>
    <cellStyle name="Total 2 6 2 3 4" xfId="40430"/>
    <cellStyle name="Total 2 6 2 3 4 2" xfId="40431"/>
    <cellStyle name="Total 2 6 2 3 5" xfId="40432"/>
    <cellStyle name="Total 2 6 2 3 5 2" xfId="40433"/>
    <cellStyle name="Total 2 6 2 3 6" xfId="40434"/>
    <cellStyle name="Total 2 6 2 3 6 2" xfId="40435"/>
    <cellStyle name="Total 2 6 2 3 7" xfId="40436"/>
    <cellStyle name="Total 2 6 2 3 7 2" xfId="40437"/>
    <cellStyle name="Total 2 6 2 3 8" xfId="40438"/>
    <cellStyle name="Total 2 6 2 3 8 2" xfId="40439"/>
    <cellStyle name="Total 2 6 2 3 9" xfId="40440"/>
    <cellStyle name="Total 2 6 2 3 9 2" xfId="40441"/>
    <cellStyle name="Total 2 6 2 4" xfId="40442"/>
    <cellStyle name="Total 2 6 2 4 2" xfId="40443"/>
    <cellStyle name="Total 2 6 2 5" xfId="40444"/>
    <cellStyle name="Total 2 6 2 5 2" xfId="40445"/>
    <cellStyle name="Total 2 6 2 6" xfId="40446"/>
    <cellStyle name="Total 2 6 2 6 2" xfId="40447"/>
    <cellStyle name="Total 2 6 2 7" xfId="40448"/>
    <cellStyle name="Total 2 6 2 7 2" xfId="40449"/>
    <cellStyle name="Total 2 6 2 8" xfId="40450"/>
    <cellStyle name="Total 2 6 2 8 2" xfId="40451"/>
    <cellStyle name="Total 2 6 2 9" xfId="40452"/>
    <cellStyle name="Total 2 6 2 9 2" xfId="40453"/>
    <cellStyle name="Total 2 6 3" xfId="40454"/>
    <cellStyle name="Total 2 6 3 10" xfId="40455"/>
    <cellStyle name="Total 2 6 3 10 2" xfId="40456"/>
    <cellStyle name="Total 2 6 3 11" xfId="40457"/>
    <cellStyle name="Total 2 6 3 11 2" xfId="40458"/>
    <cellStyle name="Total 2 6 3 12" xfId="40459"/>
    <cellStyle name="Total 2 6 3 12 2" xfId="40460"/>
    <cellStyle name="Total 2 6 3 13" xfId="40461"/>
    <cellStyle name="Total 2 6 3 2" xfId="40462"/>
    <cellStyle name="Total 2 6 3 2 10" xfId="40463"/>
    <cellStyle name="Total 2 6 3 2 10 2" xfId="40464"/>
    <cellStyle name="Total 2 6 3 2 11" xfId="40465"/>
    <cellStyle name="Total 2 6 3 2 2" xfId="40466"/>
    <cellStyle name="Total 2 6 3 2 2 2" xfId="40467"/>
    <cellStyle name="Total 2 6 3 2 3" xfId="40468"/>
    <cellStyle name="Total 2 6 3 2 3 2" xfId="40469"/>
    <cellStyle name="Total 2 6 3 2 4" xfId="40470"/>
    <cellStyle name="Total 2 6 3 2 4 2" xfId="40471"/>
    <cellStyle name="Total 2 6 3 2 5" xfId="40472"/>
    <cellStyle name="Total 2 6 3 2 5 2" xfId="40473"/>
    <cellStyle name="Total 2 6 3 2 6" xfId="40474"/>
    <cellStyle name="Total 2 6 3 2 6 2" xfId="40475"/>
    <cellStyle name="Total 2 6 3 2 7" xfId="40476"/>
    <cellStyle name="Total 2 6 3 2 7 2" xfId="40477"/>
    <cellStyle name="Total 2 6 3 2 8" xfId="40478"/>
    <cellStyle name="Total 2 6 3 2 8 2" xfId="40479"/>
    <cellStyle name="Total 2 6 3 2 9" xfId="40480"/>
    <cellStyle name="Total 2 6 3 2 9 2" xfId="40481"/>
    <cellStyle name="Total 2 6 3 3" xfId="40482"/>
    <cellStyle name="Total 2 6 3 3 10" xfId="40483"/>
    <cellStyle name="Total 2 6 3 3 10 2" xfId="40484"/>
    <cellStyle name="Total 2 6 3 3 11" xfId="40485"/>
    <cellStyle name="Total 2 6 3 3 2" xfId="40486"/>
    <cellStyle name="Total 2 6 3 3 2 2" xfId="40487"/>
    <cellStyle name="Total 2 6 3 3 3" xfId="40488"/>
    <cellStyle name="Total 2 6 3 3 3 2" xfId="40489"/>
    <cellStyle name="Total 2 6 3 3 4" xfId="40490"/>
    <cellStyle name="Total 2 6 3 3 4 2" xfId="40491"/>
    <cellStyle name="Total 2 6 3 3 5" xfId="40492"/>
    <cellStyle name="Total 2 6 3 3 5 2" xfId="40493"/>
    <cellStyle name="Total 2 6 3 3 6" xfId="40494"/>
    <cellStyle name="Total 2 6 3 3 6 2" xfId="40495"/>
    <cellStyle name="Total 2 6 3 3 7" xfId="40496"/>
    <cellStyle name="Total 2 6 3 3 7 2" xfId="40497"/>
    <cellStyle name="Total 2 6 3 3 8" xfId="40498"/>
    <cellStyle name="Total 2 6 3 3 8 2" xfId="40499"/>
    <cellStyle name="Total 2 6 3 3 9" xfId="40500"/>
    <cellStyle name="Total 2 6 3 3 9 2" xfId="40501"/>
    <cellStyle name="Total 2 6 3 4" xfId="40502"/>
    <cellStyle name="Total 2 6 3 4 2" xfId="40503"/>
    <cellStyle name="Total 2 6 3 5" xfId="40504"/>
    <cellStyle name="Total 2 6 3 5 2" xfId="40505"/>
    <cellStyle name="Total 2 6 3 6" xfId="40506"/>
    <cellStyle name="Total 2 6 3 6 2" xfId="40507"/>
    <cellStyle name="Total 2 6 3 7" xfId="40508"/>
    <cellStyle name="Total 2 6 3 7 2" xfId="40509"/>
    <cellStyle name="Total 2 6 3 8" xfId="40510"/>
    <cellStyle name="Total 2 6 3 8 2" xfId="40511"/>
    <cellStyle name="Total 2 6 3 9" xfId="40512"/>
    <cellStyle name="Total 2 6 3 9 2" xfId="40513"/>
    <cellStyle name="Total 2 6 4" xfId="40514"/>
    <cellStyle name="Total 2 6 4 10" xfId="40515"/>
    <cellStyle name="Total 2 6 4 10 2" xfId="40516"/>
    <cellStyle name="Total 2 6 4 11" xfId="40517"/>
    <cellStyle name="Total 2 6 4 2" xfId="40518"/>
    <cellStyle name="Total 2 6 4 2 2" xfId="40519"/>
    <cellStyle name="Total 2 6 4 3" xfId="40520"/>
    <cellStyle name="Total 2 6 4 3 2" xfId="40521"/>
    <cellStyle name="Total 2 6 4 4" xfId="40522"/>
    <cellStyle name="Total 2 6 4 4 2" xfId="40523"/>
    <cellStyle name="Total 2 6 4 5" xfId="40524"/>
    <cellStyle name="Total 2 6 4 5 2" xfId="40525"/>
    <cellStyle name="Total 2 6 4 6" xfId="40526"/>
    <cellStyle name="Total 2 6 4 6 2" xfId="40527"/>
    <cellStyle name="Total 2 6 4 7" xfId="40528"/>
    <cellStyle name="Total 2 6 4 7 2" xfId="40529"/>
    <cellStyle name="Total 2 6 4 8" xfId="40530"/>
    <cellStyle name="Total 2 6 4 8 2" xfId="40531"/>
    <cellStyle name="Total 2 6 4 9" xfId="40532"/>
    <cellStyle name="Total 2 6 4 9 2" xfId="40533"/>
    <cellStyle name="Total 2 6 5" xfId="40534"/>
    <cellStyle name="Total 2 6 5 10" xfId="40535"/>
    <cellStyle name="Total 2 6 5 10 2" xfId="40536"/>
    <cellStyle name="Total 2 6 5 11" xfId="40537"/>
    <cellStyle name="Total 2 6 5 2" xfId="40538"/>
    <cellStyle name="Total 2 6 5 2 2" xfId="40539"/>
    <cellStyle name="Total 2 6 5 3" xfId="40540"/>
    <cellStyle name="Total 2 6 5 3 2" xfId="40541"/>
    <cellStyle name="Total 2 6 5 4" xfId="40542"/>
    <cellStyle name="Total 2 6 5 4 2" xfId="40543"/>
    <cellStyle name="Total 2 6 5 5" xfId="40544"/>
    <cellStyle name="Total 2 6 5 5 2" xfId="40545"/>
    <cellStyle name="Total 2 6 5 6" xfId="40546"/>
    <cellStyle name="Total 2 6 5 6 2" xfId="40547"/>
    <cellStyle name="Total 2 6 5 7" xfId="40548"/>
    <cellStyle name="Total 2 6 5 7 2" xfId="40549"/>
    <cellStyle name="Total 2 6 5 8" xfId="40550"/>
    <cellStyle name="Total 2 6 5 8 2" xfId="40551"/>
    <cellStyle name="Total 2 6 5 9" xfId="40552"/>
    <cellStyle name="Total 2 6 5 9 2" xfId="40553"/>
    <cellStyle name="Total 2 6 6" xfId="40554"/>
    <cellStyle name="Total 2 6 6 2" xfId="40555"/>
    <cellStyle name="Total 2 6 7" xfId="40556"/>
    <cellStyle name="Total 2 6 7 2" xfId="40557"/>
    <cellStyle name="Total 2 6 8" xfId="40558"/>
    <cellStyle name="Total 2 6 8 2" xfId="40559"/>
    <cellStyle name="Total 2 6 9" xfId="40560"/>
    <cellStyle name="Total 2 6 9 2" xfId="40561"/>
    <cellStyle name="Total 2 7" xfId="40562"/>
    <cellStyle name="Total 2 7 10" xfId="40563"/>
    <cellStyle name="Total 2 7 10 2" xfId="40564"/>
    <cellStyle name="Total 2 7 11" xfId="40565"/>
    <cellStyle name="Total 2 7 11 2" xfId="40566"/>
    <cellStyle name="Total 2 7 12" xfId="40567"/>
    <cellStyle name="Total 2 7 12 2" xfId="40568"/>
    <cellStyle name="Total 2 7 13" xfId="40569"/>
    <cellStyle name="Total 2 7 2" xfId="40570"/>
    <cellStyle name="Total 2 7 2 10" xfId="40571"/>
    <cellStyle name="Total 2 7 2 10 2" xfId="40572"/>
    <cellStyle name="Total 2 7 2 11" xfId="40573"/>
    <cellStyle name="Total 2 7 2 2" xfId="40574"/>
    <cellStyle name="Total 2 7 2 2 2" xfId="40575"/>
    <cellStyle name="Total 2 7 2 3" xfId="40576"/>
    <cellStyle name="Total 2 7 2 3 2" xfId="40577"/>
    <cellStyle name="Total 2 7 2 4" xfId="40578"/>
    <cellStyle name="Total 2 7 2 4 2" xfId="40579"/>
    <cellStyle name="Total 2 7 2 5" xfId="40580"/>
    <cellStyle name="Total 2 7 2 5 2" xfId="40581"/>
    <cellStyle name="Total 2 7 2 6" xfId="40582"/>
    <cellStyle name="Total 2 7 2 6 2" xfId="40583"/>
    <cellStyle name="Total 2 7 2 7" xfId="40584"/>
    <cellStyle name="Total 2 7 2 7 2" xfId="40585"/>
    <cellStyle name="Total 2 7 2 8" xfId="40586"/>
    <cellStyle name="Total 2 7 2 8 2" xfId="40587"/>
    <cellStyle name="Total 2 7 2 9" xfId="40588"/>
    <cellStyle name="Total 2 7 2 9 2" xfId="40589"/>
    <cellStyle name="Total 2 7 3" xfId="40590"/>
    <cellStyle name="Total 2 7 3 10" xfId="40591"/>
    <cellStyle name="Total 2 7 3 10 2" xfId="40592"/>
    <cellStyle name="Total 2 7 3 11" xfId="40593"/>
    <cellStyle name="Total 2 7 3 2" xfId="40594"/>
    <cellStyle name="Total 2 7 3 2 2" xfId="40595"/>
    <cellStyle name="Total 2 7 3 3" xfId="40596"/>
    <cellStyle name="Total 2 7 3 3 2" xfId="40597"/>
    <cellStyle name="Total 2 7 3 4" xfId="40598"/>
    <cellStyle name="Total 2 7 3 4 2" xfId="40599"/>
    <cellStyle name="Total 2 7 3 5" xfId="40600"/>
    <cellStyle name="Total 2 7 3 5 2" xfId="40601"/>
    <cellStyle name="Total 2 7 3 6" xfId="40602"/>
    <cellStyle name="Total 2 7 3 6 2" xfId="40603"/>
    <cellStyle name="Total 2 7 3 7" xfId="40604"/>
    <cellStyle name="Total 2 7 3 7 2" xfId="40605"/>
    <cellStyle name="Total 2 7 3 8" xfId="40606"/>
    <cellStyle name="Total 2 7 3 8 2" xfId="40607"/>
    <cellStyle name="Total 2 7 3 9" xfId="40608"/>
    <cellStyle name="Total 2 7 3 9 2" xfId="40609"/>
    <cellStyle name="Total 2 7 4" xfId="40610"/>
    <cellStyle name="Total 2 7 4 2" xfId="40611"/>
    <cellStyle name="Total 2 7 5" xfId="40612"/>
    <cellStyle name="Total 2 7 5 2" xfId="40613"/>
    <cellStyle name="Total 2 7 6" xfId="40614"/>
    <cellStyle name="Total 2 7 6 2" xfId="40615"/>
    <cellStyle name="Total 2 7 7" xfId="40616"/>
    <cellStyle name="Total 2 7 7 2" xfId="40617"/>
    <cellStyle name="Total 2 7 8" xfId="40618"/>
    <cellStyle name="Total 2 7 8 2" xfId="40619"/>
    <cellStyle name="Total 2 7 9" xfId="40620"/>
    <cellStyle name="Total 2 7 9 2" xfId="40621"/>
    <cellStyle name="Total 2 8" xfId="40622"/>
    <cellStyle name="Total 2 8 10" xfId="40623"/>
    <cellStyle name="Total 2 8 10 2" xfId="40624"/>
    <cellStyle name="Total 2 8 11" xfId="40625"/>
    <cellStyle name="Total 2 8 11 2" xfId="40626"/>
    <cellStyle name="Total 2 8 12" xfId="40627"/>
    <cellStyle name="Total 2 8 12 2" xfId="40628"/>
    <cellStyle name="Total 2 8 13" xfId="40629"/>
    <cellStyle name="Total 2 8 2" xfId="40630"/>
    <cellStyle name="Total 2 8 2 10" xfId="40631"/>
    <cellStyle name="Total 2 8 2 10 2" xfId="40632"/>
    <cellStyle name="Total 2 8 2 11" xfId="40633"/>
    <cellStyle name="Total 2 8 2 2" xfId="40634"/>
    <cellStyle name="Total 2 8 2 2 2" xfId="40635"/>
    <cellStyle name="Total 2 8 2 3" xfId="40636"/>
    <cellStyle name="Total 2 8 2 3 2" xfId="40637"/>
    <cellStyle name="Total 2 8 2 4" xfId="40638"/>
    <cellStyle name="Total 2 8 2 4 2" xfId="40639"/>
    <cellStyle name="Total 2 8 2 5" xfId="40640"/>
    <cellStyle name="Total 2 8 2 5 2" xfId="40641"/>
    <cellStyle name="Total 2 8 2 6" xfId="40642"/>
    <cellStyle name="Total 2 8 2 6 2" xfId="40643"/>
    <cellStyle name="Total 2 8 2 7" xfId="40644"/>
    <cellStyle name="Total 2 8 2 7 2" xfId="40645"/>
    <cellStyle name="Total 2 8 2 8" xfId="40646"/>
    <cellStyle name="Total 2 8 2 8 2" xfId="40647"/>
    <cellStyle name="Total 2 8 2 9" xfId="40648"/>
    <cellStyle name="Total 2 8 2 9 2" xfId="40649"/>
    <cellStyle name="Total 2 8 3" xfId="40650"/>
    <cellStyle name="Total 2 8 3 10" xfId="40651"/>
    <cellStyle name="Total 2 8 3 10 2" xfId="40652"/>
    <cellStyle name="Total 2 8 3 11" xfId="40653"/>
    <cellStyle name="Total 2 8 3 2" xfId="40654"/>
    <cellStyle name="Total 2 8 3 2 2" xfId="40655"/>
    <cellStyle name="Total 2 8 3 3" xfId="40656"/>
    <cellStyle name="Total 2 8 3 3 2" xfId="40657"/>
    <cellStyle name="Total 2 8 3 4" xfId="40658"/>
    <cellStyle name="Total 2 8 3 4 2" xfId="40659"/>
    <cellStyle name="Total 2 8 3 5" xfId="40660"/>
    <cellStyle name="Total 2 8 3 5 2" xfId="40661"/>
    <cellStyle name="Total 2 8 3 6" xfId="40662"/>
    <cellStyle name="Total 2 8 3 6 2" xfId="40663"/>
    <cellStyle name="Total 2 8 3 7" xfId="40664"/>
    <cellStyle name="Total 2 8 3 7 2" xfId="40665"/>
    <cellStyle name="Total 2 8 3 8" xfId="40666"/>
    <cellStyle name="Total 2 8 3 8 2" xfId="40667"/>
    <cellStyle name="Total 2 8 3 9" xfId="40668"/>
    <cellStyle name="Total 2 8 3 9 2" xfId="40669"/>
    <cellStyle name="Total 2 8 4" xfId="40670"/>
    <cellStyle name="Total 2 8 4 2" xfId="40671"/>
    <cellStyle name="Total 2 8 5" xfId="40672"/>
    <cellStyle name="Total 2 8 5 2" xfId="40673"/>
    <cellStyle name="Total 2 8 6" xfId="40674"/>
    <cellStyle name="Total 2 8 6 2" xfId="40675"/>
    <cellStyle name="Total 2 8 7" xfId="40676"/>
    <cellStyle name="Total 2 8 7 2" xfId="40677"/>
    <cellStyle name="Total 2 8 8" xfId="40678"/>
    <cellStyle name="Total 2 8 8 2" xfId="40679"/>
    <cellStyle name="Total 2 8 9" xfId="40680"/>
    <cellStyle name="Total 2 8 9 2" xfId="40681"/>
    <cellStyle name="Total 2 9" xfId="40682"/>
    <cellStyle name="Total 2 9 2" xfId="40683"/>
    <cellStyle name="Total 3" xfId="253"/>
    <cellStyle name="Total 3 10" xfId="40684"/>
    <cellStyle name="Total 3 10 2" xfId="40685"/>
    <cellStyle name="Total 3 11" xfId="40686"/>
    <cellStyle name="Total 3 11 2" xfId="40687"/>
    <cellStyle name="Total 3 12" xfId="40688"/>
    <cellStyle name="Total 3 12 2" xfId="40689"/>
    <cellStyle name="Total 3 13" xfId="40690"/>
    <cellStyle name="Total 3 13 2" xfId="40691"/>
    <cellStyle name="Total 3 14" xfId="40692"/>
    <cellStyle name="Total 3 14 2" xfId="40693"/>
    <cellStyle name="Total 3 15" xfId="40694"/>
    <cellStyle name="Total 3 16" xfId="40695"/>
    <cellStyle name="Total 3 17" xfId="40696"/>
    <cellStyle name="Total 3 2" xfId="40697"/>
    <cellStyle name="Total 3 2 10" xfId="40698"/>
    <cellStyle name="Total 3 2 10 2" xfId="40699"/>
    <cellStyle name="Total 3 2 11" xfId="40700"/>
    <cellStyle name="Total 3 2 11 2" xfId="40701"/>
    <cellStyle name="Total 3 2 12" xfId="40702"/>
    <cellStyle name="Total 3 2 12 2" xfId="40703"/>
    <cellStyle name="Total 3 2 13" xfId="40704"/>
    <cellStyle name="Total 3 2 13 2" xfId="40705"/>
    <cellStyle name="Total 3 2 14" xfId="40706"/>
    <cellStyle name="Total 3 2 14 2" xfId="40707"/>
    <cellStyle name="Total 3 2 15" xfId="40708"/>
    <cellStyle name="Total 3 2 2" xfId="40709"/>
    <cellStyle name="Total 3 2 2 10" xfId="40710"/>
    <cellStyle name="Total 3 2 2 10 2" xfId="40711"/>
    <cellStyle name="Total 3 2 2 11" xfId="40712"/>
    <cellStyle name="Total 3 2 2 11 2" xfId="40713"/>
    <cellStyle name="Total 3 2 2 12" xfId="40714"/>
    <cellStyle name="Total 3 2 2 12 2" xfId="40715"/>
    <cellStyle name="Total 3 2 2 13" xfId="40716"/>
    <cellStyle name="Total 3 2 2 2" xfId="40717"/>
    <cellStyle name="Total 3 2 2 2 10" xfId="40718"/>
    <cellStyle name="Total 3 2 2 2 10 2" xfId="40719"/>
    <cellStyle name="Total 3 2 2 2 11" xfId="40720"/>
    <cellStyle name="Total 3 2 2 2 2" xfId="40721"/>
    <cellStyle name="Total 3 2 2 2 2 2" xfId="40722"/>
    <cellStyle name="Total 3 2 2 2 3" xfId="40723"/>
    <cellStyle name="Total 3 2 2 2 3 2" xfId="40724"/>
    <cellStyle name="Total 3 2 2 2 4" xfId="40725"/>
    <cellStyle name="Total 3 2 2 2 4 2" xfId="40726"/>
    <cellStyle name="Total 3 2 2 2 5" xfId="40727"/>
    <cellStyle name="Total 3 2 2 2 5 2" xfId="40728"/>
    <cellStyle name="Total 3 2 2 2 6" xfId="40729"/>
    <cellStyle name="Total 3 2 2 2 6 2" xfId="40730"/>
    <cellStyle name="Total 3 2 2 2 7" xfId="40731"/>
    <cellStyle name="Total 3 2 2 2 7 2" xfId="40732"/>
    <cellStyle name="Total 3 2 2 2 8" xfId="40733"/>
    <cellStyle name="Total 3 2 2 2 8 2" xfId="40734"/>
    <cellStyle name="Total 3 2 2 2 9" xfId="40735"/>
    <cellStyle name="Total 3 2 2 2 9 2" xfId="40736"/>
    <cellStyle name="Total 3 2 2 3" xfId="40737"/>
    <cellStyle name="Total 3 2 2 3 10" xfId="40738"/>
    <cellStyle name="Total 3 2 2 3 10 2" xfId="40739"/>
    <cellStyle name="Total 3 2 2 3 11" xfId="40740"/>
    <cellStyle name="Total 3 2 2 3 2" xfId="40741"/>
    <cellStyle name="Total 3 2 2 3 2 2" xfId="40742"/>
    <cellStyle name="Total 3 2 2 3 3" xfId="40743"/>
    <cellStyle name="Total 3 2 2 3 3 2" xfId="40744"/>
    <cellStyle name="Total 3 2 2 3 4" xfId="40745"/>
    <cellStyle name="Total 3 2 2 3 4 2" xfId="40746"/>
    <cellStyle name="Total 3 2 2 3 5" xfId="40747"/>
    <cellStyle name="Total 3 2 2 3 5 2" xfId="40748"/>
    <cellStyle name="Total 3 2 2 3 6" xfId="40749"/>
    <cellStyle name="Total 3 2 2 3 6 2" xfId="40750"/>
    <cellStyle name="Total 3 2 2 3 7" xfId="40751"/>
    <cellStyle name="Total 3 2 2 3 7 2" xfId="40752"/>
    <cellStyle name="Total 3 2 2 3 8" xfId="40753"/>
    <cellStyle name="Total 3 2 2 3 8 2" xfId="40754"/>
    <cellStyle name="Total 3 2 2 3 9" xfId="40755"/>
    <cellStyle name="Total 3 2 2 3 9 2" xfId="40756"/>
    <cellStyle name="Total 3 2 2 4" xfId="40757"/>
    <cellStyle name="Total 3 2 2 4 2" xfId="40758"/>
    <cellStyle name="Total 3 2 2 5" xfId="40759"/>
    <cellStyle name="Total 3 2 2 5 2" xfId="40760"/>
    <cellStyle name="Total 3 2 2 6" xfId="40761"/>
    <cellStyle name="Total 3 2 2 6 2" xfId="40762"/>
    <cellStyle name="Total 3 2 2 7" xfId="40763"/>
    <cellStyle name="Total 3 2 2 7 2" xfId="40764"/>
    <cellStyle name="Total 3 2 2 8" xfId="40765"/>
    <cellStyle name="Total 3 2 2 8 2" xfId="40766"/>
    <cellStyle name="Total 3 2 2 9" xfId="40767"/>
    <cellStyle name="Total 3 2 2 9 2" xfId="40768"/>
    <cellStyle name="Total 3 2 3" xfId="40769"/>
    <cellStyle name="Total 3 2 3 10" xfId="40770"/>
    <cellStyle name="Total 3 2 3 10 2" xfId="40771"/>
    <cellStyle name="Total 3 2 3 11" xfId="40772"/>
    <cellStyle name="Total 3 2 3 11 2" xfId="40773"/>
    <cellStyle name="Total 3 2 3 12" xfId="40774"/>
    <cellStyle name="Total 3 2 3 12 2" xfId="40775"/>
    <cellStyle name="Total 3 2 3 13" xfId="40776"/>
    <cellStyle name="Total 3 2 3 2" xfId="40777"/>
    <cellStyle name="Total 3 2 3 2 10" xfId="40778"/>
    <cellStyle name="Total 3 2 3 2 10 2" xfId="40779"/>
    <cellStyle name="Total 3 2 3 2 11" xfId="40780"/>
    <cellStyle name="Total 3 2 3 2 2" xfId="40781"/>
    <cellStyle name="Total 3 2 3 2 2 2" xfId="40782"/>
    <cellStyle name="Total 3 2 3 2 3" xfId="40783"/>
    <cellStyle name="Total 3 2 3 2 3 2" xfId="40784"/>
    <cellStyle name="Total 3 2 3 2 4" xfId="40785"/>
    <cellStyle name="Total 3 2 3 2 4 2" xfId="40786"/>
    <cellStyle name="Total 3 2 3 2 5" xfId="40787"/>
    <cellStyle name="Total 3 2 3 2 5 2" xfId="40788"/>
    <cellStyle name="Total 3 2 3 2 6" xfId="40789"/>
    <cellStyle name="Total 3 2 3 2 6 2" xfId="40790"/>
    <cellStyle name="Total 3 2 3 2 7" xfId="40791"/>
    <cellStyle name="Total 3 2 3 2 7 2" xfId="40792"/>
    <cellStyle name="Total 3 2 3 2 8" xfId="40793"/>
    <cellStyle name="Total 3 2 3 2 8 2" xfId="40794"/>
    <cellStyle name="Total 3 2 3 2 9" xfId="40795"/>
    <cellStyle name="Total 3 2 3 2 9 2" xfId="40796"/>
    <cellStyle name="Total 3 2 3 3" xfId="40797"/>
    <cellStyle name="Total 3 2 3 3 10" xfId="40798"/>
    <cellStyle name="Total 3 2 3 3 10 2" xfId="40799"/>
    <cellStyle name="Total 3 2 3 3 11" xfId="40800"/>
    <cellStyle name="Total 3 2 3 3 2" xfId="40801"/>
    <cellStyle name="Total 3 2 3 3 2 2" xfId="40802"/>
    <cellStyle name="Total 3 2 3 3 3" xfId="40803"/>
    <cellStyle name="Total 3 2 3 3 3 2" xfId="40804"/>
    <cellStyle name="Total 3 2 3 3 4" xfId="40805"/>
    <cellStyle name="Total 3 2 3 3 4 2" xfId="40806"/>
    <cellStyle name="Total 3 2 3 3 5" xfId="40807"/>
    <cellStyle name="Total 3 2 3 3 5 2" xfId="40808"/>
    <cellStyle name="Total 3 2 3 3 6" xfId="40809"/>
    <cellStyle name="Total 3 2 3 3 6 2" xfId="40810"/>
    <cellStyle name="Total 3 2 3 3 7" xfId="40811"/>
    <cellStyle name="Total 3 2 3 3 7 2" xfId="40812"/>
    <cellStyle name="Total 3 2 3 3 8" xfId="40813"/>
    <cellStyle name="Total 3 2 3 3 8 2" xfId="40814"/>
    <cellStyle name="Total 3 2 3 3 9" xfId="40815"/>
    <cellStyle name="Total 3 2 3 3 9 2" xfId="40816"/>
    <cellStyle name="Total 3 2 3 4" xfId="40817"/>
    <cellStyle name="Total 3 2 3 4 2" xfId="40818"/>
    <cellStyle name="Total 3 2 3 5" xfId="40819"/>
    <cellStyle name="Total 3 2 3 5 2" xfId="40820"/>
    <cellStyle name="Total 3 2 3 6" xfId="40821"/>
    <cellStyle name="Total 3 2 3 6 2" xfId="40822"/>
    <cellStyle name="Total 3 2 3 7" xfId="40823"/>
    <cellStyle name="Total 3 2 3 7 2" xfId="40824"/>
    <cellStyle name="Total 3 2 3 8" xfId="40825"/>
    <cellStyle name="Total 3 2 3 8 2" xfId="40826"/>
    <cellStyle name="Total 3 2 3 9" xfId="40827"/>
    <cellStyle name="Total 3 2 3 9 2" xfId="40828"/>
    <cellStyle name="Total 3 2 4" xfId="40829"/>
    <cellStyle name="Total 3 2 4 10" xfId="40830"/>
    <cellStyle name="Total 3 2 4 10 2" xfId="40831"/>
    <cellStyle name="Total 3 2 4 11" xfId="40832"/>
    <cellStyle name="Total 3 2 4 2" xfId="40833"/>
    <cellStyle name="Total 3 2 4 2 2" xfId="40834"/>
    <cellStyle name="Total 3 2 4 3" xfId="40835"/>
    <cellStyle name="Total 3 2 4 3 2" xfId="40836"/>
    <cellStyle name="Total 3 2 4 4" xfId="40837"/>
    <cellStyle name="Total 3 2 4 4 2" xfId="40838"/>
    <cellStyle name="Total 3 2 4 5" xfId="40839"/>
    <cellStyle name="Total 3 2 4 5 2" xfId="40840"/>
    <cellStyle name="Total 3 2 4 6" xfId="40841"/>
    <cellStyle name="Total 3 2 4 6 2" xfId="40842"/>
    <cellStyle name="Total 3 2 4 7" xfId="40843"/>
    <cellStyle name="Total 3 2 4 7 2" xfId="40844"/>
    <cellStyle name="Total 3 2 4 8" xfId="40845"/>
    <cellStyle name="Total 3 2 4 8 2" xfId="40846"/>
    <cellStyle name="Total 3 2 4 9" xfId="40847"/>
    <cellStyle name="Total 3 2 4 9 2" xfId="40848"/>
    <cellStyle name="Total 3 2 5" xfId="40849"/>
    <cellStyle name="Total 3 2 5 10" xfId="40850"/>
    <cellStyle name="Total 3 2 5 10 2" xfId="40851"/>
    <cellStyle name="Total 3 2 5 11" xfId="40852"/>
    <cellStyle name="Total 3 2 5 2" xfId="40853"/>
    <cellStyle name="Total 3 2 5 2 2" xfId="40854"/>
    <cellStyle name="Total 3 2 5 3" xfId="40855"/>
    <cellStyle name="Total 3 2 5 3 2" xfId="40856"/>
    <cellStyle name="Total 3 2 5 4" xfId="40857"/>
    <cellStyle name="Total 3 2 5 4 2" xfId="40858"/>
    <cellStyle name="Total 3 2 5 5" xfId="40859"/>
    <cellStyle name="Total 3 2 5 5 2" xfId="40860"/>
    <cellStyle name="Total 3 2 5 6" xfId="40861"/>
    <cellStyle name="Total 3 2 5 6 2" xfId="40862"/>
    <cellStyle name="Total 3 2 5 7" xfId="40863"/>
    <cellStyle name="Total 3 2 5 7 2" xfId="40864"/>
    <cellStyle name="Total 3 2 5 8" xfId="40865"/>
    <cellStyle name="Total 3 2 5 8 2" xfId="40866"/>
    <cellStyle name="Total 3 2 5 9" xfId="40867"/>
    <cellStyle name="Total 3 2 5 9 2" xfId="40868"/>
    <cellStyle name="Total 3 2 6" xfId="40869"/>
    <cellStyle name="Total 3 2 6 2" xfId="40870"/>
    <cellStyle name="Total 3 2 7" xfId="40871"/>
    <cellStyle name="Total 3 2 7 2" xfId="40872"/>
    <cellStyle name="Total 3 2 8" xfId="40873"/>
    <cellStyle name="Total 3 2 8 2" xfId="40874"/>
    <cellStyle name="Total 3 2 9" xfId="40875"/>
    <cellStyle name="Total 3 2 9 2" xfId="40876"/>
    <cellStyle name="Total 3 3" xfId="40877"/>
    <cellStyle name="Total 3 3 10" xfId="40878"/>
    <cellStyle name="Total 3 3 10 2" xfId="40879"/>
    <cellStyle name="Total 3 3 11" xfId="40880"/>
    <cellStyle name="Total 3 3 11 2" xfId="40881"/>
    <cellStyle name="Total 3 3 12" xfId="40882"/>
    <cellStyle name="Total 3 3 12 2" xfId="40883"/>
    <cellStyle name="Total 3 3 13" xfId="40884"/>
    <cellStyle name="Total 3 3 13 2" xfId="40885"/>
    <cellStyle name="Total 3 3 14" xfId="40886"/>
    <cellStyle name="Total 3 3 14 2" xfId="40887"/>
    <cellStyle name="Total 3 3 15" xfId="40888"/>
    <cellStyle name="Total 3 3 2" xfId="40889"/>
    <cellStyle name="Total 3 3 2 10" xfId="40890"/>
    <cellStyle name="Total 3 3 2 10 2" xfId="40891"/>
    <cellStyle name="Total 3 3 2 11" xfId="40892"/>
    <cellStyle name="Total 3 3 2 11 2" xfId="40893"/>
    <cellStyle name="Total 3 3 2 12" xfId="40894"/>
    <cellStyle name="Total 3 3 2 12 2" xfId="40895"/>
    <cellStyle name="Total 3 3 2 13" xfId="40896"/>
    <cellStyle name="Total 3 3 2 2" xfId="40897"/>
    <cellStyle name="Total 3 3 2 2 10" xfId="40898"/>
    <cellStyle name="Total 3 3 2 2 10 2" xfId="40899"/>
    <cellStyle name="Total 3 3 2 2 11" xfId="40900"/>
    <cellStyle name="Total 3 3 2 2 2" xfId="40901"/>
    <cellStyle name="Total 3 3 2 2 2 2" xfId="40902"/>
    <cellStyle name="Total 3 3 2 2 3" xfId="40903"/>
    <cellStyle name="Total 3 3 2 2 3 2" xfId="40904"/>
    <cellStyle name="Total 3 3 2 2 4" xfId="40905"/>
    <cellStyle name="Total 3 3 2 2 4 2" xfId="40906"/>
    <cellStyle name="Total 3 3 2 2 5" xfId="40907"/>
    <cellStyle name="Total 3 3 2 2 5 2" xfId="40908"/>
    <cellStyle name="Total 3 3 2 2 6" xfId="40909"/>
    <cellStyle name="Total 3 3 2 2 6 2" xfId="40910"/>
    <cellStyle name="Total 3 3 2 2 7" xfId="40911"/>
    <cellStyle name="Total 3 3 2 2 7 2" xfId="40912"/>
    <cellStyle name="Total 3 3 2 2 8" xfId="40913"/>
    <cellStyle name="Total 3 3 2 2 8 2" xfId="40914"/>
    <cellStyle name="Total 3 3 2 2 9" xfId="40915"/>
    <cellStyle name="Total 3 3 2 2 9 2" xfId="40916"/>
    <cellStyle name="Total 3 3 2 3" xfId="40917"/>
    <cellStyle name="Total 3 3 2 3 10" xfId="40918"/>
    <cellStyle name="Total 3 3 2 3 10 2" xfId="40919"/>
    <cellStyle name="Total 3 3 2 3 11" xfId="40920"/>
    <cellStyle name="Total 3 3 2 3 2" xfId="40921"/>
    <cellStyle name="Total 3 3 2 3 2 2" xfId="40922"/>
    <cellStyle name="Total 3 3 2 3 3" xfId="40923"/>
    <cellStyle name="Total 3 3 2 3 3 2" xfId="40924"/>
    <cellStyle name="Total 3 3 2 3 4" xfId="40925"/>
    <cellStyle name="Total 3 3 2 3 4 2" xfId="40926"/>
    <cellStyle name="Total 3 3 2 3 5" xfId="40927"/>
    <cellStyle name="Total 3 3 2 3 5 2" xfId="40928"/>
    <cellStyle name="Total 3 3 2 3 6" xfId="40929"/>
    <cellStyle name="Total 3 3 2 3 6 2" xfId="40930"/>
    <cellStyle name="Total 3 3 2 3 7" xfId="40931"/>
    <cellStyle name="Total 3 3 2 3 7 2" xfId="40932"/>
    <cellStyle name="Total 3 3 2 3 8" xfId="40933"/>
    <cellStyle name="Total 3 3 2 3 8 2" xfId="40934"/>
    <cellStyle name="Total 3 3 2 3 9" xfId="40935"/>
    <cellStyle name="Total 3 3 2 3 9 2" xfId="40936"/>
    <cellStyle name="Total 3 3 2 4" xfId="40937"/>
    <cellStyle name="Total 3 3 2 4 2" xfId="40938"/>
    <cellStyle name="Total 3 3 2 5" xfId="40939"/>
    <cellStyle name="Total 3 3 2 5 2" xfId="40940"/>
    <cellStyle name="Total 3 3 2 6" xfId="40941"/>
    <cellStyle name="Total 3 3 2 6 2" xfId="40942"/>
    <cellStyle name="Total 3 3 2 7" xfId="40943"/>
    <cellStyle name="Total 3 3 2 7 2" xfId="40944"/>
    <cellStyle name="Total 3 3 2 8" xfId="40945"/>
    <cellStyle name="Total 3 3 2 8 2" xfId="40946"/>
    <cellStyle name="Total 3 3 2 9" xfId="40947"/>
    <cellStyle name="Total 3 3 2 9 2" xfId="40948"/>
    <cellStyle name="Total 3 3 3" xfId="40949"/>
    <cellStyle name="Total 3 3 3 10" xfId="40950"/>
    <cellStyle name="Total 3 3 3 10 2" xfId="40951"/>
    <cellStyle name="Total 3 3 3 11" xfId="40952"/>
    <cellStyle name="Total 3 3 3 11 2" xfId="40953"/>
    <cellStyle name="Total 3 3 3 12" xfId="40954"/>
    <cellStyle name="Total 3 3 3 12 2" xfId="40955"/>
    <cellStyle name="Total 3 3 3 13" xfId="40956"/>
    <cellStyle name="Total 3 3 3 2" xfId="40957"/>
    <cellStyle name="Total 3 3 3 2 10" xfId="40958"/>
    <cellStyle name="Total 3 3 3 2 10 2" xfId="40959"/>
    <cellStyle name="Total 3 3 3 2 11" xfId="40960"/>
    <cellStyle name="Total 3 3 3 2 2" xfId="40961"/>
    <cellStyle name="Total 3 3 3 2 2 2" xfId="40962"/>
    <cellStyle name="Total 3 3 3 2 3" xfId="40963"/>
    <cellStyle name="Total 3 3 3 2 3 2" xfId="40964"/>
    <cellStyle name="Total 3 3 3 2 4" xfId="40965"/>
    <cellStyle name="Total 3 3 3 2 4 2" xfId="40966"/>
    <cellStyle name="Total 3 3 3 2 5" xfId="40967"/>
    <cellStyle name="Total 3 3 3 2 5 2" xfId="40968"/>
    <cellStyle name="Total 3 3 3 2 6" xfId="40969"/>
    <cellStyle name="Total 3 3 3 2 6 2" xfId="40970"/>
    <cellStyle name="Total 3 3 3 2 7" xfId="40971"/>
    <cellStyle name="Total 3 3 3 2 7 2" xfId="40972"/>
    <cellStyle name="Total 3 3 3 2 8" xfId="40973"/>
    <cellStyle name="Total 3 3 3 2 8 2" xfId="40974"/>
    <cellStyle name="Total 3 3 3 2 9" xfId="40975"/>
    <cellStyle name="Total 3 3 3 2 9 2" xfId="40976"/>
    <cellStyle name="Total 3 3 3 3" xfId="40977"/>
    <cellStyle name="Total 3 3 3 3 10" xfId="40978"/>
    <cellStyle name="Total 3 3 3 3 10 2" xfId="40979"/>
    <cellStyle name="Total 3 3 3 3 11" xfId="40980"/>
    <cellStyle name="Total 3 3 3 3 2" xfId="40981"/>
    <cellStyle name="Total 3 3 3 3 2 2" xfId="40982"/>
    <cellStyle name="Total 3 3 3 3 3" xfId="40983"/>
    <cellStyle name="Total 3 3 3 3 3 2" xfId="40984"/>
    <cellStyle name="Total 3 3 3 3 4" xfId="40985"/>
    <cellStyle name="Total 3 3 3 3 4 2" xfId="40986"/>
    <cellStyle name="Total 3 3 3 3 5" xfId="40987"/>
    <cellStyle name="Total 3 3 3 3 5 2" xfId="40988"/>
    <cellStyle name="Total 3 3 3 3 6" xfId="40989"/>
    <cellStyle name="Total 3 3 3 3 6 2" xfId="40990"/>
    <cellStyle name="Total 3 3 3 3 7" xfId="40991"/>
    <cellStyle name="Total 3 3 3 3 7 2" xfId="40992"/>
    <cellStyle name="Total 3 3 3 3 8" xfId="40993"/>
    <cellStyle name="Total 3 3 3 3 8 2" xfId="40994"/>
    <cellStyle name="Total 3 3 3 3 9" xfId="40995"/>
    <cellStyle name="Total 3 3 3 3 9 2" xfId="40996"/>
    <cellStyle name="Total 3 3 3 4" xfId="40997"/>
    <cellStyle name="Total 3 3 3 4 2" xfId="40998"/>
    <cellStyle name="Total 3 3 3 5" xfId="40999"/>
    <cellStyle name="Total 3 3 3 5 2" xfId="41000"/>
    <cellStyle name="Total 3 3 3 6" xfId="41001"/>
    <cellStyle name="Total 3 3 3 6 2" xfId="41002"/>
    <cellStyle name="Total 3 3 3 7" xfId="41003"/>
    <cellStyle name="Total 3 3 3 7 2" xfId="41004"/>
    <cellStyle name="Total 3 3 3 8" xfId="41005"/>
    <cellStyle name="Total 3 3 3 8 2" xfId="41006"/>
    <cellStyle name="Total 3 3 3 9" xfId="41007"/>
    <cellStyle name="Total 3 3 3 9 2" xfId="41008"/>
    <cellStyle name="Total 3 3 4" xfId="41009"/>
    <cellStyle name="Total 3 3 4 10" xfId="41010"/>
    <cellStyle name="Total 3 3 4 10 2" xfId="41011"/>
    <cellStyle name="Total 3 3 4 11" xfId="41012"/>
    <cellStyle name="Total 3 3 4 2" xfId="41013"/>
    <cellStyle name="Total 3 3 4 2 2" xfId="41014"/>
    <cellStyle name="Total 3 3 4 3" xfId="41015"/>
    <cellStyle name="Total 3 3 4 3 2" xfId="41016"/>
    <cellStyle name="Total 3 3 4 4" xfId="41017"/>
    <cellStyle name="Total 3 3 4 4 2" xfId="41018"/>
    <cellStyle name="Total 3 3 4 5" xfId="41019"/>
    <cellStyle name="Total 3 3 4 5 2" xfId="41020"/>
    <cellStyle name="Total 3 3 4 6" xfId="41021"/>
    <cellStyle name="Total 3 3 4 6 2" xfId="41022"/>
    <cellStyle name="Total 3 3 4 7" xfId="41023"/>
    <cellStyle name="Total 3 3 4 7 2" xfId="41024"/>
    <cellStyle name="Total 3 3 4 8" xfId="41025"/>
    <cellStyle name="Total 3 3 4 8 2" xfId="41026"/>
    <cellStyle name="Total 3 3 4 9" xfId="41027"/>
    <cellStyle name="Total 3 3 4 9 2" xfId="41028"/>
    <cellStyle name="Total 3 3 5" xfId="41029"/>
    <cellStyle name="Total 3 3 5 10" xfId="41030"/>
    <cellStyle name="Total 3 3 5 10 2" xfId="41031"/>
    <cellStyle name="Total 3 3 5 11" xfId="41032"/>
    <cellStyle name="Total 3 3 5 2" xfId="41033"/>
    <cellStyle name="Total 3 3 5 2 2" xfId="41034"/>
    <cellStyle name="Total 3 3 5 3" xfId="41035"/>
    <cellStyle name="Total 3 3 5 3 2" xfId="41036"/>
    <cellStyle name="Total 3 3 5 4" xfId="41037"/>
    <cellStyle name="Total 3 3 5 4 2" xfId="41038"/>
    <cellStyle name="Total 3 3 5 5" xfId="41039"/>
    <cellStyle name="Total 3 3 5 5 2" xfId="41040"/>
    <cellStyle name="Total 3 3 5 6" xfId="41041"/>
    <cellStyle name="Total 3 3 5 6 2" xfId="41042"/>
    <cellStyle name="Total 3 3 5 7" xfId="41043"/>
    <cellStyle name="Total 3 3 5 7 2" xfId="41044"/>
    <cellStyle name="Total 3 3 5 8" xfId="41045"/>
    <cellStyle name="Total 3 3 5 8 2" xfId="41046"/>
    <cellStyle name="Total 3 3 5 9" xfId="41047"/>
    <cellStyle name="Total 3 3 5 9 2" xfId="41048"/>
    <cellStyle name="Total 3 3 6" xfId="41049"/>
    <cellStyle name="Total 3 3 6 2" xfId="41050"/>
    <cellStyle name="Total 3 3 7" xfId="41051"/>
    <cellStyle name="Total 3 3 7 2" xfId="41052"/>
    <cellStyle name="Total 3 3 8" xfId="41053"/>
    <cellStyle name="Total 3 3 8 2" xfId="41054"/>
    <cellStyle name="Total 3 3 9" xfId="41055"/>
    <cellStyle name="Total 3 3 9 2" xfId="41056"/>
    <cellStyle name="Total 3 4" xfId="41057"/>
    <cellStyle name="Total 3 4 10" xfId="41058"/>
    <cellStyle name="Total 3 4 10 2" xfId="41059"/>
    <cellStyle name="Total 3 4 11" xfId="41060"/>
    <cellStyle name="Total 3 4 11 2" xfId="41061"/>
    <cellStyle name="Total 3 4 12" xfId="41062"/>
    <cellStyle name="Total 3 4 12 2" xfId="41063"/>
    <cellStyle name="Total 3 4 13" xfId="41064"/>
    <cellStyle name="Total 3 4 2" xfId="41065"/>
    <cellStyle name="Total 3 4 2 10" xfId="41066"/>
    <cellStyle name="Total 3 4 2 10 2" xfId="41067"/>
    <cellStyle name="Total 3 4 2 11" xfId="41068"/>
    <cellStyle name="Total 3 4 2 2" xfId="41069"/>
    <cellStyle name="Total 3 4 2 2 2" xfId="41070"/>
    <cellStyle name="Total 3 4 2 3" xfId="41071"/>
    <cellStyle name="Total 3 4 2 3 2" xfId="41072"/>
    <cellStyle name="Total 3 4 2 4" xfId="41073"/>
    <cellStyle name="Total 3 4 2 4 2" xfId="41074"/>
    <cellStyle name="Total 3 4 2 5" xfId="41075"/>
    <cellStyle name="Total 3 4 2 5 2" xfId="41076"/>
    <cellStyle name="Total 3 4 2 6" xfId="41077"/>
    <cellStyle name="Total 3 4 2 6 2" xfId="41078"/>
    <cellStyle name="Total 3 4 2 7" xfId="41079"/>
    <cellStyle name="Total 3 4 2 7 2" xfId="41080"/>
    <cellStyle name="Total 3 4 2 8" xfId="41081"/>
    <cellStyle name="Total 3 4 2 8 2" xfId="41082"/>
    <cellStyle name="Total 3 4 2 9" xfId="41083"/>
    <cellStyle name="Total 3 4 2 9 2" xfId="41084"/>
    <cellStyle name="Total 3 4 3" xfId="41085"/>
    <cellStyle name="Total 3 4 3 10" xfId="41086"/>
    <cellStyle name="Total 3 4 3 10 2" xfId="41087"/>
    <cellStyle name="Total 3 4 3 11" xfId="41088"/>
    <cellStyle name="Total 3 4 3 2" xfId="41089"/>
    <cellStyle name="Total 3 4 3 2 2" xfId="41090"/>
    <cellStyle name="Total 3 4 3 3" xfId="41091"/>
    <cellStyle name="Total 3 4 3 3 2" xfId="41092"/>
    <cellStyle name="Total 3 4 3 4" xfId="41093"/>
    <cellStyle name="Total 3 4 3 4 2" xfId="41094"/>
    <cellStyle name="Total 3 4 3 5" xfId="41095"/>
    <cellStyle name="Total 3 4 3 5 2" xfId="41096"/>
    <cellStyle name="Total 3 4 3 6" xfId="41097"/>
    <cellStyle name="Total 3 4 3 6 2" xfId="41098"/>
    <cellStyle name="Total 3 4 3 7" xfId="41099"/>
    <cellStyle name="Total 3 4 3 7 2" xfId="41100"/>
    <cellStyle name="Total 3 4 3 8" xfId="41101"/>
    <cellStyle name="Total 3 4 3 8 2" xfId="41102"/>
    <cellStyle name="Total 3 4 3 9" xfId="41103"/>
    <cellStyle name="Total 3 4 3 9 2" xfId="41104"/>
    <cellStyle name="Total 3 4 4" xfId="41105"/>
    <cellStyle name="Total 3 4 4 2" xfId="41106"/>
    <cellStyle name="Total 3 4 5" xfId="41107"/>
    <cellStyle name="Total 3 4 5 2" xfId="41108"/>
    <cellStyle name="Total 3 4 6" xfId="41109"/>
    <cellStyle name="Total 3 4 6 2" xfId="41110"/>
    <cellStyle name="Total 3 4 7" xfId="41111"/>
    <cellStyle name="Total 3 4 7 2" xfId="41112"/>
    <cellStyle name="Total 3 4 8" xfId="41113"/>
    <cellStyle name="Total 3 4 8 2" xfId="41114"/>
    <cellStyle name="Total 3 4 9" xfId="41115"/>
    <cellStyle name="Total 3 4 9 2" xfId="41116"/>
    <cellStyle name="Total 3 5" xfId="41117"/>
    <cellStyle name="Total 3 5 10" xfId="41118"/>
    <cellStyle name="Total 3 5 10 2" xfId="41119"/>
    <cellStyle name="Total 3 5 11" xfId="41120"/>
    <cellStyle name="Total 3 5 11 2" xfId="41121"/>
    <cellStyle name="Total 3 5 12" xfId="41122"/>
    <cellStyle name="Total 3 5 12 2" xfId="41123"/>
    <cellStyle name="Total 3 5 13" xfId="41124"/>
    <cellStyle name="Total 3 5 2" xfId="41125"/>
    <cellStyle name="Total 3 5 2 10" xfId="41126"/>
    <cellStyle name="Total 3 5 2 10 2" xfId="41127"/>
    <cellStyle name="Total 3 5 2 11" xfId="41128"/>
    <cellStyle name="Total 3 5 2 2" xfId="41129"/>
    <cellStyle name="Total 3 5 2 2 2" xfId="41130"/>
    <cellStyle name="Total 3 5 2 3" xfId="41131"/>
    <cellStyle name="Total 3 5 2 3 2" xfId="41132"/>
    <cellStyle name="Total 3 5 2 4" xfId="41133"/>
    <cellStyle name="Total 3 5 2 4 2" xfId="41134"/>
    <cellStyle name="Total 3 5 2 5" xfId="41135"/>
    <cellStyle name="Total 3 5 2 5 2" xfId="41136"/>
    <cellStyle name="Total 3 5 2 6" xfId="41137"/>
    <cellStyle name="Total 3 5 2 6 2" xfId="41138"/>
    <cellStyle name="Total 3 5 2 7" xfId="41139"/>
    <cellStyle name="Total 3 5 2 7 2" xfId="41140"/>
    <cellStyle name="Total 3 5 2 8" xfId="41141"/>
    <cellStyle name="Total 3 5 2 8 2" xfId="41142"/>
    <cellStyle name="Total 3 5 2 9" xfId="41143"/>
    <cellStyle name="Total 3 5 2 9 2" xfId="41144"/>
    <cellStyle name="Total 3 5 3" xfId="41145"/>
    <cellStyle name="Total 3 5 3 10" xfId="41146"/>
    <cellStyle name="Total 3 5 3 10 2" xfId="41147"/>
    <cellStyle name="Total 3 5 3 11" xfId="41148"/>
    <cellStyle name="Total 3 5 3 2" xfId="41149"/>
    <cellStyle name="Total 3 5 3 2 2" xfId="41150"/>
    <cellStyle name="Total 3 5 3 3" xfId="41151"/>
    <cellStyle name="Total 3 5 3 3 2" xfId="41152"/>
    <cellStyle name="Total 3 5 3 4" xfId="41153"/>
    <cellStyle name="Total 3 5 3 4 2" xfId="41154"/>
    <cellStyle name="Total 3 5 3 5" xfId="41155"/>
    <cellStyle name="Total 3 5 3 5 2" xfId="41156"/>
    <cellStyle name="Total 3 5 3 6" xfId="41157"/>
    <cellStyle name="Total 3 5 3 6 2" xfId="41158"/>
    <cellStyle name="Total 3 5 3 7" xfId="41159"/>
    <cellStyle name="Total 3 5 3 7 2" xfId="41160"/>
    <cellStyle name="Total 3 5 3 8" xfId="41161"/>
    <cellStyle name="Total 3 5 3 8 2" xfId="41162"/>
    <cellStyle name="Total 3 5 3 9" xfId="41163"/>
    <cellStyle name="Total 3 5 3 9 2" xfId="41164"/>
    <cellStyle name="Total 3 5 4" xfId="41165"/>
    <cellStyle name="Total 3 5 4 2" xfId="41166"/>
    <cellStyle name="Total 3 5 5" xfId="41167"/>
    <cellStyle name="Total 3 5 5 2" xfId="41168"/>
    <cellStyle name="Total 3 5 6" xfId="41169"/>
    <cellStyle name="Total 3 5 6 2" xfId="41170"/>
    <cellStyle name="Total 3 5 7" xfId="41171"/>
    <cellStyle name="Total 3 5 7 2" xfId="41172"/>
    <cellStyle name="Total 3 5 8" xfId="41173"/>
    <cellStyle name="Total 3 5 8 2" xfId="41174"/>
    <cellStyle name="Total 3 5 9" xfId="41175"/>
    <cellStyle name="Total 3 5 9 2" xfId="41176"/>
    <cellStyle name="Total 3 6" xfId="41177"/>
    <cellStyle name="Total 3 6 2" xfId="41178"/>
    <cellStyle name="Total 3 7" xfId="41179"/>
    <cellStyle name="Total 3 7 2" xfId="41180"/>
    <cellStyle name="Total 3 8" xfId="41181"/>
    <cellStyle name="Total 3 8 2" xfId="41182"/>
    <cellStyle name="Total 3 9" xfId="41183"/>
    <cellStyle name="Total 3 9 2" xfId="41184"/>
    <cellStyle name="Total 4" xfId="41185"/>
    <cellStyle name="Total 4 10" xfId="41186"/>
    <cellStyle name="Total 4 10 2" xfId="41187"/>
    <cellStyle name="Total 4 11" xfId="41188"/>
    <cellStyle name="Total 4 11 2" xfId="41189"/>
    <cellStyle name="Total 4 12" xfId="41190"/>
    <cellStyle name="Total 4 12 2" xfId="41191"/>
    <cellStyle name="Total 4 13" xfId="41192"/>
    <cellStyle name="Total 4 13 2" xfId="41193"/>
    <cellStyle name="Total 4 14" xfId="41194"/>
    <cellStyle name="Total 4 14 2" xfId="41195"/>
    <cellStyle name="Total 4 15" xfId="41196"/>
    <cellStyle name="Total 4 15 2" xfId="41197"/>
    <cellStyle name="Total 4 16" xfId="41198"/>
    <cellStyle name="Total 4 17" xfId="41199"/>
    <cellStyle name="Total 4 18" xfId="41200"/>
    <cellStyle name="Total 4 2" xfId="41201"/>
    <cellStyle name="Total 4 2 10" xfId="41202"/>
    <cellStyle name="Total 4 2 10 2" xfId="41203"/>
    <cellStyle name="Total 4 2 11" xfId="41204"/>
    <cellStyle name="Total 4 2 11 2" xfId="41205"/>
    <cellStyle name="Total 4 2 12" xfId="41206"/>
    <cellStyle name="Total 4 2 12 2" xfId="41207"/>
    <cellStyle name="Total 4 2 13" xfId="41208"/>
    <cellStyle name="Total 4 2 13 2" xfId="41209"/>
    <cellStyle name="Total 4 2 14" xfId="41210"/>
    <cellStyle name="Total 4 2 14 2" xfId="41211"/>
    <cellStyle name="Total 4 2 15" xfId="41212"/>
    <cellStyle name="Total 4 2 2" xfId="41213"/>
    <cellStyle name="Total 4 2 2 10" xfId="41214"/>
    <cellStyle name="Total 4 2 2 10 2" xfId="41215"/>
    <cellStyle name="Total 4 2 2 11" xfId="41216"/>
    <cellStyle name="Total 4 2 2 11 2" xfId="41217"/>
    <cellStyle name="Total 4 2 2 12" xfId="41218"/>
    <cellStyle name="Total 4 2 2 12 2" xfId="41219"/>
    <cellStyle name="Total 4 2 2 13" xfId="41220"/>
    <cellStyle name="Total 4 2 2 2" xfId="41221"/>
    <cellStyle name="Total 4 2 2 2 10" xfId="41222"/>
    <cellStyle name="Total 4 2 2 2 10 2" xfId="41223"/>
    <cellStyle name="Total 4 2 2 2 11" xfId="41224"/>
    <cellStyle name="Total 4 2 2 2 2" xfId="41225"/>
    <cellStyle name="Total 4 2 2 2 2 2" xfId="41226"/>
    <cellStyle name="Total 4 2 2 2 3" xfId="41227"/>
    <cellStyle name="Total 4 2 2 2 3 2" xfId="41228"/>
    <cellStyle name="Total 4 2 2 2 4" xfId="41229"/>
    <cellStyle name="Total 4 2 2 2 4 2" xfId="41230"/>
    <cellStyle name="Total 4 2 2 2 5" xfId="41231"/>
    <cellStyle name="Total 4 2 2 2 5 2" xfId="41232"/>
    <cellStyle name="Total 4 2 2 2 6" xfId="41233"/>
    <cellStyle name="Total 4 2 2 2 6 2" xfId="41234"/>
    <cellStyle name="Total 4 2 2 2 7" xfId="41235"/>
    <cellStyle name="Total 4 2 2 2 7 2" xfId="41236"/>
    <cellStyle name="Total 4 2 2 2 8" xfId="41237"/>
    <cellStyle name="Total 4 2 2 2 8 2" xfId="41238"/>
    <cellStyle name="Total 4 2 2 2 9" xfId="41239"/>
    <cellStyle name="Total 4 2 2 2 9 2" xfId="41240"/>
    <cellStyle name="Total 4 2 2 3" xfId="41241"/>
    <cellStyle name="Total 4 2 2 3 10" xfId="41242"/>
    <cellStyle name="Total 4 2 2 3 10 2" xfId="41243"/>
    <cellStyle name="Total 4 2 2 3 11" xfId="41244"/>
    <cellStyle name="Total 4 2 2 3 2" xfId="41245"/>
    <cellStyle name="Total 4 2 2 3 2 2" xfId="41246"/>
    <cellStyle name="Total 4 2 2 3 3" xfId="41247"/>
    <cellStyle name="Total 4 2 2 3 3 2" xfId="41248"/>
    <cellStyle name="Total 4 2 2 3 4" xfId="41249"/>
    <cellStyle name="Total 4 2 2 3 4 2" xfId="41250"/>
    <cellStyle name="Total 4 2 2 3 5" xfId="41251"/>
    <cellStyle name="Total 4 2 2 3 5 2" xfId="41252"/>
    <cellStyle name="Total 4 2 2 3 6" xfId="41253"/>
    <cellStyle name="Total 4 2 2 3 6 2" xfId="41254"/>
    <cellStyle name="Total 4 2 2 3 7" xfId="41255"/>
    <cellStyle name="Total 4 2 2 3 7 2" xfId="41256"/>
    <cellStyle name="Total 4 2 2 3 8" xfId="41257"/>
    <cellStyle name="Total 4 2 2 3 8 2" xfId="41258"/>
    <cellStyle name="Total 4 2 2 3 9" xfId="41259"/>
    <cellStyle name="Total 4 2 2 3 9 2" xfId="41260"/>
    <cellStyle name="Total 4 2 2 4" xfId="41261"/>
    <cellStyle name="Total 4 2 2 4 2" xfId="41262"/>
    <cellStyle name="Total 4 2 2 5" xfId="41263"/>
    <cellStyle name="Total 4 2 2 5 2" xfId="41264"/>
    <cellStyle name="Total 4 2 2 6" xfId="41265"/>
    <cellStyle name="Total 4 2 2 6 2" xfId="41266"/>
    <cellStyle name="Total 4 2 2 7" xfId="41267"/>
    <cellStyle name="Total 4 2 2 7 2" xfId="41268"/>
    <cellStyle name="Total 4 2 2 8" xfId="41269"/>
    <cellStyle name="Total 4 2 2 8 2" xfId="41270"/>
    <cellStyle name="Total 4 2 2 9" xfId="41271"/>
    <cellStyle name="Total 4 2 2 9 2" xfId="41272"/>
    <cellStyle name="Total 4 2 3" xfId="41273"/>
    <cellStyle name="Total 4 2 3 10" xfId="41274"/>
    <cellStyle name="Total 4 2 3 10 2" xfId="41275"/>
    <cellStyle name="Total 4 2 3 11" xfId="41276"/>
    <cellStyle name="Total 4 2 3 11 2" xfId="41277"/>
    <cellStyle name="Total 4 2 3 12" xfId="41278"/>
    <cellStyle name="Total 4 2 3 12 2" xfId="41279"/>
    <cellStyle name="Total 4 2 3 13" xfId="41280"/>
    <cellStyle name="Total 4 2 3 2" xfId="41281"/>
    <cellStyle name="Total 4 2 3 2 10" xfId="41282"/>
    <cellStyle name="Total 4 2 3 2 10 2" xfId="41283"/>
    <cellStyle name="Total 4 2 3 2 11" xfId="41284"/>
    <cellStyle name="Total 4 2 3 2 2" xfId="41285"/>
    <cellStyle name="Total 4 2 3 2 2 2" xfId="41286"/>
    <cellStyle name="Total 4 2 3 2 3" xfId="41287"/>
    <cellStyle name="Total 4 2 3 2 3 2" xfId="41288"/>
    <cellStyle name="Total 4 2 3 2 4" xfId="41289"/>
    <cellStyle name="Total 4 2 3 2 4 2" xfId="41290"/>
    <cellStyle name="Total 4 2 3 2 5" xfId="41291"/>
    <cellStyle name="Total 4 2 3 2 5 2" xfId="41292"/>
    <cellStyle name="Total 4 2 3 2 6" xfId="41293"/>
    <cellStyle name="Total 4 2 3 2 6 2" xfId="41294"/>
    <cellStyle name="Total 4 2 3 2 7" xfId="41295"/>
    <cellStyle name="Total 4 2 3 2 7 2" xfId="41296"/>
    <cellStyle name="Total 4 2 3 2 8" xfId="41297"/>
    <cellStyle name="Total 4 2 3 2 8 2" xfId="41298"/>
    <cellStyle name="Total 4 2 3 2 9" xfId="41299"/>
    <cellStyle name="Total 4 2 3 2 9 2" xfId="41300"/>
    <cellStyle name="Total 4 2 3 3" xfId="41301"/>
    <cellStyle name="Total 4 2 3 3 10" xfId="41302"/>
    <cellStyle name="Total 4 2 3 3 10 2" xfId="41303"/>
    <cellStyle name="Total 4 2 3 3 11" xfId="41304"/>
    <cellStyle name="Total 4 2 3 3 2" xfId="41305"/>
    <cellStyle name="Total 4 2 3 3 2 2" xfId="41306"/>
    <cellStyle name="Total 4 2 3 3 3" xfId="41307"/>
    <cellStyle name="Total 4 2 3 3 3 2" xfId="41308"/>
    <cellStyle name="Total 4 2 3 3 4" xfId="41309"/>
    <cellStyle name="Total 4 2 3 3 4 2" xfId="41310"/>
    <cellStyle name="Total 4 2 3 3 5" xfId="41311"/>
    <cellStyle name="Total 4 2 3 3 5 2" xfId="41312"/>
    <cellStyle name="Total 4 2 3 3 6" xfId="41313"/>
    <cellStyle name="Total 4 2 3 3 6 2" xfId="41314"/>
    <cellStyle name="Total 4 2 3 3 7" xfId="41315"/>
    <cellStyle name="Total 4 2 3 3 7 2" xfId="41316"/>
    <cellStyle name="Total 4 2 3 3 8" xfId="41317"/>
    <cellStyle name="Total 4 2 3 3 8 2" xfId="41318"/>
    <cellStyle name="Total 4 2 3 3 9" xfId="41319"/>
    <cellStyle name="Total 4 2 3 3 9 2" xfId="41320"/>
    <cellStyle name="Total 4 2 3 4" xfId="41321"/>
    <cellStyle name="Total 4 2 3 4 2" xfId="41322"/>
    <cellStyle name="Total 4 2 3 5" xfId="41323"/>
    <cellStyle name="Total 4 2 3 5 2" xfId="41324"/>
    <cellStyle name="Total 4 2 3 6" xfId="41325"/>
    <cellStyle name="Total 4 2 3 6 2" xfId="41326"/>
    <cellStyle name="Total 4 2 3 7" xfId="41327"/>
    <cellStyle name="Total 4 2 3 7 2" xfId="41328"/>
    <cellStyle name="Total 4 2 3 8" xfId="41329"/>
    <cellStyle name="Total 4 2 3 8 2" xfId="41330"/>
    <cellStyle name="Total 4 2 3 9" xfId="41331"/>
    <cellStyle name="Total 4 2 3 9 2" xfId="41332"/>
    <cellStyle name="Total 4 2 4" xfId="41333"/>
    <cellStyle name="Total 4 2 4 10" xfId="41334"/>
    <cellStyle name="Total 4 2 4 10 2" xfId="41335"/>
    <cellStyle name="Total 4 2 4 11" xfId="41336"/>
    <cellStyle name="Total 4 2 4 2" xfId="41337"/>
    <cellStyle name="Total 4 2 4 2 2" xfId="41338"/>
    <cellStyle name="Total 4 2 4 3" xfId="41339"/>
    <cellStyle name="Total 4 2 4 3 2" xfId="41340"/>
    <cellStyle name="Total 4 2 4 4" xfId="41341"/>
    <cellStyle name="Total 4 2 4 4 2" xfId="41342"/>
    <cellStyle name="Total 4 2 4 5" xfId="41343"/>
    <cellStyle name="Total 4 2 4 5 2" xfId="41344"/>
    <cellStyle name="Total 4 2 4 6" xfId="41345"/>
    <cellStyle name="Total 4 2 4 6 2" xfId="41346"/>
    <cellStyle name="Total 4 2 4 7" xfId="41347"/>
    <cellStyle name="Total 4 2 4 7 2" xfId="41348"/>
    <cellStyle name="Total 4 2 4 8" xfId="41349"/>
    <cellStyle name="Total 4 2 4 8 2" xfId="41350"/>
    <cellStyle name="Total 4 2 4 9" xfId="41351"/>
    <cellStyle name="Total 4 2 4 9 2" xfId="41352"/>
    <cellStyle name="Total 4 2 5" xfId="41353"/>
    <cellStyle name="Total 4 2 5 10" xfId="41354"/>
    <cellStyle name="Total 4 2 5 10 2" xfId="41355"/>
    <cellStyle name="Total 4 2 5 11" xfId="41356"/>
    <cellStyle name="Total 4 2 5 2" xfId="41357"/>
    <cellStyle name="Total 4 2 5 2 2" xfId="41358"/>
    <cellStyle name="Total 4 2 5 3" xfId="41359"/>
    <cellStyle name="Total 4 2 5 3 2" xfId="41360"/>
    <cellStyle name="Total 4 2 5 4" xfId="41361"/>
    <cellStyle name="Total 4 2 5 4 2" xfId="41362"/>
    <cellStyle name="Total 4 2 5 5" xfId="41363"/>
    <cellStyle name="Total 4 2 5 5 2" xfId="41364"/>
    <cellStyle name="Total 4 2 5 6" xfId="41365"/>
    <cellStyle name="Total 4 2 5 6 2" xfId="41366"/>
    <cellStyle name="Total 4 2 5 7" xfId="41367"/>
    <cellStyle name="Total 4 2 5 7 2" xfId="41368"/>
    <cellStyle name="Total 4 2 5 8" xfId="41369"/>
    <cellStyle name="Total 4 2 5 8 2" xfId="41370"/>
    <cellStyle name="Total 4 2 5 9" xfId="41371"/>
    <cellStyle name="Total 4 2 5 9 2" xfId="41372"/>
    <cellStyle name="Total 4 2 6" xfId="41373"/>
    <cellStyle name="Total 4 2 6 2" xfId="41374"/>
    <cellStyle name="Total 4 2 7" xfId="41375"/>
    <cellStyle name="Total 4 2 7 2" xfId="41376"/>
    <cellStyle name="Total 4 2 8" xfId="41377"/>
    <cellStyle name="Total 4 2 8 2" xfId="41378"/>
    <cellStyle name="Total 4 2 9" xfId="41379"/>
    <cellStyle name="Total 4 2 9 2" xfId="41380"/>
    <cellStyle name="Total 4 3" xfId="41381"/>
    <cellStyle name="Total 4 3 10" xfId="41382"/>
    <cellStyle name="Total 4 3 10 2" xfId="41383"/>
    <cellStyle name="Total 4 3 11" xfId="41384"/>
    <cellStyle name="Total 4 3 11 2" xfId="41385"/>
    <cellStyle name="Total 4 3 12" xfId="41386"/>
    <cellStyle name="Total 4 3 12 2" xfId="41387"/>
    <cellStyle name="Total 4 3 13" xfId="41388"/>
    <cellStyle name="Total 4 3 2" xfId="41389"/>
    <cellStyle name="Total 4 3 2 10" xfId="41390"/>
    <cellStyle name="Total 4 3 2 10 2" xfId="41391"/>
    <cellStyle name="Total 4 3 2 11" xfId="41392"/>
    <cellStyle name="Total 4 3 2 2" xfId="41393"/>
    <cellStyle name="Total 4 3 2 2 2" xfId="41394"/>
    <cellStyle name="Total 4 3 2 3" xfId="41395"/>
    <cellStyle name="Total 4 3 2 3 2" xfId="41396"/>
    <cellStyle name="Total 4 3 2 4" xfId="41397"/>
    <cellStyle name="Total 4 3 2 4 2" xfId="41398"/>
    <cellStyle name="Total 4 3 2 5" xfId="41399"/>
    <cellStyle name="Total 4 3 2 5 2" xfId="41400"/>
    <cellStyle name="Total 4 3 2 6" xfId="41401"/>
    <cellStyle name="Total 4 3 2 6 2" xfId="41402"/>
    <cellStyle name="Total 4 3 2 7" xfId="41403"/>
    <cellStyle name="Total 4 3 2 7 2" xfId="41404"/>
    <cellStyle name="Total 4 3 2 8" xfId="41405"/>
    <cellStyle name="Total 4 3 2 8 2" xfId="41406"/>
    <cellStyle name="Total 4 3 2 9" xfId="41407"/>
    <cellStyle name="Total 4 3 2 9 2" xfId="41408"/>
    <cellStyle name="Total 4 3 3" xfId="41409"/>
    <cellStyle name="Total 4 3 3 10" xfId="41410"/>
    <cellStyle name="Total 4 3 3 10 2" xfId="41411"/>
    <cellStyle name="Total 4 3 3 11" xfId="41412"/>
    <cellStyle name="Total 4 3 3 2" xfId="41413"/>
    <cellStyle name="Total 4 3 3 2 2" xfId="41414"/>
    <cellStyle name="Total 4 3 3 3" xfId="41415"/>
    <cellStyle name="Total 4 3 3 3 2" xfId="41416"/>
    <cellStyle name="Total 4 3 3 4" xfId="41417"/>
    <cellStyle name="Total 4 3 3 4 2" xfId="41418"/>
    <cellStyle name="Total 4 3 3 5" xfId="41419"/>
    <cellStyle name="Total 4 3 3 5 2" xfId="41420"/>
    <cellStyle name="Total 4 3 3 6" xfId="41421"/>
    <cellStyle name="Total 4 3 3 6 2" xfId="41422"/>
    <cellStyle name="Total 4 3 3 7" xfId="41423"/>
    <cellStyle name="Total 4 3 3 7 2" xfId="41424"/>
    <cellStyle name="Total 4 3 3 8" xfId="41425"/>
    <cellStyle name="Total 4 3 3 8 2" xfId="41426"/>
    <cellStyle name="Total 4 3 3 9" xfId="41427"/>
    <cellStyle name="Total 4 3 3 9 2" xfId="41428"/>
    <cellStyle name="Total 4 3 4" xfId="41429"/>
    <cellStyle name="Total 4 3 4 2" xfId="41430"/>
    <cellStyle name="Total 4 3 5" xfId="41431"/>
    <cellStyle name="Total 4 3 5 2" xfId="41432"/>
    <cellStyle name="Total 4 3 6" xfId="41433"/>
    <cellStyle name="Total 4 3 6 2" xfId="41434"/>
    <cellStyle name="Total 4 3 7" xfId="41435"/>
    <cellStyle name="Total 4 3 7 2" xfId="41436"/>
    <cellStyle name="Total 4 3 8" xfId="41437"/>
    <cellStyle name="Total 4 3 8 2" xfId="41438"/>
    <cellStyle name="Total 4 3 9" xfId="41439"/>
    <cellStyle name="Total 4 3 9 2" xfId="41440"/>
    <cellStyle name="Total 4 4" xfId="41441"/>
    <cellStyle name="Total 4 4 10" xfId="41442"/>
    <cellStyle name="Total 4 4 10 2" xfId="41443"/>
    <cellStyle name="Total 4 4 11" xfId="41444"/>
    <cellStyle name="Total 4 4 11 2" xfId="41445"/>
    <cellStyle name="Total 4 4 12" xfId="41446"/>
    <cellStyle name="Total 4 4 12 2" xfId="41447"/>
    <cellStyle name="Total 4 4 13" xfId="41448"/>
    <cellStyle name="Total 4 4 2" xfId="41449"/>
    <cellStyle name="Total 4 4 2 10" xfId="41450"/>
    <cellStyle name="Total 4 4 2 10 2" xfId="41451"/>
    <cellStyle name="Total 4 4 2 11" xfId="41452"/>
    <cellStyle name="Total 4 4 2 2" xfId="41453"/>
    <cellStyle name="Total 4 4 2 2 2" xfId="41454"/>
    <cellStyle name="Total 4 4 2 3" xfId="41455"/>
    <cellStyle name="Total 4 4 2 3 2" xfId="41456"/>
    <cellStyle name="Total 4 4 2 4" xfId="41457"/>
    <cellStyle name="Total 4 4 2 4 2" xfId="41458"/>
    <cellStyle name="Total 4 4 2 5" xfId="41459"/>
    <cellStyle name="Total 4 4 2 5 2" xfId="41460"/>
    <cellStyle name="Total 4 4 2 6" xfId="41461"/>
    <cellStyle name="Total 4 4 2 6 2" xfId="41462"/>
    <cellStyle name="Total 4 4 2 7" xfId="41463"/>
    <cellStyle name="Total 4 4 2 7 2" xfId="41464"/>
    <cellStyle name="Total 4 4 2 8" xfId="41465"/>
    <cellStyle name="Total 4 4 2 8 2" xfId="41466"/>
    <cellStyle name="Total 4 4 2 9" xfId="41467"/>
    <cellStyle name="Total 4 4 2 9 2" xfId="41468"/>
    <cellStyle name="Total 4 4 3" xfId="41469"/>
    <cellStyle name="Total 4 4 3 10" xfId="41470"/>
    <cellStyle name="Total 4 4 3 10 2" xfId="41471"/>
    <cellStyle name="Total 4 4 3 11" xfId="41472"/>
    <cellStyle name="Total 4 4 3 2" xfId="41473"/>
    <cellStyle name="Total 4 4 3 2 2" xfId="41474"/>
    <cellStyle name="Total 4 4 3 3" xfId="41475"/>
    <cellStyle name="Total 4 4 3 3 2" xfId="41476"/>
    <cellStyle name="Total 4 4 3 4" xfId="41477"/>
    <cellStyle name="Total 4 4 3 4 2" xfId="41478"/>
    <cellStyle name="Total 4 4 3 5" xfId="41479"/>
    <cellStyle name="Total 4 4 3 5 2" xfId="41480"/>
    <cellStyle name="Total 4 4 3 6" xfId="41481"/>
    <cellStyle name="Total 4 4 3 6 2" xfId="41482"/>
    <cellStyle name="Total 4 4 3 7" xfId="41483"/>
    <cellStyle name="Total 4 4 3 7 2" xfId="41484"/>
    <cellStyle name="Total 4 4 3 8" xfId="41485"/>
    <cellStyle name="Total 4 4 3 8 2" xfId="41486"/>
    <cellStyle name="Total 4 4 3 9" xfId="41487"/>
    <cellStyle name="Total 4 4 3 9 2" xfId="41488"/>
    <cellStyle name="Total 4 4 4" xfId="41489"/>
    <cellStyle name="Total 4 4 4 2" xfId="41490"/>
    <cellStyle name="Total 4 4 5" xfId="41491"/>
    <cellStyle name="Total 4 4 5 2" xfId="41492"/>
    <cellStyle name="Total 4 4 6" xfId="41493"/>
    <cellStyle name="Total 4 4 6 2" xfId="41494"/>
    <cellStyle name="Total 4 4 7" xfId="41495"/>
    <cellStyle name="Total 4 4 7 2" xfId="41496"/>
    <cellStyle name="Total 4 4 8" xfId="41497"/>
    <cellStyle name="Total 4 4 8 2" xfId="41498"/>
    <cellStyle name="Total 4 4 9" xfId="41499"/>
    <cellStyle name="Total 4 4 9 2" xfId="41500"/>
    <cellStyle name="Total 4 5" xfId="41501"/>
    <cellStyle name="Total 4 5 10" xfId="41502"/>
    <cellStyle name="Total 4 5 10 2" xfId="41503"/>
    <cellStyle name="Total 4 5 11" xfId="41504"/>
    <cellStyle name="Total 4 5 2" xfId="41505"/>
    <cellStyle name="Total 4 5 2 2" xfId="41506"/>
    <cellStyle name="Total 4 5 3" xfId="41507"/>
    <cellStyle name="Total 4 5 3 2" xfId="41508"/>
    <cellStyle name="Total 4 5 4" xfId="41509"/>
    <cellStyle name="Total 4 5 4 2" xfId="41510"/>
    <cellStyle name="Total 4 5 5" xfId="41511"/>
    <cellStyle name="Total 4 5 5 2" xfId="41512"/>
    <cellStyle name="Total 4 5 6" xfId="41513"/>
    <cellStyle name="Total 4 5 6 2" xfId="41514"/>
    <cellStyle name="Total 4 5 7" xfId="41515"/>
    <cellStyle name="Total 4 5 7 2" xfId="41516"/>
    <cellStyle name="Total 4 5 8" xfId="41517"/>
    <cellStyle name="Total 4 5 8 2" xfId="41518"/>
    <cellStyle name="Total 4 5 9" xfId="41519"/>
    <cellStyle name="Total 4 5 9 2" xfId="41520"/>
    <cellStyle name="Total 4 6" xfId="41521"/>
    <cellStyle name="Total 4 6 10" xfId="41522"/>
    <cellStyle name="Total 4 6 10 2" xfId="41523"/>
    <cellStyle name="Total 4 6 11" xfId="41524"/>
    <cellStyle name="Total 4 6 2" xfId="41525"/>
    <cellStyle name="Total 4 6 2 2" xfId="41526"/>
    <cellStyle name="Total 4 6 3" xfId="41527"/>
    <cellStyle name="Total 4 6 3 2" xfId="41528"/>
    <cellStyle name="Total 4 6 4" xfId="41529"/>
    <cellStyle name="Total 4 6 4 2" xfId="41530"/>
    <cellStyle name="Total 4 6 5" xfId="41531"/>
    <cellStyle name="Total 4 6 5 2" xfId="41532"/>
    <cellStyle name="Total 4 6 6" xfId="41533"/>
    <cellStyle name="Total 4 6 6 2" xfId="41534"/>
    <cellStyle name="Total 4 6 7" xfId="41535"/>
    <cellStyle name="Total 4 6 7 2" xfId="41536"/>
    <cellStyle name="Total 4 6 8" xfId="41537"/>
    <cellStyle name="Total 4 6 8 2" xfId="41538"/>
    <cellStyle name="Total 4 6 9" xfId="41539"/>
    <cellStyle name="Total 4 6 9 2" xfId="41540"/>
    <cellStyle name="Total 4 7" xfId="41541"/>
    <cellStyle name="Total 4 7 2" xfId="41542"/>
    <cellStyle name="Total 4 8" xfId="41543"/>
    <cellStyle name="Total 4 8 2" xfId="41544"/>
    <cellStyle name="Total 4 9" xfId="41545"/>
    <cellStyle name="Total 4 9 2" xfId="41546"/>
    <cellStyle name="Total 5" xfId="41547"/>
    <cellStyle name="Total 5 10" xfId="41548"/>
    <cellStyle name="Total 5 10 2" xfId="41549"/>
    <cellStyle name="Total 5 11" xfId="41550"/>
    <cellStyle name="Total 5 11 2" xfId="41551"/>
    <cellStyle name="Total 5 12" xfId="41552"/>
    <cellStyle name="Total 5 12 2" xfId="41553"/>
    <cellStyle name="Total 5 13" xfId="41554"/>
    <cellStyle name="Total 5 2" xfId="41555"/>
    <cellStyle name="Total 5 2 10" xfId="41556"/>
    <cellStyle name="Total 5 2 10 2" xfId="41557"/>
    <cellStyle name="Total 5 2 11" xfId="41558"/>
    <cellStyle name="Total 5 2 2" xfId="41559"/>
    <cellStyle name="Total 5 2 2 2" xfId="41560"/>
    <cellStyle name="Total 5 2 3" xfId="41561"/>
    <cellStyle name="Total 5 2 3 2" xfId="41562"/>
    <cellStyle name="Total 5 2 4" xfId="41563"/>
    <cellStyle name="Total 5 2 4 2" xfId="41564"/>
    <cellStyle name="Total 5 2 5" xfId="41565"/>
    <cellStyle name="Total 5 2 5 2" xfId="41566"/>
    <cellStyle name="Total 5 2 6" xfId="41567"/>
    <cellStyle name="Total 5 2 6 2" xfId="41568"/>
    <cellStyle name="Total 5 2 7" xfId="41569"/>
    <cellStyle name="Total 5 2 7 2" xfId="41570"/>
    <cellStyle name="Total 5 2 8" xfId="41571"/>
    <cellStyle name="Total 5 2 8 2" xfId="41572"/>
    <cellStyle name="Total 5 2 9" xfId="41573"/>
    <cellStyle name="Total 5 2 9 2" xfId="41574"/>
    <cellStyle name="Total 5 3" xfId="41575"/>
    <cellStyle name="Total 5 3 10" xfId="41576"/>
    <cellStyle name="Total 5 3 10 2" xfId="41577"/>
    <cellStyle name="Total 5 3 11" xfId="41578"/>
    <cellStyle name="Total 5 3 2" xfId="41579"/>
    <cellStyle name="Total 5 3 2 2" xfId="41580"/>
    <cellStyle name="Total 5 3 3" xfId="41581"/>
    <cellStyle name="Total 5 3 3 2" xfId="41582"/>
    <cellStyle name="Total 5 3 4" xfId="41583"/>
    <cellStyle name="Total 5 3 4 2" xfId="41584"/>
    <cellStyle name="Total 5 3 5" xfId="41585"/>
    <cellStyle name="Total 5 3 5 2" xfId="41586"/>
    <cellStyle name="Total 5 3 6" xfId="41587"/>
    <cellStyle name="Total 5 3 6 2" xfId="41588"/>
    <cellStyle name="Total 5 3 7" xfId="41589"/>
    <cellStyle name="Total 5 3 7 2" xfId="41590"/>
    <cellStyle name="Total 5 3 8" xfId="41591"/>
    <cellStyle name="Total 5 3 8 2" xfId="41592"/>
    <cellStyle name="Total 5 3 9" xfId="41593"/>
    <cellStyle name="Total 5 3 9 2" xfId="41594"/>
    <cellStyle name="Total 5 4" xfId="41595"/>
    <cellStyle name="Total 5 4 2" xfId="41596"/>
    <cellStyle name="Total 5 5" xfId="41597"/>
    <cellStyle name="Total 5 5 2" xfId="41598"/>
    <cellStyle name="Total 5 6" xfId="41599"/>
    <cellStyle name="Total 5 6 2" xfId="41600"/>
    <cellStyle name="Total 5 7" xfId="41601"/>
    <cellStyle name="Total 5 7 2" xfId="41602"/>
    <cellStyle name="Total 5 8" xfId="41603"/>
    <cellStyle name="Total 5 8 2" xfId="41604"/>
    <cellStyle name="Total 5 9" xfId="41605"/>
    <cellStyle name="Total 5 9 2" xfId="41606"/>
    <cellStyle name="Total 6" xfId="41607"/>
    <cellStyle name="Total 6 10" xfId="41608"/>
    <cellStyle name="Total 6 10 2" xfId="41609"/>
    <cellStyle name="Total 6 11" xfId="41610"/>
    <cellStyle name="Total 6 11 2" xfId="41611"/>
    <cellStyle name="Total 6 12" xfId="41612"/>
    <cellStyle name="Total 6 12 2" xfId="41613"/>
    <cellStyle name="Total 6 13" xfId="41614"/>
    <cellStyle name="Total 6 2" xfId="41615"/>
    <cellStyle name="Total 6 2 10" xfId="41616"/>
    <cellStyle name="Total 6 2 10 2" xfId="41617"/>
    <cellStyle name="Total 6 2 11" xfId="41618"/>
    <cellStyle name="Total 6 2 2" xfId="41619"/>
    <cellStyle name="Total 6 2 2 2" xfId="41620"/>
    <cellStyle name="Total 6 2 3" xfId="41621"/>
    <cellStyle name="Total 6 2 3 2" xfId="41622"/>
    <cellStyle name="Total 6 2 4" xfId="41623"/>
    <cellStyle name="Total 6 2 4 2" xfId="41624"/>
    <cellStyle name="Total 6 2 5" xfId="41625"/>
    <cellStyle name="Total 6 2 5 2" xfId="41626"/>
    <cellStyle name="Total 6 2 6" xfId="41627"/>
    <cellStyle name="Total 6 2 6 2" xfId="41628"/>
    <cellStyle name="Total 6 2 7" xfId="41629"/>
    <cellStyle name="Total 6 2 7 2" xfId="41630"/>
    <cellStyle name="Total 6 2 8" xfId="41631"/>
    <cellStyle name="Total 6 2 8 2" xfId="41632"/>
    <cellStyle name="Total 6 2 9" xfId="41633"/>
    <cellStyle name="Total 6 2 9 2" xfId="41634"/>
    <cellStyle name="Total 6 3" xfId="41635"/>
    <cellStyle name="Total 6 3 10" xfId="41636"/>
    <cellStyle name="Total 6 3 10 2" xfId="41637"/>
    <cellStyle name="Total 6 3 11" xfId="41638"/>
    <cellStyle name="Total 6 3 2" xfId="41639"/>
    <cellStyle name="Total 6 3 2 2" xfId="41640"/>
    <cellStyle name="Total 6 3 3" xfId="41641"/>
    <cellStyle name="Total 6 3 3 2" xfId="41642"/>
    <cellStyle name="Total 6 3 4" xfId="41643"/>
    <cellStyle name="Total 6 3 4 2" xfId="41644"/>
    <cellStyle name="Total 6 3 5" xfId="41645"/>
    <cellStyle name="Total 6 3 5 2" xfId="41646"/>
    <cellStyle name="Total 6 3 6" xfId="41647"/>
    <cellStyle name="Total 6 3 6 2" xfId="41648"/>
    <cellStyle name="Total 6 3 7" xfId="41649"/>
    <cellStyle name="Total 6 3 7 2" xfId="41650"/>
    <cellStyle name="Total 6 3 8" xfId="41651"/>
    <cellStyle name="Total 6 3 8 2" xfId="41652"/>
    <cellStyle name="Total 6 3 9" xfId="41653"/>
    <cellStyle name="Total 6 3 9 2" xfId="41654"/>
    <cellStyle name="Total 6 4" xfId="41655"/>
    <cellStyle name="Total 6 4 2" xfId="41656"/>
    <cellStyle name="Total 6 5" xfId="41657"/>
    <cellStyle name="Total 6 5 2" xfId="41658"/>
    <cellStyle name="Total 6 6" xfId="41659"/>
    <cellStyle name="Total 6 6 2" xfId="41660"/>
    <cellStyle name="Total 6 7" xfId="41661"/>
    <cellStyle name="Total 6 7 2" xfId="41662"/>
    <cellStyle name="Total 6 8" xfId="41663"/>
    <cellStyle name="Total 6 8 2" xfId="41664"/>
    <cellStyle name="Total 6 9" xfId="41665"/>
    <cellStyle name="Total 6 9 2" xfId="41666"/>
    <cellStyle name="Total 7" xfId="41667"/>
    <cellStyle name="Total 7 10" xfId="41668"/>
    <cellStyle name="Total 7 10 2" xfId="41669"/>
    <cellStyle name="Total 7 11" xfId="41670"/>
    <cellStyle name="Total 7 11 2" xfId="41671"/>
    <cellStyle name="Total 7 12" xfId="41672"/>
    <cellStyle name="Total 7 12 2" xfId="41673"/>
    <cellStyle name="Total 7 13" xfId="41674"/>
    <cellStyle name="Total 7 2" xfId="41675"/>
    <cellStyle name="Total 7 2 10" xfId="41676"/>
    <cellStyle name="Total 7 2 10 2" xfId="41677"/>
    <cellStyle name="Total 7 2 11" xfId="41678"/>
    <cellStyle name="Total 7 2 2" xfId="41679"/>
    <cellStyle name="Total 7 2 2 2" xfId="41680"/>
    <cellStyle name="Total 7 2 3" xfId="41681"/>
    <cellStyle name="Total 7 2 3 2" xfId="41682"/>
    <cellStyle name="Total 7 2 4" xfId="41683"/>
    <cellStyle name="Total 7 2 4 2" xfId="41684"/>
    <cellStyle name="Total 7 2 5" xfId="41685"/>
    <cellStyle name="Total 7 2 5 2" xfId="41686"/>
    <cellStyle name="Total 7 2 6" xfId="41687"/>
    <cellStyle name="Total 7 2 6 2" xfId="41688"/>
    <cellStyle name="Total 7 2 7" xfId="41689"/>
    <cellStyle name="Total 7 2 7 2" xfId="41690"/>
    <cellStyle name="Total 7 2 8" xfId="41691"/>
    <cellStyle name="Total 7 2 8 2" xfId="41692"/>
    <cellStyle name="Total 7 2 9" xfId="41693"/>
    <cellStyle name="Total 7 2 9 2" xfId="41694"/>
    <cellStyle name="Total 7 3" xfId="41695"/>
    <cellStyle name="Total 7 3 10" xfId="41696"/>
    <cellStyle name="Total 7 3 10 2" xfId="41697"/>
    <cellStyle name="Total 7 3 11" xfId="41698"/>
    <cellStyle name="Total 7 3 2" xfId="41699"/>
    <cellStyle name="Total 7 3 2 2" xfId="41700"/>
    <cellStyle name="Total 7 3 3" xfId="41701"/>
    <cellStyle name="Total 7 3 3 2" xfId="41702"/>
    <cellStyle name="Total 7 3 4" xfId="41703"/>
    <cellStyle name="Total 7 3 4 2" xfId="41704"/>
    <cellStyle name="Total 7 3 5" xfId="41705"/>
    <cellStyle name="Total 7 3 5 2" xfId="41706"/>
    <cellStyle name="Total 7 3 6" xfId="41707"/>
    <cellStyle name="Total 7 3 6 2" xfId="41708"/>
    <cellStyle name="Total 7 3 7" xfId="41709"/>
    <cellStyle name="Total 7 3 7 2" xfId="41710"/>
    <cellStyle name="Total 7 3 8" xfId="41711"/>
    <cellStyle name="Total 7 3 8 2" xfId="41712"/>
    <cellStyle name="Total 7 3 9" xfId="41713"/>
    <cellStyle name="Total 7 3 9 2" xfId="41714"/>
    <cellStyle name="Total 7 4" xfId="41715"/>
    <cellStyle name="Total 7 4 2" xfId="41716"/>
    <cellStyle name="Total 7 5" xfId="41717"/>
    <cellStyle name="Total 7 5 2" xfId="41718"/>
    <cellStyle name="Total 7 6" xfId="41719"/>
    <cellStyle name="Total 7 6 2" xfId="41720"/>
    <cellStyle name="Total 7 7" xfId="41721"/>
    <cellStyle name="Total 7 7 2" xfId="41722"/>
    <cellStyle name="Total 7 8" xfId="41723"/>
    <cellStyle name="Total 7 8 2" xfId="41724"/>
    <cellStyle name="Total 7 9" xfId="41725"/>
    <cellStyle name="Total 7 9 2" xfId="41726"/>
    <cellStyle name="Total 8" xfId="41727"/>
  </cellStyles>
  <dxfs count="183">
    <dxf>
      <font>
        <b/>
        <i val="0"/>
        <color rgb="FFFF0000"/>
      </font>
      <fill>
        <patternFill>
          <bgColor theme="5" tint="0.79998168889431442"/>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bgColor theme="5" tint="0.79998168889431442"/>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bgColor theme="5" tint="0.79998168889431442"/>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auto="1"/>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auto="1"/>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auto="1"/>
        </patternFill>
      </fill>
    </dxf>
    <dxf>
      <font>
        <condense val="0"/>
        <extend val="0"/>
        <color rgb="FF9C0006"/>
      </font>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fill>
        <patternFill patternType="none">
          <bgColor auto="1"/>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fill>
        <patternFill patternType="none">
          <bgColor indexed="65"/>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condense val="0"/>
        <extend val="0"/>
        <color rgb="FF9C0006"/>
      </font>
    </dxf>
    <dxf>
      <font>
        <b/>
        <i val="0"/>
        <color rgb="FFFF0000"/>
      </font>
      <fill>
        <patternFill patternType="none">
          <bgColor auto="1"/>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condense val="0"/>
        <extend val="0"/>
        <color rgb="FF9C0006"/>
      </font>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patternType="none">
          <bgColor auto="1"/>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theme="3" tint="0.3999450666829432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33"/>
      <rgbColor rgb="00666699"/>
      <rgbColor rgb="00969696"/>
      <rgbColor rgb="00003366"/>
      <rgbColor rgb="00339966"/>
      <rgbColor rgb="00003300"/>
      <rgbColor rgb="00333300"/>
      <rgbColor rgb="00993300"/>
      <rgbColor rgb="00993366"/>
      <rgbColor rgb="00333399"/>
      <rgbColor rgb="00333333"/>
    </indexedColors>
    <mruColors>
      <color rgb="FFFFFF00"/>
      <color rgb="FF7004AC"/>
      <color rgb="FF00FFCC"/>
      <color rgb="FFFF3300"/>
      <color rgb="FF00FF99"/>
      <color rgb="FF0D6AA3"/>
      <color rgb="FF0C8BA4"/>
      <color rgb="FFCC22AC"/>
      <color rgb="FF127860"/>
      <color rgb="FFFFFF9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1</xdr:col>
      <xdr:colOff>0</xdr:colOff>
      <xdr:row>1</xdr:row>
      <xdr:rowOff>1095375</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0" y="171451"/>
          <a:ext cx="1190625" cy="109537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1</xdr:row>
      <xdr:rowOff>9525</xdr:rowOff>
    </xdr:from>
    <xdr:to>
      <xdr:col>0</xdr:col>
      <xdr:colOff>1276350</xdr:colOff>
      <xdr:row>3</xdr:row>
      <xdr:rowOff>19050</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9525" y="171450"/>
          <a:ext cx="1266825" cy="11811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0</xdr:col>
      <xdr:colOff>1347107</xdr:colOff>
      <xdr:row>3</xdr:row>
      <xdr:rowOff>13606</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0" y="332014"/>
          <a:ext cx="1347107" cy="128723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1</xdr:col>
      <xdr:colOff>552450</xdr:colOff>
      <xdr:row>2</xdr:row>
      <xdr:rowOff>57150</xdr:rowOff>
    </xdr:to>
    <xdr:pic>
      <xdr:nvPicPr>
        <xdr:cNvPr id="2" name="Picture 1" descr="image001"/>
        <xdr:cNvPicPr>
          <a:picLocks noChangeAspect="1" noChangeArrowheads="1"/>
        </xdr:cNvPicPr>
      </xdr:nvPicPr>
      <xdr:blipFill>
        <a:blip xmlns:r="http://schemas.openxmlformats.org/officeDocument/2006/relationships" r:embed="rId1" cstate="print"/>
        <a:srcRect/>
        <a:stretch>
          <a:fillRect/>
        </a:stretch>
      </xdr:blipFill>
      <xdr:spPr bwMode="auto">
        <a:xfrm>
          <a:off x="114300" y="76200"/>
          <a:ext cx="1200150" cy="3619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MTIRADO.SERNAP\Escritorio\Algas%20pardas\CUOTAS%20ALA\Datos%20Cuota%20Artesanal%20AP.201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garcia\Desktop\2014%20ALGAS%20III.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os"/>
      <sheetName val="TD"/>
      <sheetName val="Algas IV reg "/>
      <sheetName val="Resumen algas IV reg "/>
      <sheetName val="Hoja1"/>
      <sheetName val="Hoja2"/>
      <sheetName val="CUOTAS"/>
      <sheetName val="Hoja3"/>
    </sheetNames>
    <sheetDataSet>
      <sheetData sheetId="0"/>
      <sheetData sheetId="1"/>
      <sheetData sheetId="2">
        <row r="5">
          <cell r="B5">
            <v>502.93099999999998</v>
          </cell>
        </row>
        <row r="15">
          <cell r="AJ15">
            <v>41214</v>
          </cell>
          <cell r="AL15" t="str">
            <v/>
          </cell>
        </row>
        <row r="32">
          <cell r="AJ32">
            <v>41214</v>
          </cell>
          <cell r="AL32" t="str">
            <v/>
          </cell>
        </row>
        <row r="49">
          <cell r="AJ49">
            <v>41214</v>
          </cell>
          <cell r="AL49" t="str">
            <v/>
          </cell>
        </row>
        <row r="66">
          <cell r="AJ66">
            <v>41214</v>
          </cell>
          <cell r="AL66">
            <v>0</v>
          </cell>
        </row>
        <row r="83">
          <cell r="AJ83">
            <v>41214</v>
          </cell>
          <cell r="AL83" t="str">
            <v/>
          </cell>
        </row>
        <row r="100">
          <cell r="AJ100">
            <v>41214</v>
          </cell>
          <cell r="AL100">
            <v>0</v>
          </cell>
        </row>
        <row r="117">
          <cell r="AJ117">
            <v>41214</v>
          </cell>
          <cell r="AL117" t="str">
            <v/>
          </cell>
        </row>
        <row r="134">
          <cell r="AJ134">
            <v>41214</v>
          </cell>
          <cell r="AL134" t="str">
            <v/>
          </cell>
        </row>
        <row r="151">
          <cell r="AJ151">
            <v>41214</v>
          </cell>
          <cell r="AL151">
            <v>0</v>
          </cell>
        </row>
      </sheetData>
      <sheetData sheetId="3">
        <row r="13">
          <cell r="H13">
            <v>0</v>
          </cell>
        </row>
        <row r="14">
          <cell r="H14">
            <v>0</v>
          </cell>
        </row>
        <row r="15">
          <cell r="H15">
            <v>0</v>
          </cell>
        </row>
        <row r="28">
          <cell r="H28">
            <v>41912</v>
          </cell>
        </row>
        <row r="29">
          <cell r="H29">
            <v>0</v>
          </cell>
        </row>
        <row r="30">
          <cell r="H30">
            <v>41912</v>
          </cell>
        </row>
        <row r="43">
          <cell r="H43">
            <v>0</v>
          </cell>
        </row>
        <row r="44">
          <cell r="H44">
            <v>0</v>
          </cell>
        </row>
        <row r="45">
          <cell r="H45">
            <v>41912</v>
          </cell>
        </row>
      </sheetData>
      <sheetData sheetId="4"/>
      <sheetData sheetId="5"/>
      <sheetData sheetId="6"/>
      <sheetData sheetId="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LGAS III-2014"/>
    </sheetNames>
    <sheetDataSet>
      <sheetData sheetId="0">
        <row r="12">
          <cell r="B12">
            <v>105.38300000000001</v>
          </cell>
          <cell r="AQ12">
            <v>193.95299999999997</v>
          </cell>
        </row>
        <row r="16">
          <cell r="B16">
            <v>181.76</v>
          </cell>
          <cell r="AQ16">
            <v>351.60599999999999</v>
          </cell>
        </row>
        <row r="20">
          <cell r="B20">
            <v>0</v>
          </cell>
          <cell r="AQ20">
            <v>283.77999999999997</v>
          </cell>
        </row>
        <row r="24">
          <cell r="B24">
            <v>0</v>
          </cell>
          <cell r="AQ24">
            <v>406.58299999999997</v>
          </cell>
        </row>
        <row r="57">
          <cell r="AQ57">
            <v>8785.4719999999998</v>
          </cell>
        </row>
        <row r="61">
          <cell r="B61">
            <v>1057.643</v>
          </cell>
          <cell r="AQ61">
            <v>22146.595000000001</v>
          </cell>
        </row>
        <row r="65">
          <cell r="B65">
            <v>454.71600000000001</v>
          </cell>
          <cell r="AQ65">
            <v>13907.895</v>
          </cell>
        </row>
        <row r="69">
          <cell r="B69">
            <v>0</v>
          </cell>
          <cell r="AQ69">
            <v>12904.683999999999</v>
          </cell>
        </row>
        <row r="73">
          <cell r="B73">
            <v>0</v>
          </cell>
        </row>
        <row r="101">
          <cell r="AQ101">
            <v>1610.2049999999999</v>
          </cell>
        </row>
        <row r="105">
          <cell r="AQ105">
            <v>2119.7749999999996</v>
          </cell>
        </row>
        <row r="106">
          <cell r="B106">
            <v>0</v>
          </cell>
        </row>
        <row r="109">
          <cell r="AQ109">
            <v>3514.549</v>
          </cell>
        </row>
        <row r="110">
          <cell r="B110">
            <v>0</v>
          </cell>
        </row>
        <row r="113">
          <cell r="AQ113">
            <v>2817.2440000000001</v>
          </cell>
        </row>
        <row r="114">
          <cell r="B114">
            <v>0</v>
          </cell>
        </row>
        <row r="118">
          <cell r="B118">
            <v>0</v>
          </cell>
        </row>
        <row r="147">
          <cell r="AQ147">
            <v>1021.7740000000001</v>
          </cell>
        </row>
        <row r="149">
          <cell r="B149">
            <v>4669.4430000000002</v>
          </cell>
        </row>
        <row r="151">
          <cell r="AQ151">
            <v>737.505</v>
          </cell>
        </row>
        <row r="153">
          <cell r="B153">
            <v>1490.7429999999995</v>
          </cell>
        </row>
        <row r="155">
          <cell r="AQ155">
            <v>1209.4319999999998</v>
          </cell>
        </row>
        <row r="157">
          <cell r="B157">
            <v>0</v>
          </cell>
        </row>
        <row r="159">
          <cell r="AQ159">
            <v>1554.0040000000001</v>
          </cell>
        </row>
        <row r="161">
          <cell r="B161">
            <v>0</v>
          </cell>
        </row>
        <row r="194">
          <cell r="B194">
            <v>3128.5480000000007</v>
          </cell>
        </row>
        <row r="198">
          <cell r="B198">
            <v>1427.9589999999998</v>
          </cell>
        </row>
        <row r="202">
          <cell r="B202">
            <v>0</v>
          </cell>
        </row>
        <row r="206">
          <cell r="B206">
            <v>0</v>
          </cell>
        </row>
        <row r="238">
          <cell r="B238">
            <v>681.85799999999995</v>
          </cell>
        </row>
        <row r="242">
          <cell r="B242">
            <v>550.65000000000009</v>
          </cell>
        </row>
        <row r="246">
          <cell r="B246">
            <v>0</v>
          </cell>
        </row>
        <row r="250">
          <cell r="B250">
            <v>0</v>
          </cell>
        </row>
        <row r="282">
          <cell r="B282">
            <v>704.7170000000001</v>
          </cell>
        </row>
        <row r="286">
          <cell r="B286">
            <v>48.884999999999998</v>
          </cell>
        </row>
        <row r="290">
          <cell r="B290">
            <v>0</v>
          </cell>
        </row>
        <row r="294">
          <cell r="B294">
            <v>0</v>
          </cell>
        </row>
        <row r="328">
          <cell r="B328">
            <v>752.90199999999993</v>
          </cell>
        </row>
        <row r="332">
          <cell r="B332">
            <v>21.18</v>
          </cell>
        </row>
        <row r="336">
          <cell r="B336">
            <v>0</v>
          </cell>
        </row>
        <row r="340">
          <cell r="B340">
            <v>0</v>
          </cell>
        </row>
        <row r="373">
          <cell r="B373">
            <v>6.9</v>
          </cell>
        </row>
        <row r="377">
          <cell r="B377">
            <v>2</v>
          </cell>
        </row>
        <row r="381">
          <cell r="B381">
            <v>0</v>
          </cell>
        </row>
        <row r="385">
          <cell r="B385">
            <v>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0.v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11.v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sheetPr>
    <tabColor rgb="FFFF0000"/>
  </sheetPr>
  <dimension ref="A1:J16"/>
  <sheetViews>
    <sheetView workbookViewId="0">
      <selection activeCell="B33" sqref="B33"/>
    </sheetView>
  </sheetViews>
  <sheetFormatPr baseColWidth="10" defaultRowHeight="13.2"/>
  <cols>
    <col min="1" max="1" width="17.88671875" customWidth="1"/>
    <col min="2" max="2" width="22.33203125" customWidth="1"/>
    <col min="3" max="3" width="13.44140625" bestFit="1" customWidth="1"/>
    <col min="4" max="4" width="16.88671875" customWidth="1"/>
    <col min="5" max="5" width="11.6640625" customWidth="1"/>
    <col min="6" max="6" width="14.109375" customWidth="1"/>
    <col min="7" max="7" width="14.33203125" customWidth="1"/>
    <col min="8" max="8" width="13.88671875" customWidth="1"/>
  </cols>
  <sheetData>
    <row r="1" spans="1:10" ht="13.8" thickBot="1"/>
    <row r="2" spans="1:10" ht="87" customHeight="1">
      <c r="A2" s="3722" t="s">
        <v>733</v>
      </c>
      <c r="B2" s="3723"/>
      <c r="C2" s="3723"/>
      <c r="D2" s="3723"/>
      <c r="E2" s="3723"/>
      <c r="F2" s="3723"/>
      <c r="G2" s="3724"/>
    </row>
    <row r="3" spans="1:10" ht="15">
      <c r="A3" s="3725">
        <v>42016</v>
      </c>
      <c r="B3" s="3726"/>
      <c r="C3" s="3726"/>
      <c r="D3" s="3726"/>
      <c r="E3" s="3726"/>
      <c r="F3" s="3726"/>
      <c r="G3" s="3727"/>
    </row>
    <row r="4" spans="1:10" ht="53.25" customHeight="1" thickBot="1">
      <c r="A4" s="1246" t="s">
        <v>0</v>
      </c>
      <c r="B4" s="1247" t="s">
        <v>1</v>
      </c>
      <c r="C4" s="1248" t="s">
        <v>2</v>
      </c>
      <c r="D4" s="1248" t="s">
        <v>3</v>
      </c>
      <c r="E4" s="1248" t="s">
        <v>4</v>
      </c>
      <c r="F4" s="1248" t="s">
        <v>734</v>
      </c>
      <c r="G4" s="1249" t="s">
        <v>120</v>
      </c>
      <c r="H4" s="1249" t="s">
        <v>99</v>
      </c>
    </row>
    <row r="5" spans="1:10" ht="15">
      <c r="A5" s="1678" t="s">
        <v>5</v>
      </c>
      <c r="B5" s="1625" t="s">
        <v>556</v>
      </c>
      <c r="C5" s="1626">
        <f>+SUM(Global!C17+Global!C18+Global!C19+Global!C22+Global!C23+Global!C24+Global!C25)</f>
        <v>12564</v>
      </c>
      <c r="D5" s="1626">
        <f>+SUM(Global!D17+Global!D18+Global!D19+Global!D22+Global!D23+Global!D24+Global!D25)</f>
        <v>14225.728119300002</v>
      </c>
      <c r="E5" s="1626">
        <f t="shared" ref="E5:E10" si="0">+C5-D5</f>
        <v>-1661.7281193000017</v>
      </c>
      <c r="F5" s="1627">
        <f>+D5/C5</f>
        <v>1.132261072851003</v>
      </c>
      <c r="G5" s="1627"/>
      <c r="H5" s="1628"/>
    </row>
    <row r="6" spans="1:10" ht="15.6" thickBot="1">
      <c r="A6" s="1679"/>
      <c r="B6" s="1617" t="s">
        <v>555</v>
      </c>
      <c r="C6" s="1629">
        <f>+(Global!C20+Global!C21+Global!C26+Global!C27)</f>
        <v>13329</v>
      </c>
      <c r="D6" s="1629">
        <f>+(Global!D20+Global!D21+Global!D26+Global!D27)</f>
        <v>5218.4600000000009</v>
      </c>
      <c r="E6" s="1629">
        <f>+C6-D6</f>
        <v>8110.5399999999991</v>
      </c>
      <c r="F6" s="1630">
        <f t="shared" ref="F6:F11" si="1">+D6/C6</f>
        <v>0.39151174131592775</v>
      </c>
      <c r="G6" s="1630"/>
      <c r="H6" s="1631"/>
      <c r="J6" s="1680"/>
    </row>
    <row r="7" spans="1:10" ht="15">
      <c r="A7" s="1676" t="s">
        <v>8</v>
      </c>
      <c r="B7" s="1632" t="s">
        <v>556</v>
      </c>
      <c r="C7" s="1633">
        <f>+SUM(Global!C6+Global!C7+Global!C8+Global!C11+Global!C14)</f>
        <v>138061</v>
      </c>
      <c r="D7" s="1633">
        <f>+SUM(Global!D6+Global!D7+Global!D8+Global!D11+Global!D14)</f>
        <v>125398.82499999998</v>
      </c>
      <c r="E7" s="1633">
        <f>+C7-D7</f>
        <v>12662.175000000017</v>
      </c>
      <c r="F7" s="1634">
        <f t="shared" si="1"/>
        <v>0.90828564909713805</v>
      </c>
      <c r="G7" s="1634"/>
      <c r="H7" s="1635"/>
      <c r="I7" s="82"/>
    </row>
    <row r="8" spans="1:10" ht="15.6" thickBot="1">
      <c r="A8" s="1677"/>
      <c r="B8" s="1636" t="s">
        <v>555</v>
      </c>
      <c r="C8" s="1637">
        <f>+SUM(Global!C9+Global!C10+Global!C12+Global!C13+Global!C15+Global!C16)</f>
        <v>30387</v>
      </c>
      <c r="D8" s="1681">
        <f>+SUM(Global!D9+Global!D10+Global!D12+Global!D13+Global!D15+Global!D16)</f>
        <v>28280.452000000005</v>
      </c>
      <c r="E8" s="1637">
        <f t="shared" si="0"/>
        <v>2106.5479999999952</v>
      </c>
      <c r="F8" s="1638">
        <f t="shared" si="1"/>
        <v>0.93067601276861833</v>
      </c>
      <c r="G8" s="1639"/>
      <c r="H8" s="1640"/>
    </row>
    <row r="9" spans="1:10" ht="15" customHeight="1">
      <c r="A9" s="1674" t="s">
        <v>9</v>
      </c>
      <c r="B9" s="1641" t="s">
        <v>556</v>
      </c>
      <c r="C9" s="1642">
        <f>+SUM(Global!C33+Global!C36)</f>
        <v>7920</v>
      </c>
      <c r="D9" s="1642">
        <f>+SUM(Global!D33+Global!D36)</f>
        <v>7771.9490000000005</v>
      </c>
      <c r="E9" s="1642">
        <f t="shared" si="0"/>
        <v>148.05099999999948</v>
      </c>
      <c r="F9" s="1643">
        <f t="shared" si="1"/>
        <v>0.98130669191919195</v>
      </c>
      <c r="G9" s="1643"/>
      <c r="H9" s="1644"/>
      <c r="I9" s="82"/>
    </row>
    <row r="10" spans="1:10" ht="15.6" thickBot="1">
      <c r="A10" s="1675"/>
      <c r="B10" s="1645" t="s">
        <v>555</v>
      </c>
      <c r="C10" s="1646">
        <f>+SUM(Global!C32+Global!C34+Global!C35+Global!C37+Global!C38)</f>
        <v>434018</v>
      </c>
      <c r="D10" s="1646">
        <f>+SUM(Global!D32+Global!D34+Global!D35+Global!D37+Global!D38)</f>
        <v>393858.99449999991</v>
      </c>
      <c r="E10" s="1646">
        <f t="shared" si="0"/>
        <v>40159.005500000087</v>
      </c>
      <c r="F10" s="1647">
        <f t="shared" si="1"/>
        <v>0.90747156684745778</v>
      </c>
      <c r="G10" s="1648"/>
      <c r="H10" s="1649"/>
    </row>
    <row r="11" spans="1:10" ht="15" customHeight="1">
      <c r="A11" s="1672" t="s">
        <v>14</v>
      </c>
      <c r="B11" s="1650" t="s">
        <v>556</v>
      </c>
      <c r="C11" s="1651">
        <f>+Global!C28+Global!C29+Global!C30+Global!C31</f>
        <v>1242</v>
      </c>
      <c r="D11" s="1651">
        <f>+Global!D28+Global!D29+Global!D30+Global!D31</f>
        <v>141.66400000000002</v>
      </c>
      <c r="E11" s="1651">
        <f t="shared" ref="E11" si="2">+C11-D11</f>
        <v>1100.336</v>
      </c>
      <c r="F11" s="1652">
        <f t="shared" si="1"/>
        <v>0.11406119162640903</v>
      </c>
      <c r="G11" s="1652"/>
      <c r="H11" s="1653"/>
    </row>
    <row r="12" spans="1:10" ht="15" customHeight="1" thickBot="1">
      <c r="A12" s="1673"/>
      <c r="B12" s="1654" t="s">
        <v>555</v>
      </c>
      <c r="C12" s="1655"/>
      <c r="D12" s="1655"/>
      <c r="E12" s="1656"/>
      <c r="F12" s="1657"/>
      <c r="G12" s="1658"/>
      <c r="H12" s="1659"/>
    </row>
    <row r="13" spans="1:10" ht="15">
      <c r="A13" s="1670" t="s">
        <v>329</v>
      </c>
      <c r="B13" s="1660" t="s">
        <v>556</v>
      </c>
      <c r="C13" s="1661">
        <f>+Global!C39+Global!C40</f>
        <v>30293</v>
      </c>
      <c r="D13" s="1661">
        <f>+Global!D39+Global!D40</f>
        <v>26834.114000000001</v>
      </c>
      <c r="E13" s="1661">
        <f t="shared" ref="E13" si="3">+C13-D13</f>
        <v>3458.8859999999986</v>
      </c>
      <c r="F13" s="1662">
        <f t="shared" ref="F13" si="4">+D13/C13</f>
        <v>0.88581896807843397</v>
      </c>
      <c r="G13" s="1662"/>
      <c r="H13" s="1663"/>
    </row>
    <row r="14" spans="1:10" ht="15.6" thickBot="1">
      <c r="A14" s="1671"/>
      <c r="B14" s="1664" t="s">
        <v>555</v>
      </c>
      <c r="C14" s="1665"/>
      <c r="D14" s="1665"/>
      <c r="E14" s="1666"/>
      <c r="F14" s="1667"/>
      <c r="G14" s="1668"/>
      <c r="H14" s="1669"/>
    </row>
    <row r="16" spans="1:10">
      <c r="D16" s="86"/>
    </row>
  </sheetData>
  <mergeCells count="2">
    <mergeCell ref="A2:G2"/>
    <mergeCell ref="A3:G3"/>
  </mergeCells>
  <phoneticPr fontId="0" type="noConversion"/>
  <pageMargins left="0.75" right="0.75" top="1" bottom="1" header="0" footer="0"/>
  <pageSetup paperSize="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sheetPr>
    <tabColor rgb="FF00B050"/>
    <pageSetUpPr fitToPage="1"/>
  </sheetPr>
  <dimension ref="A2:DA386"/>
  <sheetViews>
    <sheetView workbookViewId="0">
      <selection activeCell="J12" sqref="J12"/>
    </sheetView>
  </sheetViews>
  <sheetFormatPr baseColWidth="10" defaultRowHeight="13.2"/>
  <cols>
    <col min="1" max="1" width="24.5546875" bestFit="1" customWidth="1"/>
    <col min="2" max="2" width="22.6640625" bestFit="1" customWidth="1"/>
    <col min="3" max="3" width="14.5546875" bestFit="1" customWidth="1"/>
    <col min="4" max="4" width="19.109375" bestFit="1" customWidth="1"/>
    <col min="5" max="5" width="18" bestFit="1" customWidth="1"/>
    <col min="6" max="7" width="20.6640625" bestFit="1" customWidth="1"/>
  </cols>
  <sheetData>
    <row r="2" spans="1:105" ht="15">
      <c r="A2" s="3736" t="s">
        <v>1616</v>
      </c>
      <c r="B2" s="3737"/>
      <c r="C2" s="3737"/>
      <c r="D2" s="3737"/>
      <c r="E2" s="3737"/>
      <c r="F2" s="3738"/>
      <c r="G2" s="127"/>
    </row>
    <row r="3" spans="1:105" ht="77.25" customHeight="1">
      <c r="A3" s="3733">
        <v>42016</v>
      </c>
      <c r="B3" s="3734"/>
      <c r="C3" s="3734"/>
      <c r="D3" s="3734"/>
      <c r="E3" s="3734"/>
      <c r="F3" s="3735"/>
      <c r="G3" s="2064"/>
      <c r="H3" s="2065"/>
      <c r="I3" s="2065"/>
      <c r="J3" s="2065"/>
      <c r="K3" s="2065"/>
      <c r="L3" s="2065"/>
      <c r="M3" s="2065"/>
    </row>
    <row r="4" spans="1:105" ht="15.75" customHeight="1">
      <c r="A4" s="1"/>
      <c r="B4" s="2"/>
      <c r="C4" s="3"/>
      <c r="D4" s="4"/>
      <c r="E4" s="4"/>
      <c r="F4" s="1"/>
      <c r="G4" s="1"/>
    </row>
    <row r="5" spans="1:105" ht="30">
      <c r="A5" s="70" t="s">
        <v>0</v>
      </c>
      <c r="B5" s="70" t="s">
        <v>1</v>
      </c>
      <c r="C5" s="80" t="s">
        <v>2</v>
      </c>
      <c r="D5" s="80" t="s">
        <v>3</v>
      </c>
      <c r="E5" s="80" t="s">
        <v>4</v>
      </c>
      <c r="F5" s="2231" t="s">
        <v>734</v>
      </c>
      <c r="G5" s="2231" t="s">
        <v>552</v>
      </c>
    </row>
    <row r="6" spans="1:105" ht="15">
      <c r="A6" s="3739" t="s">
        <v>8</v>
      </c>
      <c r="B6" s="1607" t="s">
        <v>15</v>
      </c>
      <c r="C6" s="1730">
        <f>+'Res. Global'!C7</f>
        <v>89242</v>
      </c>
      <c r="D6" s="1608">
        <f>+'Res. Global'!H7</f>
        <v>89200.677999999985</v>
      </c>
      <c r="E6" s="1608">
        <f t="shared" ref="E6:E25" si="0">+C6-D6</f>
        <v>41.322000000014668</v>
      </c>
      <c r="F6" s="1609">
        <f t="shared" ref="F6:F25" si="1">+D6/C6</f>
        <v>0.99953696689899363</v>
      </c>
      <c r="G6" s="1610"/>
    </row>
    <row r="7" spans="1:105" ht="15">
      <c r="A7" s="3740"/>
      <c r="B7" s="1607" t="s">
        <v>11</v>
      </c>
      <c r="C7" s="1730">
        <f>+'Res. Global'!C9</f>
        <v>30704</v>
      </c>
      <c r="D7" s="1608">
        <f>+'Res. Global'!H9</f>
        <v>24018.544000000002</v>
      </c>
      <c r="E7" s="1608">
        <f t="shared" si="0"/>
        <v>6685.4559999999983</v>
      </c>
      <c r="F7" s="1609">
        <f t="shared" si="1"/>
        <v>0.78226107347576868</v>
      </c>
      <c r="G7" s="1610"/>
    </row>
    <row r="8" spans="1:105" ht="15">
      <c r="A8" s="3740"/>
      <c r="B8" s="1607" t="s">
        <v>6</v>
      </c>
      <c r="C8" s="1730">
        <f>+'Res. Global'!C11</f>
        <v>17702</v>
      </c>
      <c r="D8" s="1608">
        <f>+'Res. Global'!H11</f>
        <v>12041.708000000001</v>
      </c>
      <c r="E8" s="1608">
        <f>+C8-D8</f>
        <v>5660.2919999999995</v>
      </c>
      <c r="F8" s="1609">
        <f t="shared" si="1"/>
        <v>0.68024562196361993</v>
      </c>
      <c r="G8" s="1610"/>
    </row>
    <row r="9" spans="1:105" ht="15">
      <c r="A9" s="3740"/>
      <c r="B9" s="1612" t="s">
        <v>566</v>
      </c>
      <c r="C9" s="1731">
        <f>+'Res. Global'!C13</f>
        <v>7586</v>
      </c>
      <c r="D9" s="1613">
        <f>+'Res. Global'!H13</f>
        <v>7221.1779999999999</v>
      </c>
      <c r="E9" s="1613">
        <f t="shared" si="0"/>
        <v>364.82200000000012</v>
      </c>
      <c r="F9" s="1614">
        <f t="shared" si="1"/>
        <v>0.95190851568679147</v>
      </c>
      <c r="G9" s="1615"/>
    </row>
    <row r="10" spans="1:105" s="1520" customFormat="1" ht="15">
      <c r="A10" s="3740"/>
      <c r="B10" s="1612" t="s">
        <v>567</v>
      </c>
      <c r="C10" s="1731">
        <f>+'Res. Global'!C15</f>
        <v>2003</v>
      </c>
      <c r="D10" s="1613">
        <f>+'Res. Global'!H15</f>
        <v>2156.3959999999997</v>
      </c>
      <c r="E10" s="1613">
        <f t="shared" ref="E10" si="2">+C10-D10</f>
        <v>-153.39599999999973</v>
      </c>
      <c r="F10" s="1614">
        <f t="shared" ref="F10" si="3">+D10/C10</f>
        <v>1.0765831253120317</v>
      </c>
      <c r="G10" s="1615"/>
      <c r="DA10" s="1521"/>
    </row>
    <row r="11" spans="1:105" ht="15">
      <c r="A11" s="3740"/>
      <c r="B11" s="1607" t="s">
        <v>16</v>
      </c>
      <c r="C11" s="1730">
        <f>+'Res. Global'!C18</f>
        <v>13</v>
      </c>
      <c r="D11" s="1608">
        <f>+'Res. Global'!H18</f>
        <v>0</v>
      </c>
      <c r="E11" s="1608">
        <f t="shared" si="0"/>
        <v>13</v>
      </c>
      <c r="F11" s="1609">
        <f t="shared" si="1"/>
        <v>0</v>
      </c>
      <c r="G11" s="1610"/>
    </row>
    <row r="12" spans="1:105" s="1106" customFormat="1" ht="15">
      <c r="A12" s="3740"/>
      <c r="B12" s="1612" t="s">
        <v>568</v>
      </c>
      <c r="C12" s="1731">
        <f>+'Res. Global'!C21</f>
        <v>214</v>
      </c>
      <c r="D12" s="1613">
        <f>+'Res. Global'!H21</f>
        <v>192.185</v>
      </c>
      <c r="E12" s="1613">
        <f t="shared" si="0"/>
        <v>21.814999999999998</v>
      </c>
      <c r="F12" s="1614">
        <f t="shared" si="1"/>
        <v>0.89806074766355137</v>
      </c>
      <c r="G12" s="1615"/>
      <c r="I12" s="1606"/>
    </row>
    <row r="13" spans="1:105" s="1520" customFormat="1" ht="15">
      <c r="A13" s="3740"/>
      <c r="B13" s="1612" t="s">
        <v>1657</v>
      </c>
      <c r="C13" s="1731">
        <f>+'Res. Global'!C24</f>
        <v>16688</v>
      </c>
      <c r="D13" s="1613">
        <f>+'Res. Global'!H24</f>
        <v>17537.687000000002</v>
      </c>
      <c r="E13" s="1613">
        <f t="shared" ref="E13" si="4">+C13-D13</f>
        <v>-849.68700000000172</v>
      </c>
      <c r="F13" s="1614">
        <f t="shared" ref="F13" si="5">+D13/C13</f>
        <v>1.0509160474592523</v>
      </c>
      <c r="G13" s="1615"/>
    </row>
    <row r="14" spans="1:105" ht="15">
      <c r="A14" s="3740"/>
      <c r="B14" s="1607" t="s">
        <v>12</v>
      </c>
      <c r="C14" s="1730">
        <f>+'Res. Global'!C26</f>
        <v>400</v>
      </c>
      <c r="D14" s="1608">
        <f>+'Res. Global'!H26</f>
        <v>137.89499999999998</v>
      </c>
      <c r="E14" s="1611">
        <f t="shared" si="0"/>
        <v>262.10500000000002</v>
      </c>
      <c r="F14" s="1609">
        <f t="shared" si="1"/>
        <v>0.34473749999999997</v>
      </c>
      <c r="G14" s="1610"/>
    </row>
    <row r="15" spans="1:105" s="1520" customFormat="1" ht="15">
      <c r="A15" s="3740"/>
      <c r="B15" s="1612" t="s">
        <v>570</v>
      </c>
      <c r="C15" s="1731">
        <f>+'Res. Global'!C29</f>
        <v>2411</v>
      </c>
      <c r="D15" s="1613">
        <f>+'Res. Global'!H29</f>
        <v>880.81100000000015</v>
      </c>
      <c r="E15" s="1616">
        <f t="shared" ref="E15" si="6">+C15-D15</f>
        <v>1530.1889999999999</v>
      </c>
      <c r="F15" s="1614">
        <f t="shared" ref="F15" si="7">+D15/C15</f>
        <v>0.36533015346329328</v>
      </c>
      <c r="G15" s="1615"/>
    </row>
    <row r="16" spans="1:105" s="1520" customFormat="1" ht="15">
      <c r="A16" s="3741"/>
      <c r="B16" s="1612" t="s">
        <v>571</v>
      </c>
      <c r="C16" s="1731">
        <f>+'Res. Global'!C32</f>
        <v>1485</v>
      </c>
      <c r="D16" s="1613">
        <f>+'Res. Global'!H32</f>
        <v>292.19499999999999</v>
      </c>
      <c r="E16" s="1616">
        <f t="shared" ref="E16" si="8">+C16-D16</f>
        <v>1192.8050000000001</v>
      </c>
      <c r="F16" s="1614">
        <f t="shared" ref="F16" si="9">+D16/C16</f>
        <v>0.19676430976430975</v>
      </c>
      <c r="G16" s="1615"/>
    </row>
    <row r="17" spans="1:10" ht="15">
      <c r="A17" s="3742" t="s">
        <v>5</v>
      </c>
      <c r="B17" s="1524" t="s">
        <v>15</v>
      </c>
      <c r="C17" s="1732">
        <f>+'Res. Global'!C34</f>
        <v>991</v>
      </c>
      <c r="D17" s="1738">
        <f>+'Res. Global'!H34</f>
        <v>156.78700000000001</v>
      </c>
      <c r="E17" s="1527">
        <f>+C17-D17</f>
        <v>834.21299999999997</v>
      </c>
      <c r="F17" s="1525">
        <f t="shared" si="1"/>
        <v>0.15821089808274472</v>
      </c>
      <c r="G17" s="1526"/>
    </row>
    <row r="18" spans="1:10" ht="15">
      <c r="A18" s="3743"/>
      <c r="B18" s="1524" t="s">
        <v>11</v>
      </c>
      <c r="C18" s="1732">
        <f>+'Res. Global'!C36</f>
        <v>991</v>
      </c>
      <c r="D18" s="1738">
        <f>+'Res. Global'!H36</f>
        <v>1165.5370000000003</v>
      </c>
      <c r="E18" s="1527">
        <f t="shared" si="0"/>
        <v>-174.53700000000026</v>
      </c>
      <c r="F18" s="1525">
        <f t="shared" si="1"/>
        <v>1.1761220988900103</v>
      </c>
      <c r="G18" s="1526"/>
    </row>
    <row r="19" spans="1:10" ht="15">
      <c r="A19" s="3743"/>
      <c r="B19" s="1524" t="s">
        <v>6</v>
      </c>
      <c r="C19" s="1732">
        <f>+'Res. Global'!C38</f>
        <v>4109</v>
      </c>
      <c r="D19" s="1738">
        <f>+'Res. Global'!H38</f>
        <v>3929.5381200000011</v>
      </c>
      <c r="E19" s="1527">
        <f t="shared" si="0"/>
        <v>179.46187999999893</v>
      </c>
      <c r="F19" s="1525">
        <f>+D19/C19</f>
        <v>0.95632468240447821</v>
      </c>
      <c r="G19" s="1526"/>
    </row>
    <row r="20" spans="1:10" ht="15">
      <c r="A20" s="3743"/>
      <c r="B20" s="1617" t="s">
        <v>566</v>
      </c>
      <c r="C20" s="1629">
        <f>+'Res. Global'!C40</f>
        <v>6205</v>
      </c>
      <c r="D20" s="1739">
        <f>+'Res. Global'!H40</f>
        <v>3795.7530000000006</v>
      </c>
      <c r="E20" s="1618">
        <f t="shared" si="0"/>
        <v>2409.2469999999994</v>
      </c>
      <c r="F20" s="1619">
        <f t="shared" si="1"/>
        <v>0.61172489927477847</v>
      </c>
      <c r="G20" s="1620"/>
    </row>
    <row r="21" spans="1:10" s="1245" customFormat="1" ht="15">
      <c r="A21" s="3743"/>
      <c r="B21" s="1617" t="s">
        <v>567</v>
      </c>
      <c r="C21" s="1629">
        <f>+'Res. Global'!C42</f>
        <v>1526</v>
      </c>
      <c r="D21" s="1739">
        <f>+'Res. Global'!H42</f>
        <v>1378.779</v>
      </c>
      <c r="E21" s="1618">
        <f t="shared" ref="E21" si="10">+C21-D21</f>
        <v>147.221</v>
      </c>
      <c r="F21" s="1619">
        <f t="shared" ref="F21" si="11">+D21/C21</f>
        <v>0.90352490170380073</v>
      </c>
      <c r="G21" s="1620"/>
    </row>
    <row r="22" spans="1:10" ht="15">
      <c r="A22" s="3743"/>
      <c r="B22" s="1524" t="s">
        <v>16</v>
      </c>
      <c r="C22" s="1732">
        <f>+'Res. Global'!C44</f>
        <v>12</v>
      </c>
      <c r="D22" s="1738">
        <f>+'Res. Global'!H44</f>
        <v>0.51600000000000001</v>
      </c>
      <c r="E22" s="1527">
        <f t="shared" si="0"/>
        <v>11.484</v>
      </c>
      <c r="F22" s="1525">
        <f t="shared" si="1"/>
        <v>4.3000000000000003E-2</v>
      </c>
      <c r="G22" s="1526"/>
    </row>
    <row r="23" spans="1:10" s="1106" customFormat="1" ht="15">
      <c r="A23" s="3743"/>
      <c r="B23" s="1524" t="s">
        <v>17</v>
      </c>
      <c r="C23" s="1732">
        <f>+'Res. Global'!C46</f>
        <v>96</v>
      </c>
      <c r="D23" s="1738">
        <f>+'Res. Global'!H46</f>
        <v>51.319999999999993</v>
      </c>
      <c r="E23" s="1527">
        <f t="shared" si="0"/>
        <v>44.680000000000007</v>
      </c>
      <c r="F23" s="1525">
        <f t="shared" si="1"/>
        <v>0.5345833333333333</v>
      </c>
      <c r="G23" s="1526"/>
    </row>
    <row r="24" spans="1:10" s="1106" customFormat="1" ht="15">
      <c r="A24" s="3743"/>
      <c r="B24" s="1524" t="s">
        <v>7</v>
      </c>
      <c r="C24" s="1732">
        <f>+'Res. Global'!C48</f>
        <v>6225</v>
      </c>
      <c r="D24" s="1738">
        <f>+'Res. Global'!H48</f>
        <v>8922.0299993000008</v>
      </c>
      <c r="E24" s="1527">
        <f t="shared" si="0"/>
        <v>-2697.0299993000008</v>
      </c>
      <c r="F24" s="1525">
        <f t="shared" si="1"/>
        <v>1.4332578312128514</v>
      </c>
      <c r="G24" s="1526"/>
    </row>
    <row r="25" spans="1:10" s="1106" customFormat="1" ht="15">
      <c r="A25" s="3743"/>
      <c r="B25" s="1524" t="s">
        <v>12</v>
      </c>
      <c r="C25" s="1732">
        <f>+'Res. Global'!C50</f>
        <v>140</v>
      </c>
      <c r="D25" s="1738">
        <f>+'Res. Global'!H50</f>
        <v>0</v>
      </c>
      <c r="E25" s="1527">
        <f t="shared" si="0"/>
        <v>140</v>
      </c>
      <c r="F25" s="1525">
        <f t="shared" si="1"/>
        <v>0</v>
      </c>
      <c r="G25" s="1526"/>
    </row>
    <row r="26" spans="1:10" s="1106" customFormat="1" ht="15">
      <c r="A26" s="3743"/>
      <c r="B26" s="1617" t="s">
        <v>570</v>
      </c>
      <c r="C26" s="1629">
        <f>+'Res. Global'!C52</f>
        <v>728</v>
      </c>
      <c r="D26" s="1739">
        <f>+'Res. Global'!H52</f>
        <v>1.4999999999999999E-2</v>
      </c>
      <c r="E26" s="1618">
        <f t="shared" ref="E26:E27" si="12">+C26-D26</f>
        <v>727.98500000000001</v>
      </c>
      <c r="F26" s="1619">
        <f t="shared" ref="F26:F27" si="13">+D26/C26</f>
        <v>2.0604395604395604E-5</v>
      </c>
      <c r="G26" s="1620"/>
      <c r="J26"/>
    </row>
    <row r="27" spans="1:10" s="1106" customFormat="1" ht="15">
      <c r="A27" s="3744"/>
      <c r="B27" s="1617" t="s">
        <v>571</v>
      </c>
      <c r="C27" s="1629">
        <f>+'Res. Global'!C54</f>
        <v>4870</v>
      </c>
      <c r="D27" s="1739">
        <f>+'Res. Global'!H54</f>
        <v>43.912999999999997</v>
      </c>
      <c r="E27" s="1618">
        <f t="shared" si="12"/>
        <v>4826.0870000000004</v>
      </c>
      <c r="F27" s="1619">
        <f t="shared" si="13"/>
        <v>9.0170431211498963E-3</v>
      </c>
      <c r="G27" s="1620"/>
    </row>
    <row r="28" spans="1:10" ht="15">
      <c r="A28" s="3745" t="s">
        <v>14</v>
      </c>
      <c r="B28" s="1532" t="s">
        <v>15</v>
      </c>
      <c r="C28" s="1733">
        <f>+'Res. Global'!C56</f>
        <v>186</v>
      </c>
      <c r="D28" s="1740">
        <f>+'Res. Global'!H56</f>
        <v>0.85</v>
      </c>
      <c r="E28" s="1533">
        <f t="shared" ref="E28:E39" si="14">+C28-D28</f>
        <v>185.15</v>
      </c>
      <c r="F28" s="1534">
        <f t="shared" ref="F28:F39" si="15">+D28/C28</f>
        <v>4.5698924731182797E-3</v>
      </c>
      <c r="G28" s="1535"/>
    </row>
    <row r="29" spans="1:10" ht="15">
      <c r="A29" s="3746"/>
      <c r="B29" s="1532" t="s">
        <v>11</v>
      </c>
      <c r="C29" s="1733">
        <f>+'Res. Global'!C58</f>
        <v>706</v>
      </c>
      <c r="D29" s="1740">
        <f>+'Res. Global'!H58</f>
        <v>139.12</v>
      </c>
      <c r="E29" s="1533">
        <f t="shared" si="14"/>
        <v>566.88</v>
      </c>
      <c r="F29" s="1534">
        <f t="shared" si="15"/>
        <v>0.19705382436260624</v>
      </c>
      <c r="G29" s="1535"/>
      <c r="I29">
        <v>186</v>
      </c>
    </row>
    <row r="30" spans="1:10" ht="15">
      <c r="A30" s="3746"/>
      <c r="B30" s="1532" t="s">
        <v>6</v>
      </c>
      <c r="C30" s="1733">
        <f>+'Res. Global'!C60</f>
        <v>245</v>
      </c>
      <c r="D30" s="1740">
        <f>+'Res. Global'!H60</f>
        <v>1.5620000000000001</v>
      </c>
      <c r="E30" s="1533">
        <f t="shared" si="14"/>
        <v>243.43799999999999</v>
      </c>
      <c r="F30" s="1534">
        <f t="shared" si="15"/>
        <v>6.3755102040816327E-3</v>
      </c>
      <c r="G30" s="1535"/>
      <c r="I30">
        <v>706</v>
      </c>
    </row>
    <row r="31" spans="1:10" s="2227" customFormat="1" ht="15">
      <c r="A31" s="3747"/>
      <c r="B31" s="1532" t="s">
        <v>725</v>
      </c>
      <c r="C31" s="1733">
        <f>+'Res. Global'!C61</f>
        <v>105</v>
      </c>
      <c r="D31" s="1740">
        <f>+'Res. Global'!H61</f>
        <v>0.13200000000000001</v>
      </c>
      <c r="E31" s="1533">
        <f t="shared" ref="E31" si="16">+C31-D31</f>
        <v>104.86799999999999</v>
      </c>
      <c r="F31" s="1534">
        <f t="shared" ref="F31" si="17">+D31/C31</f>
        <v>1.2571428571428573E-3</v>
      </c>
      <c r="G31" s="1535"/>
      <c r="I31" s="2227">
        <v>245</v>
      </c>
    </row>
    <row r="32" spans="1:10" s="1520" customFormat="1" ht="15">
      <c r="A32" s="3728" t="s">
        <v>9</v>
      </c>
      <c r="B32" s="1528" t="s">
        <v>567</v>
      </c>
      <c r="C32" s="1735">
        <f>+'Res. Global'!C62</f>
        <v>9314</v>
      </c>
      <c r="D32" s="1741">
        <f>+'Res. Global'!H62</f>
        <v>10053.020999999999</v>
      </c>
      <c r="E32" s="1529">
        <f t="shared" ref="E32" si="18">+C32-D32</f>
        <v>-739.02099999999882</v>
      </c>
      <c r="F32" s="1530">
        <f>+D32/C32</f>
        <v>1.0793451792999784</v>
      </c>
      <c r="G32" s="1531"/>
      <c r="I32" s="1520">
        <v>105</v>
      </c>
    </row>
    <row r="33" spans="1:10" ht="15">
      <c r="A33" s="3729"/>
      <c r="B33" s="1621" t="s">
        <v>16</v>
      </c>
      <c r="C33" s="1734">
        <f>+'Res. Global'!C65</f>
        <v>146</v>
      </c>
      <c r="D33" s="1742">
        <f>+'Res. Global'!H65</f>
        <v>0</v>
      </c>
      <c r="E33" s="1622">
        <f t="shared" si="14"/>
        <v>146</v>
      </c>
      <c r="F33" s="1623">
        <f t="shared" si="15"/>
        <v>0</v>
      </c>
      <c r="G33" s="1624"/>
      <c r="I33">
        <f>SUM(I29:I32)</f>
        <v>1242</v>
      </c>
    </row>
    <row r="34" spans="1:10" s="1106" customFormat="1" ht="15">
      <c r="A34" s="3729"/>
      <c r="B34" s="1528" t="s">
        <v>568</v>
      </c>
      <c r="C34" s="1735">
        <f>+'Res. Global'!C68</f>
        <v>1923</v>
      </c>
      <c r="D34" s="1741">
        <f>+'Res. Global'!H68</f>
        <v>1703.1</v>
      </c>
      <c r="E34" s="1529">
        <f t="shared" si="14"/>
        <v>219.90000000000009</v>
      </c>
      <c r="F34" s="1530">
        <f t="shared" si="15"/>
        <v>0.88564742589703582</v>
      </c>
      <c r="G34" s="1531"/>
    </row>
    <row r="35" spans="1:10" s="1520" customFormat="1" ht="15">
      <c r="A35" s="3729"/>
      <c r="B35" s="1528" t="s">
        <v>569</v>
      </c>
      <c r="C35" s="1735">
        <f>+'Res. Global'!C71</f>
        <v>349489</v>
      </c>
      <c r="D35" s="1741">
        <f>+'Res. Global'!H71</f>
        <v>323439.11049999989</v>
      </c>
      <c r="E35" s="1529">
        <f t="shared" ref="E35" si="19">+C35-D35</f>
        <v>26049.889500000107</v>
      </c>
      <c r="F35" s="1530">
        <f t="shared" ref="F35" si="20">+D35/C35</f>
        <v>0.92546292014913167</v>
      </c>
      <c r="G35" s="1531"/>
      <c r="H35" s="62"/>
    </row>
    <row r="36" spans="1:10" ht="15">
      <c r="A36" s="3729"/>
      <c r="B36" s="1621" t="s">
        <v>12</v>
      </c>
      <c r="C36" s="1734">
        <f>+'Res. Global'!C73</f>
        <v>7774</v>
      </c>
      <c r="D36" s="1742">
        <f>+'Res. Global'!H73</f>
        <v>7771.9490000000005</v>
      </c>
      <c r="E36" s="1622">
        <f t="shared" si="14"/>
        <v>2.0509999999994761</v>
      </c>
      <c r="F36" s="1623">
        <f t="shared" si="15"/>
        <v>0.99973617185490105</v>
      </c>
      <c r="G36" s="1624"/>
      <c r="H36" s="53"/>
    </row>
    <row r="37" spans="1:10" s="1520" customFormat="1" ht="15">
      <c r="A37" s="3729"/>
      <c r="B37" s="1528" t="s">
        <v>570</v>
      </c>
      <c r="C37" s="1735">
        <f>+'Res. Global'!C76</f>
        <v>49596</v>
      </c>
      <c r="D37" s="1741">
        <f>+'Res. Global'!H76</f>
        <v>57334.998</v>
      </c>
      <c r="E37" s="1529">
        <f t="shared" ref="E37:E38" si="21">+C37-D37</f>
        <v>-7738.9979999999996</v>
      </c>
      <c r="F37" s="1530">
        <f t="shared" ref="F37:F38" si="22">+D37/C37</f>
        <v>1.1560407694168884</v>
      </c>
      <c r="G37" s="1531"/>
      <c r="H37" s="63"/>
    </row>
    <row r="38" spans="1:10" s="1520" customFormat="1" ht="15">
      <c r="A38" s="3730"/>
      <c r="B38" s="1528" t="s">
        <v>571</v>
      </c>
      <c r="C38" s="1735">
        <f>+'Res. Global'!C79</f>
        <v>23696</v>
      </c>
      <c r="D38" s="1741">
        <f>+'Res. Global'!H79</f>
        <v>1328.7649999999999</v>
      </c>
      <c r="E38" s="1529">
        <f t="shared" si="21"/>
        <v>22367.235000000001</v>
      </c>
      <c r="F38" s="1530">
        <f t="shared" si="22"/>
        <v>5.6075497974341658E-2</v>
      </c>
      <c r="G38" s="1531"/>
    </row>
    <row r="39" spans="1:10" s="1536" customFormat="1" ht="15">
      <c r="A39" s="3731" t="s">
        <v>329</v>
      </c>
      <c r="B39" s="1548" t="s">
        <v>10</v>
      </c>
      <c r="C39" s="1736">
        <f>+'Res. Global'!C81</f>
        <v>22503</v>
      </c>
      <c r="D39" s="1743">
        <f>+'Res. Global'!H81</f>
        <v>22333.784</v>
      </c>
      <c r="E39" s="1549">
        <f t="shared" si="14"/>
        <v>169.21600000000035</v>
      </c>
      <c r="F39" s="1550">
        <f t="shared" si="15"/>
        <v>0.9924802915166866</v>
      </c>
      <c r="G39" s="1551"/>
      <c r="H39" s="1680"/>
      <c r="I39" s="82"/>
      <c r="J39" s="184"/>
    </row>
    <row r="40" spans="1:10" s="1536" customFormat="1" ht="15">
      <c r="A40" s="3732"/>
      <c r="B40" s="1548" t="s">
        <v>13</v>
      </c>
      <c r="C40" s="1736">
        <f>+'Res. Global'!C83</f>
        <v>7790</v>
      </c>
      <c r="D40" s="1743">
        <f>+'Res. Global'!H83</f>
        <v>4500.33</v>
      </c>
      <c r="E40" s="1549">
        <f t="shared" ref="E40" si="23">+C40-D40</f>
        <v>3289.67</v>
      </c>
      <c r="F40" s="1550">
        <f t="shared" ref="F40" si="24">+D40/C40</f>
        <v>0.57770603337612325</v>
      </c>
      <c r="G40" s="1551"/>
      <c r="I40" s="2151"/>
    </row>
    <row r="41" spans="1:10" s="1536" customFormat="1" ht="15">
      <c r="A41" s="3400" t="s">
        <v>8</v>
      </c>
      <c r="B41" s="3400" t="s">
        <v>1538</v>
      </c>
      <c r="C41" s="3400"/>
      <c r="D41" s="3401">
        <f>+'Res. Global'!H86</f>
        <v>19380.537000000004</v>
      </c>
      <c r="E41" s="1545"/>
      <c r="F41" s="1546"/>
      <c r="G41" s="1547"/>
    </row>
    <row r="42" spans="1:10" s="1536" customFormat="1" ht="15">
      <c r="A42" s="1544"/>
      <c r="B42" s="1544"/>
      <c r="C42" s="1545"/>
      <c r="D42" s="1545"/>
      <c r="E42" s="1545"/>
      <c r="F42" s="1546"/>
      <c r="G42" s="1547"/>
      <c r="I42" s="1680"/>
      <c r="J42" s="82"/>
    </row>
    <row r="43" spans="1:10">
      <c r="A43" s="53"/>
      <c r="C43" s="81">
        <f>SUM(C6:C40)</f>
        <v>667814</v>
      </c>
      <c r="D43" s="640">
        <f>SUM(D6:D40)</f>
        <v>601730.18661929993</v>
      </c>
      <c r="E43" s="640">
        <f>SUM(E6:E40)</f>
        <v>66083.813380700129</v>
      </c>
      <c r="F43" s="81"/>
    </row>
    <row r="44" spans="1:10" ht="15">
      <c r="A44" s="53"/>
      <c r="B44" s="250" t="s">
        <v>259</v>
      </c>
      <c r="C44" s="251"/>
      <c r="D44" s="641">
        <f>+D43/C43</f>
        <v>0.90104458220297856</v>
      </c>
      <c r="E44" s="53"/>
      <c r="F44" s="83"/>
    </row>
    <row r="45" spans="1:10" ht="15">
      <c r="A45" s="53"/>
      <c r="B45" s="249" t="s">
        <v>258</v>
      </c>
      <c r="C45" s="248">
        <f>SUM(C43:C44)</f>
        <v>667814</v>
      </c>
      <c r="D45" s="54"/>
      <c r="E45" s="81"/>
    </row>
    <row r="46" spans="1:10">
      <c r="A46" s="53"/>
      <c r="C46" s="53"/>
    </row>
    <row r="47" spans="1:10">
      <c r="A47" s="53"/>
      <c r="C47" s="53"/>
    </row>
    <row r="48" spans="1:10">
      <c r="A48" s="53"/>
      <c r="C48" s="53"/>
    </row>
    <row r="49" spans="1:3">
      <c r="A49" s="53"/>
      <c r="C49" s="53"/>
    </row>
    <row r="50" spans="1:3">
      <c r="A50" s="53"/>
      <c r="C50" s="53"/>
    </row>
    <row r="51" spans="1:3">
      <c r="A51" s="53"/>
      <c r="C51" s="53"/>
    </row>
    <row r="52" spans="1:3">
      <c r="A52" s="53"/>
      <c r="C52" s="53"/>
    </row>
    <row r="53" spans="1:3">
      <c r="A53" s="53"/>
      <c r="C53" s="53"/>
    </row>
    <row r="54" spans="1:3">
      <c r="A54" s="53"/>
      <c r="C54" s="53"/>
    </row>
    <row r="55" spans="1:3">
      <c r="A55" s="53"/>
      <c r="C55" s="53"/>
    </row>
    <row r="56" spans="1:3">
      <c r="A56" s="53"/>
      <c r="C56" s="53"/>
    </row>
    <row r="57" spans="1:3">
      <c r="A57" s="53"/>
      <c r="C57" s="53"/>
    </row>
    <row r="58" spans="1:3">
      <c r="A58" s="53"/>
      <c r="C58" s="53"/>
    </row>
    <row r="59" spans="1:3">
      <c r="A59" s="53"/>
      <c r="C59" s="53"/>
    </row>
    <row r="60" spans="1:3">
      <c r="A60" s="53"/>
      <c r="C60" s="53"/>
    </row>
    <row r="61" spans="1:3">
      <c r="A61" s="53"/>
      <c r="C61" s="53"/>
    </row>
    <row r="62" spans="1:3">
      <c r="A62" s="53"/>
      <c r="C62" s="53"/>
    </row>
    <row r="63" spans="1:3">
      <c r="A63" s="53"/>
      <c r="C63" s="53"/>
    </row>
    <row r="64" spans="1:3">
      <c r="A64" s="53"/>
      <c r="C64" s="53"/>
    </row>
    <row r="65" spans="1:3">
      <c r="A65" s="53"/>
      <c r="C65" s="53"/>
    </row>
    <row r="66" spans="1:3">
      <c r="A66" s="53"/>
      <c r="C66" s="53"/>
    </row>
    <row r="67" spans="1:3">
      <c r="A67" s="53"/>
      <c r="C67" s="53"/>
    </row>
    <row r="68" spans="1:3">
      <c r="A68" s="53"/>
      <c r="C68" s="53"/>
    </row>
    <row r="69" spans="1:3">
      <c r="A69" s="53"/>
      <c r="C69" s="53"/>
    </row>
    <row r="70" spans="1:3">
      <c r="A70" s="53"/>
      <c r="C70" s="53"/>
    </row>
    <row r="71" spans="1:3">
      <c r="A71" s="53"/>
      <c r="C71" s="53"/>
    </row>
    <row r="72" spans="1:3">
      <c r="A72" s="53"/>
      <c r="C72" s="53"/>
    </row>
    <row r="73" spans="1:3">
      <c r="A73" s="53"/>
      <c r="C73" s="53"/>
    </row>
    <row r="74" spans="1:3">
      <c r="A74" s="53"/>
      <c r="C74" s="53"/>
    </row>
    <row r="75" spans="1:3">
      <c r="A75" s="53"/>
      <c r="C75" s="53"/>
    </row>
    <row r="76" spans="1:3">
      <c r="A76" s="53"/>
      <c r="C76" s="53"/>
    </row>
    <row r="77" spans="1:3">
      <c r="A77" s="53"/>
      <c r="C77" s="53"/>
    </row>
    <row r="78" spans="1:3">
      <c r="A78" s="53"/>
      <c r="C78" s="53"/>
    </row>
    <row r="79" spans="1:3">
      <c r="A79" s="53"/>
      <c r="C79" s="53"/>
    </row>
    <row r="80" spans="1:3">
      <c r="A80" s="53"/>
      <c r="C80" s="53"/>
    </row>
    <row r="81" spans="1:3">
      <c r="A81" s="53"/>
      <c r="C81" s="53"/>
    </row>
    <row r="82" spans="1:3">
      <c r="A82" s="53"/>
      <c r="C82" s="53"/>
    </row>
    <row r="83" spans="1:3">
      <c r="A83" s="53"/>
      <c r="C83" s="53"/>
    </row>
    <row r="84" spans="1:3">
      <c r="A84" s="53"/>
      <c r="C84" s="53"/>
    </row>
    <row r="85" spans="1:3">
      <c r="A85" s="53"/>
      <c r="C85" s="53"/>
    </row>
    <row r="86" spans="1:3">
      <c r="A86" s="53"/>
      <c r="C86" s="53"/>
    </row>
    <row r="87" spans="1:3">
      <c r="A87" s="53"/>
      <c r="C87" s="53"/>
    </row>
    <row r="88" spans="1:3">
      <c r="A88" s="53"/>
      <c r="C88" s="53"/>
    </row>
    <row r="89" spans="1:3">
      <c r="A89" s="53"/>
      <c r="C89" s="53"/>
    </row>
    <row r="90" spans="1:3">
      <c r="A90" s="53"/>
      <c r="C90" s="53"/>
    </row>
    <row r="91" spans="1:3">
      <c r="A91" s="53"/>
      <c r="C91" s="53"/>
    </row>
    <row r="92" spans="1:3">
      <c r="A92" s="53"/>
      <c r="C92" s="53"/>
    </row>
    <row r="93" spans="1:3">
      <c r="A93" s="53"/>
      <c r="C93" s="53"/>
    </row>
    <row r="94" spans="1:3">
      <c r="A94" s="53"/>
      <c r="C94" s="53"/>
    </row>
    <row r="95" spans="1:3">
      <c r="A95" s="53"/>
      <c r="C95" s="53"/>
    </row>
    <row r="96" spans="1:3">
      <c r="A96" s="53"/>
      <c r="C96" s="53"/>
    </row>
    <row r="97" spans="1:3">
      <c r="A97" s="53"/>
      <c r="C97" s="53"/>
    </row>
    <row r="98" spans="1:3">
      <c r="A98" s="53"/>
      <c r="C98" s="53"/>
    </row>
    <row r="99" spans="1:3">
      <c r="A99" s="53"/>
      <c r="C99" s="53"/>
    </row>
    <row r="100" spans="1:3">
      <c r="A100" s="53"/>
      <c r="C100" s="53"/>
    </row>
    <row r="101" spans="1:3">
      <c r="A101" s="53"/>
      <c r="C101" s="53"/>
    </row>
    <row r="102" spans="1:3">
      <c r="A102" s="53"/>
      <c r="C102" s="53"/>
    </row>
    <row r="103" spans="1:3">
      <c r="A103" s="53"/>
      <c r="C103" s="53"/>
    </row>
    <row r="104" spans="1:3">
      <c r="A104" s="53"/>
      <c r="C104" s="53"/>
    </row>
    <row r="105" spans="1:3">
      <c r="A105" s="53"/>
      <c r="C105" s="53"/>
    </row>
    <row r="106" spans="1:3">
      <c r="A106" s="53"/>
      <c r="C106" s="53"/>
    </row>
    <row r="107" spans="1:3">
      <c r="A107" s="53"/>
      <c r="C107" s="53"/>
    </row>
    <row r="108" spans="1:3">
      <c r="A108" s="53"/>
      <c r="C108" s="53"/>
    </row>
    <row r="109" spans="1:3">
      <c r="A109" s="53"/>
      <c r="C109" s="53"/>
    </row>
    <row r="110" spans="1:3">
      <c r="A110" s="53"/>
      <c r="C110" s="53"/>
    </row>
    <row r="111" spans="1:3">
      <c r="A111" s="53"/>
      <c r="C111" s="53"/>
    </row>
    <row r="112" spans="1:3">
      <c r="A112" s="53"/>
      <c r="C112" s="53"/>
    </row>
    <row r="113" spans="1:3">
      <c r="A113" s="53"/>
      <c r="C113" s="53"/>
    </row>
    <row r="114" spans="1:3">
      <c r="A114" s="53"/>
      <c r="C114" s="53"/>
    </row>
    <row r="115" spans="1:3">
      <c r="A115" s="53"/>
      <c r="C115" s="53"/>
    </row>
    <row r="116" spans="1:3">
      <c r="A116" s="53"/>
      <c r="C116" s="53"/>
    </row>
    <row r="117" spans="1:3">
      <c r="A117" s="53"/>
      <c r="C117" s="53"/>
    </row>
    <row r="118" spans="1:3">
      <c r="A118" s="53"/>
      <c r="C118" s="53"/>
    </row>
    <row r="119" spans="1:3">
      <c r="A119" s="53"/>
      <c r="C119" s="53"/>
    </row>
    <row r="120" spans="1:3">
      <c r="A120" s="53"/>
      <c r="C120" s="53"/>
    </row>
    <row r="121" spans="1:3">
      <c r="A121" s="53"/>
      <c r="C121" s="53"/>
    </row>
    <row r="122" spans="1:3">
      <c r="A122" s="53"/>
      <c r="C122" s="53"/>
    </row>
    <row r="123" spans="1:3">
      <c r="A123" s="53"/>
      <c r="C123" s="53"/>
    </row>
    <row r="124" spans="1:3">
      <c r="A124" s="53"/>
      <c r="C124" s="53"/>
    </row>
    <row r="125" spans="1:3">
      <c r="A125" s="53"/>
      <c r="C125" s="53"/>
    </row>
    <row r="126" spans="1:3">
      <c r="A126" s="53"/>
      <c r="C126" s="53"/>
    </row>
    <row r="127" spans="1:3">
      <c r="A127" s="53"/>
      <c r="C127" s="53"/>
    </row>
    <row r="128" spans="1:3">
      <c r="A128" s="53"/>
      <c r="C128" s="53"/>
    </row>
    <row r="129" spans="1:3">
      <c r="A129" s="53"/>
      <c r="C129" s="53"/>
    </row>
    <row r="130" spans="1:3">
      <c r="A130" s="53"/>
      <c r="C130" s="53"/>
    </row>
    <row r="131" spans="1:3">
      <c r="A131" s="53"/>
      <c r="C131" s="53"/>
    </row>
    <row r="132" spans="1:3">
      <c r="A132" s="53"/>
      <c r="C132" s="53"/>
    </row>
    <row r="133" spans="1:3">
      <c r="A133" s="53"/>
      <c r="C133" s="53"/>
    </row>
    <row r="134" spans="1:3">
      <c r="A134" s="53"/>
      <c r="C134" s="53"/>
    </row>
    <row r="135" spans="1:3">
      <c r="A135" s="53"/>
      <c r="C135" s="53"/>
    </row>
    <row r="136" spans="1:3">
      <c r="A136" s="53"/>
      <c r="C136" s="53"/>
    </row>
    <row r="137" spans="1:3">
      <c r="A137" s="53"/>
      <c r="C137" s="53"/>
    </row>
    <row r="138" spans="1:3">
      <c r="A138" s="53"/>
      <c r="C138" s="53"/>
    </row>
    <row r="139" spans="1:3">
      <c r="A139" s="53"/>
      <c r="C139" s="53"/>
    </row>
    <row r="140" spans="1:3">
      <c r="A140" s="53"/>
      <c r="C140" s="53"/>
    </row>
    <row r="141" spans="1:3">
      <c r="A141" s="53"/>
      <c r="C141" s="53"/>
    </row>
    <row r="142" spans="1:3">
      <c r="A142" s="53"/>
      <c r="C142" s="53"/>
    </row>
    <row r="143" spans="1:3">
      <c r="A143" s="53"/>
      <c r="C143" s="53"/>
    </row>
    <row r="144" spans="1:3">
      <c r="A144" s="53"/>
      <c r="C144" s="53"/>
    </row>
    <row r="145" spans="1:3">
      <c r="A145" s="53"/>
      <c r="C145" s="53"/>
    </row>
    <row r="146" spans="1:3">
      <c r="A146" s="53"/>
      <c r="C146" s="53"/>
    </row>
    <row r="147" spans="1:3">
      <c r="A147" s="53"/>
      <c r="C147" s="53"/>
    </row>
    <row r="148" spans="1:3">
      <c r="A148" s="53"/>
      <c r="C148" s="53"/>
    </row>
    <row r="149" spans="1:3">
      <c r="A149" s="53"/>
      <c r="C149" s="53"/>
    </row>
    <row r="150" spans="1:3">
      <c r="A150" s="53"/>
      <c r="C150" s="53"/>
    </row>
    <row r="151" spans="1:3">
      <c r="A151" s="53"/>
      <c r="C151" s="53"/>
    </row>
    <row r="152" spans="1:3">
      <c r="A152" s="53"/>
      <c r="C152" s="53"/>
    </row>
    <row r="153" spans="1:3">
      <c r="A153" s="53"/>
      <c r="C153" s="53"/>
    </row>
    <row r="154" spans="1:3">
      <c r="A154" s="53"/>
      <c r="C154" s="53"/>
    </row>
    <row r="155" spans="1:3">
      <c r="A155" s="53"/>
      <c r="C155" s="53"/>
    </row>
    <row r="156" spans="1:3">
      <c r="A156" s="53"/>
      <c r="C156" s="53"/>
    </row>
    <row r="157" spans="1:3">
      <c r="A157" s="53"/>
      <c r="C157" s="53"/>
    </row>
    <row r="158" spans="1:3">
      <c r="A158" s="53"/>
      <c r="C158" s="53"/>
    </row>
    <row r="159" spans="1:3">
      <c r="A159" s="53"/>
      <c r="C159" s="53"/>
    </row>
    <row r="160" spans="1:3">
      <c r="A160" s="53"/>
      <c r="C160" s="53"/>
    </row>
    <row r="161" spans="1:3">
      <c r="A161" s="53"/>
      <c r="C161" s="53"/>
    </row>
    <row r="162" spans="1:3">
      <c r="A162" s="53"/>
      <c r="C162" s="53"/>
    </row>
    <row r="163" spans="1:3">
      <c r="A163" s="53"/>
      <c r="C163" s="53"/>
    </row>
    <row r="164" spans="1:3">
      <c r="A164" s="53"/>
      <c r="C164" s="53"/>
    </row>
    <row r="165" spans="1:3">
      <c r="A165" s="53"/>
      <c r="C165" s="53"/>
    </row>
    <row r="166" spans="1:3">
      <c r="A166" s="53"/>
      <c r="C166" s="53"/>
    </row>
    <row r="167" spans="1:3">
      <c r="A167" s="53"/>
      <c r="C167" s="53"/>
    </row>
    <row r="168" spans="1:3">
      <c r="A168" s="53"/>
      <c r="C168" s="53"/>
    </row>
    <row r="169" spans="1:3">
      <c r="A169" s="53"/>
      <c r="C169" s="53"/>
    </row>
    <row r="170" spans="1:3">
      <c r="A170" s="53"/>
      <c r="C170" s="53"/>
    </row>
    <row r="171" spans="1:3">
      <c r="A171" s="53"/>
      <c r="C171" s="53"/>
    </row>
    <row r="172" spans="1:3">
      <c r="A172" s="53"/>
      <c r="C172" s="53"/>
    </row>
    <row r="173" spans="1:3">
      <c r="A173" s="53"/>
      <c r="C173" s="53"/>
    </row>
    <row r="174" spans="1:3">
      <c r="A174" s="53"/>
      <c r="C174" s="53"/>
    </row>
    <row r="175" spans="1:3">
      <c r="A175" s="53"/>
      <c r="C175" s="53"/>
    </row>
    <row r="176" spans="1:3">
      <c r="A176" s="53"/>
      <c r="C176" s="53"/>
    </row>
    <row r="177" spans="1:3">
      <c r="A177" s="53"/>
      <c r="C177" s="53"/>
    </row>
    <row r="178" spans="1:3">
      <c r="A178" s="53"/>
      <c r="C178" s="53"/>
    </row>
    <row r="179" spans="1:3">
      <c r="A179" s="53"/>
      <c r="C179" s="53"/>
    </row>
    <row r="180" spans="1:3">
      <c r="A180" s="53"/>
      <c r="C180" s="53"/>
    </row>
    <row r="181" spans="1:3">
      <c r="A181" s="53"/>
      <c r="C181" s="53"/>
    </row>
    <row r="182" spans="1:3">
      <c r="A182" s="53"/>
      <c r="C182" s="53"/>
    </row>
    <row r="183" spans="1:3">
      <c r="A183" s="53"/>
      <c r="C183" s="53"/>
    </row>
    <row r="184" spans="1:3">
      <c r="A184" s="53"/>
      <c r="C184" s="53"/>
    </row>
    <row r="185" spans="1:3">
      <c r="A185" s="53"/>
      <c r="C185" s="53"/>
    </row>
    <row r="186" spans="1:3">
      <c r="A186" s="53"/>
      <c r="C186" s="53"/>
    </row>
    <row r="187" spans="1:3">
      <c r="A187" s="53"/>
      <c r="C187" s="53"/>
    </row>
    <row r="188" spans="1:3">
      <c r="A188" s="53"/>
      <c r="C188" s="53"/>
    </row>
    <row r="189" spans="1:3">
      <c r="A189" s="53"/>
      <c r="C189" s="53"/>
    </row>
    <row r="190" spans="1:3">
      <c r="A190" s="53"/>
      <c r="C190" s="53"/>
    </row>
    <row r="191" spans="1:3">
      <c r="A191" s="53"/>
      <c r="C191" s="53"/>
    </row>
    <row r="192" spans="1:3">
      <c r="A192" s="53"/>
      <c r="C192" s="53"/>
    </row>
    <row r="193" spans="1:3">
      <c r="A193" s="53"/>
      <c r="C193" s="53"/>
    </row>
    <row r="194" spans="1:3">
      <c r="A194" s="53"/>
      <c r="C194" s="53"/>
    </row>
    <row r="195" spans="1:3">
      <c r="A195" s="53"/>
      <c r="C195" s="53"/>
    </row>
    <row r="196" spans="1:3">
      <c r="A196" s="53"/>
      <c r="C196" s="53"/>
    </row>
    <row r="197" spans="1:3">
      <c r="A197" s="53"/>
      <c r="C197" s="53"/>
    </row>
    <row r="198" spans="1:3">
      <c r="A198" s="53"/>
      <c r="C198" s="53"/>
    </row>
    <row r="199" spans="1:3">
      <c r="A199" s="53"/>
      <c r="C199" s="53"/>
    </row>
    <row r="200" spans="1:3">
      <c r="A200" s="53"/>
      <c r="C200" s="53"/>
    </row>
    <row r="201" spans="1:3">
      <c r="A201" s="53"/>
      <c r="C201" s="53"/>
    </row>
    <row r="202" spans="1:3">
      <c r="A202" s="53"/>
      <c r="C202" s="53"/>
    </row>
    <row r="203" spans="1:3">
      <c r="A203" s="53"/>
      <c r="C203" s="53"/>
    </row>
    <row r="204" spans="1:3">
      <c r="A204" s="53"/>
      <c r="C204" s="53"/>
    </row>
    <row r="205" spans="1:3">
      <c r="A205" s="53"/>
      <c r="C205" s="53"/>
    </row>
    <row r="206" spans="1:3">
      <c r="A206" s="53"/>
      <c r="C206" s="53"/>
    </row>
    <row r="207" spans="1:3">
      <c r="A207" s="53"/>
      <c r="C207" s="53"/>
    </row>
    <row r="208" spans="1:3">
      <c r="A208" s="53"/>
      <c r="C208" s="53"/>
    </row>
    <row r="209" spans="1:3">
      <c r="A209" s="53"/>
      <c r="C209" s="53"/>
    </row>
    <row r="210" spans="1:3">
      <c r="A210" s="53"/>
      <c r="C210" s="53"/>
    </row>
    <row r="211" spans="1:3">
      <c r="A211" s="53"/>
      <c r="C211" s="53"/>
    </row>
    <row r="212" spans="1:3">
      <c r="A212" s="53"/>
      <c r="C212" s="53"/>
    </row>
    <row r="213" spans="1:3">
      <c r="A213" s="53"/>
      <c r="C213" s="53"/>
    </row>
    <row r="214" spans="1:3">
      <c r="A214" s="53"/>
      <c r="C214" s="53"/>
    </row>
    <row r="215" spans="1:3">
      <c r="A215" s="53"/>
      <c r="C215" s="53"/>
    </row>
    <row r="216" spans="1:3">
      <c r="A216" s="53"/>
      <c r="C216" s="53"/>
    </row>
    <row r="217" spans="1:3">
      <c r="A217" s="53"/>
      <c r="C217" s="53"/>
    </row>
    <row r="218" spans="1:3">
      <c r="A218" s="53"/>
      <c r="C218" s="53"/>
    </row>
    <row r="219" spans="1:3">
      <c r="A219" s="53"/>
      <c r="C219" s="53"/>
    </row>
    <row r="220" spans="1:3">
      <c r="A220" s="53"/>
      <c r="C220" s="53"/>
    </row>
    <row r="221" spans="1:3">
      <c r="A221" s="53"/>
      <c r="C221" s="53"/>
    </row>
    <row r="222" spans="1:3">
      <c r="A222" s="53"/>
      <c r="C222" s="53"/>
    </row>
    <row r="223" spans="1:3">
      <c r="A223" s="53"/>
      <c r="C223" s="53"/>
    </row>
    <row r="224" spans="1:3">
      <c r="A224" s="53"/>
      <c r="C224" s="53"/>
    </row>
    <row r="225" spans="1:3">
      <c r="A225" s="53"/>
      <c r="C225" s="53"/>
    </row>
    <row r="226" spans="1:3">
      <c r="A226" s="53"/>
      <c r="C226" s="53"/>
    </row>
    <row r="227" spans="1:3">
      <c r="A227" s="53"/>
      <c r="C227" s="53"/>
    </row>
    <row r="228" spans="1:3">
      <c r="A228" s="53"/>
      <c r="C228" s="53"/>
    </row>
    <row r="229" spans="1:3">
      <c r="A229" s="53"/>
      <c r="C229" s="53"/>
    </row>
    <row r="230" spans="1:3">
      <c r="A230" s="53"/>
      <c r="C230" s="53"/>
    </row>
    <row r="231" spans="1:3">
      <c r="A231" s="53"/>
      <c r="C231" s="53"/>
    </row>
    <row r="232" spans="1:3">
      <c r="A232" s="53"/>
      <c r="C232" s="53"/>
    </row>
    <row r="233" spans="1:3">
      <c r="A233" s="53"/>
      <c r="C233" s="53"/>
    </row>
    <row r="234" spans="1:3">
      <c r="A234" s="53"/>
      <c r="C234" s="53"/>
    </row>
    <row r="235" spans="1:3">
      <c r="A235" s="53"/>
      <c r="C235" s="53"/>
    </row>
    <row r="236" spans="1:3">
      <c r="A236" s="53"/>
    </row>
    <row r="237" spans="1:3">
      <c r="A237" s="53"/>
    </row>
    <row r="238" spans="1:3">
      <c r="A238" s="53"/>
    </row>
    <row r="239" spans="1:3">
      <c r="A239" s="53"/>
    </row>
    <row r="240" spans="1:3">
      <c r="A240" s="53"/>
    </row>
    <row r="241" spans="1:1">
      <c r="A241" s="53"/>
    </row>
    <row r="242" spans="1:1">
      <c r="A242" s="53"/>
    </row>
    <row r="243" spans="1:1">
      <c r="A243" s="53"/>
    </row>
    <row r="244" spans="1:1">
      <c r="A244" s="53"/>
    </row>
    <row r="245" spans="1:1">
      <c r="A245" s="53"/>
    </row>
    <row r="246" spans="1:1">
      <c r="A246" s="53"/>
    </row>
    <row r="247" spans="1:1">
      <c r="A247" s="53"/>
    </row>
    <row r="248" spans="1:1">
      <c r="A248" s="53"/>
    </row>
    <row r="249" spans="1:1">
      <c r="A249" s="53"/>
    </row>
    <row r="250" spans="1:1">
      <c r="A250" s="53"/>
    </row>
    <row r="251" spans="1:1">
      <c r="A251" s="53"/>
    </row>
    <row r="252" spans="1:1">
      <c r="A252" s="53"/>
    </row>
    <row r="253" spans="1:1">
      <c r="A253" s="53"/>
    </row>
    <row r="254" spans="1:1">
      <c r="A254" s="53"/>
    </row>
    <row r="255" spans="1:1">
      <c r="A255" s="53"/>
    </row>
    <row r="256" spans="1:1">
      <c r="A256" s="53"/>
    </row>
    <row r="257" spans="1:1">
      <c r="A257" s="53"/>
    </row>
    <row r="258" spans="1:1">
      <c r="A258" s="53"/>
    </row>
    <row r="259" spans="1:1">
      <c r="A259" s="53"/>
    </row>
    <row r="260" spans="1:1">
      <c r="A260" s="53"/>
    </row>
    <row r="261" spans="1:1">
      <c r="A261" s="53"/>
    </row>
    <row r="262" spans="1:1">
      <c r="A262" s="53"/>
    </row>
    <row r="263" spans="1:1">
      <c r="A263" s="53"/>
    </row>
    <row r="264" spans="1:1">
      <c r="A264" s="53"/>
    </row>
    <row r="265" spans="1:1">
      <c r="A265" s="53"/>
    </row>
    <row r="266" spans="1:1">
      <c r="A266" s="53"/>
    </row>
    <row r="267" spans="1:1">
      <c r="A267" s="53"/>
    </row>
    <row r="268" spans="1:1">
      <c r="A268" s="53"/>
    </row>
    <row r="269" spans="1:1">
      <c r="A269" s="53"/>
    </row>
    <row r="270" spans="1:1">
      <c r="A270" s="53"/>
    </row>
    <row r="271" spans="1:1">
      <c r="A271" s="53"/>
    </row>
    <row r="272" spans="1:1">
      <c r="A272" s="53"/>
    </row>
    <row r="273" spans="1:1">
      <c r="A273" s="53"/>
    </row>
    <row r="274" spans="1:1">
      <c r="A274" s="53"/>
    </row>
    <row r="275" spans="1:1">
      <c r="A275" s="53"/>
    </row>
    <row r="276" spans="1:1">
      <c r="A276" s="53"/>
    </row>
    <row r="277" spans="1:1">
      <c r="A277" s="53"/>
    </row>
    <row r="278" spans="1:1">
      <c r="A278" s="53"/>
    </row>
    <row r="279" spans="1:1">
      <c r="A279" s="53"/>
    </row>
    <row r="280" spans="1:1">
      <c r="A280" s="53"/>
    </row>
    <row r="281" spans="1:1">
      <c r="A281" s="53"/>
    </row>
    <row r="282" spans="1:1">
      <c r="A282" s="53"/>
    </row>
    <row r="283" spans="1:1">
      <c r="A283" s="53"/>
    </row>
    <row r="284" spans="1:1">
      <c r="A284" s="53"/>
    </row>
    <row r="285" spans="1:1">
      <c r="A285" s="53"/>
    </row>
    <row r="286" spans="1:1">
      <c r="A286" s="53"/>
    </row>
    <row r="287" spans="1:1">
      <c r="A287" s="53"/>
    </row>
    <row r="288" spans="1:1">
      <c r="A288" s="53"/>
    </row>
    <row r="289" spans="1:1">
      <c r="A289" s="53"/>
    </row>
    <row r="290" spans="1:1">
      <c r="A290" s="53"/>
    </row>
    <row r="291" spans="1:1">
      <c r="A291" s="53"/>
    </row>
    <row r="292" spans="1:1">
      <c r="A292" s="53"/>
    </row>
    <row r="293" spans="1:1">
      <c r="A293" s="53"/>
    </row>
    <row r="294" spans="1:1">
      <c r="A294" s="53"/>
    </row>
    <row r="295" spans="1:1">
      <c r="A295" s="53"/>
    </row>
    <row r="296" spans="1:1">
      <c r="A296" s="53"/>
    </row>
    <row r="297" spans="1:1">
      <c r="A297" s="53"/>
    </row>
    <row r="298" spans="1:1">
      <c r="A298" s="53"/>
    </row>
    <row r="299" spans="1:1">
      <c r="A299" s="53"/>
    </row>
    <row r="300" spans="1:1">
      <c r="A300" s="53"/>
    </row>
    <row r="301" spans="1:1">
      <c r="A301" s="53"/>
    </row>
    <row r="302" spans="1:1">
      <c r="A302" s="53"/>
    </row>
    <row r="303" spans="1:1">
      <c r="A303" s="53"/>
    </row>
    <row r="304" spans="1:1">
      <c r="A304" s="53"/>
    </row>
    <row r="305" spans="1:1">
      <c r="A305" s="53"/>
    </row>
    <row r="306" spans="1:1">
      <c r="A306" s="53"/>
    </row>
    <row r="307" spans="1:1">
      <c r="A307" s="53"/>
    </row>
    <row r="308" spans="1:1">
      <c r="A308" s="53"/>
    </row>
    <row r="309" spans="1:1">
      <c r="A309" s="53"/>
    </row>
    <row r="310" spans="1:1">
      <c r="A310" s="53"/>
    </row>
    <row r="311" spans="1:1">
      <c r="A311" s="53"/>
    </row>
    <row r="312" spans="1:1">
      <c r="A312" s="53"/>
    </row>
    <row r="313" spans="1:1">
      <c r="A313" s="53"/>
    </row>
    <row r="314" spans="1:1">
      <c r="A314" s="53"/>
    </row>
    <row r="315" spans="1:1">
      <c r="A315" s="53"/>
    </row>
    <row r="316" spans="1:1">
      <c r="A316" s="53"/>
    </row>
    <row r="317" spans="1:1">
      <c r="A317" s="53"/>
    </row>
    <row r="318" spans="1:1">
      <c r="A318" s="53"/>
    </row>
    <row r="319" spans="1:1">
      <c r="A319" s="53"/>
    </row>
    <row r="320" spans="1:1">
      <c r="A320" s="53"/>
    </row>
    <row r="321" spans="1:1">
      <c r="A321" s="53"/>
    </row>
    <row r="322" spans="1:1">
      <c r="A322" s="53"/>
    </row>
    <row r="323" spans="1:1">
      <c r="A323" s="53"/>
    </row>
    <row r="324" spans="1:1">
      <c r="A324" s="53"/>
    </row>
    <row r="325" spans="1:1">
      <c r="A325" s="53"/>
    </row>
    <row r="326" spans="1:1">
      <c r="A326" s="53"/>
    </row>
    <row r="327" spans="1:1">
      <c r="A327" s="53"/>
    </row>
    <row r="328" spans="1:1">
      <c r="A328" s="53"/>
    </row>
    <row r="329" spans="1:1">
      <c r="A329" s="53"/>
    </row>
    <row r="330" spans="1:1">
      <c r="A330" s="53"/>
    </row>
    <row r="331" spans="1:1">
      <c r="A331" s="53"/>
    </row>
    <row r="332" spans="1:1">
      <c r="A332" s="53"/>
    </row>
    <row r="333" spans="1:1">
      <c r="A333" s="53"/>
    </row>
    <row r="334" spans="1:1">
      <c r="A334" s="53"/>
    </row>
    <row r="335" spans="1:1">
      <c r="A335" s="53"/>
    </row>
    <row r="336" spans="1:1">
      <c r="A336" s="53"/>
    </row>
    <row r="337" spans="1:1">
      <c r="A337" s="53"/>
    </row>
    <row r="338" spans="1:1">
      <c r="A338" s="53"/>
    </row>
    <row r="339" spans="1:1">
      <c r="A339" s="53"/>
    </row>
    <row r="340" spans="1:1">
      <c r="A340" s="53"/>
    </row>
    <row r="341" spans="1:1">
      <c r="A341" s="53"/>
    </row>
    <row r="342" spans="1:1">
      <c r="A342" s="53"/>
    </row>
    <row r="343" spans="1:1">
      <c r="A343" s="53"/>
    </row>
    <row r="344" spans="1:1">
      <c r="A344" s="53"/>
    </row>
    <row r="345" spans="1:1">
      <c r="A345" s="53"/>
    </row>
    <row r="346" spans="1:1">
      <c r="A346" s="53"/>
    </row>
    <row r="347" spans="1:1">
      <c r="A347" s="53"/>
    </row>
    <row r="348" spans="1:1">
      <c r="A348" s="53"/>
    </row>
    <row r="349" spans="1:1">
      <c r="A349" s="53"/>
    </row>
    <row r="350" spans="1:1">
      <c r="A350" s="53"/>
    </row>
    <row r="351" spans="1:1">
      <c r="A351" s="53"/>
    </row>
    <row r="352" spans="1:1">
      <c r="A352" s="53"/>
    </row>
    <row r="353" spans="1:1">
      <c r="A353" s="53"/>
    </row>
    <row r="354" spans="1:1">
      <c r="A354" s="53"/>
    </row>
    <row r="355" spans="1:1">
      <c r="A355" s="53"/>
    </row>
    <row r="356" spans="1:1">
      <c r="A356" s="53"/>
    </row>
    <row r="357" spans="1:1">
      <c r="A357" s="53"/>
    </row>
    <row r="358" spans="1:1">
      <c r="A358" s="53"/>
    </row>
    <row r="359" spans="1:1">
      <c r="A359" s="53"/>
    </row>
    <row r="360" spans="1:1">
      <c r="A360" s="53"/>
    </row>
    <row r="361" spans="1:1">
      <c r="A361" s="53"/>
    </row>
    <row r="362" spans="1:1">
      <c r="A362" s="53"/>
    </row>
    <row r="363" spans="1:1">
      <c r="A363" s="53"/>
    </row>
    <row r="364" spans="1:1">
      <c r="A364" s="53"/>
    </row>
    <row r="365" spans="1:1">
      <c r="A365" s="53"/>
    </row>
    <row r="366" spans="1:1">
      <c r="A366" s="53"/>
    </row>
    <row r="367" spans="1:1">
      <c r="A367" s="53"/>
    </row>
    <row r="368" spans="1:1">
      <c r="A368" s="53"/>
    </row>
    <row r="369" spans="1:1">
      <c r="A369" s="53"/>
    </row>
    <row r="370" spans="1:1">
      <c r="A370" s="53"/>
    </row>
    <row r="371" spans="1:1">
      <c r="A371" s="53"/>
    </row>
    <row r="372" spans="1:1">
      <c r="A372" s="53"/>
    </row>
    <row r="373" spans="1:1">
      <c r="A373" s="53"/>
    </row>
    <row r="374" spans="1:1">
      <c r="A374" s="53"/>
    </row>
    <row r="375" spans="1:1">
      <c r="A375" s="53"/>
    </row>
    <row r="376" spans="1:1">
      <c r="A376" s="53"/>
    </row>
    <row r="377" spans="1:1">
      <c r="A377" s="53"/>
    </row>
    <row r="378" spans="1:1">
      <c r="A378" s="53"/>
    </row>
    <row r="379" spans="1:1">
      <c r="A379" s="53"/>
    </row>
    <row r="380" spans="1:1">
      <c r="A380" s="53"/>
    </row>
    <row r="381" spans="1:1">
      <c r="A381" s="53"/>
    </row>
    <row r="382" spans="1:1">
      <c r="A382" s="53"/>
    </row>
    <row r="383" spans="1:1">
      <c r="A383" s="53"/>
    </row>
    <row r="384" spans="1:1">
      <c r="A384" s="53"/>
    </row>
    <row r="385" spans="1:1">
      <c r="A385" s="53"/>
    </row>
    <row r="386" spans="1:1">
      <c r="A386" s="53"/>
    </row>
  </sheetData>
  <mergeCells count="7">
    <mergeCell ref="A32:A38"/>
    <mergeCell ref="A39:A40"/>
    <mergeCell ref="A3:F3"/>
    <mergeCell ref="A2:F2"/>
    <mergeCell ref="A6:A16"/>
    <mergeCell ref="A17:A27"/>
    <mergeCell ref="A28:A31"/>
  </mergeCells>
  <phoneticPr fontId="0" type="noConversion"/>
  <printOptions horizontalCentered="1"/>
  <pageMargins left="0.74803149606299213" right="0.74803149606299213" top="0.98425196850393704" bottom="0.98425196850393704" header="0" footer="0"/>
  <pageSetup paperSize="5" scale="76"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tabColor rgb="FF00B050"/>
    <pageSetUpPr fitToPage="1"/>
  </sheetPr>
  <dimension ref="A1:AA108"/>
  <sheetViews>
    <sheetView zoomScale="80" zoomScaleNormal="80" workbookViewId="0">
      <pane ySplit="1368" topLeftCell="A58" activePane="bottomLeft"/>
      <selection activeCell="F1" sqref="F1:F1048576"/>
      <selection pane="bottomLeft" activeCell="M74" sqref="M74"/>
    </sheetView>
  </sheetViews>
  <sheetFormatPr baseColWidth="10" defaultColWidth="11.44140625" defaultRowHeight="13.2"/>
  <cols>
    <col min="1" max="1" width="32.109375" style="66" customWidth="1"/>
    <col min="2" max="2" width="28" style="66" customWidth="1"/>
    <col min="3" max="3" width="22" style="66" customWidth="1"/>
    <col min="4" max="4" width="15.5546875" style="66" customWidth="1"/>
    <col min="5" max="5" width="12.5546875" style="66" customWidth="1"/>
    <col min="6" max="6" width="14.109375" style="66" customWidth="1"/>
    <col min="7" max="7" width="12.6640625" style="66" bestFit="1" customWidth="1"/>
    <col min="8" max="8" width="11.88671875" style="66" customWidth="1"/>
    <col min="9" max="9" width="15.33203125" style="66" customWidth="1"/>
    <col min="10" max="10" width="13.33203125" style="66" customWidth="1"/>
    <col min="11" max="11" width="12.5546875" style="66" customWidth="1"/>
    <col min="12" max="12" width="11.88671875" style="66" customWidth="1"/>
    <col min="13" max="13" width="27.88671875" style="66" customWidth="1"/>
    <col min="14" max="14" width="19.109375" style="66" bestFit="1" customWidth="1"/>
    <col min="15" max="15" width="13" style="66" customWidth="1"/>
    <col min="16" max="16384" width="11.44140625" style="66"/>
  </cols>
  <sheetData>
    <row r="1" spans="1:16" ht="24.75" customHeight="1">
      <c r="H1" s="181"/>
    </row>
    <row r="2" spans="1:16" ht="15">
      <c r="A2" s="3736" t="s">
        <v>747</v>
      </c>
      <c r="B2" s="3786"/>
      <c r="C2" s="3786"/>
      <c r="D2" s="3786"/>
      <c r="E2" s="3786"/>
      <c r="F2" s="3786"/>
      <c r="G2" s="3786"/>
      <c r="H2" s="3786"/>
      <c r="I2" s="3786"/>
      <c r="J2" s="3786"/>
      <c r="K2" s="3786"/>
      <c r="L2" s="3786"/>
      <c r="M2" s="3787"/>
    </row>
    <row r="3" spans="1:16" ht="87" customHeight="1">
      <c r="A3" s="3791">
        <v>42016</v>
      </c>
      <c r="B3" s="3792"/>
      <c r="C3" s="3792"/>
      <c r="D3" s="3792"/>
      <c r="E3" s="3792"/>
      <c r="F3" s="3792"/>
      <c r="G3" s="3792"/>
      <c r="H3" s="3792"/>
      <c r="I3" s="3792"/>
      <c r="J3" s="3792"/>
      <c r="K3" s="3792"/>
      <c r="L3" s="3792"/>
      <c r="M3" s="3793"/>
    </row>
    <row r="4" spans="1:16" ht="15">
      <c r="A4" s="1"/>
      <c r="B4" s="1"/>
      <c r="C4" s="6"/>
      <c r="D4" s="1"/>
      <c r="E4" s="7"/>
      <c r="F4" s="8"/>
      <c r="G4" s="9"/>
      <c r="H4" s="10"/>
      <c r="I4" s="9"/>
      <c r="J4" s="10"/>
      <c r="K4" s="3788"/>
      <c r="L4" s="3788"/>
      <c r="M4" s="11"/>
    </row>
    <row r="5" spans="1:16" ht="25.5" customHeight="1">
      <c r="A5" s="12"/>
      <c r="B5" s="12"/>
      <c r="C5" s="13"/>
      <c r="D5" s="183"/>
      <c r="E5" s="3789" t="s">
        <v>18</v>
      </c>
      <c r="F5" s="3789"/>
      <c r="G5" s="3789" t="s">
        <v>19</v>
      </c>
      <c r="H5" s="3789"/>
      <c r="I5" s="3789" t="s">
        <v>20</v>
      </c>
      <c r="J5" s="3789"/>
      <c r="K5" s="3790" t="s">
        <v>21</v>
      </c>
      <c r="L5" s="3790"/>
      <c r="M5" s="3789" t="s">
        <v>22</v>
      </c>
    </row>
    <row r="6" spans="1:16" ht="36" customHeight="1">
      <c r="A6" s="77" t="s">
        <v>0</v>
      </c>
      <c r="B6" s="77" t="s">
        <v>23</v>
      </c>
      <c r="C6" s="78" t="s">
        <v>2</v>
      </c>
      <c r="D6" s="76" t="s">
        <v>24</v>
      </c>
      <c r="E6" s="78" t="s">
        <v>25</v>
      </c>
      <c r="F6" s="76" t="s">
        <v>26</v>
      </c>
      <c r="G6" s="79" t="s">
        <v>24</v>
      </c>
      <c r="H6" s="78" t="s">
        <v>27</v>
      </c>
      <c r="I6" s="79" t="s">
        <v>24</v>
      </c>
      <c r="J6" s="78" t="s">
        <v>27</v>
      </c>
      <c r="K6" s="76" t="s">
        <v>24</v>
      </c>
      <c r="L6" s="76" t="s">
        <v>27</v>
      </c>
      <c r="M6" s="3794"/>
    </row>
    <row r="7" spans="1:16" s="1269" customFormat="1" ht="15">
      <c r="A7" s="3757" t="s">
        <v>8</v>
      </c>
      <c r="B7" s="3760" t="s">
        <v>15</v>
      </c>
      <c r="C7" s="3767">
        <f>SUM(E7:E8)</f>
        <v>89242</v>
      </c>
      <c r="D7" s="3659" t="s">
        <v>584</v>
      </c>
      <c r="E7" s="1562">
        <v>76062</v>
      </c>
      <c r="F7" s="1562">
        <f>+E7</f>
        <v>76062</v>
      </c>
      <c r="G7" s="1744">
        <f>+SUM(Anchoveta!AL7:AL12)</f>
        <v>77889.679999999993</v>
      </c>
      <c r="H7" s="3763">
        <f>SUM(G7:G8)</f>
        <v>89200.677999999985</v>
      </c>
      <c r="I7" s="3609">
        <f t="shared" ref="I7:I33" si="0">+F7-G7</f>
        <v>-1827.679999999993</v>
      </c>
      <c r="J7" s="3785">
        <f>C7-H7</f>
        <v>41.322000000014668</v>
      </c>
      <c r="K7" s="3610">
        <f t="shared" ref="K7" si="1">1-G7/F7</f>
        <v>-2.4028818595356327E-2</v>
      </c>
      <c r="L7" s="3769">
        <f>1-H7/C7</f>
        <v>4.6303310100637152E-4</v>
      </c>
      <c r="M7" s="3611"/>
      <c r="N7" s="1074"/>
      <c r="O7" s="1074"/>
      <c r="P7" s="1074"/>
    </row>
    <row r="8" spans="1:16" s="1269" customFormat="1" ht="15">
      <c r="A8" s="3758"/>
      <c r="B8" s="3760"/>
      <c r="C8" s="3767"/>
      <c r="D8" s="3659" t="s">
        <v>28</v>
      </c>
      <c r="E8" s="1562">
        <f>5680+7500</f>
        <v>13180</v>
      </c>
      <c r="F8" s="3617">
        <f>+E8+I7</f>
        <v>11352.320000000007</v>
      </c>
      <c r="G8" s="1744">
        <f>+SUM(Anchoveta!AL13:AL18)</f>
        <v>11310.998</v>
      </c>
      <c r="H8" s="3763"/>
      <c r="I8" s="3609">
        <f t="shared" si="0"/>
        <v>41.322000000007392</v>
      </c>
      <c r="J8" s="3785"/>
      <c r="K8" s="3610">
        <f>1-G8/F8</f>
        <v>3.6399608185821997E-3</v>
      </c>
      <c r="L8" s="3769"/>
      <c r="M8" s="3614">
        <v>41838</v>
      </c>
      <c r="N8" s="1238"/>
      <c r="O8" s="1553"/>
    </row>
    <row r="9" spans="1:16" ht="15">
      <c r="A9" s="3758"/>
      <c r="B9" s="3760" t="s">
        <v>11</v>
      </c>
      <c r="C9" s="3767">
        <f>SUM(E9:E10)</f>
        <v>30704</v>
      </c>
      <c r="D9" s="1562" t="s">
        <v>584</v>
      </c>
      <c r="E9" s="1562">
        <v>23028</v>
      </c>
      <c r="F9" s="1562">
        <f>+E9</f>
        <v>23028</v>
      </c>
      <c r="G9" s="1744">
        <f>+SUM(Anchoveta!B23:B29)</f>
        <v>7503.8969999999999</v>
      </c>
      <c r="H9" s="3763">
        <f>SUM(G9:G10)</f>
        <v>24018.544000000002</v>
      </c>
      <c r="I9" s="3609">
        <f t="shared" ref="I9:I10" si="2">+F9-G9</f>
        <v>15524.102999999999</v>
      </c>
      <c r="J9" s="3785">
        <f>C9-H9</f>
        <v>6685.4559999999983</v>
      </c>
      <c r="K9" s="3610">
        <f t="shared" ref="K9:K10" si="3">1-G9/F9</f>
        <v>0.67414030745179776</v>
      </c>
      <c r="L9" s="3769">
        <f>1-H9/C9</f>
        <v>0.21773892652423132</v>
      </c>
      <c r="M9" s="3616"/>
      <c r="N9" s="1190" t="s">
        <v>1466</v>
      </c>
    </row>
    <row r="10" spans="1:16" ht="15">
      <c r="A10" s="3758"/>
      <c r="B10" s="3760"/>
      <c r="C10" s="3767"/>
      <c r="D10" s="1562" t="s">
        <v>28</v>
      </c>
      <c r="E10" s="1562">
        <v>7676</v>
      </c>
      <c r="F10" s="3617">
        <f>+E10+I9</f>
        <v>23200.102999999999</v>
      </c>
      <c r="G10" s="1744">
        <f>+SUM(Anchoveta!B30:B35)</f>
        <v>16514.647000000001</v>
      </c>
      <c r="H10" s="3763"/>
      <c r="I10" s="3609">
        <f t="shared" si="2"/>
        <v>6685.4559999999983</v>
      </c>
      <c r="J10" s="3785"/>
      <c r="K10" s="3610">
        <f t="shared" si="3"/>
        <v>0.28816492754364054</v>
      </c>
      <c r="L10" s="3769"/>
      <c r="M10" s="3618"/>
      <c r="N10" s="1269"/>
    </row>
    <row r="11" spans="1:16" ht="15">
      <c r="A11" s="3758"/>
      <c r="B11" s="3760" t="s">
        <v>6</v>
      </c>
      <c r="C11" s="3767">
        <f>SUM(E11:E12)</f>
        <v>17702</v>
      </c>
      <c r="D11" s="1562" t="s">
        <v>585</v>
      </c>
      <c r="E11" s="1562">
        <v>16817</v>
      </c>
      <c r="F11" s="1562">
        <f>+E11</f>
        <v>16817</v>
      </c>
      <c r="G11" s="1744">
        <f>+SUM(Anchoveta!B40:B49)</f>
        <v>12035.498000000001</v>
      </c>
      <c r="H11" s="3763">
        <f>SUM(G11:G12)</f>
        <v>12041.708000000001</v>
      </c>
      <c r="I11" s="3619">
        <f t="shared" si="0"/>
        <v>4781.5019999999986</v>
      </c>
      <c r="J11" s="3771">
        <f>C11-H11</f>
        <v>5660.2919999999995</v>
      </c>
      <c r="K11" s="3610">
        <f t="shared" ref="K11:K33" si="4">1-G11/F11</f>
        <v>0.28432550395433187</v>
      </c>
      <c r="L11" s="3769">
        <f>1-H11/C11</f>
        <v>0.31975437803638007</v>
      </c>
      <c r="M11" s="1579"/>
      <c r="N11" s="1190"/>
    </row>
    <row r="12" spans="1:16" ht="15">
      <c r="A12" s="3758"/>
      <c r="B12" s="3760"/>
      <c r="C12" s="3767">
        <f>SUM(E12:E13)</f>
        <v>8092</v>
      </c>
      <c r="D12" s="1562" t="s">
        <v>30</v>
      </c>
      <c r="E12" s="1562">
        <v>885</v>
      </c>
      <c r="F12" s="3617">
        <f>+E12+I11</f>
        <v>5666.5019999999986</v>
      </c>
      <c r="G12" s="3620">
        <f>+SUM(Anchoveta!B50:B51)</f>
        <v>6.21</v>
      </c>
      <c r="H12" s="3763">
        <f>SUM(G12:G13)</f>
        <v>7226.8879999999999</v>
      </c>
      <c r="I12" s="3619">
        <f t="shared" si="0"/>
        <v>5660.2919999999986</v>
      </c>
      <c r="J12" s="3771">
        <f t="shared" ref="J12" si="5">+C12-H12</f>
        <v>865.11200000000008</v>
      </c>
      <c r="K12" s="3610">
        <f t="shared" si="4"/>
        <v>0.99890408580108148</v>
      </c>
      <c r="L12" s="3769"/>
      <c r="M12" s="3618"/>
    </row>
    <row r="13" spans="1:16" ht="15">
      <c r="A13" s="3758"/>
      <c r="B13" s="3760" t="s">
        <v>557</v>
      </c>
      <c r="C13" s="3767">
        <f>SUM(E13:E14)</f>
        <v>7586</v>
      </c>
      <c r="D13" s="1562" t="s">
        <v>585</v>
      </c>
      <c r="E13" s="1562">
        <v>7207</v>
      </c>
      <c r="F13" s="3617">
        <f>+E13</f>
        <v>7207</v>
      </c>
      <c r="G13" s="1744">
        <f>+'Resumen RAE Anchoveta'!F10</f>
        <v>7220.6779999999999</v>
      </c>
      <c r="H13" s="3763">
        <f>SUM(G13:G14)</f>
        <v>7221.1779999999999</v>
      </c>
      <c r="I13" s="3621">
        <f t="shared" ref="I13:I14" si="6">+F13-G13</f>
        <v>-13.677999999999884</v>
      </c>
      <c r="J13" s="3771">
        <f>C13-H13</f>
        <v>364.82200000000012</v>
      </c>
      <c r="K13" s="3610">
        <f t="shared" ref="K13:K14" si="7">1-G13/F13</f>
        <v>-1.8978770639654918E-3</v>
      </c>
      <c r="L13" s="3769">
        <f>1-H13/C13</f>
        <v>4.8091484313208532E-2</v>
      </c>
      <c r="M13" s="3618"/>
    </row>
    <row r="14" spans="1:16" ht="15">
      <c r="A14" s="3758"/>
      <c r="B14" s="3760"/>
      <c r="C14" s="3767">
        <f t="shared" ref="C14" si="8">SUM(E14:E16)</f>
        <v>2282</v>
      </c>
      <c r="D14" s="1562" t="s">
        <v>30</v>
      </c>
      <c r="E14" s="1562">
        <v>379</v>
      </c>
      <c r="F14" s="3617">
        <f>+E14+I13</f>
        <v>365.32200000000012</v>
      </c>
      <c r="G14" s="1744">
        <f>+'Resumen RAE Anchoveta'!F16</f>
        <v>0.5</v>
      </c>
      <c r="H14" s="3763">
        <f t="shared" ref="H14" si="9">SUM(G14:G16)</f>
        <v>2156.8959999999997</v>
      </c>
      <c r="I14" s="3621">
        <f t="shared" si="6"/>
        <v>364.82200000000012</v>
      </c>
      <c r="J14" s="3771">
        <f t="shared" ref="J14" si="10">+C14-H14</f>
        <v>125.10400000000027</v>
      </c>
      <c r="K14" s="3610">
        <f t="shared" si="7"/>
        <v>0.99863134440301982</v>
      </c>
      <c r="L14" s="3769"/>
      <c r="M14" s="3618"/>
    </row>
    <row r="15" spans="1:16" ht="15">
      <c r="A15" s="3758"/>
      <c r="B15" s="3766" t="s">
        <v>558</v>
      </c>
      <c r="C15" s="3767">
        <f>SUM(E15:E17)</f>
        <v>2003</v>
      </c>
      <c r="D15" s="3622" t="s">
        <v>31</v>
      </c>
      <c r="E15" s="1562">
        <v>1703</v>
      </c>
      <c r="F15" s="1562">
        <f>+E15</f>
        <v>1703</v>
      </c>
      <c r="G15" s="1744">
        <f>+SUM('Resumen RAE Anchoveta'!F23)</f>
        <v>2156.3959999999997</v>
      </c>
      <c r="H15" s="3763">
        <f>SUM(G15:G17)</f>
        <v>2156.3959999999997</v>
      </c>
      <c r="I15" s="3619">
        <f t="shared" ref="I15:I17" si="11">+F15-G15</f>
        <v>-453.39599999999973</v>
      </c>
      <c r="J15" s="3771">
        <f>+C15-H15</f>
        <v>-153.39599999999973</v>
      </c>
      <c r="K15" s="3610">
        <f t="shared" ref="K15:K17" si="12">1-G15/F15</f>
        <v>-0.26623370522607148</v>
      </c>
      <c r="L15" s="3769">
        <f>1-H15/C15</f>
        <v>-7.6583125312031708E-2</v>
      </c>
      <c r="M15" s="3623" t="s">
        <v>1047</v>
      </c>
    </row>
    <row r="16" spans="1:16" ht="15">
      <c r="A16" s="3758"/>
      <c r="B16" s="3766"/>
      <c r="C16" s="3767"/>
      <c r="D16" s="3622" t="s">
        <v>32</v>
      </c>
      <c r="E16" s="1562">
        <v>200</v>
      </c>
      <c r="F16" s="1562">
        <f>+E16+I15</f>
        <v>-253.39599999999973</v>
      </c>
      <c r="G16" s="1744">
        <f>+SUM('Resumen RAE Anchoveta'!F28)</f>
        <v>0</v>
      </c>
      <c r="H16" s="3763"/>
      <c r="I16" s="3619">
        <f t="shared" si="11"/>
        <v>-253.39599999999973</v>
      </c>
      <c r="J16" s="3771"/>
      <c r="K16" s="3610">
        <f t="shared" si="12"/>
        <v>1</v>
      </c>
      <c r="L16" s="3769"/>
      <c r="M16" s="3623" t="s">
        <v>1136</v>
      </c>
    </row>
    <row r="17" spans="1:25" ht="15">
      <c r="A17" s="3758"/>
      <c r="B17" s="3766"/>
      <c r="C17" s="3767"/>
      <c r="D17" s="1054" t="s">
        <v>33</v>
      </c>
      <c r="E17" s="1562">
        <v>100</v>
      </c>
      <c r="F17" s="3617">
        <f>+E17+I16</f>
        <v>-153.39599999999973</v>
      </c>
      <c r="G17" s="3620">
        <f>+SUM('Resumen RAE Anchoveta'!F33)</f>
        <v>0</v>
      </c>
      <c r="H17" s="3763"/>
      <c r="I17" s="3619">
        <f t="shared" si="11"/>
        <v>-153.39599999999973</v>
      </c>
      <c r="J17" s="3771"/>
      <c r="K17" s="3610">
        <f t="shared" si="12"/>
        <v>1</v>
      </c>
      <c r="L17" s="3769"/>
      <c r="M17" s="3618"/>
    </row>
    <row r="18" spans="1:25" s="1269" customFormat="1" ht="15">
      <c r="A18" s="3758"/>
      <c r="B18" s="3766" t="s">
        <v>16</v>
      </c>
      <c r="C18" s="3767">
        <f>SUM(E18:E20)</f>
        <v>13</v>
      </c>
      <c r="D18" s="3622" t="s">
        <v>31</v>
      </c>
      <c r="E18" s="1562">
        <v>11</v>
      </c>
      <c r="F18" s="1562">
        <f>+E18</f>
        <v>11</v>
      </c>
      <c r="G18" s="1744">
        <f>+SUM(Anchoveta!B89:B92)</f>
        <v>0</v>
      </c>
      <c r="H18" s="3763">
        <f>SUM(G18:G20)</f>
        <v>0</v>
      </c>
      <c r="I18" s="3619">
        <f>+F18-G18</f>
        <v>11</v>
      </c>
      <c r="J18" s="3771">
        <f>+C18-H18</f>
        <v>13</v>
      </c>
      <c r="K18" s="3610">
        <f t="shared" si="4"/>
        <v>1</v>
      </c>
      <c r="L18" s="3769">
        <f>1-H18/C18</f>
        <v>1</v>
      </c>
      <c r="M18" s="3618"/>
    </row>
    <row r="19" spans="1:25" s="1269" customFormat="1" ht="15">
      <c r="A19" s="3758"/>
      <c r="B19" s="3766"/>
      <c r="C19" s="3767"/>
      <c r="D19" s="3622" t="s">
        <v>32</v>
      </c>
      <c r="E19" s="1562">
        <v>1</v>
      </c>
      <c r="F19" s="1562">
        <f>+E19+I18</f>
        <v>12</v>
      </c>
      <c r="G19" s="1744">
        <f>+SUM(Anchoveta!B93:B96)</f>
        <v>0</v>
      </c>
      <c r="H19" s="3763"/>
      <c r="I19" s="3619">
        <f t="shared" si="0"/>
        <v>12</v>
      </c>
      <c r="J19" s="3771"/>
      <c r="K19" s="3610">
        <f t="shared" si="4"/>
        <v>1</v>
      </c>
      <c r="L19" s="3769"/>
      <c r="M19" s="3618"/>
    </row>
    <row r="20" spans="1:25" s="1269" customFormat="1" ht="15">
      <c r="A20" s="3758"/>
      <c r="B20" s="3766"/>
      <c r="C20" s="3767"/>
      <c r="D20" s="1054" t="s">
        <v>33</v>
      </c>
      <c r="E20" s="1562">
        <v>1</v>
      </c>
      <c r="F20" s="1562">
        <f>+E20+I19</f>
        <v>13</v>
      </c>
      <c r="G20" s="1744">
        <f>+SUM(Anchoveta!B97:B100)</f>
        <v>0</v>
      </c>
      <c r="H20" s="3763"/>
      <c r="I20" s="3619">
        <f t="shared" si="0"/>
        <v>13</v>
      </c>
      <c r="J20" s="3771"/>
      <c r="K20" s="3610">
        <f t="shared" si="4"/>
        <v>1</v>
      </c>
      <c r="L20" s="3769"/>
      <c r="M20" s="3618"/>
    </row>
    <row r="21" spans="1:25" ht="15">
      <c r="A21" s="3758"/>
      <c r="B21" s="3766" t="s">
        <v>572</v>
      </c>
      <c r="C21" s="3767">
        <f>SUM(E21:E23)</f>
        <v>214</v>
      </c>
      <c r="D21" s="3622" t="s">
        <v>31</v>
      </c>
      <c r="E21" s="1562">
        <v>182</v>
      </c>
      <c r="F21" s="1562">
        <f>+E21</f>
        <v>182</v>
      </c>
      <c r="G21" s="1744">
        <f>+SUM('Resumen RAE Anchoveta'!F41)</f>
        <v>90.097000000000008</v>
      </c>
      <c r="H21" s="3763">
        <f>SUM(G21:G23)</f>
        <v>192.185</v>
      </c>
      <c r="I21" s="3624">
        <f t="shared" si="0"/>
        <v>91.902999999999992</v>
      </c>
      <c r="J21" s="3768">
        <f>+C21-H21</f>
        <v>21.814999999999998</v>
      </c>
      <c r="K21" s="3610">
        <f t="shared" si="4"/>
        <v>0.50496153846153846</v>
      </c>
      <c r="L21" s="3779">
        <f>1-H21/C21</f>
        <v>0.10193925233644863</v>
      </c>
      <c r="M21" s="3625"/>
    </row>
    <row r="22" spans="1:25" ht="15">
      <c r="A22" s="3758"/>
      <c r="B22" s="3766"/>
      <c r="C22" s="3767"/>
      <c r="D22" s="3622" t="s">
        <v>32</v>
      </c>
      <c r="E22" s="1562">
        <v>21</v>
      </c>
      <c r="F22" s="1562">
        <f>+E22+I21</f>
        <v>112.90299999999999</v>
      </c>
      <c r="G22" s="1744">
        <f>+SUM('Resumen RAE Anchoveta'!F47)</f>
        <v>84.067000000000007</v>
      </c>
      <c r="H22" s="3763"/>
      <c r="I22" s="3624">
        <f t="shared" si="0"/>
        <v>28.835999999999984</v>
      </c>
      <c r="J22" s="3768"/>
      <c r="K22" s="3610">
        <f t="shared" si="4"/>
        <v>0.25540508223873581</v>
      </c>
      <c r="L22" s="3779"/>
      <c r="M22" s="3614"/>
    </row>
    <row r="23" spans="1:25" ht="15">
      <c r="A23" s="3758"/>
      <c r="B23" s="3766"/>
      <c r="C23" s="3767"/>
      <c r="D23" s="1054" t="s">
        <v>33</v>
      </c>
      <c r="E23" s="1562">
        <v>11</v>
      </c>
      <c r="F23" s="1562">
        <f>+E23+I22</f>
        <v>39.835999999999984</v>
      </c>
      <c r="G23" s="1744">
        <f>+SUM('Resumen RAE Anchoveta'!F53)</f>
        <v>18.021000000000001</v>
      </c>
      <c r="H23" s="3763"/>
      <c r="I23" s="3624">
        <f t="shared" si="0"/>
        <v>21.814999999999984</v>
      </c>
      <c r="J23" s="3768"/>
      <c r="K23" s="3610">
        <f t="shared" si="4"/>
        <v>0.54762024299628465</v>
      </c>
      <c r="L23" s="3779"/>
      <c r="M23" s="3614"/>
    </row>
    <row r="24" spans="1:25" ht="15">
      <c r="A24" s="3758"/>
      <c r="B24" s="3781" t="s">
        <v>1656</v>
      </c>
      <c r="C24" s="3780">
        <f>SUM(E24:E25)</f>
        <v>16688</v>
      </c>
      <c r="D24" s="3652" t="s">
        <v>34</v>
      </c>
      <c r="E24" s="3615">
        <v>15854</v>
      </c>
      <c r="F24" s="3615">
        <f>+E24</f>
        <v>15854</v>
      </c>
      <c r="G24" s="3653">
        <f>+SUM('Resumen RAE Anchoveta'!F122)</f>
        <v>15355.553000000002</v>
      </c>
      <c r="H24" s="3783">
        <f>SUM(G24:G25)</f>
        <v>17537.687000000002</v>
      </c>
      <c r="I24" s="3654">
        <f t="shared" si="0"/>
        <v>498.4469999999983</v>
      </c>
      <c r="J24" s="3784">
        <f>+C24-H24</f>
        <v>-849.68700000000172</v>
      </c>
      <c r="K24" s="3655">
        <f>1-G24/F24</f>
        <v>3.1439825911441788E-2</v>
      </c>
      <c r="L24" s="3778">
        <f>1-H24/C24</f>
        <v>-5.0916047459252267E-2</v>
      </c>
      <c r="M24" s="3656"/>
      <c r="N24" s="96"/>
    </row>
    <row r="25" spans="1:25" ht="15">
      <c r="A25" s="3758"/>
      <c r="B25" s="3766"/>
      <c r="C25" s="3767"/>
      <c r="D25" s="3622" t="s">
        <v>35</v>
      </c>
      <c r="E25" s="3626">
        <v>834</v>
      </c>
      <c r="F25" s="1562">
        <f t="shared" ref="F25" si="13">+E25+I24</f>
        <v>1332.4469999999983</v>
      </c>
      <c r="G25" s="1744">
        <f>+SUM('Resumen RAE Anchoveta'!F189)</f>
        <v>2182.134</v>
      </c>
      <c r="H25" s="3763"/>
      <c r="I25" s="3624">
        <f t="shared" si="0"/>
        <v>-849.68700000000172</v>
      </c>
      <c r="J25" s="3768"/>
      <c r="K25" s="3610">
        <f t="shared" si="4"/>
        <v>-0.63768915386503378</v>
      </c>
      <c r="L25" s="3779"/>
      <c r="M25" s="3618"/>
      <c r="N25" s="96"/>
      <c r="O25" s="181"/>
    </row>
    <row r="26" spans="1:25" s="1269" customFormat="1" ht="15">
      <c r="A26" s="3758"/>
      <c r="B26" s="3766" t="s">
        <v>12</v>
      </c>
      <c r="C26" s="3767">
        <f>SUM(E26:E28)</f>
        <v>400</v>
      </c>
      <c r="D26" s="3627" t="s">
        <v>31</v>
      </c>
      <c r="E26" s="1562">
        <v>340</v>
      </c>
      <c r="F26" s="3608">
        <f>+E26</f>
        <v>340</v>
      </c>
      <c r="G26" s="1744">
        <f>+SUM(Anchoveta!B138:B141)</f>
        <v>105.482</v>
      </c>
      <c r="H26" s="3763">
        <f>SUM(G26:G28)</f>
        <v>137.89499999999998</v>
      </c>
      <c r="I26" s="3619">
        <f t="shared" si="0"/>
        <v>234.518</v>
      </c>
      <c r="J26" s="3771">
        <f>+C26-H26</f>
        <v>262.10500000000002</v>
      </c>
      <c r="K26" s="3610">
        <f t="shared" si="4"/>
        <v>0.68975882352941176</v>
      </c>
      <c r="L26" s="3769">
        <f>1-H26/C26</f>
        <v>0.65526250000000008</v>
      </c>
      <c r="M26" s="3614"/>
    </row>
    <row r="27" spans="1:25" s="1269" customFormat="1" ht="15">
      <c r="A27" s="3758"/>
      <c r="B27" s="3766"/>
      <c r="C27" s="3767"/>
      <c r="D27" s="3627" t="s">
        <v>32</v>
      </c>
      <c r="E27" s="1562">
        <v>59</v>
      </c>
      <c r="F27" s="3608">
        <f>+E27+I26</f>
        <v>293.51800000000003</v>
      </c>
      <c r="G27" s="1744">
        <f>+SUM(Anchoveta!B142:B145)</f>
        <v>32.412999999999997</v>
      </c>
      <c r="H27" s="3763"/>
      <c r="I27" s="3619">
        <f t="shared" si="0"/>
        <v>261.10500000000002</v>
      </c>
      <c r="J27" s="3771"/>
      <c r="K27" s="3610">
        <f t="shared" si="4"/>
        <v>0.88957065665478785</v>
      </c>
      <c r="L27" s="3769"/>
      <c r="M27" s="3628"/>
      <c r="N27" s="1190"/>
    </row>
    <row r="28" spans="1:25" s="1269" customFormat="1" ht="15">
      <c r="A28" s="3758"/>
      <c r="B28" s="3766"/>
      <c r="C28" s="3767"/>
      <c r="D28" s="2047" t="s">
        <v>33</v>
      </c>
      <c r="E28" s="1562">
        <v>1</v>
      </c>
      <c r="F28" s="3608">
        <f>+E28+I27</f>
        <v>262.10500000000002</v>
      </c>
      <c r="G28" s="1744">
        <f>+SUM(Anchoveta!B146:B149)</f>
        <v>0</v>
      </c>
      <c r="H28" s="3763"/>
      <c r="I28" s="3619">
        <f t="shared" si="0"/>
        <v>262.10500000000002</v>
      </c>
      <c r="J28" s="3771"/>
      <c r="K28" s="3610">
        <f t="shared" si="4"/>
        <v>1</v>
      </c>
      <c r="L28" s="3769"/>
      <c r="M28" s="1579"/>
      <c r="N28" s="1238"/>
      <c r="O28" s="1238"/>
      <c r="P28" s="1238"/>
    </row>
    <row r="29" spans="1:25" ht="15">
      <c r="A29" s="3758"/>
      <c r="B29" s="3766" t="s">
        <v>564</v>
      </c>
      <c r="C29" s="3767">
        <f>SUM(E29:E31)</f>
        <v>2411</v>
      </c>
      <c r="D29" s="3622" t="s">
        <v>31</v>
      </c>
      <c r="E29" s="3615">
        <v>2049</v>
      </c>
      <c r="F29" s="1562">
        <f>+E29</f>
        <v>2049</v>
      </c>
      <c r="G29" s="3629">
        <f>+SUM('Resumen RAE Anchoveta'!F211)</f>
        <v>783.77400000000011</v>
      </c>
      <c r="H29" s="3763">
        <f>SUM(G29:G31)</f>
        <v>880.81100000000015</v>
      </c>
      <c r="I29" s="3619">
        <f t="shared" ref="I29:I31" si="14">+F29-G29</f>
        <v>1265.2259999999999</v>
      </c>
      <c r="J29" s="3771">
        <f>+C29-H29</f>
        <v>1530.1889999999999</v>
      </c>
      <c r="K29" s="3610">
        <f t="shared" ref="K29:K31" si="15">1-G29/F29</f>
        <v>0.61748462664714487</v>
      </c>
      <c r="L29" s="3769">
        <f>1-H29/C29</f>
        <v>0.63466984653670666</v>
      </c>
      <c r="M29" s="3614"/>
    </row>
    <row r="30" spans="1:25" ht="15">
      <c r="A30" s="3758"/>
      <c r="B30" s="3766"/>
      <c r="C30" s="3767"/>
      <c r="D30" s="3622" t="s">
        <v>32</v>
      </c>
      <c r="E30" s="1562">
        <v>241</v>
      </c>
      <c r="F30" s="1562">
        <f>+E30+I29</f>
        <v>1506.2259999999999</v>
      </c>
      <c r="G30" s="3629">
        <f>+SUM('Resumen RAE Anchoveta'!F231)</f>
        <v>65.917000000000002</v>
      </c>
      <c r="H30" s="3763"/>
      <c r="I30" s="3619">
        <f t="shared" si="14"/>
        <v>1440.309</v>
      </c>
      <c r="J30" s="3771"/>
      <c r="K30" s="3610">
        <f t="shared" si="15"/>
        <v>0.9562369790456412</v>
      </c>
      <c r="L30" s="3769"/>
      <c r="M30" s="3628"/>
      <c r="N30" s="96"/>
      <c r="O30" s="96"/>
      <c r="P30" s="96"/>
    </row>
    <row r="31" spans="1:25" ht="15">
      <c r="A31" s="3758"/>
      <c r="B31" s="3766"/>
      <c r="C31" s="3767"/>
      <c r="D31" s="1054" t="s">
        <v>33</v>
      </c>
      <c r="E31" s="1562">
        <v>121</v>
      </c>
      <c r="F31" s="1562">
        <f>+E31+I30</f>
        <v>1561.309</v>
      </c>
      <c r="G31" s="3629">
        <f>+SUM('Resumen RAE Anchoveta'!F251)</f>
        <v>31.12</v>
      </c>
      <c r="H31" s="3763"/>
      <c r="I31" s="3619">
        <f t="shared" si="14"/>
        <v>1530.1890000000001</v>
      </c>
      <c r="J31" s="3771"/>
      <c r="K31" s="3610">
        <f t="shared" si="15"/>
        <v>0.98006800703768437</v>
      </c>
      <c r="L31" s="3769"/>
      <c r="M31" s="1579"/>
      <c r="N31" s="88"/>
      <c r="O31" s="88"/>
      <c r="P31" s="88"/>
    </row>
    <row r="32" spans="1:25" ht="15">
      <c r="A32" s="3758"/>
      <c r="B32" s="3766" t="s">
        <v>1655</v>
      </c>
      <c r="C32" s="3767">
        <f>SUM(E32:E33)</f>
        <v>1485</v>
      </c>
      <c r="D32" s="3622" t="s">
        <v>36</v>
      </c>
      <c r="E32" s="1562">
        <v>1188</v>
      </c>
      <c r="F32" s="1562">
        <f>+E32</f>
        <v>1188</v>
      </c>
      <c r="G32" s="1744">
        <f>+SUM('Resumen RAE Anchoveta'!F269)</f>
        <v>104.57399999999998</v>
      </c>
      <c r="H32" s="3763">
        <f>SUM(G32:G33)</f>
        <v>292.19499999999999</v>
      </c>
      <c r="I32" s="3619">
        <f t="shared" si="0"/>
        <v>1083.4259999999999</v>
      </c>
      <c r="J32" s="3771">
        <f>+C32-H32</f>
        <v>1192.8050000000001</v>
      </c>
      <c r="K32" s="3610">
        <f t="shared" si="4"/>
        <v>0.91197474747474749</v>
      </c>
      <c r="L32" s="3769">
        <f>1-H32/C32</f>
        <v>0.8032356902356903</v>
      </c>
      <c r="M32" s="3618"/>
      <c r="W32" s="66">
        <v>898.5</v>
      </c>
      <c r="Y32" s="66">
        <v>0.85600000000000009</v>
      </c>
    </row>
    <row r="33" spans="1:25" ht="15.6" thickBot="1">
      <c r="A33" s="3759"/>
      <c r="B33" s="3766"/>
      <c r="C33" s="3767"/>
      <c r="D33" s="3630" t="s">
        <v>37</v>
      </c>
      <c r="E33" s="3626">
        <v>297</v>
      </c>
      <c r="F33" s="3617">
        <f>+E33+I32</f>
        <v>1380.4259999999999</v>
      </c>
      <c r="G33" s="1744">
        <f>+SUM('Resumen RAE Anchoveta'!F285)</f>
        <v>187.62100000000001</v>
      </c>
      <c r="H33" s="3763"/>
      <c r="I33" s="3619">
        <f t="shared" si="0"/>
        <v>1192.8049999999998</v>
      </c>
      <c r="J33" s="3771"/>
      <c r="K33" s="3610">
        <f t="shared" si="4"/>
        <v>0.86408471008224996</v>
      </c>
      <c r="L33" s="3769"/>
      <c r="M33" s="3618"/>
      <c r="W33" s="66">
        <v>898.5</v>
      </c>
    </row>
    <row r="34" spans="1:25" s="1269" customFormat="1" ht="15">
      <c r="A34" s="3748" t="s">
        <v>38</v>
      </c>
      <c r="B34" s="3764" t="s">
        <v>15</v>
      </c>
      <c r="C34" s="3782">
        <f t="shared" ref="C34:C42" si="16">SUM(E34:E35)</f>
        <v>991</v>
      </c>
      <c r="D34" s="3631" t="s">
        <v>586</v>
      </c>
      <c r="E34" s="3632">
        <v>941</v>
      </c>
      <c r="F34" s="3608">
        <f>+E34</f>
        <v>941</v>
      </c>
      <c r="G34" s="1744">
        <f>+SUM(Jurel!B7:B15)</f>
        <v>156.78700000000001</v>
      </c>
      <c r="H34" s="3763">
        <f>SUM(G34:G35)</f>
        <v>156.78700000000001</v>
      </c>
      <c r="I34" s="3624">
        <f t="shared" ref="I34:I39" si="17">+F34-G34</f>
        <v>784.21299999999997</v>
      </c>
      <c r="J34" s="3771">
        <f t="shared" ref="J34:J35" si="18">+C34-H34</f>
        <v>834.21299999999997</v>
      </c>
      <c r="K34" s="3610">
        <f t="shared" ref="K34:K39" si="19">1-G34/F34</f>
        <v>0.83338257173219976</v>
      </c>
      <c r="L34" s="3769">
        <f>1-H34/C34</f>
        <v>0.84178910191725531</v>
      </c>
      <c r="M34" s="3618"/>
      <c r="N34" s="1238"/>
      <c r="O34" s="1238"/>
      <c r="Y34" s="1269">
        <v>40.413999999999994</v>
      </c>
    </row>
    <row r="35" spans="1:25" s="1269" customFormat="1" ht="15">
      <c r="A35" s="3749"/>
      <c r="B35" s="3764"/>
      <c r="C35" s="3782">
        <f t="shared" si="16"/>
        <v>991</v>
      </c>
      <c r="D35" s="3633" t="s">
        <v>39</v>
      </c>
      <c r="E35" s="3634">
        <v>50</v>
      </c>
      <c r="F35" s="3635">
        <f>+E35+I34</f>
        <v>834.21299999999997</v>
      </c>
      <c r="G35" s="1744">
        <f>+SUM(Jurel!B16:B18)</f>
        <v>0</v>
      </c>
      <c r="H35" s="3763">
        <f t="shared" ref="H35:H41" si="20">SUM(G35:G36)</f>
        <v>1165.5370000000003</v>
      </c>
      <c r="I35" s="3624">
        <f t="shared" si="17"/>
        <v>834.21299999999997</v>
      </c>
      <c r="J35" s="3771">
        <f t="shared" si="18"/>
        <v>-174.53700000000026</v>
      </c>
      <c r="K35" s="3610">
        <f t="shared" si="19"/>
        <v>1</v>
      </c>
      <c r="L35" s="3769">
        <f t="shared" ref="L35" si="21">1-H35/C35</f>
        <v>-0.17612209889001029</v>
      </c>
      <c r="M35" s="3618"/>
      <c r="Y35" s="1269">
        <v>2027.2729999999999</v>
      </c>
    </row>
    <row r="36" spans="1:25" s="1269" customFormat="1" ht="15">
      <c r="A36" s="3749"/>
      <c r="B36" s="3764" t="s">
        <v>11</v>
      </c>
      <c r="C36" s="3782">
        <f t="shared" si="16"/>
        <v>991</v>
      </c>
      <c r="D36" s="3633" t="s">
        <v>586</v>
      </c>
      <c r="E36" s="3634">
        <v>941</v>
      </c>
      <c r="F36" s="3608">
        <f>+E36</f>
        <v>941</v>
      </c>
      <c r="G36" s="1744">
        <f>+SUM(Jurel!B23:B32)</f>
        <v>1165.5370000000003</v>
      </c>
      <c r="H36" s="3763">
        <f t="shared" si="20"/>
        <v>1165.5370000000003</v>
      </c>
      <c r="I36" s="3624">
        <f t="shared" ref="I36:I37" si="22">+F36-G36</f>
        <v>-224.53700000000026</v>
      </c>
      <c r="J36" s="3771">
        <f>+C36-H36</f>
        <v>-174.53700000000026</v>
      </c>
      <c r="K36" s="3610">
        <f t="shared" ref="K36:K37" si="23">1-G36/F36</f>
        <v>-0.23861530286928834</v>
      </c>
      <c r="L36" s="3769">
        <f>1-H36/C36</f>
        <v>-0.17612209889001029</v>
      </c>
      <c r="M36" s="3618"/>
      <c r="W36" s="1269">
        <v>2237</v>
      </c>
    </row>
    <row r="37" spans="1:25" s="1269" customFormat="1" ht="15.6" thickBot="1">
      <c r="A37" s="3749"/>
      <c r="B37" s="3764" t="s">
        <v>11</v>
      </c>
      <c r="C37" s="3782">
        <f t="shared" si="16"/>
        <v>4154</v>
      </c>
      <c r="D37" s="3633" t="s">
        <v>39</v>
      </c>
      <c r="E37" s="3636">
        <v>50</v>
      </c>
      <c r="F37" s="3635">
        <f>+E37+I36</f>
        <v>-174.53700000000026</v>
      </c>
      <c r="G37" s="1744">
        <f>+SUM(Jurel!B33:B34)</f>
        <v>0</v>
      </c>
      <c r="H37" s="3763">
        <f t="shared" si="20"/>
        <v>3616.9681200000009</v>
      </c>
      <c r="I37" s="3624">
        <f t="shared" si="22"/>
        <v>-174.53700000000026</v>
      </c>
      <c r="J37" s="3771">
        <f t="shared" ref="J37" si="24">+C37-H37</f>
        <v>537.03187999999909</v>
      </c>
      <c r="K37" s="3610">
        <f t="shared" si="23"/>
        <v>1</v>
      </c>
      <c r="L37" s="3769">
        <f t="shared" ref="L37" si="25">1-H37/C37</f>
        <v>0.1292806644198361</v>
      </c>
      <c r="M37" s="3623">
        <v>41821</v>
      </c>
      <c r="Y37" s="1269">
        <v>2261.7880000000005</v>
      </c>
    </row>
    <row r="38" spans="1:25" s="1269" customFormat="1" ht="15">
      <c r="A38" s="3749"/>
      <c r="B38" s="3764" t="s">
        <v>6</v>
      </c>
      <c r="C38" s="3777">
        <f t="shared" si="16"/>
        <v>4109</v>
      </c>
      <c r="D38" s="3633" t="s">
        <v>29</v>
      </c>
      <c r="E38" s="3632">
        <f>2654+1450</f>
        <v>4104</v>
      </c>
      <c r="F38" s="3608">
        <f>+E38</f>
        <v>4104</v>
      </c>
      <c r="G38" s="1744">
        <f>+SUM(Jurel!AL39:AL48)</f>
        <v>3616.9681200000009</v>
      </c>
      <c r="H38" s="3763">
        <f t="shared" si="20"/>
        <v>3929.5381200000011</v>
      </c>
      <c r="I38" s="3624">
        <f t="shared" si="17"/>
        <v>487.03187999999909</v>
      </c>
      <c r="J38" s="3771">
        <f>+C38-H38</f>
        <v>179.46187999999893</v>
      </c>
      <c r="K38" s="3610">
        <f>1-G38/F38</f>
        <v>0.11867248538011677</v>
      </c>
      <c r="L38" s="3769">
        <f t="shared" ref="L38:L39" si="26">1-H38/C38</f>
        <v>4.367531759552179E-2</v>
      </c>
      <c r="M38" s="1579" t="s">
        <v>1294</v>
      </c>
      <c r="N38" s="2423"/>
      <c r="W38" s="1269">
        <v>5219</v>
      </c>
    </row>
    <row r="39" spans="1:25" s="1269" customFormat="1" ht="15.6" thickBot="1">
      <c r="A39" s="3749"/>
      <c r="B39" s="3764"/>
      <c r="C39" s="3777"/>
      <c r="D39" s="3633" t="s">
        <v>30</v>
      </c>
      <c r="E39" s="3637">
        <v>5</v>
      </c>
      <c r="F39" s="3613">
        <f>+E39+I38</f>
        <v>492.03187999999909</v>
      </c>
      <c r="G39" s="1744">
        <f>+SUM(Jurel!AL49:AL50)</f>
        <v>312.57</v>
      </c>
      <c r="H39" s="3763">
        <f t="shared" si="20"/>
        <v>4041.9150000000009</v>
      </c>
      <c r="I39" s="3624">
        <f t="shared" si="17"/>
        <v>179.4618799999991</v>
      </c>
      <c r="J39" s="3771">
        <f t="shared" ref="J39" si="27">+C39-H39</f>
        <v>-4041.9150000000009</v>
      </c>
      <c r="K39" s="3610">
        <f t="shared" si="19"/>
        <v>0.36473628497405375</v>
      </c>
      <c r="L39" s="3769" t="e">
        <f t="shared" si="26"/>
        <v>#DIV/0!</v>
      </c>
      <c r="M39" s="3623">
        <v>41838</v>
      </c>
      <c r="Y39" s="1269">
        <v>41.409000000000006</v>
      </c>
    </row>
    <row r="40" spans="1:25" ht="15">
      <c r="A40" s="3749"/>
      <c r="B40" s="3764" t="s">
        <v>557</v>
      </c>
      <c r="C40" s="3777">
        <f t="shared" si="16"/>
        <v>6205</v>
      </c>
      <c r="D40" s="3633" t="s">
        <v>29</v>
      </c>
      <c r="E40" s="3638">
        <v>5895</v>
      </c>
      <c r="F40" s="3608">
        <f>+E40</f>
        <v>5895</v>
      </c>
      <c r="G40" s="1744">
        <f>+('Resumen RAE Jurel'!F10)</f>
        <v>3729.3450000000007</v>
      </c>
      <c r="H40" s="3776">
        <f t="shared" si="20"/>
        <v>3795.7530000000006</v>
      </c>
      <c r="I40" s="3619">
        <f t="shared" ref="I40:I41" si="28">+F40-G40</f>
        <v>2165.6549999999993</v>
      </c>
      <c r="J40" s="3771">
        <f>+C40-H40</f>
        <v>2409.2469999999994</v>
      </c>
      <c r="K40" s="3610">
        <f t="shared" ref="K40:K41" si="29">1-G40/F40</f>
        <v>0.36737150127226448</v>
      </c>
      <c r="L40" s="3769">
        <f t="shared" ref="L40:L43" si="30">1-H40/C40</f>
        <v>0.38827510072522153</v>
      </c>
      <c r="M40" s="1579"/>
      <c r="N40" s="132"/>
      <c r="W40" s="66">
        <v>2457</v>
      </c>
    </row>
    <row r="41" spans="1:25" ht="15.6" thickBot="1">
      <c r="A41" s="3749"/>
      <c r="B41" s="3764"/>
      <c r="C41" s="3777">
        <f t="shared" si="16"/>
        <v>1690</v>
      </c>
      <c r="D41" s="3633" t="s">
        <v>30</v>
      </c>
      <c r="E41" s="3636">
        <v>310</v>
      </c>
      <c r="F41" s="3613">
        <f>+E41+I40</f>
        <v>2475.6549999999993</v>
      </c>
      <c r="G41" s="1744">
        <f>+'Resumen RAE Jurel'!F16</f>
        <v>66.408000000000001</v>
      </c>
      <c r="H41" s="3776">
        <f t="shared" si="20"/>
        <v>97.039000000000001</v>
      </c>
      <c r="I41" s="3619">
        <f t="shared" si="28"/>
        <v>2409.2469999999994</v>
      </c>
      <c r="J41" s="3771">
        <f t="shared" ref="J41" si="31">+C41-H41</f>
        <v>1592.961</v>
      </c>
      <c r="K41" s="3610">
        <f t="shared" si="29"/>
        <v>0.97317558383538905</v>
      </c>
      <c r="L41" s="3769">
        <f t="shared" si="30"/>
        <v>0.94258047337278106</v>
      </c>
      <c r="M41" s="3618"/>
      <c r="Y41" s="205"/>
    </row>
    <row r="42" spans="1:25" s="1269" customFormat="1" ht="15">
      <c r="A42" s="3749"/>
      <c r="B42" s="3764" t="s">
        <v>558</v>
      </c>
      <c r="C42" s="3765">
        <f t="shared" si="16"/>
        <v>1526</v>
      </c>
      <c r="D42" s="3633" t="s">
        <v>586</v>
      </c>
      <c r="E42" s="3632">
        <v>1380</v>
      </c>
      <c r="F42" s="3613">
        <f>+E42</f>
        <v>1380</v>
      </c>
      <c r="G42" s="1744">
        <f>+'Resumen RAE Jurel'!F24</f>
        <v>30.631000000000004</v>
      </c>
      <c r="H42" s="3763">
        <f>SUM(G42:G43)</f>
        <v>1378.779</v>
      </c>
      <c r="I42" s="3619">
        <f t="shared" ref="I42:I43" si="32">+F42-G42</f>
        <v>1349.3689999999999</v>
      </c>
      <c r="J42" s="3771">
        <f>+C42-H42</f>
        <v>147.221</v>
      </c>
      <c r="K42" s="3610">
        <f t="shared" ref="K42:K43" si="33">1-G42/F42</f>
        <v>0.97780362318840575</v>
      </c>
      <c r="L42" s="3769">
        <f>1-H42/C42</f>
        <v>9.6475098296199269E-2</v>
      </c>
      <c r="M42" s="3618"/>
      <c r="W42" s="1269">
        <v>10</v>
      </c>
      <c r="Y42" s="1269">
        <v>0.20700000000000002</v>
      </c>
    </row>
    <row r="43" spans="1:25" s="1269" customFormat="1" ht="15.6" thickBot="1">
      <c r="A43" s="3749"/>
      <c r="B43" s="3764"/>
      <c r="C43" s="3765">
        <f>SUM(E43:E43)</f>
        <v>146</v>
      </c>
      <c r="D43" s="3633" t="s">
        <v>39</v>
      </c>
      <c r="E43" s="3637">
        <v>146</v>
      </c>
      <c r="F43" s="3613">
        <f>+E43+I42</f>
        <v>1495.3689999999999</v>
      </c>
      <c r="G43" s="1744">
        <f>+'Resumen RAE Jurel'!F29</f>
        <v>1348.1479999999999</v>
      </c>
      <c r="H43" s="3763">
        <f>SUM(G43:G43)</f>
        <v>1348.1479999999999</v>
      </c>
      <c r="I43" s="3619">
        <f t="shared" si="32"/>
        <v>147.221</v>
      </c>
      <c r="J43" s="3771">
        <f t="shared" ref="J43" si="34">+C43-H43</f>
        <v>-1202.1479999999999</v>
      </c>
      <c r="K43" s="3610">
        <f t="shared" si="33"/>
        <v>9.8451285268050914E-2</v>
      </c>
      <c r="L43" s="3769">
        <f t="shared" si="30"/>
        <v>-8.2338904109589031</v>
      </c>
      <c r="M43" s="3618"/>
      <c r="Y43" s="1269">
        <v>40.537999999999997</v>
      </c>
    </row>
    <row r="44" spans="1:25" s="1269" customFormat="1" ht="15">
      <c r="A44" s="3749"/>
      <c r="B44" s="3764" t="s">
        <v>16</v>
      </c>
      <c r="C44" s="3765">
        <f t="shared" ref="C44:C54" si="35">SUM(E44:E45)</f>
        <v>12</v>
      </c>
      <c r="D44" s="3633" t="s">
        <v>586</v>
      </c>
      <c r="E44" s="3638">
        <v>11</v>
      </c>
      <c r="F44" s="3613">
        <f>+E44</f>
        <v>11</v>
      </c>
      <c r="G44" s="1744">
        <f>+SUM(Jurel!B87:B95)</f>
        <v>7.0000000000000007E-2</v>
      </c>
      <c r="H44" s="3763">
        <f t="shared" ref="H44:H54" si="36">SUM(G44:G45)</f>
        <v>0.51600000000000001</v>
      </c>
      <c r="I44" s="3619">
        <f t="shared" ref="I44:I45" si="37">+F44-G44</f>
        <v>10.93</v>
      </c>
      <c r="J44" s="3771">
        <f>+C44-H44</f>
        <v>11.484</v>
      </c>
      <c r="K44" s="3610">
        <f t="shared" ref="K44:K45" si="38">1-G44/F44</f>
        <v>0.99363636363636365</v>
      </c>
      <c r="L44" s="3769">
        <f t="shared" ref="L44" si="39">1-H44/C44</f>
        <v>0.95699999999999996</v>
      </c>
      <c r="M44" s="3618"/>
      <c r="W44" s="1269">
        <v>80</v>
      </c>
    </row>
    <row r="45" spans="1:25" s="1269" customFormat="1" ht="15">
      <c r="A45" s="3749"/>
      <c r="B45" s="3764"/>
      <c r="C45" s="3765">
        <f t="shared" si="35"/>
        <v>92</v>
      </c>
      <c r="D45" s="3633" t="s">
        <v>39</v>
      </c>
      <c r="E45" s="3634">
        <v>1</v>
      </c>
      <c r="F45" s="3613">
        <f>+E45+I44</f>
        <v>11.93</v>
      </c>
      <c r="G45" s="1744">
        <f>+SUM(Jurel!B96:B98)</f>
        <v>0.44600000000000001</v>
      </c>
      <c r="H45" s="3763">
        <f t="shared" si="36"/>
        <v>51.733999999999995</v>
      </c>
      <c r="I45" s="3619">
        <f t="shared" si="37"/>
        <v>11.484</v>
      </c>
      <c r="J45" s="3771">
        <f t="shared" ref="J45" si="40">+C45-H45</f>
        <v>40.266000000000005</v>
      </c>
      <c r="K45" s="3610">
        <f t="shared" si="38"/>
        <v>0.96261525565800499</v>
      </c>
      <c r="L45" s="3769"/>
      <c r="M45" s="3618"/>
    </row>
    <row r="46" spans="1:25" s="1269" customFormat="1" ht="15">
      <c r="A46" s="3749"/>
      <c r="B46" s="3764" t="s">
        <v>17</v>
      </c>
      <c r="C46" s="3765">
        <f t="shared" si="35"/>
        <v>96</v>
      </c>
      <c r="D46" s="3633" t="s">
        <v>586</v>
      </c>
      <c r="E46" s="3634">
        <v>91</v>
      </c>
      <c r="F46" s="3608">
        <f>+E46</f>
        <v>91</v>
      </c>
      <c r="G46" s="1744">
        <f>+SUM(Jurel!B103:B111)</f>
        <v>51.287999999999997</v>
      </c>
      <c r="H46" s="3763">
        <f t="shared" si="36"/>
        <v>51.319999999999993</v>
      </c>
      <c r="I46" s="3619">
        <f t="shared" ref="I46:I51" si="41">+F46-G46</f>
        <v>39.712000000000003</v>
      </c>
      <c r="J46" s="3774">
        <f t="shared" ref="J46:J47" si="42">+C46-H46</f>
        <v>44.680000000000007</v>
      </c>
      <c r="K46" s="3610">
        <f t="shared" ref="K46:K51" si="43">1-G46/F46</f>
        <v>0.43639560439560443</v>
      </c>
      <c r="L46" s="3769">
        <f t="shared" ref="L46:L47" si="44">1-H46/C46</f>
        <v>0.4654166666666667</v>
      </c>
      <c r="M46" s="3625"/>
      <c r="N46" s="1190"/>
      <c r="W46" s="1269">
        <v>5236</v>
      </c>
      <c r="Y46" s="1269">
        <v>5642.43</v>
      </c>
    </row>
    <row r="47" spans="1:25" s="1269" customFormat="1" ht="15">
      <c r="A47" s="3749"/>
      <c r="B47" s="3764"/>
      <c r="C47" s="3765">
        <f t="shared" si="35"/>
        <v>5919</v>
      </c>
      <c r="D47" s="3633" t="s">
        <v>39</v>
      </c>
      <c r="E47" s="3634">
        <v>5</v>
      </c>
      <c r="F47" s="3613">
        <f>+E47+I46</f>
        <v>44.712000000000003</v>
      </c>
      <c r="G47" s="1744">
        <f>+SUM(Jurel!B112:B114)</f>
        <v>3.2000000000000001E-2</v>
      </c>
      <c r="H47" s="3763">
        <f t="shared" si="36"/>
        <v>8922.0619993</v>
      </c>
      <c r="I47" s="3619">
        <f t="shared" si="41"/>
        <v>44.680000000000007</v>
      </c>
      <c r="J47" s="3774">
        <f t="shared" si="42"/>
        <v>-3003.0619993</v>
      </c>
      <c r="K47" s="3610">
        <f t="shared" si="43"/>
        <v>0.99928430846305238</v>
      </c>
      <c r="L47" s="3769">
        <f t="shared" si="44"/>
        <v>-0.50735968901841533</v>
      </c>
      <c r="M47" s="3618"/>
    </row>
    <row r="48" spans="1:25" s="1269" customFormat="1" ht="15">
      <c r="A48" s="3749"/>
      <c r="B48" s="3764" t="s">
        <v>7</v>
      </c>
      <c r="C48" s="3765">
        <f t="shared" si="35"/>
        <v>6225</v>
      </c>
      <c r="D48" s="3633" t="s">
        <v>586</v>
      </c>
      <c r="E48" s="3634">
        <v>5914</v>
      </c>
      <c r="F48" s="3608">
        <f>+E48</f>
        <v>5914</v>
      </c>
      <c r="G48" s="1744">
        <f>+SUM(Jurel!B119:B127)</f>
        <v>8922.0299993000008</v>
      </c>
      <c r="H48" s="3763">
        <f t="shared" si="36"/>
        <v>8922.0299993000008</v>
      </c>
      <c r="I48" s="3619">
        <f t="shared" si="41"/>
        <v>-3008.0299993000008</v>
      </c>
      <c r="J48" s="3771">
        <f t="shared" ref="J48:J49" si="45">+C48-H48</f>
        <v>-2697.0299993000008</v>
      </c>
      <c r="K48" s="3610">
        <f t="shared" si="43"/>
        <v>-0.5086286775955362</v>
      </c>
      <c r="L48" s="3775">
        <f t="shared" ref="L48:L49" si="46">1-H48/C48</f>
        <v>-0.43325783121285144</v>
      </c>
      <c r="M48" s="1579" t="s">
        <v>1057</v>
      </c>
      <c r="N48" s="2260"/>
      <c r="Q48" s="2057"/>
      <c r="R48" s="1340"/>
      <c r="S48" s="1190"/>
      <c r="W48" s="1269">
        <v>118</v>
      </c>
      <c r="Y48" s="1269">
        <v>0</v>
      </c>
    </row>
    <row r="49" spans="1:27" s="1269" customFormat="1" ht="15">
      <c r="A49" s="3749"/>
      <c r="B49" s="3764"/>
      <c r="C49" s="3765">
        <f t="shared" si="35"/>
        <v>444</v>
      </c>
      <c r="D49" s="3633" t="s">
        <v>39</v>
      </c>
      <c r="E49" s="3634">
        <v>311</v>
      </c>
      <c r="F49" s="3613">
        <f>+E49+I48</f>
        <v>-2697.0299993000008</v>
      </c>
      <c r="G49" s="1744">
        <f>+SUM(Jurel!B128:B130)</f>
        <v>0</v>
      </c>
      <c r="H49" s="3763">
        <f t="shared" si="36"/>
        <v>0</v>
      </c>
      <c r="I49" s="3619">
        <f t="shared" si="41"/>
        <v>-2697.0299993000008</v>
      </c>
      <c r="J49" s="3771">
        <f t="shared" si="45"/>
        <v>444</v>
      </c>
      <c r="K49" s="3610">
        <f t="shared" si="43"/>
        <v>1</v>
      </c>
      <c r="L49" s="3775">
        <f t="shared" si="46"/>
        <v>1</v>
      </c>
      <c r="M49" s="1579" t="s">
        <v>1058</v>
      </c>
      <c r="N49" s="1690"/>
    </row>
    <row r="50" spans="1:27" s="1269" customFormat="1" ht="15">
      <c r="A50" s="3749"/>
      <c r="B50" s="3764" t="s">
        <v>12</v>
      </c>
      <c r="C50" s="3765">
        <f t="shared" si="35"/>
        <v>140</v>
      </c>
      <c r="D50" s="3633" t="s">
        <v>586</v>
      </c>
      <c r="E50" s="3634">
        <v>133</v>
      </c>
      <c r="F50" s="3608">
        <f>+E50</f>
        <v>133</v>
      </c>
      <c r="G50" s="1744">
        <f>+SUM(Jurel!B135:B143)</f>
        <v>0</v>
      </c>
      <c r="H50" s="3763">
        <f t="shared" si="36"/>
        <v>0</v>
      </c>
      <c r="I50" s="3619">
        <f t="shared" si="41"/>
        <v>133</v>
      </c>
      <c r="J50" s="3771">
        <f t="shared" ref="J50:J51" si="47">+C50-H50</f>
        <v>140</v>
      </c>
      <c r="K50" s="3610">
        <f t="shared" si="43"/>
        <v>1</v>
      </c>
      <c r="L50" s="3769">
        <f t="shared" ref="L50:L51" si="48">1-H50/C50</f>
        <v>1</v>
      </c>
      <c r="M50" s="3618"/>
      <c r="W50" s="1269">
        <v>612</v>
      </c>
      <c r="Y50" s="1269">
        <v>15.382</v>
      </c>
    </row>
    <row r="51" spans="1:27" s="1269" customFormat="1" ht="15">
      <c r="A51" s="3749"/>
      <c r="B51" s="3764"/>
      <c r="C51" s="3765">
        <f t="shared" si="35"/>
        <v>698</v>
      </c>
      <c r="D51" s="3633" t="s">
        <v>39</v>
      </c>
      <c r="E51" s="3634">
        <v>7</v>
      </c>
      <c r="F51" s="3613">
        <f>+E51+I50</f>
        <v>140</v>
      </c>
      <c r="G51" s="1744">
        <f>+SUM(Jurel!B144:B146)</f>
        <v>0</v>
      </c>
      <c r="H51" s="3763">
        <f t="shared" si="36"/>
        <v>1.4999999999999999E-2</v>
      </c>
      <c r="I51" s="3619">
        <f t="shared" si="41"/>
        <v>140</v>
      </c>
      <c r="J51" s="3771">
        <f t="shared" si="47"/>
        <v>697.98500000000001</v>
      </c>
      <c r="K51" s="3610">
        <f t="shared" si="43"/>
        <v>1</v>
      </c>
      <c r="L51" s="3769">
        <f t="shared" si="48"/>
        <v>0.99997851002865334</v>
      </c>
      <c r="M51" s="3618"/>
    </row>
    <row r="52" spans="1:27" ht="15">
      <c r="A52" s="3749"/>
      <c r="B52" s="3773" t="s">
        <v>564</v>
      </c>
      <c r="C52" s="3765">
        <f t="shared" si="35"/>
        <v>728</v>
      </c>
      <c r="D52" s="3633" t="s">
        <v>586</v>
      </c>
      <c r="E52" s="3634">
        <v>691</v>
      </c>
      <c r="F52" s="3608">
        <f>+E52</f>
        <v>691</v>
      </c>
      <c r="G52" s="1744">
        <f>+SUM('Resumen RAE Jurel'!F51)</f>
        <v>1.4999999999999999E-2</v>
      </c>
      <c r="H52" s="3763">
        <f t="shared" si="36"/>
        <v>1.4999999999999999E-2</v>
      </c>
      <c r="I52" s="3619">
        <f t="shared" ref="I52:I53" si="49">+F52-G52</f>
        <v>690.98500000000001</v>
      </c>
      <c r="J52" s="3771">
        <f t="shared" ref="J52:J53" si="50">+C52-H52</f>
        <v>727.98500000000001</v>
      </c>
      <c r="K52" s="3610">
        <f t="shared" ref="K52:K53" si="51">1-G52/F52</f>
        <v>0.99997829232995661</v>
      </c>
      <c r="L52" s="3769">
        <f t="shared" ref="L52:L53" si="52">1-H52/C52</f>
        <v>0.99997939560439564</v>
      </c>
      <c r="M52" s="3618"/>
      <c r="W52" s="66">
        <v>4096</v>
      </c>
      <c r="Y52" s="66">
        <v>116.27800000000001</v>
      </c>
    </row>
    <row r="53" spans="1:27" ht="15.6" thickBot="1">
      <c r="A53" s="3749"/>
      <c r="B53" s="3773"/>
      <c r="C53" s="3765">
        <f t="shared" si="35"/>
        <v>4664</v>
      </c>
      <c r="D53" s="3633" t="s">
        <v>39</v>
      </c>
      <c r="E53" s="3636">
        <v>37</v>
      </c>
      <c r="F53" s="3613">
        <f>+E53+I52</f>
        <v>727.98500000000001</v>
      </c>
      <c r="G53" s="1744">
        <f>+SUM('Resumen RAE Jurel'!F71)</f>
        <v>0</v>
      </c>
      <c r="H53" s="3763">
        <f t="shared" si="36"/>
        <v>3.0590000000000002</v>
      </c>
      <c r="I53" s="3619">
        <f t="shared" si="49"/>
        <v>727.98500000000001</v>
      </c>
      <c r="J53" s="3771">
        <f t="shared" si="50"/>
        <v>4660.9409999999998</v>
      </c>
      <c r="K53" s="3610">
        <f t="shared" si="51"/>
        <v>1</v>
      </c>
      <c r="L53" s="3769">
        <f t="shared" si="52"/>
        <v>0.99934412521440819</v>
      </c>
      <c r="M53" s="3618"/>
      <c r="Y53" s="66">
        <v>0</v>
      </c>
    </row>
    <row r="54" spans="1:27" ht="15">
      <c r="A54" s="3749"/>
      <c r="B54" s="3772" t="s">
        <v>573</v>
      </c>
      <c r="C54" s="3765">
        <f t="shared" si="35"/>
        <v>4870</v>
      </c>
      <c r="D54" s="3633" t="s">
        <v>586</v>
      </c>
      <c r="E54" s="3632">
        <v>4627</v>
      </c>
      <c r="F54" s="3608">
        <f>+E54</f>
        <v>4627</v>
      </c>
      <c r="G54" s="1744">
        <f>+SUM('Resumen RAE Jurel'!F88)</f>
        <v>3.0590000000000002</v>
      </c>
      <c r="H54" s="3763">
        <f t="shared" si="36"/>
        <v>43.912999999999997</v>
      </c>
      <c r="I54" s="3619">
        <f t="shared" ref="I54:I55" si="53">+F54-G54</f>
        <v>4623.9409999999998</v>
      </c>
      <c r="J54" s="3771">
        <f t="shared" ref="J54:J55" si="54">+C54-H54</f>
        <v>4826.0870000000004</v>
      </c>
      <c r="K54" s="3610">
        <f t="shared" ref="K54:K55" si="55">1-G54/F54</f>
        <v>0.99933888048411501</v>
      </c>
      <c r="L54" s="3769">
        <f t="shared" ref="L54:L55" si="56">1-H54/C54</f>
        <v>0.99098295687885007</v>
      </c>
      <c r="M54" s="3618"/>
      <c r="P54" s="66">
        <v>44.786000000000001</v>
      </c>
      <c r="W54" s="66">
        <v>2</v>
      </c>
    </row>
    <row r="55" spans="1:27" ht="15.6" thickBot="1">
      <c r="A55" s="3750"/>
      <c r="B55" s="3772"/>
      <c r="C55" s="3765">
        <f>SUM(E55:E55)</f>
        <v>243</v>
      </c>
      <c r="D55" s="3639" t="s">
        <v>39</v>
      </c>
      <c r="E55" s="3637">
        <v>243</v>
      </c>
      <c r="F55" s="3613">
        <f>+E55+I54</f>
        <v>4866.9409999999998</v>
      </c>
      <c r="G55" s="1744">
        <f>+SUM('Resumen RAE Jurel'!F103)</f>
        <v>40.853999999999999</v>
      </c>
      <c r="H55" s="3763">
        <f>SUM(G55:G55)</f>
        <v>40.853999999999999</v>
      </c>
      <c r="I55" s="3619">
        <f t="shared" si="53"/>
        <v>4826.0869999999995</v>
      </c>
      <c r="J55" s="3771">
        <f t="shared" si="54"/>
        <v>202.14600000000002</v>
      </c>
      <c r="K55" s="3610">
        <f t="shared" si="55"/>
        <v>0.99160581564477568</v>
      </c>
      <c r="L55" s="3769">
        <f t="shared" si="56"/>
        <v>0.83187654320987658</v>
      </c>
      <c r="M55" s="3618"/>
      <c r="P55" s="66">
        <v>18.760999999999999</v>
      </c>
      <c r="W55" s="1109">
        <v>327</v>
      </c>
    </row>
    <row r="56" spans="1:27" ht="15">
      <c r="A56" s="3751" t="s">
        <v>14</v>
      </c>
      <c r="B56" s="3770" t="s">
        <v>15</v>
      </c>
      <c r="C56" s="3767">
        <f>SUM(E56:E57)</f>
        <v>186</v>
      </c>
      <c r="D56" s="3615" t="s">
        <v>584</v>
      </c>
      <c r="E56" s="3615">
        <v>140</v>
      </c>
      <c r="F56" s="1562">
        <f>+E56</f>
        <v>140</v>
      </c>
      <c r="G56" s="1744">
        <f>+SUM(S.española!B7:B12)</f>
        <v>0.35</v>
      </c>
      <c r="H56" s="3763">
        <f>SUM(G56:G57)</f>
        <v>0.85</v>
      </c>
      <c r="I56" s="3640">
        <f t="shared" ref="I56:I75" si="57">+F56-G56</f>
        <v>139.65</v>
      </c>
      <c r="J56" s="3771">
        <f t="shared" ref="J56:J57" si="58">+C56-H56</f>
        <v>185.15</v>
      </c>
      <c r="K56" s="3610">
        <f t="shared" ref="K56:K75" si="59">1-G56/F56</f>
        <v>0.99750000000000005</v>
      </c>
      <c r="L56" s="3769">
        <f t="shared" ref="L56:L57" si="60">1-H56/C56</f>
        <v>0.99543010752688177</v>
      </c>
      <c r="M56" s="3618"/>
      <c r="P56" s="66">
        <v>141.91200000000001</v>
      </c>
    </row>
    <row r="57" spans="1:27" ht="15">
      <c r="A57" s="3752"/>
      <c r="B57" s="3770"/>
      <c r="C57" s="3767">
        <f>SUM(E57:E58)</f>
        <v>575</v>
      </c>
      <c r="D57" s="1562" t="s">
        <v>28</v>
      </c>
      <c r="E57" s="1562">
        <v>46</v>
      </c>
      <c r="F57" s="1562">
        <f>+E57+I56</f>
        <v>185.65</v>
      </c>
      <c r="G57" s="1744">
        <f>+SUM(S.española!B13:B18)</f>
        <v>0.5</v>
      </c>
      <c r="H57" s="3763">
        <f>SUM(G57:G58)</f>
        <v>50.52</v>
      </c>
      <c r="I57" s="3640">
        <f t="shared" si="57"/>
        <v>185.15</v>
      </c>
      <c r="J57" s="3771">
        <f t="shared" si="58"/>
        <v>524.48</v>
      </c>
      <c r="K57" s="3610">
        <f t="shared" si="59"/>
        <v>0.99730676003231888</v>
      </c>
      <c r="L57" s="3769">
        <f t="shared" si="60"/>
        <v>0.91213913043478256</v>
      </c>
      <c r="M57" s="3618"/>
      <c r="P57" s="2266">
        <v>2302.7600000000002</v>
      </c>
    </row>
    <row r="58" spans="1:27" ht="15">
      <c r="A58" s="3752"/>
      <c r="B58" s="3770" t="s">
        <v>11</v>
      </c>
      <c r="C58" s="3767">
        <f>SUM(E58:E59)</f>
        <v>706</v>
      </c>
      <c r="D58" s="1562" t="s">
        <v>584</v>
      </c>
      <c r="E58" s="1562">
        <v>529</v>
      </c>
      <c r="F58" s="1562">
        <f>+E58</f>
        <v>529</v>
      </c>
      <c r="G58" s="1744">
        <f>+SUM(S.española!B23:B28)</f>
        <v>50.02</v>
      </c>
      <c r="H58" s="3763">
        <f>SUM(G58:G59)</f>
        <v>139.12</v>
      </c>
      <c r="I58" s="3640">
        <f t="shared" si="57"/>
        <v>478.98</v>
      </c>
      <c r="J58" s="3771">
        <f>+C58-H58</f>
        <v>566.88</v>
      </c>
      <c r="K58" s="3610">
        <f t="shared" si="59"/>
        <v>0.90544423440453681</v>
      </c>
      <c r="L58" s="3769">
        <f>1-H58/C58</f>
        <v>0.80294617563739379</v>
      </c>
      <c r="M58" s="3618"/>
      <c r="P58" s="2266">
        <v>1558.8530000000001</v>
      </c>
    </row>
    <row r="59" spans="1:27" ht="15">
      <c r="A59" s="3752"/>
      <c r="B59" s="3770"/>
      <c r="C59" s="3767">
        <f t="shared" ref="C59" si="61">SUM(E59:E61)</f>
        <v>527</v>
      </c>
      <c r="D59" s="1562" t="s">
        <v>28</v>
      </c>
      <c r="E59" s="1562">
        <v>177</v>
      </c>
      <c r="F59" s="1562">
        <f>+E59+I58</f>
        <v>655.98</v>
      </c>
      <c r="G59" s="1744">
        <f>+SUM(S.española!B29:B34)</f>
        <v>89.100000000000009</v>
      </c>
      <c r="H59" s="3763">
        <f t="shared" ref="H59" si="62">SUM(G59:G61)</f>
        <v>90.794000000000011</v>
      </c>
      <c r="I59" s="3640">
        <f t="shared" si="57"/>
        <v>566.88</v>
      </c>
      <c r="J59" s="3771">
        <f t="shared" ref="J59" si="63">+C59-H59</f>
        <v>436.20600000000002</v>
      </c>
      <c r="K59" s="3610">
        <f t="shared" si="59"/>
        <v>0.86417268819171311</v>
      </c>
      <c r="L59" s="3769">
        <f t="shared" ref="L59" si="64">1-H59/C59</f>
        <v>0.82771537001897533</v>
      </c>
      <c r="M59" s="3618"/>
      <c r="P59" s="2266">
        <v>9.1999999999999998E-2</v>
      </c>
    </row>
    <row r="60" spans="1:27" ht="15">
      <c r="A60" s="3752"/>
      <c r="B60" s="3622" t="s">
        <v>6</v>
      </c>
      <c r="C60" s="3622">
        <f>+E60</f>
        <v>245</v>
      </c>
      <c r="D60" s="3622" t="s">
        <v>726</v>
      </c>
      <c r="E60" s="1562">
        <v>245</v>
      </c>
      <c r="F60" s="1562">
        <f>+E60</f>
        <v>245</v>
      </c>
      <c r="G60" s="1562">
        <f>+S.española!B68</f>
        <v>1.5620000000000001</v>
      </c>
      <c r="H60" s="1744">
        <f>+G60</f>
        <v>1.5620000000000001</v>
      </c>
      <c r="I60" s="3640">
        <f>+F60-G60</f>
        <v>243.43799999999999</v>
      </c>
      <c r="J60" s="1744">
        <f>+C60-H60</f>
        <v>243.43799999999999</v>
      </c>
      <c r="K60" s="3610">
        <f t="shared" si="59"/>
        <v>0.99362448979591833</v>
      </c>
      <c r="L60" s="3641">
        <f>1-H60/C60</f>
        <v>0.99362448979591833</v>
      </c>
      <c r="M60" s="3618"/>
      <c r="P60" s="2266">
        <v>0.23899999999999999</v>
      </c>
    </row>
    <row r="61" spans="1:27" ht="15">
      <c r="A61" s="3753"/>
      <c r="B61" s="3622" t="s">
        <v>725</v>
      </c>
      <c r="C61" s="3622">
        <f>+E61</f>
        <v>105</v>
      </c>
      <c r="D61" s="3622" t="s">
        <v>726</v>
      </c>
      <c r="E61" s="1562">
        <v>105</v>
      </c>
      <c r="F61" s="1562">
        <f>+E61</f>
        <v>105</v>
      </c>
      <c r="G61" s="1562">
        <f>+S.española!B84</f>
        <v>0.13200000000000001</v>
      </c>
      <c r="H61" s="1744">
        <f>+G61</f>
        <v>0.13200000000000001</v>
      </c>
      <c r="I61" s="3640">
        <f>+F61-G61</f>
        <v>104.86799999999999</v>
      </c>
      <c r="J61" s="1744">
        <f>+C61-H61</f>
        <v>104.86799999999999</v>
      </c>
      <c r="K61" s="3610">
        <f t="shared" si="59"/>
        <v>0.99874285714285715</v>
      </c>
      <c r="L61" s="3641">
        <f>1-H61/C61</f>
        <v>0.99874285714285715</v>
      </c>
      <c r="M61" s="3618"/>
      <c r="P61" s="2266">
        <v>0.42199999999999999</v>
      </c>
    </row>
    <row r="62" spans="1:27" ht="15">
      <c r="A62" s="3754" t="s">
        <v>9</v>
      </c>
      <c r="B62" s="3761" t="s">
        <v>559</v>
      </c>
      <c r="C62" s="3767">
        <f>SUM(E62:E64)</f>
        <v>9314</v>
      </c>
      <c r="D62" s="3622" t="s">
        <v>41</v>
      </c>
      <c r="E62" s="1562">
        <f>4445+1278+1540</f>
        <v>7263</v>
      </c>
      <c r="F62" s="1562">
        <f>+E62</f>
        <v>7263</v>
      </c>
      <c r="G62" s="1744">
        <f>+SUM('Resumen RAE S.Común'!F10)</f>
        <v>7317.7519999999995</v>
      </c>
      <c r="H62" s="3763">
        <f>SUM(G62:G64)</f>
        <v>10053.020999999999</v>
      </c>
      <c r="I62" s="3640">
        <f t="shared" ref="I62:I64" si="65">+F62-G62</f>
        <v>-54.751999999999498</v>
      </c>
      <c r="J62" s="3771">
        <f>+C62-H62</f>
        <v>-739.02099999999882</v>
      </c>
      <c r="K62" s="3610">
        <f t="shared" ref="K62:K64" si="66">1-G62/F62</f>
        <v>-7.5384827206388394E-3</v>
      </c>
      <c r="L62" s="3769">
        <f>1-H62/C62</f>
        <v>-7.9345179299978419E-2</v>
      </c>
      <c r="M62" s="3618"/>
      <c r="P62" s="2266">
        <v>243.94</v>
      </c>
      <c r="W62" s="66">
        <f>SUM(W32:W57)</f>
        <v>22191</v>
      </c>
      <c r="Y62" s="66">
        <f t="shared" ref="Y62" si="67">SUM(Y32:Y57)</f>
        <v>10186.575000000001</v>
      </c>
      <c r="AA62" s="2157">
        <f>(Y62*100)/W62</f>
        <v>45.904082736244426</v>
      </c>
    </row>
    <row r="63" spans="1:27" ht="15">
      <c r="A63" s="3755"/>
      <c r="B63" s="3761"/>
      <c r="C63" s="3767"/>
      <c r="D63" s="3622" t="s">
        <v>42</v>
      </c>
      <c r="E63" s="1562">
        <f>165+150+821+757</f>
        <v>1893</v>
      </c>
      <c r="F63" s="1562">
        <f>+E63+I62</f>
        <v>1838.2480000000005</v>
      </c>
      <c r="G63" s="1744">
        <f>+SUM('Resumen RAE S.Común'!F15)</f>
        <v>2441.7090000000003</v>
      </c>
      <c r="H63" s="3763"/>
      <c r="I63" s="3640">
        <f t="shared" si="65"/>
        <v>-603.46099999999979</v>
      </c>
      <c r="J63" s="3771"/>
      <c r="K63" s="3610">
        <f t="shared" si="66"/>
        <v>-0.3282805149250807</v>
      </c>
      <c r="L63" s="3769"/>
      <c r="M63" s="3618"/>
      <c r="P63" s="2266">
        <v>58.238</v>
      </c>
    </row>
    <row r="64" spans="1:27" ht="15">
      <c r="A64" s="3755"/>
      <c r="B64" s="3761"/>
      <c r="C64" s="3770"/>
      <c r="D64" s="3622" t="s">
        <v>35</v>
      </c>
      <c r="E64" s="1562">
        <f>83+75</f>
        <v>158</v>
      </c>
      <c r="F64" s="1562">
        <f>+E64+I63</f>
        <v>-445.46099999999979</v>
      </c>
      <c r="G64" s="1744">
        <f>+SUM('Resumen RAE S.Común'!F20)</f>
        <v>293.55999999999995</v>
      </c>
      <c r="H64" s="3763"/>
      <c r="I64" s="3640">
        <f t="shared" si="65"/>
        <v>-739.02099999999973</v>
      </c>
      <c r="J64" s="3771"/>
      <c r="K64" s="3610">
        <f t="shared" si="66"/>
        <v>1.6590026960833835</v>
      </c>
      <c r="L64" s="3769"/>
      <c r="M64" s="3618"/>
      <c r="O64" s="1269"/>
      <c r="P64" s="66">
        <f>SUM(P54:P63)</f>
        <v>4370.0030000000006</v>
      </c>
    </row>
    <row r="65" spans="1:17" s="1269" customFormat="1" ht="15">
      <c r="A65" s="3755"/>
      <c r="B65" s="3770" t="s">
        <v>16</v>
      </c>
      <c r="C65" s="3767">
        <f>SUM(E65:E67)</f>
        <v>146</v>
      </c>
      <c r="D65" s="3622" t="s">
        <v>41</v>
      </c>
      <c r="E65" s="1562">
        <v>124</v>
      </c>
      <c r="F65" s="1562">
        <f>+E65</f>
        <v>124</v>
      </c>
      <c r="G65" s="1744">
        <f>+SUM(S.común!B22:B25)</f>
        <v>0</v>
      </c>
      <c r="H65" s="3763">
        <f>SUM(G65:G67)</f>
        <v>0</v>
      </c>
      <c r="I65" s="3640">
        <f t="shared" si="57"/>
        <v>124</v>
      </c>
      <c r="J65" s="3771">
        <f>+C65-H65</f>
        <v>146</v>
      </c>
      <c r="K65" s="3610">
        <f t="shared" si="59"/>
        <v>1</v>
      </c>
      <c r="L65" s="3795">
        <f>1-H65/C65</f>
        <v>1</v>
      </c>
      <c r="M65" s="3618"/>
    </row>
    <row r="66" spans="1:17" s="1269" customFormat="1" ht="15">
      <c r="A66" s="3755"/>
      <c r="B66" s="3770"/>
      <c r="C66" s="3767"/>
      <c r="D66" s="3622" t="s">
        <v>42</v>
      </c>
      <c r="E66" s="1562">
        <v>15</v>
      </c>
      <c r="F66" s="1562">
        <f>+E66+I65</f>
        <v>139</v>
      </c>
      <c r="G66" s="1744">
        <f>+SUM(S.común!B26:B29)</f>
        <v>0</v>
      </c>
      <c r="H66" s="3763"/>
      <c r="I66" s="3640">
        <f t="shared" si="57"/>
        <v>139</v>
      </c>
      <c r="J66" s="3771"/>
      <c r="K66" s="3610">
        <f t="shared" si="59"/>
        <v>1</v>
      </c>
      <c r="L66" s="3795"/>
      <c r="M66" s="3618"/>
    </row>
    <row r="67" spans="1:17" s="1269" customFormat="1" ht="15">
      <c r="A67" s="3755"/>
      <c r="B67" s="3770"/>
      <c r="C67" s="3770"/>
      <c r="D67" s="3622" t="s">
        <v>35</v>
      </c>
      <c r="E67" s="1562">
        <v>7</v>
      </c>
      <c r="F67" s="1562">
        <f>+E67+I66</f>
        <v>146</v>
      </c>
      <c r="G67" s="1744">
        <f>+SUM(S.común!B30:B33)</f>
        <v>0</v>
      </c>
      <c r="H67" s="3763"/>
      <c r="I67" s="3640">
        <f t="shared" si="57"/>
        <v>146</v>
      </c>
      <c r="J67" s="3771"/>
      <c r="K67" s="3610">
        <f t="shared" si="59"/>
        <v>1</v>
      </c>
      <c r="L67" s="3795"/>
      <c r="M67" s="3618"/>
      <c r="O67" s="66"/>
      <c r="Q67" s="2120"/>
    </row>
    <row r="68" spans="1:17" ht="15">
      <c r="A68" s="3755"/>
      <c r="B68" s="3770" t="s">
        <v>560</v>
      </c>
      <c r="C68" s="3767">
        <f>SUM(E68:E70)</f>
        <v>1923</v>
      </c>
      <c r="D68" s="3622" t="s">
        <v>41</v>
      </c>
      <c r="E68" s="1562">
        <v>1587</v>
      </c>
      <c r="F68" s="1562">
        <f>+E68</f>
        <v>1587</v>
      </c>
      <c r="G68" s="1744">
        <f>+SUM('Resumen RAE S.Común'!F28)</f>
        <v>1039.1179999999999</v>
      </c>
      <c r="H68" s="3763">
        <f>SUM(G68:G70)</f>
        <v>1703.1</v>
      </c>
      <c r="I68" s="3640">
        <f t="shared" si="57"/>
        <v>547.88200000000006</v>
      </c>
      <c r="J68" s="3771">
        <f>+C68-H68</f>
        <v>219.90000000000009</v>
      </c>
      <c r="K68" s="3610">
        <f t="shared" si="59"/>
        <v>0.34523125393824827</v>
      </c>
      <c r="L68" s="3769">
        <f>1-H68/C68</f>
        <v>0.11435257410296418</v>
      </c>
      <c r="M68" s="3628"/>
      <c r="N68" s="1690"/>
    </row>
    <row r="69" spans="1:17" ht="15">
      <c r="A69" s="3755"/>
      <c r="B69" s="3770"/>
      <c r="C69" s="3767"/>
      <c r="D69" s="3622" t="s">
        <v>42</v>
      </c>
      <c r="E69" s="1562">
        <v>224</v>
      </c>
      <c r="F69" s="1562">
        <f>+E69+I68</f>
        <v>771.88200000000006</v>
      </c>
      <c r="G69" s="1744">
        <f>+SUM('Resumen RAE S.Común'!F34)</f>
        <v>311.15299999999996</v>
      </c>
      <c r="H69" s="3763"/>
      <c r="I69" s="3640">
        <f t="shared" si="57"/>
        <v>460.7290000000001</v>
      </c>
      <c r="J69" s="3771"/>
      <c r="K69" s="3610">
        <f t="shared" si="59"/>
        <v>0.59689045734969859</v>
      </c>
      <c r="L69" s="3769"/>
      <c r="M69" s="3618"/>
    </row>
    <row r="70" spans="1:17" ht="15">
      <c r="A70" s="3755"/>
      <c r="B70" s="3770"/>
      <c r="C70" s="3770"/>
      <c r="D70" s="3622" t="s">
        <v>35</v>
      </c>
      <c r="E70" s="1562">
        <v>112</v>
      </c>
      <c r="F70" s="1562">
        <f>+E70+I69</f>
        <v>572.72900000000004</v>
      </c>
      <c r="G70" s="1744">
        <f>+SUM('Resumen RAE S.Común'!F40)</f>
        <v>352.82899999999995</v>
      </c>
      <c r="H70" s="3763"/>
      <c r="I70" s="3640">
        <f t="shared" si="57"/>
        <v>219.90000000000009</v>
      </c>
      <c r="J70" s="3771"/>
      <c r="K70" s="3610">
        <f t="shared" si="59"/>
        <v>0.38395122300424822</v>
      </c>
      <c r="L70" s="3769"/>
      <c r="M70" s="3618"/>
    </row>
    <row r="71" spans="1:17" ht="21" customHeight="1">
      <c r="A71" s="3755"/>
      <c r="B71" s="3761" t="s">
        <v>561</v>
      </c>
      <c r="C71" s="3767">
        <f>SUM(E71:E72)</f>
        <v>349489</v>
      </c>
      <c r="D71" s="3622" t="s">
        <v>34</v>
      </c>
      <c r="E71" s="1562">
        <v>332015</v>
      </c>
      <c r="F71" s="1562">
        <f>+E71</f>
        <v>332015</v>
      </c>
      <c r="G71" s="1744">
        <f>+SUM('Resumen RAE S.Común'!F108)</f>
        <v>283791.16749999992</v>
      </c>
      <c r="H71" s="3763">
        <f>SUM(G71:G72)</f>
        <v>323439.11049999989</v>
      </c>
      <c r="I71" s="3640">
        <f t="shared" ref="I71:I72" si="68">+F71-G71</f>
        <v>48223.832500000077</v>
      </c>
      <c r="J71" s="3771">
        <f>+C71-H71</f>
        <v>26049.889500000107</v>
      </c>
      <c r="K71" s="3610">
        <f t="shared" ref="K71:K72" si="69">1-G71/F71</f>
        <v>0.14524594521331891</v>
      </c>
      <c r="L71" s="3769">
        <f>1-H71/C71</f>
        <v>7.4537079850868326E-2</v>
      </c>
      <c r="M71" s="3618"/>
      <c r="N71" s="185"/>
    </row>
    <row r="72" spans="1:17" ht="18.75" customHeight="1" thickBot="1">
      <c r="A72" s="3755"/>
      <c r="B72" s="3761"/>
      <c r="C72" s="3767"/>
      <c r="D72" s="3622" t="s">
        <v>35</v>
      </c>
      <c r="E72" s="1562">
        <v>17474</v>
      </c>
      <c r="F72" s="1562">
        <f>+E72+I71</f>
        <v>65697.832500000077</v>
      </c>
      <c r="G72" s="1744">
        <f>+SUM('Resumen RAE S.Común'!F175)</f>
        <v>39647.942999999992</v>
      </c>
      <c r="H72" s="3763"/>
      <c r="I72" s="3640">
        <f t="shared" si="68"/>
        <v>26049.889500000085</v>
      </c>
      <c r="J72" s="3771"/>
      <c r="K72" s="3610">
        <f t="shared" si="69"/>
        <v>0.39651063830758881</v>
      </c>
      <c r="L72" s="3769"/>
      <c r="M72" s="3618"/>
      <c r="N72" s="106"/>
      <c r="O72" s="1269"/>
    </row>
    <row r="73" spans="1:17" s="1269" customFormat="1" ht="15">
      <c r="A73" s="3755"/>
      <c r="B73" s="3770" t="s">
        <v>12</v>
      </c>
      <c r="C73" s="3770">
        <f>SUM(E73:E75)</f>
        <v>7774</v>
      </c>
      <c r="D73" s="1562" t="s">
        <v>41</v>
      </c>
      <c r="E73" s="3607">
        <v>4396</v>
      </c>
      <c r="F73" s="1562">
        <f>+E73</f>
        <v>4396</v>
      </c>
      <c r="G73" s="1744">
        <f>+SUM(S.común!AL71:AL74)</f>
        <v>4397.7060000000001</v>
      </c>
      <c r="H73" s="3763">
        <f>SUM(G73:G75)</f>
        <v>7771.9490000000005</v>
      </c>
      <c r="I73" s="3640">
        <f t="shared" si="57"/>
        <v>-1.706000000000131</v>
      </c>
      <c r="J73" s="3763">
        <f>+C73-H73</f>
        <v>2.0509999999994761</v>
      </c>
      <c r="K73" s="3610">
        <f t="shared" si="59"/>
        <v>-3.8808007279356183E-4</v>
      </c>
      <c r="L73" s="3769">
        <f>1-H73/C73</f>
        <v>2.6382814509895436E-4</v>
      </c>
      <c r="M73" s="3623" t="s">
        <v>1063</v>
      </c>
      <c r="N73" s="2131" t="s">
        <v>1135</v>
      </c>
      <c r="O73" s="1555"/>
    </row>
    <row r="74" spans="1:17" s="1269" customFormat="1" ht="15">
      <c r="A74" s="3755"/>
      <c r="B74" s="3770"/>
      <c r="C74" s="3770"/>
      <c r="D74" s="1562" t="s">
        <v>42</v>
      </c>
      <c r="E74" s="3642">
        <f>775 +2602</f>
        <v>3377</v>
      </c>
      <c r="F74" s="1562">
        <f>+E74+I73</f>
        <v>3375.2939999999999</v>
      </c>
      <c r="G74" s="1744">
        <f>+SUM(S.común!AL75:AL78)</f>
        <v>773.05700000000002</v>
      </c>
      <c r="H74" s="3763"/>
      <c r="I74" s="3643">
        <f>+F74-G74</f>
        <v>2602.2370000000001</v>
      </c>
      <c r="J74" s="3763"/>
      <c r="K74" s="3610">
        <f>1-G74/F74</f>
        <v>0.7709660254780768</v>
      </c>
      <c r="L74" s="3769"/>
      <c r="M74" s="3625"/>
      <c r="N74" s="1554"/>
      <c r="O74" s="1555"/>
      <c r="P74" s="1555"/>
    </row>
    <row r="75" spans="1:17" s="1269" customFormat="1" ht="15.6" thickBot="1">
      <c r="A75" s="3755"/>
      <c r="B75" s="3770"/>
      <c r="C75" s="3770"/>
      <c r="D75" s="3621" t="s">
        <v>35</v>
      </c>
      <c r="E75" s="3612">
        <v>1</v>
      </c>
      <c r="F75" s="3621">
        <f>+E75+I74</f>
        <v>2603.2370000000001</v>
      </c>
      <c r="G75" s="1744">
        <f>+SUM(S.común!AL79:AL82)</f>
        <v>2601.1860000000001</v>
      </c>
      <c r="H75" s="3763"/>
      <c r="I75" s="3640">
        <f t="shared" si="57"/>
        <v>2.0509999999999309</v>
      </c>
      <c r="J75" s="3763"/>
      <c r="K75" s="3610">
        <f t="shared" si="59"/>
        <v>7.8786526159546622E-4</v>
      </c>
      <c r="L75" s="3769"/>
      <c r="M75" s="3625"/>
      <c r="N75" s="1556"/>
      <c r="O75" s="66"/>
      <c r="P75" s="1555"/>
    </row>
    <row r="76" spans="1:17" ht="15">
      <c r="A76" s="3755"/>
      <c r="B76" s="3761" t="s">
        <v>562</v>
      </c>
      <c r="C76" s="3767">
        <f>SUM(E76:E78)</f>
        <v>49596</v>
      </c>
      <c r="D76" s="3622" t="s">
        <v>41</v>
      </c>
      <c r="E76" s="3644">
        <v>42157</v>
      </c>
      <c r="F76" s="1562">
        <f>+E76</f>
        <v>42157</v>
      </c>
      <c r="G76" s="3629">
        <f>+SUM('Resumen RAE S.Común'!F197)</f>
        <v>34241.580999999998</v>
      </c>
      <c r="H76" s="3763">
        <f>SUM(G76:G78)</f>
        <v>57334.998</v>
      </c>
      <c r="I76" s="3640">
        <f t="shared" ref="I76:I80" si="70">+F76-G76</f>
        <v>7915.4190000000017</v>
      </c>
      <c r="J76" s="3763">
        <f>+C76-H76</f>
        <v>-7738.9979999999996</v>
      </c>
      <c r="K76" s="3610">
        <f>1-G76/F76</f>
        <v>0.18776049054724009</v>
      </c>
      <c r="L76" s="3769">
        <f>1-H76/C76</f>
        <v>-0.15604076941688838</v>
      </c>
      <c r="M76" s="3645"/>
      <c r="N76" s="1690">
        <v>1</v>
      </c>
    </row>
    <row r="77" spans="1:17" ht="15">
      <c r="A77" s="3755"/>
      <c r="B77" s="3761"/>
      <c r="C77" s="3767"/>
      <c r="D77" s="3622" t="s">
        <v>42</v>
      </c>
      <c r="E77" s="3644">
        <v>4959</v>
      </c>
      <c r="F77" s="1562">
        <f>+E77+I76</f>
        <v>12874.419000000002</v>
      </c>
      <c r="G77" s="3629">
        <f>+SUM('Resumen RAE S.Común'!F217)</f>
        <v>10511.57</v>
      </c>
      <c r="H77" s="3763"/>
      <c r="I77" s="3640">
        <f t="shared" si="70"/>
        <v>2362.849000000002</v>
      </c>
      <c r="J77" s="3763"/>
      <c r="K77" s="3610">
        <f t="shared" ref="K77:K78" si="71">1-G77/F77</f>
        <v>0.18353053446528356</v>
      </c>
      <c r="L77" s="3769"/>
      <c r="M77" s="3645"/>
    </row>
    <row r="78" spans="1:17" ht="15">
      <c r="A78" s="3755"/>
      <c r="B78" s="3761"/>
      <c r="C78" s="3767"/>
      <c r="D78" s="3622" t="s">
        <v>35</v>
      </c>
      <c r="E78" s="3644">
        <v>2480</v>
      </c>
      <c r="F78" s="1562">
        <f>+E78+I77</f>
        <v>4842.849000000002</v>
      </c>
      <c r="G78" s="3629">
        <f>+SUM('Resumen RAE S.Común'!F237)</f>
        <v>12581.847</v>
      </c>
      <c r="H78" s="3763"/>
      <c r="I78" s="3640">
        <f t="shared" si="70"/>
        <v>-7738.9979999999978</v>
      </c>
      <c r="J78" s="3763"/>
      <c r="K78" s="3610">
        <f t="shared" si="71"/>
        <v>-1.5980258727868648</v>
      </c>
      <c r="L78" s="3769"/>
      <c r="M78" s="3645"/>
    </row>
    <row r="79" spans="1:17" ht="15">
      <c r="A79" s="3755"/>
      <c r="B79" s="3761" t="s">
        <v>563</v>
      </c>
      <c r="C79" s="3767">
        <f>SUM(E79:E80)</f>
        <v>23696</v>
      </c>
      <c r="D79" s="3622" t="s">
        <v>43</v>
      </c>
      <c r="E79" s="1562">
        <v>18957</v>
      </c>
      <c r="F79" s="1562">
        <f>+E79</f>
        <v>18957</v>
      </c>
      <c r="G79" s="1744">
        <f>+SUM('Resumen RAE S.Común'!F255)</f>
        <v>819.75199999999995</v>
      </c>
      <c r="H79" s="3763">
        <f>SUM(G79:G80)</f>
        <v>1328.7649999999999</v>
      </c>
      <c r="I79" s="3640">
        <f t="shared" si="70"/>
        <v>18137.248</v>
      </c>
      <c r="J79" s="3768">
        <f>+C79-H79</f>
        <v>22367.235000000001</v>
      </c>
      <c r="K79" s="3610">
        <f>1-G79/F79</f>
        <v>0.95675729282059396</v>
      </c>
      <c r="L79" s="3769">
        <f>1-H79/C79</f>
        <v>0.94392450202565836</v>
      </c>
      <c r="M79" s="3645"/>
    </row>
    <row r="80" spans="1:17" ht="15.6" thickBot="1">
      <c r="A80" s="3756"/>
      <c r="B80" s="3761"/>
      <c r="C80" s="3767"/>
      <c r="D80" s="3622" t="s">
        <v>37</v>
      </c>
      <c r="E80" s="3626">
        <v>4739</v>
      </c>
      <c r="F80" s="1562">
        <f>+E80+I79</f>
        <v>22876.248</v>
      </c>
      <c r="G80" s="1744">
        <f>+SUM('Resumen RAE S.Común'!F271)</f>
        <v>509.01299999999998</v>
      </c>
      <c r="H80" s="3763"/>
      <c r="I80" s="3640">
        <f t="shared" si="70"/>
        <v>22367.235000000001</v>
      </c>
      <c r="J80" s="3768"/>
      <c r="K80" s="3610">
        <f t="shared" ref="K80" si="72">1-G80/F80</f>
        <v>0.97774927951471757</v>
      </c>
      <c r="L80" s="3769"/>
      <c r="M80" s="3645"/>
    </row>
    <row r="81" spans="1:14" ht="15">
      <c r="A81" s="3757" t="s">
        <v>329</v>
      </c>
      <c r="B81" s="3761" t="s">
        <v>563</v>
      </c>
      <c r="C81" s="3762">
        <f>SUM(E81:E82)</f>
        <v>22503</v>
      </c>
      <c r="D81" s="3646" t="s">
        <v>43</v>
      </c>
      <c r="E81" s="3607">
        <v>12793</v>
      </c>
      <c r="F81" s="3647">
        <f>+E81</f>
        <v>12793</v>
      </c>
      <c r="G81" s="1744">
        <f>+SUM('Resumen RAE S. Austral'!F13)</f>
        <v>13120.085999999999</v>
      </c>
      <c r="H81" s="3763">
        <f>SUM(G81:G82)</f>
        <v>22333.784</v>
      </c>
      <c r="I81" s="3640">
        <f t="shared" ref="I81:I82" si="73">+F81-G81</f>
        <v>-327.08599999999933</v>
      </c>
      <c r="J81" s="3768">
        <f>+C81-H81</f>
        <v>169.21600000000035</v>
      </c>
      <c r="K81" s="3610">
        <f>1-G81/F81</f>
        <v>-2.5567576018134863E-2</v>
      </c>
      <c r="L81" s="3769">
        <f>1-H81/C81</f>
        <v>7.5197084833134031E-3</v>
      </c>
      <c r="M81" s="3645"/>
      <c r="N81" s="1690"/>
    </row>
    <row r="82" spans="1:14" ht="15.6" thickBot="1">
      <c r="A82" s="3758"/>
      <c r="B82" s="3761"/>
      <c r="C82" s="3762"/>
      <c r="D82" s="3648" t="s">
        <v>37</v>
      </c>
      <c r="E82" s="3612">
        <v>9710</v>
      </c>
      <c r="F82" s="3647">
        <f>+E82+I81</f>
        <v>9382.9140000000007</v>
      </c>
      <c r="G82" s="1744">
        <f>+SUM('Resumen RAE S. Austral'!F25)</f>
        <v>9213.6980000000003</v>
      </c>
      <c r="H82" s="3763"/>
      <c r="I82" s="3640">
        <f t="shared" si="73"/>
        <v>169.21600000000035</v>
      </c>
      <c r="J82" s="3768"/>
      <c r="K82" s="3610">
        <f t="shared" ref="K82" si="74">1-G82/F82</f>
        <v>1.8034482677769414E-2</v>
      </c>
      <c r="L82" s="3769"/>
      <c r="M82" s="3645"/>
    </row>
    <row r="83" spans="1:14" ht="15">
      <c r="A83" s="3758"/>
      <c r="B83" s="3761" t="s">
        <v>13</v>
      </c>
      <c r="C83" s="3762">
        <f>SUM(E83:E84)</f>
        <v>7790</v>
      </c>
      <c r="D83" s="3649" t="s">
        <v>43</v>
      </c>
      <c r="E83" s="3615">
        <v>5453</v>
      </c>
      <c r="F83" s="3650">
        <f>+E83</f>
        <v>5453</v>
      </c>
      <c r="G83" s="1744">
        <f>+'Resumen RAE S. Austral'!F40</f>
        <v>3043.41</v>
      </c>
      <c r="H83" s="3763">
        <f>SUM(G83:G84)</f>
        <v>4500.33</v>
      </c>
      <c r="I83" s="3640">
        <f t="shared" ref="I83:I84" si="75">+F83-G83</f>
        <v>2409.59</v>
      </c>
      <c r="J83" s="3768">
        <f>+C83-H83</f>
        <v>3289.67</v>
      </c>
      <c r="K83" s="3610">
        <f>1-G83/F83</f>
        <v>0.44188336695397035</v>
      </c>
      <c r="L83" s="3769">
        <f>1-H83/C83</f>
        <v>0.42229396662387675</v>
      </c>
      <c r="M83" s="3645"/>
      <c r="N83" s="1690"/>
    </row>
    <row r="84" spans="1:14" ht="15">
      <c r="A84" s="3759"/>
      <c r="B84" s="3761"/>
      <c r="C84" s="3762"/>
      <c r="D84" s="3651" t="s">
        <v>37</v>
      </c>
      <c r="E84" s="1562">
        <v>2337</v>
      </c>
      <c r="F84" s="3650">
        <f>+E84+I83</f>
        <v>4746.59</v>
      </c>
      <c r="G84" s="1744">
        <f>+'Resumen RAE S. Austral'!F51</f>
        <v>1456.9199999999998</v>
      </c>
      <c r="H84" s="3763"/>
      <c r="I84" s="3640">
        <f t="shared" si="75"/>
        <v>3289.67</v>
      </c>
      <c r="J84" s="3768"/>
      <c r="K84" s="3610">
        <f t="shared" ref="K84" si="76">1-G84/F84</f>
        <v>0.69305964913759144</v>
      </c>
      <c r="L84" s="3769"/>
      <c r="M84" s="3645"/>
    </row>
    <row r="85" spans="1:14" ht="12.75" customHeight="1">
      <c r="A85" s="1269"/>
      <c r="B85" s="1269"/>
      <c r="C85" s="1269"/>
      <c r="D85" s="1269"/>
      <c r="E85" s="1269"/>
      <c r="F85" s="1269"/>
      <c r="G85" s="3657">
        <f>SUM(G7:G84)</f>
        <v>601730.18661929981</v>
      </c>
      <c r="H85" s="3658"/>
      <c r="I85" s="1269"/>
      <c r="J85" s="1269"/>
      <c r="K85" s="1269"/>
      <c r="L85" s="1269"/>
      <c r="M85" s="1269"/>
    </row>
    <row r="86" spans="1:14" ht="12.75" customHeight="1">
      <c r="A86" s="3398" t="s">
        <v>1537</v>
      </c>
      <c r="B86" s="3400" t="s">
        <v>1538</v>
      </c>
      <c r="C86" s="3398"/>
      <c r="D86" s="3398"/>
      <c r="E86" s="3398"/>
      <c r="F86" s="3398"/>
      <c r="G86" s="3398"/>
      <c r="H86" s="3399">
        <f>+'Resumen RAE Anchoveta'!Q189</f>
        <v>19380.537000000004</v>
      </c>
      <c r="K86" s="2069"/>
    </row>
    <row r="96" spans="1:14">
      <c r="A96" s="1109" t="s">
        <v>697</v>
      </c>
      <c r="B96" s="1109" t="s">
        <v>698</v>
      </c>
      <c r="C96" s="1109" t="s">
        <v>699</v>
      </c>
    </row>
    <row r="97" spans="1:4">
      <c r="A97" s="1109" t="s">
        <v>700</v>
      </c>
      <c r="B97" s="66">
        <v>16.978000000000002</v>
      </c>
      <c r="C97" s="66">
        <v>0.89300000000000002</v>
      </c>
    </row>
    <row r="98" spans="1:4">
      <c r="B98" s="66">
        <v>580.947</v>
      </c>
      <c r="C98" s="66">
        <v>30.547999999999998</v>
      </c>
    </row>
    <row r="99" spans="1:4">
      <c r="B99" s="66">
        <v>2083.9290000000001</v>
      </c>
      <c r="C99" s="66">
        <v>109.581</v>
      </c>
    </row>
    <row r="100" spans="1:4">
      <c r="B100" s="1109">
        <v>1410.7149999999999</v>
      </c>
      <c r="C100" s="1109">
        <v>74.180999999999997</v>
      </c>
    </row>
    <row r="101" spans="1:4">
      <c r="B101" s="1109">
        <v>8.3000000000000004E-2</v>
      </c>
      <c r="C101" s="1109">
        <v>4.0000000000000001E-3</v>
      </c>
    </row>
    <row r="102" spans="1:4">
      <c r="B102" s="1109">
        <v>0</v>
      </c>
      <c r="C102" s="1109">
        <v>0</v>
      </c>
    </row>
    <row r="103" spans="1:4">
      <c r="B103" s="1109">
        <v>0.217</v>
      </c>
      <c r="C103" s="1109">
        <v>1.0999999999999999E-2</v>
      </c>
    </row>
    <row r="104" spans="1:4">
      <c r="B104" s="1109">
        <v>40.570999999999998</v>
      </c>
      <c r="C104" s="1109">
        <v>2.133</v>
      </c>
    </row>
    <row r="105" spans="1:4">
      <c r="B105" s="1109">
        <v>0.45300000000000001</v>
      </c>
      <c r="C105" s="1109">
        <v>2.4E-2</v>
      </c>
    </row>
    <row r="106" spans="1:4">
      <c r="B106" s="1109">
        <v>220.75899999999999</v>
      </c>
      <c r="C106" s="1109">
        <v>11.608000000000001</v>
      </c>
    </row>
    <row r="107" spans="1:4">
      <c r="B107" s="1109">
        <v>57.348999999999997</v>
      </c>
      <c r="C107" s="1109">
        <v>3.016</v>
      </c>
    </row>
    <row r="108" spans="1:4">
      <c r="B108" s="620">
        <f>SUM(B97:B107)</f>
        <v>4412.0010000000011</v>
      </c>
      <c r="C108" s="620">
        <f>SUM(C97:C107)</f>
        <v>231.99899999999997</v>
      </c>
      <c r="D108" s="66">
        <f>SUM(B108:C108)</f>
        <v>4644.0000000000009</v>
      </c>
    </row>
  </sheetData>
  <mergeCells count="178">
    <mergeCell ref="B58:B59"/>
    <mergeCell ref="C58:C59"/>
    <mergeCell ref="H58:H59"/>
    <mergeCell ref="J58:J59"/>
    <mergeCell ref="J65:J67"/>
    <mergeCell ref="B65:B67"/>
    <mergeCell ref="L81:L82"/>
    <mergeCell ref="L79:L80"/>
    <mergeCell ref="B26:B28"/>
    <mergeCell ref="J71:J72"/>
    <mergeCell ref="L71:L72"/>
    <mergeCell ref="B76:B78"/>
    <mergeCell ref="C76:C78"/>
    <mergeCell ref="H76:H78"/>
    <mergeCell ref="J76:J78"/>
    <mergeCell ref="L76:L78"/>
    <mergeCell ref="H50:H51"/>
    <mergeCell ref="L58:L59"/>
    <mergeCell ref="B68:B70"/>
    <mergeCell ref="C65:C67"/>
    <mergeCell ref="L65:L67"/>
    <mergeCell ref="L68:L70"/>
    <mergeCell ref="B81:B82"/>
    <mergeCell ref="C81:C82"/>
    <mergeCell ref="H81:H82"/>
    <mergeCell ref="J81:J82"/>
    <mergeCell ref="B79:B80"/>
    <mergeCell ref="C79:C80"/>
    <mergeCell ref="H79:H80"/>
    <mergeCell ref="J79:J80"/>
    <mergeCell ref="A2:M2"/>
    <mergeCell ref="K4:L4"/>
    <mergeCell ref="E5:F5"/>
    <mergeCell ref="G5:H5"/>
    <mergeCell ref="I5:J5"/>
    <mergeCell ref="K5:L5"/>
    <mergeCell ref="A3:M3"/>
    <mergeCell ref="M5:M6"/>
    <mergeCell ref="C11:C12"/>
    <mergeCell ref="B11:B12"/>
    <mergeCell ref="H11:H12"/>
    <mergeCell ref="J11:J12"/>
    <mergeCell ref="L7:L8"/>
    <mergeCell ref="C9:C10"/>
    <mergeCell ref="L11:L12"/>
    <mergeCell ref="J7:J8"/>
    <mergeCell ref="H7:H8"/>
    <mergeCell ref="H9:H10"/>
    <mergeCell ref="J9:J10"/>
    <mergeCell ref="L9:L10"/>
    <mergeCell ref="B9:B10"/>
    <mergeCell ref="J36:J37"/>
    <mergeCell ref="C36:C37"/>
    <mergeCell ref="L73:L75"/>
    <mergeCell ref="C68:C70"/>
    <mergeCell ref="H68:H70"/>
    <mergeCell ref="J68:J70"/>
    <mergeCell ref="C73:C75"/>
    <mergeCell ref="B71:B72"/>
    <mergeCell ref="C71:C72"/>
    <mergeCell ref="H71:H72"/>
    <mergeCell ref="J73:J75"/>
    <mergeCell ref="H73:H75"/>
    <mergeCell ref="B73:B75"/>
    <mergeCell ref="L36:L37"/>
    <mergeCell ref="B36:B37"/>
    <mergeCell ref="C44:C45"/>
    <mergeCell ref="B44:B45"/>
    <mergeCell ref="L62:L64"/>
    <mergeCell ref="H54:H55"/>
    <mergeCell ref="J54:J55"/>
    <mergeCell ref="B62:B64"/>
    <mergeCell ref="C62:C64"/>
    <mergeCell ref="H62:H64"/>
    <mergeCell ref="J62:J64"/>
    <mergeCell ref="J21:J23"/>
    <mergeCell ref="C13:C14"/>
    <mergeCell ref="L13:L14"/>
    <mergeCell ref="H34:H35"/>
    <mergeCell ref="J34:J35"/>
    <mergeCell ref="C34:C35"/>
    <mergeCell ref="L34:L35"/>
    <mergeCell ref="J18:J20"/>
    <mergeCell ref="C18:C20"/>
    <mergeCell ref="H18:H20"/>
    <mergeCell ref="L18:L20"/>
    <mergeCell ref="C15:C17"/>
    <mergeCell ref="H15:H17"/>
    <mergeCell ref="J15:J17"/>
    <mergeCell ref="L15:L17"/>
    <mergeCell ref="C29:C31"/>
    <mergeCell ref="H29:H31"/>
    <mergeCell ref="J29:J31"/>
    <mergeCell ref="H24:H25"/>
    <mergeCell ref="L21:L23"/>
    <mergeCell ref="J24:J25"/>
    <mergeCell ref="L24:L25"/>
    <mergeCell ref="H13:H14"/>
    <mergeCell ref="J13:J14"/>
    <mergeCell ref="J26:J28"/>
    <mergeCell ref="L26:L28"/>
    <mergeCell ref="B32:B33"/>
    <mergeCell ref="C32:C33"/>
    <mergeCell ref="H32:H33"/>
    <mergeCell ref="J32:J33"/>
    <mergeCell ref="L32:L33"/>
    <mergeCell ref="L29:L31"/>
    <mergeCell ref="C24:C25"/>
    <mergeCell ref="B24:B25"/>
    <mergeCell ref="J48:J49"/>
    <mergeCell ref="L48:L49"/>
    <mergeCell ref="B48:B49"/>
    <mergeCell ref="H44:H45"/>
    <mergeCell ref="J44:J45"/>
    <mergeCell ref="J50:J51"/>
    <mergeCell ref="L42:L43"/>
    <mergeCell ref="L38:L39"/>
    <mergeCell ref="H40:H41"/>
    <mergeCell ref="J40:J41"/>
    <mergeCell ref="C40:C41"/>
    <mergeCell ref="L40:L41"/>
    <mergeCell ref="B40:B41"/>
    <mergeCell ref="H42:H43"/>
    <mergeCell ref="J42:J43"/>
    <mergeCell ref="C42:C43"/>
    <mergeCell ref="B42:B43"/>
    <mergeCell ref="H38:H39"/>
    <mergeCell ref="J38:J39"/>
    <mergeCell ref="C38:C39"/>
    <mergeCell ref="B38:B39"/>
    <mergeCell ref="J83:J84"/>
    <mergeCell ref="L83:L84"/>
    <mergeCell ref="C7:C8"/>
    <mergeCell ref="L54:L55"/>
    <mergeCell ref="C56:C57"/>
    <mergeCell ref="B56:B57"/>
    <mergeCell ref="H56:H57"/>
    <mergeCell ref="J56:J57"/>
    <mergeCell ref="L56:L57"/>
    <mergeCell ref="C54:C55"/>
    <mergeCell ref="B54:B55"/>
    <mergeCell ref="L50:L51"/>
    <mergeCell ref="C52:C53"/>
    <mergeCell ref="B52:B53"/>
    <mergeCell ref="H52:H53"/>
    <mergeCell ref="J52:J53"/>
    <mergeCell ref="L52:L53"/>
    <mergeCell ref="C50:C51"/>
    <mergeCell ref="B50:B51"/>
    <mergeCell ref="L44:L45"/>
    <mergeCell ref="C46:C47"/>
    <mergeCell ref="H46:H47"/>
    <mergeCell ref="J46:J47"/>
    <mergeCell ref="L46:L47"/>
    <mergeCell ref="A34:A55"/>
    <mergeCell ref="A56:A61"/>
    <mergeCell ref="A62:A80"/>
    <mergeCell ref="A81:A84"/>
    <mergeCell ref="A7:A33"/>
    <mergeCell ref="B7:B8"/>
    <mergeCell ref="B83:B84"/>
    <mergeCell ref="C83:C84"/>
    <mergeCell ref="H83:H84"/>
    <mergeCell ref="B46:B47"/>
    <mergeCell ref="C48:C49"/>
    <mergeCell ref="H48:H49"/>
    <mergeCell ref="B15:B17"/>
    <mergeCell ref="B29:B31"/>
    <mergeCell ref="C26:C28"/>
    <mergeCell ref="H26:H28"/>
    <mergeCell ref="B21:B23"/>
    <mergeCell ref="C21:C23"/>
    <mergeCell ref="H21:H23"/>
    <mergeCell ref="H36:H37"/>
    <mergeCell ref="B34:B35"/>
    <mergeCell ref="B13:B14"/>
    <mergeCell ref="B18:B20"/>
    <mergeCell ref="H65:H67"/>
  </mergeCells>
  <phoneticPr fontId="0" type="noConversion"/>
  <conditionalFormatting sqref="K7:K84">
    <cfRule type="cellIs" dxfId="182" priority="4" operator="lessThan">
      <formula>0.3</formula>
    </cfRule>
  </conditionalFormatting>
  <conditionalFormatting sqref="K7:K84">
    <cfRule type="cellIs" dxfId="181" priority="3" operator="lessThan">
      <formula>0.2</formula>
    </cfRule>
  </conditionalFormatting>
  <conditionalFormatting sqref="K7:K84">
    <cfRule type="cellIs" dxfId="180" priority="2" operator="lessThan">
      <formula>0.1</formula>
    </cfRule>
  </conditionalFormatting>
  <conditionalFormatting sqref="K7:K84">
    <cfRule type="cellIs" dxfId="179" priority="1" operator="lessThan">
      <formula>0.05</formula>
    </cfRule>
  </conditionalFormatting>
  <pageMargins left="0.74803149606299213" right="0.74803149606299213" top="0.98425196850393704" bottom="0.98425196850393704" header="0" footer="0"/>
  <pageSetup paperSize="5" scale="48"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tabColor theme="8" tint="0.39997558519241921"/>
  </sheetPr>
  <dimension ref="A1:AS286"/>
  <sheetViews>
    <sheetView zoomScale="70" zoomScaleNormal="70" workbookViewId="0">
      <selection activeCell="C103" sqref="C103"/>
    </sheetView>
  </sheetViews>
  <sheetFormatPr baseColWidth="10" defaultColWidth="11.44140625" defaultRowHeight="13.2"/>
  <cols>
    <col min="1" max="1" width="48.33203125" style="2266" customWidth="1"/>
    <col min="2" max="2" width="9.6640625" style="2266" customWidth="1"/>
    <col min="3" max="3" width="21.88671875" style="2266" customWidth="1"/>
    <col min="4" max="4" width="15.6640625" style="2266" bestFit="1" customWidth="1"/>
    <col min="5" max="5" width="20" style="2266" customWidth="1"/>
    <col min="6" max="6" width="19.5546875" style="2266" customWidth="1"/>
    <col min="7" max="7" width="15" style="2668" customWidth="1"/>
    <col min="8" max="8" width="14.6640625" style="2266" customWidth="1"/>
    <col min="9" max="9" width="39" style="2669" bestFit="1" customWidth="1"/>
    <col min="10" max="10" width="11.44140625" style="2266" customWidth="1"/>
    <col min="11" max="11" width="6.6640625" style="2266" customWidth="1"/>
    <col min="12" max="12" width="29.88671875" style="2266" customWidth="1"/>
    <col min="13" max="13" width="14.6640625" style="2266" customWidth="1"/>
    <col min="14" max="14" width="15.109375" style="2266" customWidth="1"/>
    <col min="15" max="15" width="11.44140625" style="2266"/>
    <col min="16" max="16" width="34.44140625" style="2266" customWidth="1"/>
    <col min="17" max="17" width="38.88671875" style="2668" customWidth="1"/>
    <col min="18" max="16384" width="11.44140625" style="2266"/>
  </cols>
  <sheetData>
    <row r="1" spans="1:17" ht="15" customHeight="1"/>
    <row r="2" spans="1:17" ht="15" customHeight="1">
      <c r="A2" s="3799" t="s">
        <v>735</v>
      </c>
      <c r="B2" s="3800"/>
      <c r="C2" s="3800"/>
      <c r="D2" s="3800"/>
      <c r="E2" s="3800"/>
      <c r="F2" s="3800"/>
      <c r="G2" s="3800"/>
      <c r="H2" s="3800"/>
      <c r="I2" s="3801"/>
    </row>
    <row r="3" spans="1:17" ht="15" customHeight="1">
      <c r="A3" s="2670"/>
      <c r="B3" s="2670"/>
      <c r="C3" s="2670"/>
      <c r="D3" s="2670"/>
      <c r="E3" s="2670"/>
      <c r="F3" s="2670"/>
      <c r="G3" s="2670"/>
      <c r="H3" s="2670"/>
      <c r="I3" s="2671"/>
    </row>
    <row r="4" spans="1:17" s="1190" customFormat="1" ht="15" customHeight="1">
      <c r="A4" s="3804" t="s">
        <v>111</v>
      </c>
      <c r="B4" s="3805"/>
      <c r="C4" s="2672"/>
      <c r="D4" s="2672"/>
      <c r="E4" s="2672"/>
      <c r="F4" s="2673"/>
      <c r="G4" s="2673"/>
      <c r="I4" s="2674"/>
      <c r="Q4" s="2673"/>
    </row>
    <row r="5" spans="1:17" s="1190" customFormat="1" ht="15" customHeight="1">
      <c r="B5" s="2673"/>
      <c r="C5" s="2672"/>
      <c r="D5" s="2672"/>
      <c r="E5" s="2672"/>
      <c r="F5" s="2673"/>
      <c r="G5" s="2673"/>
      <c r="I5" s="2674"/>
      <c r="Q5" s="2673"/>
    </row>
    <row r="6" spans="1:17" s="1190" customFormat="1" ht="15" customHeight="1">
      <c r="A6" s="2675" t="s">
        <v>45</v>
      </c>
      <c r="B6" s="2675" t="s">
        <v>46</v>
      </c>
      <c r="C6" s="2676" t="s">
        <v>47</v>
      </c>
      <c r="D6" s="2676" t="s">
        <v>182</v>
      </c>
      <c r="E6" s="2676" t="s">
        <v>48</v>
      </c>
      <c r="F6" s="2675" t="s">
        <v>19</v>
      </c>
      <c r="G6" s="2675" t="s">
        <v>20</v>
      </c>
      <c r="H6" s="2675" t="s">
        <v>49</v>
      </c>
      <c r="I6" s="2677" t="s">
        <v>22</v>
      </c>
      <c r="Q6" s="2673"/>
    </row>
    <row r="7" spans="1:17" s="1190" customFormat="1" ht="15" customHeight="1">
      <c r="A7" s="2678" t="s">
        <v>112</v>
      </c>
      <c r="B7" s="2679" t="s">
        <v>587</v>
      </c>
      <c r="C7" s="2680">
        <v>52.52</v>
      </c>
      <c r="D7" s="2680"/>
      <c r="E7" s="2680">
        <f>+C7</f>
        <v>52.52</v>
      </c>
      <c r="F7" s="2360">
        <f>+SUM('RAE Anchoveta'!B8:B17)</f>
        <v>32.524000000000001</v>
      </c>
      <c r="G7" s="2681">
        <f>+E7-F7</f>
        <v>19.996000000000002</v>
      </c>
      <c r="H7" s="2682">
        <f>+G7/E7</f>
        <v>0.38073115003808072</v>
      </c>
      <c r="I7" s="2683"/>
      <c r="J7" s="2684"/>
      <c r="Q7" s="2673"/>
    </row>
    <row r="8" spans="1:17" s="1190" customFormat="1" ht="15" customHeight="1">
      <c r="A8" s="2678" t="s">
        <v>114</v>
      </c>
      <c r="B8" s="2679" t="s">
        <v>587</v>
      </c>
      <c r="C8" s="2680">
        <v>7144.96</v>
      </c>
      <c r="D8" s="2680"/>
      <c r="E8" s="2680">
        <f>+C8+D8</f>
        <v>7144.96</v>
      </c>
      <c r="F8" s="2360">
        <f>+SUM('RAE Anchoveta'!B24:B33)</f>
        <v>7181.4279999999999</v>
      </c>
      <c r="G8" s="2681">
        <f>+E8-F8</f>
        <v>-36.467999999999847</v>
      </c>
      <c r="H8" s="2685">
        <f>+G8/E8</f>
        <v>-5.1040173772841065E-3</v>
      </c>
      <c r="I8" s="2683"/>
      <c r="J8" s="2686"/>
      <c r="L8" s="2687" t="s">
        <v>703</v>
      </c>
      <c r="Q8" s="2673"/>
    </row>
    <row r="9" spans="1:17" s="1190" customFormat="1" ht="15" customHeight="1">
      <c r="A9" s="2678" t="s">
        <v>113</v>
      </c>
      <c r="B9" s="2679" t="s">
        <v>587</v>
      </c>
      <c r="C9" s="2680">
        <v>9.52</v>
      </c>
      <c r="D9" s="2680"/>
      <c r="E9" s="2680">
        <f t="shared" ref="E9" si="0">+C9</f>
        <v>9.52</v>
      </c>
      <c r="F9" s="2360">
        <f>+SUM('RAE Anchoveta'!B40:B49)</f>
        <v>6.7260000000000009</v>
      </c>
      <c r="G9" s="2681">
        <f>+E9-F9</f>
        <v>2.7939999999999987</v>
      </c>
      <c r="H9" s="2685">
        <f>+G9/E9</f>
        <v>0.29348739495798309</v>
      </c>
      <c r="I9" s="2683"/>
      <c r="Q9" s="2673"/>
    </row>
    <row r="10" spans="1:17" s="1190" customFormat="1" ht="15" customHeight="1">
      <c r="A10" s="2688" t="s">
        <v>50</v>
      </c>
      <c r="B10" s="2689" t="s">
        <v>587</v>
      </c>
      <c r="C10" s="2690">
        <f>SUM(C7:C9)</f>
        <v>7207.0000000000009</v>
      </c>
      <c r="D10" s="2690"/>
      <c r="E10" s="2690">
        <f>SUM(E7:E9)</f>
        <v>7207.0000000000009</v>
      </c>
      <c r="F10" s="2691">
        <f>SUM(F7:F9)</f>
        <v>7220.6779999999999</v>
      </c>
      <c r="G10" s="2692">
        <f>+E10-F10</f>
        <v>-13.677999999998974</v>
      </c>
      <c r="I10" s="2674"/>
      <c r="Q10" s="2673"/>
    </row>
    <row r="11" spans="1:17" s="1190" customFormat="1" ht="20.25" customHeight="1">
      <c r="B11" s="2673"/>
      <c r="C11" s="2672">
        <v>105</v>
      </c>
      <c r="D11" s="2672"/>
      <c r="E11" s="2672"/>
      <c r="F11" s="2673"/>
      <c r="G11" s="2673"/>
      <c r="I11" s="2674"/>
      <c r="Q11" s="2673"/>
    </row>
    <row r="12" spans="1:17" s="1190" customFormat="1" ht="15" customHeight="1">
      <c r="A12" s="2675" t="s">
        <v>45</v>
      </c>
      <c r="B12" s="2675" t="s">
        <v>46</v>
      </c>
      <c r="C12" s="2676" t="s">
        <v>47</v>
      </c>
      <c r="D12" s="2676" t="s">
        <v>182</v>
      </c>
      <c r="E12" s="2676" t="s">
        <v>48</v>
      </c>
      <c r="F12" s="2675" t="s">
        <v>19</v>
      </c>
      <c r="G12" s="2675" t="s">
        <v>20</v>
      </c>
      <c r="H12" s="2675" t="s">
        <v>49</v>
      </c>
      <c r="I12" s="2693" t="s">
        <v>22</v>
      </c>
      <c r="Q12" s="2673"/>
    </row>
    <row r="13" spans="1:17" s="1190" customFormat="1" ht="15" customHeight="1">
      <c r="A13" s="2678" t="s">
        <v>112</v>
      </c>
      <c r="B13" s="2679" t="s">
        <v>40</v>
      </c>
      <c r="C13" s="2680">
        <v>2.76</v>
      </c>
      <c r="D13" s="2680"/>
      <c r="E13" s="2680">
        <f>+C13+G7</f>
        <v>22.756</v>
      </c>
      <c r="F13" s="2694">
        <f>+SUM('RAE Anchoveta'!B18:B19)</f>
        <v>0.5</v>
      </c>
      <c r="G13" s="2681">
        <f>+E13-F13</f>
        <v>22.256</v>
      </c>
      <c r="H13" s="2682">
        <f>+G13/E13</f>
        <v>0.9780277728950606</v>
      </c>
      <c r="I13" s="2695"/>
      <c r="Q13" s="2673"/>
    </row>
    <row r="14" spans="1:17" s="1190" customFormat="1" ht="15" customHeight="1">
      <c r="A14" s="2678" t="s">
        <v>114</v>
      </c>
      <c r="B14" s="2679" t="s">
        <v>40</v>
      </c>
      <c r="C14" s="2680">
        <v>375.74</v>
      </c>
      <c r="D14" s="2680"/>
      <c r="E14" s="2680">
        <f>+C14+G8</f>
        <v>339.27200000000016</v>
      </c>
      <c r="F14" s="2360">
        <f>+SUM('RAE Anchoveta'!B34:B35)</f>
        <v>0</v>
      </c>
      <c r="G14" s="2681">
        <f>+E14-F14</f>
        <v>339.27200000000016</v>
      </c>
      <c r="H14" s="2682">
        <f>+G14/E14</f>
        <v>1</v>
      </c>
      <c r="I14" s="2683"/>
      <c r="Q14" s="2673"/>
    </row>
    <row r="15" spans="1:17" s="1190" customFormat="1" ht="15" customHeight="1">
      <c r="A15" s="2678" t="s">
        <v>113</v>
      </c>
      <c r="B15" s="2679" t="s">
        <v>40</v>
      </c>
      <c r="C15" s="2680">
        <v>0.5</v>
      </c>
      <c r="D15" s="2680"/>
      <c r="E15" s="2680">
        <f>+C15+G9</f>
        <v>3.2939999999999987</v>
      </c>
      <c r="F15" s="2360">
        <f>+SUM('RAE Anchoveta'!B50:B51)</f>
        <v>0</v>
      </c>
      <c r="G15" s="2681">
        <f>+E15-F15</f>
        <v>3.2939999999999987</v>
      </c>
      <c r="H15" s="2682">
        <f>+G15/E15</f>
        <v>1</v>
      </c>
      <c r="I15" s="2683"/>
      <c r="Q15" s="2673"/>
    </row>
    <row r="16" spans="1:17" s="1190" customFormat="1" ht="15" customHeight="1">
      <c r="A16" s="2688" t="s">
        <v>50</v>
      </c>
      <c r="B16" s="2689" t="s">
        <v>40</v>
      </c>
      <c r="C16" s="2690">
        <f>SUM(C13:C15)</f>
        <v>379</v>
      </c>
      <c r="D16" s="2690"/>
      <c r="E16" s="2690">
        <f>+C16</f>
        <v>379</v>
      </c>
      <c r="F16" s="2691">
        <f>SUM(F13:F15)</f>
        <v>0.5</v>
      </c>
      <c r="G16" s="2692">
        <f>+E16-F16</f>
        <v>378.5</v>
      </c>
      <c r="H16" s="1273"/>
      <c r="I16" s="2674"/>
      <c r="Q16" s="2673"/>
    </row>
    <row r="17" spans="1:17" ht="15" customHeight="1">
      <c r="A17" s="2670"/>
      <c r="B17" s="2670"/>
      <c r="C17" s="2696"/>
      <c r="D17" s="2696"/>
      <c r="E17" s="2697"/>
      <c r="F17" s="2670"/>
      <c r="G17" s="2670"/>
      <c r="H17" s="2670"/>
      <c r="I17" s="2671"/>
    </row>
    <row r="18" spans="1:17" s="1190" customFormat="1" ht="15" customHeight="1">
      <c r="A18" s="3804" t="s">
        <v>44</v>
      </c>
      <c r="B18" s="3805"/>
      <c r="C18" s="2672"/>
      <c r="D18" s="2672"/>
      <c r="E18" s="2672"/>
      <c r="F18" s="2673"/>
      <c r="G18" s="2673"/>
      <c r="I18" s="2674"/>
      <c r="Q18" s="2673"/>
    </row>
    <row r="19" spans="1:17" s="1190" customFormat="1" ht="5.0999999999999996" customHeight="1">
      <c r="B19" s="2673"/>
      <c r="C19" s="2672"/>
      <c r="D19" s="2672"/>
      <c r="E19" s="2672"/>
      <c r="F19" s="2673"/>
      <c r="G19" s="2673"/>
      <c r="I19" s="2674"/>
      <c r="Q19" s="2673"/>
    </row>
    <row r="20" spans="1:17" s="1190" customFormat="1" ht="15" customHeight="1">
      <c r="A20" s="2675" t="s">
        <v>45</v>
      </c>
      <c r="B20" s="2675" t="s">
        <v>46</v>
      </c>
      <c r="C20" s="2676" t="s">
        <v>47</v>
      </c>
      <c r="D20" s="2676" t="s">
        <v>590</v>
      </c>
      <c r="E20" s="2676" t="s">
        <v>48</v>
      </c>
      <c r="F20" s="2675" t="s">
        <v>19</v>
      </c>
      <c r="G20" s="2675" t="s">
        <v>20</v>
      </c>
      <c r="H20" s="2675" t="s">
        <v>49</v>
      </c>
      <c r="I20" s="2693" t="s">
        <v>22</v>
      </c>
      <c r="Q20" s="2673"/>
    </row>
    <row r="21" spans="1:17" s="1190" customFormat="1" ht="15" customHeight="1">
      <c r="A21" s="2678" t="s">
        <v>94</v>
      </c>
      <c r="B21" s="2679" t="s">
        <v>31</v>
      </c>
      <c r="C21" s="2698">
        <v>1981</v>
      </c>
      <c r="D21" s="2698"/>
      <c r="E21" s="2698">
        <f>+C21+D21</f>
        <v>1981</v>
      </c>
      <c r="F21" s="2694">
        <f>+SUM('RAE Anchoveta'!B58:B61)</f>
        <v>2117.2759999999998</v>
      </c>
      <c r="G21" s="2681">
        <f>+E21-F21</f>
        <v>-136.27599999999984</v>
      </c>
      <c r="H21" s="3686">
        <f>+G21/E21</f>
        <v>-6.8791519434628898E-2</v>
      </c>
      <c r="I21" s="2683" t="s">
        <v>1136</v>
      </c>
      <c r="L21" s="2687" t="s">
        <v>703</v>
      </c>
      <c r="Q21" s="2673"/>
    </row>
    <row r="22" spans="1:17" s="1190" customFormat="1" ht="15" customHeight="1">
      <c r="A22" s="2678" t="s">
        <v>95</v>
      </c>
      <c r="B22" s="2699" t="s">
        <v>31</v>
      </c>
      <c r="C22" s="2698">
        <v>17</v>
      </c>
      <c r="D22" s="2698"/>
      <c r="E22" s="2698">
        <f>+C22+D22</f>
        <v>17</v>
      </c>
      <c r="F22" s="2360">
        <f>+SUM('RAE Anchoveta'!B74:B77)</f>
        <v>39.120000000000005</v>
      </c>
      <c r="G22" s="2700">
        <f>+E22-F22</f>
        <v>-22.120000000000005</v>
      </c>
      <c r="H22" s="3686">
        <f>+G22/E22</f>
        <v>-1.3011764705882356</v>
      </c>
      <c r="I22" s="2683" t="s">
        <v>1047</v>
      </c>
      <c r="L22" s="2687" t="s">
        <v>703</v>
      </c>
      <c r="Q22" s="2673"/>
    </row>
    <row r="23" spans="1:17" s="1190" customFormat="1" ht="15" customHeight="1">
      <c r="A23" s="2688" t="s">
        <v>50</v>
      </c>
      <c r="B23" s="2688" t="s">
        <v>31</v>
      </c>
      <c r="C23" s="2690">
        <f>SUM(C21:C22)</f>
        <v>1998</v>
      </c>
      <c r="D23" s="2690"/>
      <c r="E23" s="2690">
        <f>SUM(E21:E22)</f>
        <v>1998</v>
      </c>
      <c r="F23" s="2691">
        <f>SUM(F21:F22)</f>
        <v>2156.3959999999997</v>
      </c>
      <c r="G23" s="2692">
        <f>+E23-F23</f>
        <v>-158.39599999999973</v>
      </c>
      <c r="I23" s="2674"/>
      <c r="Q23" s="2673"/>
    </row>
    <row r="24" spans="1:17" s="1190" customFormat="1" ht="5.0999999999999996" customHeight="1">
      <c r="A24" s="2701"/>
      <c r="B24" s="2673"/>
      <c r="C24" s="2702"/>
      <c r="D24" s="2702"/>
      <c r="E24" s="2702"/>
      <c r="F24" s="2703"/>
      <c r="G24" s="2704"/>
      <c r="I24" s="2674"/>
      <c r="Q24" s="2673"/>
    </row>
    <row r="25" spans="1:17" s="1190" customFormat="1" ht="15" customHeight="1">
      <c r="A25" s="2675" t="s">
        <v>45</v>
      </c>
      <c r="B25" s="2675" t="s">
        <v>46</v>
      </c>
      <c r="C25" s="2676" t="s">
        <v>47</v>
      </c>
      <c r="D25" s="2676"/>
      <c r="E25" s="2676" t="s">
        <v>48</v>
      </c>
      <c r="F25" s="2675" t="s">
        <v>19</v>
      </c>
      <c r="G25" s="2705" t="s">
        <v>20</v>
      </c>
      <c r="H25" s="2675" t="s">
        <v>49</v>
      </c>
      <c r="I25" s="2693" t="s">
        <v>22</v>
      </c>
      <c r="Q25" s="2673"/>
    </row>
    <row r="26" spans="1:17" s="1190" customFormat="1" ht="15" customHeight="1">
      <c r="A26" s="2678" t="s">
        <v>94</v>
      </c>
      <c r="B26" s="2679" t="s">
        <v>32</v>
      </c>
      <c r="C26" s="2698">
        <v>1</v>
      </c>
      <c r="D26" s="2698"/>
      <c r="E26" s="2698">
        <f>+C26+G21+D26</f>
        <v>-135.27599999999984</v>
      </c>
      <c r="F26" s="2694">
        <f>+SUM('RAE Anchoveta'!B62:B65)</f>
        <v>0</v>
      </c>
      <c r="G26" s="2681">
        <f>+E26-F26</f>
        <v>-135.27599999999984</v>
      </c>
      <c r="H26" s="2682">
        <f>+G26/E26</f>
        <v>1</v>
      </c>
      <c r="I26" s="2683" t="s">
        <v>1136</v>
      </c>
      <c r="Q26" s="2673"/>
    </row>
    <row r="27" spans="1:17" s="1190" customFormat="1" ht="15" customHeight="1">
      <c r="A27" s="2678" t="s">
        <v>95</v>
      </c>
      <c r="B27" s="2699" t="s">
        <v>32</v>
      </c>
      <c r="C27" s="2698">
        <v>2</v>
      </c>
      <c r="D27" s="2698"/>
      <c r="E27" s="2698">
        <f>+C27+G22+D27</f>
        <v>-20.120000000000005</v>
      </c>
      <c r="F27" s="2360">
        <f>+SUM('RAE Anchoveta'!B78:B81)</f>
        <v>0</v>
      </c>
      <c r="G27" s="2700">
        <f>+E27-F27</f>
        <v>-20.120000000000005</v>
      </c>
      <c r="H27" s="2682">
        <f>+G27/E27</f>
        <v>1</v>
      </c>
      <c r="I27" s="2683" t="s">
        <v>1047</v>
      </c>
      <c r="Q27" s="2673"/>
    </row>
    <row r="28" spans="1:17" s="1190" customFormat="1" ht="15" customHeight="1">
      <c r="A28" s="2688" t="s">
        <v>50</v>
      </c>
      <c r="B28" s="2689" t="s">
        <v>32</v>
      </c>
      <c r="C28" s="2690">
        <f>SUM(C26:C27)</f>
        <v>3</v>
      </c>
      <c r="D28" s="2690"/>
      <c r="E28" s="2690">
        <f>+C28+G23</f>
        <v>-155.39599999999973</v>
      </c>
      <c r="F28" s="2690">
        <f>SUM(F26:F27)</f>
        <v>0</v>
      </c>
      <c r="G28" s="2692">
        <f>+E28-F28</f>
        <v>-155.39599999999973</v>
      </c>
      <c r="H28" s="2673"/>
      <c r="I28" s="2674"/>
      <c r="Q28" s="2673"/>
    </row>
    <row r="29" spans="1:17" s="1190" customFormat="1" ht="5.0999999999999996" customHeight="1">
      <c r="A29" s="2706"/>
      <c r="B29" s="2707"/>
      <c r="C29" s="2702"/>
      <c r="D29" s="2702"/>
      <c r="E29" s="2702"/>
      <c r="F29" s="2702"/>
      <c r="G29" s="2704"/>
      <c r="H29" s="2673"/>
      <c r="I29" s="2674"/>
      <c r="Q29" s="2673"/>
    </row>
    <row r="30" spans="1:17" s="1190" customFormat="1" ht="15" customHeight="1">
      <c r="A30" s="2675" t="s">
        <v>45</v>
      </c>
      <c r="B30" s="2675" t="s">
        <v>46</v>
      </c>
      <c r="C30" s="2676" t="s">
        <v>47</v>
      </c>
      <c r="D30" s="2676"/>
      <c r="E30" s="2676" t="s">
        <v>48</v>
      </c>
      <c r="F30" s="2675" t="s">
        <v>19</v>
      </c>
      <c r="G30" s="2705" t="s">
        <v>20</v>
      </c>
      <c r="H30" s="2675" t="s">
        <v>49</v>
      </c>
      <c r="I30" s="2693" t="s">
        <v>22</v>
      </c>
      <c r="Q30" s="2673"/>
    </row>
    <row r="31" spans="1:17" s="1190" customFormat="1" ht="15" customHeight="1">
      <c r="A31" s="2678" t="s">
        <v>94</v>
      </c>
      <c r="B31" s="2679" t="s">
        <v>33</v>
      </c>
      <c r="C31" s="2698">
        <v>1</v>
      </c>
      <c r="D31" s="2698"/>
      <c r="E31" s="2698">
        <f>+C31+G26+D31</f>
        <v>-134.27599999999984</v>
      </c>
      <c r="F31" s="2694">
        <f>+SUM('RAE Anchoveta'!B66:B69)</f>
        <v>0</v>
      </c>
      <c r="G31" s="2681">
        <f>+E31-F31</f>
        <v>-134.27599999999984</v>
      </c>
      <c r="H31" s="2682">
        <f>+G31/E31</f>
        <v>1</v>
      </c>
      <c r="I31" s="2683" t="s">
        <v>1136</v>
      </c>
      <c r="J31" s="1074"/>
      <c r="Q31" s="2673"/>
    </row>
    <row r="32" spans="1:17" s="1190" customFormat="1" ht="15" customHeight="1">
      <c r="A32" s="2678" t="s">
        <v>95</v>
      </c>
      <c r="B32" s="2699" t="s">
        <v>33</v>
      </c>
      <c r="C32" s="2698">
        <v>1</v>
      </c>
      <c r="D32" s="2698"/>
      <c r="E32" s="2698">
        <f>+C32+G27+D32</f>
        <v>-19.120000000000005</v>
      </c>
      <c r="F32" s="2360">
        <f>+SUM('RAE Anchoveta'!B82:B85)</f>
        <v>0</v>
      </c>
      <c r="G32" s="2700">
        <f>+E32-F32</f>
        <v>-19.120000000000005</v>
      </c>
      <c r="H32" s="2682">
        <f>+G32/E32</f>
        <v>1</v>
      </c>
      <c r="I32" s="2683" t="s">
        <v>1047</v>
      </c>
      <c r="Q32" s="2673"/>
    </row>
    <row r="33" spans="1:17" s="1190" customFormat="1" ht="15" customHeight="1">
      <c r="A33" s="2688" t="s">
        <v>50</v>
      </c>
      <c r="B33" s="2689" t="s">
        <v>33</v>
      </c>
      <c r="C33" s="2690">
        <f>SUM(C31:C32)</f>
        <v>2</v>
      </c>
      <c r="D33" s="2690"/>
      <c r="E33" s="2690">
        <f>+C33+G28</f>
        <v>-153.39599999999973</v>
      </c>
      <c r="F33" s="2690">
        <f>SUM(F31:F32)</f>
        <v>0</v>
      </c>
      <c r="G33" s="2692">
        <f>+E33-F33</f>
        <v>-153.39599999999973</v>
      </c>
      <c r="I33" s="2674"/>
      <c r="Q33" s="2673"/>
    </row>
    <row r="34" spans="1:17" ht="15" customHeight="1">
      <c r="A34" s="2708"/>
      <c r="B34" s="2709"/>
      <c r="C34" s="2710"/>
      <c r="D34" s="2710"/>
      <c r="E34" s="2710"/>
      <c r="F34" s="2710"/>
      <c r="G34" s="2711"/>
      <c r="H34" s="2712"/>
    </row>
    <row r="35" spans="1:17" s="1190" customFormat="1" ht="15" customHeight="1">
      <c r="A35" s="3809" t="s">
        <v>183</v>
      </c>
      <c r="B35" s="3810"/>
      <c r="C35" s="2672"/>
      <c r="D35" s="2672"/>
      <c r="E35" s="2672"/>
      <c r="F35" s="2673"/>
      <c r="G35" s="2673"/>
      <c r="I35" s="2674"/>
      <c r="Q35" s="2673"/>
    </row>
    <row r="36" spans="1:17" s="1190" customFormat="1" ht="15" customHeight="1">
      <c r="B36" s="2673"/>
      <c r="C36" s="2672"/>
      <c r="D36" s="2672"/>
      <c r="E36" s="2672"/>
      <c r="F36" s="2673"/>
      <c r="G36" s="2673"/>
      <c r="I36" s="2674"/>
      <c r="Q36" s="2673"/>
    </row>
    <row r="37" spans="1:17" s="1190" customFormat="1" ht="15" customHeight="1">
      <c r="A37" s="2713" t="s">
        <v>45</v>
      </c>
      <c r="B37" s="2713" t="s">
        <v>46</v>
      </c>
      <c r="C37" s="2714" t="s">
        <v>47</v>
      </c>
      <c r="D37" s="2714" t="s">
        <v>181</v>
      </c>
      <c r="E37" s="2714" t="s">
        <v>48</v>
      </c>
      <c r="F37" s="2713" t="s">
        <v>19</v>
      </c>
      <c r="G37" s="2713" t="s">
        <v>20</v>
      </c>
      <c r="H37" s="2713" t="s">
        <v>49</v>
      </c>
      <c r="I37" s="2715" t="s">
        <v>22</v>
      </c>
      <c r="Q37" s="2673"/>
    </row>
    <row r="38" spans="1:17" s="1190" customFormat="1" ht="15" customHeight="1">
      <c r="A38" s="2678" t="s">
        <v>184</v>
      </c>
      <c r="B38" s="2679" t="s">
        <v>31</v>
      </c>
      <c r="C38" s="2716">
        <v>144.64400000000001</v>
      </c>
      <c r="D38" s="2698"/>
      <c r="E38" s="2698">
        <f>+C38+D38</f>
        <v>144.64400000000001</v>
      </c>
      <c r="F38" s="2694">
        <f>+SUM('RAE Anchoveta'!B91:B94)</f>
        <v>90.097000000000008</v>
      </c>
      <c r="G38" s="2717">
        <f>+E38-F38</f>
        <v>54.546999999999997</v>
      </c>
      <c r="H38" s="2682">
        <f>+G38/E38</f>
        <v>0.37711208207737612</v>
      </c>
      <c r="I38" s="2683"/>
      <c r="J38" s="2070"/>
      <c r="Q38" s="2673"/>
    </row>
    <row r="39" spans="1:17" s="1190" customFormat="1" ht="15" customHeight="1">
      <c r="A39" s="2678" t="s">
        <v>589</v>
      </c>
      <c r="B39" s="2679" t="s">
        <v>31</v>
      </c>
      <c r="C39" s="2716">
        <v>1.6379999999999999</v>
      </c>
      <c r="D39" s="2698"/>
      <c r="E39" s="2698">
        <f t="shared" ref="E39:E40" si="1">+C39+D39</f>
        <v>1.6379999999999999</v>
      </c>
      <c r="F39" s="2694">
        <f>+SUM('RAE Anchoveta'!B107:B110)</f>
        <v>0</v>
      </c>
      <c r="G39" s="2717">
        <f>+E39-F39</f>
        <v>1.6379999999999999</v>
      </c>
      <c r="H39" s="2682">
        <f>+G39/E39</f>
        <v>1</v>
      </c>
      <c r="I39" s="2683"/>
      <c r="Q39" s="2673"/>
    </row>
    <row r="40" spans="1:17" s="1190" customFormat="1" ht="15" customHeight="1">
      <c r="A40" s="2678" t="s">
        <v>91</v>
      </c>
      <c r="B40" s="2699" t="s">
        <v>31</v>
      </c>
      <c r="C40" s="2716">
        <v>8.718</v>
      </c>
      <c r="D40" s="2698"/>
      <c r="E40" s="2698">
        <f t="shared" si="1"/>
        <v>8.718</v>
      </c>
      <c r="F40" s="2694">
        <f>+SUM('RAE Anchoveta'!B123:B126)</f>
        <v>0</v>
      </c>
      <c r="G40" s="2718">
        <f>+E40-F40</f>
        <v>8.718</v>
      </c>
      <c r="H40" s="2682">
        <f>+G40/E40</f>
        <v>1</v>
      </c>
      <c r="I40" s="2683"/>
      <c r="J40" s="2070"/>
      <c r="Q40" s="2673"/>
    </row>
    <row r="41" spans="1:17" s="1190" customFormat="1" ht="15" customHeight="1">
      <c r="A41" s="2688" t="s">
        <v>50</v>
      </c>
      <c r="B41" s="2688" t="s">
        <v>31</v>
      </c>
      <c r="C41" s="2690">
        <f>SUM(C38:C40)</f>
        <v>155</v>
      </c>
      <c r="D41" s="2690"/>
      <c r="E41" s="2690">
        <f>SUM(E38:E40)</f>
        <v>155</v>
      </c>
      <c r="F41" s="2691">
        <f>SUM(F38:F40)</f>
        <v>90.097000000000008</v>
      </c>
      <c r="G41" s="2690">
        <f>+E41-F41</f>
        <v>64.902999999999992</v>
      </c>
      <c r="H41" s="2673"/>
      <c r="I41" s="2674"/>
      <c r="Q41" s="2673"/>
    </row>
    <row r="42" spans="1:17" s="1190" customFormat="1" ht="15" customHeight="1">
      <c r="A42" s="2701"/>
      <c r="B42" s="2673"/>
      <c r="C42" s="2702"/>
      <c r="D42" s="2702"/>
      <c r="E42" s="2702"/>
      <c r="F42" s="2703"/>
      <c r="G42" s="2703"/>
      <c r="H42" s="2673"/>
      <c r="I42" s="2674"/>
      <c r="Q42" s="2673"/>
    </row>
    <row r="43" spans="1:17" s="1190" customFormat="1" ht="15" customHeight="1">
      <c r="A43" s="2688" t="s">
        <v>45</v>
      </c>
      <c r="B43" s="2688" t="s">
        <v>46</v>
      </c>
      <c r="C43" s="2690" t="s">
        <v>47</v>
      </c>
      <c r="D43" s="2690"/>
      <c r="E43" s="2690" t="s">
        <v>48</v>
      </c>
      <c r="F43" s="2688" t="s">
        <v>19</v>
      </c>
      <c r="G43" s="2688" t="s">
        <v>20</v>
      </c>
      <c r="H43" s="2688" t="s">
        <v>49</v>
      </c>
      <c r="I43" s="2719" t="s">
        <v>22</v>
      </c>
      <c r="Q43" s="2673"/>
    </row>
    <row r="44" spans="1:17" s="1190" customFormat="1" ht="15" customHeight="1">
      <c r="A44" s="2678" t="s">
        <v>184</v>
      </c>
      <c r="B44" s="2679" t="s">
        <v>32</v>
      </c>
      <c r="C44" s="2716">
        <v>19.805</v>
      </c>
      <c r="D44" s="2698"/>
      <c r="E44" s="2698">
        <f>+C44+G38+D44</f>
        <v>74.352000000000004</v>
      </c>
      <c r="F44" s="2694">
        <f>+SUM('RAE Anchoveta'!B95:B98)</f>
        <v>84.067000000000007</v>
      </c>
      <c r="G44" s="2717">
        <f>+E44-F44</f>
        <v>-9.7150000000000034</v>
      </c>
      <c r="H44" s="2682">
        <f>+G44/E44</f>
        <v>-0.13066225521842054</v>
      </c>
      <c r="I44" s="2683"/>
      <c r="J44" s="2070"/>
      <c r="Q44" s="2673"/>
    </row>
    <row r="45" spans="1:17" s="1190" customFormat="1" ht="15" customHeight="1">
      <c r="A45" s="2678" t="s">
        <v>589</v>
      </c>
      <c r="B45" s="2679" t="s">
        <v>32</v>
      </c>
      <c r="C45" s="2716">
        <v>0.189</v>
      </c>
      <c r="D45" s="2698"/>
      <c r="E45" s="2698">
        <f t="shared" ref="E45:E46" si="2">+C45+G39+D45</f>
        <v>1.827</v>
      </c>
      <c r="F45" s="2694">
        <f>+SUM('RAE Anchoveta'!B111:B114)</f>
        <v>0</v>
      </c>
      <c r="G45" s="2717">
        <f>+E45-F45</f>
        <v>1.827</v>
      </c>
      <c r="H45" s="2682">
        <f>+G45/E45</f>
        <v>1</v>
      </c>
      <c r="I45" s="2683"/>
      <c r="Q45" s="2673"/>
    </row>
    <row r="46" spans="1:17" s="1190" customFormat="1" ht="15" customHeight="1">
      <c r="A46" s="2678" t="s">
        <v>91</v>
      </c>
      <c r="B46" s="2699" t="s">
        <v>32</v>
      </c>
      <c r="C46" s="2716">
        <v>1.006</v>
      </c>
      <c r="D46" s="2698"/>
      <c r="E46" s="2698">
        <f t="shared" si="2"/>
        <v>9.7240000000000002</v>
      </c>
      <c r="F46" s="2694">
        <f>+SUM('RAE Anchoveta'!B127:B130)</f>
        <v>0</v>
      </c>
      <c r="G46" s="2717">
        <f>+E46-F46</f>
        <v>9.7240000000000002</v>
      </c>
      <c r="H46" s="2682">
        <f>+G46/E46</f>
        <v>1</v>
      </c>
      <c r="I46" s="2683"/>
      <c r="J46" s="2070"/>
      <c r="Q46" s="2673"/>
    </row>
    <row r="47" spans="1:17" s="1190" customFormat="1" ht="15" customHeight="1">
      <c r="A47" s="2688" t="s">
        <v>50</v>
      </c>
      <c r="B47" s="2720" t="s">
        <v>32</v>
      </c>
      <c r="C47" s="2690">
        <f>SUM(C44:C46)</f>
        <v>21</v>
      </c>
      <c r="D47" s="2690"/>
      <c r="E47" s="2690">
        <f>+C47+G41</f>
        <v>85.902999999999992</v>
      </c>
      <c r="F47" s="2721">
        <f>SUM(F44:F46)</f>
        <v>84.067000000000007</v>
      </c>
      <c r="G47" s="2722">
        <f>+E47-F47</f>
        <v>1.8359999999999843</v>
      </c>
      <c r="H47" s="2673"/>
      <c r="I47" s="2674"/>
      <c r="Q47" s="2673"/>
    </row>
    <row r="48" spans="1:17" s="1190" customFormat="1" ht="15" customHeight="1">
      <c r="A48" s="2723"/>
      <c r="B48" s="2724"/>
      <c r="C48" s="2725"/>
      <c r="D48" s="2725"/>
      <c r="E48" s="2725"/>
      <c r="F48" s="2726"/>
      <c r="G48" s="2727"/>
      <c r="H48" s="2673"/>
      <c r="I48" s="2674"/>
      <c r="Q48" s="2673"/>
    </row>
    <row r="49" spans="1:19" s="1190" customFormat="1" ht="15" customHeight="1">
      <c r="A49" s="2688" t="s">
        <v>45</v>
      </c>
      <c r="B49" s="2688" t="s">
        <v>46</v>
      </c>
      <c r="C49" s="2690" t="s">
        <v>47</v>
      </c>
      <c r="D49" s="2690"/>
      <c r="E49" s="2690" t="s">
        <v>48</v>
      </c>
      <c r="F49" s="2688" t="s">
        <v>19</v>
      </c>
      <c r="G49" s="2692" t="s">
        <v>20</v>
      </c>
      <c r="H49" s="2688" t="s">
        <v>49</v>
      </c>
      <c r="I49" s="2719" t="s">
        <v>22</v>
      </c>
      <c r="Q49" s="2673"/>
    </row>
    <row r="50" spans="1:19" s="1190" customFormat="1" ht="15" customHeight="1">
      <c r="A50" s="2678" t="s">
        <v>184</v>
      </c>
      <c r="B50" s="2679" t="s">
        <v>33</v>
      </c>
      <c r="C50" s="2716">
        <v>10.374000000000001</v>
      </c>
      <c r="D50" s="2698"/>
      <c r="E50" s="2698">
        <f>+C50+G44+D50</f>
        <v>0.65899999999999714</v>
      </c>
      <c r="F50" s="2694">
        <f>+SUM('RAE Anchoveta'!B99:B102)</f>
        <v>2.282</v>
      </c>
      <c r="G50" s="2717">
        <f>+E50-F50</f>
        <v>-1.6230000000000029</v>
      </c>
      <c r="H50" s="2682">
        <f>+G50/E50</f>
        <v>-2.4628224582701215</v>
      </c>
      <c r="I50" s="2683"/>
      <c r="J50" s="2070"/>
      <c r="Q50" s="2673"/>
    </row>
    <row r="51" spans="1:19" s="1190" customFormat="1" ht="15" customHeight="1">
      <c r="A51" s="2678" t="s">
        <v>589</v>
      </c>
      <c r="B51" s="2679" t="s">
        <v>33</v>
      </c>
      <c r="C51" s="2716">
        <v>9.9000000000000005E-2</v>
      </c>
      <c r="D51" s="2698"/>
      <c r="E51" s="2698">
        <f t="shared" ref="E51:E52" si="3">+C51+G45+D51</f>
        <v>1.9259999999999999</v>
      </c>
      <c r="F51" s="2694">
        <f>+SUM('RAE Anchoveta'!B115:B118)</f>
        <v>0</v>
      </c>
      <c r="G51" s="2717">
        <f>+E51-F51</f>
        <v>1.9259999999999999</v>
      </c>
      <c r="H51" s="2682">
        <f>+G51/E51</f>
        <v>1</v>
      </c>
      <c r="I51" s="2683"/>
      <c r="Q51" s="2673"/>
    </row>
    <row r="52" spans="1:19" s="1190" customFormat="1" ht="15" customHeight="1">
      <c r="A52" s="2678" t="s">
        <v>91</v>
      </c>
      <c r="B52" s="2699" t="s">
        <v>33</v>
      </c>
      <c r="C52" s="2716">
        <v>0.52700000000000002</v>
      </c>
      <c r="D52" s="2698"/>
      <c r="E52" s="2698">
        <f t="shared" si="3"/>
        <v>10.250999999999999</v>
      </c>
      <c r="F52" s="2694">
        <f>+SUM('RAE Anchoveta'!B131:B134)</f>
        <v>15.739000000000001</v>
      </c>
      <c r="G52" s="2718">
        <f>+E52-F52</f>
        <v>-5.4880000000000013</v>
      </c>
      <c r="H52" s="2682">
        <f>+G52/E52</f>
        <v>-0.53536240366793497</v>
      </c>
      <c r="I52" s="2683"/>
      <c r="J52" s="2070"/>
      <c r="Q52" s="2673"/>
    </row>
    <row r="53" spans="1:19" s="1190" customFormat="1" ht="15" customHeight="1">
      <c r="A53" s="2688" t="s">
        <v>50</v>
      </c>
      <c r="B53" s="2689" t="s">
        <v>33</v>
      </c>
      <c r="C53" s="2690">
        <f>SUM(C50:C52)</f>
        <v>11</v>
      </c>
      <c r="D53" s="2690"/>
      <c r="E53" s="2690">
        <f>+C53+G47</f>
        <v>12.835999999999984</v>
      </c>
      <c r="F53" s="2721">
        <f>SUM(F50:F52)</f>
        <v>18.021000000000001</v>
      </c>
      <c r="G53" s="2692">
        <f>+E53-F53</f>
        <v>-5.1850000000000165</v>
      </c>
      <c r="I53" s="2674"/>
      <c r="Q53" s="2673"/>
    </row>
    <row r="54" spans="1:19" ht="15" customHeight="1">
      <c r="A54" s="2728"/>
      <c r="B54" s="2729"/>
      <c r="C54" s="2730"/>
      <c r="D54" s="2730"/>
      <c r="E54" s="2730"/>
      <c r="F54" s="2730"/>
      <c r="G54" s="2731"/>
      <c r="H54" s="2712"/>
    </row>
    <row r="55" spans="1:19" ht="15" customHeight="1">
      <c r="A55" s="3806" t="s">
        <v>51</v>
      </c>
      <c r="B55" s="3806"/>
      <c r="C55" s="2730"/>
      <c r="D55" s="2730"/>
      <c r="E55" s="2730"/>
      <c r="F55" s="2730"/>
      <c r="G55" s="3807">
        <v>41011</v>
      </c>
      <c r="H55" s="3808"/>
      <c r="N55" s="1690" t="s">
        <v>678</v>
      </c>
    </row>
    <row r="56" spans="1:19" ht="5.0999999999999996" customHeight="1">
      <c r="A56" s="2712"/>
      <c r="B56" s="2732"/>
      <c r="C56" s="2730"/>
      <c r="D56" s="2730"/>
      <c r="E56" s="2730"/>
      <c r="F56" s="2731"/>
      <c r="G56" s="2731"/>
      <c r="H56" s="2712"/>
      <c r="N56" s="1690"/>
    </row>
    <row r="57" spans="1:19" ht="15" customHeight="1" thickBot="1">
      <c r="A57" s="2733" t="s">
        <v>45</v>
      </c>
      <c r="B57" s="2733" t="s">
        <v>46</v>
      </c>
      <c r="C57" s="2734" t="s">
        <v>47</v>
      </c>
      <c r="D57" s="2734" t="s">
        <v>189</v>
      </c>
      <c r="E57" s="2734" t="s">
        <v>48</v>
      </c>
      <c r="F57" s="2733" t="s">
        <v>19</v>
      </c>
      <c r="G57" s="2733" t="s">
        <v>20</v>
      </c>
      <c r="H57" s="2733" t="s">
        <v>49</v>
      </c>
      <c r="I57" s="2735" t="s">
        <v>22</v>
      </c>
      <c r="N57" s="1690" t="s">
        <v>679</v>
      </c>
    </row>
    <row r="58" spans="1:19" ht="39.6">
      <c r="A58" s="2736" t="s">
        <v>617</v>
      </c>
      <c r="B58" s="2737" t="s">
        <v>52</v>
      </c>
      <c r="C58" s="2738">
        <v>48.796999999999997</v>
      </c>
      <c r="D58" s="2739"/>
      <c r="E58" s="2740">
        <f t="shared" ref="E58:E97" si="4">+C58+D58</f>
        <v>48.796999999999997</v>
      </c>
      <c r="F58" s="2741">
        <f>24.97-24.73+17.1+29.58+6.48-4.6+5.5-5.5</f>
        <v>48.800000000000004</v>
      </c>
      <c r="G58" s="2742">
        <f>+E58-F58</f>
        <v>-3.0000000000072191E-3</v>
      </c>
      <c r="H58" s="2743">
        <f t="shared" ref="H58:H122" si="5">+G58/E58</f>
        <v>-6.1479189294571783E-5</v>
      </c>
      <c r="I58" s="2744"/>
      <c r="J58" s="2266">
        <v>1</v>
      </c>
      <c r="L58" s="1190"/>
      <c r="M58" s="2745">
        <f>+N58-F58</f>
        <v>0</v>
      </c>
      <c r="N58" s="2266">
        <v>48.8</v>
      </c>
      <c r="Q58" s="2746"/>
      <c r="S58" s="2266">
        <v>46.92</v>
      </c>
    </row>
    <row r="59" spans="1:19" ht="39.6">
      <c r="A59" s="2736" t="s">
        <v>618</v>
      </c>
      <c r="B59" s="2737" t="s">
        <v>52</v>
      </c>
      <c r="C59" s="2738">
        <v>144.767</v>
      </c>
      <c r="D59" s="2747"/>
      <c r="E59" s="2740">
        <f t="shared" si="4"/>
        <v>144.767</v>
      </c>
      <c r="F59" s="2748">
        <f>26.63+3.01+38.05+34.97+4.33+57.59-19.81+4.23+37.13-41.36+1.55-1.55+3.55-3.55</f>
        <v>144.76999999999998</v>
      </c>
      <c r="G59" s="2742">
        <f t="shared" ref="G59:G120" si="6">+E59-F59</f>
        <v>-2.9999999999859028E-3</v>
      </c>
      <c r="H59" s="2743">
        <f t="shared" si="5"/>
        <v>-2.0722954816953471E-5</v>
      </c>
      <c r="I59" s="2744"/>
      <c r="J59" s="2266">
        <f>+J58+1</f>
        <v>2</v>
      </c>
      <c r="L59" s="1190"/>
      <c r="M59" s="2745">
        <f t="shared" ref="M59:M121" si="7">+N59-F59</f>
        <v>0</v>
      </c>
      <c r="N59" s="2266">
        <v>144.77000000000001</v>
      </c>
      <c r="Q59" s="2749"/>
      <c r="S59" s="2266">
        <v>144.77000000000001</v>
      </c>
    </row>
    <row r="60" spans="1:19" ht="39.6">
      <c r="A60" s="2736" t="s">
        <v>619</v>
      </c>
      <c r="B60" s="2737" t="s">
        <v>52</v>
      </c>
      <c r="C60" s="2750">
        <v>104.545</v>
      </c>
      <c r="D60" s="2747"/>
      <c r="E60" s="2740">
        <f t="shared" si="4"/>
        <v>104.545</v>
      </c>
      <c r="F60" s="2748">
        <f>88.13-10.27+3.37+2.24+14.07+34.4+37.52-2.31 -89.29+2.12+19.99-22.11+4.96+17.41-22.37+3.48+3.19+0.94</f>
        <v>85.469999999999985</v>
      </c>
      <c r="G60" s="2742">
        <f t="shared" si="6"/>
        <v>19.075000000000017</v>
      </c>
      <c r="H60" s="2743">
        <f t="shared" si="5"/>
        <v>0.18245731503180465</v>
      </c>
      <c r="I60" s="2744"/>
      <c r="J60" s="2266">
        <f t="shared" ref="J60:J121" si="8">+J59+1</f>
        <v>3</v>
      </c>
      <c r="L60" s="1190"/>
      <c r="M60" s="2745">
        <f t="shared" si="7"/>
        <v>0</v>
      </c>
      <c r="N60" s="2266">
        <v>85.47</v>
      </c>
      <c r="Q60" s="2749"/>
      <c r="S60" s="2266">
        <v>100.23</v>
      </c>
    </row>
    <row r="61" spans="1:19" ht="26.4">
      <c r="A61" s="2736" t="s">
        <v>620</v>
      </c>
      <c r="B61" s="2737" t="s">
        <v>52</v>
      </c>
      <c r="C61" s="2738">
        <v>617.09900000000005</v>
      </c>
      <c r="D61" s="2747"/>
      <c r="E61" s="2740">
        <f t="shared" si="4"/>
        <v>617.09900000000005</v>
      </c>
      <c r="F61" s="2751">
        <f>731.73-312.49+110.31+74.55+82.54-82.54+4.19-4.19+11.38-11.38+18.15-18.15+3.71+7.31-11.02+2.23-2.23+7.06-7.06+1.87-1.87</f>
        <v>604.09999999999991</v>
      </c>
      <c r="G61" s="2742">
        <f>+E61-F61</f>
        <v>12.999000000000137</v>
      </c>
      <c r="H61" s="2743">
        <f t="shared" si="5"/>
        <v>2.1064691402838339E-2</v>
      </c>
      <c r="I61" s="2744" t="s">
        <v>1474</v>
      </c>
      <c r="J61" s="2266">
        <f t="shared" si="8"/>
        <v>4</v>
      </c>
      <c r="L61" s="1190"/>
      <c r="M61" s="2745">
        <f t="shared" si="7"/>
        <v>0</v>
      </c>
      <c r="N61" s="2266">
        <v>604.1</v>
      </c>
      <c r="Q61" s="2749"/>
      <c r="S61" s="2266">
        <v>622.25</v>
      </c>
    </row>
    <row r="62" spans="1:19" ht="26.4">
      <c r="A62" s="2736" t="s">
        <v>621</v>
      </c>
      <c r="B62" s="2737" t="s">
        <v>52</v>
      </c>
      <c r="C62" s="2738">
        <v>0</v>
      </c>
      <c r="D62" s="2747"/>
      <c r="E62" s="2740">
        <f t="shared" si="4"/>
        <v>0</v>
      </c>
      <c r="F62" s="2751">
        <v>0</v>
      </c>
      <c r="G62" s="2742">
        <f t="shared" si="6"/>
        <v>0</v>
      </c>
      <c r="H62" s="2743" t="e">
        <f t="shared" si="5"/>
        <v>#DIV/0!</v>
      </c>
      <c r="I62" s="2744"/>
      <c r="J62" s="2266">
        <f t="shared" si="8"/>
        <v>5</v>
      </c>
      <c r="L62" s="1190"/>
      <c r="M62" s="2745">
        <f t="shared" si="7"/>
        <v>0</v>
      </c>
      <c r="N62" s="2266">
        <v>0</v>
      </c>
      <c r="Q62" s="2749"/>
      <c r="S62" s="2266">
        <v>0</v>
      </c>
    </row>
    <row r="63" spans="1:19" ht="26.4">
      <c r="A63" s="2736" t="s">
        <v>622</v>
      </c>
      <c r="B63" s="2737" t="s">
        <v>52</v>
      </c>
      <c r="C63" s="2738">
        <v>456.65100000000001</v>
      </c>
      <c r="D63" s="2747"/>
      <c r="E63" s="2740">
        <f t="shared" si="4"/>
        <v>456.65100000000001</v>
      </c>
      <c r="F63" s="2751">
        <f>528.27-125.23+53.61+75.6-70.86-4.74+63.64-63.64+22.62-22.62+6.91-6.91+12.27+15.32+1.12-28.71+0.35-0.35+0.3-0.3+11.09+28.61-39.7+0.09-0.09</f>
        <v>456.65</v>
      </c>
      <c r="G63" s="2742">
        <f t="shared" si="6"/>
        <v>1.0000000000331966E-3</v>
      </c>
      <c r="H63" s="2743">
        <f t="shared" si="5"/>
        <v>2.1898561484223105E-6</v>
      </c>
      <c r="I63" s="2744"/>
      <c r="J63" s="2266">
        <f t="shared" si="8"/>
        <v>6</v>
      </c>
      <c r="L63" s="1190"/>
      <c r="M63" s="2745">
        <f t="shared" si="7"/>
        <v>0</v>
      </c>
      <c r="N63" s="2266">
        <v>456.65</v>
      </c>
      <c r="Q63" s="2749"/>
      <c r="S63" s="2266">
        <v>463.56</v>
      </c>
    </row>
    <row r="64" spans="1:19" ht="39.6">
      <c r="A64" s="2736" t="s">
        <v>623</v>
      </c>
      <c r="B64" s="2737" t="s">
        <v>52</v>
      </c>
      <c r="C64" s="2738">
        <v>477.28199999999998</v>
      </c>
      <c r="D64" s="2747"/>
      <c r="E64" s="2740">
        <f t="shared" si="4"/>
        <v>477.28199999999998</v>
      </c>
      <c r="F64" s="2751">
        <f>200.24+61.5+79.36+59.59+6.78+25.2+78.38+21.03-54.8+13.68+26.51+37.34-73.65-3.88+24.51-24.51+83.63-83.63+8.03-8.03+1.36-1.36+3.71-3.71+19.82+1.46-21.28+4.41-0.74+10.45-14.12+0.67-0.67</f>
        <v>477.28000000000009</v>
      </c>
      <c r="G64" s="2752">
        <f t="shared" si="6"/>
        <v>1.9999999998958629E-3</v>
      </c>
      <c r="H64" s="2743">
        <f t="shared" si="5"/>
        <v>4.1903947768737622E-6</v>
      </c>
      <c r="I64" s="2753"/>
      <c r="J64" s="2266">
        <f t="shared" si="8"/>
        <v>7</v>
      </c>
      <c r="L64" s="1190"/>
      <c r="M64" s="2745">
        <f t="shared" si="7"/>
        <v>0</v>
      </c>
      <c r="N64" s="2266">
        <v>477.28</v>
      </c>
      <c r="Q64" s="2749"/>
      <c r="S64" s="2266">
        <v>485.31</v>
      </c>
    </row>
    <row r="65" spans="1:19" ht="39.6">
      <c r="A65" s="2736" t="s">
        <v>624</v>
      </c>
      <c r="B65" s="2737" t="s">
        <v>52</v>
      </c>
      <c r="C65" s="2738">
        <v>0</v>
      </c>
      <c r="D65" s="2747"/>
      <c r="E65" s="2740">
        <f t="shared" si="4"/>
        <v>0</v>
      </c>
      <c r="F65" s="2751">
        <v>0</v>
      </c>
      <c r="G65" s="2752">
        <f t="shared" si="6"/>
        <v>0</v>
      </c>
      <c r="H65" s="2743" t="e">
        <f t="shared" si="5"/>
        <v>#DIV/0!</v>
      </c>
      <c r="I65" s="2744"/>
      <c r="J65" s="2266">
        <f t="shared" si="8"/>
        <v>8</v>
      </c>
      <c r="L65" s="1340"/>
      <c r="M65" s="2745">
        <f t="shared" si="7"/>
        <v>0</v>
      </c>
      <c r="N65" s="2266">
        <v>0</v>
      </c>
      <c r="P65" s="2754"/>
      <c r="Q65" s="2755"/>
      <c r="S65" s="2266">
        <v>0</v>
      </c>
    </row>
    <row r="66" spans="1:19" ht="26.4">
      <c r="A66" s="2736" t="s">
        <v>625</v>
      </c>
      <c r="B66" s="2737" t="s">
        <v>52</v>
      </c>
      <c r="C66" s="2738">
        <v>116.84</v>
      </c>
      <c r="D66" s="2747"/>
      <c r="E66" s="2740">
        <f t="shared" si="4"/>
        <v>116.84</v>
      </c>
      <c r="F66" s="2751">
        <f>22.87-5.21+25.21+17.63+30.03+17.9+0.85+0.65-10.01+1.39-1.39+2.62+10.39+0.7+3.21</f>
        <v>116.84</v>
      </c>
      <c r="G66" s="2752">
        <f t="shared" si="6"/>
        <v>0</v>
      </c>
      <c r="H66" s="2743">
        <f t="shared" si="5"/>
        <v>0</v>
      </c>
      <c r="I66" s="2753" t="s">
        <v>1469</v>
      </c>
      <c r="J66" s="2266">
        <f t="shared" si="8"/>
        <v>9</v>
      </c>
      <c r="L66" s="1190"/>
      <c r="M66" s="2745">
        <f t="shared" si="7"/>
        <v>0</v>
      </c>
      <c r="N66" s="2266">
        <v>116.84</v>
      </c>
      <c r="Q66" s="2749"/>
      <c r="S66" s="2266">
        <v>112.93</v>
      </c>
    </row>
    <row r="67" spans="1:19" s="1190" customFormat="1" ht="26.4">
      <c r="A67" s="2736" t="s">
        <v>626</v>
      </c>
      <c r="B67" s="2756" t="s">
        <v>52</v>
      </c>
      <c r="C67" s="2738">
        <v>0</v>
      </c>
      <c r="D67" s="2698"/>
      <c r="E67" s="2740">
        <f t="shared" si="4"/>
        <v>0</v>
      </c>
      <c r="F67" s="2757">
        <v>0</v>
      </c>
      <c r="G67" s="2681">
        <f t="shared" si="6"/>
        <v>0</v>
      </c>
      <c r="H67" s="2743" t="e">
        <f t="shared" si="5"/>
        <v>#DIV/0!</v>
      </c>
      <c r="I67" s="2758"/>
      <c r="J67" s="1190">
        <f t="shared" si="8"/>
        <v>10</v>
      </c>
      <c r="K67" s="2759"/>
      <c r="M67" s="2745">
        <f t="shared" si="7"/>
        <v>0</v>
      </c>
      <c r="N67" s="1190">
        <v>0</v>
      </c>
      <c r="Q67" s="2749"/>
      <c r="S67" s="1190">
        <v>0</v>
      </c>
    </row>
    <row r="68" spans="1:19" ht="26.4">
      <c r="A68" s="2736" t="s">
        <v>627</v>
      </c>
      <c r="B68" s="2737" t="s">
        <v>52</v>
      </c>
      <c r="C68" s="2738">
        <v>1308.8779999999999</v>
      </c>
      <c r="D68" s="2747"/>
      <c r="E68" s="2740">
        <f t="shared" si="4"/>
        <v>1308.8779999999999</v>
      </c>
      <c r="F68" s="2751">
        <f>1381.49-567.13+210.3+59.41+10.21+46.62+149.28+28.52-9.82+6.23-6.23+30.73-30.73+7.84-7.84+1.38+5.81-7.19+0.18-0.18+1.21-0.97+4.18-4.42</f>
        <v>1308.8800000000001</v>
      </c>
      <c r="G68" s="2752">
        <f>+E68-F68</f>
        <v>-2.00000000018008E-3</v>
      </c>
      <c r="H68" s="2743">
        <f t="shared" si="5"/>
        <v>-1.5280262944140554E-6</v>
      </c>
      <c r="I68" s="2753"/>
      <c r="J68" s="2266">
        <f t="shared" si="8"/>
        <v>11</v>
      </c>
      <c r="L68" s="1190"/>
      <c r="M68" s="2745">
        <f t="shared" si="7"/>
        <v>0</v>
      </c>
      <c r="N68" s="2266">
        <v>1308.8800000000001</v>
      </c>
      <c r="Q68" s="2749"/>
      <c r="S68" s="2266">
        <v>1308.8800000000001</v>
      </c>
    </row>
    <row r="69" spans="1:19" ht="26.4">
      <c r="A69" s="2736" t="s">
        <v>628</v>
      </c>
      <c r="B69" s="2737" t="s">
        <v>52</v>
      </c>
      <c r="C69" s="2738">
        <v>66.66</v>
      </c>
      <c r="D69" s="2747"/>
      <c r="E69" s="2740">
        <f t="shared" si="4"/>
        <v>66.66</v>
      </c>
      <c r="F69" s="2751">
        <f>50.94-36.85+2.9+0.03-2.93+0.73</f>
        <v>14.819999999999997</v>
      </c>
      <c r="G69" s="2752">
        <f>+E69-F69</f>
        <v>51.84</v>
      </c>
      <c r="H69" s="2743">
        <f t="shared" si="5"/>
        <v>0.77767776777677777</v>
      </c>
      <c r="I69" s="2744"/>
      <c r="J69" s="2266">
        <f t="shared" si="8"/>
        <v>12</v>
      </c>
      <c r="L69" s="1190"/>
      <c r="M69" s="2745">
        <f t="shared" si="7"/>
        <v>0</v>
      </c>
      <c r="N69" s="2266">
        <v>14.82</v>
      </c>
      <c r="Q69" s="2749"/>
      <c r="S69" s="2266">
        <v>14.09</v>
      </c>
    </row>
    <row r="70" spans="1:19" ht="26.4">
      <c r="A70" s="2736" t="s">
        <v>629</v>
      </c>
      <c r="B70" s="2737" t="s">
        <v>52</v>
      </c>
      <c r="C70" s="2738">
        <v>246.60499999999999</v>
      </c>
      <c r="D70" s="2747"/>
      <c r="E70" s="2740">
        <f t="shared" si="4"/>
        <v>246.60499999999999</v>
      </c>
      <c r="F70" s="2751">
        <f>126.85+110.42+9.34+53.28-45.4-7.88+8.64-8.64</f>
        <v>246.61</v>
      </c>
      <c r="G70" s="2752">
        <f>+E70-F70</f>
        <v>-5.0000000000238742E-3</v>
      </c>
      <c r="H70" s="2743">
        <f t="shared" si="5"/>
        <v>-2.0275339105143344E-5</v>
      </c>
      <c r="I70" s="2947" t="s">
        <v>1472</v>
      </c>
      <c r="J70" s="2266">
        <f t="shared" si="8"/>
        <v>13</v>
      </c>
      <c r="L70" s="1190"/>
      <c r="M70" s="2745">
        <f t="shared" si="7"/>
        <v>0</v>
      </c>
      <c r="N70" s="2266">
        <v>246.61</v>
      </c>
      <c r="Q70" s="2749"/>
      <c r="S70" s="2266">
        <v>246.61</v>
      </c>
    </row>
    <row r="71" spans="1:19" ht="26.4">
      <c r="A71" s="2736" t="s">
        <v>630</v>
      </c>
      <c r="B71" s="2737" t="s">
        <v>52</v>
      </c>
      <c r="C71" s="2738">
        <v>0</v>
      </c>
      <c r="D71" s="2747"/>
      <c r="E71" s="2740">
        <f t="shared" si="4"/>
        <v>0</v>
      </c>
      <c r="F71" s="2751"/>
      <c r="G71" s="2752">
        <f t="shared" si="6"/>
        <v>0</v>
      </c>
      <c r="H71" s="2743" t="e">
        <f t="shared" si="5"/>
        <v>#DIV/0!</v>
      </c>
      <c r="I71" s="2744"/>
      <c r="J71" s="2266">
        <f t="shared" si="8"/>
        <v>14</v>
      </c>
      <c r="L71" s="1190"/>
      <c r="M71" s="2745">
        <f t="shared" si="7"/>
        <v>0</v>
      </c>
      <c r="N71" s="2266">
        <v>0</v>
      </c>
      <c r="Q71" s="2749"/>
      <c r="S71" s="2266">
        <v>0</v>
      </c>
    </row>
    <row r="72" spans="1:19" ht="39.6">
      <c r="A72" s="2736" t="s">
        <v>631</v>
      </c>
      <c r="B72" s="2737" t="s">
        <v>52</v>
      </c>
      <c r="C72" s="2738">
        <v>449.27199999999999</v>
      </c>
      <c r="D72" s="2747"/>
      <c r="E72" s="2740">
        <f t="shared" si="4"/>
        <v>449.27199999999999</v>
      </c>
      <c r="F72" s="2751">
        <f>346.93+83.11-2.27+1.63-1.63+68.54-68.54+44.45-44.45+7.68+69.41+49.56-126.65+24.72-3.22+2.78-2.78-4.95+13.56-8.78-7.78-1.42</f>
        <v>439.90000000000015</v>
      </c>
      <c r="G72" s="2752">
        <f t="shared" si="6"/>
        <v>9.3719999999998436</v>
      </c>
      <c r="H72" s="2743">
        <f t="shared" si="5"/>
        <v>2.0860414181163845E-2</v>
      </c>
      <c r="I72" s="2744"/>
      <c r="J72" s="2266">
        <f t="shared" si="8"/>
        <v>15</v>
      </c>
      <c r="L72" s="1190"/>
      <c r="M72" s="2745">
        <f t="shared" si="7"/>
        <v>0</v>
      </c>
      <c r="N72" s="2266">
        <v>439.9</v>
      </c>
      <c r="Q72" s="2749"/>
      <c r="S72" s="2266">
        <v>554.41999999999996</v>
      </c>
    </row>
    <row r="73" spans="1:19" ht="39.6">
      <c r="A73" s="2736" t="s">
        <v>632</v>
      </c>
      <c r="B73" s="2737" t="s">
        <v>52</v>
      </c>
      <c r="C73" s="2738">
        <f>296.269</f>
        <v>296.26900000000001</v>
      </c>
      <c r="D73" s="2747"/>
      <c r="E73" s="2740">
        <f t="shared" si="4"/>
        <v>296.26900000000001</v>
      </c>
      <c r="F73" s="2751">
        <f>267.45+10.58-5.12+2.01-2.01+19.87+83.67-103.54+22.71+22.24-44.95+32.61-32.61+20.57-12.39</f>
        <v>281.08999999999997</v>
      </c>
      <c r="G73" s="2752">
        <f t="shared" si="6"/>
        <v>15.17900000000003</v>
      </c>
      <c r="H73" s="2743">
        <f t="shared" si="5"/>
        <v>5.1233844917963171E-2</v>
      </c>
      <c r="I73" s="2753"/>
      <c r="J73" s="2266">
        <f t="shared" si="8"/>
        <v>16</v>
      </c>
      <c r="L73" s="1190"/>
      <c r="M73" s="2745">
        <f t="shared" si="7"/>
        <v>0</v>
      </c>
      <c r="N73" s="2266">
        <v>281.08999999999997</v>
      </c>
      <c r="Q73" s="2749"/>
      <c r="S73" s="2266">
        <v>272.91000000000003</v>
      </c>
    </row>
    <row r="74" spans="1:19" ht="39.6">
      <c r="A74" s="2736" t="s">
        <v>633</v>
      </c>
      <c r="B74" s="2737" t="s">
        <v>52</v>
      </c>
      <c r="C74" s="2738">
        <v>888.88</v>
      </c>
      <c r="D74" s="2747"/>
      <c r="E74" s="2740">
        <f t="shared" si="4"/>
        <v>888.88</v>
      </c>
      <c r="F74" s="2751">
        <f>872.1-236.19+222.92-15.44+9.39+34.33+1.77+7.28+2.05+4.7-4.7+0.1-13.24+3.81+25.61-27.29+3.67-5.13-0.02+5.5+6.71+0.37-9.42+2.78+6.37-4.65-4.5</f>
        <v>888.88</v>
      </c>
      <c r="G74" s="2752">
        <f>+E74-F74</f>
        <v>0</v>
      </c>
      <c r="H74" s="2743">
        <f t="shared" si="5"/>
        <v>0</v>
      </c>
      <c r="I74" s="2744"/>
      <c r="J74" s="2266">
        <f t="shared" si="8"/>
        <v>17</v>
      </c>
      <c r="L74" s="1190"/>
      <c r="M74" s="2745">
        <f t="shared" si="7"/>
        <v>0</v>
      </c>
      <c r="N74" s="2266">
        <v>888.88</v>
      </c>
      <c r="Q74" s="2749"/>
      <c r="S74" s="2266">
        <v>890.87</v>
      </c>
    </row>
    <row r="75" spans="1:19" ht="26.4">
      <c r="A75" s="2736" t="s">
        <v>634</v>
      </c>
      <c r="B75" s="2737" t="s">
        <v>52</v>
      </c>
      <c r="C75" s="2738">
        <v>1E-3</v>
      </c>
      <c r="D75" s="2747"/>
      <c r="E75" s="2740">
        <f t="shared" si="4"/>
        <v>1E-3</v>
      </c>
      <c r="F75" s="2751">
        <v>0</v>
      </c>
      <c r="G75" s="2752">
        <f t="shared" si="6"/>
        <v>1E-3</v>
      </c>
      <c r="H75" s="2743">
        <f t="shared" si="5"/>
        <v>1</v>
      </c>
      <c r="I75" s="2753"/>
      <c r="J75" s="2266">
        <f t="shared" si="8"/>
        <v>18</v>
      </c>
      <c r="L75" s="1190"/>
      <c r="M75" s="2745">
        <f t="shared" si="7"/>
        <v>0</v>
      </c>
      <c r="N75" s="2266">
        <v>0</v>
      </c>
      <c r="Q75" s="2749"/>
      <c r="S75" s="2266">
        <v>0</v>
      </c>
    </row>
    <row r="76" spans="1:19" ht="15" customHeight="1">
      <c r="A76" s="2736" t="s">
        <v>635</v>
      </c>
      <c r="B76" s="2737" t="s">
        <v>52</v>
      </c>
      <c r="C76" s="2738">
        <v>246.93100000000001</v>
      </c>
      <c r="D76" s="2760"/>
      <c r="E76" s="2740">
        <f t="shared" si="4"/>
        <v>246.93100000000001</v>
      </c>
      <c r="F76" s="2751">
        <f>300.29-58.36+77-77+3.38-3.38+16.22-16.22+0.2-0.2+7.69-7.69</f>
        <v>241.92999999999998</v>
      </c>
      <c r="G76" s="2742">
        <f>+E76-F76</f>
        <v>5.0010000000000332</v>
      </c>
      <c r="H76" s="2743">
        <f t="shared" si="5"/>
        <v>2.0252621177576056E-2</v>
      </c>
      <c r="I76" s="2744" t="s">
        <v>1468</v>
      </c>
      <c r="J76" s="2266">
        <f t="shared" si="8"/>
        <v>19</v>
      </c>
      <c r="L76" s="1190"/>
      <c r="M76" s="2745">
        <f t="shared" si="7"/>
        <v>0</v>
      </c>
      <c r="N76" s="2266">
        <v>241.93</v>
      </c>
      <c r="Q76" s="2749"/>
      <c r="S76" s="2266">
        <v>258.14999999999998</v>
      </c>
    </row>
    <row r="77" spans="1:19" ht="15" customHeight="1">
      <c r="A77" s="2736" t="s">
        <v>636</v>
      </c>
      <c r="B77" s="2737" t="s">
        <v>52</v>
      </c>
      <c r="C77" s="2738">
        <v>415.89699999999999</v>
      </c>
      <c r="D77" s="2747"/>
      <c r="E77" s="2740">
        <f t="shared" si="4"/>
        <v>415.89699999999999</v>
      </c>
      <c r="F77" s="2751">
        <f>367.91+32.24+15.75+8.34-8.34+1.41-1.41</f>
        <v>415.90000000000003</v>
      </c>
      <c r="G77" s="2752">
        <f>+E77-F77</f>
        <v>-3.0000000000427463E-3</v>
      </c>
      <c r="H77" s="2743">
        <f t="shared" si="5"/>
        <v>-7.2133244530322327E-6</v>
      </c>
      <c r="I77" s="2744"/>
      <c r="J77" s="2266">
        <f t="shared" si="8"/>
        <v>20</v>
      </c>
      <c r="L77" s="1190"/>
      <c r="M77" s="2745">
        <f t="shared" si="7"/>
        <v>0</v>
      </c>
      <c r="N77" s="2266">
        <v>415.9</v>
      </c>
      <c r="Q77" s="2749"/>
      <c r="S77" s="2266">
        <v>415.9</v>
      </c>
    </row>
    <row r="78" spans="1:19" ht="15" customHeight="1">
      <c r="A78" s="2736" t="s">
        <v>637</v>
      </c>
      <c r="B78" s="2737" t="s">
        <v>52</v>
      </c>
      <c r="C78" s="2761">
        <v>628.18100000000004</v>
      </c>
      <c r="D78" s="2762"/>
      <c r="E78" s="2763">
        <f t="shared" si="4"/>
        <v>628.18100000000004</v>
      </c>
      <c r="F78" s="2751">
        <f>422.66+80.18+125.36+64.45-64.45+27.83-27.83+41.64-41.64+35.19-35.19+20.32-20.32+10.85-10.85+7.98-7.98+7.7-7.7</f>
        <v>628.20000000000005</v>
      </c>
      <c r="G78" s="2752">
        <f>+E78-F78</f>
        <v>-1.9000000000005457E-2</v>
      </c>
      <c r="H78" s="2743">
        <f t="shared" si="5"/>
        <v>-3.0246059654789712E-5</v>
      </c>
      <c r="I78" s="2744"/>
      <c r="J78" s="2266">
        <f t="shared" si="8"/>
        <v>21</v>
      </c>
      <c r="L78" s="1190"/>
      <c r="M78" s="2745">
        <f t="shared" si="7"/>
        <v>0</v>
      </c>
      <c r="N78" s="2266">
        <v>628.20000000000005</v>
      </c>
      <c r="Q78" s="2749"/>
      <c r="S78" s="2266">
        <v>636.17999999999995</v>
      </c>
    </row>
    <row r="79" spans="1:19" s="2769" customFormat="1" ht="39.6">
      <c r="A79" s="2736" t="s">
        <v>638</v>
      </c>
      <c r="B79" s="2764" t="s">
        <v>52</v>
      </c>
      <c r="C79" s="2738">
        <v>161.19</v>
      </c>
      <c r="D79" s="2765"/>
      <c r="E79" s="2740">
        <f t="shared" si="4"/>
        <v>161.19</v>
      </c>
      <c r="F79" s="2766">
        <f>0+5.07+43.44+0.21+1.59+2.66+11.64+15.04-21.38+0.2+7.65+8.59+3.94+2.12</f>
        <v>80.770000000000024</v>
      </c>
      <c r="G79" s="2767">
        <f t="shared" si="6"/>
        <v>80.419999999999973</v>
      </c>
      <c r="H79" s="2743">
        <f t="shared" si="5"/>
        <v>0.49891432470996944</v>
      </c>
      <c r="I79" s="2768"/>
      <c r="J79" s="2769">
        <f t="shared" si="8"/>
        <v>22</v>
      </c>
      <c r="L79" s="1190"/>
      <c r="M79" s="2745">
        <f t="shared" si="7"/>
        <v>0</v>
      </c>
      <c r="N79" s="2769">
        <v>80.77</v>
      </c>
      <c r="Q79" s="2770"/>
      <c r="S79" s="2769">
        <v>78.650000000000006</v>
      </c>
    </row>
    <row r="80" spans="1:19" ht="26.4">
      <c r="A80" s="2736" t="s">
        <v>639</v>
      </c>
      <c r="B80" s="2737" t="s">
        <v>52</v>
      </c>
      <c r="C80" s="2738">
        <v>474.92700000000002</v>
      </c>
      <c r="D80" s="2747"/>
      <c r="E80" s="2740">
        <f t="shared" si="4"/>
        <v>474.92700000000002</v>
      </c>
      <c r="F80" s="2751">
        <f>167.74+21.61+104.81+108.47-17.63+18.09+105.12-34.42-21.65+120.68+59.79-106.56-73.91+21.78-21.78+18.49-18.49+26.26-24.13-2.13+9.04+1.58+2.31+0.9+8.96+0.43-0.43</f>
        <v>474.92999999999995</v>
      </c>
      <c r="G80" s="2752">
        <f t="shared" si="6"/>
        <v>-2.9999999999290594E-3</v>
      </c>
      <c r="H80" s="2743">
        <f t="shared" si="5"/>
        <v>-6.3167602598484807E-6</v>
      </c>
      <c r="I80" s="2947" t="s">
        <v>1467</v>
      </c>
      <c r="J80" s="2266">
        <f t="shared" si="8"/>
        <v>23</v>
      </c>
      <c r="L80" s="1190"/>
      <c r="M80" s="2745">
        <f t="shared" si="7"/>
        <v>0</v>
      </c>
      <c r="N80" s="2266">
        <v>474.93</v>
      </c>
      <c r="Q80" s="2749"/>
      <c r="S80" s="2266">
        <v>478.4</v>
      </c>
    </row>
    <row r="81" spans="1:19" ht="15" customHeight="1">
      <c r="A81" s="2736" t="s">
        <v>640</v>
      </c>
      <c r="B81" s="2737" t="s">
        <v>52</v>
      </c>
      <c r="C81" s="2738">
        <v>3.37</v>
      </c>
      <c r="D81" s="2771"/>
      <c r="E81" s="2740">
        <f t="shared" si="4"/>
        <v>3.37</v>
      </c>
      <c r="F81" s="2751">
        <f>9.81-6.44</f>
        <v>3.37</v>
      </c>
      <c r="G81" s="2752">
        <f t="shared" si="6"/>
        <v>0</v>
      </c>
      <c r="H81" s="2743">
        <f t="shared" si="5"/>
        <v>0</v>
      </c>
      <c r="I81" s="2744"/>
      <c r="J81" s="2266">
        <f t="shared" si="8"/>
        <v>24</v>
      </c>
      <c r="L81" s="2455"/>
      <c r="M81" s="2745">
        <f t="shared" si="7"/>
        <v>0</v>
      </c>
      <c r="N81" s="2266">
        <v>3.37</v>
      </c>
      <c r="Q81" s="2749"/>
      <c r="S81" s="2266">
        <v>3.37</v>
      </c>
    </row>
    <row r="82" spans="1:19" ht="52.8">
      <c r="A82" s="2736" t="s">
        <v>641</v>
      </c>
      <c r="B82" s="2737" t="s">
        <v>52</v>
      </c>
      <c r="C82" s="2738">
        <v>0.6</v>
      </c>
      <c r="D82" s="2747"/>
      <c r="E82" s="2740">
        <f t="shared" si="4"/>
        <v>0.6</v>
      </c>
      <c r="F82" s="2751">
        <f>5.29-5.29</f>
        <v>0</v>
      </c>
      <c r="G82" s="2752">
        <f t="shared" si="6"/>
        <v>0.6</v>
      </c>
      <c r="H82" s="2743">
        <f t="shared" si="5"/>
        <v>1</v>
      </c>
      <c r="I82" s="2744"/>
      <c r="J82" s="2266">
        <f t="shared" si="8"/>
        <v>25</v>
      </c>
      <c r="L82" s="1190"/>
      <c r="M82" s="2745">
        <f t="shared" si="7"/>
        <v>0</v>
      </c>
      <c r="N82" s="2266">
        <v>0</v>
      </c>
      <c r="Q82" s="2749"/>
      <c r="S82" s="2266">
        <v>0</v>
      </c>
    </row>
    <row r="83" spans="1:19" ht="15" customHeight="1">
      <c r="A83" s="2736" t="s">
        <v>642</v>
      </c>
      <c r="B83" s="2737" t="s">
        <v>52</v>
      </c>
      <c r="C83" s="2738">
        <v>96.825000000000003</v>
      </c>
      <c r="D83" s="2747"/>
      <c r="E83" s="2740">
        <f t="shared" si="4"/>
        <v>96.825000000000003</v>
      </c>
      <c r="F83" s="2751">
        <f>60.8-18.54+29.14+25.43+11.01-11.01+2.53-2.53+0.7-0.7+1.16-1.16</f>
        <v>96.830000000000013</v>
      </c>
      <c r="G83" s="2752">
        <f t="shared" si="6"/>
        <v>-5.0000000000096634E-3</v>
      </c>
      <c r="H83" s="2743">
        <f t="shared" si="5"/>
        <v>-5.1639555899919065E-5</v>
      </c>
      <c r="I83" s="2753"/>
      <c r="J83" s="2266">
        <f t="shared" si="8"/>
        <v>26</v>
      </c>
      <c r="L83" s="1190"/>
      <c r="M83" s="2745">
        <f t="shared" si="7"/>
        <v>0</v>
      </c>
      <c r="N83" s="2266">
        <v>96.83</v>
      </c>
      <c r="Q83" s="2749"/>
      <c r="S83" s="2266">
        <v>96.83</v>
      </c>
    </row>
    <row r="84" spans="1:19" ht="39.6">
      <c r="A84" s="2736" t="s">
        <v>643</v>
      </c>
      <c r="B84" s="2737" t="s">
        <v>52</v>
      </c>
      <c r="C84" s="2738">
        <v>76.299000000000007</v>
      </c>
      <c r="D84" s="2747"/>
      <c r="E84" s="2740">
        <f t="shared" si="4"/>
        <v>76.299000000000007</v>
      </c>
      <c r="F84" s="2751">
        <f>84.46-8.16</f>
        <v>76.3</v>
      </c>
      <c r="G84" s="2752">
        <f t="shared" si="6"/>
        <v>-9.9999999999056399E-4</v>
      </c>
      <c r="H84" s="2743">
        <f t="shared" si="5"/>
        <v>-1.3106331668705539E-5</v>
      </c>
      <c r="I84" s="2744"/>
      <c r="J84" s="2266">
        <f t="shared" si="8"/>
        <v>27</v>
      </c>
      <c r="L84" s="1190"/>
      <c r="M84" s="2745">
        <f t="shared" si="7"/>
        <v>0</v>
      </c>
      <c r="N84" s="2266">
        <v>76.3</v>
      </c>
      <c r="Q84" s="2749"/>
      <c r="S84" s="2266">
        <v>76.3</v>
      </c>
    </row>
    <row r="85" spans="1:19" ht="26.4">
      <c r="A85" s="3676" t="s">
        <v>644</v>
      </c>
      <c r="B85" s="2737" t="s">
        <v>52</v>
      </c>
      <c r="C85" s="2750">
        <v>7.92</v>
      </c>
      <c r="D85" s="2747"/>
      <c r="E85" s="2740">
        <f t="shared" si="4"/>
        <v>7.92</v>
      </c>
      <c r="F85" s="2748">
        <f>54.5-43.83+0.25+0.32-0.57+0.62+0.78+0.04</f>
        <v>12.11</v>
      </c>
      <c r="G85" s="2752">
        <f t="shared" si="6"/>
        <v>-4.1899999999999995</v>
      </c>
      <c r="H85" s="2743">
        <f t="shared" si="5"/>
        <v>-0.52904040404040398</v>
      </c>
      <c r="I85" s="2744"/>
      <c r="J85" s="2772">
        <f t="shared" si="8"/>
        <v>28</v>
      </c>
      <c r="K85" s="2772"/>
      <c r="L85" s="1190"/>
      <c r="M85" s="2745">
        <f t="shared" si="7"/>
        <v>0</v>
      </c>
      <c r="N85" s="2266">
        <v>12.11</v>
      </c>
      <c r="Q85" s="2773"/>
      <c r="S85" s="2266">
        <v>10.67</v>
      </c>
    </row>
    <row r="86" spans="1:19" ht="26.4">
      <c r="A86" s="2736" t="s">
        <v>645</v>
      </c>
      <c r="B86" s="2737" t="s">
        <v>52</v>
      </c>
      <c r="C86" s="2738">
        <v>157.798</v>
      </c>
      <c r="D86" s="2747"/>
      <c r="E86" s="2740">
        <f t="shared" si="4"/>
        <v>157.798</v>
      </c>
      <c r="F86" s="2748">
        <f>0+13.21+31.75+34.15+22.27+69.29-49.81+6.72+10.94</f>
        <v>138.52000000000001</v>
      </c>
      <c r="G86" s="2752">
        <f t="shared" si="6"/>
        <v>19.277999999999992</v>
      </c>
      <c r="H86" s="2743">
        <f t="shared" si="5"/>
        <v>0.12216884878135333</v>
      </c>
      <c r="I86" s="2744"/>
      <c r="J86" s="2266">
        <f t="shared" si="8"/>
        <v>29</v>
      </c>
      <c r="L86" s="1190"/>
      <c r="M86" s="2745">
        <f t="shared" si="7"/>
        <v>0</v>
      </c>
      <c r="N86" s="2266">
        <v>138.52000000000001</v>
      </c>
      <c r="Q86" s="2773"/>
      <c r="S86" s="2266">
        <v>138.52000000000001</v>
      </c>
    </row>
    <row r="87" spans="1:19" s="1190" customFormat="1" ht="26.4">
      <c r="A87" s="2736" t="s">
        <v>646</v>
      </c>
      <c r="B87" s="2756" t="s">
        <v>52</v>
      </c>
      <c r="C87" s="2738">
        <v>0</v>
      </c>
      <c r="D87" s="2698"/>
      <c r="E87" s="2740">
        <f t="shared" si="4"/>
        <v>0</v>
      </c>
      <c r="F87" s="2774">
        <v>0</v>
      </c>
      <c r="G87" s="2681">
        <f t="shared" si="6"/>
        <v>0</v>
      </c>
      <c r="H87" s="2743" t="e">
        <f t="shared" si="5"/>
        <v>#DIV/0!</v>
      </c>
      <c r="I87" s="2758"/>
      <c r="J87" s="1190">
        <f t="shared" si="8"/>
        <v>30</v>
      </c>
      <c r="M87" s="2745">
        <f t="shared" si="7"/>
        <v>0</v>
      </c>
      <c r="N87" s="1190">
        <v>0</v>
      </c>
      <c r="Q87" s="2773"/>
      <c r="S87" s="1190">
        <v>0</v>
      </c>
    </row>
    <row r="88" spans="1:19" ht="52.8">
      <c r="A88" s="2736" t="s">
        <v>647</v>
      </c>
      <c r="B88" s="2737" t="s">
        <v>52</v>
      </c>
      <c r="C88" s="2738">
        <v>269.77999999999997</v>
      </c>
      <c r="D88" s="2747"/>
      <c r="E88" s="2740">
        <f t="shared" si="4"/>
        <v>269.77999999999997</v>
      </c>
      <c r="F88" s="2748">
        <f>107.45-4.15+29.64+9.88+21.15+11.2</f>
        <v>175.17</v>
      </c>
      <c r="G88" s="2752">
        <f t="shared" si="6"/>
        <v>94.609999999999985</v>
      </c>
      <c r="H88" s="2743">
        <f t="shared" si="5"/>
        <v>0.3506931573875009</v>
      </c>
      <c r="I88" s="2753"/>
      <c r="J88" s="2266">
        <f t="shared" si="8"/>
        <v>31</v>
      </c>
      <c r="L88" s="1190"/>
      <c r="M88" s="2745">
        <f t="shared" si="7"/>
        <v>0</v>
      </c>
      <c r="N88" s="2266">
        <v>175.17</v>
      </c>
      <c r="Q88" s="2773"/>
      <c r="S88" s="2266">
        <v>175.17</v>
      </c>
    </row>
    <row r="89" spans="1:19" ht="52.8">
      <c r="A89" s="2736" t="s">
        <v>648</v>
      </c>
      <c r="B89" s="2737" t="s">
        <v>52</v>
      </c>
      <c r="C89" s="2738">
        <v>231.42599999999999</v>
      </c>
      <c r="D89" s="2747"/>
      <c r="E89" s="2740">
        <f t="shared" si="4"/>
        <v>231.42599999999999</v>
      </c>
      <c r="F89" s="2748">
        <f>377.67+109.33-255.57+75.98-75.98</f>
        <v>231.43</v>
      </c>
      <c r="G89" s="2752">
        <f t="shared" si="6"/>
        <v>-4.0000000000190994E-3</v>
      </c>
      <c r="H89" s="2743">
        <f t="shared" si="5"/>
        <v>-1.7284142663396073E-5</v>
      </c>
      <c r="I89" s="2947" t="s">
        <v>1469</v>
      </c>
      <c r="J89" s="2772">
        <f t="shared" si="8"/>
        <v>32</v>
      </c>
      <c r="L89" s="1190"/>
      <c r="M89" s="2745">
        <f t="shared" si="7"/>
        <v>0</v>
      </c>
      <c r="N89" s="2266">
        <v>231.43</v>
      </c>
      <c r="Q89" s="2773"/>
      <c r="S89" s="2266">
        <v>231.43</v>
      </c>
    </row>
    <row r="90" spans="1:19" ht="15" customHeight="1">
      <c r="A90" s="2736" t="s">
        <v>649</v>
      </c>
      <c r="B90" s="2737" t="s">
        <v>52</v>
      </c>
      <c r="C90" s="2738">
        <v>2.2709999999999999</v>
      </c>
      <c r="D90" s="2747"/>
      <c r="E90" s="2740">
        <f t="shared" si="4"/>
        <v>2.2709999999999999</v>
      </c>
      <c r="F90" s="2748">
        <f>1.37-1.37</f>
        <v>0</v>
      </c>
      <c r="G90" s="2752">
        <f t="shared" si="6"/>
        <v>2.2709999999999999</v>
      </c>
      <c r="H90" s="2743">
        <f t="shared" si="5"/>
        <v>1</v>
      </c>
      <c r="I90" s="2744"/>
      <c r="J90" s="2266">
        <f t="shared" si="8"/>
        <v>33</v>
      </c>
      <c r="L90" s="1190"/>
      <c r="M90" s="2745">
        <f t="shared" si="7"/>
        <v>0</v>
      </c>
      <c r="N90" s="2266">
        <v>0</v>
      </c>
      <c r="Q90" s="2773"/>
      <c r="S90" s="2266">
        <v>0</v>
      </c>
    </row>
    <row r="91" spans="1:19" ht="15" customHeight="1">
      <c r="A91" s="2736" t="s">
        <v>650</v>
      </c>
      <c r="B91" s="2737" t="s">
        <v>52</v>
      </c>
      <c r="C91" s="2750">
        <v>10.08</v>
      </c>
      <c r="D91" s="2747"/>
      <c r="E91" s="2740">
        <f t="shared" si="4"/>
        <v>10.08</v>
      </c>
      <c r="F91" s="2748">
        <f>13.85-3.77</f>
        <v>10.08</v>
      </c>
      <c r="G91" s="2752">
        <f t="shared" si="6"/>
        <v>0</v>
      </c>
      <c r="H91" s="2743">
        <f t="shared" si="5"/>
        <v>0</v>
      </c>
      <c r="I91" s="2744">
        <v>41768</v>
      </c>
      <c r="J91" s="2266">
        <f t="shared" si="8"/>
        <v>34</v>
      </c>
      <c r="L91" s="1190"/>
      <c r="M91" s="2745">
        <f t="shared" si="7"/>
        <v>0</v>
      </c>
      <c r="N91" s="2266">
        <v>10.08</v>
      </c>
      <c r="Q91" s="2773"/>
      <c r="S91" s="2266">
        <v>10.08</v>
      </c>
    </row>
    <row r="92" spans="1:19" ht="52.8">
      <c r="A92" s="2736" t="s">
        <v>651</v>
      </c>
      <c r="B92" s="2737" t="s">
        <v>52</v>
      </c>
      <c r="C92" s="2738">
        <v>310.58</v>
      </c>
      <c r="D92" s="2747"/>
      <c r="E92" s="2740">
        <f t="shared" si="4"/>
        <v>310.58</v>
      </c>
      <c r="F92" s="2748">
        <f>380.15-19.87-109.7+8.85+2.25-11.1+1.37+7.29+8.07</f>
        <v>267.31</v>
      </c>
      <c r="G92" s="2752">
        <f t="shared" si="6"/>
        <v>43.269999999999982</v>
      </c>
      <c r="H92" s="2743">
        <f t="shared" si="5"/>
        <v>0.13931998196921883</v>
      </c>
      <c r="I92" s="2744"/>
      <c r="J92" s="2266">
        <f t="shared" si="8"/>
        <v>35</v>
      </c>
      <c r="L92" s="1190"/>
      <c r="M92" s="2745">
        <f t="shared" si="7"/>
        <v>0</v>
      </c>
      <c r="N92" s="2266">
        <v>267.31</v>
      </c>
      <c r="Q92" s="2773"/>
      <c r="S92" s="2266">
        <v>251.95</v>
      </c>
    </row>
    <row r="93" spans="1:19" ht="15" customHeight="1">
      <c r="A93" s="2736" t="s">
        <v>652</v>
      </c>
      <c r="B93" s="2737" t="s">
        <v>52</v>
      </c>
      <c r="C93" s="2738">
        <v>98.74</v>
      </c>
      <c r="D93" s="2747"/>
      <c r="E93" s="2740">
        <f t="shared" si="4"/>
        <v>98.74</v>
      </c>
      <c r="F93" s="2748">
        <f>139.92+10.8-51.98</f>
        <v>98.740000000000009</v>
      </c>
      <c r="G93" s="2752">
        <f t="shared" si="6"/>
        <v>0</v>
      </c>
      <c r="H93" s="2743">
        <f t="shared" si="5"/>
        <v>0</v>
      </c>
      <c r="I93" s="2744"/>
      <c r="J93" s="2266">
        <f t="shared" si="8"/>
        <v>36</v>
      </c>
      <c r="L93" s="1190"/>
      <c r="M93" s="2745">
        <f t="shared" si="7"/>
        <v>0</v>
      </c>
      <c r="N93" s="2266">
        <v>98.74</v>
      </c>
      <c r="Q93" s="2773"/>
      <c r="S93" s="2266">
        <v>98.74</v>
      </c>
    </row>
    <row r="94" spans="1:19" ht="15" customHeight="1">
      <c r="A94" s="2736" t="s">
        <v>653</v>
      </c>
      <c r="B94" s="2737" t="s">
        <v>52</v>
      </c>
      <c r="C94" s="2761">
        <v>400.54</v>
      </c>
      <c r="D94" s="2747"/>
      <c r="E94" s="2763">
        <f t="shared" si="4"/>
        <v>400.54</v>
      </c>
      <c r="F94" s="2775">
        <f>114.26+163.24+123-1.99+12.68-10.69+4.47+21.1-25.57+54.55-54.55+2.28-2.28</f>
        <v>400.50000000000006</v>
      </c>
      <c r="G94" s="2752">
        <f t="shared" si="6"/>
        <v>3.999999999996362E-2</v>
      </c>
      <c r="H94" s="2743">
        <f t="shared" si="5"/>
        <v>9.9865182004203368E-5</v>
      </c>
      <c r="I94" s="2744"/>
      <c r="J94" s="2266">
        <f t="shared" si="8"/>
        <v>37</v>
      </c>
      <c r="L94" s="1190"/>
      <c r="M94" s="2745">
        <f t="shared" si="7"/>
        <v>0</v>
      </c>
      <c r="N94" s="2266">
        <v>400.5</v>
      </c>
      <c r="Q94" s="2773"/>
      <c r="S94" s="2266">
        <v>402.78</v>
      </c>
    </row>
    <row r="95" spans="1:19" ht="15" customHeight="1">
      <c r="A95" s="2736" t="s">
        <v>654</v>
      </c>
      <c r="B95" s="2737" t="s">
        <v>52</v>
      </c>
      <c r="C95" s="2738">
        <v>111.041</v>
      </c>
      <c r="D95" s="2776"/>
      <c r="E95" s="2740">
        <f t="shared" si="4"/>
        <v>111.041</v>
      </c>
      <c r="F95" s="2748">
        <f>0.06-0.06+6.68+10.5+4.04+22.12+8.06+3.23+3.44+7.72+2.65+0.28</f>
        <v>68.720000000000013</v>
      </c>
      <c r="G95" s="2752">
        <f t="shared" si="6"/>
        <v>42.320999999999984</v>
      </c>
      <c r="H95" s="2743">
        <f t="shared" si="5"/>
        <v>0.38112949270989982</v>
      </c>
      <c r="I95" s="2753"/>
      <c r="J95" s="2266">
        <f t="shared" si="8"/>
        <v>38</v>
      </c>
      <c r="L95" s="1190"/>
      <c r="M95" s="2745">
        <f t="shared" si="7"/>
        <v>0</v>
      </c>
      <c r="N95" s="2266">
        <v>68.72</v>
      </c>
      <c r="Q95" s="2773"/>
      <c r="S95" s="2266">
        <v>54.63</v>
      </c>
    </row>
    <row r="96" spans="1:19" ht="15" customHeight="1">
      <c r="A96" s="2736" t="s">
        <v>655</v>
      </c>
      <c r="B96" s="2737" t="s">
        <v>52</v>
      </c>
      <c r="C96" s="2738">
        <v>264.46499999999997</v>
      </c>
      <c r="D96" s="2776"/>
      <c r="E96" s="2740">
        <f t="shared" si="4"/>
        <v>264.46499999999997</v>
      </c>
      <c r="F96" s="2748">
        <f>278.69+24.59-38.81+11.1-11.1+0.41-0.41+0.41</f>
        <v>264.88</v>
      </c>
      <c r="G96" s="2752">
        <f t="shared" si="6"/>
        <v>-0.41500000000002046</v>
      </c>
      <c r="H96" s="2743">
        <f t="shared" si="5"/>
        <v>-1.5692057550149188E-3</v>
      </c>
      <c r="I96" s="2753"/>
      <c r="J96" s="2266">
        <f t="shared" si="8"/>
        <v>39</v>
      </c>
      <c r="L96" s="1190"/>
      <c r="M96" s="2745">
        <f t="shared" si="7"/>
        <v>0</v>
      </c>
      <c r="N96" s="2266">
        <v>264.88</v>
      </c>
      <c r="Q96" s="2773"/>
      <c r="S96" s="2266">
        <v>264.47000000000003</v>
      </c>
    </row>
    <row r="97" spans="1:19" ht="15" customHeight="1">
      <c r="A97" s="2736" t="s">
        <v>656</v>
      </c>
      <c r="B97" s="2737" t="s">
        <v>52</v>
      </c>
      <c r="C97" s="2738">
        <v>0</v>
      </c>
      <c r="D97" s="2776"/>
      <c r="E97" s="2740">
        <f t="shared" si="4"/>
        <v>0</v>
      </c>
      <c r="F97" s="2748">
        <v>0</v>
      </c>
      <c r="G97" s="2742">
        <f t="shared" si="6"/>
        <v>0</v>
      </c>
      <c r="H97" s="2743" t="e">
        <f t="shared" si="5"/>
        <v>#DIV/0!</v>
      </c>
      <c r="I97" s="2744"/>
      <c r="J97" s="2266">
        <f t="shared" si="8"/>
        <v>40</v>
      </c>
      <c r="L97" s="1190"/>
      <c r="M97" s="2745">
        <f t="shared" si="7"/>
        <v>0</v>
      </c>
      <c r="N97" s="2266">
        <v>0</v>
      </c>
      <c r="Q97" s="2773"/>
      <c r="S97" s="2266">
        <v>0</v>
      </c>
    </row>
    <row r="98" spans="1:19" ht="52.8">
      <c r="A98" s="2736" t="s">
        <v>657</v>
      </c>
      <c r="B98" s="2737" t="s">
        <v>52</v>
      </c>
      <c r="C98" s="2738">
        <v>0</v>
      </c>
      <c r="D98" s="2747"/>
      <c r="E98" s="2740">
        <f>+C98+D98</f>
        <v>0</v>
      </c>
      <c r="F98" s="2748">
        <v>0</v>
      </c>
      <c r="G98" s="2752">
        <f t="shared" si="6"/>
        <v>0</v>
      </c>
      <c r="H98" s="2743" t="e">
        <f t="shared" si="5"/>
        <v>#DIV/0!</v>
      </c>
      <c r="I98" s="2744">
        <v>41768</v>
      </c>
      <c r="J98" s="2266">
        <f t="shared" si="8"/>
        <v>41</v>
      </c>
      <c r="L98" s="1190"/>
      <c r="M98" s="2745">
        <f t="shared" si="7"/>
        <v>0</v>
      </c>
      <c r="N98" s="2266">
        <v>0</v>
      </c>
      <c r="Q98" s="2773"/>
      <c r="S98" s="2266">
        <v>0</v>
      </c>
    </row>
    <row r="99" spans="1:19" ht="52.8">
      <c r="A99" s="2736" t="s">
        <v>1050</v>
      </c>
      <c r="B99" s="2737" t="s">
        <v>52</v>
      </c>
      <c r="C99" s="2761">
        <v>444.49</v>
      </c>
      <c r="D99" s="2747"/>
      <c r="E99" s="2763">
        <f>+C99+D99</f>
        <v>444.49</v>
      </c>
      <c r="F99" s="2748">
        <f>561.2-71.08+6.23-51.86+46.59+10.95-57.54+10.62-10.62+5.61-4.35+2.65-1.25-2.66+24.95-24.95+5.41-5.41+1.03-1.03+5.63-5.63</f>
        <v>444.48999999999995</v>
      </c>
      <c r="G99" s="2752">
        <f t="shared" si="6"/>
        <v>0</v>
      </c>
      <c r="H99" s="2743">
        <f t="shared" si="5"/>
        <v>0</v>
      </c>
      <c r="I99" s="2777"/>
      <c r="J99" s="2266">
        <f t="shared" si="8"/>
        <v>42</v>
      </c>
      <c r="L99" s="1190"/>
      <c r="M99" s="2745">
        <f>+N99-F99</f>
        <v>0</v>
      </c>
      <c r="N99" s="2266">
        <v>444.49</v>
      </c>
      <c r="Q99" s="2773"/>
      <c r="S99" s="2266">
        <v>448.4</v>
      </c>
    </row>
    <row r="100" spans="1:19" ht="39.6">
      <c r="A100" s="2736" t="s">
        <v>659</v>
      </c>
      <c r="B100" s="2737" t="s">
        <v>52</v>
      </c>
      <c r="C100" s="2738">
        <v>309.53800000000001</v>
      </c>
      <c r="D100" s="2747"/>
      <c r="E100" s="2740">
        <f t="shared" ref="E100:E120" si="9">+C100+D100</f>
        <v>309.53800000000001</v>
      </c>
      <c r="F100" s="2748">
        <f>189.67+31.73+88.14+22.47+46.52-68.47-0.52+0.37+26.75-27.12+35.03-12.81+1.3-23.52+12.17-12.17+10.4+7.8-18.2+7.63+0.3+5.51-13.44</f>
        <v>309.53999999999996</v>
      </c>
      <c r="G100" s="2752">
        <f t="shared" si="6"/>
        <v>-1.9999999999527063E-3</v>
      </c>
      <c r="H100" s="2743">
        <f t="shared" si="5"/>
        <v>-6.4612422382799725E-6</v>
      </c>
      <c r="I100" s="2744" t="s">
        <v>1469</v>
      </c>
      <c r="J100" s="2266">
        <f t="shared" si="8"/>
        <v>43</v>
      </c>
      <c r="L100" s="1190"/>
      <c r="M100" s="2745">
        <f>+N100-F100</f>
        <v>0</v>
      </c>
      <c r="N100" s="2266">
        <v>309.54000000000002</v>
      </c>
      <c r="Q100" s="2773"/>
      <c r="S100" s="2266">
        <v>333.06</v>
      </c>
    </row>
    <row r="101" spans="1:19" ht="15" customHeight="1">
      <c r="A101" s="2736" t="s">
        <v>660</v>
      </c>
      <c r="B101" s="2737" t="s">
        <v>52</v>
      </c>
      <c r="C101" s="2738">
        <v>7.3609999999999998</v>
      </c>
      <c r="D101" s="2747"/>
      <c r="E101" s="2740">
        <f t="shared" si="9"/>
        <v>7.3609999999999998</v>
      </c>
      <c r="F101" s="2748">
        <f>2.63+7.18-2.63</f>
        <v>7.1799999999999988</v>
      </c>
      <c r="G101" s="2752">
        <f t="shared" si="6"/>
        <v>0.18100000000000094</v>
      </c>
      <c r="H101" s="2743">
        <f t="shared" si="5"/>
        <v>2.4589050400760894E-2</v>
      </c>
      <c r="I101" s="2778"/>
      <c r="J101" s="2266">
        <f t="shared" si="8"/>
        <v>44</v>
      </c>
      <c r="L101" s="1190"/>
      <c r="M101" s="2745">
        <f t="shared" si="7"/>
        <v>0</v>
      </c>
      <c r="N101" s="2266">
        <v>7.18</v>
      </c>
      <c r="Q101" s="2773"/>
      <c r="S101" s="2266">
        <v>7.18</v>
      </c>
    </row>
    <row r="102" spans="1:19" ht="15" customHeight="1">
      <c r="A102" s="2736" t="s">
        <v>661</v>
      </c>
      <c r="B102" s="2737" t="s">
        <v>52</v>
      </c>
      <c r="C102" s="2738">
        <v>820.79600000000005</v>
      </c>
      <c r="D102" s="2747"/>
      <c r="E102" s="2740">
        <f t="shared" si="9"/>
        <v>820.79600000000005</v>
      </c>
      <c r="F102" s="2748">
        <f>502.62+169.76+148.42+70.81-37.26-3.19-19.01+56.97-33.34-34.98+48.47-48.47+29.14-29.14+63.39-56.53-6.86-29.96+26.61+0.88</f>
        <v>818.32999999999981</v>
      </c>
      <c r="G102" s="2752">
        <f t="shared" si="6"/>
        <v>2.4660000000002356</v>
      </c>
      <c r="H102" s="2743">
        <f t="shared" si="5"/>
        <v>3.0044006062410582E-3</v>
      </c>
      <c r="I102" s="2947" t="s">
        <v>1469</v>
      </c>
      <c r="J102" s="2266">
        <f t="shared" si="8"/>
        <v>45</v>
      </c>
      <c r="L102" s="1190"/>
      <c r="M102" s="2745">
        <f t="shared" si="7"/>
        <v>0</v>
      </c>
      <c r="N102" s="2266">
        <v>818.33</v>
      </c>
      <c r="Q102" s="2773"/>
      <c r="S102" s="2266">
        <v>884.19</v>
      </c>
    </row>
    <row r="103" spans="1:19" s="2769" customFormat="1" ht="15" customHeight="1">
      <c r="A103" s="2736" t="s">
        <v>662</v>
      </c>
      <c r="B103" s="2779" t="s">
        <v>52</v>
      </c>
      <c r="C103" s="2780">
        <v>571.1</v>
      </c>
      <c r="D103" s="2781"/>
      <c r="E103" s="2782">
        <f t="shared" si="9"/>
        <v>571.1</v>
      </c>
      <c r="F103" s="2783">
        <f>382.55+34.59+31.12+40.02+49.02+218.53-65.77-104.87-47.89-0.02+2.6-2.6+13.1+12.62+4.61-30.33+4.25-4.25+2.16+81.85-84.03</f>
        <v>537.26</v>
      </c>
      <c r="G103" s="2784">
        <f t="shared" si="6"/>
        <v>33.840000000000032</v>
      </c>
      <c r="H103" s="2785">
        <f t="shared" si="5"/>
        <v>5.9254071090877311E-2</v>
      </c>
      <c r="I103" s="2786" t="s">
        <v>1472</v>
      </c>
      <c r="J103" s="1690">
        <f t="shared" si="8"/>
        <v>46</v>
      </c>
      <c r="L103" s="1190"/>
      <c r="M103" s="2745">
        <f t="shared" si="7"/>
        <v>0</v>
      </c>
      <c r="N103" s="2769">
        <v>537.26</v>
      </c>
      <c r="Q103" s="2787"/>
      <c r="S103" s="2769">
        <v>537.28</v>
      </c>
    </row>
    <row r="104" spans="1:19" ht="39.6">
      <c r="A104" s="2736" t="s">
        <v>663</v>
      </c>
      <c r="B104" s="2779" t="s">
        <v>52</v>
      </c>
      <c r="C104" s="2780">
        <f>95.739+4.036</f>
        <v>99.775000000000006</v>
      </c>
      <c r="D104" s="2781"/>
      <c r="E104" s="2782">
        <f t="shared" si="9"/>
        <v>99.775000000000006</v>
      </c>
      <c r="F104" s="2783">
        <f>98.83+18.09-38.42+5.08+0.07+12.09+3.46-3.46+20.02-20.02+0.31-0.31</f>
        <v>95.74</v>
      </c>
      <c r="G104" s="2784">
        <f t="shared" si="6"/>
        <v>4.0350000000000108</v>
      </c>
      <c r="H104" s="2785">
        <f t="shared" si="5"/>
        <v>4.044099223252328E-2</v>
      </c>
      <c r="I104" s="2786">
        <v>41822</v>
      </c>
      <c r="J104" s="1690">
        <f t="shared" si="8"/>
        <v>47</v>
      </c>
      <c r="K104" s="2131" t="s">
        <v>1354</v>
      </c>
      <c r="L104" s="2131"/>
      <c r="M104" s="2745">
        <f t="shared" si="7"/>
        <v>0</v>
      </c>
      <c r="N104" s="2266">
        <v>95.74</v>
      </c>
      <c r="Q104" s="2773"/>
      <c r="S104" s="2266">
        <v>95.74</v>
      </c>
    </row>
    <row r="105" spans="1:19" ht="39.6">
      <c r="A105" s="2736" t="s">
        <v>664</v>
      </c>
      <c r="B105" s="2737" t="s">
        <v>52</v>
      </c>
      <c r="C105" s="2761">
        <v>302.79000000000002</v>
      </c>
      <c r="D105" s="2747"/>
      <c r="E105" s="2763">
        <f t="shared" si="9"/>
        <v>302.79000000000002</v>
      </c>
      <c r="F105" s="2748">
        <f>293.79-109.22+68.57+35.22+8.38-8.38+19.29-19.29+16.31-16.31+8.23+5.31-13.54+2.37+0.74</f>
        <v>291.47000000000003</v>
      </c>
      <c r="G105" s="2752">
        <f t="shared" si="6"/>
        <v>11.319999999999993</v>
      </c>
      <c r="H105" s="2743">
        <f t="shared" si="5"/>
        <v>3.7385646817926589E-2</v>
      </c>
      <c r="I105" s="2744" t="s">
        <v>1486</v>
      </c>
      <c r="J105" s="2266">
        <f t="shared" si="8"/>
        <v>48</v>
      </c>
      <c r="L105" s="1190"/>
      <c r="M105" s="2745">
        <f t="shared" si="7"/>
        <v>0</v>
      </c>
      <c r="N105" s="2266">
        <v>291.47000000000003</v>
      </c>
      <c r="Q105" s="2773"/>
      <c r="S105" s="2266">
        <v>288.36</v>
      </c>
    </row>
    <row r="106" spans="1:19" ht="39.6">
      <c r="A106" s="2736" t="s">
        <v>665</v>
      </c>
      <c r="B106" s="2737" t="s">
        <v>52</v>
      </c>
      <c r="C106" s="2738">
        <v>184.52199999999999</v>
      </c>
      <c r="D106" s="2776"/>
      <c r="E106" s="2740">
        <f t="shared" si="9"/>
        <v>184.52199999999999</v>
      </c>
      <c r="F106" s="2748">
        <f>42.97-20.13+10.62+28.48+70.33+2.66+0.77+27.54+13.64+6.77+1.96-0.77-0.32+1.64+1.32-2.96</f>
        <v>184.51999999999998</v>
      </c>
      <c r="G106" s="2752">
        <f t="shared" si="6"/>
        <v>2.0000000000095497E-3</v>
      </c>
      <c r="H106" s="2743">
        <f t="shared" si="5"/>
        <v>1.0838815967795437E-5</v>
      </c>
      <c r="I106" s="2753"/>
      <c r="J106" s="2266">
        <f t="shared" si="8"/>
        <v>49</v>
      </c>
      <c r="L106" s="1190"/>
      <c r="M106" s="2745">
        <f t="shared" si="7"/>
        <v>0</v>
      </c>
      <c r="N106" s="2266">
        <v>184.52</v>
      </c>
      <c r="Q106" s="2773"/>
      <c r="S106" s="2266">
        <v>176.88</v>
      </c>
    </row>
    <row r="107" spans="1:19" ht="26.4">
      <c r="A107" s="2736" t="s">
        <v>666</v>
      </c>
      <c r="B107" s="2737" t="s">
        <v>52</v>
      </c>
      <c r="C107" s="2738">
        <v>450.87</v>
      </c>
      <c r="D107" s="2747"/>
      <c r="E107" s="2740">
        <f t="shared" si="9"/>
        <v>450.87</v>
      </c>
      <c r="F107" s="2748">
        <f>213.34-136.48+105.52+95.48+11.91+12.11+84.55+8.74+0.77+36.48+13.6+4.85-14.63+15.59-0.96+4.33+4.36+3.76+0.26-12.71+0.52+2.91-3.43+0.31-0.31+11.56-11.56+7.95-7.95</f>
        <v>450.87000000000012</v>
      </c>
      <c r="G107" s="2752">
        <f t="shared" si="6"/>
        <v>0</v>
      </c>
      <c r="H107" s="2743">
        <f t="shared" si="5"/>
        <v>0</v>
      </c>
      <c r="I107" s="2753"/>
      <c r="J107" s="2266">
        <f t="shared" si="8"/>
        <v>50</v>
      </c>
      <c r="L107" s="1190"/>
      <c r="M107" s="2745">
        <f t="shared" si="7"/>
        <v>0</v>
      </c>
      <c r="N107" s="2266">
        <v>450.87</v>
      </c>
      <c r="Q107" s="2773"/>
      <c r="S107" s="2266">
        <v>450.87</v>
      </c>
    </row>
    <row r="108" spans="1:19" ht="26.4">
      <c r="A108" s="2736" t="s">
        <v>667</v>
      </c>
      <c r="B108" s="2737" t="s">
        <v>52</v>
      </c>
      <c r="C108" s="2738">
        <v>164.447</v>
      </c>
      <c r="D108" s="2747"/>
      <c r="E108" s="2740">
        <f t="shared" si="9"/>
        <v>164.447</v>
      </c>
      <c r="F108" s="3337">
        <f>89.58+14.83+6.39+32.29-14.83+6.1+0.29+2.75+7.35+1.42+4.47+7.61+3.75-8.22+1.54-5.43</f>
        <v>149.88999999999996</v>
      </c>
      <c r="G108" s="2752">
        <f t="shared" si="6"/>
        <v>14.557000000000045</v>
      </c>
      <c r="H108" s="3336">
        <f t="shared" si="5"/>
        <v>8.8520921634326219E-2</v>
      </c>
      <c r="I108" s="2744" t="s">
        <v>1469</v>
      </c>
      <c r="J108" s="3333">
        <f t="shared" si="8"/>
        <v>51</v>
      </c>
      <c r="K108" s="3333"/>
      <c r="L108" s="3333"/>
      <c r="M108" s="3335">
        <f t="shared" si="7"/>
        <v>0</v>
      </c>
      <c r="N108" s="2266">
        <v>149.88999999999999</v>
      </c>
      <c r="Q108" s="2773"/>
      <c r="S108" s="2266">
        <v>137.4</v>
      </c>
    </row>
    <row r="109" spans="1:19" ht="39.6">
      <c r="A109" s="2736" t="s">
        <v>668</v>
      </c>
      <c r="B109" s="2737" t="s">
        <v>52</v>
      </c>
      <c r="C109" s="2738">
        <v>152.904</v>
      </c>
      <c r="D109" s="2747"/>
      <c r="E109" s="2740">
        <f t="shared" si="9"/>
        <v>152.904</v>
      </c>
      <c r="F109" s="2748">
        <f>52.46-17.46+69.42-9.58+1.51+2.54+6.82-2.25+42.33+28.44-21.33+3.17-3.17+3.13-3.13</f>
        <v>152.90000000000003</v>
      </c>
      <c r="G109" s="2752">
        <f t="shared" si="6"/>
        <v>3.999999999962256E-3</v>
      </c>
      <c r="H109" s="2743">
        <f t="shared" si="5"/>
        <v>2.6160205095761104E-5</v>
      </c>
      <c r="I109" s="2744"/>
      <c r="J109" s="2266">
        <f t="shared" si="8"/>
        <v>52</v>
      </c>
      <c r="L109" s="1190"/>
      <c r="M109" s="2745">
        <f t="shared" si="7"/>
        <v>0</v>
      </c>
      <c r="N109" s="2266">
        <v>152.9</v>
      </c>
      <c r="Q109" s="2773"/>
      <c r="S109" s="2266">
        <v>152.9</v>
      </c>
    </row>
    <row r="110" spans="1:19" ht="52.8">
      <c r="A110" s="2736" t="s">
        <v>669</v>
      </c>
      <c r="B110" s="2737" t="s">
        <v>52</v>
      </c>
      <c r="C110" s="2738">
        <v>295.40100000000001</v>
      </c>
      <c r="D110" s="2747"/>
      <c r="E110" s="2740">
        <f t="shared" si="9"/>
        <v>295.40100000000001</v>
      </c>
      <c r="F110" s="2748">
        <f>310.71+95.29-110.59-0.01+0.81+17.43-18.24+23.8-23.8+7.01-7.01+8.41+30.43-38.84+2.81-2.81+0.44-0.44</f>
        <v>295.39999999999998</v>
      </c>
      <c r="G110" s="2752">
        <f t="shared" si="6"/>
        <v>1.0000000000331966E-3</v>
      </c>
      <c r="H110" s="2743">
        <f t="shared" si="5"/>
        <v>3.3852288923639273E-6</v>
      </c>
      <c r="I110" s="2744" t="s">
        <v>1469</v>
      </c>
      <c r="J110" s="2266">
        <f t="shared" si="8"/>
        <v>53</v>
      </c>
      <c r="L110" s="1190"/>
      <c r="M110" s="2745">
        <f t="shared" si="7"/>
        <v>0</v>
      </c>
      <c r="N110" s="2266">
        <v>295.39999999999998</v>
      </c>
      <c r="Q110" s="2773"/>
      <c r="S110" s="2266">
        <v>303.81</v>
      </c>
    </row>
    <row r="111" spans="1:19" ht="39.6">
      <c r="A111" s="2736" t="s">
        <v>670</v>
      </c>
      <c r="B111" s="2737" t="s">
        <v>52</v>
      </c>
      <c r="C111" s="2738">
        <v>89.138999999999996</v>
      </c>
      <c r="D111" s="2747"/>
      <c r="E111" s="2740">
        <f t="shared" si="9"/>
        <v>89.138999999999996</v>
      </c>
      <c r="F111" s="2748">
        <f>74.64+54.65-40.15+40.42-40.42+0.34-0.34</f>
        <v>89.14</v>
      </c>
      <c r="G111" s="2752">
        <f t="shared" si="6"/>
        <v>-1.0000000000047748E-3</v>
      </c>
      <c r="H111" s="2743">
        <f t="shared" si="5"/>
        <v>-1.1218434131017566E-5</v>
      </c>
      <c r="I111" s="2753"/>
      <c r="J111" s="2266">
        <f t="shared" si="8"/>
        <v>54</v>
      </c>
      <c r="L111" s="1190"/>
      <c r="M111" s="2745">
        <f t="shared" si="7"/>
        <v>0</v>
      </c>
      <c r="N111" s="2266">
        <v>89.14</v>
      </c>
      <c r="Q111" s="2773"/>
      <c r="S111" s="2266">
        <v>89.48</v>
      </c>
    </row>
    <row r="112" spans="1:19" s="2769" customFormat="1" ht="39.6">
      <c r="A112" s="2736" t="s">
        <v>671</v>
      </c>
      <c r="B112" s="2764" t="s">
        <v>52</v>
      </c>
      <c r="C112" s="2738">
        <v>29.268999999999998</v>
      </c>
      <c r="D112" s="2765"/>
      <c r="E112" s="2740">
        <f t="shared" si="9"/>
        <v>29.268999999999998</v>
      </c>
      <c r="F112" s="2788">
        <f>50.7-9.33-12.1</f>
        <v>29.270000000000003</v>
      </c>
      <c r="G112" s="2767">
        <f t="shared" si="6"/>
        <v>-1.0000000000047748E-3</v>
      </c>
      <c r="H112" s="2743">
        <f t="shared" si="5"/>
        <v>-3.4165840992339159E-5</v>
      </c>
      <c r="I112" s="2768"/>
      <c r="J112" s="2769">
        <f t="shared" si="8"/>
        <v>55</v>
      </c>
      <c r="L112" s="1190"/>
      <c r="M112" s="2745">
        <f t="shared" si="7"/>
        <v>0</v>
      </c>
      <c r="N112" s="2769">
        <v>29.27</v>
      </c>
      <c r="Q112" s="2787"/>
      <c r="S112" s="2769">
        <v>29.27</v>
      </c>
    </row>
    <row r="113" spans="1:20" s="2769" customFormat="1" ht="52.8">
      <c r="A113" s="2736" t="s">
        <v>672</v>
      </c>
      <c r="B113" s="2764" t="s">
        <v>52</v>
      </c>
      <c r="C113" s="2738">
        <v>665.77800000000002</v>
      </c>
      <c r="D113" s="2765"/>
      <c r="E113" s="2740">
        <f t="shared" si="9"/>
        <v>665.77800000000002</v>
      </c>
      <c r="F113" s="2788">
        <f>567.05-280.55+48.35+36.88+16.4+57.65+159.8+16.49+32.81+9.1+1.8+44.47-44.47+0.55-0.55+38.27-38.27+32.42+24.19+31.34+10.1-98.05+0.54+1.55+1.18-3.27+3-2.13-0.87</f>
        <v>665.77999999999986</v>
      </c>
      <c r="G113" s="2767">
        <f t="shared" si="6"/>
        <v>-1.9999999998390194E-3</v>
      </c>
      <c r="H113" s="2743">
        <f t="shared" si="5"/>
        <v>-3.0040043375404705E-6</v>
      </c>
      <c r="I113" s="2768"/>
      <c r="J113" s="2769">
        <f t="shared" si="8"/>
        <v>56</v>
      </c>
      <c r="L113" s="1190"/>
      <c r="M113" s="2745">
        <f t="shared" si="7"/>
        <v>0</v>
      </c>
      <c r="N113" s="2769">
        <v>665.78</v>
      </c>
      <c r="Q113" s="2787"/>
      <c r="S113" s="2769">
        <v>704.05</v>
      </c>
    </row>
    <row r="114" spans="1:20" s="2769" customFormat="1" ht="52.8">
      <c r="A114" s="2736" t="s">
        <v>673</v>
      </c>
      <c r="B114" s="2764" t="s">
        <v>52</v>
      </c>
      <c r="C114" s="2738">
        <v>471.42899999999997</v>
      </c>
      <c r="D114" s="2765"/>
      <c r="E114" s="2740">
        <f t="shared" si="9"/>
        <v>471.42899999999997</v>
      </c>
      <c r="F114" s="2788">
        <f>677.48+151.48-380.14+16.85-16.85+4.97-2.24-2.73-2.14+2.14-2.14</f>
        <v>446.68000000000006</v>
      </c>
      <c r="G114" s="2767">
        <f t="shared" si="6"/>
        <v>24.74899999999991</v>
      </c>
      <c r="H114" s="2743">
        <f t="shared" si="5"/>
        <v>5.2497831062577632E-2</v>
      </c>
      <c r="I114" s="2768" t="s">
        <v>1468</v>
      </c>
      <c r="J114" s="2769">
        <f t="shared" si="8"/>
        <v>57</v>
      </c>
      <c r="L114" s="1190"/>
      <c r="M114" s="2745">
        <f t="shared" si="7"/>
        <v>2.1399999999999295</v>
      </c>
      <c r="N114" s="2769">
        <v>448.82</v>
      </c>
      <c r="Q114" s="2787"/>
      <c r="S114" s="2769">
        <v>446.68</v>
      </c>
    </row>
    <row r="115" spans="1:20" s="2769" customFormat="1" ht="26.4">
      <c r="A115" s="2736" t="s">
        <v>674</v>
      </c>
      <c r="B115" s="2764" t="s">
        <v>52</v>
      </c>
      <c r="C115" s="2738">
        <v>754.70500000000004</v>
      </c>
      <c r="D115" s="2765"/>
      <c r="E115" s="2740">
        <f t="shared" si="9"/>
        <v>754.70500000000004</v>
      </c>
      <c r="F115" s="2788">
        <f>777.97+196.17-256.2+32.3-32.3+59.05+76.7+51.46-187.21+40.51-40.51+9.26-9.26+5.25+19.51+3.89+12.47-41.12+7.93+1.95+3.16+8.37+1.55</f>
        <v>740.9</v>
      </c>
      <c r="G115" s="2767">
        <f t="shared" si="6"/>
        <v>13.805000000000064</v>
      </c>
      <c r="H115" s="2743">
        <f t="shared" si="5"/>
        <v>1.8291915384156806E-2</v>
      </c>
      <c r="I115" s="2768"/>
      <c r="J115" s="2769">
        <f t="shared" si="8"/>
        <v>58</v>
      </c>
      <c r="L115" s="1190"/>
      <c r="M115" s="2745">
        <f t="shared" si="7"/>
        <v>0</v>
      </c>
      <c r="N115" s="2769">
        <v>740.9</v>
      </c>
      <c r="Q115" s="2787"/>
      <c r="S115" s="2769">
        <v>759.06</v>
      </c>
    </row>
    <row r="116" spans="1:20" ht="39.6">
      <c r="A116" s="2736" t="s">
        <v>675</v>
      </c>
      <c r="B116" s="2789" t="s">
        <v>52</v>
      </c>
      <c r="C116" s="2738">
        <v>38.198</v>
      </c>
      <c r="D116" s="2747"/>
      <c r="E116" s="2740">
        <f t="shared" si="9"/>
        <v>38.198</v>
      </c>
      <c r="F116" s="2748">
        <f>9.75-9.75+2.77+3.92+3.85-2.77+1.27</f>
        <v>9.0399999999999991</v>
      </c>
      <c r="G116" s="2752">
        <f t="shared" si="6"/>
        <v>29.158000000000001</v>
      </c>
      <c r="H116" s="2743">
        <f t="shared" si="5"/>
        <v>0.76333839468034981</v>
      </c>
      <c r="I116" s="2790"/>
      <c r="J116" s="2266">
        <f t="shared" si="8"/>
        <v>59</v>
      </c>
      <c r="M116" s="2745">
        <f t="shared" si="7"/>
        <v>0</v>
      </c>
      <c r="N116" s="2266">
        <v>9.0399999999999991</v>
      </c>
      <c r="Q116" s="2773"/>
      <c r="S116" s="2266">
        <v>7.77</v>
      </c>
    </row>
    <row r="117" spans="1:20" ht="39.6">
      <c r="A117" s="2736" t="s">
        <v>676</v>
      </c>
      <c r="B117" s="2789" t="s">
        <v>52</v>
      </c>
      <c r="C117" s="2738">
        <v>0</v>
      </c>
      <c r="D117" s="2776"/>
      <c r="E117" s="2740">
        <f t="shared" si="9"/>
        <v>0</v>
      </c>
      <c r="F117" s="2748">
        <v>0</v>
      </c>
      <c r="G117" s="2752">
        <f t="shared" si="6"/>
        <v>0</v>
      </c>
      <c r="H117" s="2743" t="e">
        <f t="shared" si="5"/>
        <v>#DIV/0!</v>
      </c>
      <c r="I117" s="2753"/>
      <c r="J117" s="2266">
        <f t="shared" si="8"/>
        <v>60</v>
      </c>
      <c r="M117" s="2745">
        <f t="shared" si="7"/>
        <v>0</v>
      </c>
      <c r="N117" s="2266">
        <v>0</v>
      </c>
      <c r="Q117" s="2773"/>
      <c r="S117" s="2266">
        <v>0</v>
      </c>
    </row>
    <row r="118" spans="1:20" ht="16.5" customHeight="1">
      <c r="A118" s="2736" t="s">
        <v>91</v>
      </c>
      <c r="B118" s="2791" t="s">
        <v>52</v>
      </c>
      <c r="C118" s="2738">
        <v>57.27</v>
      </c>
      <c r="D118" s="2747"/>
      <c r="E118" s="2740">
        <f t="shared" si="9"/>
        <v>57.27</v>
      </c>
      <c r="F118" s="2748">
        <f>13.08+12.29+2.65+14.99-2.65-22.71</f>
        <v>17.649999999999999</v>
      </c>
      <c r="G118" s="2752">
        <f t="shared" si="6"/>
        <v>39.620000000000005</v>
      </c>
      <c r="H118" s="2743">
        <f t="shared" si="5"/>
        <v>0.69181072114545139</v>
      </c>
      <c r="I118" s="2753"/>
      <c r="J118" s="2266">
        <f t="shared" si="8"/>
        <v>61</v>
      </c>
      <c r="M118" s="2745">
        <f t="shared" si="7"/>
        <v>0</v>
      </c>
      <c r="N118" s="2266">
        <v>17.649999999999999</v>
      </c>
      <c r="Q118" s="2773"/>
      <c r="S118" s="1093">
        <v>17.649999999999999</v>
      </c>
      <c r="T118" s="1093"/>
    </row>
    <row r="119" spans="1:20" ht="15" customHeight="1" thickBot="1">
      <c r="A119" s="2736" t="s">
        <v>677</v>
      </c>
      <c r="B119" s="2791" t="s">
        <v>52</v>
      </c>
      <c r="C119" s="2738">
        <v>608.10299999999995</v>
      </c>
      <c r="D119" s="2747"/>
      <c r="E119" s="2740">
        <f t="shared" si="9"/>
        <v>608.10299999999995</v>
      </c>
      <c r="F119" s="2748">
        <f>565.72+6.11+11.69-11.15+0.85-0.85+1.08+1.02</f>
        <v>574.47000000000014</v>
      </c>
      <c r="G119" s="2752">
        <f t="shared" si="6"/>
        <v>33.632999999999811</v>
      </c>
      <c r="H119" s="2743">
        <f t="shared" si="5"/>
        <v>5.5308064587742227E-2</v>
      </c>
      <c r="I119" s="2753"/>
      <c r="J119" s="2266">
        <f t="shared" si="8"/>
        <v>62</v>
      </c>
      <c r="M119" s="2745">
        <f t="shared" si="7"/>
        <v>0</v>
      </c>
      <c r="N119" s="2266">
        <v>574.47</v>
      </c>
      <c r="Q119" s="2792"/>
      <c r="S119" s="1093">
        <v>574.47</v>
      </c>
      <c r="T119" s="1093"/>
    </row>
    <row r="120" spans="1:20" ht="15" customHeight="1">
      <c r="A120" s="2736" t="s">
        <v>832</v>
      </c>
      <c r="B120" s="2791" t="s">
        <v>52</v>
      </c>
      <c r="C120" s="2738">
        <v>78.899000000000001</v>
      </c>
      <c r="D120" s="2747"/>
      <c r="E120" s="2740">
        <f t="shared" si="9"/>
        <v>78.899000000000001</v>
      </c>
      <c r="F120" s="2748">
        <f>118.8+6.401+7.294+22.114-75.71-58.35</f>
        <v>20.549000000000014</v>
      </c>
      <c r="G120" s="2752">
        <f t="shared" si="6"/>
        <v>58.349999999999987</v>
      </c>
      <c r="H120" s="2743">
        <f t="shared" si="5"/>
        <v>0.7395530995323133</v>
      </c>
      <c r="I120" s="2793"/>
      <c r="J120" s="2266">
        <f t="shared" si="8"/>
        <v>63</v>
      </c>
      <c r="M120" s="2745">
        <f t="shared" si="7"/>
        <v>58.349999999999987</v>
      </c>
      <c r="N120" s="2266">
        <v>78.899000000000001</v>
      </c>
      <c r="Q120" s="2794"/>
      <c r="S120" s="1093"/>
      <c r="T120" s="1093"/>
    </row>
    <row r="121" spans="1:20">
      <c r="A121" s="2795" t="s">
        <v>1252</v>
      </c>
      <c r="B121" s="2791" t="s">
        <v>52</v>
      </c>
      <c r="C121" s="2796">
        <f>361.67+105.81-250</f>
        <v>217.48000000000002</v>
      </c>
      <c r="D121" s="2797"/>
      <c r="E121" s="2740">
        <f>+C121+D121</f>
        <v>217.48000000000002</v>
      </c>
      <c r="F121" s="2798">
        <f>16.191+15.835+3.058+1.755+62.19+93.535-81.599+0.297-0.828+0.155+1.606+18.879+43.323-23.895+3.671-0.828-3.671+0.791+14.025+25.886+16.465+6.073+0.072+11.718</f>
        <v>224.70399999999998</v>
      </c>
      <c r="G121" s="2752">
        <f>+E121-F121</f>
        <v>-7.2239999999999611</v>
      </c>
      <c r="H121" s="2743">
        <f t="shared" si="5"/>
        <v>-3.3216847526209126E-2</v>
      </c>
      <c r="I121" s="2793"/>
      <c r="J121" s="2266">
        <f t="shared" si="8"/>
        <v>64</v>
      </c>
      <c r="M121" s="2745">
        <f t="shared" si="7"/>
        <v>0</v>
      </c>
      <c r="N121" s="2266">
        <v>224.70400000000001</v>
      </c>
      <c r="Q121" s="2794"/>
      <c r="S121" s="1093"/>
      <c r="T121" s="1093"/>
    </row>
    <row r="122" spans="1:20" ht="15" customHeight="1" thickBot="1">
      <c r="A122" s="2799" t="s">
        <v>50</v>
      </c>
      <c r="B122" s="2800" t="s">
        <v>52</v>
      </c>
      <c r="C122" s="2801">
        <f>SUM(C58:C121)</f>
        <v>16005.671000000002</v>
      </c>
      <c r="D122" s="2801"/>
      <c r="E122" s="2802">
        <f>SUM(E58:E121)</f>
        <v>16005.671000000002</v>
      </c>
      <c r="F122" s="2803">
        <f>SUM(F58:F121)</f>
        <v>15355.553000000002</v>
      </c>
      <c r="G122" s="2804">
        <f>+E122-F122</f>
        <v>650.11800000000039</v>
      </c>
      <c r="H122" s="2743">
        <f t="shared" si="5"/>
        <v>4.0617978465257741E-2</v>
      </c>
      <c r="I122" s="2805"/>
      <c r="M122" s="2745"/>
      <c r="N122" s="1690">
        <f>SUM(N58:N121)</f>
        <v>15416.042999999998</v>
      </c>
    </row>
    <row r="123" spans="1:20" ht="4.5" customHeight="1">
      <c r="A123" s="2806"/>
      <c r="B123" s="2732"/>
      <c r="C123" s="2730"/>
      <c r="D123" s="2730"/>
      <c r="E123" s="2730"/>
      <c r="F123" s="2731"/>
      <c r="G123" s="2731"/>
      <c r="H123" s="2807"/>
    </row>
    <row r="124" spans="1:20" ht="15" customHeight="1">
      <c r="A124" s="2733" t="s">
        <v>45</v>
      </c>
      <c r="B124" s="2733" t="s">
        <v>46</v>
      </c>
      <c r="C124" s="2734" t="s">
        <v>47</v>
      </c>
      <c r="D124" s="2734" t="s">
        <v>181</v>
      </c>
      <c r="E124" s="2734" t="s">
        <v>48</v>
      </c>
      <c r="F124" s="2733" t="s">
        <v>19</v>
      </c>
      <c r="G124" s="2733" t="s">
        <v>20</v>
      </c>
      <c r="H124" s="2733" t="s">
        <v>49</v>
      </c>
      <c r="I124" s="2735" t="s">
        <v>22</v>
      </c>
      <c r="K124" s="2808"/>
      <c r="L124" s="2808" t="s">
        <v>439</v>
      </c>
      <c r="M124" s="2808" t="s">
        <v>717</v>
      </c>
      <c r="N124" s="2808" t="s">
        <v>505</v>
      </c>
      <c r="Q124" s="3394" t="s">
        <v>1536</v>
      </c>
    </row>
    <row r="125" spans="1:20" ht="39.6">
      <c r="A125" s="2736" t="s">
        <v>617</v>
      </c>
      <c r="B125" s="2809" t="s">
        <v>33</v>
      </c>
      <c r="C125" s="2810">
        <v>2.5670000000000002</v>
      </c>
      <c r="D125" s="2811"/>
      <c r="E125" s="2762">
        <f t="shared" ref="E125:E156" si="10">+C125+G58+D125</f>
        <v>2.563999999999993</v>
      </c>
      <c r="F125" s="2812">
        <f>9.41-6.85+0.98</f>
        <v>3.5400000000000005</v>
      </c>
      <c r="G125" s="2813">
        <f>+E125-F125</f>
        <v>-0.97600000000000753</v>
      </c>
      <c r="H125" s="2743">
        <f>+G125/E125</f>
        <v>-0.38065522620905234</v>
      </c>
      <c r="I125" s="2814"/>
      <c r="J125" s="2772">
        <v>1</v>
      </c>
      <c r="K125" s="3416">
        <f>+M125-F125</f>
        <v>0</v>
      </c>
      <c r="L125" s="2745">
        <f t="shared" ref="L125:L156" si="11">+F58</f>
        <v>48.800000000000004</v>
      </c>
      <c r="M125" s="2772">
        <f>+N125-L125</f>
        <v>3.5399999999999991</v>
      </c>
      <c r="N125" s="2266">
        <v>52.34</v>
      </c>
      <c r="Q125" s="1722">
        <v>16.960999999999999</v>
      </c>
    </row>
    <row r="126" spans="1:20" ht="39.6">
      <c r="A126" s="2736" t="s">
        <v>618</v>
      </c>
      <c r="B126" s="2809" t="s">
        <v>33</v>
      </c>
      <c r="C126" s="2810">
        <v>7.6150000000000002</v>
      </c>
      <c r="D126" s="2811"/>
      <c r="E126" s="2762">
        <f t="shared" si="10"/>
        <v>7.6120000000000143</v>
      </c>
      <c r="F126" s="2812">
        <f>0.73+10.69+3.7-7.51</f>
        <v>7.6100000000000012</v>
      </c>
      <c r="G126" s="2813">
        <f t="shared" ref="G126:G188" si="12">+E126-F126</f>
        <v>2.0000000000131024E-3</v>
      </c>
      <c r="H126" s="2743">
        <f t="shared" ref="H126:H188" si="13">+G126/E126</f>
        <v>2.6274303731123208E-4</v>
      </c>
      <c r="I126" s="2744"/>
      <c r="J126" s="2266">
        <f>+J125+1</f>
        <v>2</v>
      </c>
      <c r="K126" s="3416">
        <f t="shared" ref="K126:K188" si="14">+M126-F126</f>
        <v>1.2434497875801753E-14</v>
      </c>
      <c r="L126" s="2745">
        <f t="shared" si="11"/>
        <v>144.76999999999998</v>
      </c>
      <c r="M126" s="2772">
        <f t="shared" ref="M126:M188" si="15">+N126-L126</f>
        <v>7.6100000000000136</v>
      </c>
      <c r="N126" s="2266">
        <v>152.38</v>
      </c>
      <c r="Q126" s="1722">
        <v>279.91800000000001</v>
      </c>
    </row>
    <row r="127" spans="1:20" ht="39.6">
      <c r="A127" s="2736" t="s">
        <v>619</v>
      </c>
      <c r="B127" s="2809" t="s">
        <v>33</v>
      </c>
      <c r="C127" s="2815">
        <v>8.7940000000000005</v>
      </c>
      <c r="D127" s="2811"/>
      <c r="E127" s="2762">
        <f t="shared" si="10"/>
        <v>27.869000000000018</v>
      </c>
      <c r="F127" s="2812">
        <f>0.47+6.03+13.27+2.37+3.02+3.08+7.88+1.74</f>
        <v>37.860000000000007</v>
      </c>
      <c r="G127" s="2813">
        <f t="shared" si="12"/>
        <v>-9.990999999999989</v>
      </c>
      <c r="H127" s="2743">
        <f t="shared" si="13"/>
        <v>-0.35849869030105075</v>
      </c>
      <c r="I127" s="2816"/>
      <c r="J127" s="2266">
        <f t="shared" ref="J127:J186" si="16">+J126+1</f>
        <v>3</v>
      </c>
      <c r="K127" s="3416">
        <f t="shared" si="14"/>
        <v>0</v>
      </c>
      <c r="L127" s="2745">
        <f t="shared" si="11"/>
        <v>85.469999999999985</v>
      </c>
      <c r="M127" s="2772">
        <f t="shared" si="15"/>
        <v>37.860000000000014</v>
      </c>
      <c r="N127" s="2266">
        <v>123.33</v>
      </c>
      <c r="Q127" s="1722">
        <v>13.430999999999999</v>
      </c>
    </row>
    <row r="128" spans="1:20" ht="26.4">
      <c r="A128" s="2736" t="s">
        <v>620</v>
      </c>
      <c r="B128" s="2809" t="s">
        <v>33</v>
      </c>
      <c r="C128" s="2810">
        <v>31.779</v>
      </c>
      <c r="D128" s="2811"/>
      <c r="E128" s="2762">
        <f t="shared" si="10"/>
        <v>44.778000000000134</v>
      </c>
      <c r="F128" s="2812">
        <f>6.09+0.93+2.03+2.32+36.27+1.58+2.29</f>
        <v>51.51</v>
      </c>
      <c r="G128" s="2813">
        <f t="shared" si="12"/>
        <v>-6.7319999999998643</v>
      </c>
      <c r="H128" s="2743">
        <f t="shared" si="13"/>
        <v>-0.15034168564919925</v>
      </c>
      <c r="I128" s="2744"/>
      <c r="J128" s="2266">
        <f t="shared" si="16"/>
        <v>4</v>
      </c>
      <c r="K128" s="3416">
        <f t="shared" si="14"/>
        <v>1.0658141036401503E-13</v>
      </c>
      <c r="L128" s="2745">
        <f t="shared" si="11"/>
        <v>604.09999999999991</v>
      </c>
      <c r="M128" s="2772">
        <f t="shared" si="15"/>
        <v>51.510000000000105</v>
      </c>
      <c r="N128" s="2266">
        <v>655.61</v>
      </c>
      <c r="Q128" s="1722">
        <v>996.74699999999996</v>
      </c>
    </row>
    <row r="129" spans="1:17" ht="15" customHeight="1">
      <c r="A129" s="2736" t="s">
        <v>621</v>
      </c>
      <c r="B129" s="2809" t="s">
        <v>33</v>
      </c>
      <c r="C129" s="2810">
        <v>0</v>
      </c>
      <c r="D129" s="2811"/>
      <c r="E129" s="2762">
        <f t="shared" si="10"/>
        <v>0</v>
      </c>
      <c r="F129" s="2812"/>
      <c r="G129" s="2813">
        <f t="shared" si="12"/>
        <v>0</v>
      </c>
      <c r="H129" s="2743" t="e">
        <f t="shared" si="13"/>
        <v>#DIV/0!</v>
      </c>
      <c r="I129" s="2744"/>
      <c r="J129" s="2266">
        <f t="shared" si="16"/>
        <v>5</v>
      </c>
      <c r="K129" s="3416">
        <f t="shared" si="14"/>
        <v>0</v>
      </c>
      <c r="L129" s="2745">
        <f t="shared" si="11"/>
        <v>0</v>
      </c>
      <c r="M129" s="2772">
        <f t="shared" si="15"/>
        <v>0</v>
      </c>
      <c r="N129" s="2266">
        <v>0</v>
      </c>
      <c r="Q129" s="1722">
        <v>0</v>
      </c>
    </row>
    <row r="130" spans="1:17" ht="15" customHeight="1">
      <c r="A130" s="2736" t="s">
        <v>622</v>
      </c>
      <c r="B130" s="2809" t="s">
        <v>33</v>
      </c>
      <c r="C130" s="2810">
        <v>24.021999999999998</v>
      </c>
      <c r="D130" s="2811"/>
      <c r="E130" s="2762">
        <f t="shared" si="10"/>
        <v>24.023000000000032</v>
      </c>
      <c r="F130" s="2812">
        <f>55.27+26.06+35.43-92.73+4.89+3.83+0.17+14.98+31.37+3.04+1.71</f>
        <v>84.02</v>
      </c>
      <c r="G130" s="2813">
        <f t="shared" si="12"/>
        <v>-59.996999999999964</v>
      </c>
      <c r="H130" s="2743">
        <f t="shared" si="13"/>
        <v>-2.4974815801523493</v>
      </c>
      <c r="I130" s="2744"/>
      <c r="J130" s="2266">
        <f t="shared" si="16"/>
        <v>6</v>
      </c>
      <c r="K130" s="3416">
        <f t="shared" si="14"/>
        <v>0</v>
      </c>
      <c r="L130" s="2745">
        <f t="shared" si="11"/>
        <v>456.65</v>
      </c>
      <c r="M130" s="2772">
        <f t="shared" si="15"/>
        <v>84.019999999999982</v>
      </c>
      <c r="N130" s="2266">
        <v>540.66999999999996</v>
      </c>
      <c r="Q130" s="1722">
        <v>590.904</v>
      </c>
    </row>
    <row r="131" spans="1:17" ht="39.6">
      <c r="A131" s="2736" t="s">
        <v>623</v>
      </c>
      <c r="B131" s="2809" t="s">
        <v>33</v>
      </c>
      <c r="C131" s="2810">
        <v>25.106999999999999</v>
      </c>
      <c r="D131" s="2811"/>
      <c r="E131" s="2762">
        <f t="shared" si="10"/>
        <v>25.108999999999895</v>
      </c>
      <c r="F131" s="2812">
        <f>38.5+8.05-21.25+2.26</f>
        <v>27.559999999999995</v>
      </c>
      <c r="G131" s="2813">
        <f t="shared" si="12"/>
        <v>-2.4510000000001</v>
      </c>
      <c r="H131" s="2743">
        <f t="shared" si="13"/>
        <v>-9.7614401210725649E-2</v>
      </c>
      <c r="I131" s="2744"/>
      <c r="J131" s="2266">
        <f t="shared" si="16"/>
        <v>7</v>
      </c>
      <c r="K131" s="3416">
        <f t="shared" si="14"/>
        <v>-1.0658141036401503E-13</v>
      </c>
      <c r="L131" s="2745">
        <f t="shared" si="11"/>
        <v>477.28000000000009</v>
      </c>
      <c r="M131" s="2772">
        <f t="shared" si="15"/>
        <v>27.559999999999889</v>
      </c>
      <c r="N131" s="2266">
        <v>504.84</v>
      </c>
      <c r="Q131" s="1722">
        <v>601.84500000000003</v>
      </c>
    </row>
    <row r="132" spans="1:17" ht="39.6">
      <c r="A132" s="2736" t="s">
        <v>624</v>
      </c>
      <c r="B132" s="2809" t="s">
        <v>33</v>
      </c>
      <c r="C132" s="2810">
        <v>0</v>
      </c>
      <c r="D132" s="2811"/>
      <c r="E132" s="2762">
        <f t="shared" si="10"/>
        <v>0</v>
      </c>
      <c r="F132" s="2812"/>
      <c r="G132" s="2813">
        <f t="shared" si="12"/>
        <v>0</v>
      </c>
      <c r="H132" s="2743" t="e">
        <f t="shared" si="13"/>
        <v>#DIV/0!</v>
      </c>
      <c r="I132" s="2744"/>
      <c r="J132" s="2266">
        <f t="shared" si="16"/>
        <v>8</v>
      </c>
      <c r="K132" s="3416">
        <f t="shared" si="14"/>
        <v>0</v>
      </c>
      <c r="L132" s="2745">
        <f t="shared" si="11"/>
        <v>0</v>
      </c>
      <c r="M132" s="2772">
        <f t="shared" si="15"/>
        <v>0</v>
      </c>
      <c r="N132" s="2266">
        <v>0</v>
      </c>
      <c r="Q132" s="1722">
        <v>0</v>
      </c>
    </row>
    <row r="133" spans="1:17" ht="15" customHeight="1">
      <c r="A133" s="2736" t="s">
        <v>625</v>
      </c>
      <c r="B133" s="2809" t="s">
        <v>33</v>
      </c>
      <c r="C133" s="2810">
        <v>0</v>
      </c>
      <c r="D133" s="2811"/>
      <c r="E133" s="2762">
        <f t="shared" si="10"/>
        <v>0</v>
      </c>
      <c r="F133" s="2812"/>
      <c r="G133" s="2813">
        <f t="shared" si="12"/>
        <v>0</v>
      </c>
      <c r="H133" s="2743" t="e">
        <f t="shared" si="13"/>
        <v>#DIV/0!</v>
      </c>
      <c r="I133" s="2778" t="s">
        <v>1560</v>
      </c>
      <c r="J133" s="2266">
        <f t="shared" si="16"/>
        <v>9</v>
      </c>
      <c r="K133" s="3416">
        <f t="shared" si="14"/>
        <v>0</v>
      </c>
      <c r="L133" s="2745">
        <f t="shared" si="11"/>
        <v>116.84</v>
      </c>
      <c r="M133" s="2772">
        <f t="shared" si="15"/>
        <v>0</v>
      </c>
      <c r="N133" s="2266">
        <v>116.84</v>
      </c>
      <c r="Q133" s="1722">
        <v>0</v>
      </c>
    </row>
    <row r="134" spans="1:17" s="1190" customFormat="1" ht="15" customHeight="1">
      <c r="A134" s="2736" t="s">
        <v>626</v>
      </c>
      <c r="B134" s="2679" t="s">
        <v>33</v>
      </c>
      <c r="C134" s="2810">
        <v>0</v>
      </c>
      <c r="D134" s="2817"/>
      <c r="E134" s="2762">
        <f t="shared" si="10"/>
        <v>0</v>
      </c>
      <c r="F134" s="2818"/>
      <c r="G134" s="2819">
        <f t="shared" si="12"/>
        <v>0</v>
      </c>
      <c r="H134" s="2743" t="e">
        <f t="shared" si="13"/>
        <v>#DIV/0!</v>
      </c>
      <c r="I134" s="2758"/>
      <c r="J134" s="1190">
        <f t="shared" si="16"/>
        <v>10</v>
      </c>
      <c r="K134" s="3416">
        <f t="shared" si="14"/>
        <v>0</v>
      </c>
      <c r="L134" s="2745">
        <f t="shared" si="11"/>
        <v>0</v>
      </c>
      <c r="M134" s="2772">
        <f t="shared" si="15"/>
        <v>0</v>
      </c>
      <c r="N134" s="1190">
        <v>0</v>
      </c>
      <c r="Q134" s="1724">
        <v>0</v>
      </c>
    </row>
    <row r="135" spans="1:17" ht="15" customHeight="1">
      <c r="A135" s="2736" t="s">
        <v>627</v>
      </c>
      <c r="B135" s="2809" t="s">
        <v>33</v>
      </c>
      <c r="C135" s="2810">
        <v>68.853999999999999</v>
      </c>
      <c r="D135" s="2817"/>
      <c r="E135" s="2762">
        <f t="shared" si="10"/>
        <v>68.851999999999819</v>
      </c>
      <c r="F135" s="2812">
        <f>18.11+49.37+9.77+47.61-56.01+0.67+27.51+3.07+3.89+7.13+11.95+51.28+13.78+5.33+14.22</f>
        <v>207.68</v>
      </c>
      <c r="G135" s="2813">
        <f t="shared" si="12"/>
        <v>-138.8280000000002</v>
      </c>
      <c r="H135" s="2743">
        <f t="shared" si="13"/>
        <v>-2.0163248707372419</v>
      </c>
      <c r="I135" s="2744"/>
      <c r="J135" s="2266">
        <f t="shared" si="16"/>
        <v>11</v>
      </c>
      <c r="K135" s="3416">
        <f t="shared" si="14"/>
        <v>0</v>
      </c>
      <c r="L135" s="2745">
        <f t="shared" si="11"/>
        <v>1308.8800000000001</v>
      </c>
      <c r="M135" s="2772">
        <f t="shared" si="15"/>
        <v>207.67999999999984</v>
      </c>
      <c r="N135" s="2266">
        <v>1516.56</v>
      </c>
      <c r="Q135" s="1722">
        <v>736.93600000000004</v>
      </c>
    </row>
    <row r="136" spans="1:17" ht="15" customHeight="1">
      <c r="A136" s="2736" t="s">
        <v>628</v>
      </c>
      <c r="B136" s="2809" t="s">
        <v>33</v>
      </c>
      <c r="C136" s="2810">
        <v>4.2960000000000003</v>
      </c>
      <c r="D136" s="2811"/>
      <c r="E136" s="2762">
        <f t="shared" si="10"/>
        <v>56.136000000000003</v>
      </c>
      <c r="F136" s="2812">
        <f>13.4+14.02+11.78+0.34+1.59+1.28+1.56+27.82+14.62</f>
        <v>86.410000000000025</v>
      </c>
      <c r="G136" s="2813">
        <f t="shared" si="12"/>
        <v>-30.274000000000022</v>
      </c>
      <c r="H136" s="2743">
        <f t="shared" si="13"/>
        <v>-0.539297420550093</v>
      </c>
      <c r="I136" s="2744"/>
      <c r="J136" s="2266">
        <f t="shared" si="16"/>
        <v>12</v>
      </c>
      <c r="K136" s="3416">
        <f t="shared" si="14"/>
        <v>0</v>
      </c>
      <c r="L136" s="2745">
        <f t="shared" si="11"/>
        <v>14.819999999999997</v>
      </c>
      <c r="M136" s="2772">
        <f t="shared" si="15"/>
        <v>86.410000000000011</v>
      </c>
      <c r="N136" s="2266">
        <v>101.23</v>
      </c>
      <c r="Q136" s="1722">
        <v>0</v>
      </c>
    </row>
    <row r="137" spans="1:17" ht="15" customHeight="1">
      <c r="A137" s="2736" t="s">
        <v>629</v>
      </c>
      <c r="B137" s="2809" t="s">
        <v>33</v>
      </c>
      <c r="C137" s="2810">
        <v>12.973000000000001</v>
      </c>
      <c r="D137" s="2811"/>
      <c r="E137" s="2762">
        <f t="shared" si="10"/>
        <v>12.967999999999977</v>
      </c>
      <c r="F137" s="2812"/>
      <c r="G137" s="2813">
        <f t="shared" si="12"/>
        <v>12.967999999999977</v>
      </c>
      <c r="H137" s="2743">
        <f t="shared" si="13"/>
        <v>1</v>
      </c>
      <c r="I137" s="2820"/>
      <c r="J137" s="2266">
        <f t="shared" si="16"/>
        <v>13</v>
      </c>
      <c r="K137" s="3416">
        <f t="shared" si="14"/>
        <v>0</v>
      </c>
      <c r="L137" s="2745">
        <f t="shared" si="11"/>
        <v>246.61</v>
      </c>
      <c r="M137" s="2772">
        <f t="shared" si="15"/>
        <v>0</v>
      </c>
      <c r="N137" s="2266">
        <v>246.61</v>
      </c>
      <c r="Q137" s="1722">
        <v>326.63200000000001</v>
      </c>
    </row>
    <row r="138" spans="1:17" ht="15" customHeight="1">
      <c r="A138" s="2736" t="s">
        <v>630</v>
      </c>
      <c r="B138" s="2809" t="s">
        <v>33</v>
      </c>
      <c r="C138" s="2810">
        <v>0</v>
      </c>
      <c r="D138" s="2811"/>
      <c r="E138" s="2762">
        <f t="shared" si="10"/>
        <v>0</v>
      </c>
      <c r="F138" s="2812"/>
      <c r="G138" s="2813">
        <f t="shared" si="12"/>
        <v>0</v>
      </c>
      <c r="H138" s="2743" t="e">
        <f t="shared" si="13"/>
        <v>#DIV/0!</v>
      </c>
      <c r="I138" s="2778" t="s">
        <v>1560</v>
      </c>
      <c r="J138" s="2266">
        <f t="shared" si="16"/>
        <v>14</v>
      </c>
      <c r="K138" s="3416">
        <f t="shared" si="14"/>
        <v>0</v>
      </c>
      <c r="L138" s="2745">
        <f t="shared" si="11"/>
        <v>0</v>
      </c>
      <c r="M138" s="2772">
        <f t="shared" si="15"/>
        <v>0</v>
      </c>
      <c r="N138" s="2266">
        <v>0</v>
      </c>
      <c r="Q138" s="1722">
        <v>0</v>
      </c>
    </row>
    <row r="139" spans="1:17" ht="39.6">
      <c r="A139" s="2736" t="s">
        <v>631</v>
      </c>
      <c r="B139" s="2809" t="s">
        <v>33</v>
      </c>
      <c r="C139" s="2810">
        <v>9.9999999999944578E-4</v>
      </c>
      <c r="D139" s="2811"/>
      <c r="E139" s="2762">
        <f t="shared" si="10"/>
        <v>9.372999999999843</v>
      </c>
      <c r="F139" s="2812">
        <f>9.08+9.89-8.6+14.93+1.18</f>
        <v>26.479999999999997</v>
      </c>
      <c r="G139" s="2813">
        <f t="shared" si="12"/>
        <v>-17.107000000000156</v>
      </c>
      <c r="H139" s="2743">
        <f t="shared" si="13"/>
        <v>-1.8251360290195713</v>
      </c>
      <c r="I139" s="2744"/>
      <c r="J139" s="2266">
        <f t="shared" si="16"/>
        <v>15</v>
      </c>
      <c r="K139" s="3416">
        <f t="shared" si="14"/>
        <v>-1.4921397450962104E-13</v>
      </c>
      <c r="L139" s="2745">
        <f t="shared" si="11"/>
        <v>439.90000000000015</v>
      </c>
      <c r="M139" s="2772">
        <f t="shared" si="15"/>
        <v>26.479999999999848</v>
      </c>
      <c r="N139" s="2266">
        <v>466.38</v>
      </c>
      <c r="Q139" s="1722">
        <v>804.56500000000005</v>
      </c>
    </row>
    <row r="140" spans="1:17" ht="39.6">
      <c r="A140" s="2736" t="s">
        <v>632</v>
      </c>
      <c r="B140" s="2830" t="s">
        <v>33</v>
      </c>
      <c r="C140" s="3165">
        <v>1E-3</v>
      </c>
      <c r="D140" s="2821"/>
      <c r="E140" s="3166">
        <f t="shared" si="10"/>
        <v>15.18000000000003</v>
      </c>
      <c r="F140" s="2822">
        <f>29.69+7.04-33.33+2.21</f>
        <v>5.6100000000000056</v>
      </c>
      <c r="G140" s="2823">
        <f t="shared" si="12"/>
        <v>9.5700000000000252</v>
      </c>
      <c r="H140" s="2785">
        <f t="shared" si="13"/>
        <v>0.63043478260869612</v>
      </c>
      <c r="I140" s="3167"/>
      <c r="J140" s="1690">
        <f t="shared" si="16"/>
        <v>16</v>
      </c>
      <c r="K140" s="3416">
        <f t="shared" si="14"/>
        <v>7.9936057773011271E-15</v>
      </c>
      <c r="L140" s="2745">
        <f t="shared" si="11"/>
        <v>281.08999999999997</v>
      </c>
      <c r="M140" s="2772">
        <f t="shared" si="15"/>
        <v>5.6100000000000136</v>
      </c>
      <c r="N140" s="2266">
        <v>286.7</v>
      </c>
      <c r="Q140" s="1722">
        <v>409.38299999999998</v>
      </c>
    </row>
    <row r="141" spans="1:17" ht="39.6">
      <c r="A141" s="2736" t="s">
        <v>633</v>
      </c>
      <c r="B141" s="2809" t="s">
        <v>33</v>
      </c>
      <c r="C141" s="2810">
        <v>46.76</v>
      </c>
      <c r="D141" s="2811"/>
      <c r="E141" s="2762">
        <f t="shared" si="10"/>
        <v>46.76</v>
      </c>
      <c r="F141" s="2812">
        <f>40.03+5.18+61.2-59.73+4.23+7.14+3.75+9.22+67.44+5.23+2.39+26.49+31.63</f>
        <v>204.19999999999996</v>
      </c>
      <c r="G141" s="2813">
        <f t="shared" si="12"/>
        <v>-157.43999999999997</v>
      </c>
      <c r="H141" s="2743">
        <f t="shared" si="13"/>
        <v>-3.3669803250641568</v>
      </c>
      <c r="I141" s="2744"/>
      <c r="J141" s="2266">
        <f t="shared" si="16"/>
        <v>17</v>
      </c>
      <c r="K141" s="3416">
        <f t="shared" si="14"/>
        <v>0</v>
      </c>
      <c r="L141" s="2745">
        <f t="shared" si="11"/>
        <v>888.88</v>
      </c>
      <c r="M141" s="2772">
        <f t="shared" si="15"/>
        <v>204.19999999999993</v>
      </c>
      <c r="N141" s="2266">
        <v>1093.08</v>
      </c>
      <c r="Q141" s="1722">
        <v>413.149</v>
      </c>
    </row>
    <row r="142" spans="1:17" ht="26.4">
      <c r="A142" s="2736" t="s">
        <v>634</v>
      </c>
      <c r="B142" s="2809" t="s">
        <v>33</v>
      </c>
      <c r="C142" s="2810">
        <v>0.80300000000000005</v>
      </c>
      <c r="D142" s="2811"/>
      <c r="E142" s="2762">
        <f t="shared" si="10"/>
        <v>0.80400000000000005</v>
      </c>
      <c r="F142" s="2812"/>
      <c r="G142" s="2813">
        <f t="shared" si="12"/>
        <v>0.80400000000000005</v>
      </c>
      <c r="H142" s="2743">
        <f t="shared" si="13"/>
        <v>1</v>
      </c>
      <c r="I142" s="2778" t="s">
        <v>1560</v>
      </c>
      <c r="J142" s="2266">
        <f t="shared" si="16"/>
        <v>18</v>
      </c>
      <c r="K142" s="3416">
        <f t="shared" si="14"/>
        <v>0</v>
      </c>
      <c r="L142" s="2745">
        <f t="shared" si="11"/>
        <v>0</v>
      </c>
      <c r="M142" s="2772">
        <f t="shared" si="15"/>
        <v>0</v>
      </c>
      <c r="N142" s="2266">
        <v>0</v>
      </c>
      <c r="Q142" s="1722">
        <v>0</v>
      </c>
    </row>
    <row r="143" spans="1:17" ht="15" customHeight="1">
      <c r="A143" s="2736" t="s">
        <v>635</v>
      </c>
      <c r="B143" s="2809" t="s">
        <v>33</v>
      </c>
      <c r="C143" s="2810">
        <v>12.727</v>
      </c>
      <c r="D143" s="2811"/>
      <c r="E143" s="2762">
        <f t="shared" si="10"/>
        <v>17.728000000000034</v>
      </c>
      <c r="F143" s="2812">
        <f>16.16+0.61+14.62-14.62+1.57</f>
        <v>18.340000000000003</v>
      </c>
      <c r="G143" s="2813">
        <f t="shared" si="12"/>
        <v>-0.6119999999999699</v>
      </c>
      <c r="H143" s="2743">
        <f t="shared" si="13"/>
        <v>-3.452166064981773E-2</v>
      </c>
      <c r="I143" s="2744"/>
      <c r="J143" s="2266">
        <f t="shared" si="16"/>
        <v>19</v>
      </c>
      <c r="K143" s="3416">
        <f t="shared" si="14"/>
        <v>0</v>
      </c>
      <c r="L143" s="2745">
        <f t="shared" si="11"/>
        <v>241.92999999999998</v>
      </c>
      <c r="M143" s="2772">
        <f t="shared" si="15"/>
        <v>18.340000000000003</v>
      </c>
      <c r="N143" s="2266">
        <v>260.27</v>
      </c>
      <c r="Q143" s="1722">
        <v>408.03199999999998</v>
      </c>
    </row>
    <row r="144" spans="1:17" ht="15" customHeight="1">
      <c r="A144" s="2736" t="s">
        <v>636</v>
      </c>
      <c r="B144" s="2809" t="s">
        <v>33</v>
      </c>
      <c r="C144" s="2810">
        <v>0.08</v>
      </c>
      <c r="D144" s="2811"/>
      <c r="E144" s="2762">
        <f t="shared" si="10"/>
        <v>7.6999999999957255E-2</v>
      </c>
      <c r="F144" s="2812">
        <f>26.62+9.75-36.37+2.13+0.38</f>
        <v>2.5100000000000069</v>
      </c>
      <c r="G144" s="2813">
        <f t="shared" si="12"/>
        <v>-2.4330000000000496</v>
      </c>
      <c r="H144" s="2743">
        <f t="shared" si="13"/>
        <v>-31.597402597420782</v>
      </c>
      <c r="I144" s="2744"/>
      <c r="J144" s="2266">
        <f t="shared" si="16"/>
        <v>20</v>
      </c>
      <c r="K144" s="3416">
        <f t="shared" si="14"/>
        <v>-1.5987211554602254E-14</v>
      </c>
      <c r="L144" s="2745">
        <f t="shared" si="11"/>
        <v>415.90000000000003</v>
      </c>
      <c r="M144" s="2772">
        <f t="shared" si="15"/>
        <v>2.5099999999999909</v>
      </c>
      <c r="N144" s="2266">
        <v>418.41</v>
      </c>
      <c r="Q144" s="1722">
        <v>136.684</v>
      </c>
    </row>
    <row r="145" spans="1:17" ht="39.6">
      <c r="A145" s="2736" t="s">
        <v>637</v>
      </c>
      <c r="B145" s="2809" t="s">
        <v>33</v>
      </c>
      <c r="C145" s="2810">
        <v>27.785</v>
      </c>
      <c r="D145" s="2811"/>
      <c r="E145" s="2762">
        <f t="shared" si="10"/>
        <v>27.765999999999995</v>
      </c>
      <c r="F145" s="2812">
        <f>37.36+7.09-16.73+15.38+19.78</f>
        <v>62.88</v>
      </c>
      <c r="G145" s="2813">
        <f t="shared" si="12"/>
        <v>-35.114000000000004</v>
      </c>
      <c r="H145" s="2743">
        <f t="shared" si="13"/>
        <v>-1.2646402074479584</v>
      </c>
      <c r="I145" s="2744"/>
      <c r="J145" s="2266">
        <f t="shared" si="16"/>
        <v>21</v>
      </c>
      <c r="K145" s="3416">
        <f t="shared" si="14"/>
        <v>0</v>
      </c>
      <c r="L145" s="2745">
        <f t="shared" si="11"/>
        <v>628.20000000000005</v>
      </c>
      <c r="M145" s="2772">
        <f t="shared" si="15"/>
        <v>62.879999999999995</v>
      </c>
      <c r="N145" s="2266">
        <v>691.08</v>
      </c>
      <c r="Q145" s="1722">
        <v>705.30899999999997</v>
      </c>
    </row>
    <row r="146" spans="1:17" s="1190" customFormat="1" ht="39.6">
      <c r="A146" s="2736" t="s">
        <v>638</v>
      </c>
      <c r="B146" s="2698" t="s">
        <v>33</v>
      </c>
      <c r="C146" s="3395">
        <v>8.4789999999999992</v>
      </c>
      <c r="D146" s="2817"/>
      <c r="E146" s="3396">
        <f t="shared" si="10"/>
        <v>88.898999999999972</v>
      </c>
      <c r="F146" s="2818">
        <f>2.07+3.23+6.88-3.23</f>
        <v>8.9499999999999993</v>
      </c>
      <c r="G146" s="2819">
        <f t="shared" si="12"/>
        <v>79.94899999999997</v>
      </c>
      <c r="H146" s="2743">
        <f t="shared" si="13"/>
        <v>0.89932395190047121</v>
      </c>
      <c r="I146" s="2758"/>
      <c r="J146" s="1190">
        <f t="shared" si="16"/>
        <v>22</v>
      </c>
      <c r="K146" s="3416">
        <f t="shared" si="14"/>
        <v>-2.4868995751603507E-14</v>
      </c>
      <c r="L146" s="3341">
        <f t="shared" si="11"/>
        <v>80.770000000000024</v>
      </c>
      <c r="M146" s="1190">
        <f t="shared" si="15"/>
        <v>8.9499999999999744</v>
      </c>
      <c r="N146" s="1190">
        <v>89.72</v>
      </c>
      <c r="Q146" s="1724">
        <v>31.518000000000001</v>
      </c>
    </row>
    <row r="147" spans="1:17" ht="15" customHeight="1">
      <c r="A147" s="2736" t="s">
        <v>639</v>
      </c>
      <c r="B147" s="2809" t="s">
        <v>33</v>
      </c>
      <c r="C147" s="2810">
        <v>9.9999999999944578E-4</v>
      </c>
      <c r="D147" s="2811"/>
      <c r="E147" s="2762">
        <f t="shared" si="10"/>
        <v>-1.9999999999296136E-3</v>
      </c>
      <c r="F147" s="2812">
        <f>14.19-14.19</f>
        <v>0</v>
      </c>
      <c r="G147" s="2813">
        <f t="shared" si="12"/>
        <v>-1.9999999999296136E-3</v>
      </c>
      <c r="H147" s="2743">
        <f t="shared" si="13"/>
        <v>1</v>
      </c>
      <c r="I147" s="2753"/>
      <c r="J147" s="2266">
        <f t="shared" si="16"/>
        <v>23</v>
      </c>
      <c r="K147" s="3416">
        <f t="shared" si="14"/>
        <v>0</v>
      </c>
      <c r="L147" s="2745">
        <f t="shared" si="11"/>
        <v>474.92999999999995</v>
      </c>
      <c r="M147" s="2772">
        <f t="shared" si="15"/>
        <v>0</v>
      </c>
      <c r="N147" s="2266">
        <v>474.93</v>
      </c>
      <c r="Q147" s="1722">
        <v>748.22799999999995</v>
      </c>
    </row>
    <row r="148" spans="1:17" ht="26.4">
      <c r="A148" s="2736" t="s">
        <v>640</v>
      </c>
      <c r="B148" s="2809" t="s">
        <v>33</v>
      </c>
      <c r="C148" s="2810">
        <v>0</v>
      </c>
      <c r="D148" s="2824"/>
      <c r="E148" s="2762">
        <f t="shared" si="10"/>
        <v>0</v>
      </c>
      <c r="F148" s="2812"/>
      <c r="G148" s="2813">
        <f t="shared" si="12"/>
        <v>0</v>
      </c>
      <c r="H148" s="2743" t="e">
        <f t="shared" si="13"/>
        <v>#DIV/0!</v>
      </c>
      <c r="I148" s="2744"/>
      <c r="J148" s="2266">
        <f t="shared" si="16"/>
        <v>24</v>
      </c>
      <c r="K148" s="3416">
        <f t="shared" si="14"/>
        <v>0</v>
      </c>
      <c r="L148" s="2745">
        <f t="shared" si="11"/>
        <v>3.37</v>
      </c>
      <c r="M148" s="2772">
        <f t="shared" si="15"/>
        <v>0</v>
      </c>
      <c r="N148" s="2266">
        <v>3.37</v>
      </c>
      <c r="Q148" s="1722">
        <v>14.746</v>
      </c>
    </row>
    <row r="149" spans="1:17" ht="52.8">
      <c r="A149" s="2736" t="s">
        <v>641</v>
      </c>
      <c r="B149" s="2809" t="s">
        <v>33</v>
      </c>
      <c r="C149" s="2810">
        <v>1.0840000000000001</v>
      </c>
      <c r="D149" s="2811"/>
      <c r="E149" s="2762">
        <f t="shared" si="10"/>
        <v>1.6840000000000002</v>
      </c>
      <c r="F149" s="2812"/>
      <c r="G149" s="2813">
        <f t="shared" si="12"/>
        <v>1.6840000000000002</v>
      </c>
      <c r="H149" s="2743">
        <f t="shared" si="13"/>
        <v>1</v>
      </c>
      <c r="I149" s="2778" t="s">
        <v>1560</v>
      </c>
      <c r="J149" s="2266">
        <f t="shared" si="16"/>
        <v>25</v>
      </c>
      <c r="K149" s="3416">
        <f t="shared" si="14"/>
        <v>0</v>
      </c>
      <c r="L149" s="2745">
        <f t="shared" si="11"/>
        <v>0</v>
      </c>
      <c r="M149" s="2772">
        <f t="shared" si="15"/>
        <v>0</v>
      </c>
      <c r="N149" s="2266">
        <v>0</v>
      </c>
      <c r="Q149" s="1722">
        <v>0</v>
      </c>
    </row>
    <row r="150" spans="1:17" ht="15" customHeight="1">
      <c r="A150" s="2736" t="s">
        <v>642</v>
      </c>
      <c r="B150" s="2809" t="s">
        <v>33</v>
      </c>
      <c r="C150" s="2810">
        <v>5.093</v>
      </c>
      <c r="D150" s="2811"/>
      <c r="E150" s="2762">
        <f t="shared" si="10"/>
        <v>5.0879999999999903</v>
      </c>
      <c r="F150" s="2812">
        <f>29.31+1.2-25.84+1.94-1.94</f>
        <v>4.6699999999999982</v>
      </c>
      <c r="G150" s="2813">
        <f t="shared" si="12"/>
        <v>0.41799999999999216</v>
      </c>
      <c r="H150" s="2743">
        <f t="shared" si="13"/>
        <v>8.2154088050313073E-2</v>
      </c>
      <c r="I150" s="2825"/>
      <c r="J150" s="2266">
        <f t="shared" si="16"/>
        <v>26</v>
      </c>
      <c r="K150" s="3416">
        <f t="shared" si="14"/>
        <v>-1.0658141036401503E-14</v>
      </c>
      <c r="L150" s="2745">
        <f t="shared" si="11"/>
        <v>96.830000000000013</v>
      </c>
      <c r="M150" s="2772">
        <f t="shared" si="15"/>
        <v>4.6699999999999875</v>
      </c>
      <c r="N150" s="2266">
        <v>101.5</v>
      </c>
      <c r="Q150" s="1722">
        <v>124.515</v>
      </c>
    </row>
    <row r="151" spans="1:17" ht="39.6">
      <c r="A151" s="2736" t="s">
        <v>643</v>
      </c>
      <c r="B151" s="2809" t="s">
        <v>33</v>
      </c>
      <c r="C151" s="2810">
        <v>4.0140000000000002</v>
      </c>
      <c r="D151" s="2811"/>
      <c r="E151" s="2762">
        <f t="shared" si="10"/>
        <v>4.0130000000000097</v>
      </c>
      <c r="F151" s="2812">
        <f>4.6+5.97</f>
        <v>10.57</v>
      </c>
      <c r="G151" s="2813">
        <f t="shared" si="12"/>
        <v>-6.5569999999999906</v>
      </c>
      <c r="H151" s="2743">
        <f t="shared" si="13"/>
        <v>-1.6339396959880326</v>
      </c>
      <c r="I151" s="2744"/>
      <c r="J151" s="2266">
        <f t="shared" si="16"/>
        <v>27</v>
      </c>
      <c r="K151" s="3416">
        <f t="shared" si="14"/>
        <v>0</v>
      </c>
      <c r="L151" s="2745">
        <f t="shared" si="11"/>
        <v>76.3</v>
      </c>
      <c r="M151" s="2772">
        <f t="shared" si="15"/>
        <v>10.570000000000007</v>
      </c>
      <c r="N151" s="2266">
        <v>86.87</v>
      </c>
      <c r="Q151" s="1722">
        <v>108.93899999999999</v>
      </c>
    </row>
    <row r="152" spans="1:17" ht="15" customHeight="1">
      <c r="A152" s="3676" t="s">
        <v>644</v>
      </c>
      <c r="B152" s="2809" t="s">
        <v>33</v>
      </c>
      <c r="C152" s="2810">
        <v>7.4980000000000002</v>
      </c>
      <c r="D152" s="2811"/>
      <c r="E152" s="2762">
        <f t="shared" si="10"/>
        <v>3.3080000000000007</v>
      </c>
      <c r="F152" s="2812">
        <f>1.25+0.82+0.81+0.43</f>
        <v>3.31</v>
      </c>
      <c r="G152" s="2813">
        <f t="shared" si="12"/>
        <v>-1.9999999999993356E-3</v>
      </c>
      <c r="H152" s="2743">
        <f t="shared" si="13"/>
        <v>-6.0459492140245929E-4</v>
      </c>
      <c r="I152" s="2753"/>
      <c r="J152" s="2266">
        <f t="shared" si="16"/>
        <v>28</v>
      </c>
      <c r="K152" s="3416">
        <f t="shared" si="14"/>
        <v>0</v>
      </c>
      <c r="L152" s="2745">
        <f t="shared" si="11"/>
        <v>12.11</v>
      </c>
      <c r="M152" s="2772">
        <f t="shared" si="15"/>
        <v>3.3100000000000005</v>
      </c>
      <c r="N152" s="2266">
        <v>15.42</v>
      </c>
      <c r="Q152" s="1722">
        <v>0</v>
      </c>
    </row>
    <row r="153" spans="1:17" ht="15" customHeight="1">
      <c r="A153" s="2736" t="s">
        <v>645</v>
      </c>
      <c r="B153" s="2809" t="s">
        <v>33</v>
      </c>
      <c r="C153" s="2810">
        <v>8.3010000000000002</v>
      </c>
      <c r="D153" s="2811"/>
      <c r="E153" s="2762">
        <f t="shared" si="10"/>
        <v>27.578999999999994</v>
      </c>
      <c r="F153" s="2812">
        <v>11.38</v>
      </c>
      <c r="G153" s="2813">
        <f t="shared" si="12"/>
        <v>16.198999999999991</v>
      </c>
      <c r="H153" s="2743">
        <f t="shared" si="13"/>
        <v>0.58736719968091644</v>
      </c>
      <c r="I153" s="2744"/>
      <c r="J153" s="2266">
        <f t="shared" si="16"/>
        <v>29</v>
      </c>
      <c r="K153" s="3416">
        <f t="shared" si="14"/>
        <v>0</v>
      </c>
      <c r="L153" s="2745">
        <f t="shared" si="11"/>
        <v>138.52000000000001</v>
      </c>
      <c r="M153" s="2772">
        <f t="shared" si="15"/>
        <v>11.379999999999995</v>
      </c>
      <c r="N153" s="2266">
        <v>149.9</v>
      </c>
      <c r="Q153" s="1722">
        <v>64.36</v>
      </c>
    </row>
    <row r="154" spans="1:17" s="1190" customFormat="1" ht="15" customHeight="1">
      <c r="A154" s="2736" t="s">
        <v>646</v>
      </c>
      <c r="B154" s="2679" t="s">
        <v>33</v>
      </c>
      <c r="C154" s="2810">
        <v>0</v>
      </c>
      <c r="D154" s="2817"/>
      <c r="E154" s="2762">
        <f t="shared" si="10"/>
        <v>0</v>
      </c>
      <c r="F154" s="2818"/>
      <c r="G154" s="2819">
        <f>+E154-F154</f>
        <v>0</v>
      </c>
      <c r="H154" s="2743" t="e">
        <f t="shared" si="13"/>
        <v>#DIV/0!</v>
      </c>
      <c r="I154" s="2758"/>
      <c r="J154" s="1190">
        <f t="shared" si="16"/>
        <v>30</v>
      </c>
      <c r="K154" s="3416">
        <f t="shared" si="14"/>
        <v>0</v>
      </c>
      <c r="L154" s="2745">
        <f t="shared" si="11"/>
        <v>0</v>
      </c>
      <c r="M154" s="2772">
        <f t="shared" si="15"/>
        <v>0</v>
      </c>
      <c r="N154" s="1190">
        <v>0</v>
      </c>
      <c r="Q154" s="1724">
        <v>0</v>
      </c>
    </row>
    <row r="155" spans="1:17" ht="52.8">
      <c r="A155" s="2736" t="s">
        <v>647</v>
      </c>
      <c r="B155" s="2809" t="s">
        <v>33</v>
      </c>
      <c r="C155" s="2810">
        <v>9.2149999999999999</v>
      </c>
      <c r="D155" s="2811"/>
      <c r="E155" s="2762">
        <f t="shared" si="10"/>
        <v>103.82499999999999</v>
      </c>
      <c r="F155" s="2812">
        <f>24.65-15.43</f>
        <v>9.2199999999999989</v>
      </c>
      <c r="G155" s="2813">
        <f t="shared" si="12"/>
        <v>94.60499999999999</v>
      </c>
      <c r="H155" s="2743">
        <f t="shared" si="13"/>
        <v>0.91119672525884898</v>
      </c>
      <c r="I155" s="2825"/>
      <c r="J155" s="2266">
        <f t="shared" si="16"/>
        <v>31</v>
      </c>
      <c r="K155" s="3416">
        <f t="shared" si="14"/>
        <v>0</v>
      </c>
      <c r="L155" s="2745">
        <f t="shared" si="11"/>
        <v>175.17</v>
      </c>
      <c r="M155" s="2772">
        <f t="shared" si="15"/>
        <v>9.2199999999999989</v>
      </c>
      <c r="N155" s="2266">
        <v>184.39</v>
      </c>
      <c r="Q155" s="1722">
        <v>162.84100000000001</v>
      </c>
    </row>
    <row r="156" spans="1:17" ht="52.8">
      <c r="A156" s="2736" t="s">
        <v>648</v>
      </c>
      <c r="B156" s="2809" t="s">
        <v>33</v>
      </c>
      <c r="C156" s="2810">
        <v>12.173999999999999</v>
      </c>
      <c r="D156" s="2811"/>
      <c r="E156" s="2762">
        <f t="shared" si="10"/>
        <v>12.16999999999998</v>
      </c>
      <c r="F156" s="2812">
        <f>22.09+0.44-11.35+4.36</f>
        <v>15.540000000000003</v>
      </c>
      <c r="G156" s="2813">
        <f t="shared" si="12"/>
        <v>-3.3700000000000223</v>
      </c>
      <c r="H156" s="2743">
        <f t="shared" si="13"/>
        <v>-0.27691043549712635</v>
      </c>
      <c r="I156" s="2820"/>
      <c r="J156" s="2772">
        <f t="shared" si="16"/>
        <v>32</v>
      </c>
      <c r="K156" s="3416">
        <f t="shared" si="14"/>
        <v>0</v>
      </c>
      <c r="L156" s="2745">
        <f t="shared" si="11"/>
        <v>231.43</v>
      </c>
      <c r="M156" s="2772">
        <f t="shared" si="15"/>
        <v>15.539999999999992</v>
      </c>
      <c r="N156" s="2266">
        <v>246.97</v>
      </c>
      <c r="Q156" s="1722">
        <v>612.93200000000002</v>
      </c>
    </row>
    <row r="157" spans="1:17" ht="15" customHeight="1">
      <c r="A157" s="2736" t="s">
        <v>649</v>
      </c>
      <c r="B157" s="2809" t="s">
        <v>33</v>
      </c>
      <c r="C157" s="2810">
        <v>0.80300000000000005</v>
      </c>
      <c r="D157" s="2811"/>
      <c r="E157" s="2762">
        <f t="shared" ref="E157:E187" si="17">+C157+G90+D157</f>
        <v>3.0739999999999998</v>
      </c>
      <c r="F157" s="2812">
        <v>6.41</v>
      </c>
      <c r="G157" s="2813">
        <f>+E157-F157</f>
        <v>-3.3360000000000003</v>
      </c>
      <c r="H157" s="2743">
        <f t="shared" si="13"/>
        <v>-1.0852309694209501</v>
      </c>
      <c r="I157" s="2744"/>
      <c r="J157" s="2266">
        <f t="shared" si="16"/>
        <v>33</v>
      </c>
      <c r="K157" s="3416">
        <f t="shared" si="14"/>
        <v>0</v>
      </c>
      <c r="L157" s="2745">
        <f t="shared" ref="L157:L187" si="18">+F90</f>
        <v>0</v>
      </c>
      <c r="M157" s="2772">
        <f t="shared" si="15"/>
        <v>6.41</v>
      </c>
      <c r="N157" s="2266">
        <v>6.41</v>
      </c>
      <c r="Q157" s="1722">
        <v>0</v>
      </c>
    </row>
    <row r="158" spans="1:17" ht="15" customHeight="1">
      <c r="A158" s="2736" t="s">
        <v>650</v>
      </c>
      <c r="B158" s="2809" t="s">
        <v>33</v>
      </c>
      <c r="C158" s="2810">
        <v>0</v>
      </c>
      <c r="D158" s="2811"/>
      <c r="E158" s="2762">
        <f t="shared" si="17"/>
        <v>0</v>
      </c>
      <c r="F158" s="2812"/>
      <c r="G158" s="2813">
        <f t="shared" si="12"/>
        <v>0</v>
      </c>
      <c r="H158" s="2743" t="e">
        <f t="shared" si="13"/>
        <v>#DIV/0!</v>
      </c>
      <c r="I158" s="2744">
        <v>41768</v>
      </c>
      <c r="J158" s="2266">
        <f t="shared" si="16"/>
        <v>34</v>
      </c>
      <c r="K158" s="3416">
        <f t="shared" si="14"/>
        <v>0</v>
      </c>
      <c r="L158" s="2745">
        <f t="shared" si="18"/>
        <v>10.08</v>
      </c>
      <c r="M158" s="2772">
        <f t="shared" si="15"/>
        <v>0</v>
      </c>
      <c r="N158" s="2266">
        <v>10.08</v>
      </c>
      <c r="Q158" s="1722">
        <v>0</v>
      </c>
    </row>
    <row r="159" spans="1:17" ht="52.8">
      <c r="A159" s="2736" t="s">
        <v>651</v>
      </c>
      <c r="B159" s="2809" t="s">
        <v>33</v>
      </c>
      <c r="C159" s="2810">
        <v>13.182</v>
      </c>
      <c r="D159" s="2811"/>
      <c r="E159" s="2762">
        <f t="shared" si="17"/>
        <v>56.451999999999984</v>
      </c>
      <c r="F159" s="2812">
        <f>4.15+6+4.77+9.77</f>
        <v>24.689999999999998</v>
      </c>
      <c r="G159" s="2813">
        <f t="shared" si="12"/>
        <v>31.761999999999986</v>
      </c>
      <c r="H159" s="2743">
        <f t="shared" si="13"/>
        <v>0.56263728477290431</v>
      </c>
      <c r="I159" s="2744"/>
      <c r="J159" s="2266">
        <f t="shared" si="16"/>
        <v>35</v>
      </c>
      <c r="K159" s="3416">
        <f t="shared" si="14"/>
        <v>0</v>
      </c>
      <c r="L159" s="2745">
        <f t="shared" si="18"/>
        <v>267.31</v>
      </c>
      <c r="M159" s="2772">
        <f t="shared" si="15"/>
        <v>24.689999999999998</v>
      </c>
      <c r="N159" s="2266">
        <v>292</v>
      </c>
      <c r="Q159" s="1722">
        <v>291.53800000000001</v>
      </c>
    </row>
    <row r="160" spans="1:17" ht="15" customHeight="1">
      <c r="A160" s="2736" t="s">
        <v>652</v>
      </c>
      <c r="B160" s="2809" t="s">
        <v>33</v>
      </c>
      <c r="C160" s="2810">
        <v>5.194</v>
      </c>
      <c r="D160" s="2811"/>
      <c r="E160" s="2762">
        <f t="shared" si="17"/>
        <v>5.194</v>
      </c>
      <c r="F160" s="2812"/>
      <c r="G160" s="2813">
        <f t="shared" si="12"/>
        <v>5.194</v>
      </c>
      <c r="H160" s="2743">
        <f t="shared" si="13"/>
        <v>1</v>
      </c>
      <c r="I160" s="2753"/>
      <c r="J160" s="2266">
        <f t="shared" si="16"/>
        <v>36</v>
      </c>
      <c r="K160" s="3416">
        <f t="shared" si="14"/>
        <v>0</v>
      </c>
      <c r="L160" s="2745">
        <f t="shared" si="18"/>
        <v>98.740000000000009</v>
      </c>
      <c r="M160" s="2772">
        <f t="shared" si="15"/>
        <v>0</v>
      </c>
      <c r="N160" s="2266">
        <v>98.74</v>
      </c>
      <c r="Q160" s="1722">
        <v>51.982999999999997</v>
      </c>
    </row>
    <row r="161" spans="1:17" ht="15" customHeight="1">
      <c r="A161" s="2736" t="s">
        <v>653</v>
      </c>
      <c r="B161" s="2809" t="s">
        <v>33</v>
      </c>
      <c r="C161" s="2810">
        <v>34.747999999999998</v>
      </c>
      <c r="D161" s="2811"/>
      <c r="E161" s="2762">
        <f t="shared" si="17"/>
        <v>34.787999999999961</v>
      </c>
      <c r="F161" s="2812">
        <f>51.28+29.47+35.92-63.97+31.19</f>
        <v>83.89</v>
      </c>
      <c r="G161" s="2813">
        <f t="shared" si="12"/>
        <v>-49.102000000000039</v>
      </c>
      <c r="H161" s="2743">
        <f t="shared" si="13"/>
        <v>-1.4114637231229186</v>
      </c>
      <c r="I161" s="2744"/>
      <c r="J161" s="2266">
        <f t="shared" si="16"/>
        <v>37</v>
      </c>
      <c r="K161" s="3416">
        <f t="shared" si="14"/>
        <v>0</v>
      </c>
      <c r="L161" s="2745">
        <f t="shared" si="18"/>
        <v>400.50000000000006</v>
      </c>
      <c r="M161" s="2772">
        <f t="shared" si="15"/>
        <v>83.88999999999993</v>
      </c>
      <c r="N161" s="2266">
        <v>484.39</v>
      </c>
      <c r="Q161" s="1722">
        <v>499.85399999999998</v>
      </c>
    </row>
    <row r="162" spans="1:17" ht="15" customHeight="1">
      <c r="A162" s="2736" t="s">
        <v>654</v>
      </c>
      <c r="B162" s="2809" t="s">
        <v>33</v>
      </c>
      <c r="C162" s="2810">
        <v>1.2410000000000001</v>
      </c>
      <c r="D162" s="2811"/>
      <c r="E162" s="2762">
        <f t="shared" si="17"/>
        <v>43.561999999999983</v>
      </c>
      <c r="F162" s="2812">
        <f>8.16+0.51+0.78+1.01</f>
        <v>10.459999999999999</v>
      </c>
      <c r="G162" s="2813">
        <f t="shared" si="12"/>
        <v>33.101999999999983</v>
      </c>
      <c r="H162" s="2743">
        <f t="shared" si="13"/>
        <v>0.75988246636977175</v>
      </c>
      <c r="I162" s="2825"/>
      <c r="J162" s="2266">
        <f t="shared" si="16"/>
        <v>38</v>
      </c>
      <c r="K162" s="3416">
        <f t="shared" si="14"/>
        <v>0</v>
      </c>
      <c r="L162" s="2745">
        <f t="shared" si="18"/>
        <v>68.720000000000013</v>
      </c>
      <c r="M162" s="2772">
        <f t="shared" si="15"/>
        <v>10.459999999999994</v>
      </c>
      <c r="N162" s="2266">
        <v>79.180000000000007</v>
      </c>
      <c r="Q162" s="1722">
        <v>25.741</v>
      </c>
    </row>
    <row r="163" spans="1:17" ht="15" customHeight="1">
      <c r="A163" s="2736" t="s">
        <v>655</v>
      </c>
      <c r="B163" s="2809" t="s">
        <v>33</v>
      </c>
      <c r="C163" s="2810">
        <v>13.912000000000001</v>
      </c>
      <c r="D163" s="2811"/>
      <c r="E163" s="2762">
        <f t="shared" si="17"/>
        <v>13.49699999999998</v>
      </c>
      <c r="F163" s="2812"/>
      <c r="G163" s="2813">
        <f t="shared" si="12"/>
        <v>13.49699999999998</v>
      </c>
      <c r="H163" s="2743">
        <f t="shared" si="13"/>
        <v>1</v>
      </c>
      <c r="I163" s="2753"/>
      <c r="J163" s="2266">
        <f t="shared" si="16"/>
        <v>39</v>
      </c>
      <c r="K163" s="3416">
        <f t="shared" si="14"/>
        <v>0</v>
      </c>
      <c r="L163" s="2745">
        <f t="shared" si="18"/>
        <v>264.88</v>
      </c>
      <c r="M163" s="2772">
        <f t="shared" si="15"/>
        <v>0</v>
      </c>
      <c r="N163" s="2266">
        <v>264.88</v>
      </c>
      <c r="Q163" s="1722">
        <v>465.351</v>
      </c>
    </row>
    <row r="164" spans="1:17" ht="15" customHeight="1">
      <c r="A164" s="2736" t="s">
        <v>656</v>
      </c>
      <c r="B164" s="2809" t="s">
        <v>33</v>
      </c>
      <c r="C164" s="2810">
        <v>0</v>
      </c>
      <c r="D164" s="2811"/>
      <c r="E164" s="2762">
        <f t="shared" si="17"/>
        <v>0</v>
      </c>
      <c r="F164" s="2812"/>
      <c r="G164" s="2813">
        <f t="shared" si="12"/>
        <v>0</v>
      </c>
      <c r="H164" s="2743" t="e">
        <f t="shared" si="13"/>
        <v>#DIV/0!</v>
      </c>
      <c r="I164" s="2826"/>
      <c r="J164" s="2266">
        <f t="shared" si="16"/>
        <v>40</v>
      </c>
      <c r="K164" s="3416">
        <f t="shared" si="14"/>
        <v>0</v>
      </c>
      <c r="L164" s="2745">
        <f t="shared" si="18"/>
        <v>0</v>
      </c>
      <c r="M164" s="2772">
        <f t="shared" si="15"/>
        <v>0</v>
      </c>
      <c r="N164" s="2266">
        <v>0</v>
      </c>
      <c r="Q164" s="1722">
        <v>0</v>
      </c>
    </row>
    <row r="165" spans="1:17" ht="52.8">
      <c r="A165" s="2736" t="s">
        <v>657</v>
      </c>
      <c r="B165" s="2809" t="s">
        <v>33</v>
      </c>
      <c r="C165" s="2810">
        <v>0</v>
      </c>
      <c r="D165" s="2827"/>
      <c r="E165" s="2762">
        <f t="shared" si="17"/>
        <v>0</v>
      </c>
      <c r="F165" s="2812"/>
      <c r="G165" s="2813">
        <f t="shared" si="12"/>
        <v>0</v>
      </c>
      <c r="H165" s="2743" t="e">
        <f t="shared" si="13"/>
        <v>#DIV/0!</v>
      </c>
      <c r="I165" s="2744">
        <v>41768</v>
      </c>
      <c r="J165" s="2266">
        <f t="shared" si="16"/>
        <v>41</v>
      </c>
      <c r="K165" s="3416">
        <f t="shared" si="14"/>
        <v>0</v>
      </c>
      <c r="L165" s="2745">
        <f t="shared" si="18"/>
        <v>0</v>
      </c>
      <c r="M165" s="2772">
        <f t="shared" si="15"/>
        <v>0</v>
      </c>
      <c r="N165" s="2266">
        <v>0</v>
      </c>
      <c r="Q165" s="1722">
        <v>0</v>
      </c>
    </row>
    <row r="166" spans="1:17" ht="52.8">
      <c r="A166" s="2736" t="s">
        <v>1041</v>
      </c>
      <c r="B166" s="2809" t="s">
        <v>33</v>
      </c>
      <c r="C166" s="2810">
        <v>24.119</v>
      </c>
      <c r="D166" s="2811"/>
      <c r="E166" s="2762">
        <f t="shared" si="17"/>
        <v>24.119</v>
      </c>
      <c r="F166" s="2812">
        <f>1.06+1.25+0.74+0.07+1.06+1.27</f>
        <v>5.4499999999999993</v>
      </c>
      <c r="G166" s="2813">
        <f t="shared" si="12"/>
        <v>18.669</v>
      </c>
      <c r="H166" s="2743">
        <f t="shared" si="13"/>
        <v>0.77403706621335877</v>
      </c>
      <c r="I166" s="2828"/>
      <c r="J166" s="2266">
        <f t="shared" si="16"/>
        <v>42</v>
      </c>
      <c r="K166" s="3416">
        <f t="shared" si="14"/>
        <v>4.6185277824406512E-14</v>
      </c>
      <c r="L166" s="2745">
        <f t="shared" si="18"/>
        <v>444.48999999999995</v>
      </c>
      <c r="M166" s="2772">
        <f t="shared" si="15"/>
        <v>5.4500000000000455</v>
      </c>
      <c r="N166" s="2266">
        <v>449.94</v>
      </c>
      <c r="Q166" s="1722">
        <v>720.42600000000004</v>
      </c>
    </row>
    <row r="167" spans="1:17" ht="39.6">
      <c r="A167" s="2736" t="s">
        <v>659</v>
      </c>
      <c r="B167" s="2809" t="s">
        <v>33</v>
      </c>
      <c r="C167" s="2810">
        <v>16.283000000000001</v>
      </c>
      <c r="D167" s="2811"/>
      <c r="E167" s="2762">
        <f t="shared" si="17"/>
        <v>16.281000000000049</v>
      </c>
      <c r="F167" s="2812"/>
      <c r="G167" s="2813">
        <f t="shared" si="12"/>
        <v>16.281000000000049</v>
      </c>
      <c r="H167" s="2743">
        <f t="shared" si="13"/>
        <v>1</v>
      </c>
      <c r="I167" s="2744"/>
      <c r="J167" s="2266">
        <f t="shared" si="16"/>
        <v>43</v>
      </c>
      <c r="K167" s="3416">
        <f t="shared" si="14"/>
        <v>0</v>
      </c>
      <c r="L167" s="2745">
        <f t="shared" si="18"/>
        <v>309.53999999999996</v>
      </c>
      <c r="M167" s="2772">
        <f t="shared" si="15"/>
        <v>0</v>
      </c>
      <c r="N167" s="2266">
        <v>309.54000000000002</v>
      </c>
      <c r="Q167" s="1722">
        <v>611.68700000000001</v>
      </c>
    </row>
    <row r="168" spans="1:17" ht="15" customHeight="1">
      <c r="A168" s="2736" t="s">
        <v>660</v>
      </c>
      <c r="B168" s="2809" t="s">
        <v>33</v>
      </c>
      <c r="C168" s="2810">
        <v>1.071</v>
      </c>
      <c r="D168" s="2811"/>
      <c r="E168" s="2762">
        <f t="shared" si="17"/>
        <v>1.2520000000000009</v>
      </c>
      <c r="F168" s="2812"/>
      <c r="G168" s="2813">
        <f t="shared" si="12"/>
        <v>1.2520000000000009</v>
      </c>
      <c r="H168" s="2743">
        <f t="shared" si="13"/>
        <v>1</v>
      </c>
      <c r="I168" s="2778" t="s">
        <v>1560</v>
      </c>
      <c r="J168" s="2266">
        <f t="shared" si="16"/>
        <v>44</v>
      </c>
      <c r="K168" s="3416">
        <f t="shared" si="14"/>
        <v>0</v>
      </c>
      <c r="L168" s="2745">
        <f t="shared" si="18"/>
        <v>7.1799999999999988</v>
      </c>
      <c r="M168" s="2772">
        <f t="shared" si="15"/>
        <v>0</v>
      </c>
      <c r="N168" s="2266">
        <v>7.18</v>
      </c>
      <c r="Q168" s="1722">
        <v>0</v>
      </c>
    </row>
    <row r="169" spans="1:17" ht="15" customHeight="1">
      <c r="A169" s="2736" t="s">
        <v>661</v>
      </c>
      <c r="B169" s="2809" t="s">
        <v>33</v>
      </c>
      <c r="C169" s="2810">
        <v>43.177999999999997</v>
      </c>
      <c r="D169" s="2811"/>
      <c r="E169" s="2762">
        <f t="shared" si="17"/>
        <v>45.644000000000233</v>
      </c>
      <c r="F169" s="2812">
        <f>6.99+47.55+12-20.51+4.63+0.52</f>
        <v>51.179999999999993</v>
      </c>
      <c r="G169" s="2813">
        <f t="shared" si="12"/>
        <v>-5.5359999999997598</v>
      </c>
      <c r="H169" s="2743">
        <f t="shared" si="13"/>
        <v>-0.12128647795985741</v>
      </c>
      <c r="I169" s="2778"/>
      <c r="J169" s="2266">
        <f t="shared" si="16"/>
        <v>45</v>
      </c>
      <c r="K169" s="3416">
        <f t="shared" si="14"/>
        <v>1.8474111129762605E-13</v>
      </c>
      <c r="L169" s="2745">
        <f t="shared" si="18"/>
        <v>818.32999999999981</v>
      </c>
      <c r="M169" s="2772">
        <f t="shared" si="15"/>
        <v>51.180000000000177</v>
      </c>
      <c r="N169" s="2266">
        <v>869.51</v>
      </c>
      <c r="Q169" s="1722">
        <v>2244.3110000000001</v>
      </c>
    </row>
    <row r="170" spans="1:17" ht="26.4">
      <c r="A170" s="2736" t="s">
        <v>662</v>
      </c>
      <c r="B170" s="2679" t="s">
        <v>33</v>
      </c>
      <c r="C170" s="2810">
        <v>66.691999999999993</v>
      </c>
      <c r="D170" s="2817"/>
      <c r="E170" s="2762">
        <f t="shared" si="17"/>
        <v>100.53200000000002</v>
      </c>
      <c r="F170" s="2818">
        <f>7.63+1.58+4.18-4.18+8.82+1.1+20.1</f>
        <v>39.230000000000004</v>
      </c>
      <c r="G170" s="2819">
        <f t="shared" si="12"/>
        <v>61.302000000000021</v>
      </c>
      <c r="H170" s="2743">
        <f t="shared" si="13"/>
        <v>0.60977599172402819</v>
      </c>
      <c r="I170" s="2758"/>
      <c r="J170" s="2266">
        <f t="shared" si="16"/>
        <v>46</v>
      </c>
      <c r="K170" s="3416">
        <f t="shared" si="14"/>
        <v>0</v>
      </c>
      <c r="L170" s="2745">
        <f t="shared" si="18"/>
        <v>537.26</v>
      </c>
      <c r="M170" s="2772">
        <f t="shared" si="15"/>
        <v>39.230000000000018</v>
      </c>
      <c r="N170" s="2266">
        <v>576.49</v>
      </c>
      <c r="Q170" s="1722">
        <v>1383.943</v>
      </c>
    </row>
    <row r="171" spans="1:17" ht="39.6">
      <c r="A171" s="2736" t="s">
        <v>663</v>
      </c>
      <c r="B171" s="2679" t="s">
        <v>33</v>
      </c>
      <c r="C171" s="2810">
        <f>5.036-5.035</f>
        <v>9.9999999999944578E-4</v>
      </c>
      <c r="D171" s="2817"/>
      <c r="E171" s="2762">
        <f t="shared" si="17"/>
        <v>4.0360000000000102</v>
      </c>
      <c r="F171" s="2818"/>
      <c r="G171" s="2819">
        <f t="shared" si="12"/>
        <v>4.0360000000000102</v>
      </c>
      <c r="H171" s="2743">
        <f t="shared" si="13"/>
        <v>1</v>
      </c>
      <c r="I171" s="2778" t="s">
        <v>1560</v>
      </c>
      <c r="J171" s="2266">
        <f t="shared" si="16"/>
        <v>47</v>
      </c>
      <c r="K171" s="3416">
        <f t="shared" si="14"/>
        <v>0</v>
      </c>
      <c r="L171" s="2745">
        <f t="shared" si="18"/>
        <v>95.74</v>
      </c>
      <c r="M171" s="2772">
        <f t="shared" si="15"/>
        <v>0</v>
      </c>
      <c r="N171" s="2266">
        <v>95.74</v>
      </c>
      <c r="Q171" s="1722">
        <v>133.04300000000001</v>
      </c>
    </row>
    <row r="172" spans="1:17" ht="39.6">
      <c r="A172" s="2736" t="s">
        <v>664</v>
      </c>
      <c r="B172" s="2679" t="s">
        <v>33</v>
      </c>
      <c r="C172" s="2810">
        <v>9.9999999999944578E-4</v>
      </c>
      <c r="D172" s="2817"/>
      <c r="E172" s="2762">
        <f t="shared" si="17"/>
        <v>11.320999999999993</v>
      </c>
      <c r="F172" s="2818">
        <f>13.27+3.56+6.8-6.8</f>
        <v>16.829999999999998</v>
      </c>
      <c r="G172" s="2819">
        <f t="shared" si="12"/>
        <v>-5.5090000000000057</v>
      </c>
      <c r="H172" s="2743">
        <f t="shared" si="13"/>
        <v>-0.48661778994788529</v>
      </c>
      <c r="I172" s="2829"/>
      <c r="J172" s="2266">
        <f t="shared" si="16"/>
        <v>48</v>
      </c>
      <c r="K172" s="3416">
        <f t="shared" si="14"/>
        <v>0</v>
      </c>
      <c r="L172" s="2745">
        <f t="shared" si="18"/>
        <v>291.47000000000003</v>
      </c>
      <c r="M172" s="2772">
        <f t="shared" si="15"/>
        <v>16.829999999999984</v>
      </c>
      <c r="N172" s="2266">
        <v>308.3</v>
      </c>
      <c r="Q172" s="1722">
        <v>286.15499999999997</v>
      </c>
    </row>
    <row r="173" spans="1:17" ht="39.6">
      <c r="A173" s="2736" t="s">
        <v>665</v>
      </c>
      <c r="B173" s="2679" t="s">
        <v>33</v>
      </c>
      <c r="C173" s="2810">
        <v>9.7070000000000007</v>
      </c>
      <c r="D173" s="2817"/>
      <c r="E173" s="2762">
        <f t="shared" si="17"/>
        <v>9.7090000000000103</v>
      </c>
      <c r="F173" s="2818">
        <f>8.16+1.49+5.68+8.75+0.56</f>
        <v>24.639999999999997</v>
      </c>
      <c r="G173" s="2819">
        <f t="shared" si="12"/>
        <v>-14.930999999999987</v>
      </c>
      <c r="H173" s="2743">
        <f t="shared" si="13"/>
        <v>-1.5378514780100907</v>
      </c>
      <c r="I173" s="2829"/>
      <c r="J173" s="2266">
        <f t="shared" si="16"/>
        <v>49</v>
      </c>
      <c r="K173" s="3416">
        <f t="shared" si="14"/>
        <v>0</v>
      </c>
      <c r="L173" s="2745">
        <f t="shared" si="18"/>
        <v>184.51999999999998</v>
      </c>
      <c r="M173" s="2772">
        <f t="shared" si="15"/>
        <v>24.640000000000015</v>
      </c>
      <c r="N173" s="2266">
        <v>209.16</v>
      </c>
      <c r="Q173" s="1722">
        <v>11.154</v>
      </c>
    </row>
    <row r="174" spans="1:17" ht="26.4">
      <c r="A174" s="2736" t="s">
        <v>666</v>
      </c>
      <c r="B174" s="2679" t="s">
        <v>33</v>
      </c>
      <c r="C174" s="2810">
        <v>23.718</v>
      </c>
      <c r="D174" s="2817"/>
      <c r="E174" s="2762">
        <f t="shared" si="17"/>
        <v>23.718</v>
      </c>
      <c r="F174" s="2818">
        <f>8.42+9.78+1.89+3.99+26.55+1.34+12.78</f>
        <v>64.75</v>
      </c>
      <c r="G174" s="2819">
        <f t="shared" si="12"/>
        <v>-41.031999999999996</v>
      </c>
      <c r="H174" s="2743">
        <f t="shared" si="13"/>
        <v>-1.7299940973100598</v>
      </c>
      <c r="I174" s="2758"/>
      <c r="J174" s="2266">
        <f t="shared" si="16"/>
        <v>50</v>
      </c>
      <c r="K174" s="3416">
        <f t="shared" si="14"/>
        <v>-1.1368683772161603E-13</v>
      </c>
      <c r="L174" s="2745">
        <f t="shared" si="18"/>
        <v>450.87000000000012</v>
      </c>
      <c r="M174" s="2772">
        <f t="shared" si="15"/>
        <v>64.749999999999886</v>
      </c>
      <c r="N174" s="2266">
        <v>515.62</v>
      </c>
      <c r="Q174" s="1722">
        <v>248.20500000000001</v>
      </c>
    </row>
    <row r="175" spans="1:17" ht="26.4">
      <c r="A175" s="2736" t="s">
        <v>667</v>
      </c>
      <c r="B175" s="2679" t="s">
        <v>33</v>
      </c>
      <c r="C175" s="2810">
        <v>8.6509999999999998</v>
      </c>
      <c r="D175" s="2817"/>
      <c r="E175" s="2762">
        <f t="shared" si="17"/>
        <v>23.208000000000045</v>
      </c>
      <c r="F175" s="2818">
        <f>10.49+7.32+2.49+1.2+2.07+1.92</f>
        <v>25.490000000000002</v>
      </c>
      <c r="G175" s="2819">
        <f t="shared" si="12"/>
        <v>-2.2819999999999574</v>
      </c>
      <c r="H175" s="2743">
        <f t="shared" si="13"/>
        <v>-9.8328162702514349E-2</v>
      </c>
      <c r="I175" s="2758"/>
      <c r="J175" s="2266">
        <f t="shared" si="16"/>
        <v>51</v>
      </c>
      <c r="K175" s="3416">
        <f t="shared" si="14"/>
        <v>3.5527136788005009E-14</v>
      </c>
      <c r="L175" s="2745">
        <f t="shared" si="18"/>
        <v>149.88999999999996</v>
      </c>
      <c r="M175" s="2772">
        <f t="shared" si="15"/>
        <v>25.490000000000038</v>
      </c>
      <c r="N175" s="2266">
        <v>175.38</v>
      </c>
      <c r="Q175" s="1722">
        <v>0</v>
      </c>
    </row>
    <row r="176" spans="1:17" ht="39.6">
      <c r="A176" s="2736" t="s">
        <v>668</v>
      </c>
      <c r="B176" s="2679" t="s">
        <v>33</v>
      </c>
      <c r="C176" s="2810">
        <v>8.0440000000000005</v>
      </c>
      <c r="D176" s="2817"/>
      <c r="E176" s="2762">
        <f t="shared" si="17"/>
        <v>8.0479999999999627</v>
      </c>
      <c r="F176" s="2818">
        <f>6.04+14.76+1.77+41.13+15.42+34.42</f>
        <v>113.54</v>
      </c>
      <c r="G176" s="2819">
        <f t="shared" si="12"/>
        <v>-105.49200000000005</v>
      </c>
      <c r="H176" s="2743">
        <f t="shared" si="13"/>
        <v>-13.107852882703844</v>
      </c>
      <c r="I176" s="2758"/>
      <c r="J176" s="2266">
        <f t="shared" si="16"/>
        <v>52</v>
      </c>
      <c r="K176" s="3416">
        <f t="shared" si="14"/>
        <v>0</v>
      </c>
      <c r="L176" s="2745">
        <f t="shared" si="18"/>
        <v>152.90000000000003</v>
      </c>
      <c r="M176" s="2772">
        <f t="shared" si="15"/>
        <v>113.53999999999996</v>
      </c>
      <c r="N176" s="2266">
        <v>266.44</v>
      </c>
      <c r="Q176" s="1722">
        <v>29.562999999999999</v>
      </c>
    </row>
    <row r="177" spans="1:45" ht="52.8">
      <c r="A177" s="2736" t="s">
        <v>669</v>
      </c>
      <c r="B177" s="2679" t="s">
        <v>33</v>
      </c>
      <c r="C177" s="2810">
        <v>15.54</v>
      </c>
      <c r="D177" s="2817"/>
      <c r="E177" s="2762">
        <f t="shared" si="17"/>
        <v>15.541000000000032</v>
      </c>
      <c r="F177" s="2818">
        <f>13.83+19.27+0.17</f>
        <v>33.270000000000003</v>
      </c>
      <c r="G177" s="2819">
        <f t="shared" si="12"/>
        <v>-17.728999999999971</v>
      </c>
      <c r="H177" s="2743">
        <f t="shared" si="13"/>
        <v>-1.1407888810243829</v>
      </c>
      <c r="I177" s="2758"/>
      <c r="J177" s="2266">
        <f t="shared" si="16"/>
        <v>53</v>
      </c>
      <c r="K177" s="3416">
        <f t="shared" si="14"/>
        <v>0</v>
      </c>
      <c r="L177" s="2745">
        <f t="shared" si="18"/>
        <v>295.39999999999998</v>
      </c>
      <c r="M177" s="2772">
        <f t="shared" si="15"/>
        <v>33.270000000000039</v>
      </c>
      <c r="N177" s="2266">
        <v>328.67</v>
      </c>
      <c r="Q177" s="1722">
        <v>650.12900000000002</v>
      </c>
    </row>
    <row r="178" spans="1:45" ht="39.6">
      <c r="A178" s="2736" t="s">
        <v>670</v>
      </c>
      <c r="B178" s="2679" t="s">
        <v>33</v>
      </c>
      <c r="C178" s="2810">
        <v>4.6890000000000001</v>
      </c>
      <c r="D178" s="2817"/>
      <c r="E178" s="2762">
        <f t="shared" si="17"/>
        <v>4.6879999999999953</v>
      </c>
      <c r="F178" s="2818">
        <f>28.75+8.61+2.97</f>
        <v>40.33</v>
      </c>
      <c r="G178" s="2819">
        <f t="shared" si="12"/>
        <v>-35.642000000000003</v>
      </c>
      <c r="H178" s="2743">
        <f t="shared" si="13"/>
        <v>-7.6028156996587111</v>
      </c>
      <c r="I178" s="2758"/>
      <c r="J178" s="2266">
        <f t="shared" si="16"/>
        <v>54</v>
      </c>
      <c r="K178" s="3416">
        <f t="shared" si="14"/>
        <v>0</v>
      </c>
      <c r="L178" s="2745">
        <f t="shared" si="18"/>
        <v>89.14</v>
      </c>
      <c r="M178" s="2772">
        <f t="shared" si="15"/>
        <v>40.33</v>
      </c>
      <c r="N178" s="2266">
        <v>129.47</v>
      </c>
      <c r="Q178" s="1722">
        <v>241.51599999999999</v>
      </c>
    </row>
    <row r="179" spans="1:45" s="1190" customFormat="1" ht="39.6">
      <c r="A179" s="2736" t="s">
        <v>671</v>
      </c>
      <c r="B179" s="2679" t="s">
        <v>33</v>
      </c>
      <c r="C179" s="3395">
        <v>1.54</v>
      </c>
      <c r="D179" s="2817"/>
      <c r="E179" s="3396">
        <f t="shared" si="17"/>
        <v>1.5389999999999953</v>
      </c>
      <c r="F179" s="2818">
        <v>1.1000000000000001</v>
      </c>
      <c r="G179" s="2819">
        <f t="shared" si="12"/>
        <v>0.43899999999999517</v>
      </c>
      <c r="H179" s="2743">
        <f t="shared" si="13"/>
        <v>0.28525016244314266</v>
      </c>
      <c r="I179" s="2778" t="s">
        <v>1560</v>
      </c>
      <c r="J179" s="1190">
        <f t="shared" si="16"/>
        <v>55</v>
      </c>
      <c r="K179" s="3416">
        <f t="shared" si="14"/>
        <v>-2.2204460492503131E-15</v>
      </c>
      <c r="L179" s="3341">
        <f t="shared" si="18"/>
        <v>29.270000000000003</v>
      </c>
      <c r="M179" s="1190">
        <f t="shared" si="15"/>
        <v>1.0999999999999979</v>
      </c>
      <c r="N179" s="1190">
        <v>30.37</v>
      </c>
      <c r="Q179" s="1724">
        <v>12.1</v>
      </c>
    </row>
    <row r="180" spans="1:45" s="1190" customFormat="1" ht="52.8">
      <c r="A180" s="2736" t="s">
        <v>672</v>
      </c>
      <c r="B180" s="2679" t="s">
        <v>33</v>
      </c>
      <c r="C180" s="3395">
        <v>35.023000000000003</v>
      </c>
      <c r="D180" s="2817"/>
      <c r="E180" s="3396">
        <f t="shared" si="17"/>
        <v>35.021000000000164</v>
      </c>
      <c r="F180" s="2818">
        <f>29.83+4.77-13.03+7.65+27.92+9.64</f>
        <v>66.78</v>
      </c>
      <c r="G180" s="2819">
        <f t="shared" si="12"/>
        <v>-31.758999999999837</v>
      </c>
      <c r="H180" s="2743">
        <f t="shared" si="13"/>
        <v>-0.90685588646811022</v>
      </c>
      <c r="I180" s="2758"/>
      <c r="J180" s="1190">
        <f t="shared" si="16"/>
        <v>56</v>
      </c>
      <c r="K180" s="3416">
        <f t="shared" si="14"/>
        <v>0</v>
      </c>
      <c r="L180" s="3341">
        <f t="shared" si="18"/>
        <v>665.77999999999986</v>
      </c>
      <c r="M180" s="1190">
        <f t="shared" si="15"/>
        <v>66.780000000000086</v>
      </c>
      <c r="N180" s="1190">
        <v>732.56</v>
      </c>
      <c r="Q180" s="1724">
        <v>576.58199999999999</v>
      </c>
    </row>
    <row r="181" spans="1:45" s="1190" customFormat="1" ht="52.8">
      <c r="A181" s="2736" t="s">
        <v>673</v>
      </c>
      <c r="B181" s="2679" t="s">
        <v>33</v>
      </c>
      <c r="C181" s="3395">
        <v>1E-3</v>
      </c>
      <c r="D181" s="2817"/>
      <c r="E181" s="3396">
        <f t="shared" si="17"/>
        <v>24.749999999999911</v>
      </c>
      <c r="F181" s="2818"/>
      <c r="G181" s="2819">
        <f t="shared" si="12"/>
        <v>24.749999999999911</v>
      </c>
      <c r="H181" s="2743">
        <f t="shared" si="13"/>
        <v>1</v>
      </c>
      <c r="I181" s="2758"/>
      <c r="J181" s="1190">
        <f t="shared" si="16"/>
        <v>57</v>
      </c>
      <c r="K181" s="3416">
        <f t="shared" si="14"/>
        <v>0</v>
      </c>
      <c r="L181" s="3341">
        <f t="shared" si="18"/>
        <v>446.68000000000006</v>
      </c>
      <c r="M181" s="1190">
        <f t="shared" si="15"/>
        <v>0</v>
      </c>
      <c r="N181" s="1190">
        <v>446.68</v>
      </c>
      <c r="Q181" s="1724">
        <v>933.99800000000005</v>
      </c>
    </row>
    <row r="182" spans="1:45" s="1190" customFormat="1" ht="26.4">
      <c r="A182" s="2736" t="s">
        <v>674</v>
      </c>
      <c r="B182" s="2679" t="s">
        <v>33</v>
      </c>
      <c r="C182" s="3395">
        <v>1E-3</v>
      </c>
      <c r="D182" s="2817"/>
      <c r="E182" s="3396">
        <f t="shared" si="17"/>
        <v>13.806000000000063</v>
      </c>
      <c r="F182" s="2818">
        <f>24.24+28.87+5.49-4.31+0.36</f>
        <v>54.65</v>
      </c>
      <c r="G182" s="2819">
        <f t="shared" si="12"/>
        <v>-40.843999999999937</v>
      </c>
      <c r="H182" s="2743">
        <f t="shared" si="13"/>
        <v>-2.9584238736780928</v>
      </c>
      <c r="I182" s="2683"/>
      <c r="J182" s="1190">
        <f t="shared" si="16"/>
        <v>58</v>
      </c>
      <c r="K182" s="3416">
        <f t="shared" si="14"/>
        <v>0</v>
      </c>
      <c r="L182" s="3341">
        <f t="shared" si="18"/>
        <v>740.9</v>
      </c>
      <c r="M182" s="1190">
        <f t="shared" si="15"/>
        <v>54.649999999999977</v>
      </c>
      <c r="N182" s="1190">
        <v>795.55</v>
      </c>
      <c r="Q182" s="1724">
        <v>1645.6279999999999</v>
      </c>
    </row>
    <row r="183" spans="1:45" ht="39.6">
      <c r="A183" s="2736" t="s">
        <v>675</v>
      </c>
      <c r="B183" s="2831" t="s">
        <v>33</v>
      </c>
      <c r="C183" s="2810">
        <v>2.0089999999999999</v>
      </c>
      <c r="D183" s="2817"/>
      <c r="E183" s="2762">
        <f t="shared" si="17"/>
        <v>31.167000000000002</v>
      </c>
      <c r="F183" s="2818">
        <f>3.53+0.6+3.11+2.28</f>
        <v>9.52</v>
      </c>
      <c r="G183" s="2819">
        <f t="shared" si="12"/>
        <v>21.647000000000002</v>
      </c>
      <c r="H183" s="2743">
        <f t="shared" si="13"/>
        <v>0.69454872140404922</v>
      </c>
      <c r="I183" s="2790"/>
      <c r="J183" s="2266">
        <f t="shared" si="16"/>
        <v>59</v>
      </c>
      <c r="K183" s="3416">
        <f t="shared" si="14"/>
        <v>0</v>
      </c>
      <c r="L183" s="2745">
        <f t="shared" si="18"/>
        <v>9.0399999999999991</v>
      </c>
      <c r="M183" s="2772">
        <f t="shared" si="15"/>
        <v>9.52</v>
      </c>
      <c r="N183" s="2266">
        <v>18.559999999999999</v>
      </c>
      <c r="Q183" s="1722">
        <v>0</v>
      </c>
    </row>
    <row r="184" spans="1:45" ht="28.5" customHeight="1">
      <c r="A184" s="2736" t="s">
        <v>676</v>
      </c>
      <c r="B184" s="2831" t="s">
        <v>33</v>
      </c>
      <c r="C184" s="2810">
        <v>0</v>
      </c>
      <c r="D184" s="2817"/>
      <c r="E184" s="2762">
        <f t="shared" si="17"/>
        <v>0</v>
      </c>
      <c r="F184" s="2818"/>
      <c r="G184" s="2819">
        <f t="shared" si="12"/>
        <v>0</v>
      </c>
      <c r="H184" s="2743" t="e">
        <f t="shared" si="13"/>
        <v>#DIV/0!</v>
      </c>
      <c r="I184" s="2695"/>
      <c r="J184" s="2266">
        <f t="shared" si="16"/>
        <v>60</v>
      </c>
      <c r="K184" s="3416">
        <f t="shared" si="14"/>
        <v>0</v>
      </c>
      <c r="L184" s="2745">
        <f t="shared" si="18"/>
        <v>0</v>
      </c>
      <c r="M184" s="2772">
        <f t="shared" si="15"/>
        <v>0</v>
      </c>
      <c r="N184" s="2266">
        <v>0</v>
      </c>
      <c r="Q184" s="1722">
        <v>0</v>
      </c>
    </row>
    <row r="185" spans="1:45">
      <c r="A185" s="2736" t="s">
        <v>91</v>
      </c>
      <c r="B185" s="2831" t="s">
        <v>33</v>
      </c>
      <c r="C185" s="2810">
        <v>3.0129999999999999</v>
      </c>
      <c r="D185" s="2817"/>
      <c r="E185" s="2762">
        <f t="shared" si="17"/>
        <v>42.633000000000003</v>
      </c>
      <c r="F185" s="2818"/>
      <c r="G185" s="2819">
        <f t="shared" si="12"/>
        <v>42.633000000000003</v>
      </c>
      <c r="H185" s="2743">
        <f t="shared" si="13"/>
        <v>1</v>
      </c>
      <c r="I185" s="2778" t="s">
        <v>1560</v>
      </c>
      <c r="J185" s="2266">
        <f t="shared" si="16"/>
        <v>61</v>
      </c>
      <c r="K185" s="3416">
        <f t="shared" si="14"/>
        <v>0</v>
      </c>
      <c r="L185" s="2745">
        <f t="shared" si="18"/>
        <v>17.649999999999999</v>
      </c>
      <c r="M185" s="2772">
        <f t="shared" si="15"/>
        <v>0</v>
      </c>
      <c r="N185" s="2266">
        <v>17.649999999999999</v>
      </c>
      <c r="Q185" s="1722">
        <v>0</v>
      </c>
    </row>
    <row r="186" spans="1:45" ht="26.4">
      <c r="A186" s="2736" t="s">
        <v>677</v>
      </c>
      <c r="B186" s="2831" t="s">
        <v>33</v>
      </c>
      <c r="C186" s="2810">
        <v>31.989000000000001</v>
      </c>
      <c r="D186" s="2817"/>
      <c r="E186" s="2762">
        <f t="shared" si="17"/>
        <v>65.621999999999815</v>
      </c>
      <c r="F186" s="2818">
        <f>3.66+2.19+0.82</f>
        <v>6.67</v>
      </c>
      <c r="G186" s="2819">
        <f t="shared" si="12"/>
        <v>58.951999999999813</v>
      </c>
      <c r="H186" s="2743">
        <f t="shared" si="13"/>
        <v>0.89835725823656665</v>
      </c>
      <c r="I186" s="2695"/>
      <c r="J186" s="2266">
        <f t="shared" si="16"/>
        <v>62</v>
      </c>
      <c r="K186" s="3416">
        <f t="shared" si="14"/>
        <v>-1.5454304502782179E-13</v>
      </c>
      <c r="L186" s="2745">
        <f t="shared" si="18"/>
        <v>574.47000000000014</v>
      </c>
      <c r="M186" s="2832">
        <f>+N186-L186</f>
        <v>6.6699999999998454</v>
      </c>
      <c r="N186" s="2266">
        <v>581.14</v>
      </c>
      <c r="Q186" s="1722">
        <v>9.0549999999999997</v>
      </c>
    </row>
    <row r="187" spans="1:45">
      <c r="A187" s="2736" t="s">
        <v>832</v>
      </c>
      <c r="B187" s="2831" t="s">
        <v>33</v>
      </c>
      <c r="C187" s="2810">
        <v>4.1500000000000004</v>
      </c>
      <c r="D187" s="2817"/>
      <c r="E187" s="2762">
        <f t="shared" si="17"/>
        <v>62.499999999999986</v>
      </c>
      <c r="F187" s="2818">
        <v>156.43</v>
      </c>
      <c r="G187" s="2819">
        <f t="shared" si="12"/>
        <v>-93.930000000000021</v>
      </c>
      <c r="H187" s="2743">
        <f t="shared" si="13"/>
        <v>-1.5028800000000007</v>
      </c>
      <c r="I187" s="2695"/>
      <c r="K187" s="3416">
        <f t="shared" si="14"/>
        <v>2.9999999999859028E-3</v>
      </c>
      <c r="L187" s="2745">
        <f t="shared" si="18"/>
        <v>20.549000000000014</v>
      </c>
      <c r="M187" s="2832">
        <f>+N187-L187</f>
        <v>156.43299999999999</v>
      </c>
      <c r="N187" s="2266">
        <v>176.982</v>
      </c>
      <c r="Q187" s="1722"/>
    </row>
    <row r="188" spans="1:45" ht="13.8" thickBot="1">
      <c r="A188" s="2736" t="s">
        <v>693</v>
      </c>
      <c r="B188" s="2831" t="s">
        <v>33</v>
      </c>
      <c r="C188" s="2810">
        <f>0+1.916+0</f>
        <v>1.9159999999999999</v>
      </c>
      <c r="D188" s="2817"/>
      <c r="E188" s="2762">
        <f t="shared" ref="E188" si="19">+C188+G121+D188</f>
        <v>-5.3079999999999607</v>
      </c>
      <c r="F188" s="2818">
        <f>27.524+198.46+41.73+5.92+79.55+13.22+0.82+6.55+6.13+21.42+47.41+4.64+0.3+3.3</f>
        <v>456.97400000000005</v>
      </c>
      <c r="G188" s="2819">
        <f t="shared" si="12"/>
        <v>-462.28199999999998</v>
      </c>
      <c r="H188" s="2743">
        <f t="shared" si="13"/>
        <v>87.091559909571103</v>
      </c>
      <c r="I188" s="2695"/>
      <c r="K188" s="3416">
        <f t="shared" si="14"/>
        <v>-4.9999999998817657E-3</v>
      </c>
      <c r="L188" s="2745">
        <f t="shared" ref="L188" si="20">+F121</f>
        <v>224.70399999999998</v>
      </c>
      <c r="M188" s="2772">
        <f t="shared" si="15"/>
        <v>456.96900000000016</v>
      </c>
      <c r="N188" s="2266">
        <v>681.67300000000012</v>
      </c>
      <c r="Q188" s="1722"/>
    </row>
    <row r="189" spans="1:45" ht="15" customHeight="1" thickBot="1">
      <c r="A189" s="2688" t="s">
        <v>50</v>
      </c>
      <c r="B189" s="2689" t="s">
        <v>33</v>
      </c>
      <c r="C189" s="2833">
        <f>SUM(C125:C188)</f>
        <v>700.43899999999985</v>
      </c>
      <c r="D189" s="2833">
        <f>SUM(D125:D188)</f>
        <v>0</v>
      </c>
      <c r="E189" s="2834">
        <f>SUM(E125:E188)</f>
        <v>1350.5570000000002</v>
      </c>
      <c r="F189" s="2691">
        <f>SUM(F125:F188)</f>
        <v>2182.134</v>
      </c>
      <c r="G189" s="2835">
        <f>SUM(G125:G188)</f>
        <v>-831.57700000000023</v>
      </c>
      <c r="H189" s="2743">
        <f>+G189/E189</f>
        <v>-0.61572891777244509</v>
      </c>
      <c r="I189" s="2695"/>
      <c r="K189" s="3509">
        <f>SUM(K125:K188)</f>
        <v>-2.0000000000801599E-3</v>
      </c>
      <c r="L189" s="2181">
        <f>SUM(L125:L188)</f>
        <v>15355.553000000002</v>
      </c>
      <c r="M189" s="2178">
        <f>SUM(M125:M188)</f>
        <v>2182.1319999999996</v>
      </c>
      <c r="N189" s="2178">
        <f>SUM(N125:N188)</f>
        <v>17537.684999999998</v>
      </c>
      <c r="P189" s="3397" t="s">
        <v>1535</v>
      </c>
      <c r="Q189" s="3401">
        <f>SUM(Q125:Q188)</f>
        <v>19380.537000000004</v>
      </c>
    </row>
    <row r="190" spans="1:45" ht="15" customHeight="1">
      <c r="A190" s="2806"/>
      <c r="B190" s="2732"/>
      <c r="C190" s="2730">
        <f>+G122+C189</f>
        <v>1350.5570000000002</v>
      </c>
      <c r="D190" s="2730"/>
      <c r="E190" s="3510" t="s">
        <v>1591</v>
      </c>
      <c r="F190" s="3511">
        <f>+F189+F122</f>
        <v>17537.687000000002</v>
      </c>
      <c r="G190" s="2836"/>
      <c r="H190" s="2837"/>
    </row>
    <row r="191" spans="1:45" ht="15" customHeight="1">
      <c r="A191" s="3802" t="s">
        <v>53</v>
      </c>
      <c r="B191" s="3803"/>
      <c r="C191" s="2838"/>
      <c r="D191" s="2838"/>
      <c r="E191" s="2838"/>
      <c r="F191" s="2839"/>
      <c r="G191" s="2732"/>
      <c r="H191" s="2712"/>
      <c r="K191" s="2414"/>
      <c r="L191" s="3796" t="s">
        <v>819</v>
      </c>
      <c r="M191" s="3797"/>
      <c r="N191" s="3797"/>
      <c r="O191" s="3797"/>
      <c r="P191" s="3797"/>
      <c r="Q191" s="3797"/>
      <c r="R191" s="3797"/>
      <c r="S191" s="3797"/>
      <c r="T191" s="3797"/>
      <c r="U191" s="3797"/>
      <c r="V191" s="3797"/>
      <c r="W191" s="3797"/>
      <c r="X191" s="3797"/>
      <c r="Y191" s="3797"/>
      <c r="Z191" s="3797"/>
      <c r="AA191" s="3797"/>
      <c r="AB191" s="3797"/>
      <c r="AC191" s="3798"/>
      <c r="AD191" s="2712"/>
      <c r="AE191" s="2712"/>
      <c r="AF191" s="2712"/>
      <c r="AG191" s="2712"/>
      <c r="AH191" s="2712"/>
      <c r="AI191" s="2712"/>
      <c r="AJ191" s="2712"/>
      <c r="AK191" s="2712"/>
      <c r="AL191" s="2712"/>
      <c r="AM191" s="2712"/>
      <c r="AN191" s="2712"/>
      <c r="AO191" s="2712"/>
      <c r="AP191" s="2712"/>
      <c r="AQ191" s="2712"/>
      <c r="AR191" s="2712"/>
    </row>
    <row r="192" spans="1:45" ht="5.0999999999999996" customHeight="1">
      <c r="A192" s="2712"/>
      <c r="B192" s="2732"/>
      <c r="C192" s="2838"/>
      <c r="D192" s="2838"/>
      <c r="E192" s="2838"/>
      <c r="F192" s="2839"/>
      <c r="G192" s="2732"/>
      <c r="H192" s="2712"/>
      <c r="L192" s="2840"/>
      <c r="M192" s="2841"/>
      <c r="N192" s="2842"/>
      <c r="O192" s="2843"/>
      <c r="P192" s="2843"/>
      <c r="Q192" s="3402"/>
      <c r="R192" s="2843"/>
      <c r="S192" s="2843"/>
      <c r="T192" s="2843"/>
      <c r="U192" s="2843"/>
      <c r="V192" s="2843"/>
      <c r="W192" s="2843"/>
      <c r="X192" s="2843"/>
      <c r="Y192" s="2843"/>
      <c r="Z192" s="2843"/>
      <c r="AA192" s="2843"/>
      <c r="AB192" s="2843"/>
      <c r="AC192" s="2843"/>
      <c r="AD192" s="2843"/>
      <c r="AE192" s="2843"/>
      <c r="AF192" s="2843"/>
      <c r="AG192" s="2843"/>
      <c r="AH192" s="2843"/>
      <c r="AI192" s="2843"/>
      <c r="AJ192" s="2843"/>
      <c r="AK192" s="2843"/>
      <c r="AL192" s="2843"/>
      <c r="AM192" s="2843"/>
      <c r="AN192" s="2843"/>
      <c r="AO192" s="2843"/>
      <c r="AP192" s="2843"/>
      <c r="AQ192" s="2843"/>
      <c r="AR192" s="2843"/>
      <c r="AS192" s="2842"/>
    </row>
    <row r="193" spans="1:45" ht="15" customHeight="1">
      <c r="A193" s="2733" t="s">
        <v>45</v>
      </c>
      <c r="B193" s="2733" t="s">
        <v>46</v>
      </c>
      <c r="C193" s="2734" t="s">
        <v>47</v>
      </c>
      <c r="D193" s="2734" t="s">
        <v>313</v>
      </c>
      <c r="E193" s="2734" t="s">
        <v>48</v>
      </c>
      <c r="F193" s="2733" t="s">
        <v>19</v>
      </c>
      <c r="G193" s="2733" t="s">
        <v>20</v>
      </c>
      <c r="H193" s="2733" t="s">
        <v>49</v>
      </c>
      <c r="I193" s="2735" t="s">
        <v>22</v>
      </c>
      <c r="L193" s="3799" t="s">
        <v>818</v>
      </c>
      <c r="M193" s="3800"/>
      <c r="N193" s="3800"/>
      <c r="O193" s="3800"/>
      <c r="P193" s="3800"/>
      <c r="Q193" s="3800"/>
      <c r="R193" s="3800"/>
      <c r="S193" s="3801"/>
      <c r="T193" s="2844"/>
      <c r="U193" s="2845"/>
      <c r="V193" s="2845"/>
      <c r="W193" s="2845"/>
      <c r="X193" s="2845"/>
      <c r="Y193" s="2845"/>
      <c r="Z193" s="2845"/>
      <c r="AA193" s="2845"/>
      <c r="AB193" s="2845"/>
      <c r="AC193" s="2845"/>
      <c r="AD193" s="2712"/>
      <c r="AE193" s="2712"/>
      <c r="AF193" s="2712"/>
      <c r="AG193" s="2712"/>
      <c r="AH193" s="2712"/>
      <c r="AI193" s="2712"/>
      <c r="AJ193" s="2712"/>
      <c r="AK193" s="2712"/>
      <c r="AL193" s="2712"/>
      <c r="AM193" s="2712"/>
      <c r="AN193" s="2712"/>
      <c r="AO193" s="2712"/>
      <c r="AP193" s="2712"/>
      <c r="AQ193" s="2712"/>
      <c r="AR193" s="2712"/>
      <c r="AS193" s="2712"/>
    </row>
    <row r="194" spans="1:45" ht="15" customHeight="1">
      <c r="A194" s="2846" t="s">
        <v>123</v>
      </c>
      <c r="B194" s="2791" t="s">
        <v>31</v>
      </c>
      <c r="C194" s="2771">
        <v>156.30500000000001</v>
      </c>
      <c r="D194" s="2847"/>
      <c r="E194" s="2848">
        <f>+C194+D194</f>
        <v>156.30500000000001</v>
      </c>
      <c r="F194" s="2812">
        <f>+SUM('RAE Anchoveta'!B141:B144)</f>
        <v>26.991000000000003</v>
      </c>
      <c r="G194" s="2849">
        <f>+E194-F194</f>
        <v>129.31399999999999</v>
      </c>
      <c r="H194" s="2743">
        <f>1-+F194/E194</f>
        <v>0.82731838392885704</v>
      </c>
      <c r="I194" s="2850"/>
      <c r="L194" s="1722" t="s">
        <v>70</v>
      </c>
      <c r="M194" s="1722" t="s">
        <v>71</v>
      </c>
      <c r="N194" s="1723">
        <v>1</v>
      </c>
      <c r="O194" s="1723">
        <v>2</v>
      </c>
      <c r="P194" s="1723">
        <v>3</v>
      </c>
      <c r="Q194" s="1723">
        <v>4</v>
      </c>
      <c r="R194" s="1723">
        <v>5</v>
      </c>
      <c r="S194" s="1723">
        <v>6</v>
      </c>
      <c r="T194" s="1723">
        <v>7</v>
      </c>
      <c r="U194" s="1723">
        <v>8</v>
      </c>
      <c r="V194" s="1723">
        <v>9</v>
      </c>
      <c r="W194" s="1723">
        <v>10</v>
      </c>
      <c r="X194" s="1723">
        <v>11</v>
      </c>
      <c r="Y194" s="1723">
        <v>12</v>
      </c>
      <c r="Z194" s="1723">
        <v>13</v>
      </c>
      <c r="AA194" s="1723">
        <v>14</v>
      </c>
      <c r="AB194" s="1723">
        <v>15</v>
      </c>
      <c r="AC194" s="1723">
        <v>16</v>
      </c>
      <c r="AD194" s="1723">
        <v>17</v>
      </c>
      <c r="AE194" s="1723">
        <v>18</v>
      </c>
      <c r="AF194" s="1723">
        <v>19</v>
      </c>
      <c r="AG194" s="1723">
        <v>20</v>
      </c>
      <c r="AH194" s="1723">
        <v>21</v>
      </c>
      <c r="AI194" s="1723">
        <v>22</v>
      </c>
      <c r="AJ194" s="1723">
        <v>23</v>
      </c>
      <c r="AK194" s="1723">
        <v>24</v>
      </c>
      <c r="AL194" s="1723">
        <v>25</v>
      </c>
      <c r="AM194" s="1723">
        <v>26</v>
      </c>
      <c r="AN194" s="1723">
        <v>27</v>
      </c>
      <c r="AO194" s="1723">
        <v>28</v>
      </c>
      <c r="AP194" s="1723">
        <v>29</v>
      </c>
      <c r="AQ194" s="1723">
        <v>30</v>
      </c>
      <c r="AR194" s="1723">
        <v>31</v>
      </c>
      <c r="AS194" s="1771" t="s">
        <v>72</v>
      </c>
    </row>
    <row r="195" spans="1:45" ht="15" customHeight="1">
      <c r="A195" s="2846" t="s">
        <v>54</v>
      </c>
      <c r="B195" s="2791" t="s">
        <v>31</v>
      </c>
      <c r="C195" s="2771">
        <v>585.65899999999999</v>
      </c>
      <c r="D195" s="2747"/>
      <c r="E195" s="2848">
        <f t="shared" ref="E195:E210" si="21">+C195+D195</f>
        <v>585.65899999999999</v>
      </c>
      <c r="F195" s="2812">
        <f>+SUM('RAE Anchoveta'!B157:B160)</f>
        <v>349.77500000000003</v>
      </c>
      <c r="G195" s="2849">
        <f t="shared" ref="G195:G210" si="22">+E195-F195</f>
        <v>235.88399999999996</v>
      </c>
      <c r="H195" s="2743">
        <f t="shared" ref="H195:H210" si="23">1-+F195/E195</f>
        <v>0.40276679774407964</v>
      </c>
      <c r="I195" s="2826"/>
      <c r="L195" s="2851" t="s">
        <v>73</v>
      </c>
      <c r="M195" s="2852">
        <f t="shared" ref="M195:M206" si="24">+AS195</f>
        <v>0</v>
      </c>
      <c r="N195" s="2853"/>
      <c r="O195" s="2853"/>
      <c r="P195" s="2853"/>
      <c r="Q195" s="2853"/>
      <c r="R195" s="2853"/>
      <c r="S195" s="2853"/>
      <c r="T195" s="2853"/>
      <c r="U195" s="2853"/>
      <c r="V195" s="2854"/>
      <c r="W195" s="2853"/>
      <c r="X195" s="2853"/>
      <c r="Y195" s="2853"/>
      <c r="Z195" s="2853"/>
      <c r="AA195" s="2853"/>
      <c r="AB195" s="2853"/>
      <c r="AC195" s="2853"/>
      <c r="AD195" s="2853"/>
      <c r="AE195" s="2853"/>
      <c r="AF195" s="2853"/>
      <c r="AG195" s="2853"/>
      <c r="AH195" s="2853"/>
      <c r="AI195" s="2853"/>
      <c r="AJ195" s="2853"/>
      <c r="AK195" s="2853"/>
      <c r="AL195" s="2853"/>
      <c r="AM195" s="2853"/>
      <c r="AN195" s="2853"/>
      <c r="AO195" s="2853"/>
      <c r="AP195" s="2853"/>
      <c r="AQ195" s="2853"/>
      <c r="AR195" s="2853"/>
      <c r="AS195" s="2380">
        <f>SUM(N195:AR195)</f>
        <v>0</v>
      </c>
    </row>
    <row r="196" spans="1:45" ht="15" customHeight="1">
      <c r="A196" s="2846" t="s">
        <v>124</v>
      </c>
      <c r="B196" s="2791" t="s">
        <v>31</v>
      </c>
      <c r="C196" s="2771">
        <v>220.78100000000001</v>
      </c>
      <c r="D196" s="2771"/>
      <c r="E196" s="2848">
        <f t="shared" si="21"/>
        <v>220.78100000000001</v>
      </c>
      <c r="F196" s="2812">
        <f>+SUM('RAE Anchoveta'!B173:B176)</f>
        <v>30.505000000000003</v>
      </c>
      <c r="G196" s="2849">
        <f t="shared" si="22"/>
        <v>190.27600000000001</v>
      </c>
      <c r="H196" s="2743">
        <f t="shared" si="23"/>
        <v>0.8618314075939506</v>
      </c>
      <c r="I196" s="2826"/>
      <c r="L196" s="2851" t="s">
        <v>74</v>
      </c>
      <c r="M196" s="2852">
        <f t="shared" si="24"/>
        <v>672.2829999999999</v>
      </c>
      <c r="N196" s="2853"/>
      <c r="O196" s="2853"/>
      <c r="P196" s="2853"/>
      <c r="Q196" s="2853"/>
      <c r="R196" s="2853"/>
      <c r="S196" s="2853"/>
      <c r="T196" s="2853"/>
      <c r="U196" s="2853">
        <v>152.489</v>
      </c>
      <c r="V196" s="2380">
        <v>30.119</v>
      </c>
      <c r="W196" s="2374">
        <v>135.631</v>
      </c>
      <c r="X196" s="2853">
        <v>40.659999999999997</v>
      </c>
      <c r="Y196" s="2374">
        <v>2.2850000000000001</v>
      </c>
      <c r="Z196" s="2374">
        <v>0</v>
      </c>
      <c r="AA196" s="2374">
        <v>17.297999999999998</v>
      </c>
      <c r="AB196" s="2374">
        <v>22.933</v>
      </c>
      <c r="AC196" s="2853">
        <v>116.09399999999999</v>
      </c>
      <c r="AD196" s="2374">
        <v>85.126999999999995</v>
      </c>
      <c r="AE196" s="2374">
        <v>11.164999999999999</v>
      </c>
      <c r="AF196" s="2374">
        <v>15.739000000000001</v>
      </c>
      <c r="AG196" s="2374">
        <v>23.187000000000001</v>
      </c>
      <c r="AH196" s="2853">
        <v>0</v>
      </c>
      <c r="AI196" s="2853">
        <v>0</v>
      </c>
      <c r="AJ196" s="2853">
        <v>0</v>
      </c>
      <c r="AK196" s="2853">
        <v>0</v>
      </c>
      <c r="AL196" s="2853">
        <v>0</v>
      </c>
      <c r="AM196" s="2853">
        <v>0</v>
      </c>
      <c r="AN196" s="2853">
        <v>2.5000000000000001E-2</v>
      </c>
      <c r="AO196" s="2853">
        <v>19.530999999999999</v>
      </c>
      <c r="AP196" s="2853"/>
      <c r="AQ196" s="2853"/>
      <c r="AR196" s="2853"/>
      <c r="AS196" s="2380">
        <f t="shared" ref="AS196:AS206" si="25">SUM(N196:AR196)</f>
        <v>672.2829999999999</v>
      </c>
    </row>
    <row r="197" spans="1:45" ht="15" customHeight="1">
      <c r="A197" s="2846" t="s">
        <v>55</v>
      </c>
      <c r="B197" s="2791" t="s">
        <v>31</v>
      </c>
      <c r="C197" s="2771">
        <v>165.63399999999999</v>
      </c>
      <c r="D197" s="2771"/>
      <c r="E197" s="2848">
        <f t="shared" si="21"/>
        <v>165.63399999999999</v>
      </c>
      <c r="F197" s="2812">
        <f>+SUM('RAE Anchoveta'!B189:B192)</f>
        <v>59.419000000000011</v>
      </c>
      <c r="G197" s="2849">
        <f t="shared" si="22"/>
        <v>106.21499999999997</v>
      </c>
      <c r="H197" s="2743">
        <f t="shared" si="23"/>
        <v>0.64126326720359339</v>
      </c>
      <c r="I197" s="2826"/>
      <c r="L197" s="2851" t="s">
        <v>75</v>
      </c>
      <c r="M197" s="2852">
        <f t="shared" si="24"/>
        <v>46.72699999999999</v>
      </c>
      <c r="N197" s="2853">
        <v>35.543999999999997</v>
      </c>
      <c r="O197" s="2853">
        <v>9.8889999999999993</v>
      </c>
      <c r="P197" s="2853">
        <v>0</v>
      </c>
      <c r="Q197" s="2853">
        <v>0</v>
      </c>
      <c r="R197" s="2853">
        <v>0</v>
      </c>
      <c r="S197" s="2855">
        <v>1.294</v>
      </c>
      <c r="T197" s="2855">
        <v>0</v>
      </c>
      <c r="U197" s="2855">
        <v>0</v>
      </c>
      <c r="V197" s="2856">
        <v>0</v>
      </c>
      <c r="W197" s="2855"/>
      <c r="X197" s="2855"/>
      <c r="Y197" s="2855"/>
      <c r="Z197" s="2855"/>
      <c r="AA197" s="2855"/>
      <c r="AB197" s="2855"/>
      <c r="AC197" s="2855"/>
      <c r="AD197" s="2855"/>
      <c r="AE197" s="2855"/>
      <c r="AF197" s="2855"/>
      <c r="AG197" s="2855"/>
      <c r="AH197" s="2855"/>
      <c r="AI197" s="2855"/>
      <c r="AJ197" s="2855"/>
      <c r="AK197" s="2855"/>
      <c r="AL197" s="2855"/>
      <c r="AM197" s="2855"/>
      <c r="AN197" s="2853"/>
      <c r="AO197" s="2853"/>
      <c r="AP197" s="2853"/>
      <c r="AQ197" s="2853"/>
      <c r="AR197" s="2853"/>
      <c r="AS197" s="2380">
        <f>SUM(N197:AR197)</f>
        <v>46.72699999999999</v>
      </c>
    </row>
    <row r="198" spans="1:45" ht="15" customHeight="1">
      <c r="A198" s="2846" t="s">
        <v>56</v>
      </c>
      <c r="B198" s="2791" t="s">
        <v>31</v>
      </c>
      <c r="C198" s="2771">
        <v>0</v>
      </c>
      <c r="D198" s="2747"/>
      <c r="E198" s="2848">
        <f t="shared" si="21"/>
        <v>0</v>
      </c>
      <c r="F198" s="2812">
        <f>+SUM('RAE Anchoveta'!B205:B208)</f>
        <v>0</v>
      </c>
      <c r="G198" s="2849">
        <f t="shared" si="22"/>
        <v>0</v>
      </c>
      <c r="H198" s="2743" t="e">
        <f t="shared" si="23"/>
        <v>#DIV/0!</v>
      </c>
      <c r="I198" s="2826"/>
      <c r="L198" s="2851" t="s">
        <v>76</v>
      </c>
      <c r="M198" s="2852">
        <f t="shared" si="24"/>
        <v>0</v>
      </c>
      <c r="N198" s="2853"/>
      <c r="O198" s="2853"/>
      <c r="P198" s="2853"/>
      <c r="Q198" s="2853"/>
      <c r="R198" s="2853"/>
      <c r="S198" s="2853"/>
      <c r="T198" s="2853"/>
      <c r="U198" s="2853"/>
      <c r="V198" s="2853"/>
      <c r="W198" s="2855"/>
      <c r="X198" s="2855"/>
      <c r="Y198" s="2855"/>
      <c r="Z198" s="2855"/>
      <c r="AA198" s="2855"/>
      <c r="AB198" s="2855"/>
      <c r="AC198" s="2855"/>
      <c r="AD198" s="2855"/>
      <c r="AE198" s="2855"/>
      <c r="AF198" s="2855"/>
      <c r="AG198" s="2855"/>
      <c r="AH198" s="2855"/>
      <c r="AI198" s="2855"/>
      <c r="AJ198" s="2855"/>
      <c r="AK198" s="2855"/>
      <c r="AL198" s="2855"/>
      <c r="AM198" s="2855"/>
      <c r="AN198" s="2855"/>
      <c r="AO198" s="2855"/>
      <c r="AP198" s="2855"/>
      <c r="AQ198" s="2855"/>
      <c r="AR198" s="2855"/>
      <c r="AS198" s="2380">
        <f t="shared" si="25"/>
        <v>0</v>
      </c>
    </row>
    <row r="199" spans="1:45" ht="15" customHeight="1">
      <c r="A199" s="2846" t="s">
        <v>125</v>
      </c>
      <c r="B199" s="2791" t="s">
        <v>31</v>
      </c>
      <c r="C199" s="2771">
        <v>0</v>
      </c>
      <c r="D199" s="2771"/>
      <c r="E199" s="2848">
        <f t="shared" si="21"/>
        <v>0</v>
      </c>
      <c r="F199" s="2812">
        <f>+SUM('RAE Anchoveta'!B221:B224)</f>
        <v>0</v>
      </c>
      <c r="G199" s="2849">
        <f t="shared" si="22"/>
        <v>0</v>
      </c>
      <c r="H199" s="2743" t="e">
        <f t="shared" si="23"/>
        <v>#DIV/0!</v>
      </c>
      <c r="I199" s="2826"/>
      <c r="L199" s="2857" t="s">
        <v>77</v>
      </c>
      <c r="M199" s="2852">
        <f t="shared" si="24"/>
        <v>0</v>
      </c>
      <c r="N199" s="2853"/>
      <c r="O199" s="2853"/>
      <c r="P199" s="2853"/>
      <c r="Q199" s="2853"/>
      <c r="R199" s="2853"/>
      <c r="S199" s="2853"/>
      <c r="T199" s="2853"/>
      <c r="U199" s="2855"/>
      <c r="V199" s="2855"/>
      <c r="W199" s="2855"/>
      <c r="X199" s="2855"/>
      <c r="Y199" s="2855"/>
      <c r="Z199" s="2855"/>
      <c r="AA199" s="2855"/>
      <c r="AB199" s="2855"/>
      <c r="AC199" s="2855"/>
      <c r="AD199" s="2855"/>
      <c r="AE199" s="2855"/>
      <c r="AF199" s="2855"/>
      <c r="AG199" s="2855"/>
      <c r="AH199" s="2855"/>
      <c r="AI199" s="2855"/>
      <c r="AJ199" s="2855"/>
      <c r="AK199" s="2855"/>
      <c r="AL199" s="2855"/>
      <c r="AM199" s="2855"/>
      <c r="AN199" s="2855"/>
      <c r="AO199" s="2855"/>
      <c r="AP199" s="2855"/>
      <c r="AQ199" s="2855"/>
      <c r="AR199" s="2855"/>
      <c r="AS199" s="2380">
        <f t="shared" si="25"/>
        <v>0</v>
      </c>
    </row>
    <row r="200" spans="1:45" ht="15" customHeight="1">
      <c r="A200" s="3521" t="s">
        <v>100</v>
      </c>
      <c r="B200" s="2791" t="s">
        <v>31</v>
      </c>
      <c r="C200" s="2771">
        <v>0</v>
      </c>
      <c r="D200" s="2771"/>
      <c r="E200" s="2848">
        <f t="shared" si="21"/>
        <v>0</v>
      </c>
      <c r="F200" s="2812">
        <f>+SUM('RAE Anchoveta'!B237:B240)</f>
        <v>0</v>
      </c>
      <c r="G200" s="2849">
        <f t="shared" si="22"/>
        <v>0</v>
      </c>
      <c r="H200" s="2743" t="e">
        <f t="shared" si="23"/>
        <v>#DIV/0!</v>
      </c>
      <c r="I200" s="2826"/>
      <c r="L200" s="2857" t="s">
        <v>78</v>
      </c>
      <c r="M200" s="2852">
        <f t="shared" si="24"/>
        <v>0</v>
      </c>
      <c r="N200" s="2855"/>
      <c r="O200" s="2855"/>
      <c r="P200" s="2855"/>
      <c r="Q200" s="2853"/>
      <c r="R200" s="2855"/>
      <c r="S200" s="2853"/>
      <c r="T200" s="2853"/>
      <c r="U200" s="2853"/>
      <c r="V200" s="2853"/>
      <c r="W200" s="2853"/>
      <c r="X200" s="2853"/>
      <c r="Y200" s="2853"/>
      <c r="Z200" s="2853"/>
      <c r="AA200" s="2853"/>
      <c r="AB200" s="2853"/>
      <c r="AC200" s="2853"/>
      <c r="AD200" s="2853"/>
      <c r="AE200" s="2853"/>
      <c r="AF200" s="2853"/>
      <c r="AG200" s="2853"/>
      <c r="AH200" s="2853"/>
      <c r="AI200" s="2853"/>
      <c r="AJ200" s="2855"/>
      <c r="AK200" s="2855"/>
      <c r="AL200" s="2855"/>
      <c r="AM200" s="2855"/>
      <c r="AN200" s="2855"/>
      <c r="AO200" s="2855"/>
      <c r="AP200" s="2855"/>
      <c r="AQ200" s="2855"/>
      <c r="AR200" s="2855"/>
      <c r="AS200" s="2380">
        <f t="shared" si="25"/>
        <v>0</v>
      </c>
    </row>
    <row r="201" spans="1:45" ht="15" customHeight="1">
      <c r="A201" s="2846" t="s">
        <v>960</v>
      </c>
      <c r="B201" s="2791" t="s">
        <v>31</v>
      </c>
      <c r="C201" s="2771">
        <v>0</v>
      </c>
      <c r="D201" s="2858"/>
      <c r="E201" s="2848">
        <f t="shared" si="21"/>
        <v>0</v>
      </c>
      <c r="F201" s="2812">
        <f>+SUM('RAE Anchoveta'!B253:B256)</f>
        <v>0</v>
      </c>
      <c r="G201" s="2849">
        <f t="shared" si="22"/>
        <v>0</v>
      </c>
      <c r="H201" s="2743" t="e">
        <f t="shared" si="23"/>
        <v>#DIV/0!</v>
      </c>
      <c r="I201" s="2826"/>
      <c r="L201" s="2857" t="s">
        <v>79</v>
      </c>
      <c r="M201" s="2852">
        <f t="shared" si="24"/>
        <v>0</v>
      </c>
      <c r="N201" s="2853"/>
      <c r="O201" s="2855"/>
      <c r="P201" s="2855"/>
      <c r="Q201" s="2853"/>
      <c r="R201" s="2853"/>
      <c r="S201" s="2853"/>
      <c r="T201" s="2853"/>
      <c r="U201" s="2853"/>
      <c r="V201" s="2853"/>
      <c r="W201" s="2853"/>
      <c r="X201" s="2853"/>
      <c r="Y201" s="2853"/>
      <c r="Z201" s="2853"/>
      <c r="AA201" s="2853"/>
      <c r="AB201" s="2853"/>
      <c r="AC201" s="2853"/>
      <c r="AD201" s="2853"/>
      <c r="AE201" s="2853"/>
      <c r="AF201" s="2853"/>
      <c r="AG201" s="2853"/>
      <c r="AH201" s="2853"/>
      <c r="AI201" s="2853"/>
      <c r="AJ201" s="2855"/>
      <c r="AK201" s="2855"/>
      <c r="AL201" s="2855"/>
      <c r="AM201" s="2855"/>
      <c r="AN201" s="2855"/>
      <c r="AO201" s="2855"/>
      <c r="AP201" s="2855"/>
      <c r="AQ201" s="2855"/>
      <c r="AR201" s="2855"/>
      <c r="AS201" s="2380">
        <f t="shared" si="25"/>
        <v>0</v>
      </c>
    </row>
    <row r="202" spans="1:45" ht="15" customHeight="1">
      <c r="A202" s="2846" t="s">
        <v>1288</v>
      </c>
      <c r="B202" s="2791" t="s">
        <v>31</v>
      </c>
      <c r="C202" s="2771">
        <v>559.93600000000004</v>
      </c>
      <c r="D202" s="2771"/>
      <c r="E202" s="2848">
        <f t="shared" si="21"/>
        <v>559.93600000000004</v>
      </c>
      <c r="F202" s="2812">
        <f>+SUM('RAE Anchoveta'!B269:B272)</f>
        <v>308.7</v>
      </c>
      <c r="G202" s="2849">
        <f t="shared" si="22"/>
        <v>251.23600000000005</v>
      </c>
      <c r="H202" s="2743">
        <f t="shared" si="23"/>
        <v>0.44868699279917712</v>
      </c>
      <c r="I202" s="2826"/>
      <c r="L202" s="2857" t="s">
        <v>80</v>
      </c>
      <c r="M202" s="2852">
        <f t="shared" si="24"/>
        <v>0</v>
      </c>
      <c r="N202" s="2853"/>
      <c r="O202" s="2853"/>
      <c r="P202" s="2853"/>
      <c r="Q202" s="2853"/>
      <c r="R202" s="2853"/>
      <c r="S202" s="2853"/>
      <c r="T202" s="2853"/>
      <c r="U202" s="2859"/>
      <c r="V202" s="2853"/>
      <c r="W202" s="2853"/>
      <c r="X202" s="2853"/>
      <c r="Y202" s="2853"/>
      <c r="Z202" s="2853"/>
      <c r="AA202" s="2853"/>
      <c r="AB202" s="2853"/>
      <c r="AC202" s="2853"/>
      <c r="AD202" s="2853"/>
      <c r="AE202" s="2853"/>
      <c r="AF202" s="2853"/>
      <c r="AG202" s="2853"/>
      <c r="AH202" s="2853"/>
      <c r="AI202" s="2853"/>
      <c r="AJ202" s="2853"/>
      <c r="AK202" s="2853"/>
      <c r="AL202" s="2853"/>
      <c r="AM202" s="2853"/>
      <c r="AN202" s="2853"/>
      <c r="AO202" s="2853"/>
      <c r="AP202" s="2853"/>
      <c r="AQ202" s="2853"/>
      <c r="AR202" s="2853"/>
      <c r="AS202" s="2380">
        <f t="shared" si="25"/>
        <v>0</v>
      </c>
    </row>
    <row r="203" spans="1:45" ht="15" customHeight="1">
      <c r="A203" s="2846" t="s">
        <v>101</v>
      </c>
      <c r="B203" s="2791" t="s">
        <v>31</v>
      </c>
      <c r="C203" s="2771">
        <v>0</v>
      </c>
      <c r="D203" s="2747"/>
      <c r="E203" s="2848">
        <f t="shared" si="21"/>
        <v>0</v>
      </c>
      <c r="F203" s="2812">
        <f>+SUM('RAE Anchoveta'!B285:B288)</f>
        <v>0</v>
      </c>
      <c r="G203" s="2849">
        <f t="shared" si="22"/>
        <v>0</v>
      </c>
      <c r="H203" s="2743" t="e">
        <f t="shared" si="23"/>
        <v>#DIV/0!</v>
      </c>
      <c r="I203" s="2826"/>
      <c r="L203" s="2860" t="s">
        <v>81</v>
      </c>
      <c r="M203" s="2852">
        <f t="shared" si="24"/>
        <v>0</v>
      </c>
      <c r="N203" s="2853"/>
      <c r="O203" s="2853"/>
      <c r="P203" s="2853"/>
      <c r="Q203" s="2853"/>
      <c r="R203" s="2853"/>
      <c r="S203" s="2853"/>
      <c r="T203" s="2853"/>
      <c r="U203" s="2853"/>
      <c r="V203" s="2853"/>
      <c r="W203" s="2853"/>
      <c r="X203" s="2853"/>
      <c r="Y203" s="2853"/>
      <c r="Z203" s="2853"/>
      <c r="AA203" s="2853"/>
      <c r="AB203" s="2853"/>
      <c r="AC203" s="2853"/>
      <c r="AD203" s="2853"/>
      <c r="AE203" s="2853"/>
      <c r="AF203" s="2853"/>
      <c r="AG203" s="2853"/>
      <c r="AH203" s="2853"/>
      <c r="AI203" s="2853"/>
      <c r="AJ203" s="2853"/>
      <c r="AK203" s="2853"/>
      <c r="AL203" s="2853"/>
      <c r="AM203" s="2853"/>
      <c r="AN203" s="2853"/>
      <c r="AO203" s="2853"/>
      <c r="AP203" s="2853"/>
      <c r="AQ203" s="2853"/>
      <c r="AR203" s="2853"/>
      <c r="AS203" s="2380">
        <f t="shared" si="25"/>
        <v>0</v>
      </c>
    </row>
    <row r="204" spans="1:45" ht="15" customHeight="1">
      <c r="A204" s="2846" t="s">
        <v>103</v>
      </c>
      <c r="B204" s="2791" t="s">
        <v>31</v>
      </c>
      <c r="C204" s="2771">
        <v>0</v>
      </c>
      <c r="D204" s="2771"/>
      <c r="E204" s="2848">
        <f t="shared" si="21"/>
        <v>0</v>
      </c>
      <c r="F204" s="2812">
        <f>+SUM('RAE Anchoveta'!B301:B304)</f>
        <v>0</v>
      </c>
      <c r="G204" s="2849">
        <f t="shared" si="22"/>
        <v>0</v>
      </c>
      <c r="H204" s="2743" t="e">
        <f t="shared" si="23"/>
        <v>#DIV/0!</v>
      </c>
      <c r="I204" s="2826"/>
      <c r="L204" s="2860" t="s">
        <v>82</v>
      </c>
      <c r="M204" s="2852">
        <f t="shared" si="24"/>
        <v>0</v>
      </c>
      <c r="N204" s="2853"/>
      <c r="O204" s="2853"/>
      <c r="P204" s="2853"/>
      <c r="Q204" s="2853"/>
      <c r="R204" s="2853"/>
      <c r="S204" s="2853"/>
      <c r="T204" s="2853"/>
      <c r="U204" s="2853"/>
      <c r="V204" s="2853"/>
      <c r="W204" s="2853"/>
      <c r="X204" s="2853"/>
      <c r="Y204" s="2853"/>
      <c r="Z204" s="2853"/>
      <c r="AA204" s="2853"/>
      <c r="AB204" s="2853"/>
      <c r="AC204" s="2853"/>
      <c r="AD204" s="2853"/>
      <c r="AE204" s="2853"/>
      <c r="AF204" s="2853"/>
      <c r="AG204" s="2853"/>
      <c r="AH204" s="2853"/>
      <c r="AI204" s="2853"/>
      <c r="AJ204" s="2853"/>
      <c r="AK204" s="2853"/>
      <c r="AL204" s="2853"/>
      <c r="AM204" s="2853"/>
      <c r="AN204" s="2853"/>
      <c r="AO204" s="2853"/>
      <c r="AP204" s="2855"/>
      <c r="AQ204" s="2853"/>
      <c r="AR204" s="2855"/>
      <c r="AS204" s="2380">
        <f t="shared" si="25"/>
        <v>0</v>
      </c>
    </row>
    <row r="205" spans="1:45" ht="15" customHeight="1">
      <c r="A205" s="2846" t="s">
        <v>104</v>
      </c>
      <c r="B205" s="2791" t="s">
        <v>31</v>
      </c>
      <c r="C205" s="2771">
        <v>0.25900000000000001</v>
      </c>
      <c r="D205" s="2771"/>
      <c r="E205" s="2848">
        <f t="shared" si="21"/>
        <v>0.25900000000000001</v>
      </c>
      <c r="F205" s="2812">
        <f>+SUM('RAE Anchoveta'!B317:B320)</f>
        <v>0</v>
      </c>
      <c r="G205" s="2849">
        <f t="shared" si="22"/>
        <v>0.25900000000000001</v>
      </c>
      <c r="H205" s="2743">
        <f t="shared" si="23"/>
        <v>1</v>
      </c>
      <c r="I205" s="2826"/>
      <c r="L205" s="2860" t="s">
        <v>83</v>
      </c>
      <c r="M205" s="2852">
        <f t="shared" si="24"/>
        <v>0</v>
      </c>
      <c r="N205" s="2853"/>
      <c r="O205" s="2853"/>
      <c r="P205" s="2853"/>
      <c r="Q205" s="2853"/>
      <c r="R205" s="2853"/>
      <c r="S205" s="2853"/>
      <c r="T205" s="2853"/>
      <c r="U205" s="2853"/>
      <c r="V205" s="2853"/>
      <c r="W205" s="2853"/>
      <c r="X205" s="2853"/>
      <c r="Y205" s="2853"/>
      <c r="Z205" s="2853"/>
      <c r="AA205" s="2853"/>
      <c r="AB205" s="2853"/>
      <c r="AC205" s="2853"/>
      <c r="AD205" s="2853"/>
      <c r="AE205" s="2853"/>
      <c r="AF205" s="2853"/>
      <c r="AG205" s="2853"/>
      <c r="AH205" s="2853"/>
      <c r="AI205" s="2853"/>
      <c r="AJ205" s="2853"/>
      <c r="AK205" s="2853"/>
      <c r="AL205" s="2853"/>
      <c r="AM205" s="2853"/>
      <c r="AN205" s="2853"/>
      <c r="AO205" s="2853"/>
      <c r="AP205" s="2855"/>
      <c r="AQ205" s="2853"/>
      <c r="AR205" s="2855"/>
      <c r="AS205" s="2380">
        <f t="shared" si="25"/>
        <v>0</v>
      </c>
    </row>
    <row r="206" spans="1:45" ht="15" customHeight="1">
      <c r="A206" s="2846" t="s">
        <v>105</v>
      </c>
      <c r="B206" s="2791" t="s">
        <v>31</v>
      </c>
      <c r="C206" s="2771">
        <v>62.393000000000001</v>
      </c>
      <c r="D206" s="2747"/>
      <c r="E206" s="2848">
        <f t="shared" si="21"/>
        <v>62.393000000000001</v>
      </c>
      <c r="F206" s="2812">
        <f>+SUM('RAE Anchoveta'!B333:B336)</f>
        <v>8.3840000000000003</v>
      </c>
      <c r="G206" s="2849">
        <f t="shared" si="22"/>
        <v>54.009</v>
      </c>
      <c r="H206" s="2743">
        <f t="shared" si="23"/>
        <v>0.86562595162918921</v>
      </c>
      <c r="I206" s="2826"/>
      <c r="L206" s="2860" t="s">
        <v>84</v>
      </c>
      <c r="M206" s="2852">
        <f t="shared" si="24"/>
        <v>0</v>
      </c>
      <c r="N206" s="2853"/>
      <c r="O206" s="2853"/>
      <c r="P206" s="2853"/>
      <c r="Q206" s="2853"/>
      <c r="R206" s="2853"/>
      <c r="S206" s="2853"/>
      <c r="T206" s="2853"/>
      <c r="U206" s="2853"/>
      <c r="V206" s="2853"/>
      <c r="W206" s="2853"/>
      <c r="X206" s="2853"/>
      <c r="Y206" s="2853"/>
      <c r="Z206" s="2853"/>
      <c r="AA206" s="2853"/>
      <c r="AB206" s="2853"/>
      <c r="AC206" s="2853"/>
      <c r="AD206" s="2853"/>
      <c r="AE206" s="2853"/>
      <c r="AF206" s="2853"/>
      <c r="AG206" s="2853"/>
      <c r="AH206" s="2853"/>
      <c r="AI206" s="2853"/>
      <c r="AJ206" s="2853"/>
      <c r="AK206" s="2853"/>
      <c r="AL206" s="2853"/>
      <c r="AM206" s="2853"/>
      <c r="AN206" s="2853"/>
      <c r="AO206" s="2853"/>
      <c r="AP206" s="2853"/>
      <c r="AQ206" s="2853"/>
      <c r="AR206" s="2853"/>
      <c r="AS206" s="2380">
        <f t="shared" si="25"/>
        <v>0</v>
      </c>
    </row>
    <row r="207" spans="1:45" ht="15" customHeight="1">
      <c r="A207" s="2846" t="s">
        <v>107</v>
      </c>
      <c r="B207" s="2791" t="s">
        <v>31</v>
      </c>
      <c r="C207" s="2771">
        <v>76.638000000000005</v>
      </c>
      <c r="D207" s="2747"/>
      <c r="E207" s="2848">
        <f t="shared" si="21"/>
        <v>76.638000000000005</v>
      </c>
      <c r="F207" s="2812">
        <f>+SUM('RAE Anchoveta'!B349:B352)</f>
        <v>0</v>
      </c>
      <c r="G207" s="2849">
        <f t="shared" si="22"/>
        <v>76.638000000000005</v>
      </c>
      <c r="H207" s="2743">
        <f t="shared" si="23"/>
        <v>1</v>
      </c>
      <c r="I207" s="2826"/>
      <c r="L207" s="2733" t="s">
        <v>72</v>
      </c>
      <c r="M207" s="2861">
        <f>SUM(M195:M206)</f>
        <v>719.00999999999988</v>
      </c>
      <c r="N207" s="2862">
        <f>SUM(N195:N205)</f>
        <v>35.543999999999997</v>
      </c>
      <c r="O207" s="2855">
        <f>SUM(O195:O205)</f>
        <v>9.8889999999999993</v>
      </c>
      <c r="P207" s="2855">
        <v>0</v>
      </c>
      <c r="Q207" s="2853">
        <f t="shared" ref="Q207:AN207" si="26">SUM(Q195:Q205)</f>
        <v>0</v>
      </c>
      <c r="R207" s="2855">
        <f t="shared" si="26"/>
        <v>0</v>
      </c>
      <c r="S207" s="2855">
        <f t="shared" si="26"/>
        <v>1.294</v>
      </c>
      <c r="T207" s="2855">
        <f t="shared" si="26"/>
        <v>0</v>
      </c>
      <c r="U207" s="2855">
        <f t="shared" si="26"/>
        <v>152.489</v>
      </c>
      <c r="V207" s="2855">
        <f t="shared" si="26"/>
        <v>30.119</v>
      </c>
      <c r="W207" s="2855">
        <f t="shared" si="26"/>
        <v>135.631</v>
      </c>
      <c r="X207" s="2855">
        <f t="shared" si="26"/>
        <v>40.659999999999997</v>
      </c>
      <c r="Y207" s="2855">
        <f t="shared" si="26"/>
        <v>2.2850000000000001</v>
      </c>
      <c r="Z207" s="2855">
        <f t="shared" si="26"/>
        <v>0</v>
      </c>
      <c r="AA207" s="2855">
        <f t="shared" si="26"/>
        <v>17.297999999999998</v>
      </c>
      <c r="AB207" s="2855">
        <f t="shared" si="26"/>
        <v>22.933</v>
      </c>
      <c r="AC207" s="2855">
        <f t="shared" si="26"/>
        <v>116.09399999999999</v>
      </c>
      <c r="AD207" s="2855">
        <f t="shared" si="26"/>
        <v>85.126999999999995</v>
      </c>
      <c r="AE207" s="2855">
        <f t="shared" si="26"/>
        <v>11.164999999999999</v>
      </c>
      <c r="AF207" s="2855">
        <f t="shared" si="26"/>
        <v>15.739000000000001</v>
      </c>
      <c r="AG207" s="2855">
        <f t="shared" si="26"/>
        <v>23.187000000000001</v>
      </c>
      <c r="AH207" s="2855">
        <f t="shared" si="26"/>
        <v>0</v>
      </c>
      <c r="AI207" s="2855">
        <f t="shared" si="26"/>
        <v>0</v>
      </c>
      <c r="AJ207" s="2855">
        <f t="shared" si="26"/>
        <v>0</v>
      </c>
      <c r="AK207" s="2855">
        <f t="shared" si="26"/>
        <v>0</v>
      </c>
      <c r="AL207" s="2855">
        <f t="shared" si="26"/>
        <v>0</v>
      </c>
      <c r="AM207" s="2855">
        <f t="shared" si="26"/>
        <v>0</v>
      </c>
      <c r="AN207" s="2855">
        <f t="shared" si="26"/>
        <v>2.5000000000000001E-2</v>
      </c>
      <c r="AO207" s="2855">
        <v>0</v>
      </c>
      <c r="AP207" s="2855">
        <f>SUM(AP195:AP205)</f>
        <v>0</v>
      </c>
      <c r="AQ207" s="2855">
        <f>SUM(AQ195:AQ205)</f>
        <v>0</v>
      </c>
      <c r="AR207" s="2855">
        <f>SUM(AR195:AR205)</f>
        <v>0</v>
      </c>
      <c r="AS207" s="2367">
        <f>SUM(AS195:AS205)</f>
        <v>719.00999999999988</v>
      </c>
    </row>
    <row r="208" spans="1:45" ht="15" customHeight="1">
      <c r="A208" s="2846"/>
      <c r="B208" s="2791"/>
      <c r="C208" s="2771"/>
      <c r="D208" s="2771"/>
      <c r="E208" s="2848"/>
      <c r="F208" s="2812"/>
      <c r="G208" s="2849"/>
      <c r="H208" s="2743"/>
      <c r="I208" s="2826"/>
      <c r="L208" s="2851" t="s">
        <v>820</v>
      </c>
      <c r="M208" s="2863">
        <v>2049</v>
      </c>
      <c r="N208" s="2851" t="s">
        <v>823</v>
      </c>
      <c r="O208" s="2864">
        <f>SUM(M195:M198)</f>
        <v>719.00999999999988</v>
      </c>
      <c r="P208" s="2851" t="s">
        <v>826</v>
      </c>
      <c r="Q208" s="3403">
        <f>+M208-O208</f>
        <v>1329.9900000000002</v>
      </c>
    </row>
    <row r="209" spans="1:17" ht="15" customHeight="1">
      <c r="A209" s="2846"/>
      <c r="B209" s="2791"/>
      <c r="C209" s="2771"/>
      <c r="D209" s="2771"/>
      <c r="E209" s="2848"/>
      <c r="F209" s="2812"/>
      <c r="G209" s="2849"/>
      <c r="H209" s="2743"/>
      <c r="I209" s="2826"/>
      <c r="L209" s="2857" t="s">
        <v>821</v>
      </c>
      <c r="M209" s="2863">
        <v>241</v>
      </c>
      <c r="N209" s="2857" t="s">
        <v>824</v>
      </c>
      <c r="O209" s="2864">
        <f>SUM(M199:M202)</f>
        <v>0</v>
      </c>
      <c r="P209" s="2857" t="s">
        <v>827</v>
      </c>
      <c r="Q209" s="3403">
        <f>+M209-O209+Q208</f>
        <v>1570.9900000000002</v>
      </c>
    </row>
    <row r="210" spans="1:17" ht="15" customHeight="1">
      <c r="A210" s="2865" t="s">
        <v>58</v>
      </c>
      <c r="B210" s="2791" t="s">
        <v>31</v>
      </c>
      <c r="C210" s="2771">
        <v>98.35</v>
      </c>
      <c r="D210" s="2771"/>
      <c r="E210" s="2848">
        <f t="shared" si="21"/>
        <v>98.35</v>
      </c>
      <c r="F210" s="2812">
        <f>+SUM('RAE Anchoveta'!B397:B400)</f>
        <v>0</v>
      </c>
      <c r="G210" s="2849">
        <f t="shared" si="22"/>
        <v>98.35</v>
      </c>
      <c r="H210" s="2743">
        <f t="shared" si="23"/>
        <v>1</v>
      </c>
      <c r="I210" s="2850"/>
      <c r="L210" s="2866" t="s">
        <v>822</v>
      </c>
      <c r="M210" s="2863">
        <v>121</v>
      </c>
      <c r="N210" s="2866" t="s">
        <v>825</v>
      </c>
      <c r="O210" s="2864">
        <f>SUM(M203:M206)</f>
        <v>0</v>
      </c>
      <c r="P210" s="2866" t="s">
        <v>828</v>
      </c>
      <c r="Q210" s="3403">
        <f>+M210-O210+Q209</f>
        <v>1691.9900000000002</v>
      </c>
    </row>
    <row r="211" spans="1:17" ht="15" customHeight="1">
      <c r="A211" s="2867" t="s">
        <v>50</v>
      </c>
      <c r="B211" s="2867" t="s">
        <v>31</v>
      </c>
      <c r="C211" s="2868">
        <f>SUM(C194:C210)</f>
        <v>1925.9549999999999</v>
      </c>
      <c r="D211" s="2868"/>
      <c r="E211" s="2869">
        <f>SUM(E194:E210)</f>
        <v>1925.9549999999999</v>
      </c>
      <c r="F211" s="2870">
        <f>SUM(F194:F210)</f>
        <v>783.77400000000011</v>
      </c>
      <c r="G211" s="2871">
        <f>+E211-F211</f>
        <v>1142.1809999999998</v>
      </c>
      <c r="H211" s="2712"/>
      <c r="M211" s="2872">
        <f>SUM(M208:M210)</f>
        <v>2411</v>
      </c>
      <c r="O211" s="2864">
        <f>SUM(O208:O210)</f>
        <v>719.00999999999988</v>
      </c>
      <c r="Q211" s="3403"/>
    </row>
    <row r="212" spans="1:17" ht="5.0999999999999996" customHeight="1">
      <c r="A212" s="2806"/>
      <c r="B212" s="2732"/>
      <c r="C212" s="2730"/>
      <c r="D212" s="2730"/>
      <c r="E212" s="2730"/>
      <c r="F212" s="2731"/>
      <c r="G212" s="2731"/>
      <c r="H212" s="2712"/>
    </row>
    <row r="213" spans="1:17" ht="15" customHeight="1">
      <c r="A213" s="2733" t="s">
        <v>45</v>
      </c>
      <c r="B213" s="2733" t="s">
        <v>46</v>
      </c>
      <c r="C213" s="2734" t="s">
        <v>47</v>
      </c>
      <c r="D213" s="2734" t="s">
        <v>313</v>
      </c>
      <c r="E213" s="2734" t="s">
        <v>48</v>
      </c>
      <c r="F213" s="2733" t="s">
        <v>19</v>
      </c>
      <c r="G213" s="2733" t="s">
        <v>20</v>
      </c>
      <c r="H213" s="2733" t="s">
        <v>49</v>
      </c>
      <c r="I213" s="2735" t="s">
        <v>22</v>
      </c>
    </row>
    <row r="214" spans="1:17" ht="15" customHeight="1">
      <c r="A214" s="2846" t="s">
        <v>123</v>
      </c>
      <c r="B214" s="2873" t="s">
        <v>32</v>
      </c>
      <c r="C214" s="2848">
        <v>18.384</v>
      </c>
      <c r="D214" s="2869"/>
      <c r="E214" s="2848">
        <f>+C214+G194+D214</f>
        <v>147.69799999999998</v>
      </c>
      <c r="F214" s="2747">
        <f>+SUM('RAE Anchoveta'!B145:B148)</f>
        <v>21.335000000000001</v>
      </c>
      <c r="G214" s="2848">
        <f>+E214-F214</f>
        <v>126.36299999999997</v>
      </c>
      <c r="H214" s="2743">
        <f>1-+F214/E214</f>
        <v>0.85554983818331998</v>
      </c>
      <c r="I214" s="2850"/>
    </row>
    <row r="215" spans="1:17" ht="15" customHeight="1">
      <c r="A215" s="2846" t="s">
        <v>54</v>
      </c>
      <c r="B215" s="2873" t="s">
        <v>32</v>
      </c>
      <c r="C215" s="2848">
        <v>94.885000000000005</v>
      </c>
      <c r="D215" s="2869"/>
      <c r="E215" s="2848">
        <f t="shared" ref="E215:E227" si="27">+C215+G195+D215</f>
        <v>330.76899999999995</v>
      </c>
      <c r="F215" s="2747">
        <f>+SUM('RAE Anchoveta'!B161:B164)</f>
        <v>12.989000000000001</v>
      </c>
      <c r="G215" s="2848">
        <f t="shared" ref="G215:G230" si="28">+E215-F215</f>
        <v>317.77999999999997</v>
      </c>
      <c r="H215" s="2743">
        <f>1-+F215/E215</f>
        <v>0.96073090283551354</v>
      </c>
      <c r="I215" s="2850"/>
    </row>
    <row r="216" spans="1:17" ht="15" customHeight="1">
      <c r="A216" s="2846" t="s">
        <v>124</v>
      </c>
      <c r="B216" s="2873" t="s">
        <v>32</v>
      </c>
      <c r="C216" s="2848">
        <v>125.968</v>
      </c>
      <c r="D216" s="2848"/>
      <c r="E216" s="2848">
        <f t="shared" si="27"/>
        <v>316.24400000000003</v>
      </c>
      <c r="F216" s="2771">
        <f>+SUM('RAE Anchoveta'!B177:B180)</f>
        <v>12.749000000000001</v>
      </c>
      <c r="G216" s="2848">
        <f t="shared" si="28"/>
        <v>303.495</v>
      </c>
      <c r="H216" s="2743">
        <f t="shared" ref="H216:H230" si="29">1-+F216/E216</f>
        <v>0.95968619167478275</v>
      </c>
      <c r="I216" s="2850"/>
    </row>
    <row r="217" spans="1:17" ht="15" customHeight="1">
      <c r="A217" s="2846" t="s">
        <v>55</v>
      </c>
      <c r="B217" s="2873" t="s">
        <v>32</v>
      </c>
      <c r="C217" s="2848">
        <v>19.481999999999999</v>
      </c>
      <c r="D217" s="2848"/>
      <c r="E217" s="2848">
        <f t="shared" si="27"/>
        <v>125.69699999999997</v>
      </c>
      <c r="F217" s="2771">
        <f>+SUM('RAE Anchoveta'!B193:B196)</f>
        <v>11.293000000000001</v>
      </c>
      <c r="G217" s="2848">
        <f t="shared" si="28"/>
        <v>114.40399999999997</v>
      </c>
      <c r="H217" s="2743">
        <f t="shared" si="29"/>
        <v>0.91015696476447328</v>
      </c>
      <c r="I217" s="2850"/>
    </row>
    <row r="218" spans="1:17" ht="15" customHeight="1">
      <c r="A218" s="2846" t="s">
        <v>56</v>
      </c>
      <c r="B218" s="2873" t="s">
        <v>32</v>
      </c>
      <c r="C218" s="2848">
        <v>0</v>
      </c>
      <c r="D218" s="2869"/>
      <c r="E218" s="2848">
        <f t="shared" si="27"/>
        <v>0</v>
      </c>
      <c r="F218" s="2747">
        <f>+SUM('RAE Anchoveta'!B209:B212)</f>
        <v>0</v>
      </c>
      <c r="G218" s="2848">
        <f t="shared" si="28"/>
        <v>0</v>
      </c>
      <c r="H218" s="2743" t="e">
        <f t="shared" si="29"/>
        <v>#DIV/0!</v>
      </c>
      <c r="I218" s="2850"/>
    </row>
    <row r="219" spans="1:17" ht="15" customHeight="1">
      <c r="A219" s="2846" t="s">
        <v>125</v>
      </c>
      <c r="B219" s="2873" t="s">
        <v>32</v>
      </c>
      <c r="C219" s="2848">
        <v>0</v>
      </c>
      <c r="D219" s="2874"/>
      <c r="E219" s="2848">
        <f t="shared" si="27"/>
        <v>0</v>
      </c>
      <c r="F219" s="2858">
        <f>+SUM('RAE Anchoveta'!B225:B228)</f>
        <v>0</v>
      </c>
      <c r="G219" s="2848">
        <f t="shared" si="28"/>
        <v>0</v>
      </c>
      <c r="H219" s="2743" t="e">
        <f t="shared" si="29"/>
        <v>#DIV/0!</v>
      </c>
      <c r="I219" s="2850"/>
    </row>
    <row r="220" spans="1:17" ht="15" customHeight="1">
      <c r="A220" s="3521" t="s">
        <v>100</v>
      </c>
      <c r="B220" s="2873" t="s">
        <v>32</v>
      </c>
      <c r="C220" s="2848">
        <v>0</v>
      </c>
      <c r="D220" s="2848"/>
      <c r="E220" s="2848">
        <f t="shared" si="27"/>
        <v>0</v>
      </c>
      <c r="F220" s="2771">
        <f>+SUM('RAE Anchoveta'!B241:B244)</f>
        <v>0</v>
      </c>
      <c r="G220" s="2848">
        <f t="shared" si="28"/>
        <v>0</v>
      </c>
      <c r="H220" s="2743" t="e">
        <f t="shared" si="29"/>
        <v>#DIV/0!</v>
      </c>
      <c r="I220" s="2850"/>
    </row>
    <row r="221" spans="1:17" ht="15" customHeight="1">
      <c r="A221" s="2846" t="s">
        <v>960</v>
      </c>
      <c r="B221" s="2873" t="s">
        <v>32</v>
      </c>
      <c r="C221" s="2848">
        <v>0.57499999999999996</v>
      </c>
      <c r="D221" s="2848"/>
      <c r="E221" s="2848">
        <f t="shared" si="27"/>
        <v>0.57499999999999996</v>
      </c>
      <c r="F221" s="2771">
        <f>+SUM('RAE Anchoveta'!B257:B260)</f>
        <v>0</v>
      </c>
      <c r="G221" s="2848">
        <f t="shared" si="28"/>
        <v>0.57499999999999996</v>
      </c>
      <c r="H221" s="2743">
        <f t="shared" si="29"/>
        <v>1</v>
      </c>
      <c r="I221" s="2850"/>
    </row>
    <row r="222" spans="1:17" ht="15" customHeight="1">
      <c r="A222" s="2846" t="s">
        <v>1288</v>
      </c>
      <c r="B222" s="2873" t="s">
        <v>32</v>
      </c>
      <c r="C222" s="2848">
        <v>64.155000000000001</v>
      </c>
      <c r="D222" s="2848"/>
      <c r="E222" s="2848">
        <f t="shared" si="27"/>
        <v>315.39100000000008</v>
      </c>
      <c r="F222" s="2771">
        <f>+SUM('RAE Anchoveta'!B273:B276)</f>
        <v>7.5510000000000002</v>
      </c>
      <c r="G222" s="2848">
        <f t="shared" si="28"/>
        <v>307.84000000000009</v>
      </c>
      <c r="H222" s="2743">
        <f t="shared" si="29"/>
        <v>0.97605828955169938</v>
      </c>
      <c r="I222" s="2850"/>
    </row>
    <row r="223" spans="1:17" ht="15" customHeight="1">
      <c r="A223" s="2846" t="s">
        <v>101</v>
      </c>
      <c r="B223" s="2873" t="s">
        <v>32</v>
      </c>
      <c r="C223" s="2848">
        <v>0</v>
      </c>
      <c r="D223" s="2869"/>
      <c r="E223" s="2848">
        <f t="shared" si="27"/>
        <v>0</v>
      </c>
      <c r="F223" s="2747">
        <f>+SUM('RAE Anchoveta'!B289:B292)</f>
        <v>0</v>
      </c>
      <c r="G223" s="2848">
        <f t="shared" si="28"/>
        <v>0</v>
      </c>
      <c r="H223" s="2743" t="e">
        <f t="shared" si="29"/>
        <v>#DIV/0!</v>
      </c>
      <c r="I223" s="2850"/>
    </row>
    <row r="224" spans="1:17" ht="15" customHeight="1">
      <c r="A224" s="2846" t="s">
        <v>103</v>
      </c>
      <c r="B224" s="2873" t="s">
        <v>32</v>
      </c>
      <c r="C224" s="2848">
        <v>0</v>
      </c>
      <c r="D224" s="2848"/>
      <c r="E224" s="2848">
        <f t="shared" si="27"/>
        <v>0</v>
      </c>
      <c r="F224" s="2771">
        <f>+SUM('RAE Anchoveta'!B305:B308)</f>
        <v>0</v>
      </c>
      <c r="G224" s="2848">
        <f t="shared" si="28"/>
        <v>0</v>
      </c>
      <c r="H224" s="2743" t="e">
        <f t="shared" si="29"/>
        <v>#DIV/0!</v>
      </c>
      <c r="I224" s="2850"/>
    </row>
    <row r="225" spans="1:9" ht="15" customHeight="1">
      <c r="A225" s="2846" t="s">
        <v>104</v>
      </c>
      <c r="B225" s="2873" t="s">
        <v>32</v>
      </c>
      <c r="C225" s="2848">
        <v>1.159</v>
      </c>
      <c r="D225" s="2848"/>
      <c r="E225" s="2848">
        <f t="shared" si="27"/>
        <v>1.4180000000000001</v>
      </c>
      <c r="F225" s="2771">
        <f>+SUM('RAE Anchoveta'!B321:B324)</f>
        <v>0</v>
      </c>
      <c r="G225" s="2848">
        <f t="shared" si="28"/>
        <v>1.4180000000000001</v>
      </c>
      <c r="H225" s="2743">
        <f t="shared" si="29"/>
        <v>1</v>
      </c>
      <c r="I225" s="2826"/>
    </row>
    <row r="226" spans="1:9" ht="15" customHeight="1">
      <c r="A226" s="2846" t="s">
        <v>105</v>
      </c>
      <c r="B226" s="2873" t="s">
        <v>32</v>
      </c>
      <c r="C226" s="2848">
        <v>7.3390000000000004</v>
      </c>
      <c r="D226" s="2869"/>
      <c r="E226" s="2848">
        <f t="shared" si="27"/>
        <v>61.347999999999999</v>
      </c>
      <c r="F226" s="2747">
        <f>+SUM('RAE Anchoveta'!B337:B340)</f>
        <v>0</v>
      </c>
      <c r="G226" s="2848">
        <f t="shared" si="28"/>
        <v>61.347999999999999</v>
      </c>
      <c r="H226" s="2743">
        <f t="shared" si="29"/>
        <v>1</v>
      </c>
      <c r="I226" s="2826"/>
    </row>
    <row r="227" spans="1:9" ht="15" customHeight="1">
      <c r="A227" s="2846" t="s">
        <v>107</v>
      </c>
      <c r="B227" s="2873" t="s">
        <v>32</v>
      </c>
      <c r="C227" s="2848">
        <v>9.0139999999999993</v>
      </c>
      <c r="D227" s="2869"/>
      <c r="E227" s="2848">
        <f t="shared" si="27"/>
        <v>85.652000000000001</v>
      </c>
      <c r="F227" s="2747">
        <f>+SUM('RAE Anchoveta'!B353:B356)</f>
        <v>0</v>
      </c>
      <c r="G227" s="2848">
        <f t="shared" si="28"/>
        <v>85.652000000000001</v>
      </c>
      <c r="H227" s="2743">
        <f t="shared" si="29"/>
        <v>1</v>
      </c>
      <c r="I227" s="2826"/>
    </row>
    <row r="228" spans="1:9" ht="15" customHeight="1">
      <c r="A228" s="2846"/>
      <c r="B228" s="2873"/>
      <c r="C228" s="2848"/>
      <c r="D228" s="2848"/>
      <c r="E228" s="2848"/>
      <c r="F228" s="2771"/>
      <c r="G228" s="2848"/>
      <c r="H228" s="2743"/>
      <c r="I228" s="2826"/>
    </row>
    <row r="229" spans="1:9" ht="15" customHeight="1">
      <c r="A229" s="2865"/>
      <c r="B229" s="2873"/>
      <c r="C229" s="2848"/>
      <c r="D229" s="2848"/>
      <c r="E229" s="2848"/>
      <c r="F229" s="2771"/>
      <c r="G229" s="2848"/>
      <c r="H229" s="2743"/>
      <c r="I229" s="2826"/>
    </row>
    <row r="230" spans="1:9" ht="15" customHeight="1">
      <c r="A230" s="2865" t="s">
        <v>58</v>
      </c>
      <c r="B230" s="2873" t="s">
        <v>32</v>
      </c>
      <c r="C230" s="2848">
        <v>11.568</v>
      </c>
      <c r="D230" s="2848"/>
      <c r="E230" s="2848">
        <f t="shared" ref="E230" si="30">+C230+G210</f>
        <v>109.91799999999999</v>
      </c>
      <c r="F230" s="2771">
        <f>+SUM('RAE Anchoveta'!B401:B404)</f>
        <v>0</v>
      </c>
      <c r="G230" s="2848">
        <f t="shared" si="28"/>
        <v>109.91799999999999</v>
      </c>
      <c r="H230" s="2743">
        <f t="shared" si="29"/>
        <v>1</v>
      </c>
      <c r="I230" s="2850"/>
    </row>
    <row r="231" spans="1:9" ht="15" customHeight="1">
      <c r="A231" s="2867" t="s">
        <v>50</v>
      </c>
      <c r="B231" s="2875" t="s">
        <v>32</v>
      </c>
      <c r="C231" s="2876">
        <f>SUM(C214:C230)</f>
        <v>352.52900000000005</v>
      </c>
      <c r="D231" s="2876"/>
      <c r="E231" s="2876">
        <f>SUM(E214:E230)</f>
        <v>1494.71</v>
      </c>
      <c r="F231" s="2876">
        <f>SUM(F214:F230)</f>
        <v>65.917000000000002</v>
      </c>
      <c r="G231" s="2871">
        <f>+E231-F2046</f>
        <v>1494.71</v>
      </c>
      <c r="H231" s="2712"/>
    </row>
    <row r="232" spans="1:9" ht="5.0999999999999996" customHeight="1">
      <c r="A232" s="2877"/>
      <c r="B232" s="2729"/>
      <c r="C232" s="2730"/>
      <c r="D232" s="2730"/>
      <c r="E232" s="2730"/>
      <c r="F232" s="2878"/>
      <c r="G232" s="2731"/>
      <c r="H232" s="2712"/>
    </row>
    <row r="233" spans="1:9" ht="15" customHeight="1">
      <c r="A233" s="2733" t="s">
        <v>45</v>
      </c>
      <c r="B233" s="2733" t="s">
        <v>46</v>
      </c>
      <c r="C233" s="2734" t="s">
        <v>47</v>
      </c>
      <c r="D233" s="2734" t="s">
        <v>313</v>
      </c>
      <c r="E233" s="2734" t="s">
        <v>48</v>
      </c>
      <c r="F233" s="2733" t="s">
        <v>19</v>
      </c>
      <c r="G233" s="2733" t="s">
        <v>20</v>
      </c>
      <c r="H233" s="2733" t="s">
        <v>49</v>
      </c>
      <c r="I233" s="2735" t="s">
        <v>22</v>
      </c>
    </row>
    <row r="234" spans="1:9" ht="15" customHeight="1">
      <c r="A234" s="2846" t="s">
        <v>123</v>
      </c>
      <c r="B234" s="2873" t="s">
        <v>33</v>
      </c>
      <c r="C234" s="2848">
        <v>9.23</v>
      </c>
      <c r="D234" s="2869"/>
      <c r="E234" s="2848">
        <f>+C234+G214+D234</f>
        <v>135.59299999999996</v>
      </c>
      <c r="F234" s="2771">
        <f>+SUM('RAE Anchoveta'!B149:B152)</f>
        <v>0</v>
      </c>
      <c r="G234" s="2780">
        <f>+E234-F234</f>
        <v>135.59299999999996</v>
      </c>
      <c r="H234" s="2743">
        <f t="shared" ref="H234:H250" si="31">1-+F234/E234</f>
        <v>1</v>
      </c>
      <c r="I234" s="2850"/>
    </row>
    <row r="235" spans="1:9" ht="15" customHeight="1">
      <c r="A235" s="2846" t="s">
        <v>54</v>
      </c>
      <c r="B235" s="2873" t="s">
        <v>33</v>
      </c>
      <c r="C235" s="2848">
        <v>34.585000000000001</v>
      </c>
      <c r="D235" s="2869"/>
      <c r="E235" s="2848">
        <f t="shared" ref="E235:E250" si="32">+C235+G215+D235</f>
        <v>352.36499999999995</v>
      </c>
      <c r="F235" s="2771">
        <f>+SUM('RAE Anchoveta'!B165:B168)</f>
        <v>0</v>
      </c>
      <c r="G235" s="2780">
        <f t="shared" ref="G235:G250" si="33">+E235-F235</f>
        <v>352.36499999999995</v>
      </c>
      <c r="H235" s="2743">
        <f t="shared" si="31"/>
        <v>1</v>
      </c>
      <c r="I235" s="2850"/>
    </row>
    <row r="236" spans="1:9" ht="15" customHeight="1">
      <c r="A236" s="2846" t="s">
        <v>124</v>
      </c>
      <c r="B236" s="2873" t="s">
        <v>33</v>
      </c>
      <c r="C236" s="2848">
        <v>13.038</v>
      </c>
      <c r="D236" s="2848"/>
      <c r="E236" s="2848">
        <f t="shared" si="32"/>
        <v>316.53300000000002</v>
      </c>
      <c r="F236" s="2771">
        <f>+SUM('RAE Anchoveta'!B181:B184)</f>
        <v>0</v>
      </c>
      <c r="G236" s="2780">
        <f t="shared" si="33"/>
        <v>316.53300000000002</v>
      </c>
      <c r="H236" s="2743">
        <f t="shared" si="31"/>
        <v>1</v>
      </c>
      <c r="I236" s="2850"/>
    </row>
    <row r="237" spans="1:9" ht="15" customHeight="1">
      <c r="A237" s="2846" t="s">
        <v>55</v>
      </c>
      <c r="B237" s="2873" t="s">
        <v>33</v>
      </c>
      <c r="C237" s="2848">
        <v>9.7810000000000006</v>
      </c>
      <c r="D237" s="2848"/>
      <c r="E237" s="2848">
        <f t="shared" si="32"/>
        <v>124.18499999999997</v>
      </c>
      <c r="F237" s="2771">
        <f>+SUM('RAE Anchoveta'!B197:B200)</f>
        <v>21.603000000000002</v>
      </c>
      <c r="G237" s="2771">
        <f t="shared" si="33"/>
        <v>102.58199999999997</v>
      </c>
      <c r="H237" s="2743">
        <f t="shared" si="31"/>
        <v>0.82604179248701526</v>
      </c>
      <c r="I237" s="2850"/>
    </row>
    <row r="238" spans="1:9" ht="15" customHeight="1">
      <c r="A238" s="2846" t="s">
        <v>56</v>
      </c>
      <c r="B238" s="2873" t="s">
        <v>33</v>
      </c>
      <c r="C238" s="2848">
        <v>2.1230000000000002</v>
      </c>
      <c r="D238" s="2869"/>
      <c r="E238" s="2848">
        <f t="shared" si="32"/>
        <v>2.1230000000000002</v>
      </c>
      <c r="F238" s="2747">
        <f>+SUM('RAE Anchoveta'!B213:B216)</f>
        <v>0</v>
      </c>
      <c r="G238" s="2771">
        <f t="shared" si="33"/>
        <v>2.1230000000000002</v>
      </c>
      <c r="H238" s="2743">
        <f t="shared" si="31"/>
        <v>1</v>
      </c>
      <c r="I238" s="2850"/>
    </row>
    <row r="239" spans="1:9" ht="15" customHeight="1">
      <c r="A239" s="2846" t="s">
        <v>125</v>
      </c>
      <c r="B239" s="2873" t="s">
        <v>33</v>
      </c>
      <c r="C239" s="2848">
        <v>1.278</v>
      </c>
      <c r="D239" s="2848"/>
      <c r="E239" s="2848">
        <f t="shared" si="32"/>
        <v>1.278</v>
      </c>
      <c r="F239" s="2771">
        <f>+SUM('RAE Anchoveta'!B229:B232)</f>
        <v>0</v>
      </c>
      <c r="G239" s="2771">
        <f t="shared" si="33"/>
        <v>1.278</v>
      </c>
      <c r="H239" s="2743">
        <f t="shared" si="31"/>
        <v>1</v>
      </c>
      <c r="I239" s="2850"/>
    </row>
    <row r="240" spans="1:9" ht="15" customHeight="1">
      <c r="A240" s="3521" t="s">
        <v>100</v>
      </c>
      <c r="B240" s="2873" t="s">
        <v>33</v>
      </c>
      <c r="C240" s="2848">
        <v>0</v>
      </c>
      <c r="D240" s="2848"/>
      <c r="E240" s="2848">
        <f t="shared" si="32"/>
        <v>0</v>
      </c>
      <c r="F240" s="2771">
        <f>+SUM('RAE Anchoveta'!B245:B248)</f>
        <v>0</v>
      </c>
      <c r="G240" s="2771">
        <f t="shared" si="33"/>
        <v>0</v>
      </c>
      <c r="H240" s="2743" t="e">
        <f t="shared" si="31"/>
        <v>#DIV/0!</v>
      </c>
      <c r="I240" s="2850"/>
    </row>
    <row r="241" spans="1:14" ht="15" customHeight="1">
      <c r="A241" s="2846" t="s">
        <v>960</v>
      </c>
      <c r="B241" s="2873" t="s">
        <v>33</v>
      </c>
      <c r="C241" s="2848">
        <v>0.29499999999999998</v>
      </c>
      <c r="D241" s="2848"/>
      <c r="E241" s="2848">
        <f t="shared" si="32"/>
        <v>0.86999999999999988</v>
      </c>
      <c r="F241" s="2771">
        <f>+SUM('RAE Anchoveta'!B261:B264)</f>
        <v>0</v>
      </c>
      <c r="G241" s="2771">
        <f t="shared" si="33"/>
        <v>0.86999999999999988</v>
      </c>
      <c r="H241" s="2743">
        <f t="shared" si="31"/>
        <v>1</v>
      </c>
      <c r="I241" s="2850"/>
    </row>
    <row r="242" spans="1:14" ht="15" customHeight="1">
      <c r="A242" s="2846" t="s">
        <v>1288</v>
      </c>
      <c r="B242" s="2873" t="s">
        <v>33</v>
      </c>
      <c r="C242" s="2848">
        <v>30.925999999999998</v>
      </c>
      <c r="D242" s="2848"/>
      <c r="E242" s="2848">
        <f t="shared" si="32"/>
        <v>338.76600000000008</v>
      </c>
      <c r="F242" s="2771">
        <f>+SUM('RAE Anchoveta'!B277:B280)</f>
        <v>9.5169999999999995</v>
      </c>
      <c r="G242" s="2780">
        <f t="shared" si="33"/>
        <v>329.24900000000008</v>
      </c>
      <c r="H242" s="2743">
        <f t="shared" si="31"/>
        <v>0.97190686196371534</v>
      </c>
      <c r="I242" s="2850"/>
    </row>
    <row r="243" spans="1:14" ht="15" customHeight="1">
      <c r="A243" s="2846" t="s">
        <v>101</v>
      </c>
      <c r="B243" s="2873" t="s">
        <v>33</v>
      </c>
      <c r="C243" s="2848">
        <v>0</v>
      </c>
      <c r="D243" s="2869"/>
      <c r="E243" s="2848">
        <f t="shared" si="32"/>
        <v>0</v>
      </c>
      <c r="F243" s="2747">
        <f>+SUM('RAE Anchoveta'!B293:B296)</f>
        <v>0</v>
      </c>
      <c r="G243" s="2771">
        <f t="shared" si="33"/>
        <v>0</v>
      </c>
      <c r="H243" s="2743" t="e">
        <f t="shared" si="31"/>
        <v>#DIV/0!</v>
      </c>
      <c r="I243" s="2850"/>
    </row>
    <row r="244" spans="1:14" ht="15" customHeight="1">
      <c r="A244" s="2846" t="s">
        <v>103</v>
      </c>
      <c r="B244" s="2873" t="s">
        <v>33</v>
      </c>
      <c r="C244" s="2848">
        <v>0</v>
      </c>
      <c r="D244" s="2874"/>
      <c r="E244" s="2848">
        <f t="shared" si="32"/>
        <v>0</v>
      </c>
      <c r="F244" s="2858">
        <f>+SUM('RAE Anchoveta'!B309:B312)</f>
        <v>0</v>
      </c>
      <c r="G244" s="2771">
        <f t="shared" si="33"/>
        <v>0</v>
      </c>
      <c r="H244" s="2743" t="e">
        <f t="shared" si="31"/>
        <v>#DIV/0!</v>
      </c>
      <c r="I244" s="2850"/>
    </row>
    <row r="245" spans="1:14" ht="15" customHeight="1">
      <c r="A245" s="2846" t="s">
        <v>104</v>
      </c>
      <c r="B245" s="2873" t="s">
        <v>33</v>
      </c>
      <c r="C245" s="2848">
        <v>0.58199999999999996</v>
      </c>
      <c r="D245" s="2848"/>
      <c r="E245" s="2848">
        <f t="shared" si="32"/>
        <v>2</v>
      </c>
      <c r="F245" s="2771">
        <f>+SUM('RAE Anchoveta'!B325:B328)</f>
        <v>0</v>
      </c>
      <c r="G245" s="2771">
        <f t="shared" si="33"/>
        <v>2</v>
      </c>
      <c r="H245" s="2743">
        <f t="shared" si="31"/>
        <v>1</v>
      </c>
      <c r="I245" s="2850"/>
    </row>
    <row r="246" spans="1:14" ht="15" customHeight="1">
      <c r="A246" s="2846" t="s">
        <v>105</v>
      </c>
      <c r="B246" s="2873" t="s">
        <v>33</v>
      </c>
      <c r="C246" s="2848">
        <v>3.6840000000000002</v>
      </c>
      <c r="D246" s="2869"/>
      <c r="E246" s="2848">
        <f t="shared" si="32"/>
        <v>65.031999999999996</v>
      </c>
      <c r="F246" s="2747">
        <f>+SUM('RAE Anchoveta'!B341:B344)</f>
        <v>0</v>
      </c>
      <c r="G246" s="2780">
        <f t="shared" si="33"/>
        <v>65.031999999999996</v>
      </c>
      <c r="H246" s="2743">
        <f t="shared" si="31"/>
        <v>1</v>
      </c>
      <c r="I246" s="2850"/>
    </row>
    <row r="247" spans="1:14" ht="15" customHeight="1">
      <c r="A247" s="2846" t="s">
        <v>107</v>
      </c>
      <c r="B247" s="2873" t="s">
        <v>33</v>
      </c>
      <c r="C247" s="2848">
        <v>4.5259999999999998</v>
      </c>
      <c r="D247" s="2869"/>
      <c r="E247" s="2848">
        <f t="shared" si="32"/>
        <v>90.177999999999997</v>
      </c>
      <c r="F247" s="2747">
        <f>+SUM('RAE Anchoveta'!B357:B360)</f>
        <v>0</v>
      </c>
      <c r="G247" s="2771">
        <f t="shared" si="33"/>
        <v>90.177999999999997</v>
      </c>
      <c r="H247" s="2743">
        <f t="shared" si="31"/>
        <v>1</v>
      </c>
      <c r="I247" s="2868"/>
    </row>
    <row r="248" spans="1:14" ht="15" customHeight="1">
      <c r="A248" s="2865"/>
      <c r="B248" s="2873"/>
      <c r="C248" s="2848"/>
      <c r="D248" s="2848"/>
      <c r="E248" s="2848"/>
      <c r="F248" s="2771"/>
      <c r="G248" s="2771"/>
      <c r="H248" s="2743"/>
      <c r="I248" s="2850"/>
    </row>
    <row r="249" spans="1:14" ht="15" customHeight="1">
      <c r="A249" s="2865"/>
      <c r="B249" s="2873"/>
      <c r="C249" s="2848"/>
      <c r="D249" s="2848"/>
      <c r="E249" s="2848"/>
      <c r="F249" s="2771"/>
      <c r="G249" s="2771"/>
      <c r="H249" s="2743"/>
      <c r="I249" s="2850"/>
    </row>
    <row r="250" spans="1:14" ht="15" customHeight="1">
      <c r="A250" s="2865" t="s">
        <v>58</v>
      </c>
      <c r="B250" s="2873" t="s">
        <v>33</v>
      </c>
      <c r="C250" s="2848">
        <v>5.8079999999999998</v>
      </c>
      <c r="D250" s="2848"/>
      <c r="E250" s="2848">
        <f t="shared" si="32"/>
        <v>115.726</v>
      </c>
      <c r="F250" s="2771">
        <f>+SUM('RAE Anchoveta'!B405:B408)</f>
        <v>0</v>
      </c>
      <c r="G250" s="2771">
        <f t="shared" si="33"/>
        <v>115.726</v>
      </c>
      <c r="H250" s="2743">
        <f t="shared" si="31"/>
        <v>1</v>
      </c>
      <c r="I250" s="2850"/>
    </row>
    <row r="251" spans="1:14" ht="15" customHeight="1">
      <c r="A251" s="2867" t="s">
        <v>50</v>
      </c>
      <c r="B251" s="2879" t="s">
        <v>33</v>
      </c>
      <c r="C251" s="2876">
        <f>SUM(C234:C250)</f>
        <v>115.85599999999999</v>
      </c>
      <c r="D251" s="2876"/>
      <c r="E251" s="2876">
        <f>SUM(E234:E250)</f>
        <v>1544.6490000000003</v>
      </c>
      <c r="F251" s="2876">
        <f>SUM(F234:F250)</f>
        <v>31.12</v>
      </c>
      <c r="G251" s="2876">
        <f>+E251-F2066</f>
        <v>1544.6490000000003</v>
      </c>
      <c r="H251" s="2712"/>
    </row>
    <row r="252" spans="1:14" ht="15" customHeight="1">
      <c r="A252" s="2877"/>
      <c r="B252" s="2729"/>
      <c r="C252" s="2730"/>
      <c r="D252" s="2730"/>
      <c r="E252" s="2730"/>
      <c r="F252" s="2878"/>
      <c r="G252" s="2731"/>
      <c r="H252" s="2712"/>
      <c r="M252" s="1190"/>
    </row>
    <row r="253" spans="1:14" ht="15" customHeight="1">
      <c r="A253" s="3802" t="s">
        <v>59</v>
      </c>
      <c r="B253" s="3803"/>
      <c r="C253" s="2730"/>
      <c r="D253" s="2730"/>
      <c r="E253" s="2730"/>
      <c r="F253" s="2878"/>
      <c r="G253" s="2731"/>
      <c r="H253" s="2712"/>
      <c r="M253" s="2234"/>
      <c r="N253" s="1146"/>
    </row>
    <row r="254" spans="1:14" ht="5.0999999999999996" customHeight="1">
      <c r="A254" s="2806"/>
      <c r="B254" s="2732"/>
      <c r="C254" s="2730"/>
      <c r="D254" s="2730"/>
      <c r="E254" s="2730"/>
      <c r="F254" s="2731"/>
      <c r="G254" s="2731"/>
      <c r="H254" s="2837"/>
      <c r="M254" s="2686"/>
      <c r="N254" s="1146"/>
    </row>
    <row r="255" spans="1:14" ht="15" customHeight="1">
      <c r="A255" s="2733" t="s">
        <v>45</v>
      </c>
      <c r="B255" s="2733" t="s">
        <v>46</v>
      </c>
      <c r="C255" s="2734" t="s">
        <v>47</v>
      </c>
      <c r="D255" s="2734" t="s">
        <v>313</v>
      </c>
      <c r="E255" s="2734" t="s">
        <v>48</v>
      </c>
      <c r="F255" s="2733" t="s">
        <v>19</v>
      </c>
      <c r="G255" s="2733" t="s">
        <v>20</v>
      </c>
      <c r="H255" s="2733" t="s">
        <v>49</v>
      </c>
      <c r="I255" s="2735" t="s">
        <v>22</v>
      </c>
      <c r="M255" s="2234"/>
      <c r="N255" s="1146"/>
    </row>
    <row r="256" spans="1:14" ht="15" customHeight="1">
      <c r="A256" s="2880" t="s">
        <v>777</v>
      </c>
      <c r="B256" s="2791" t="s">
        <v>36</v>
      </c>
      <c r="C256" s="2874">
        <v>86.373000000000005</v>
      </c>
      <c r="D256" s="2881"/>
      <c r="E256" s="2881">
        <f>+C256</f>
        <v>86.373000000000005</v>
      </c>
      <c r="F256" s="2882">
        <f>+SUM('RAE Anchoveta'!B414:B419)</f>
        <v>35.655999999999999</v>
      </c>
      <c r="G256" s="2752">
        <f>+E256-F256</f>
        <v>50.717000000000006</v>
      </c>
      <c r="H256" s="2743">
        <f t="shared" ref="H256" si="34">1-+F256/E256</f>
        <v>0.58718581038055873</v>
      </c>
      <c r="I256" s="2850"/>
      <c r="M256" s="2706"/>
      <c r="N256" s="1250"/>
    </row>
    <row r="257" spans="1:14" ht="15" customHeight="1">
      <c r="A257" s="2880" t="s">
        <v>60</v>
      </c>
      <c r="B257" s="2791" t="s">
        <v>36</v>
      </c>
      <c r="C257" s="2874">
        <v>20.353999999999999</v>
      </c>
      <c r="D257" s="2881"/>
      <c r="E257" s="2881">
        <f>+C257</f>
        <v>20.353999999999999</v>
      </c>
      <c r="F257" s="2882">
        <f>+SUM('RAE Anchoveta'!B430:B435)</f>
        <v>6.0830000000000002</v>
      </c>
      <c r="G257" s="2752">
        <f>+E257-F257</f>
        <v>14.270999999999999</v>
      </c>
      <c r="H257" s="2743">
        <f t="shared" ref="H257:H267" si="35">1-+F257/E257</f>
        <v>0.7011398250958043</v>
      </c>
      <c r="I257" s="2850"/>
      <c r="M257" s="2706"/>
      <c r="N257" s="1250"/>
    </row>
    <row r="258" spans="1:14" ht="15" customHeight="1">
      <c r="A258" s="2678" t="s">
        <v>575</v>
      </c>
      <c r="B258" s="2791" t="s">
        <v>36</v>
      </c>
      <c r="C258" s="2874">
        <v>126.446</v>
      </c>
      <c r="D258" s="2881"/>
      <c r="E258" s="2881">
        <f t="shared" ref="E258:E268" si="36">+C258</f>
        <v>126.446</v>
      </c>
      <c r="F258" s="2882">
        <f>+SUM('RAE Anchoveta'!B446:B451)</f>
        <v>9.9429999999999996</v>
      </c>
      <c r="G258" s="2752">
        <f t="shared" ref="G258:G268" si="37">+E258-F258</f>
        <v>116.503</v>
      </c>
      <c r="H258" s="2743">
        <f t="shared" si="35"/>
        <v>0.92136564225044681</v>
      </c>
      <c r="I258" s="2850"/>
      <c r="M258" s="2706"/>
      <c r="N258" s="1250"/>
    </row>
    <row r="259" spans="1:14" ht="15" customHeight="1">
      <c r="A259" s="2678" t="s">
        <v>523</v>
      </c>
      <c r="B259" s="2791" t="s">
        <v>36</v>
      </c>
      <c r="C259" s="2874">
        <v>104.38200000000001</v>
      </c>
      <c r="D259" s="2881"/>
      <c r="E259" s="2881">
        <f>+C259</f>
        <v>104.38200000000001</v>
      </c>
      <c r="F259" s="2882">
        <f>+SUM('RAE Anchoveta'!B462:B467)</f>
        <v>7.0670000000000002</v>
      </c>
      <c r="G259" s="2752">
        <f t="shared" si="37"/>
        <v>97.314999999999998</v>
      </c>
      <c r="H259" s="2743">
        <f t="shared" si="35"/>
        <v>0.93229675614569563</v>
      </c>
      <c r="I259" s="2850"/>
      <c r="M259" s="2233"/>
      <c r="N259" s="1250"/>
    </row>
    <row r="260" spans="1:14" ht="15" customHeight="1">
      <c r="A260" s="2678" t="s">
        <v>576</v>
      </c>
      <c r="B260" s="2791" t="s">
        <v>36</v>
      </c>
      <c r="C260" s="2874">
        <v>113.276</v>
      </c>
      <c r="D260" s="2881"/>
      <c r="E260" s="2881">
        <f t="shared" si="36"/>
        <v>113.276</v>
      </c>
      <c r="F260" s="2882">
        <f>+SUM('RAE Anchoveta'!B478:B483)</f>
        <v>20.033999999999999</v>
      </c>
      <c r="G260" s="2752">
        <f t="shared" si="37"/>
        <v>93.24199999999999</v>
      </c>
      <c r="H260" s="2743">
        <f t="shared" si="35"/>
        <v>0.823139941382111</v>
      </c>
      <c r="I260" s="2850"/>
      <c r="M260" s="2233"/>
      <c r="N260" s="1250"/>
    </row>
    <row r="261" spans="1:14" ht="15" customHeight="1">
      <c r="A261" s="2880" t="s">
        <v>61</v>
      </c>
      <c r="B261" s="2791" t="s">
        <v>36</v>
      </c>
      <c r="C261" s="2874">
        <v>34.46</v>
      </c>
      <c r="D261" s="2881"/>
      <c r="E261" s="2881">
        <f t="shared" si="36"/>
        <v>34.46</v>
      </c>
      <c r="F261" s="2882">
        <f>+SUM('RAE Anchoveta'!B494:B499)</f>
        <v>5.4020000000000001</v>
      </c>
      <c r="G261" s="2752">
        <f t="shared" si="37"/>
        <v>29.058</v>
      </c>
      <c r="H261" s="2743">
        <f t="shared" si="35"/>
        <v>0.84323853743470689</v>
      </c>
      <c r="I261" s="2850"/>
      <c r="M261" s="2233"/>
      <c r="N261" s="1250"/>
    </row>
    <row r="262" spans="1:14" ht="15" customHeight="1">
      <c r="A262" s="2880" t="s">
        <v>1289</v>
      </c>
      <c r="B262" s="2791" t="s">
        <v>36</v>
      </c>
      <c r="C262" s="2874">
        <v>0.82599999999999996</v>
      </c>
      <c r="D262" s="2848"/>
      <c r="E262" s="2881">
        <f t="shared" si="36"/>
        <v>0.82599999999999996</v>
      </c>
      <c r="F262" s="2882">
        <f>+SUM('RAE Anchoveta'!B542:B547)</f>
        <v>0</v>
      </c>
      <c r="G262" s="2752">
        <f t="shared" si="37"/>
        <v>0.82599999999999996</v>
      </c>
      <c r="H262" s="2743">
        <f t="shared" si="35"/>
        <v>1</v>
      </c>
      <c r="I262" s="2850"/>
      <c r="M262" s="2233"/>
      <c r="N262" s="1251"/>
    </row>
    <row r="263" spans="1:14" ht="15" customHeight="1">
      <c r="A263" s="2880" t="s">
        <v>526</v>
      </c>
      <c r="B263" s="2791" t="s">
        <v>36</v>
      </c>
      <c r="C263" s="2874">
        <v>0</v>
      </c>
      <c r="D263" s="2881"/>
      <c r="E263" s="2881">
        <f t="shared" si="36"/>
        <v>0</v>
      </c>
      <c r="F263" s="2882">
        <f>+SUM('RAE Anchoveta'!B574:B579)</f>
        <v>0</v>
      </c>
      <c r="G263" s="2752">
        <f t="shared" si="37"/>
        <v>0</v>
      </c>
      <c r="H263" s="2743" t="e">
        <f t="shared" si="35"/>
        <v>#DIV/0!</v>
      </c>
      <c r="I263" s="2850"/>
      <c r="M263" s="2233"/>
      <c r="N263" s="1250"/>
    </row>
    <row r="264" spans="1:14" ht="15" customHeight="1">
      <c r="A264" s="3473" t="s">
        <v>62</v>
      </c>
      <c r="B264" s="2791" t="s">
        <v>36</v>
      </c>
      <c r="C264" s="2874">
        <v>0</v>
      </c>
      <c r="D264" s="2881"/>
      <c r="E264" s="2881">
        <f t="shared" si="36"/>
        <v>0</v>
      </c>
      <c r="F264" s="2882">
        <f>+SUM('RAE Anchoveta'!B510:B515)</f>
        <v>0</v>
      </c>
      <c r="G264" s="2752">
        <f t="shared" si="37"/>
        <v>0</v>
      </c>
      <c r="H264" s="2743" t="e">
        <f t="shared" si="35"/>
        <v>#DIV/0!</v>
      </c>
      <c r="I264" s="2850"/>
      <c r="M264" s="2233"/>
      <c r="N264" s="1252"/>
    </row>
    <row r="265" spans="1:14" ht="15" customHeight="1">
      <c r="A265" s="2880" t="s">
        <v>524</v>
      </c>
      <c r="B265" s="2791" t="s">
        <v>36</v>
      </c>
      <c r="C265" s="2874">
        <v>0</v>
      </c>
      <c r="D265" s="2881"/>
      <c r="E265" s="2881">
        <f t="shared" si="36"/>
        <v>0</v>
      </c>
      <c r="F265" s="2882">
        <f>+SUM('RAE Anchoveta'!B526:B531)</f>
        <v>0</v>
      </c>
      <c r="G265" s="2752">
        <f t="shared" si="37"/>
        <v>0</v>
      </c>
      <c r="H265" s="2743" t="e">
        <f t="shared" si="35"/>
        <v>#DIV/0!</v>
      </c>
      <c r="I265" s="2850"/>
      <c r="M265" s="2233"/>
      <c r="N265" s="1252"/>
    </row>
    <row r="266" spans="1:14" ht="15" customHeight="1">
      <c r="A266" s="2880" t="s">
        <v>525</v>
      </c>
      <c r="B266" s="2791" t="s">
        <v>36</v>
      </c>
      <c r="C266" s="2874">
        <v>0</v>
      </c>
      <c r="D266" s="2881"/>
      <c r="E266" s="2881">
        <f t="shared" si="36"/>
        <v>0</v>
      </c>
      <c r="F266" s="2882">
        <f>+SUM('RAE Anchoveta'!B590:B595)</f>
        <v>0</v>
      </c>
      <c r="G266" s="2752">
        <f t="shared" si="37"/>
        <v>0</v>
      </c>
      <c r="H266" s="2743" t="e">
        <f t="shared" si="35"/>
        <v>#DIV/0!</v>
      </c>
      <c r="I266" s="2850"/>
      <c r="M266" s="2233"/>
      <c r="N266" s="1252"/>
    </row>
    <row r="267" spans="1:14" ht="15" customHeight="1">
      <c r="A267" s="2880" t="s">
        <v>121</v>
      </c>
      <c r="B267" s="2791" t="s">
        <v>36</v>
      </c>
      <c r="C267" s="2874">
        <v>190.78899999999999</v>
      </c>
      <c r="D267" s="2881"/>
      <c r="E267" s="2881">
        <f t="shared" si="36"/>
        <v>190.78899999999999</v>
      </c>
      <c r="F267" s="2882">
        <f>+SUM('RAE Anchoveta'!B606:B611)</f>
        <v>10.411000000000001</v>
      </c>
      <c r="G267" s="2752">
        <f t="shared" si="37"/>
        <v>180.37799999999999</v>
      </c>
      <c r="H267" s="2743">
        <f t="shared" si="35"/>
        <v>0.94543186452049122</v>
      </c>
      <c r="I267" s="2850"/>
      <c r="M267" s="2233"/>
      <c r="N267" s="1253"/>
    </row>
    <row r="268" spans="1:14" ht="15" customHeight="1">
      <c r="A268" s="2880" t="s">
        <v>58</v>
      </c>
      <c r="B268" s="2791" t="s">
        <v>36</v>
      </c>
      <c r="C268" s="2874">
        <v>11.672000000000001</v>
      </c>
      <c r="D268" s="2881"/>
      <c r="E268" s="2881">
        <f t="shared" si="36"/>
        <v>11.672000000000001</v>
      </c>
      <c r="F268" s="2882">
        <f>+SUM('RAE Anchoveta'!B558:B563)</f>
        <v>9.9779999999999998</v>
      </c>
      <c r="G268" s="2752">
        <f t="shared" si="37"/>
        <v>1.6940000000000008</v>
      </c>
      <c r="H268" s="2743">
        <f t="shared" ref="H268" si="38">+F268/E268</f>
        <v>0.85486634681288542</v>
      </c>
      <c r="I268" s="2826"/>
      <c r="M268" s="2233"/>
      <c r="N268" s="1252"/>
    </row>
    <row r="269" spans="1:14" ht="15" customHeight="1">
      <c r="A269" s="2867" t="s">
        <v>50</v>
      </c>
      <c r="B269" s="2867" t="s">
        <v>36</v>
      </c>
      <c r="C269" s="2883">
        <f>SUM(C256:C268)</f>
        <v>688.57799999999997</v>
      </c>
      <c r="D269" s="2883"/>
      <c r="E269" s="2883">
        <f>SUM(E256:E268)</f>
        <v>688.57799999999997</v>
      </c>
      <c r="F269" s="2883">
        <f>SUM(F256:F268)</f>
        <v>104.57399999999998</v>
      </c>
      <c r="G269" s="2876">
        <f>+E269-F269</f>
        <v>584.00400000000002</v>
      </c>
      <c r="H269" s="2837"/>
      <c r="M269" s="2233"/>
      <c r="N269" s="1146"/>
    </row>
    <row r="270" spans="1:14" ht="5.0999999999999996" customHeight="1">
      <c r="A270" s="2806"/>
      <c r="B270" s="2732"/>
      <c r="C270" s="2730"/>
      <c r="D270" s="2730"/>
      <c r="E270" s="2730"/>
      <c r="F270" s="2731"/>
      <c r="G270" s="2731"/>
      <c r="H270" s="2837"/>
      <c r="M270" s="1146"/>
      <c r="N270" s="1146"/>
    </row>
    <row r="271" spans="1:14" ht="15" customHeight="1">
      <c r="A271" s="2733" t="s">
        <v>45</v>
      </c>
      <c r="B271" s="2733" t="s">
        <v>46</v>
      </c>
      <c r="C271" s="2734" t="s">
        <v>47</v>
      </c>
      <c r="D271" s="2734" t="s">
        <v>313</v>
      </c>
      <c r="E271" s="2734" t="s">
        <v>48</v>
      </c>
      <c r="F271" s="2733" t="s">
        <v>19</v>
      </c>
      <c r="G271" s="2733" t="s">
        <v>20</v>
      </c>
      <c r="H271" s="2733" t="s">
        <v>49</v>
      </c>
      <c r="I271" s="2735" t="s">
        <v>22</v>
      </c>
      <c r="M271" s="1146"/>
      <c r="N271" s="1146"/>
    </row>
    <row r="272" spans="1:14" ht="15" customHeight="1">
      <c r="A272" s="2880" t="s">
        <v>777</v>
      </c>
      <c r="B272" s="2873" t="s">
        <v>37</v>
      </c>
      <c r="C272" s="2874">
        <v>29.093</v>
      </c>
      <c r="D272" s="2881"/>
      <c r="E272" s="2881">
        <f t="shared" ref="E272:E285" si="39">+C272+G256</f>
        <v>79.81</v>
      </c>
      <c r="F272" s="2853">
        <f>+SUM('RAE Anchoveta'!B420:B425)</f>
        <v>49.705000000000005</v>
      </c>
      <c r="G272" s="3213">
        <f>+E272-F272</f>
        <v>30.104999999999997</v>
      </c>
      <c r="H272" s="2743">
        <f t="shared" ref="H272" si="40">1-+F272/E272</f>
        <v>0.37720836987846129</v>
      </c>
      <c r="I272" s="2884"/>
      <c r="J272" s="2885">
        <f t="shared" ref="J272:J284" si="41">+F256+F272</f>
        <v>85.361000000000004</v>
      </c>
      <c r="M272" s="1146"/>
      <c r="N272" s="1250"/>
    </row>
    <row r="273" spans="1:14" ht="15" customHeight="1">
      <c r="A273" s="2678" t="s">
        <v>60</v>
      </c>
      <c r="B273" s="2873" t="s">
        <v>37</v>
      </c>
      <c r="C273" s="2874">
        <v>5.0890000000000004</v>
      </c>
      <c r="D273" s="2881"/>
      <c r="E273" s="2881">
        <f t="shared" si="39"/>
        <v>19.36</v>
      </c>
      <c r="F273" s="2853">
        <f>+SUM('RAE Anchoveta'!B436:B441)</f>
        <v>0</v>
      </c>
      <c r="G273" s="3213">
        <f>+E273-F273</f>
        <v>19.36</v>
      </c>
      <c r="H273" s="2743">
        <f t="shared" ref="H273:H284" si="42">1-+F273/E273</f>
        <v>1</v>
      </c>
      <c r="I273" s="2884"/>
      <c r="J273" s="2885">
        <f t="shared" si="41"/>
        <v>6.0830000000000002</v>
      </c>
      <c r="M273" s="1146"/>
      <c r="N273" s="1250"/>
    </row>
    <row r="274" spans="1:14" ht="15" customHeight="1">
      <c r="A274" s="2678" t="s">
        <v>575</v>
      </c>
      <c r="B274" s="2873" t="s">
        <v>37</v>
      </c>
      <c r="C274" s="2874">
        <v>56.612000000000002</v>
      </c>
      <c r="D274" s="2881"/>
      <c r="E274" s="2881">
        <f t="shared" si="39"/>
        <v>173.11500000000001</v>
      </c>
      <c r="F274" s="2853">
        <f>+SUM('RAE Anchoveta'!B452:B457)</f>
        <v>105.255</v>
      </c>
      <c r="G274" s="3213">
        <f t="shared" ref="G274:G279" si="43">+E274-F274</f>
        <v>67.860000000000014</v>
      </c>
      <c r="H274" s="2743">
        <f t="shared" si="42"/>
        <v>0.39199376137249808</v>
      </c>
      <c r="I274" s="2884"/>
      <c r="J274" s="2885">
        <f t="shared" si="41"/>
        <v>115.19799999999999</v>
      </c>
      <c r="M274" s="1146"/>
      <c r="N274" s="1250"/>
    </row>
    <row r="275" spans="1:14" ht="15" customHeight="1">
      <c r="A275" s="2678" t="s">
        <v>523</v>
      </c>
      <c r="B275" s="2873" t="s">
        <v>37</v>
      </c>
      <c r="C275" s="2874">
        <v>101.095</v>
      </c>
      <c r="D275" s="2881"/>
      <c r="E275" s="2881">
        <f t="shared" si="39"/>
        <v>198.41</v>
      </c>
      <c r="F275" s="2853">
        <f>+SUM('RAE Anchoveta'!B468:B473)</f>
        <v>0.41099999999999998</v>
      </c>
      <c r="G275" s="3213">
        <f t="shared" si="43"/>
        <v>197.999</v>
      </c>
      <c r="H275" s="2743">
        <f t="shared" si="42"/>
        <v>0.99792853182803287</v>
      </c>
      <c r="I275" s="2884"/>
      <c r="J275" s="2885">
        <f t="shared" si="41"/>
        <v>7.4779999999999998</v>
      </c>
      <c r="M275" s="1146"/>
      <c r="N275" s="1250"/>
    </row>
    <row r="276" spans="1:14" ht="15" customHeight="1">
      <c r="A276" s="2678" t="s">
        <v>576</v>
      </c>
      <c r="B276" s="2873" t="s">
        <v>37</v>
      </c>
      <c r="C276" s="2874">
        <v>28.318999999999999</v>
      </c>
      <c r="D276" s="2881"/>
      <c r="E276" s="2881">
        <f t="shared" si="39"/>
        <v>121.56099999999999</v>
      </c>
      <c r="F276" s="2853">
        <f>+SUM('RAE Anchoveta'!B484:B489)</f>
        <v>20.96</v>
      </c>
      <c r="G276" s="3213">
        <f t="shared" si="43"/>
        <v>100.601</v>
      </c>
      <c r="H276" s="2743">
        <f t="shared" si="42"/>
        <v>0.8275762785761881</v>
      </c>
      <c r="I276" s="2884"/>
      <c r="J276" s="2885">
        <f t="shared" si="41"/>
        <v>40.994</v>
      </c>
      <c r="M276" s="1146"/>
      <c r="N276" s="1250"/>
    </row>
    <row r="277" spans="1:14" ht="15" customHeight="1">
      <c r="A277" s="2880" t="s">
        <v>61</v>
      </c>
      <c r="B277" s="2873" t="s">
        <v>37</v>
      </c>
      <c r="C277" s="2874">
        <v>8.6150000000000002</v>
      </c>
      <c r="D277" s="2881"/>
      <c r="E277" s="2881">
        <f t="shared" si="39"/>
        <v>37.673000000000002</v>
      </c>
      <c r="F277" s="2853">
        <f>+SUM('RAE Anchoveta'!B500:B505)</f>
        <v>10.670999999999999</v>
      </c>
      <c r="G277" s="3213">
        <f t="shared" si="43"/>
        <v>27.002000000000002</v>
      </c>
      <c r="H277" s="2743">
        <f t="shared" si="42"/>
        <v>0.71674674169829855</v>
      </c>
      <c r="I277" s="2850"/>
      <c r="J277" s="2885">
        <f t="shared" si="41"/>
        <v>16.073</v>
      </c>
      <c r="M277" s="1146"/>
      <c r="N277" s="1250"/>
    </row>
    <row r="278" spans="1:14" ht="15" customHeight="1">
      <c r="A278" s="2880" t="s">
        <v>527</v>
      </c>
      <c r="B278" s="2873" t="s">
        <v>37</v>
      </c>
      <c r="C278" s="2874">
        <v>0.20699999999999999</v>
      </c>
      <c r="D278" s="2874"/>
      <c r="E278" s="2881">
        <f t="shared" si="39"/>
        <v>1.0329999999999999</v>
      </c>
      <c r="F278" s="2853">
        <f>+SUM('RAE Anchoveta'!B548:B553)</f>
        <v>0</v>
      </c>
      <c r="G278" s="2853">
        <f t="shared" si="43"/>
        <v>1.0329999999999999</v>
      </c>
      <c r="H278" s="2743">
        <f t="shared" si="42"/>
        <v>1</v>
      </c>
      <c r="I278" s="2850"/>
      <c r="J278" s="2885">
        <f t="shared" si="41"/>
        <v>0</v>
      </c>
      <c r="M278" s="1146"/>
      <c r="N278" s="1251"/>
    </row>
    <row r="279" spans="1:14" ht="15" customHeight="1">
      <c r="A279" s="2886" t="s">
        <v>526</v>
      </c>
      <c r="B279" s="2873" t="s">
        <v>37</v>
      </c>
      <c r="C279" s="2874">
        <v>0</v>
      </c>
      <c r="D279" s="2881"/>
      <c r="E279" s="2881">
        <f t="shared" si="39"/>
        <v>0</v>
      </c>
      <c r="F279" s="2853">
        <f>+SUM('RAE Anchoveta'!B580:B585)</f>
        <v>0</v>
      </c>
      <c r="G279" s="2853">
        <f t="shared" si="43"/>
        <v>0</v>
      </c>
      <c r="H279" s="2743" t="e">
        <f t="shared" si="42"/>
        <v>#DIV/0!</v>
      </c>
      <c r="I279" s="2850"/>
      <c r="J279" s="2885">
        <f t="shared" si="41"/>
        <v>0</v>
      </c>
      <c r="M279" s="1146"/>
      <c r="N279" s="1250"/>
    </row>
    <row r="280" spans="1:14" ht="15" customHeight="1">
      <c r="A280" s="3473" t="s">
        <v>62</v>
      </c>
      <c r="B280" s="2873" t="s">
        <v>37</v>
      </c>
      <c r="C280" s="2874">
        <v>0.27800000000000002</v>
      </c>
      <c r="D280" s="2881"/>
      <c r="E280" s="2881">
        <f t="shared" si="39"/>
        <v>0.27800000000000002</v>
      </c>
      <c r="F280" s="2853">
        <f>+SUM('RAE Anchoveta'!B516:B521)</f>
        <v>0</v>
      </c>
      <c r="G280" s="2853">
        <f t="shared" ref="G280:G284" si="44">+E280-F280</f>
        <v>0.27800000000000002</v>
      </c>
      <c r="H280" s="2743">
        <f t="shared" si="42"/>
        <v>1</v>
      </c>
      <c r="I280" s="2850"/>
      <c r="J280" s="2885">
        <f t="shared" si="41"/>
        <v>0</v>
      </c>
      <c r="M280" s="1146"/>
      <c r="N280" s="1252"/>
    </row>
    <row r="281" spans="1:14" ht="15" customHeight="1">
      <c r="A281" s="2880" t="s">
        <v>524</v>
      </c>
      <c r="B281" s="2873" t="s">
        <v>37</v>
      </c>
      <c r="C281" s="2874">
        <v>0</v>
      </c>
      <c r="D281" s="2881"/>
      <c r="E281" s="2881">
        <f t="shared" si="39"/>
        <v>0</v>
      </c>
      <c r="F281" s="2853">
        <f>+SUM('RAE Anchoveta'!B532:B537)</f>
        <v>0</v>
      </c>
      <c r="G281" s="2853">
        <f t="shared" si="44"/>
        <v>0</v>
      </c>
      <c r="H281" s="2743" t="e">
        <f t="shared" si="42"/>
        <v>#DIV/0!</v>
      </c>
      <c r="I281" s="2850"/>
      <c r="J281" s="2885">
        <f t="shared" si="41"/>
        <v>0</v>
      </c>
      <c r="M281" s="1146"/>
      <c r="N281" s="1252"/>
    </row>
    <row r="282" spans="1:14" ht="15" customHeight="1">
      <c r="A282" s="2880" t="s">
        <v>525</v>
      </c>
      <c r="B282" s="2873" t="s">
        <v>37</v>
      </c>
      <c r="C282" s="2874">
        <v>0</v>
      </c>
      <c r="D282" s="2881"/>
      <c r="E282" s="2881">
        <f t="shared" si="39"/>
        <v>0</v>
      </c>
      <c r="F282" s="2853">
        <f>+SUM('RAE Anchoveta'!B596:B601)</f>
        <v>0</v>
      </c>
      <c r="G282" s="2853">
        <f t="shared" si="44"/>
        <v>0</v>
      </c>
      <c r="H282" s="2743" t="e">
        <f t="shared" si="42"/>
        <v>#DIV/0!</v>
      </c>
      <c r="I282" s="2850"/>
      <c r="J282" s="2885">
        <f t="shared" si="41"/>
        <v>0</v>
      </c>
      <c r="M282" s="1146"/>
      <c r="N282" s="1252"/>
    </row>
    <row r="283" spans="1:14" ht="15" customHeight="1">
      <c r="A283" s="2880" t="s">
        <v>121</v>
      </c>
      <c r="B283" s="2873" t="s">
        <v>37</v>
      </c>
      <c r="C283" s="2874">
        <v>54.197000000000003</v>
      </c>
      <c r="D283" s="2881"/>
      <c r="E283" s="2881">
        <f t="shared" si="39"/>
        <v>234.57499999999999</v>
      </c>
      <c r="F283" s="2853">
        <f>+SUM('RAE Anchoveta'!B612:B617)</f>
        <v>0.58699999999999997</v>
      </c>
      <c r="G283" s="3213">
        <f t="shared" si="44"/>
        <v>233.988</v>
      </c>
      <c r="H283" s="2743">
        <f t="shared" si="42"/>
        <v>0.99749760204625382</v>
      </c>
      <c r="I283" s="2850"/>
      <c r="J283" s="2885">
        <f t="shared" si="41"/>
        <v>10.998000000000001</v>
      </c>
      <c r="M283" s="1146"/>
      <c r="N283" s="1253"/>
    </row>
    <row r="284" spans="1:14" ht="15" customHeight="1">
      <c r="A284" s="2880" t="s">
        <v>58</v>
      </c>
      <c r="B284" s="2873" t="s">
        <v>37</v>
      </c>
      <c r="C284" s="2874">
        <v>2.9169999999999998</v>
      </c>
      <c r="D284" s="2881"/>
      <c r="E284" s="2881">
        <f t="shared" si="39"/>
        <v>4.6110000000000007</v>
      </c>
      <c r="F284" s="2853">
        <f>+SUM('RAE Anchoveta'!B564:B569)</f>
        <v>3.2000000000000001E-2</v>
      </c>
      <c r="G284" s="3213">
        <f t="shared" si="44"/>
        <v>4.5790000000000006</v>
      </c>
      <c r="H284" s="2743">
        <f t="shared" si="42"/>
        <v>0.99306007373671656</v>
      </c>
      <c r="I284" s="2850"/>
      <c r="J284" s="2885">
        <f t="shared" si="41"/>
        <v>10.01</v>
      </c>
      <c r="M284" s="1146"/>
      <c r="N284" s="1252"/>
    </row>
    <row r="285" spans="1:14" ht="15" customHeight="1">
      <c r="A285" s="2867" t="s">
        <v>50</v>
      </c>
      <c r="B285" s="2879" t="s">
        <v>37</v>
      </c>
      <c r="C285" s="2887">
        <f>SUM(C272:C284)</f>
        <v>286.42199999999997</v>
      </c>
      <c r="D285" s="2876"/>
      <c r="E285" s="2876">
        <f t="shared" si="39"/>
        <v>870.42599999999993</v>
      </c>
      <c r="F285" s="2876">
        <f>SUM(F272:F284)</f>
        <v>187.62100000000001</v>
      </c>
      <c r="G285" s="2876">
        <f>+E285-F285</f>
        <v>682.80499999999995</v>
      </c>
      <c r="H285" s="2837"/>
      <c r="I285" s="2888"/>
      <c r="J285" s="2889">
        <f>SUM(J273:J284)</f>
        <v>206.83399999999997</v>
      </c>
    </row>
    <row r="286" spans="1:14">
      <c r="C286" s="2745">
        <f>+C269+C285</f>
        <v>975</v>
      </c>
    </row>
  </sheetData>
  <mergeCells count="10">
    <mergeCell ref="L191:AC191"/>
    <mergeCell ref="L193:S193"/>
    <mergeCell ref="A253:B253"/>
    <mergeCell ref="A2:I2"/>
    <mergeCell ref="A18:B18"/>
    <mergeCell ref="A55:B55"/>
    <mergeCell ref="A191:B191"/>
    <mergeCell ref="G55:H55"/>
    <mergeCell ref="A4:B4"/>
    <mergeCell ref="A35:B35"/>
  </mergeCells>
  <phoneticPr fontId="0" type="noConversion"/>
  <conditionalFormatting sqref="H13:H15 H194:H210 H122 H234:H250 H26:H27 H31:H32 H189 H38:H40 H44:H46 H50:H52 H7:H9 H214:H230 H21:H22 H256:H268 H272:H284">
    <cfRule type="cellIs" dxfId="178" priority="1061" stopIfTrue="1" operator="lessThan">
      <formula>0</formula>
    </cfRule>
    <cfRule type="cellIs" dxfId="177" priority="1063" stopIfTrue="1" operator="lessThan">
      <formula>0</formula>
    </cfRule>
  </conditionalFormatting>
  <conditionalFormatting sqref="H13:H15 H194:H210 H122 H234:H250 H26:H27 H31:H32 H189 H38:H40 H44:H46 H50:H52 H7:H9 H214:H230 H21:H22 H256:H268 H272:H284">
    <cfRule type="cellIs" dxfId="176" priority="1014" stopIfTrue="1" operator="lessThan">
      <formula>0.05</formula>
    </cfRule>
  </conditionalFormatting>
  <conditionalFormatting sqref="H13 H7">
    <cfRule type="cellIs" dxfId="175" priority="966" stopIfTrue="1" operator="lessThan">
      <formula>0</formula>
    </cfRule>
    <cfRule type="cellIs" dxfId="174" priority="972" stopIfTrue="1" operator="lessThan">
      <formula>-0.01</formula>
    </cfRule>
    <cfRule type="cellIs" dxfId="173" priority="973" stopIfTrue="1" operator="lessThan">
      <formula>-0.01</formula>
    </cfRule>
    <cfRule type="cellIs" dxfId="172" priority="975" stopIfTrue="1" operator="lessThan">
      <formula>0</formula>
    </cfRule>
    <cfRule type="cellIs" dxfId="171" priority="976" stopIfTrue="1" operator="lessThan">
      <formula>0</formula>
    </cfRule>
  </conditionalFormatting>
  <conditionalFormatting sqref="H14:H15 H8:H9">
    <cfRule type="cellIs" dxfId="170" priority="968" stopIfTrue="1" operator="lessThan">
      <formula>-0.01</formula>
    </cfRule>
    <cfRule type="cellIs" dxfId="169" priority="969" stopIfTrue="1" operator="lessThan">
      <formula>-0.01</formula>
    </cfRule>
    <cfRule type="cellIs" dxfId="168" priority="970" stopIfTrue="1" operator="lessThan">
      <formula>0</formula>
    </cfRule>
    <cfRule type="cellIs" dxfId="167" priority="971" stopIfTrue="1" operator="lessThan">
      <formula>0</formula>
    </cfRule>
  </conditionalFormatting>
  <conditionalFormatting sqref="H8:H9">
    <cfRule type="cellIs" dxfId="166" priority="239" stopIfTrue="1" operator="lessThan">
      <formula>0</formula>
    </cfRule>
    <cfRule type="cellIs" dxfId="165" priority="240" stopIfTrue="1" operator="lessThan">
      <formula>0</formula>
    </cfRule>
    <cfRule type="cellIs" dxfId="164" priority="241" stopIfTrue="1" operator="lessThan">
      <formula>0</formula>
    </cfRule>
  </conditionalFormatting>
  <conditionalFormatting sqref="H58:H122 H194:H210 H214:H230 H234:H250 H125:H189 H256:H268 H272:H284">
    <cfRule type="cellIs" dxfId="163" priority="229" operator="lessThan">
      <formula>0.05</formula>
    </cfRule>
    <cfRule type="cellIs" dxfId="162" priority="233" operator="lessThan">
      <formula>0.1</formula>
    </cfRule>
    <cfRule type="cellIs" dxfId="161" priority="236" operator="lessThan">
      <formula>0.2</formula>
    </cfRule>
    <cfRule type="cellIs" dxfId="160" priority="238" operator="lessThan">
      <formula>0.5</formula>
    </cfRule>
  </conditionalFormatting>
  <conditionalFormatting sqref="H59:H122 H234:H250 H125:H188 H256:H268 H272:H284">
    <cfRule type="cellIs" dxfId="159" priority="237" operator="lessThan">
      <formula>0.5</formula>
    </cfRule>
  </conditionalFormatting>
  <conditionalFormatting sqref="H59:H122 H234:H250 H125:H188 H256:H268 H272:H284">
    <cfRule type="cellIs" dxfId="158" priority="234" operator="lessThan">
      <formula>0.2</formula>
    </cfRule>
    <cfRule type="cellIs" dxfId="157" priority="235" operator="lessThan">
      <formula>0.5</formula>
    </cfRule>
  </conditionalFormatting>
  <conditionalFormatting sqref="H59:H122 H234:H250 H125:H188 H256:H268 H272:H284">
    <cfRule type="cellIs" dxfId="156" priority="230" operator="lessThan">
      <formula>0.1</formula>
    </cfRule>
    <cfRule type="cellIs" dxfId="155" priority="231" operator="lessThan">
      <formula>0.2</formula>
    </cfRule>
    <cfRule type="cellIs" dxfId="154" priority="232" operator="lessThan">
      <formula>0.5</formula>
    </cfRule>
  </conditionalFormatting>
  <pageMargins left="1.2598425196850394" right="0.39370078740157483" top="0.39370078740157483" bottom="0.35433070866141736" header="0" footer="0"/>
  <pageSetup paperSize="5" orientation="landscape" r:id="rId1"/>
  <headerFooter alignWithMargins="0"/>
  <rowBreaks count="3" manualBreakCount="3">
    <brk id="54" max="7" man="1"/>
    <brk id="123" max="7" man="1"/>
    <brk id="189" max="7" man="1"/>
  </rowBreaks>
  <legacy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2:BU618"/>
  <sheetViews>
    <sheetView zoomScale="70" zoomScaleNormal="70" workbookViewId="0">
      <selection activeCell="G417" sqref="G417"/>
    </sheetView>
  </sheetViews>
  <sheetFormatPr baseColWidth="10" defaultColWidth="11.44140625" defaultRowHeight="13.2"/>
  <cols>
    <col min="1" max="2" width="11.44140625" style="66"/>
    <col min="3" max="3" width="13.33203125" style="66" customWidth="1"/>
    <col min="4" max="7" width="11.44140625" style="66"/>
    <col min="8" max="8" width="12.6640625" style="66" customWidth="1"/>
    <col min="9" max="10" width="8" style="66" bestFit="1" customWidth="1"/>
    <col min="11" max="11" width="7" style="66" bestFit="1" customWidth="1"/>
    <col min="12" max="12" width="7.109375" style="66" bestFit="1" customWidth="1"/>
    <col min="13" max="13" width="7" style="66" bestFit="1" customWidth="1"/>
    <col min="14" max="14" width="7.109375" style="66" bestFit="1" customWidth="1"/>
    <col min="15" max="15" width="7" style="66" bestFit="1" customWidth="1"/>
    <col min="16" max="16" width="7.109375" style="66" bestFit="1" customWidth="1"/>
    <col min="17" max="17" width="7" style="66" bestFit="1" customWidth="1"/>
    <col min="18" max="18" width="7.109375" style="66" bestFit="1" customWidth="1"/>
    <col min="19" max="22" width="7" style="66" bestFit="1" customWidth="1"/>
    <col min="23" max="23" width="9" style="66" customWidth="1"/>
    <col min="24" max="24" width="8" style="66" bestFit="1" customWidth="1"/>
    <col min="25" max="26" width="7" style="66" bestFit="1" customWidth="1"/>
    <col min="27" max="27" width="8" style="66" customWidth="1"/>
    <col min="28" max="28" width="7.44140625" style="66" customWidth="1"/>
    <col min="29" max="29" width="7" style="66" bestFit="1" customWidth="1"/>
    <col min="30" max="30" width="8" style="66" bestFit="1" customWidth="1"/>
    <col min="31" max="31" width="7" style="66" bestFit="1" customWidth="1"/>
    <col min="32" max="32" width="6.109375" style="66" bestFit="1" customWidth="1"/>
    <col min="33" max="16384" width="11.44140625" style="66"/>
  </cols>
  <sheetData>
    <row r="2" spans="1:36" ht="15">
      <c r="A2" s="3811" t="s">
        <v>736</v>
      </c>
      <c r="B2" s="3812"/>
      <c r="C2" s="3812"/>
      <c r="D2" s="3812"/>
      <c r="E2" s="3812"/>
      <c r="F2" s="3812"/>
      <c r="G2" s="3812"/>
      <c r="H2" s="3812"/>
      <c r="I2" s="3812"/>
      <c r="J2" s="3812"/>
      <c r="K2" s="3812"/>
      <c r="L2" s="3812"/>
      <c r="M2" s="3812"/>
      <c r="N2" s="3812"/>
      <c r="O2" s="3812"/>
      <c r="P2" s="3812"/>
      <c r="Q2" s="3812"/>
      <c r="R2" s="3812"/>
      <c r="S2" s="3812"/>
      <c r="T2" s="3813"/>
      <c r="U2" s="11"/>
      <c r="V2" s="11"/>
      <c r="W2" s="11"/>
      <c r="X2" s="11"/>
      <c r="Y2" s="11"/>
      <c r="Z2" s="11"/>
      <c r="AA2" s="11"/>
      <c r="AB2" s="11"/>
      <c r="AC2" s="11"/>
      <c r="AD2" s="11"/>
      <c r="AE2" s="11"/>
      <c r="AF2" s="11"/>
      <c r="AG2" s="11"/>
      <c r="AH2" s="1"/>
    </row>
    <row r="3" spans="1:36" s="96" customFormat="1" ht="15">
      <c r="A3" s="114"/>
      <c r="B3" s="114"/>
      <c r="C3" s="114"/>
      <c r="D3" s="114"/>
      <c r="E3" s="114"/>
      <c r="F3" s="114"/>
      <c r="G3" s="114"/>
      <c r="H3" s="114"/>
      <c r="I3" s="114"/>
      <c r="J3" s="114"/>
      <c r="K3" s="114"/>
      <c r="L3" s="114"/>
      <c r="M3" s="114"/>
      <c r="N3" s="114"/>
      <c r="O3" s="114"/>
      <c r="P3" s="114"/>
      <c r="Q3" s="114"/>
      <c r="R3" s="114"/>
      <c r="S3" s="114"/>
      <c r="T3" s="114"/>
      <c r="U3" s="46"/>
      <c r="V3" s="3814"/>
      <c r="W3" s="3814"/>
      <c r="X3" s="3814"/>
      <c r="Y3" s="3814"/>
      <c r="Z3" s="3814"/>
      <c r="AA3" s="3814"/>
      <c r="AB3" s="3814"/>
      <c r="AC3" s="3814"/>
      <c r="AD3" s="46"/>
      <c r="AE3" s="46"/>
      <c r="AF3" s="46"/>
      <c r="AG3" s="46"/>
      <c r="AH3" s="46"/>
    </row>
    <row r="4" spans="1:36" s="96" customFormat="1" ht="15">
      <c r="A4" s="3818" t="s">
        <v>115</v>
      </c>
      <c r="B4" s="3819"/>
      <c r="C4" s="3819"/>
      <c r="D4" s="3819"/>
      <c r="E4" s="3819"/>
      <c r="F4" s="3819"/>
      <c r="G4" s="3819"/>
      <c r="H4" s="3819"/>
      <c r="I4" s="3819"/>
      <c r="J4" s="3819"/>
      <c r="K4" s="3819"/>
      <c r="L4" s="3819"/>
      <c r="M4" s="3819"/>
      <c r="N4" s="3819"/>
      <c r="O4" s="3819"/>
      <c r="P4" s="3819"/>
      <c r="Q4" s="3819"/>
      <c r="R4" s="3820"/>
      <c r="S4" s="114"/>
      <c r="T4" s="114"/>
      <c r="U4" s="46"/>
      <c r="V4" s="46"/>
      <c r="W4" s="46"/>
      <c r="X4" s="46"/>
      <c r="Y4" s="46"/>
      <c r="Z4" s="46"/>
      <c r="AA4" s="46"/>
      <c r="AB4" s="46"/>
      <c r="AC4" s="46"/>
      <c r="AD4" s="46"/>
      <c r="AE4" s="46"/>
      <c r="AF4" s="46"/>
      <c r="AG4" s="46"/>
      <c r="AH4" s="46"/>
      <c r="AI4" s="2266" t="s">
        <v>1346</v>
      </c>
      <c r="AJ4" s="66"/>
    </row>
    <row r="5" spans="1:36" s="96" customFormat="1" ht="6.75" customHeight="1">
      <c r="A5" s="115"/>
      <c r="B5" s="116"/>
      <c r="C5" s="116"/>
      <c r="D5" s="116"/>
      <c r="E5" s="116"/>
      <c r="F5" s="116"/>
      <c r="G5" s="116"/>
      <c r="H5" s="116"/>
      <c r="I5" s="114"/>
      <c r="J5" s="114"/>
      <c r="K5" s="114"/>
      <c r="L5" s="114"/>
      <c r="M5" s="114"/>
      <c r="N5" s="114"/>
      <c r="O5" s="114"/>
      <c r="P5" s="114"/>
      <c r="Q5" s="114"/>
      <c r="R5" s="114"/>
      <c r="S5" s="114"/>
      <c r="T5" s="114"/>
      <c r="U5" s="46"/>
      <c r="V5" s="46"/>
      <c r="W5" s="46"/>
      <c r="X5" s="46"/>
      <c r="Y5" s="46"/>
      <c r="Z5" s="46"/>
      <c r="AA5" s="46"/>
      <c r="AB5" s="46"/>
      <c r="AC5" s="46"/>
      <c r="AD5" s="46"/>
      <c r="AE5" s="46"/>
      <c r="AF5" s="46"/>
      <c r="AG5" s="46"/>
      <c r="AH5" s="46"/>
      <c r="AI5" s="66"/>
      <c r="AJ5" s="66"/>
    </row>
    <row r="6" spans="1:36" s="96" customFormat="1" ht="15">
      <c r="A6" s="3831" t="s">
        <v>118</v>
      </c>
      <c r="B6" s="3832"/>
      <c r="C6" s="3832"/>
      <c r="D6" s="3832"/>
      <c r="E6" s="3832"/>
      <c r="F6" s="3832"/>
      <c r="G6" s="3832"/>
      <c r="H6" s="3833"/>
      <c r="I6" s="11"/>
      <c r="J6" s="11"/>
      <c r="K6" s="11"/>
      <c r="M6" s="11"/>
      <c r="N6" s="11"/>
      <c r="O6" s="11"/>
      <c r="P6" s="11"/>
      <c r="Q6" s="11"/>
      <c r="R6" s="11"/>
      <c r="S6" s="11"/>
      <c r="T6" s="11"/>
      <c r="U6" s="11"/>
      <c r="V6" s="11"/>
      <c r="W6" s="11"/>
      <c r="X6" s="11"/>
      <c r="Y6" s="11"/>
      <c r="Z6" s="11"/>
      <c r="AA6" s="11"/>
      <c r="AB6" s="11"/>
      <c r="AC6" s="11"/>
      <c r="AD6" s="11"/>
      <c r="AE6" s="11"/>
      <c r="AF6" s="11"/>
      <c r="AG6" s="11"/>
      <c r="AH6" s="11"/>
      <c r="AI6" s="66"/>
      <c r="AJ6" s="66"/>
    </row>
    <row r="7" spans="1:36" s="96" customFormat="1" ht="15">
      <c r="A7" s="5" t="s">
        <v>70</v>
      </c>
      <c r="B7" s="5" t="s">
        <v>71</v>
      </c>
      <c r="C7" s="1054">
        <v>1</v>
      </c>
      <c r="D7" s="21">
        <v>2</v>
      </c>
      <c r="E7" s="21">
        <v>3</v>
      </c>
      <c r="F7" s="21">
        <v>4</v>
      </c>
      <c r="G7" s="21">
        <v>5</v>
      </c>
      <c r="H7" s="21">
        <v>6</v>
      </c>
      <c r="I7" s="21">
        <v>7</v>
      </c>
      <c r="J7" s="21">
        <v>8</v>
      </c>
      <c r="K7" s="21">
        <v>9</v>
      </c>
      <c r="L7" s="21">
        <v>10</v>
      </c>
      <c r="M7" s="21">
        <v>11</v>
      </c>
      <c r="N7" s="21">
        <v>12</v>
      </c>
      <c r="O7" s="21">
        <v>13</v>
      </c>
      <c r="P7" s="21">
        <v>14</v>
      </c>
      <c r="Q7" s="21">
        <v>15</v>
      </c>
      <c r="R7" s="21">
        <v>16</v>
      </c>
      <c r="S7" s="21">
        <v>17</v>
      </c>
      <c r="T7" s="21">
        <v>18</v>
      </c>
      <c r="U7" s="21">
        <v>19</v>
      </c>
      <c r="V7" s="21">
        <v>20</v>
      </c>
      <c r="W7" s="21">
        <v>21</v>
      </c>
      <c r="X7" s="21">
        <v>22</v>
      </c>
      <c r="Y7" s="21">
        <v>23</v>
      </c>
      <c r="Z7" s="21">
        <v>24</v>
      </c>
      <c r="AA7" s="21">
        <v>25</v>
      </c>
      <c r="AB7" s="21">
        <v>26</v>
      </c>
      <c r="AC7" s="21">
        <v>27</v>
      </c>
      <c r="AD7" s="21">
        <v>28</v>
      </c>
      <c r="AE7" s="21">
        <v>29</v>
      </c>
      <c r="AF7" s="21">
        <v>30</v>
      </c>
      <c r="AG7" s="21">
        <v>31</v>
      </c>
      <c r="AH7" s="25" t="s">
        <v>72</v>
      </c>
      <c r="AI7" s="2266" t="s">
        <v>1345</v>
      </c>
      <c r="AJ7" s="66">
        <f>(B20/COUNTIF($C$8:$AG$19,"&gt;0"))</f>
        <v>4.1280000000000001</v>
      </c>
    </row>
    <row r="8" spans="1:36" s="96" customFormat="1" ht="15">
      <c r="A8" s="1728" t="s">
        <v>73</v>
      </c>
      <c r="B8" s="15">
        <f>+AH8</f>
        <v>0.4</v>
      </c>
      <c r="C8" s="129">
        <v>0</v>
      </c>
      <c r="D8" s="166">
        <v>0</v>
      </c>
      <c r="E8" s="1600">
        <v>0</v>
      </c>
      <c r="F8" s="1600">
        <v>0</v>
      </c>
      <c r="G8" s="166">
        <v>0</v>
      </c>
      <c r="H8" s="166">
        <v>0</v>
      </c>
      <c r="I8" s="168">
        <v>0</v>
      </c>
      <c r="J8" s="168">
        <v>0</v>
      </c>
      <c r="K8" s="168">
        <v>0</v>
      </c>
      <c r="L8" s="168">
        <v>0</v>
      </c>
      <c r="M8" s="166">
        <v>0</v>
      </c>
      <c r="N8" s="166">
        <v>0</v>
      </c>
      <c r="O8" s="166">
        <v>0</v>
      </c>
      <c r="P8" s="166">
        <v>0</v>
      </c>
      <c r="Q8" s="166">
        <v>0.4</v>
      </c>
      <c r="R8" s="166">
        <v>0</v>
      </c>
      <c r="S8" s="166">
        <v>0</v>
      </c>
      <c r="T8" s="166">
        <v>0</v>
      </c>
      <c r="U8" s="166">
        <v>0</v>
      </c>
      <c r="V8" s="166">
        <v>0</v>
      </c>
      <c r="W8" s="169">
        <v>0</v>
      </c>
      <c r="X8" s="166">
        <v>0</v>
      </c>
      <c r="Y8" s="166">
        <v>0</v>
      </c>
      <c r="Z8" s="166">
        <v>0</v>
      </c>
      <c r="AA8" s="166">
        <v>0</v>
      </c>
      <c r="AB8" s="166">
        <v>0</v>
      </c>
      <c r="AC8" s="166">
        <v>0</v>
      </c>
      <c r="AD8" s="166">
        <v>0</v>
      </c>
      <c r="AE8" s="166">
        <v>0</v>
      </c>
      <c r="AF8" s="166">
        <v>0</v>
      </c>
      <c r="AG8" s="166">
        <v>0</v>
      </c>
      <c r="AH8" s="39">
        <f>SUM(C8:AG8)</f>
        <v>0.4</v>
      </c>
      <c r="AJ8" s="96">
        <f>+'Resumen RAE Anchoveta'!G13</f>
        <v>22.256</v>
      </c>
    </row>
    <row r="9" spans="1:36" s="96" customFormat="1" ht="15">
      <c r="A9" s="1728" t="s">
        <v>74</v>
      </c>
      <c r="B9" s="15">
        <f t="shared" ref="B9:B19" si="0">+AH9</f>
        <v>0</v>
      </c>
      <c r="C9" s="129">
        <v>0</v>
      </c>
      <c r="D9" s="166">
        <v>0</v>
      </c>
      <c r="E9" s="166">
        <v>0</v>
      </c>
      <c r="F9" s="166">
        <v>0</v>
      </c>
      <c r="G9" s="166">
        <v>0</v>
      </c>
      <c r="H9" s="166">
        <v>0</v>
      </c>
      <c r="I9" s="166">
        <v>0</v>
      </c>
      <c r="J9" s="166">
        <v>0</v>
      </c>
      <c r="K9" s="166">
        <v>0</v>
      </c>
      <c r="L9" s="166">
        <v>0</v>
      </c>
      <c r="M9" s="166">
        <v>0</v>
      </c>
      <c r="N9" s="166">
        <v>0</v>
      </c>
      <c r="O9" s="166">
        <v>0</v>
      </c>
      <c r="P9" s="166">
        <v>0</v>
      </c>
      <c r="Q9" s="166">
        <v>0</v>
      </c>
      <c r="R9" s="166">
        <v>0</v>
      </c>
      <c r="S9" s="166">
        <v>0</v>
      </c>
      <c r="T9" s="166">
        <v>0</v>
      </c>
      <c r="U9" s="166">
        <v>0</v>
      </c>
      <c r="V9" s="166">
        <v>0</v>
      </c>
      <c r="W9" s="166">
        <v>0</v>
      </c>
      <c r="X9" s="166">
        <v>0</v>
      </c>
      <c r="Y9" s="166">
        <v>0</v>
      </c>
      <c r="Z9" s="166">
        <v>0</v>
      </c>
      <c r="AA9" s="166">
        <v>0</v>
      </c>
      <c r="AB9" s="166">
        <v>0</v>
      </c>
      <c r="AC9" s="166">
        <v>0</v>
      </c>
      <c r="AD9" s="166">
        <v>0</v>
      </c>
      <c r="AE9" s="166"/>
      <c r="AF9" s="166"/>
      <c r="AG9" s="166"/>
      <c r="AH9" s="39">
        <f t="shared" ref="AH9:AH19" si="1">SUM(C9:AG9)</f>
        <v>0</v>
      </c>
      <c r="AJ9" s="3209">
        <f>+AJ8/AJ7</f>
        <v>5.3914728682170541</v>
      </c>
    </row>
    <row r="10" spans="1:36" s="96" customFormat="1" ht="15">
      <c r="A10" s="1728" t="s">
        <v>75</v>
      </c>
      <c r="B10" s="15">
        <f t="shared" si="0"/>
        <v>4.8529999999999998</v>
      </c>
      <c r="C10" s="170">
        <v>0</v>
      </c>
      <c r="D10" s="171">
        <v>0</v>
      </c>
      <c r="E10" s="172">
        <v>0</v>
      </c>
      <c r="F10" s="172">
        <v>0</v>
      </c>
      <c r="G10" s="172">
        <v>0</v>
      </c>
      <c r="H10" s="172">
        <v>0</v>
      </c>
      <c r="I10" s="172">
        <v>0</v>
      </c>
      <c r="J10" s="172">
        <v>0</v>
      </c>
      <c r="K10" s="172">
        <v>0</v>
      </c>
      <c r="L10" s="172">
        <v>0</v>
      </c>
      <c r="M10" s="172">
        <v>0</v>
      </c>
      <c r="N10" s="172">
        <v>4.8529999999999998</v>
      </c>
      <c r="O10" s="172">
        <v>0</v>
      </c>
      <c r="P10" s="172">
        <v>0</v>
      </c>
      <c r="Q10" s="172">
        <v>0</v>
      </c>
      <c r="R10" s="172">
        <v>0</v>
      </c>
      <c r="S10" s="172">
        <v>0</v>
      </c>
      <c r="T10" s="172">
        <v>0</v>
      </c>
      <c r="U10" s="172">
        <v>0</v>
      </c>
      <c r="V10" s="172">
        <v>0</v>
      </c>
      <c r="W10" s="172">
        <v>0</v>
      </c>
      <c r="X10" s="172">
        <v>0</v>
      </c>
      <c r="Y10" s="172">
        <v>0</v>
      </c>
      <c r="Z10" s="172">
        <v>0</v>
      </c>
      <c r="AA10" s="172">
        <v>0</v>
      </c>
      <c r="AB10" s="172">
        <v>0</v>
      </c>
      <c r="AC10" s="172">
        <v>0</v>
      </c>
      <c r="AD10" s="172">
        <v>0</v>
      </c>
      <c r="AE10" s="172">
        <v>0</v>
      </c>
      <c r="AF10" s="172">
        <v>0</v>
      </c>
      <c r="AG10" s="172">
        <v>0</v>
      </c>
      <c r="AH10" s="39">
        <f t="shared" si="1"/>
        <v>4.8529999999999998</v>
      </c>
      <c r="AJ10" s="3208"/>
    </row>
    <row r="11" spans="1:36" s="96" customFormat="1" ht="15">
      <c r="A11" s="1728" t="s">
        <v>76</v>
      </c>
      <c r="B11" s="15">
        <f t="shared" si="0"/>
        <v>19.835999999999999</v>
      </c>
      <c r="C11" s="89">
        <v>0</v>
      </c>
      <c r="D11" s="90">
        <v>0</v>
      </c>
      <c r="E11" s="91">
        <v>4.8070000000000004</v>
      </c>
      <c r="F11" s="91">
        <v>0</v>
      </c>
      <c r="G11" s="91">
        <v>0</v>
      </c>
      <c r="H11" s="91">
        <v>0</v>
      </c>
      <c r="I11" s="91">
        <v>0</v>
      </c>
      <c r="J11" s="91">
        <v>0</v>
      </c>
      <c r="K11" s="91">
        <v>0</v>
      </c>
      <c r="L11" s="91">
        <v>0</v>
      </c>
      <c r="M11" s="91">
        <v>0</v>
      </c>
      <c r="N11" s="91">
        <v>0</v>
      </c>
      <c r="O11" s="91">
        <v>0</v>
      </c>
      <c r="P11" s="91">
        <v>0</v>
      </c>
      <c r="Q11" s="91">
        <v>0</v>
      </c>
      <c r="R11" s="91">
        <v>3</v>
      </c>
      <c r="S11" s="91">
        <v>0</v>
      </c>
      <c r="T11" s="91">
        <v>0</v>
      </c>
      <c r="U11" s="91">
        <v>0</v>
      </c>
      <c r="V11" s="91">
        <v>0</v>
      </c>
      <c r="W11" s="91">
        <v>12.029</v>
      </c>
      <c r="X11" s="91">
        <v>0</v>
      </c>
      <c r="Y11" s="91">
        <v>0</v>
      </c>
      <c r="Z11" s="91">
        <v>0</v>
      </c>
      <c r="AA11" s="91">
        <v>0</v>
      </c>
      <c r="AB11" s="91">
        <v>0</v>
      </c>
      <c r="AC11" s="91">
        <v>0</v>
      </c>
      <c r="AD11" s="91">
        <v>0</v>
      </c>
      <c r="AE11" s="91">
        <v>0</v>
      </c>
      <c r="AF11" s="91">
        <v>0</v>
      </c>
      <c r="AG11" s="91"/>
      <c r="AH11" s="39">
        <f t="shared" si="1"/>
        <v>19.835999999999999</v>
      </c>
    </row>
    <row r="12" spans="1:36" s="96" customFormat="1" ht="15">
      <c r="A12" s="1728" t="s">
        <v>77</v>
      </c>
      <c r="B12" s="15">
        <f t="shared" si="0"/>
        <v>0</v>
      </c>
      <c r="C12" s="89">
        <v>0</v>
      </c>
      <c r="D12" s="90">
        <v>0</v>
      </c>
      <c r="E12" s="91">
        <v>0</v>
      </c>
      <c r="F12" s="91">
        <v>0</v>
      </c>
      <c r="G12" s="91">
        <v>0</v>
      </c>
      <c r="H12" s="91">
        <v>0</v>
      </c>
      <c r="I12" s="91">
        <v>0</v>
      </c>
      <c r="J12" s="91">
        <v>0</v>
      </c>
      <c r="K12" s="1056">
        <v>0</v>
      </c>
      <c r="L12" s="91">
        <v>0</v>
      </c>
      <c r="M12" s="91">
        <v>0</v>
      </c>
      <c r="N12" s="91">
        <v>0</v>
      </c>
      <c r="O12" s="91">
        <v>0</v>
      </c>
      <c r="P12" s="91">
        <v>0</v>
      </c>
      <c r="Q12" s="91">
        <v>0</v>
      </c>
      <c r="R12" s="91">
        <v>0</v>
      </c>
      <c r="S12" s="91">
        <v>0</v>
      </c>
      <c r="T12" s="91">
        <v>0</v>
      </c>
      <c r="U12" s="91">
        <v>0</v>
      </c>
      <c r="V12" s="91">
        <v>0</v>
      </c>
      <c r="W12" s="91">
        <v>0</v>
      </c>
      <c r="X12" s="91">
        <v>0</v>
      </c>
      <c r="Y12" s="91">
        <v>0</v>
      </c>
      <c r="Z12" s="91">
        <v>0</v>
      </c>
      <c r="AA12" s="91">
        <v>0</v>
      </c>
      <c r="AB12" s="91">
        <v>0</v>
      </c>
      <c r="AC12" s="91">
        <v>0</v>
      </c>
      <c r="AD12" s="91">
        <v>0</v>
      </c>
      <c r="AE12" s="91">
        <v>0</v>
      </c>
      <c r="AF12" s="91">
        <v>0</v>
      </c>
      <c r="AG12" s="91">
        <v>0</v>
      </c>
      <c r="AH12" s="39">
        <f t="shared" si="1"/>
        <v>0</v>
      </c>
    </row>
    <row r="13" spans="1:36" s="96" customFormat="1" ht="15">
      <c r="A13" s="1728" t="s">
        <v>78</v>
      </c>
      <c r="B13" s="15">
        <f t="shared" si="0"/>
        <v>0</v>
      </c>
      <c r="C13" s="108">
        <v>0</v>
      </c>
      <c r="D13" s="108">
        <v>0</v>
      </c>
      <c r="E13" s="108">
        <v>0</v>
      </c>
      <c r="F13" s="108">
        <v>0</v>
      </c>
      <c r="G13" s="108">
        <v>0</v>
      </c>
      <c r="H13" s="108">
        <v>0</v>
      </c>
      <c r="I13" s="108">
        <v>0</v>
      </c>
      <c r="J13" s="108">
        <v>0</v>
      </c>
      <c r="K13" s="108">
        <v>0</v>
      </c>
      <c r="L13" s="108">
        <v>0</v>
      </c>
      <c r="M13" s="108">
        <v>0</v>
      </c>
      <c r="N13" s="108">
        <v>0</v>
      </c>
      <c r="O13" s="108">
        <v>0</v>
      </c>
      <c r="P13" s="108">
        <v>0</v>
      </c>
      <c r="Q13" s="108">
        <v>0</v>
      </c>
      <c r="R13" s="108">
        <v>0</v>
      </c>
      <c r="S13" s="108">
        <v>0</v>
      </c>
      <c r="T13" s="108">
        <v>0</v>
      </c>
      <c r="U13" s="108">
        <v>0</v>
      </c>
      <c r="V13" s="108">
        <v>0</v>
      </c>
      <c r="W13" s="108">
        <v>0</v>
      </c>
      <c r="X13" s="108">
        <v>0</v>
      </c>
      <c r="Y13" s="108">
        <v>0</v>
      </c>
      <c r="Z13" s="108">
        <v>0</v>
      </c>
      <c r="AA13" s="108">
        <v>0</v>
      </c>
      <c r="AB13" s="108">
        <v>0</v>
      </c>
      <c r="AC13" s="108">
        <v>0</v>
      </c>
      <c r="AD13" s="108">
        <v>0</v>
      </c>
      <c r="AE13" s="108">
        <v>0</v>
      </c>
      <c r="AF13" s="108">
        <v>0</v>
      </c>
      <c r="AG13" s="108"/>
      <c r="AH13" s="39">
        <f t="shared" si="1"/>
        <v>0</v>
      </c>
    </row>
    <row r="14" spans="1:36" s="96" customFormat="1" ht="15">
      <c r="A14" s="1728" t="s">
        <v>79</v>
      </c>
      <c r="B14" s="15">
        <f t="shared" si="0"/>
        <v>0</v>
      </c>
      <c r="C14" s="108">
        <v>0</v>
      </c>
      <c r="D14" s="108">
        <v>0</v>
      </c>
      <c r="E14" s="108">
        <v>0</v>
      </c>
      <c r="F14" s="108">
        <v>0</v>
      </c>
      <c r="G14" s="108">
        <v>0</v>
      </c>
      <c r="H14" s="108">
        <v>0</v>
      </c>
      <c r="I14" s="108">
        <v>0</v>
      </c>
      <c r="J14" s="108">
        <v>0</v>
      </c>
      <c r="K14" s="108">
        <v>0</v>
      </c>
      <c r="L14" s="108">
        <v>0</v>
      </c>
      <c r="M14" s="108">
        <v>0</v>
      </c>
      <c r="N14" s="108">
        <v>0</v>
      </c>
      <c r="O14" s="108">
        <v>0</v>
      </c>
      <c r="P14" s="108">
        <v>0</v>
      </c>
      <c r="Q14" s="108">
        <v>0</v>
      </c>
      <c r="R14" s="108">
        <v>0</v>
      </c>
      <c r="S14" s="108">
        <v>0</v>
      </c>
      <c r="T14" s="108">
        <v>0</v>
      </c>
      <c r="U14" s="108">
        <v>0</v>
      </c>
      <c r="V14" s="108">
        <v>0</v>
      </c>
      <c r="W14" s="108">
        <v>0</v>
      </c>
      <c r="X14" s="108">
        <v>0</v>
      </c>
      <c r="Y14" s="108">
        <v>0</v>
      </c>
      <c r="Z14" s="108">
        <v>0</v>
      </c>
      <c r="AA14" s="108">
        <v>0</v>
      </c>
      <c r="AB14" s="108">
        <v>0</v>
      </c>
      <c r="AC14" s="108">
        <v>0</v>
      </c>
      <c r="AD14" s="108">
        <v>0</v>
      </c>
      <c r="AE14" s="108">
        <v>0</v>
      </c>
      <c r="AF14" s="108">
        <v>0</v>
      </c>
      <c r="AG14" s="108">
        <v>0</v>
      </c>
      <c r="AH14" s="39">
        <f t="shared" si="1"/>
        <v>0</v>
      </c>
    </row>
    <row r="15" spans="1:36" s="96" customFormat="1" ht="15">
      <c r="A15" s="1728" t="s">
        <v>80</v>
      </c>
      <c r="B15" s="15">
        <f t="shared" si="0"/>
        <v>0</v>
      </c>
      <c r="C15" s="1689">
        <v>0</v>
      </c>
      <c r="D15" s="1689">
        <v>0</v>
      </c>
      <c r="E15" s="1689">
        <v>0</v>
      </c>
      <c r="F15" s="1689">
        <v>0</v>
      </c>
      <c r="G15" s="1689">
        <v>0</v>
      </c>
      <c r="H15" s="1689">
        <v>0</v>
      </c>
      <c r="I15" s="1689">
        <v>0</v>
      </c>
      <c r="J15" s="1689">
        <v>0</v>
      </c>
      <c r="K15" s="1689">
        <v>0</v>
      </c>
      <c r="L15" s="1689">
        <v>0</v>
      </c>
      <c r="M15" s="1689">
        <v>0</v>
      </c>
      <c r="N15" s="1689">
        <v>0</v>
      </c>
      <c r="O15" s="1689">
        <v>0</v>
      </c>
      <c r="P15" s="1689">
        <v>0</v>
      </c>
      <c r="Q15" s="1689">
        <v>0</v>
      </c>
      <c r="R15" s="1689">
        <v>0</v>
      </c>
      <c r="S15" s="1689">
        <v>0</v>
      </c>
      <c r="T15" s="1689">
        <v>0</v>
      </c>
      <c r="U15" s="1689">
        <v>0</v>
      </c>
      <c r="V15" s="1689">
        <v>0</v>
      </c>
      <c r="W15" s="1689">
        <v>0</v>
      </c>
      <c r="X15" s="1689">
        <v>0</v>
      </c>
      <c r="Y15" s="1689">
        <v>0</v>
      </c>
      <c r="Z15" s="1689">
        <v>0</v>
      </c>
      <c r="AA15" s="1689">
        <v>0</v>
      </c>
      <c r="AB15" s="1689">
        <v>0</v>
      </c>
      <c r="AC15" s="1689">
        <v>0</v>
      </c>
      <c r="AD15" s="1689">
        <v>0</v>
      </c>
      <c r="AE15" s="1689">
        <v>0</v>
      </c>
      <c r="AF15" s="1689">
        <v>0</v>
      </c>
      <c r="AG15" s="1689">
        <v>0</v>
      </c>
      <c r="AH15" s="39">
        <f t="shared" si="1"/>
        <v>0</v>
      </c>
    </row>
    <row r="16" spans="1:36" s="96" customFormat="1" ht="15">
      <c r="A16" s="1728" t="s">
        <v>81</v>
      </c>
      <c r="B16" s="15">
        <f t="shared" si="0"/>
        <v>0</v>
      </c>
      <c r="C16" s="1689" t="s">
        <v>109</v>
      </c>
      <c r="D16" s="1689"/>
      <c r="E16" s="1689"/>
      <c r="F16" s="1689"/>
      <c r="G16" s="1689"/>
      <c r="H16" s="1689"/>
      <c r="I16" s="1689"/>
      <c r="J16" s="1689"/>
      <c r="K16" s="1689"/>
      <c r="L16" s="1689"/>
      <c r="M16" s="1689"/>
      <c r="N16" s="1689"/>
      <c r="O16" s="1689"/>
      <c r="P16" s="1689"/>
      <c r="Q16" s="1689"/>
      <c r="R16" s="1689"/>
      <c r="S16" s="1689"/>
      <c r="T16" s="1689"/>
      <c r="U16" s="1689"/>
      <c r="V16" s="1689"/>
      <c r="W16" s="1689"/>
      <c r="X16" s="1689"/>
      <c r="Y16" s="1689"/>
      <c r="Z16" s="1689"/>
      <c r="AA16" s="1689"/>
      <c r="AB16" s="1689"/>
      <c r="AC16" s="1689"/>
      <c r="AD16" s="1689"/>
      <c r="AE16" s="1689"/>
      <c r="AF16" s="1689"/>
      <c r="AG16" s="1689"/>
      <c r="AH16" s="39">
        <f t="shared" si="1"/>
        <v>0</v>
      </c>
    </row>
    <row r="17" spans="1:36" s="96" customFormat="1" ht="15">
      <c r="A17" s="1728" t="s">
        <v>82</v>
      </c>
      <c r="B17" s="15">
        <f t="shared" si="0"/>
        <v>7.4349999999999996</v>
      </c>
      <c r="C17" s="108">
        <v>0</v>
      </c>
      <c r="D17" s="108">
        <v>0</v>
      </c>
      <c r="E17" s="108">
        <v>0</v>
      </c>
      <c r="F17" s="108">
        <v>0</v>
      </c>
      <c r="G17" s="108">
        <v>0</v>
      </c>
      <c r="H17" s="108">
        <v>6.9349999999999996</v>
      </c>
      <c r="I17" s="108">
        <v>0</v>
      </c>
      <c r="J17" s="108">
        <v>0</v>
      </c>
      <c r="K17" s="108">
        <v>0</v>
      </c>
      <c r="L17" s="108">
        <v>0</v>
      </c>
      <c r="M17" s="108">
        <v>0.5</v>
      </c>
      <c r="N17" s="108">
        <v>0</v>
      </c>
      <c r="O17" s="108">
        <v>0</v>
      </c>
      <c r="P17" s="108">
        <v>0</v>
      </c>
      <c r="Q17" s="108">
        <v>0</v>
      </c>
      <c r="R17" s="108">
        <v>0</v>
      </c>
      <c r="S17" s="108">
        <v>0</v>
      </c>
      <c r="T17" s="108">
        <v>0</v>
      </c>
      <c r="U17" s="108">
        <v>0</v>
      </c>
      <c r="V17" s="108">
        <v>0</v>
      </c>
      <c r="W17" s="108">
        <v>0</v>
      </c>
      <c r="X17" s="108">
        <v>0</v>
      </c>
      <c r="Y17" s="108">
        <v>0</v>
      </c>
      <c r="Z17" s="108">
        <v>0</v>
      </c>
      <c r="AA17" s="108">
        <v>0</v>
      </c>
      <c r="AB17" s="108">
        <v>0</v>
      </c>
      <c r="AC17" s="108">
        <v>0</v>
      </c>
      <c r="AD17" s="108">
        <v>0</v>
      </c>
      <c r="AE17" s="108">
        <v>0</v>
      </c>
      <c r="AF17" s="108">
        <v>0</v>
      </c>
      <c r="AG17" s="108">
        <v>0</v>
      </c>
      <c r="AH17" s="39">
        <f t="shared" si="1"/>
        <v>7.4349999999999996</v>
      </c>
    </row>
    <row r="18" spans="1:36" s="96" customFormat="1" ht="15">
      <c r="A18" s="1519" t="s">
        <v>83</v>
      </c>
      <c r="B18" s="15">
        <f t="shared" si="0"/>
        <v>0</v>
      </c>
      <c r="C18" s="108">
        <v>0</v>
      </c>
      <c r="D18" s="108">
        <v>0</v>
      </c>
      <c r="E18" s="108">
        <v>0</v>
      </c>
      <c r="F18" s="108">
        <v>0</v>
      </c>
      <c r="G18" s="108">
        <v>0</v>
      </c>
      <c r="H18" s="108">
        <v>0</v>
      </c>
      <c r="I18" s="2479">
        <v>0</v>
      </c>
      <c r="J18" s="108">
        <v>0</v>
      </c>
      <c r="K18" s="108">
        <v>0</v>
      </c>
      <c r="L18" s="108">
        <v>0</v>
      </c>
      <c r="M18" s="108">
        <v>0</v>
      </c>
      <c r="N18" s="108">
        <v>0</v>
      </c>
      <c r="O18" s="108">
        <v>0</v>
      </c>
      <c r="P18" s="108">
        <v>0</v>
      </c>
      <c r="Q18" s="108">
        <v>0</v>
      </c>
      <c r="R18" s="108">
        <v>0</v>
      </c>
      <c r="S18" s="108">
        <v>0</v>
      </c>
      <c r="T18" s="108">
        <v>0</v>
      </c>
      <c r="U18" s="108">
        <v>0</v>
      </c>
      <c r="V18" s="108">
        <v>0</v>
      </c>
      <c r="W18" s="108">
        <v>0</v>
      </c>
      <c r="X18" s="108">
        <v>0</v>
      </c>
      <c r="Y18" s="108">
        <v>0</v>
      </c>
      <c r="Z18" s="108">
        <v>0</v>
      </c>
      <c r="AA18" s="108">
        <v>0</v>
      </c>
      <c r="AB18" s="108">
        <v>0</v>
      </c>
      <c r="AC18" s="108">
        <v>0</v>
      </c>
      <c r="AD18" s="108">
        <v>0</v>
      </c>
      <c r="AE18" s="108">
        <v>0</v>
      </c>
      <c r="AF18" s="108">
        <v>0</v>
      </c>
      <c r="AG18" s="108"/>
      <c r="AH18" s="39">
        <f t="shared" si="1"/>
        <v>0</v>
      </c>
    </row>
    <row r="19" spans="1:36" s="96" customFormat="1" ht="15">
      <c r="A19" s="1519" t="s">
        <v>84</v>
      </c>
      <c r="B19" s="15">
        <f t="shared" si="0"/>
        <v>0.5</v>
      </c>
      <c r="C19" s="108">
        <v>0</v>
      </c>
      <c r="D19" s="108">
        <v>0</v>
      </c>
      <c r="E19" s="108">
        <v>0</v>
      </c>
      <c r="F19" s="108">
        <v>0</v>
      </c>
      <c r="G19" s="108">
        <v>0</v>
      </c>
      <c r="H19" s="108">
        <v>0</v>
      </c>
      <c r="I19" s="108">
        <v>0</v>
      </c>
      <c r="J19" s="108">
        <v>0</v>
      </c>
      <c r="K19" s="108">
        <v>0</v>
      </c>
      <c r="L19" s="108">
        <v>0</v>
      </c>
      <c r="M19" s="108">
        <v>0</v>
      </c>
      <c r="N19" s="108">
        <v>0</v>
      </c>
      <c r="O19" s="108">
        <v>0</v>
      </c>
      <c r="P19" s="108">
        <v>0</v>
      </c>
      <c r="Q19" s="108">
        <v>0</v>
      </c>
      <c r="R19" s="108">
        <v>0</v>
      </c>
      <c r="S19" s="108">
        <v>0</v>
      </c>
      <c r="T19" s="108">
        <v>0</v>
      </c>
      <c r="U19" s="108">
        <v>0</v>
      </c>
      <c r="V19" s="108">
        <v>0.5</v>
      </c>
      <c r="W19" s="108">
        <v>0</v>
      </c>
      <c r="X19" s="108">
        <v>0</v>
      </c>
      <c r="Y19" s="108">
        <v>0</v>
      </c>
      <c r="Z19" s="108">
        <v>0</v>
      </c>
      <c r="AA19" s="108">
        <v>0</v>
      </c>
      <c r="AB19" s="108">
        <v>0</v>
      </c>
      <c r="AC19" s="108">
        <v>0</v>
      </c>
      <c r="AD19" s="108">
        <v>0</v>
      </c>
      <c r="AE19" s="108">
        <v>0</v>
      </c>
      <c r="AF19" s="108">
        <v>0</v>
      </c>
      <c r="AG19" s="108">
        <v>0</v>
      </c>
      <c r="AH19" s="39">
        <f t="shared" si="1"/>
        <v>0.5</v>
      </c>
    </row>
    <row r="20" spans="1:36" s="96" customFormat="1" ht="15">
      <c r="A20" s="71" t="s">
        <v>72</v>
      </c>
      <c r="B20" s="72">
        <f>SUM(B8:B19)</f>
        <v>33.024000000000001</v>
      </c>
      <c r="C20" s="32">
        <f>SUM(C8:C19)</f>
        <v>0</v>
      </c>
      <c r="D20" s="32">
        <f t="shared" ref="D20:AG20" si="2">SUM(D8:D19)</f>
        <v>0</v>
      </c>
      <c r="E20" s="32">
        <f>SUM(E8:E19)</f>
        <v>4.8070000000000004</v>
      </c>
      <c r="F20" s="32">
        <f>SUM(F8:F19)</f>
        <v>0</v>
      </c>
      <c r="G20" s="32">
        <f t="shared" si="2"/>
        <v>0</v>
      </c>
      <c r="H20" s="32">
        <f t="shared" si="2"/>
        <v>6.9349999999999996</v>
      </c>
      <c r="I20" s="32">
        <f t="shared" si="2"/>
        <v>0</v>
      </c>
      <c r="J20" s="32">
        <f t="shared" si="2"/>
        <v>0</v>
      </c>
      <c r="K20" s="32">
        <f t="shared" si="2"/>
        <v>0</v>
      </c>
      <c r="L20" s="32">
        <f t="shared" si="2"/>
        <v>0</v>
      </c>
      <c r="M20" s="32">
        <f t="shared" si="2"/>
        <v>0.5</v>
      </c>
      <c r="N20" s="32">
        <f t="shared" si="2"/>
        <v>4.8529999999999998</v>
      </c>
      <c r="O20" s="32">
        <f>SUM(O8:O19)</f>
        <v>0</v>
      </c>
      <c r="P20" s="32">
        <f t="shared" si="2"/>
        <v>0</v>
      </c>
      <c r="Q20" s="32">
        <f t="shared" si="2"/>
        <v>0.4</v>
      </c>
      <c r="R20" s="32">
        <f t="shared" si="2"/>
        <v>3</v>
      </c>
      <c r="S20" s="32">
        <f t="shared" si="2"/>
        <v>0</v>
      </c>
      <c r="T20" s="32">
        <f t="shared" si="2"/>
        <v>0</v>
      </c>
      <c r="U20" s="32">
        <f t="shared" si="2"/>
        <v>0</v>
      </c>
      <c r="V20" s="32">
        <f t="shared" si="2"/>
        <v>0.5</v>
      </c>
      <c r="W20" s="32">
        <f t="shared" si="2"/>
        <v>12.029</v>
      </c>
      <c r="X20" s="32">
        <f t="shared" si="2"/>
        <v>0</v>
      </c>
      <c r="Y20" s="32">
        <f t="shared" si="2"/>
        <v>0</v>
      </c>
      <c r="Z20" s="32">
        <f t="shared" si="2"/>
        <v>0</v>
      </c>
      <c r="AA20" s="32">
        <f t="shared" si="2"/>
        <v>0</v>
      </c>
      <c r="AB20" s="32">
        <f t="shared" si="2"/>
        <v>0</v>
      </c>
      <c r="AC20" s="32">
        <f t="shared" si="2"/>
        <v>0</v>
      </c>
      <c r="AD20" s="32">
        <f t="shared" si="2"/>
        <v>0</v>
      </c>
      <c r="AE20" s="32">
        <f t="shared" si="2"/>
        <v>0</v>
      </c>
      <c r="AF20" s="32">
        <f t="shared" si="2"/>
        <v>0</v>
      </c>
      <c r="AG20" s="32">
        <f t="shared" si="2"/>
        <v>0</v>
      </c>
      <c r="AH20" s="32">
        <f>SUM(AH8:AH19)</f>
        <v>33.024000000000001</v>
      </c>
    </row>
    <row r="21" spans="1:36" s="96" customFormat="1" ht="15">
      <c r="A21" s="114"/>
      <c r="B21" s="114"/>
      <c r="C21" s="114"/>
      <c r="D21" s="114"/>
      <c r="E21" s="114"/>
      <c r="F21" s="114"/>
      <c r="G21" s="114"/>
      <c r="H21" s="114"/>
      <c r="I21" s="114"/>
      <c r="J21" s="114"/>
      <c r="K21" s="114"/>
      <c r="L21" s="114"/>
      <c r="M21" s="114"/>
      <c r="N21" s="114"/>
      <c r="O21" s="114"/>
      <c r="P21" s="114"/>
      <c r="Q21" s="114"/>
      <c r="R21" s="114"/>
      <c r="S21" s="114"/>
      <c r="T21" s="114"/>
      <c r="U21" s="46"/>
      <c r="V21" s="46"/>
      <c r="W21" s="46"/>
      <c r="X21" s="46"/>
      <c r="Y21" s="46"/>
      <c r="Z21" s="46"/>
      <c r="AA21" s="46"/>
      <c r="AB21" s="46"/>
      <c r="AC21" s="46"/>
      <c r="AD21" s="46"/>
      <c r="AE21" s="46"/>
      <c r="AF21" s="46"/>
      <c r="AG21" s="46"/>
      <c r="AH21" s="46"/>
    </row>
    <row r="22" spans="1:36" s="96" customFormat="1" ht="15">
      <c r="A22" s="3811" t="s">
        <v>116</v>
      </c>
      <c r="B22" s="3812"/>
      <c r="C22" s="3812"/>
      <c r="D22" s="3812"/>
      <c r="E22" s="3812"/>
      <c r="F22" s="3812"/>
      <c r="G22" s="3812"/>
      <c r="H22" s="3813"/>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row>
    <row r="23" spans="1:36" s="96" customFormat="1" ht="15">
      <c r="A23" s="5" t="s">
        <v>70</v>
      </c>
      <c r="B23" s="5" t="s">
        <v>71</v>
      </c>
      <c r="C23" s="1054">
        <v>1</v>
      </c>
      <c r="D23" s="21">
        <v>2</v>
      </c>
      <c r="E23" s="21">
        <v>3</v>
      </c>
      <c r="F23" s="21">
        <v>4</v>
      </c>
      <c r="G23" s="21">
        <v>5</v>
      </c>
      <c r="H23" s="21">
        <v>6</v>
      </c>
      <c r="I23" s="21">
        <v>7</v>
      </c>
      <c r="J23" s="21">
        <v>8</v>
      </c>
      <c r="K23" s="21">
        <v>9</v>
      </c>
      <c r="L23" s="21">
        <v>10</v>
      </c>
      <c r="M23" s="21">
        <v>11</v>
      </c>
      <c r="N23" s="21">
        <v>12</v>
      </c>
      <c r="O23" s="21">
        <v>13</v>
      </c>
      <c r="P23" s="21">
        <v>14</v>
      </c>
      <c r="Q23" s="21">
        <v>15</v>
      </c>
      <c r="R23" s="21">
        <v>16</v>
      </c>
      <c r="S23" s="21">
        <v>17</v>
      </c>
      <c r="T23" s="21">
        <v>18</v>
      </c>
      <c r="U23" s="21">
        <v>19</v>
      </c>
      <c r="V23" s="21">
        <v>20</v>
      </c>
      <c r="W23" s="21">
        <v>21</v>
      </c>
      <c r="X23" s="21">
        <v>22</v>
      </c>
      <c r="Y23" s="21">
        <v>23</v>
      </c>
      <c r="Z23" s="21">
        <v>24</v>
      </c>
      <c r="AA23" s="21">
        <v>25</v>
      </c>
      <c r="AB23" s="21">
        <v>26</v>
      </c>
      <c r="AC23" s="21">
        <v>27</v>
      </c>
      <c r="AD23" s="21">
        <v>28</v>
      </c>
      <c r="AE23" s="21">
        <v>29</v>
      </c>
      <c r="AF23" s="21">
        <v>30</v>
      </c>
      <c r="AG23" s="21">
        <v>31</v>
      </c>
      <c r="AH23" s="25" t="s">
        <v>72</v>
      </c>
      <c r="AI23" s="2266" t="s">
        <v>1345</v>
      </c>
      <c r="AJ23" s="66">
        <f>(B36/COUNTIF($C$24:$AG$35,"&gt;0"))</f>
        <v>123.81772413793104</v>
      </c>
    </row>
    <row r="24" spans="1:36" s="96" customFormat="1" ht="15">
      <c r="A24" s="1728" t="s">
        <v>73</v>
      </c>
      <c r="B24" s="15">
        <f>+AH24</f>
        <v>871.27800000000002</v>
      </c>
      <c r="C24" s="108">
        <v>0</v>
      </c>
      <c r="D24" s="108">
        <v>0</v>
      </c>
      <c r="E24" s="108">
        <v>6.1159999999999997</v>
      </c>
      <c r="F24" s="108">
        <v>0</v>
      </c>
      <c r="G24" s="108">
        <v>0</v>
      </c>
      <c r="H24" s="108">
        <v>125.13900000000001</v>
      </c>
      <c r="I24" s="108">
        <v>5.5670000000000002</v>
      </c>
      <c r="J24" s="108">
        <v>0</v>
      </c>
      <c r="K24" s="108">
        <v>2.7969999999999997</v>
      </c>
      <c r="L24" s="108">
        <v>0</v>
      </c>
      <c r="M24" s="108">
        <v>64.141999999999996</v>
      </c>
      <c r="N24" s="108">
        <v>0</v>
      </c>
      <c r="O24" s="108">
        <v>68.525999999999996</v>
      </c>
      <c r="P24" s="108">
        <v>0</v>
      </c>
      <c r="Q24" s="108">
        <v>11.957000000000001</v>
      </c>
      <c r="R24" s="108">
        <v>47.882999999999996</v>
      </c>
      <c r="S24" s="108">
        <v>25.648</v>
      </c>
      <c r="T24" s="108">
        <v>1.4630000000000001</v>
      </c>
      <c r="U24" s="108">
        <v>0</v>
      </c>
      <c r="V24" s="108">
        <v>0</v>
      </c>
      <c r="W24" s="108">
        <v>13.548</v>
      </c>
      <c r="X24" s="108">
        <v>10.581000000000001</v>
      </c>
      <c r="Y24" s="108">
        <v>15.562999999999999</v>
      </c>
      <c r="Z24" s="108">
        <v>9.3190000000000008</v>
      </c>
      <c r="AA24" s="108">
        <v>70.816999999999993</v>
      </c>
      <c r="AB24" s="108">
        <v>0</v>
      </c>
      <c r="AC24" s="108">
        <v>88.010999999999996</v>
      </c>
      <c r="AD24" s="108">
        <v>18.570999999999998</v>
      </c>
      <c r="AE24" s="108">
        <v>72.510000000000005</v>
      </c>
      <c r="AF24" s="108">
        <v>128.24100000000001</v>
      </c>
      <c r="AG24" s="108">
        <v>84.878999999999991</v>
      </c>
      <c r="AH24" s="39">
        <f>SUM(C24:AG24)</f>
        <v>871.27800000000002</v>
      </c>
      <c r="AJ24" s="96">
        <f>+'Resumen RAE Anchoveta'!G14</f>
        <v>339.27200000000016</v>
      </c>
    </row>
    <row r="25" spans="1:36" s="96" customFormat="1" ht="15">
      <c r="A25" s="1728" t="s">
        <v>74</v>
      </c>
      <c r="B25" s="15">
        <f t="shared" ref="B25:B35" si="3">+AH25</f>
        <v>300.34499999999997</v>
      </c>
      <c r="C25" s="108">
        <v>80.73599999999999</v>
      </c>
      <c r="D25" s="108">
        <v>0</v>
      </c>
      <c r="E25" s="108">
        <v>79.716000000000008</v>
      </c>
      <c r="F25" s="108">
        <v>0</v>
      </c>
      <c r="G25" s="108">
        <v>61.029000000000003</v>
      </c>
      <c r="H25" s="108">
        <v>69.938000000000002</v>
      </c>
      <c r="I25" s="108">
        <v>0</v>
      </c>
      <c r="J25" s="108">
        <v>0</v>
      </c>
      <c r="K25" s="108">
        <v>0</v>
      </c>
      <c r="L25" s="108">
        <v>0</v>
      </c>
      <c r="M25" s="108">
        <v>0</v>
      </c>
      <c r="N25" s="108">
        <v>0</v>
      </c>
      <c r="O25" s="108">
        <v>0</v>
      </c>
      <c r="P25" s="108">
        <v>0</v>
      </c>
      <c r="Q25" s="108">
        <v>0</v>
      </c>
      <c r="R25" s="108">
        <v>0</v>
      </c>
      <c r="S25" s="108">
        <v>0</v>
      </c>
      <c r="T25" s="108">
        <v>0</v>
      </c>
      <c r="U25" s="108">
        <v>0</v>
      </c>
      <c r="V25" s="108">
        <v>0</v>
      </c>
      <c r="W25" s="108">
        <v>0</v>
      </c>
      <c r="X25" s="108">
        <v>0</v>
      </c>
      <c r="Y25" s="108">
        <v>0</v>
      </c>
      <c r="Z25" s="108">
        <v>0</v>
      </c>
      <c r="AA25" s="108">
        <v>8.9260000000000002</v>
      </c>
      <c r="AB25" s="108">
        <v>0</v>
      </c>
      <c r="AC25" s="108">
        <v>0</v>
      </c>
      <c r="AD25" s="108">
        <v>0</v>
      </c>
      <c r="AE25" s="108"/>
      <c r="AF25" s="108"/>
      <c r="AG25" s="108"/>
      <c r="AH25" s="39">
        <f t="shared" ref="AH25:AH35" si="4">SUM(C25:AG25)</f>
        <v>300.34499999999997</v>
      </c>
      <c r="AJ25" s="3210">
        <f>+AJ24/AJ23</f>
        <v>2.7400923604609013</v>
      </c>
    </row>
    <row r="26" spans="1:36" s="96" customFormat="1" ht="15">
      <c r="A26" s="1728" t="s">
        <v>75</v>
      </c>
      <c r="B26" s="15">
        <f t="shared" si="3"/>
        <v>2664.9470000000001</v>
      </c>
      <c r="C26" s="108">
        <v>0</v>
      </c>
      <c r="D26" s="108">
        <v>0</v>
      </c>
      <c r="E26" s="108">
        <v>0</v>
      </c>
      <c r="F26" s="108">
        <v>0</v>
      </c>
      <c r="G26" s="108">
        <v>0</v>
      </c>
      <c r="H26" s="94">
        <v>0</v>
      </c>
      <c r="I26" s="94">
        <v>0</v>
      </c>
      <c r="J26" s="94">
        <v>0</v>
      </c>
      <c r="K26" s="94">
        <v>0</v>
      </c>
      <c r="L26" s="94">
        <v>0</v>
      </c>
      <c r="M26" s="94">
        <v>0</v>
      </c>
      <c r="N26" s="94">
        <v>35.912999999999997</v>
      </c>
      <c r="O26" s="94">
        <v>0</v>
      </c>
      <c r="P26" s="94">
        <v>156.131</v>
      </c>
      <c r="Q26" s="94">
        <v>30.302</v>
      </c>
      <c r="R26" s="94">
        <v>0</v>
      </c>
      <c r="S26" s="94">
        <v>196.24599999999998</v>
      </c>
      <c r="T26" s="94">
        <v>149.60900000000001</v>
      </c>
      <c r="U26" s="94">
        <v>210.739</v>
      </c>
      <c r="V26" s="94">
        <v>467.59900000000005</v>
      </c>
      <c r="W26" s="94">
        <v>445.70499999999998</v>
      </c>
      <c r="X26" s="94">
        <v>186.91400000000002</v>
      </c>
      <c r="Y26" s="94">
        <v>44.417000000000002</v>
      </c>
      <c r="Z26" s="94">
        <v>17.004000000000001</v>
      </c>
      <c r="AA26" s="94">
        <v>305.517</v>
      </c>
      <c r="AB26" s="94">
        <v>82.96</v>
      </c>
      <c r="AC26" s="94">
        <v>153.76199999999997</v>
      </c>
      <c r="AD26" s="94">
        <v>55.805</v>
      </c>
      <c r="AE26" s="94">
        <v>0</v>
      </c>
      <c r="AF26" s="94">
        <v>0</v>
      </c>
      <c r="AG26" s="94">
        <v>126.324</v>
      </c>
      <c r="AH26" s="39">
        <f t="shared" si="4"/>
        <v>2664.9470000000001</v>
      </c>
    </row>
    <row r="27" spans="1:36" s="96" customFormat="1" ht="15">
      <c r="A27" s="1728" t="s">
        <v>76</v>
      </c>
      <c r="B27" s="15">
        <f t="shared" si="3"/>
        <v>3344.8579999999997</v>
      </c>
      <c r="C27" s="208">
        <v>25.018000000000001</v>
      </c>
      <c r="D27" s="126">
        <v>0</v>
      </c>
      <c r="E27" s="126">
        <v>36.329000000000001</v>
      </c>
      <c r="F27" s="126">
        <v>227.26800000000003</v>
      </c>
      <c r="G27" s="126">
        <v>34.606999999999999</v>
      </c>
      <c r="H27" s="126">
        <v>0</v>
      </c>
      <c r="I27" s="126">
        <v>269.38299999999998</v>
      </c>
      <c r="J27" s="126">
        <v>123.563</v>
      </c>
      <c r="K27" s="126">
        <v>0</v>
      </c>
      <c r="L27" s="126">
        <v>27.649000000000001</v>
      </c>
      <c r="M27" s="126">
        <v>0</v>
      </c>
      <c r="N27" s="126">
        <v>0</v>
      </c>
      <c r="O27" s="126">
        <v>0</v>
      </c>
      <c r="P27" s="126">
        <v>133.101</v>
      </c>
      <c r="Q27" s="126">
        <v>263.15099999999995</v>
      </c>
      <c r="R27" s="126">
        <v>77.974999999999994</v>
      </c>
      <c r="S27" s="126">
        <v>0</v>
      </c>
      <c r="T27" s="126">
        <v>0</v>
      </c>
      <c r="U27" s="126">
        <v>0</v>
      </c>
      <c r="V27" s="126">
        <v>0</v>
      </c>
      <c r="W27" s="126">
        <v>201.60199999999998</v>
      </c>
      <c r="X27" s="126">
        <v>341.66500000000002</v>
      </c>
      <c r="Y27" s="126">
        <v>125.876</v>
      </c>
      <c r="Z27" s="126">
        <v>545.29300000000001</v>
      </c>
      <c r="AA27" s="126">
        <v>313.94600000000003</v>
      </c>
      <c r="AB27" s="126">
        <v>276.327</v>
      </c>
      <c r="AC27" s="126">
        <v>0</v>
      </c>
      <c r="AD27" s="126">
        <v>322.10500000000008</v>
      </c>
      <c r="AE27" s="126">
        <v>0</v>
      </c>
      <c r="AF27" s="126">
        <v>0</v>
      </c>
      <c r="AG27" s="126"/>
      <c r="AH27" s="39">
        <f t="shared" si="4"/>
        <v>3344.8579999999997</v>
      </c>
    </row>
    <row r="28" spans="1:36" s="96" customFormat="1" ht="15">
      <c r="A28" s="1728" t="s">
        <v>77</v>
      </c>
      <c r="B28" s="15">
        <f t="shared" si="3"/>
        <v>0</v>
      </c>
      <c r="C28" s="35">
        <v>0</v>
      </c>
      <c r="D28" s="15">
        <v>0</v>
      </c>
      <c r="E28" s="15">
        <v>0</v>
      </c>
      <c r="F28" s="15">
        <v>0</v>
      </c>
      <c r="G28" s="15">
        <v>0</v>
      </c>
      <c r="H28" s="15">
        <v>0</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H28" s="39">
        <f t="shared" si="4"/>
        <v>0</v>
      </c>
    </row>
    <row r="29" spans="1:36" s="96" customFormat="1" ht="15">
      <c r="A29" s="1728" t="s">
        <v>78</v>
      </c>
      <c r="B29" s="15">
        <f t="shared" si="3"/>
        <v>0</v>
      </c>
      <c r="C29" s="3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39">
        <f t="shared" si="4"/>
        <v>0</v>
      </c>
    </row>
    <row r="30" spans="1:36" s="96" customFormat="1" ht="15">
      <c r="A30" s="1728" t="s">
        <v>79</v>
      </c>
      <c r="B30" s="15">
        <f t="shared" si="3"/>
        <v>0</v>
      </c>
      <c r="C30" s="35"/>
      <c r="D30" s="39"/>
      <c r="E30" s="39"/>
      <c r="F30" s="39"/>
      <c r="G30" s="15"/>
      <c r="H30" s="15"/>
      <c r="I30" s="15"/>
      <c r="J30" s="43"/>
      <c r="K30" s="43"/>
      <c r="L30" s="39"/>
      <c r="M30" s="39"/>
      <c r="N30" s="39"/>
      <c r="O30" s="39"/>
      <c r="P30" s="39"/>
      <c r="Q30" s="39"/>
      <c r="R30" s="39"/>
      <c r="S30" s="39"/>
      <c r="T30" s="39"/>
      <c r="U30" s="39"/>
      <c r="V30" s="39"/>
      <c r="W30" s="39"/>
      <c r="X30" s="39"/>
      <c r="Y30" s="39"/>
      <c r="Z30" s="39"/>
      <c r="AA30" s="39"/>
      <c r="AB30" s="39"/>
      <c r="AC30" s="39"/>
      <c r="AD30" s="39"/>
      <c r="AE30" s="39"/>
      <c r="AF30" s="39"/>
      <c r="AG30" s="39"/>
      <c r="AH30" s="39">
        <f t="shared" si="4"/>
        <v>0</v>
      </c>
    </row>
    <row r="31" spans="1:36" s="96" customFormat="1" ht="15">
      <c r="A31" s="1728" t="s">
        <v>80</v>
      </c>
      <c r="B31" s="15">
        <f t="shared" si="3"/>
        <v>0</v>
      </c>
      <c r="C31" s="94"/>
      <c r="D31" s="94"/>
      <c r="E31" s="94"/>
      <c r="F31" s="94"/>
      <c r="G31" s="94"/>
      <c r="H31" s="94"/>
      <c r="I31" s="94"/>
      <c r="J31" s="748"/>
      <c r="K31" s="748"/>
      <c r="L31" s="748"/>
      <c r="M31" s="748"/>
      <c r="N31" s="748"/>
      <c r="O31" s="748"/>
      <c r="P31" s="748"/>
      <c r="Q31" s="748"/>
      <c r="R31" s="748"/>
      <c r="S31" s="748"/>
      <c r="T31" s="748"/>
      <c r="U31" s="748"/>
      <c r="V31" s="748"/>
      <c r="W31" s="748"/>
      <c r="X31" s="748"/>
      <c r="Y31" s="748"/>
      <c r="Z31" s="748"/>
      <c r="AA31" s="748"/>
      <c r="AB31" s="748"/>
      <c r="AC31" s="748"/>
      <c r="AD31" s="748"/>
      <c r="AE31" s="748"/>
      <c r="AF31" s="748"/>
      <c r="AG31" s="748"/>
      <c r="AH31" s="99"/>
    </row>
    <row r="32" spans="1:36" s="96" customFormat="1" ht="15">
      <c r="A32" s="1728" t="s">
        <v>81</v>
      </c>
      <c r="B32" s="15">
        <f t="shared" si="3"/>
        <v>0</v>
      </c>
      <c r="C32" s="1689"/>
      <c r="D32" s="1689"/>
      <c r="E32" s="1689"/>
      <c r="F32" s="1689"/>
      <c r="G32" s="1689"/>
      <c r="H32" s="1689"/>
      <c r="I32" s="1689"/>
      <c r="J32" s="1689"/>
      <c r="K32" s="1689"/>
      <c r="L32" s="1689"/>
      <c r="M32" s="1689"/>
      <c r="N32" s="1689"/>
      <c r="O32" s="1689"/>
      <c r="P32" s="1689"/>
      <c r="Q32" s="1689"/>
      <c r="R32" s="1689"/>
      <c r="S32" s="1689"/>
      <c r="T32" s="1689"/>
      <c r="U32" s="1689"/>
      <c r="V32" s="1689"/>
      <c r="W32" s="1689"/>
      <c r="X32" s="1689"/>
      <c r="Y32" s="1689"/>
      <c r="Z32" s="94"/>
      <c r="AA32" s="94"/>
      <c r="AB32" s="94"/>
      <c r="AC32" s="94"/>
      <c r="AD32" s="94"/>
      <c r="AE32" s="94"/>
      <c r="AF32" s="94"/>
      <c r="AG32" s="94"/>
      <c r="AH32" s="99"/>
    </row>
    <row r="33" spans="1:36" s="96" customFormat="1" ht="15">
      <c r="A33" s="1728" t="s">
        <v>82</v>
      </c>
      <c r="B33" s="15">
        <f t="shared" si="3"/>
        <v>0</v>
      </c>
      <c r="C33" s="35"/>
      <c r="D33" s="39"/>
      <c r="E33" s="39"/>
      <c r="F33" s="39"/>
      <c r="G33" s="15"/>
      <c r="H33" s="15"/>
      <c r="I33" s="15"/>
      <c r="J33" s="15"/>
      <c r="K33" s="15"/>
      <c r="L33" s="15"/>
      <c r="M33" s="15"/>
      <c r="N33" s="15"/>
      <c r="O33" s="39"/>
      <c r="P33" s="15"/>
      <c r="Q33" s="15"/>
      <c r="R33" s="15"/>
      <c r="S33" s="15"/>
      <c r="T33" s="15"/>
      <c r="U33" s="15"/>
      <c r="V33" s="15"/>
      <c r="W33" s="15"/>
      <c r="X33" s="15"/>
      <c r="Y33" s="15"/>
      <c r="Z33" s="15"/>
      <c r="AA33" s="15"/>
      <c r="AB33" s="15"/>
      <c r="AC33" s="15"/>
      <c r="AD33" s="15"/>
      <c r="AE33" s="39"/>
      <c r="AF33" s="15"/>
      <c r="AG33" s="39"/>
      <c r="AH33" s="39">
        <f t="shared" si="4"/>
        <v>0</v>
      </c>
    </row>
    <row r="34" spans="1:36" s="96" customFormat="1" ht="15">
      <c r="A34" s="1519" t="s">
        <v>83</v>
      </c>
      <c r="B34" s="15">
        <f t="shared" si="3"/>
        <v>0</v>
      </c>
      <c r="C34" s="35"/>
      <c r="D34" s="15"/>
      <c r="E34" s="15"/>
      <c r="F34" s="15"/>
      <c r="G34" s="11"/>
      <c r="H34" s="15"/>
      <c r="I34" s="15"/>
      <c r="J34" s="15"/>
      <c r="K34" s="15"/>
      <c r="L34" s="15"/>
      <c r="M34" s="15"/>
      <c r="N34" s="15"/>
      <c r="O34" s="15"/>
      <c r="P34" s="15"/>
      <c r="Q34" s="15"/>
      <c r="R34" s="15"/>
      <c r="S34" s="15"/>
      <c r="T34" s="15"/>
      <c r="U34" s="15"/>
      <c r="V34" s="15"/>
      <c r="W34" s="15"/>
      <c r="X34" s="15"/>
      <c r="Y34" s="11"/>
      <c r="Z34" s="15"/>
      <c r="AA34" s="15"/>
      <c r="AB34" s="15"/>
      <c r="AC34" s="15"/>
      <c r="AD34" s="15"/>
      <c r="AE34" s="39"/>
      <c r="AF34" s="15"/>
      <c r="AG34" s="39"/>
      <c r="AH34" s="39">
        <f t="shared" si="4"/>
        <v>0</v>
      </c>
    </row>
    <row r="35" spans="1:36" s="96" customFormat="1" ht="15">
      <c r="A35" s="1519" t="s">
        <v>84</v>
      </c>
      <c r="B35" s="15">
        <f t="shared" si="3"/>
        <v>0</v>
      </c>
      <c r="C35" s="35"/>
      <c r="D35" s="15"/>
      <c r="E35" s="15"/>
      <c r="F35" s="15"/>
      <c r="G35" s="15"/>
      <c r="H35" s="15"/>
      <c r="I35" s="2479"/>
      <c r="J35" s="15"/>
      <c r="K35" s="15"/>
      <c r="L35" s="15"/>
      <c r="M35" s="15"/>
      <c r="N35" s="15"/>
      <c r="O35" s="15"/>
      <c r="P35" s="15"/>
      <c r="Q35" s="15"/>
      <c r="R35" s="15"/>
      <c r="S35" s="15"/>
      <c r="T35" s="15"/>
      <c r="U35" s="15"/>
      <c r="V35" s="15"/>
      <c r="W35" s="15"/>
      <c r="X35" s="15"/>
      <c r="Y35" s="15"/>
      <c r="Z35" s="15"/>
      <c r="AA35" s="15"/>
      <c r="AB35" s="15"/>
      <c r="AC35" s="15"/>
      <c r="AD35" s="15"/>
      <c r="AE35" s="39"/>
      <c r="AF35" s="15"/>
      <c r="AG35" s="39"/>
      <c r="AH35" s="39">
        <f t="shared" si="4"/>
        <v>0</v>
      </c>
    </row>
    <row r="36" spans="1:36" s="96" customFormat="1" ht="15">
      <c r="A36" s="71" t="s">
        <v>72</v>
      </c>
      <c r="B36" s="72">
        <f>SUM(B24:B35)</f>
        <v>7181.4279999999999</v>
      </c>
      <c r="C36" s="32">
        <f t="shared" ref="C36:AF36" si="5">SUM(C24:C35)</f>
        <v>105.75399999999999</v>
      </c>
      <c r="D36" s="32">
        <f t="shared" si="5"/>
        <v>0</v>
      </c>
      <c r="E36" s="32">
        <f t="shared" si="5"/>
        <v>122.161</v>
      </c>
      <c r="F36" s="32">
        <f t="shared" si="5"/>
        <v>227.26800000000003</v>
      </c>
      <c r="G36" s="32">
        <f t="shared" si="5"/>
        <v>95.635999999999996</v>
      </c>
      <c r="H36" s="32">
        <f t="shared" si="5"/>
        <v>195.077</v>
      </c>
      <c r="I36" s="32">
        <f t="shared" si="5"/>
        <v>274.95</v>
      </c>
      <c r="J36" s="32">
        <f t="shared" si="5"/>
        <v>123.563</v>
      </c>
      <c r="K36" s="32">
        <f t="shared" si="5"/>
        <v>2.7969999999999997</v>
      </c>
      <c r="L36" s="32">
        <f t="shared" si="5"/>
        <v>27.649000000000001</v>
      </c>
      <c r="M36" s="32">
        <f t="shared" si="5"/>
        <v>64.141999999999996</v>
      </c>
      <c r="N36" s="32">
        <f t="shared" si="5"/>
        <v>35.912999999999997</v>
      </c>
      <c r="O36" s="32">
        <f t="shared" si="5"/>
        <v>68.525999999999996</v>
      </c>
      <c r="P36" s="32">
        <f t="shared" si="5"/>
        <v>289.23199999999997</v>
      </c>
      <c r="Q36" s="32">
        <f t="shared" si="5"/>
        <v>305.40999999999997</v>
      </c>
      <c r="R36" s="32">
        <f t="shared" si="5"/>
        <v>125.85799999999999</v>
      </c>
      <c r="S36" s="32">
        <f t="shared" si="5"/>
        <v>221.89399999999998</v>
      </c>
      <c r="T36" s="32">
        <f t="shared" si="5"/>
        <v>151.072</v>
      </c>
      <c r="U36" s="32">
        <f t="shared" si="5"/>
        <v>210.739</v>
      </c>
      <c r="V36" s="32">
        <f t="shared" si="5"/>
        <v>467.59900000000005</v>
      </c>
      <c r="W36" s="32">
        <f t="shared" si="5"/>
        <v>660.85500000000002</v>
      </c>
      <c r="X36" s="32">
        <f t="shared" si="5"/>
        <v>539.16000000000008</v>
      </c>
      <c r="Y36" s="32">
        <f t="shared" si="5"/>
        <v>185.85599999999999</v>
      </c>
      <c r="Z36" s="32">
        <f t="shared" si="5"/>
        <v>571.61599999999999</v>
      </c>
      <c r="AA36" s="32">
        <f t="shared" si="5"/>
        <v>699.20600000000002</v>
      </c>
      <c r="AB36" s="32">
        <f t="shared" si="5"/>
        <v>359.28699999999998</v>
      </c>
      <c r="AC36" s="32">
        <f t="shared" si="5"/>
        <v>241.77299999999997</v>
      </c>
      <c r="AD36" s="32">
        <f t="shared" si="5"/>
        <v>396.48100000000011</v>
      </c>
      <c r="AE36" s="32">
        <f t="shared" si="5"/>
        <v>72.510000000000005</v>
      </c>
      <c r="AF36" s="32">
        <f t="shared" si="5"/>
        <v>128.24100000000001</v>
      </c>
      <c r="AG36" s="32">
        <f>SUM(AG24:AG35)</f>
        <v>211.20299999999997</v>
      </c>
      <c r="AH36" s="32">
        <f>SUM(AH24:AH35)</f>
        <v>7181.4279999999999</v>
      </c>
    </row>
    <row r="37" spans="1:36" s="96" customFormat="1" ht="15">
      <c r="A37" s="114"/>
      <c r="B37" s="114"/>
      <c r="C37" s="114"/>
      <c r="D37" s="114"/>
      <c r="E37" s="114"/>
      <c r="F37" s="114"/>
      <c r="G37" s="114"/>
      <c r="H37" s="114"/>
      <c r="I37" s="114"/>
      <c r="J37" s="114"/>
      <c r="K37" s="114"/>
      <c r="L37" s="114"/>
      <c r="M37" s="114"/>
      <c r="N37" s="114"/>
      <c r="O37" s="114"/>
      <c r="P37" s="114"/>
      <c r="Q37" s="114"/>
      <c r="R37" s="114"/>
      <c r="S37" s="114"/>
      <c r="T37" s="114"/>
      <c r="U37" s="46"/>
      <c r="V37" s="46"/>
      <c r="W37" s="46"/>
      <c r="X37" s="46"/>
      <c r="Y37" s="46"/>
      <c r="Z37" s="46"/>
      <c r="AA37" s="46"/>
      <c r="AB37" s="46"/>
      <c r="AC37" s="46"/>
      <c r="AD37" s="46"/>
      <c r="AE37" s="46"/>
      <c r="AF37" s="46"/>
      <c r="AG37" s="46"/>
      <c r="AH37" s="46"/>
    </row>
    <row r="38" spans="1:36" s="96" customFormat="1" ht="15">
      <c r="A38" s="3811" t="s">
        <v>117</v>
      </c>
      <c r="B38" s="3812"/>
      <c r="C38" s="3812"/>
      <c r="D38" s="3812"/>
      <c r="E38" s="3812"/>
      <c r="F38" s="3812"/>
      <c r="G38" s="3812"/>
      <c r="H38" s="3813"/>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row>
    <row r="39" spans="1:36" s="96" customFormat="1" ht="15">
      <c r="A39" s="5" t="s">
        <v>70</v>
      </c>
      <c r="B39" s="5" t="s">
        <v>71</v>
      </c>
      <c r="C39" s="1054">
        <v>1</v>
      </c>
      <c r="D39" s="21">
        <v>2</v>
      </c>
      <c r="E39" s="21">
        <v>3</v>
      </c>
      <c r="F39" s="21">
        <v>4</v>
      </c>
      <c r="G39" s="21">
        <v>5</v>
      </c>
      <c r="H39" s="21">
        <v>6</v>
      </c>
      <c r="I39" s="21">
        <v>7</v>
      </c>
      <c r="J39" s="21">
        <v>8</v>
      </c>
      <c r="K39" s="21">
        <v>9</v>
      </c>
      <c r="L39" s="21">
        <v>10</v>
      </c>
      <c r="M39" s="21">
        <v>11</v>
      </c>
      <c r="N39" s="21">
        <v>12</v>
      </c>
      <c r="O39" s="21">
        <v>13</v>
      </c>
      <c r="P39" s="21">
        <v>14</v>
      </c>
      <c r="Q39" s="21">
        <v>15</v>
      </c>
      <c r="R39" s="21">
        <v>16</v>
      </c>
      <c r="S39" s="21">
        <v>17</v>
      </c>
      <c r="T39" s="21">
        <v>18</v>
      </c>
      <c r="U39" s="21">
        <v>19</v>
      </c>
      <c r="V39" s="21">
        <v>20</v>
      </c>
      <c r="W39" s="21">
        <v>21</v>
      </c>
      <c r="X39" s="21">
        <v>22</v>
      </c>
      <c r="Y39" s="21">
        <v>23</v>
      </c>
      <c r="Z39" s="21">
        <v>24</v>
      </c>
      <c r="AA39" s="21">
        <v>25</v>
      </c>
      <c r="AB39" s="21">
        <v>26</v>
      </c>
      <c r="AC39" s="21">
        <v>27</v>
      </c>
      <c r="AD39" s="21">
        <v>28</v>
      </c>
      <c r="AE39" s="21">
        <v>29</v>
      </c>
      <c r="AF39" s="21">
        <v>30</v>
      </c>
      <c r="AG39" s="21">
        <v>31</v>
      </c>
      <c r="AH39" s="25" t="s">
        <v>72</v>
      </c>
      <c r="AI39" s="2266" t="s">
        <v>1345</v>
      </c>
      <c r="AJ39" s="66">
        <f>(B52/COUNTIF($C$40:$AG$51,"&gt;0"))</f>
        <v>0.30572727272727279</v>
      </c>
    </row>
    <row r="40" spans="1:36" s="96" customFormat="1" ht="15">
      <c r="A40" s="1728" t="s">
        <v>73</v>
      </c>
      <c r="B40" s="15">
        <f t="shared" ref="B40:B51" si="6">+AH40</f>
        <v>0.26800000000000002</v>
      </c>
      <c r="C40" s="92">
        <v>0</v>
      </c>
      <c r="D40" s="93">
        <v>0</v>
      </c>
      <c r="E40" s="93">
        <v>0</v>
      </c>
      <c r="F40" s="93">
        <v>0</v>
      </c>
      <c r="G40" s="93">
        <v>0</v>
      </c>
      <c r="H40" s="93">
        <v>0</v>
      </c>
      <c r="I40" s="93">
        <v>1.4999999999999999E-2</v>
      </c>
      <c r="J40" s="93">
        <v>0</v>
      </c>
      <c r="K40" s="93">
        <v>1.4999999999999999E-2</v>
      </c>
      <c r="L40" s="93">
        <v>0</v>
      </c>
      <c r="M40" s="93">
        <v>0</v>
      </c>
      <c r="N40" s="93">
        <v>0</v>
      </c>
      <c r="O40" s="93">
        <v>0</v>
      </c>
      <c r="P40" s="93">
        <v>1.2E-2</v>
      </c>
      <c r="Q40" s="90">
        <v>0</v>
      </c>
      <c r="R40" s="93">
        <v>0</v>
      </c>
      <c r="S40" s="93">
        <v>0</v>
      </c>
      <c r="T40" s="93">
        <v>1E-3</v>
      </c>
      <c r="U40" s="93">
        <v>0.06</v>
      </c>
      <c r="V40" s="90">
        <v>0</v>
      </c>
      <c r="W40" s="90">
        <v>0</v>
      </c>
      <c r="X40" s="93">
        <v>0</v>
      </c>
      <c r="Y40" s="93">
        <v>0</v>
      </c>
      <c r="Z40" s="93">
        <v>7.0000000000000007E-2</v>
      </c>
      <c r="AA40" s="93">
        <v>0</v>
      </c>
      <c r="AB40" s="93">
        <v>0</v>
      </c>
      <c r="AC40" s="93">
        <v>0.06</v>
      </c>
      <c r="AD40" s="90">
        <v>0</v>
      </c>
      <c r="AE40" s="93">
        <v>3.5000000000000003E-2</v>
      </c>
      <c r="AF40" s="93">
        <v>0</v>
      </c>
      <c r="AG40" s="93">
        <v>0</v>
      </c>
      <c r="AH40" s="39">
        <f>SUM(C40:AG40)</f>
        <v>0.26800000000000002</v>
      </c>
      <c r="AJ40" s="96">
        <f>+'Resumen RAE Anchoveta'!G15</f>
        <v>3.2939999999999987</v>
      </c>
    </row>
    <row r="41" spans="1:36" s="96" customFormat="1" ht="15">
      <c r="A41" s="1728" t="s">
        <v>74</v>
      </c>
      <c r="B41" s="15">
        <f t="shared" si="6"/>
        <v>0.155</v>
      </c>
      <c r="C41" s="92">
        <v>0</v>
      </c>
      <c r="D41" s="93">
        <v>0</v>
      </c>
      <c r="E41" s="93">
        <v>0</v>
      </c>
      <c r="F41" s="93">
        <v>0</v>
      </c>
      <c r="G41" s="93">
        <v>7.0000000000000007E-2</v>
      </c>
      <c r="H41" s="93">
        <v>0</v>
      </c>
      <c r="I41" s="93">
        <v>5.5E-2</v>
      </c>
      <c r="J41" s="93">
        <v>0</v>
      </c>
      <c r="K41" s="93">
        <v>0</v>
      </c>
      <c r="L41" s="93">
        <v>0</v>
      </c>
      <c r="M41" s="93">
        <v>0.03</v>
      </c>
      <c r="N41" s="93">
        <v>0</v>
      </c>
      <c r="O41" s="93">
        <v>0</v>
      </c>
      <c r="P41" s="93">
        <v>0</v>
      </c>
      <c r="Q41" s="93">
        <v>0</v>
      </c>
      <c r="R41" s="93">
        <v>0</v>
      </c>
      <c r="S41" s="93">
        <v>0</v>
      </c>
      <c r="T41" s="93">
        <v>0</v>
      </c>
      <c r="U41" s="93">
        <v>0</v>
      </c>
      <c r="V41" s="93">
        <v>0</v>
      </c>
      <c r="W41" s="93">
        <v>0</v>
      </c>
      <c r="X41" s="93">
        <v>0</v>
      </c>
      <c r="Y41" s="93">
        <v>0</v>
      </c>
      <c r="Z41" s="93">
        <v>0</v>
      </c>
      <c r="AA41" s="93">
        <v>0</v>
      </c>
      <c r="AB41" s="93">
        <v>0</v>
      </c>
      <c r="AC41" s="93">
        <v>0</v>
      </c>
      <c r="AD41" s="93">
        <v>0</v>
      </c>
      <c r="AE41" s="93"/>
      <c r="AF41" s="93"/>
      <c r="AG41" s="93"/>
      <c r="AH41" s="39">
        <f t="shared" ref="AH41:AH51" si="7">SUM(C41:AG41)</f>
        <v>0.155</v>
      </c>
      <c r="AJ41" s="3210">
        <f>+AJ40/AJ39</f>
        <v>10.774308652988397</v>
      </c>
    </row>
    <row r="42" spans="1:36" s="96" customFormat="1" ht="15">
      <c r="A42" s="1728" t="s">
        <v>75</v>
      </c>
      <c r="B42" s="15">
        <f t="shared" si="6"/>
        <v>2.306</v>
      </c>
      <c r="C42" s="167">
        <v>0</v>
      </c>
      <c r="D42" s="126">
        <v>0</v>
      </c>
      <c r="E42" s="179">
        <v>0</v>
      </c>
      <c r="F42" s="179">
        <v>0</v>
      </c>
      <c r="G42" s="179">
        <v>0</v>
      </c>
      <c r="H42" s="179">
        <v>0</v>
      </c>
      <c r="I42" s="179">
        <v>0</v>
      </c>
      <c r="J42" s="179">
        <v>0</v>
      </c>
      <c r="K42" s="179">
        <v>0</v>
      </c>
      <c r="L42" s="179">
        <v>0</v>
      </c>
      <c r="M42" s="179">
        <v>0</v>
      </c>
      <c r="N42" s="179">
        <v>0</v>
      </c>
      <c r="O42" s="179">
        <v>0</v>
      </c>
      <c r="P42" s="179">
        <v>0</v>
      </c>
      <c r="Q42" s="178">
        <v>0</v>
      </c>
      <c r="R42" s="178">
        <v>0.27</v>
      </c>
      <c r="S42" s="178">
        <v>0</v>
      </c>
      <c r="T42" s="178">
        <v>0.3</v>
      </c>
      <c r="U42" s="178">
        <v>0</v>
      </c>
      <c r="V42" s="178">
        <v>1.736</v>
      </c>
      <c r="W42" s="178">
        <v>0</v>
      </c>
      <c r="X42" s="178">
        <v>0</v>
      </c>
      <c r="Y42" s="178">
        <v>0</v>
      </c>
      <c r="Z42" s="178">
        <v>0</v>
      </c>
      <c r="AA42" s="178">
        <v>0</v>
      </c>
      <c r="AB42" s="178">
        <v>0</v>
      </c>
      <c r="AC42" s="178">
        <v>0</v>
      </c>
      <c r="AD42" s="178">
        <v>0</v>
      </c>
      <c r="AE42" s="178">
        <v>0</v>
      </c>
      <c r="AF42" s="178">
        <v>0</v>
      </c>
      <c r="AG42" s="178">
        <v>0</v>
      </c>
      <c r="AH42" s="39">
        <f t="shared" si="7"/>
        <v>2.306</v>
      </c>
    </row>
    <row r="43" spans="1:36" s="96" customFormat="1" ht="15">
      <c r="A43" s="1728" t="s">
        <v>76</v>
      </c>
      <c r="B43" s="15">
        <f t="shared" si="6"/>
        <v>3.3770000000000007</v>
      </c>
      <c r="C43" s="206">
        <v>2.7</v>
      </c>
      <c r="D43" s="93">
        <v>0</v>
      </c>
      <c r="E43" s="207">
        <v>0</v>
      </c>
      <c r="F43" s="207">
        <v>0</v>
      </c>
      <c r="G43" s="207">
        <v>0</v>
      </c>
      <c r="H43" s="207">
        <v>0</v>
      </c>
      <c r="I43" s="207">
        <v>0</v>
      </c>
      <c r="J43" s="207">
        <v>0</v>
      </c>
      <c r="K43" s="207">
        <v>0</v>
      </c>
      <c r="L43" s="207">
        <v>0</v>
      </c>
      <c r="M43" s="207">
        <v>0</v>
      </c>
      <c r="N43" s="207">
        <v>0</v>
      </c>
      <c r="O43" s="207">
        <v>0</v>
      </c>
      <c r="P43" s="207">
        <v>0</v>
      </c>
      <c r="Q43" s="91">
        <v>0</v>
      </c>
      <c r="R43" s="91">
        <v>0</v>
      </c>
      <c r="S43" s="91">
        <v>0</v>
      </c>
      <c r="T43" s="91">
        <v>0</v>
      </c>
      <c r="U43" s="91">
        <v>0</v>
      </c>
      <c r="V43" s="91">
        <v>0</v>
      </c>
      <c r="W43" s="91">
        <v>0.28000000000000003</v>
      </c>
      <c r="X43" s="91">
        <v>0.115</v>
      </c>
      <c r="Y43" s="91">
        <v>0</v>
      </c>
      <c r="Z43" s="91">
        <v>0</v>
      </c>
      <c r="AA43" s="91">
        <v>0</v>
      </c>
      <c r="AB43" s="91">
        <v>0</v>
      </c>
      <c r="AC43" s="91">
        <v>0</v>
      </c>
      <c r="AD43" s="91">
        <v>0</v>
      </c>
      <c r="AE43" s="91">
        <v>0</v>
      </c>
      <c r="AF43" s="91">
        <v>0.28199999999999997</v>
      </c>
      <c r="AG43" s="91"/>
      <c r="AH43" s="39">
        <f t="shared" si="7"/>
        <v>3.3770000000000007</v>
      </c>
    </row>
    <row r="44" spans="1:36" s="96" customFormat="1" ht="15">
      <c r="A44" s="1728" t="s">
        <v>77</v>
      </c>
      <c r="B44" s="15">
        <f t="shared" si="6"/>
        <v>0.32</v>
      </c>
      <c r="C44" s="35">
        <v>0</v>
      </c>
      <c r="D44" s="15">
        <v>8.2000000000000003E-2</v>
      </c>
      <c r="E44" s="15">
        <v>0.123</v>
      </c>
      <c r="F44" s="15">
        <v>0</v>
      </c>
      <c r="G44" s="15">
        <v>0</v>
      </c>
      <c r="H44" s="15">
        <v>0.115</v>
      </c>
      <c r="I44" s="15">
        <v>0</v>
      </c>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39">
        <f t="shared" si="7"/>
        <v>0.32</v>
      </c>
    </row>
    <row r="45" spans="1:36" s="96" customFormat="1" ht="15">
      <c r="A45" s="1728" t="s">
        <v>78</v>
      </c>
      <c r="B45" s="15">
        <f t="shared" si="6"/>
        <v>0</v>
      </c>
      <c r="C45" s="3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39">
        <f t="shared" si="7"/>
        <v>0</v>
      </c>
    </row>
    <row r="46" spans="1:36" s="96" customFormat="1" ht="15">
      <c r="A46" s="1728" t="s">
        <v>79</v>
      </c>
      <c r="B46" s="15">
        <f t="shared" si="6"/>
        <v>0</v>
      </c>
      <c r="C46" s="35"/>
      <c r="D46" s="15"/>
      <c r="E46" s="15"/>
      <c r="F46" s="15"/>
      <c r="G46" s="15"/>
      <c r="H46" s="15"/>
      <c r="I46" s="15"/>
      <c r="J46" s="35"/>
      <c r="K46" s="35"/>
      <c r="L46" s="15"/>
      <c r="M46" s="15"/>
      <c r="N46" s="15"/>
      <c r="O46" s="15"/>
      <c r="P46" s="15"/>
      <c r="Q46" s="39"/>
      <c r="R46" s="39"/>
      <c r="S46" s="39"/>
      <c r="T46" s="39"/>
      <c r="U46" s="39"/>
      <c r="V46" s="39"/>
      <c r="W46" s="39"/>
      <c r="X46" s="39"/>
      <c r="Y46" s="39"/>
      <c r="Z46" s="39"/>
      <c r="AA46" s="39"/>
      <c r="AB46" s="39"/>
      <c r="AC46" s="39"/>
      <c r="AD46" s="39"/>
      <c r="AE46" s="39"/>
      <c r="AF46" s="39"/>
      <c r="AG46" s="39"/>
      <c r="AH46" s="39">
        <f t="shared" si="7"/>
        <v>0</v>
      </c>
    </row>
    <row r="47" spans="1:36" s="96" customFormat="1" ht="15">
      <c r="A47" s="1728" t="s">
        <v>80</v>
      </c>
      <c r="B47" s="15">
        <f t="shared" si="6"/>
        <v>0</v>
      </c>
      <c r="C47" s="94"/>
      <c r="D47" s="94"/>
      <c r="E47" s="94"/>
      <c r="F47" s="94"/>
      <c r="G47" s="94"/>
      <c r="H47" s="94"/>
      <c r="I47" s="94"/>
      <c r="J47" s="94"/>
      <c r="K47" s="94"/>
      <c r="L47" s="94"/>
      <c r="M47" s="94"/>
      <c r="N47" s="94"/>
      <c r="O47" s="94"/>
      <c r="P47" s="94"/>
      <c r="Q47" s="748"/>
      <c r="R47" s="748"/>
      <c r="S47" s="748"/>
      <c r="T47" s="748"/>
      <c r="U47" s="748"/>
      <c r="V47" s="748"/>
      <c r="W47" s="748"/>
      <c r="X47" s="748"/>
      <c r="Y47" s="748"/>
      <c r="Z47" s="748"/>
      <c r="AA47" s="748"/>
      <c r="AB47" s="748"/>
      <c r="AC47" s="748"/>
      <c r="AD47" s="748"/>
      <c r="AE47" s="748"/>
      <c r="AF47" s="748"/>
      <c r="AG47" s="748"/>
      <c r="AH47" s="39">
        <f t="shared" si="7"/>
        <v>0</v>
      </c>
    </row>
    <row r="48" spans="1:36" s="96" customFormat="1" ht="15">
      <c r="A48" s="1728" t="s">
        <v>81</v>
      </c>
      <c r="B48" s="15">
        <f t="shared" si="6"/>
        <v>0</v>
      </c>
      <c r="C48" s="1689"/>
      <c r="D48" s="1689"/>
      <c r="E48" s="1689"/>
      <c r="F48" s="1689"/>
      <c r="G48" s="1689"/>
      <c r="H48" s="1689"/>
      <c r="I48" s="1689"/>
      <c r="J48" s="1689"/>
      <c r="K48" s="1689"/>
      <c r="L48" s="1689"/>
      <c r="M48" s="1689"/>
      <c r="N48" s="1689"/>
      <c r="O48" s="1689"/>
      <c r="P48" s="1689"/>
      <c r="Q48" s="1689"/>
      <c r="R48" s="1689"/>
      <c r="S48" s="1689"/>
      <c r="T48" s="1689"/>
      <c r="U48" s="1689"/>
      <c r="V48" s="1689"/>
      <c r="W48" s="1689"/>
      <c r="X48" s="1689"/>
      <c r="Y48" s="1689"/>
      <c r="Z48" s="1091"/>
      <c r="AA48" s="1091"/>
      <c r="AB48" s="1091"/>
      <c r="AC48" s="1091"/>
      <c r="AD48" s="1091"/>
      <c r="AE48" s="1091"/>
      <c r="AF48" s="1091"/>
      <c r="AG48" s="1091"/>
      <c r="AH48" s="39">
        <f t="shared" si="7"/>
        <v>0</v>
      </c>
    </row>
    <row r="49" spans="1:73" s="96" customFormat="1" ht="20.399999999999999">
      <c r="A49" s="1728" t="s">
        <v>82</v>
      </c>
      <c r="B49" s="15">
        <f t="shared" si="6"/>
        <v>0.3</v>
      </c>
      <c r="C49" s="1091">
        <v>0</v>
      </c>
      <c r="D49" s="1268">
        <v>0</v>
      </c>
      <c r="E49" s="1268">
        <v>0</v>
      </c>
      <c r="F49" s="1268">
        <v>0</v>
      </c>
      <c r="G49" s="1091">
        <v>0</v>
      </c>
      <c r="H49" s="1091">
        <v>0</v>
      </c>
      <c r="I49" s="1091">
        <v>0</v>
      </c>
      <c r="J49" s="1091">
        <v>0</v>
      </c>
      <c r="K49" s="1091">
        <v>0</v>
      </c>
      <c r="L49" s="1091">
        <v>0</v>
      </c>
      <c r="M49" s="1091">
        <v>0</v>
      </c>
      <c r="N49" s="1091">
        <v>0</v>
      </c>
      <c r="O49" s="1268">
        <v>0.3</v>
      </c>
      <c r="P49" s="1091"/>
      <c r="Q49" s="1091"/>
      <c r="R49" s="1091"/>
      <c r="S49" s="1091"/>
      <c r="T49" s="1091"/>
      <c r="U49" s="1091"/>
      <c r="V49" s="1091"/>
      <c r="W49" s="1091"/>
      <c r="X49" s="1091"/>
      <c r="Y49" s="1091"/>
      <c r="Z49" s="1091"/>
      <c r="AA49" s="1091"/>
      <c r="AB49" s="1091"/>
      <c r="AC49" s="1091"/>
      <c r="AD49" s="1091"/>
      <c r="AE49" s="1268"/>
      <c r="AF49" s="1091"/>
      <c r="AG49" s="1268"/>
      <c r="AH49" s="39">
        <f t="shared" si="7"/>
        <v>0.3</v>
      </c>
      <c r="AM49" s="2620"/>
      <c r="AN49" s="2620"/>
      <c r="AO49" s="2620"/>
      <c r="AP49" s="2620"/>
      <c r="AQ49" s="2620"/>
      <c r="AR49" s="2620"/>
      <c r="AS49" s="2620"/>
      <c r="AT49" s="2618"/>
    </row>
    <row r="50" spans="1:73" s="96" customFormat="1" ht="15">
      <c r="A50" s="1519" t="s">
        <v>83</v>
      </c>
      <c r="B50" s="15">
        <f t="shared" si="6"/>
        <v>0</v>
      </c>
      <c r="C50" s="1091"/>
      <c r="D50" s="1091"/>
      <c r="E50" s="1091"/>
      <c r="F50" s="1091"/>
      <c r="G50" s="1229"/>
      <c r="H50" s="1091"/>
      <c r="I50" s="1091"/>
      <c r="J50" s="1091"/>
      <c r="K50" s="1091"/>
      <c r="L50" s="1091"/>
      <c r="M50" s="1091"/>
      <c r="N50" s="1091"/>
      <c r="O50" s="1091"/>
      <c r="P50" s="1091"/>
      <c r="Q50" s="1091"/>
      <c r="R50" s="1091"/>
      <c r="S50" s="1091"/>
      <c r="T50" s="1091"/>
      <c r="U50" s="1091"/>
      <c r="V50" s="1091"/>
      <c r="W50" s="1091"/>
      <c r="X50" s="1091"/>
      <c r="Y50" s="1229"/>
      <c r="Z50" s="1091"/>
      <c r="AA50" s="1091"/>
      <c r="AB50" s="1091"/>
      <c r="AC50" s="1091"/>
      <c r="AD50" s="1091"/>
      <c r="AE50" s="1268"/>
      <c r="AF50" s="1091"/>
      <c r="AG50" s="1268"/>
      <c r="AH50" s="39">
        <f t="shared" si="7"/>
        <v>0</v>
      </c>
      <c r="AM50" s="2621"/>
      <c r="AN50" s="2621"/>
      <c r="AO50" s="2621"/>
      <c r="AP50" s="2621"/>
      <c r="AQ50" s="2621"/>
      <c r="AR50" s="2621"/>
      <c r="AS50" s="2621"/>
    </row>
    <row r="51" spans="1:73" s="96" customFormat="1" ht="15">
      <c r="A51" s="1519" t="s">
        <v>84</v>
      </c>
      <c r="B51" s="15">
        <f t="shared" si="6"/>
        <v>0</v>
      </c>
      <c r="C51" s="1091"/>
      <c r="D51" s="1091"/>
      <c r="E51" s="1091"/>
      <c r="F51" s="1091"/>
      <c r="G51" s="1091"/>
      <c r="H51" s="1091"/>
      <c r="I51" s="2479"/>
      <c r="J51" s="1091"/>
      <c r="K51" s="1091"/>
      <c r="L51" s="1091"/>
      <c r="M51" s="1091"/>
      <c r="N51" s="1091"/>
      <c r="O51" s="1091"/>
      <c r="P51" s="1091"/>
      <c r="Q51" s="1091"/>
      <c r="R51" s="1091"/>
      <c r="S51" s="1091"/>
      <c r="T51" s="1091"/>
      <c r="U51" s="1091"/>
      <c r="V51" s="1091"/>
      <c r="W51" s="1091"/>
      <c r="X51" s="1091"/>
      <c r="Y51" s="1091"/>
      <c r="Z51" s="1091"/>
      <c r="AA51" s="1091"/>
      <c r="AB51" s="1091"/>
      <c r="AC51" s="1091"/>
      <c r="AD51" s="1091"/>
      <c r="AE51" s="1091"/>
      <c r="AF51" s="1091"/>
      <c r="AG51" s="1091"/>
      <c r="AH51" s="39">
        <f t="shared" si="7"/>
        <v>0</v>
      </c>
    </row>
    <row r="52" spans="1:73" s="96" customFormat="1" ht="15">
      <c r="A52" s="71" t="s">
        <v>72</v>
      </c>
      <c r="B52" s="72">
        <f>SUM(B40:B51)</f>
        <v>6.7260000000000009</v>
      </c>
      <c r="C52" s="32">
        <f>SUM(C40:C50)</f>
        <v>2.7</v>
      </c>
      <c r="D52" s="39">
        <f>SUM(D40:D50)</f>
        <v>8.2000000000000003E-2</v>
      </c>
      <c r="E52" s="39">
        <v>0</v>
      </c>
      <c r="F52" s="39">
        <f t="shared" ref="F52:AC52" si="8">SUM(F40:F50)</f>
        <v>0</v>
      </c>
      <c r="G52" s="39">
        <f t="shared" si="8"/>
        <v>7.0000000000000007E-2</v>
      </c>
      <c r="H52" s="39">
        <f t="shared" si="8"/>
        <v>0.115</v>
      </c>
      <c r="I52" s="39">
        <f t="shared" si="8"/>
        <v>7.0000000000000007E-2</v>
      </c>
      <c r="J52" s="39">
        <f t="shared" si="8"/>
        <v>0</v>
      </c>
      <c r="K52" s="39">
        <f t="shared" si="8"/>
        <v>1.4999999999999999E-2</v>
      </c>
      <c r="L52" s="39">
        <f t="shared" si="8"/>
        <v>0</v>
      </c>
      <c r="M52" s="39">
        <f t="shared" si="8"/>
        <v>0.03</v>
      </c>
      <c r="N52" s="39">
        <f t="shared" si="8"/>
        <v>0</v>
      </c>
      <c r="O52" s="39">
        <f t="shared" si="8"/>
        <v>0.3</v>
      </c>
      <c r="P52" s="39">
        <f t="shared" si="8"/>
        <v>1.2E-2</v>
      </c>
      <c r="Q52" s="39">
        <f t="shared" si="8"/>
        <v>0</v>
      </c>
      <c r="R52" s="39">
        <f t="shared" si="8"/>
        <v>0.27</v>
      </c>
      <c r="S52" s="39">
        <f t="shared" si="8"/>
        <v>0</v>
      </c>
      <c r="T52" s="39">
        <f t="shared" si="8"/>
        <v>0.30099999999999999</v>
      </c>
      <c r="U52" s="39">
        <f t="shared" si="8"/>
        <v>0.06</v>
      </c>
      <c r="V52" s="39">
        <f t="shared" si="8"/>
        <v>1.736</v>
      </c>
      <c r="W52" s="39">
        <f t="shared" si="8"/>
        <v>0.28000000000000003</v>
      </c>
      <c r="X52" s="39">
        <f t="shared" si="8"/>
        <v>0.115</v>
      </c>
      <c r="Y52" s="39">
        <f t="shared" si="8"/>
        <v>0</v>
      </c>
      <c r="Z52" s="39">
        <f t="shared" si="8"/>
        <v>7.0000000000000007E-2</v>
      </c>
      <c r="AA52" s="39">
        <f t="shared" si="8"/>
        <v>0</v>
      </c>
      <c r="AB52" s="39">
        <f t="shared" si="8"/>
        <v>0</v>
      </c>
      <c r="AC52" s="39">
        <f t="shared" si="8"/>
        <v>0.06</v>
      </c>
      <c r="AD52" s="39">
        <v>0</v>
      </c>
      <c r="AE52" s="39">
        <f>SUM(AE40:AE50)</f>
        <v>3.5000000000000003E-2</v>
      </c>
      <c r="AF52" s="39">
        <f>SUM(AF40:AF50)</f>
        <v>0.28199999999999997</v>
      </c>
      <c r="AG52" s="39">
        <f>SUM(AG40:AG50)</f>
        <v>0</v>
      </c>
      <c r="AH52" s="32">
        <f>SUM(AH40:AH50)</f>
        <v>6.7260000000000009</v>
      </c>
    </row>
    <row r="53" spans="1:73" s="67" customFormat="1" ht="15">
      <c r="A53" s="36"/>
      <c r="B53" s="36"/>
      <c r="C53" s="36"/>
      <c r="D53" s="36"/>
      <c r="E53" s="36"/>
      <c r="F53" s="36"/>
      <c r="G53" s="36"/>
      <c r="H53" s="36"/>
      <c r="I53" s="36"/>
      <c r="J53" s="36"/>
      <c r="K53" s="36"/>
      <c r="L53" s="36"/>
      <c r="M53" s="36"/>
      <c r="N53" s="36"/>
      <c r="O53" s="36"/>
      <c r="P53" s="36"/>
      <c r="Q53" s="36"/>
      <c r="R53" s="36"/>
      <c r="S53" s="36"/>
      <c r="T53" s="36"/>
      <c r="U53" s="11"/>
      <c r="V53" s="11"/>
      <c r="W53" s="11"/>
      <c r="X53" s="11"/>
      <c r="Y53" s="11"/>
      <c r="Z53" s="11"/>
      <c r="AA53" s="11"/>
      <c r="AB53" s="11"/>
      <c r="AC53" s="11"/>
      <c r="AD53" s="11"/>
      <c r="AE53" s="11"/>
      <c r="AF53" s="11"/>
      <c r="AG53" s="11"/>
      <c r="AH53" s="11"/>
    </row>
    <row r="54" spans="1:73" ht="15">
      <c r="A54" s="3818" t="s">
        <v>93</v>
      </c>
      <c r="B54" s="3819"/>
      <c r="C54" s="3819"/>
      <c r="D54" s="3819"/>
      <c r="E54" s="3819"/>
      <c r="F54" s="3819"/>
      <c r="G54" s="3819"/>
      <c r="H54" s="3819"/>
      <c r="I54" s="3819"/>
      <c r="J54" s="3819"/>
      <c r="K54" s="3819"/>
      <c r="L54" s="3819"/>
      <c r="M54" s="3819"/>
      <c r="N54" s="3819"/>
      <c r="O54" s="3819"/>
      <c r="P54" s="3819"/>
      <c r="Q54" s="3819"/>
      <c r="R54" s="3820"/>
      <c r="S54" s="11"/>
      <c r="T54" s="11"/>
      <c r="U54" s="11"/>
      <c r="V54" s="11"/>
      <c r="W54" s="11"/>
      <c r="X54" s="11"/>
      <c r="Y54" s="11"/>
      <c r="Z54" s="11"/>
      <c r="AA54" s="11"/>
      <c r="AB54" s="11"/>
      <c r="AC54" s="11"/>
      <c r="AD54" s="11"/>
      <c r="AE54" s="11"/>
      <c r="AF54" s="11"/>
      <c r="AG54" s="11"/>
      <c r="AH54" s="1"/>
      <c r="AL54" s="3828" t="s">
        <v>1152</v>
      </c>
      <c r="AM54" s="3829"/>
      <c r="AN54" s="3829"/>
      <c r="AO54" s="3829"/>
      <c r="AP54" s="3829"/>
      <c r="AQ54" s="3829"/>
      <c r="AR54" s="3829"/>
      <c r="AS54" s="3829"/>
      <c r="AT54" s="3829"/>
      <c r="AU54" s="3829"/>
      <c r="AV54" s="3829"/>
      <c r="AW54" s="3829"/>
      <c r="AX54" s="3829"/>
      <c r="AY54" s="3829"/>
      <c r="AZ54" s="3829"/>
      <c r="BA54" s="3829"/>
      <c r="BB54" s="3829"/>
      <c r="BC54" s="3830"/>
      <c r="BD54" s="11"/>
      <c r="BE54" s="11"/>
      <c r="BF54" s="11"/>
      <c r="BG54" s="11"/>
      <c r="BH54" s="11"/>
      <c r="BI54" s="11"/>
      <c r="BJ54" s="11"/>
      <c r="BK54" s="11"/>
      <c r="BL54" s="11"/>
      <c r="BM54" s="11"/>
      <c r="BN54" s="11"/>
      <c r="BO54" s="11"/>
      <c r="BP54" s="11"/>
      <c r="BQ54" s="11"/>
      <c r="BR54" s="11"/>
      <c r="BS54" s="1"/>
    </row>
    <row r="55" spans="1:73" ht="5.0999999999999996" customHeight="1">
      <c r="A55" s="36"/>
      <c r="B55" s="59"/>
      <c r="C55" s="13"/>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13"/>
      <c r="AL55" s="36"/>
      <c r="AM55" s="59"/>
      <c r="AN55" s="13"/>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13"/>
    </row>
    <row r="56" spans="1:73" ht="15">
      <c r="A56" s="3811" t="s">
        <v>88</v>
      </c>
      <c r="B56" s="3812"/>
      <c r="C56" s="3812"/>
      <c r="D56" s="3812"/>
      <c r="E56" s="3812"/>
      <c r="F56" s="3812"/>
      <c r="G56" s="3812"/>
      <c r="H56" s="3813"/>
      <c r="I56" s="11"/>
      <c r="J56" s="1970" t="s">
        <v>716</v>
      </c>
      <c r="K56" s="11"/>
      <c r="L56" s="11"/>
      <c r="M56" s="11"/>
      <c r="N56" s="11"/>
      <c r="O56" s="11"/>
      <c r="P56" s="11"/>
      <c r="Q56" s="11"/>
      <c r="R56" s="11"/>
      <c r="S56" s="11"/>
      <c r="T56" s="11"/>
      <c r="U56" s="11"/>
      <c r="V56" s="11"/>
      <c r="W56" s="11"/>
      <c r="X56" s="11"/>
      <c r="Y56" s="11"/>
      <c r="Z56" s="11"/>
      <c r="AA56" s="11"/>
      <c r="AB56" s="11"/>
      <c r="AC56" s="11"/>
      <c r="AD56" s="11"/>
      <c r="AE56" s="11"/>
      <c r="AF56" s="11"/>
      <c r="AG56" s="11"/>
      <c r="AH56" s="11"/>
      <c r="AL56" s="3811" t="s">
        <v>88</v>
      </c>
      <c r="AM56" s="3812"/>
      <c r="AN56" s="3812"/>
      <c r="AO56" s="3812"/>
      <c r="AP56" s="3812"/>
      <c r="AQ56" s="3812"/>
      <c r="AR56" s="3812"/>
      <c r="AS56" s="3813"/>
      <c r="AT56" s="11"/>
      <c r="AU56" s="1970"/>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row>
    <row r="57" spans="1:73" s="137" customFormat="1" ht="13.8">
      <c r="A57" s="146" t="s">
        <v>70</v>
      </c>
      <c r="B57" s="146" t="s">
        <v>71</v>
      </c>
      <c r="C57" s="146">
        <v>1</v>
      </c>
      <c r="D57" s="147">
        <v>2</v>
      </c>
      <c r="E57" s="147">
        <v>3</v>
      </c>
      <c r="F57" s="147">
        <v>4</v>
      </c>
      <c r="G57" s="147">
        <v>5</v>
      </c>
      <c r="H57" s="147">
        <v>6</v>
      </c>
      <c r="I57" s="147">
        <v>7</v>
      </c>
      <c r="J57" s="147">
        <v>8</v>
      </c>
      <c r="K57" s="147">
        <v>9</v>
      </c>
      <c r="L57" s="147">
        <v>10</v>
      </c>
      <c r="M57" s="147">
        <v>11</v>
      </c>
      <c r="N57" s="147">
        <v>12</v>
      </c>
      <c r="O57" s="147">
        <v>13</v>
      </c>
      <c r="P57" s="147">
        <v>14</v>
      </c>
      <c r="Q57" s="147">
        <v>15</v>
      </c>
      <c r="R57" s="147">
        <v>16</v>
      </c>
      <c r="S57" s="147">
        <v>17</v>
      </c>
      <c r="T57" s="147">
        <v>18</v>
      </c>
      <c r="U57" s="147">
        <v>19</v>
      </c>
      <c r="V57" s="147">
        <v>20</v>
      </c>
      <c r="W57" s="147">
        <v>21</v>
      </c>
      <c r="X57" s="147">
        <v>22</v>
      </c>
      <c r="Y57" s="147">
        <v>23</v>
      </c>
      <c r="Z57" s="147">
        <v>24</v>
      </c>
      <c r="AA57" s="147">
        <v>25</v>
      </c>
      <c r="AB57" s="147">
        <v>26</v>
      </c>
      <c r="AC57" s="147">
        <v>27</v>
      </c>
      <c r="AD57" s="147">
        <v>28</v>
      </c>
      <c r="AE57" s="147">
        <v>29</v>
      </c>
      <c r="AF57" s="147">
        <v>30</v>
      </c>
      <c r="AG57" s="147">
        <v>31</v>
      </c>
      <c r="AH57" s="791" t="s">
        <v>72</v>
      </c>
      <c r="AI57" s="2266" t="s">
        <v>1345</v>
      </c>
      <c r="AJ57" s="2266">
        <f>(B70/COUNTIF($C$58:$AG$69,"&gt;0"))</f>
        <v>132.32974999999999</v>
      </c>
      <c r="AK57" s="2267"/>
      <c r="AL57" s="146" t="s">
        <v>70</v>
      </c>
      <c r="AM57" s="146" t="s">
        <v>71</v>
      </c>
      <c r="AN57" s="146">
        <v>1</v>
      </c>
      <c r="AO57" s="147">
        <v>2</v>
      </c>
      <c r="AP57" s="147">
        <v>3</v>
      </c>
      <c r="AQ57" s="147">
        <v>4</v>
      </c>
      <c r="AR57" s="147">
        <v>5</v>
      </c>
      <c r="AS57" s="147">
        <v>6</v>
      </c>
      <c r="AT57" s="147">
        <v>7</v>
      </c>
      <c r="AU57" s="147">
        <v>8</v>
      </c>
      <c r="AV57" s="147">
        <v>9</v>
      </c>
      <c r="AW57" s="147">
        <v>10</v>
      </c>
      <c r="AX57" s="147">
        <v>11</v>
      </c>
      <c r="AY57" s="147">
        <v>12</v>
      </c>
      <c r="AZ57" s="147">
        <v>13</v>
      </c>
      <c r="BA57" s="147">
        <v>14</v>
      </c>
      <c r="BB57" s="147">
        <v>15</v>
      </c>
      <c r="BC57" s="147">
        <v>16</v>
      </c>
      <c r="BD57" s="147">
        <v>17</v>
      </c>
      <c r="BE57" s="147">
        <v>18</v>
      </c>
      <c r="BF57" s="147">
        <v>19</v>
      </c>
      <c r="BG57" s="147">
        <v>20</v>
      </c>
      <c r="BH57" s="147">
        <v>21</v>
      </c>
      <c r="BI57" s="147">
        <v>22</v>
      </c>
      <c r="BJ57" s="147">
        <v>23</v>
      </c>
      <c r="BK57" s="147">
        <v>24</v>
      </c>
      <c r="BL57" s="147">
        <v>25</v>
      </c>
      <c r="BM57" s="147">
        <v>26</v>
      </c>
      <c r="BN57" s="147">
        <v>27</v>
      </c>
      <c r="BO57" s="147">
        <v>28</v>
      </c>
      <c r="BP57" s="147">
        <v>29</v>
      </c>
      <c r="BQ57" s="147">
        <v>30</v>
      </c>
      <c r="BR57" s="147">
        <v>31</v>
      </c>
      <c r="BS57" s="791" t="s">
        <v>72</v>
      </c>
      <c r="BT57" s="2266" t="s">
        <v>1345</v>
      </c>
      <c r="BU57" s="66">
        <f>(AM70/COUNTIF($AN$58:$BR$69,"&gt;0"))</f>
        <v>95.39472727272728</v>
      </c>
    </row>
    <row r="58" spans="1:73" s="137" customFormat="1" ht="13.8">
      <c r="A58" s="792" t="s">
        <v>73</v>
      </c>
      <c r="B58" s="130">
        <f t="shared" ref="B58:B69" si="9">+AH58</f>
        <v>0</v>
      </c>
      <c r="C58" s="609" t="s">
        <v>109</v>
      </c>
      <c r="D58" s="609" t="s">
        <v>109</v>
      </c>
      <c r="E58" s="609" t="s">
        <v>109</v>
      </c>
      <c r="F58" s="609" t="s">
        <v>109</v>
      </c>
      <c r="G58" s="609" t="s">
        <v>109</v>
      </c>
      <c r="H58" s="609" t="s">
        <v>109</v>
      </c>
      <c r="I58" s="609" t="s">
        <v>109</v>
      </c>
      <c r="J58" s="609" t="s">
        <v>109</v>
      </c>
      <c r="K58" s="609" t="s">
        <v>109</v>
      </c>
      <c r="L58" s="609" t="s">
        <v>109</v>
      </c>
      <c r="M58" s="609" t="s">
        <v>109</v>
      </c>
      <c r="N58" s="609" t="s">
        <v>109</v>
      </c>
      <c r="O58" s="609" t="s">
        <v>109</v>
      </c>
      <c r="P58" s="609" t="s">
        <v>109</v>
      </c>
      <c r="Q58" s="609" t="s">
        <v>109</v>
      </c>
      <c r="R58" s="609" t="s">
        <v>109</v>
      </c>
      <c r="S58" s="609" t="s">
        <v>109</v>
      </c>
      <c r="T58" s="609" t="s">
        <v>109</v>
      </c>
      <c r="U58" s="609" t="s">
        <v>109</v>
      </c>
      <c r="V58" s="609" t="s">
        <v>109</v>
      </c>
      <c r="W58" s="609" t="s">
        <v>109</v>
      </c>
      <c r="X58" s="609" t="s">
        <v>109</v>
      </c>
      <c r="Y58" s="609" t="s">
        <v>109</v>
      </c>
      <c r="Z58" s="609" t="s">
        <v>109</v>
      </c>
      <c r="AA58" s="609" t="s">
        <v>109</v>
      </c>
      <c r="AB58" s="609" t="s">
        <v>109</v>
      </c>
      <c r="AC58" s="609" t="s">
        <v>109</v>
      </c>
      <c r="AD58" s="609" t="s">
        <v>109</v>
      </c>
      <c r="AE58" s="609" t="s">
        <v>109</v>
      </c>
      <c r="AF58" s="609" t="s">
        <v>109</v>
      </c>
      <c r="AG58" s="609" t="s">
        <v>109</v>
      </c>
      <c r="AH58" s="610">
        <f>SUM(C58:AG58)</f>
        <v>0</v>
      </c>
      <c r="AJ58" s="2266">
        <f>+'Resumen RAE Anchoveta'!G31</f>
        <v>-134.27599999999984</v>
      </c>
      <c r="AK58" s="2267"/>
      <c r="AL58" s="792" t="s">
        <v>73</v>
      </c>
      <c r="AM58" s="130">
        <f t="shared" ref="AM58:AM69" si="10">+BS58</f>
        <v>0</v>
      </c>
      <c r="AN58" s="2066"/>
      <c r="AO58" s="2066"/>
      <c r="AP58" s="2066"/>
      <c r="AQ58" s="2066"/>
      <c r="AR58" s="2066"/>
      <c r="AS58" s="2066"/>
      <c r="AT58" s="2066"/>
      <c r="AU58" s="2066"/>
      <c r="AV58" s="2066"/>
      <c r="AW58" s="2066"/>
      <c r="AX58" s="2066"/>
      <c r="AY58" s="2066"/>
      <c r="AZ58" s="2066"/>
      <c r="BA58" s="2066"/>
      <c r="BB58" s="2066"/>
      <c r="BC58" s="2066"/>
      <c r="BD58" s="2066"/>
      <c r="BE58" s="2066"/>
      <c r="BF58" s="2066"/>
      <c r="BG58" s="2066"/>
      <c r="BH58" s="2066"/>
      <c r="BI58" s="2066"/>
      <c r="BJ58" s="2066"/>
      <c r="BK58" s="2066"/>
      <c r="BL58" s="2066"/>
      <c r="BM58" s="2066"/>
      <c r="BN58" s="2066"/>
      <c r="BO58" s="2066"/>
      <c r="BP58" s="2066"/>
      <c r="BQ58" s="2066"/>
      <c r="BR58" s="2066"/>
      <c r="BS58" s="610">
        <f>SUM(AN58:BR58)</f>
        <v>0</v>
      </c>
    </row>
    <row r="59" spans="1:73" s="137" customFormat="1" ht="13.8">
      <c r="A59" s="792" t="s">
        <v>74</v>
      </c>
      <c r="B59" s="130">
        <f t="shared" si="9"/>
        <v>0</v>
      </c>
      <c r="C59" s="609" t="s">
        <v>109</v>
      </c>
      <c r="D59" s="609" t="s">
        <v>109</v>
      </c>
      <c r="E59" s="609" t="s">
        <v>109</v>
      </c>
      <c r="F59" s="609" t="s">
        <v>109</v>
      </c>
      <c r="G59" s="609" t="s">
        <v>109</v>
      </c>
      <c r="H59" s="609" t="s">
        <v>109</v>
      </c>
      <c r="I59" s="609" t="s">
        <v>109</v>
      </c>
      <c r="J59" s="609" t="s">
        <v>109</v>
      </c>
      <c r="K59" s="609" t="s">
        <v>109</v>
      </c>
      <c r="L59" s="609" t="s">
        <v>109</v>
      </c>
      <c r="M59" s="609" t="s">
        <v>109</v>
      </c>
      <c r="N59" s="609" t="s">
        <v>109</v>
      </c>
      <c r="O59" s="609" t="s">
        <v>109</v>
      </c>
      <c r="P59" s="609" t="s">
        <v>109</v>
      </c>
      <c r="Q59" s="609" t="s">
        <v>109</v>
      </c>
      <c r="R59" s="609" t="s">
        <v>109</v>
      </c>
      <c r="S59" s="609" t="s">
        <v>109</v>
      </c>
      <c r="T59" s="609" t="s">
        <v>109</v>
      </c>
      <c r="U59" s="609" t="s">
        <v>109</v>
      </c>
      <c r="V59" s="609" t="s">
        <v>109</v>
      </c>
      <c r="W59" s="609" t="s">
        <v>109</v>
      </c>
      <c r="X59" s="609" t="s">
        <v>109</v>
      </c>
      <c r="Y59" s="609" t="s">
        <v>109</v>
      </c>
      <c r="Z59" s="609" t="s">
        <v>109</v>
      </c>
      <c r="AA59" s="609" t="s">
        <v>109</v>
      </c>
      <c r="AB59" s="609" t="s">
        <v>109</v>
      </c>
      <c r="AC59" s="609" t="s">
        <v>109</v>
      </c>
      <c r="AD59" s="609" t="s">
        <v>109</v>
      </c>
      <c r="AE59" s="609" t="s">
        <v>109</v>
      </c>
      <c r="AF59" s="609" t="s">
        <v>109</v>
      </c>
      <c r="AG59" s="609" t="s">
        <v>109</v>
      </c>
      <c r="AH59" s="610">
        <f t="shared" ref="AH59:AH69" si="11">SUM(C59:AG59)</f>
        <v>0</v>
      </c>
      <c r="AJ59" s="1093">
        <f>+AJ58/AJ57</f>
        <v>-1.0147075770943408</v>
      </c>
      <c r="AK59" s="2267"/>
      <c r="AL59" s="792" t="s">
        <v>74</v>
      </c>
      <c r="AM59" s="130">
        <f t="shared" si="10"/>
        <v>0</v>
      </c>
      <c r="AN59" s="2066"/>
      <c r="AO59" s="2066"/>
      <c r="AP59" s="2066"/>
      <c r="AQ59" s="2066"/>
      <c r="AR59" s="2066"/>
      <c r="AS59" s="2066"/>
      <c r="AT59" s="2066"/>
      <c r="AU59" s="2066"/>
      <c r="AV59" s="2066"/>
      <c r="AW59" s="2066"/>
      <c r="AX59" s="2066"/>
      <c r="AY59" s="2066"/>
      <c r="AZ59" s="2066"/>
      <c r="BA59" s="2066"/>
      <c r="BB59" s="2066"/>
      <c r="BC59" s="2066"/>
      <c r="BD59" s="2066"/>
      <c r="BE59" s="2066"/>
      <c r="BF59" s="2066"/>
      <c r="BG59" s="2066"/>
      <c r="BH59" s="2066"/>
      <c r="BI59" s="2066"/>
      <c r="BJ59" s="2066"/>
      <c r="BK59" s="2066"/>
      <c r="BL59" s="2066"/>
      <c r="BM59" s="2066"/>
      <c r="BN59" s="2066"/>
      <c r="BO59" s="2066"/>
      <c r="BP59" s="2066"/>
      <c r="BQ59" s="2066"/>
      <c r="BR59" s="2066"/>
      <c r="BS59" s="610">
        <f t="shared" ref="BS59:BS69" si="12">SUM(AN59:BR59)</f>
        <v>0</v>
      </c>
    </row>
    <row r="60" spans="1:73" s="137" customFormat="1" ht="12">
      <c r="A60" s="792" t="s">
        <v>75</v>
      </c>
      <c r="B60" s="130">
        <f t="shared" si="9"/>
        <v>1353.8899999999999</v>
      </c>
      <c r="C60" s="609" t="s">
        <v>109</v>
      </c>
      <c r="D60" s="609" t="s">
        <v>109</v>
      </c>
      <c r="E60" s="609" t="s">
        <v>109</v>
      </c>
      <c r="F60" s="609" t="s">
        <v>109</v>
      </c>
      <c r="G60" s="609" t="s">
        <v>109</v>
      </c>
      <c r="H60" s="793">
        <v>0</v>
      </c>
      <c r="I60" s="793">
        <v>0</v>
      </c>
      <c r="J60" s="793">
        <v>0</v>
      </c>
      <c r="K60" s="793">
        <v>0</v>
      </c>
      <c r="L60" s="2066">
        <v>0</v>
      </c>
      <c r="M60" s="2066">
        <v>0</v>
      </c>
      <c r="N60" s="2066">
        <v>15.271000000000001</v>
      </c>
      <c r="O60" s="2066">
        <v>5.6070000000000002</v>
      </c>
      <c r="P60" s="2066">
        <v>0</v>
      </c>
      <c r="Q60" s="2066">
        <v>18.079999999999998</v>
      </c>
      <c r="R60" s="2066">
        <v>6.6470000000000002</v>
      </c>
      <c r="S60" s="2066">
        <v>0</v>
      </c>
      <c r="T60" s="2066">
        <v>213.89400000000001</v>
      </c>
      <c r="U60" s="2066">
        <v>139.738</v>
      </c>
      <c r="V60" s="2066">
        <v>152.27199999999999</v>
      </c>
      <c r="W60" s="2066">
        <v>89.01</v>
      </c>
      <c r="X60" s="2066">
        <v>0</v>
      </c>
      <c r="Y60" s="2066">
        <v>0</v>
      </c>
      <c r="Z60" s="2066">
        <v>0</v>
      </c>
      <c r="AA60" s="2066">
        <v>0</v>
      </c>
      <c r="AB60" s="2066">
        <v>0</v>
      </c>
      <c r="AC60" s="2066">
        <v>0</v>
      </c>
      <c r="AD60" s="2066">
        <v>0</v>
      </c>
      <c r="AE60" s="2066">
        <v>284.24200000000002</v>
      </c>
      <c r="AF60" s="2066">
        <v>0</v>
      </c>
      <c r="AG60" s="2066">
        <v>429.12900000000002</v>
      </c>
      <c r="AH60" s="610">
        <f t="shared" si="11"/>
        <v>1353.8899999999999</v>
      </c>
      <c r="AJ60" s="2267"/>
      <c r="AK60" s="2267"/>
      <c r="AL60" s="792" t="s">
        <v>75</v>
      </c>
      <c r="AM60" s="130">
        <f t="shared" si="10"/>
        <v>0</v>
      </c>
      <c r="AN60" s="2066"/>
      <c r="AO60" s="2066"/>
      <c r="AP60" s="2066"/>
      <c r="AQ60" s="2066"/>
      <c r="AR60" s="2066"/>
      <c r="AS60" s="2496"/>
      <c r="AT60" s="2496"/>
      <c r="AU60" s="2496"/>
      <c r="AV60" s="2496"/>
      <c r="AW60" s="2066"/>
      <c r="AX60" s="2066"/>
      <c r="AY60" s="2066"/>
      <c r="AZ60" s="2066"/>
      <c r="BA60" s="2066"/>
      <c r="BB60" s="2066"/>
      <c r="BC60" s="2066"/>
      <c r="BD60" s="2066"/>
      <c r="BE60" s="2066"/>
      <c r="BF60" s="2066"/>
      <c r="BG60" s="2066"/>
      <c r="BH60" s="2066"/>
      <c r="BI60" s="2066"/>
      <c r="BJ60" s="2066"/>
      <c r="BK60" s="2066"/>
      <c r="BL60" s="2066"/>
      <c r="BM60" s="2066"/>
      <c r="BN60" s="2066"/>
      <c r="BO60" s="2066"/>
      <c r="BP60" s="2066"/>
      <c r="BQ60" s="2066"/>
      <c r="BR60" s="2066"/>
      <c r="BS60" s="610">
        <f t="shared" si="12"/>
        <v>0</v>
      </c>
    </row>
    <row r="61" spans="1:73" s="137" customFormat="1" ht="12">
      <c r="A61" s="792" t="s">
        <v>76</v>
      </c>
      <c r="B61" s="130">
        <f t="shared" si="9"/>
        <v>763.38599999999997</v>
      </c>
      <c r="C61" s="2066">
        <v>44.801000000000002</v>
      </c>
      <c r="D61" s="2066">
        <v>0</v>
      </c>
      <c r="E61" s="2066">
        <v>5.6050000000000004</v>
      </c>
      <c r="F61" s="2066">
        <v>231.12200000000001</v>
      </c>
      <c r="G61" s="2066">
        <v>228.06800000000001</v>
      </c>
      <c r="H61" s="2066">
        <v>190.55699999999999</v>
      </c>
      <c r="I61" s="2475">
        <v>63.232999999999997</v>
      </c>
      <c r="J61" s="2066"/>
      <c r="K61" s="2066"/>
      <c r="L61" s="2066"/>
      <c r="M61" s="2066"/>
      <c r="N61" s="2066"/>
      <c r="O61" s="2066"/>
      <c r="P61" s="2066"/>
      <c r="Q61" s="2066"/>
      <c r="R61" s="2066"/>
      <c r="S61" s="2066"/>
      <c r="T61" s="2066"/>
      <c r="U61" s="2066"/>
      <c r="V61" s="2066"/>
      <c r="W61" s="2066"/>
      <c r="X61" s="2066"/>
      <c r="Y61" s="2066"/>
      <c r="Z61" s="2066"/>
      <c r="AA61" s="2066"/>
      <c r="AB61" s="2066"/>
      <c r="AC61" s="2066"/>
      <c r="AD61" s="2066"/>
      <c r="AE61" s="2066"/>
      <c r="AF61" s="2066"/>
      <c r="AG61" s="2066"/>
      <c r="AH61" s="610">
        <f>SUM(C61:AG61)</f>
        <v>763.38599999999997</v>
      </c>
      <c r="AJ61" s="2267"/>
      <c r="AK61" s="2267"/>
      <c r="AL61" s="792" t="s">
        <v>76</v>
      </c>
      <c r="AM61" s="130">
        <f t="shared" si="10"/>
        <v>282.62700000000001</v>
      </c>
      <c r="AN61" s="2066">
        <v>0</v>
      </c>
      <c r="AO61" s="2066">
        <v>0</v>
      </c>
      <c r="AP61" s="2066">
        <v>0</v>
      </c>
      <c r="AQ61" s="2066">
        <v>0</v>
      </c>
      <c r="AR61" s="2066">
        <v>0</v>
      </c>
      <c r="AS61" s="2066">
        <v>0</v>
      </c>
      <c r="AT61" s="2475">
        <v>0</v>
      </c>
      <c r="AU61" s="2066">
        <v>0</v>
      </c>
      <c r="AV61" s="2066">
        <v>0</v>
      </c>
      <c r="AW61" s="2066">
        <v>0</v>
      </c>
      <c r="AX61" s="2066">
        <v>0</v>
      </c>
      <c r="AY61" s="2066">
        <v>0</v>
      </c>
      <c r="AZ61" s="2066">
        <v>0</v>
      </c>
      <c r="BA61" s="2066">
        <v>0</v>
      </c>
      <c r="BB61" s="2066">
        <v>0</v>
      </c>
      <c r="BC61" s="2066">
        <v>0</v>
      </c>
      <c r="BD61" s="2066">
        <v>0</v>
      </c>
      <c r="BE61" s="2066">
        <v>0</v>
      </c>
      <c r="BF61" s="2066">
        <v>0</v>
      </c>
      <c r="BG61" s="2066">
        <v>0</v>
      </c>
      <c r="BH61" s="2066">
        <v>0</v>
      </c>
      <c r="BI61" s="2066">
        <v>244.50800000000001</v>
      </c>
      <c r="BJ61" s="2066">
        <v>35.551000000000002</v>
      </c>
      <c r="BK61" s="2066">
        <v>0</v>
      </c>
      <c r="BL61" s="2066">
        <v>0.20899999999999999</v>
      </c>
      <c r="BM61" s="2066">
        <v>0</v>
      </c>
      <c r="BN61" s="2066">
        <v>0</v>
      </c>
      <c r="BO61" s="2066">
        <v>0</v>
      </c>
      <c r="BP61" s="2066">
        <v>0</v>
      </c>
      <c r="BQ61" s="2066">
        <v>2.359</v>
      </c>
      <c r="BR61" s="2066">
        <v>0</v>
      </c>
      <c r="BS61" s="610">
        <f t="shared" si="12"/>
        <v>282.62700000000001</v>
      </c>
    </row>
    <row r="62" spans="1:73" s="137" customFormat="1" ht="12">
      <c r="A62" s="159" t="s">
        <v>77</v>
      </c>
      <c r="B62" s="130">
        <f t="shared" si="9"/>
        <v>0</v>
      </c>
      <c r="C62" s="151">
        <f>423.474 -423.474</f>
        <v>0</v>
      </c>
      <c r="D62" s="151">
        <f>104.304-104.304</f>
        <v>0</v>
      </c>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610">
        <f t="shared" si="11"/>
        <v>0</v>
      </c>
      <c r="AJ62" s="2267"/>
      <c r="AK62" s="2267"/>
      <c r="AL62" s="159" t="s">
        <v>77</v>
      </c>
      <c r="AM62" s="130">
        <f t="shared" si="10"/>
        <v>766.71500000000003</v>
      </c>
      <c r="AN62" s="2619">
        <v>479.279</v>
      </c>
      <c r="AO62" s="2619">
        <v>104.304</v>
      </c>
      <c r="AP62" s="1333">
        <v>0</v>
      </c>
      <c r="AQ62" s="1333">
        <v>0</v>
      </c>
      <c r="AR62" s="1333">
        <v>0</v>
      </c>
      <c r="AS62" s="1333">
        <v>0</v>
      </c>
      <c r="AT62" s="2622">
        <v>8.0299999999999994</v>
      </c>
      <c r="AU62" s="2622">
        <v>0</v>
      </c>
      <c r="AV62" s="2622">
        <v>0</v>
      </c>
      <c r="AW62" s="2622">
        <v>0</v>
      </c>
      <c r="AX62" s="2622">
        <v>1.6910000000000025</v>
      </c>
      <c r="AY62" s="2622">
        <v>0</v>
      </c>
      <c r="AZ62" s="2622">
        <v>0</v>
      </c>
      <c r="BA62" s="2622">
        <v>0</v>
      </c>
      <c r="BB62" s="2622">
        <v>0</v>
      </c>
      <c r="BC62" s="2622">
        <v>0</v>
      </c>
      <c r="BD62" s="2622">
        <v>3.738</v>
      </c>
      <c r="BE62" s="2622">
        <v>80.683999999999997</v>
      </c>
      <c r="BF62" s="2622">
        <v>88.989000000000004</v>
      </c>
      <c r="BG62" s="1333">
        <v>0</v>
      </c>
      <c r="BH62" s="1333">
        <v>0</v>
      </c>
      <c r="BI62" s="1333">
        <v>0</v>
      </c>
      <c r="BJ62" s="1333">
        <v>0</v>
      </c>
      <c r="BK62" s="1333">
        <v>0</v>
      </c>
      <c r="BL62" s="1333">
        <v>0</v>
      </c>
      <c r="BM62" s="1333">
        <v>0</v>
      </c>
      <c r="BN62" s="1333">
        <v>0</v>
      </c>
      <c r="BO62" s="1333">
        <v>0</v>
      </c>
      <c r="BP62" s="1333">
        <v>0</v>
      </c>
      <c r="BQ62" s="1333">
        <v>0</v>
      </c>
      <c r="BR62" s="1333">
        <v>0</v>
      </c>
      <c r="BS62" s="610">
        <f t="shared" si="12"/>
        <v>766.71500000000003</v>
      </c>
    </row>
    <row r="63" spans="1:73" s="137" customFormat="1" ht="12">
      <c r="A63" s="159" t="s">
        <v>78</v>
      </c>
      <c r="B63" s="130">
        <f t="shared" si="9"/>
        <v>0</v>
      </c>
      <c r="C63" s="151"/>
      <c r="D63" s="130"/>
      <c r="E63" s="130"/>
      <c r="F63" s="130"/>
      <c r="G63" s="130"/>
      <c r="H63" s="2066"/>
      <c r="I63" s="2066"/>
      <c r="J63" s="2066"/>
      <c r="K63" s="2066"/>
      <c r="L63" s="2066"/>
      <c r="M63" s="2066"/>
      <c r="N63" s="2066"/>
      <c r="O63" s="2066"/>
      <c r="P63" s="2066"/>
      <c r="Q63" s="2066"/>
      <c r="R63" s="2066"/>
      <c r="S63" s="2066"/>
      <c r="T63" s="2066"/>
      <c r="U63" s="2066"/>
      <c r="V63" s="2066"/>
      <c r="W63" s="2066"/>
      <c r="X63" s="2066"/>
      <c r="Y63" s="130"/>
      <c r="Z63" s="130"/>
      <c r="AA63" s="130"/>
      <c r="AB63" s="130"/>
      <c r="AC63" s="130"/>
      <c r="AD63" s="130"/>
      <c r="AE63" s="130"/>
      <c r="AF63" s="130"/>
      <c r="AG63" s="130"/>
      <c r="AH63" s="610">
        <f t="shared" si="11"/>
        <v>0</v>
      </c>
      <c r="AJ63" s="2267"/>
      <c r="AK63" s="2267"/>
      <c r="AL63" s="159" t="s">
        <v>78</v>
      </c>
      <c r="AM63" s="130">
        <f t="shared" si="10"/>
        <v>0</v>
      </c>
      <c r="AN63" s="1333"/>
      <c r="AO63" s="1333"/>
      <c r="AP63" s="1333"/>
      <c r="AQ63" s="1333"/>
      <c r="AR63" s="1333"/>
      <c r="AS63" s="2066"/>
      <c r="AT63" s="2066"/>
      <c r="AU63" s="2066"/>
      <c r="AV63" s="2066"/>
      <c r="AW63" s="2066"/>
      <c r="AX63" s="2066"/>
      <c r="AY63" s="2066"/>
      <c r="AZ63" s="2066"/>
      <c r="BA63" s="2066"/>
      <c r="BB63" s="2066"/>
      <c r="BC63" s="2066"/>
      <c r="BD63" s="2066"/>
      <c r="BE63" s="2066"/>
      <c r="BF63" s="2066"/>
      <c r="BG63" s="2066"/>
      <c r="BH63" s="2066"/>
      <c r="BI63" s="2066"/>
      <c r="BJ63" s="1333"/>
      <c r="BK63" s="1333"/>
      <c r="BL63" s="1333"/>
      <c r="BM63" s="1333"/>
      <c r="BN63" s="1333"/>
      <c r="BO63" s="1333"/>
      <c r="BP63" s="1333"/>
      <c r="BQ63" s="1333"/>
      <c r="BR63" s="1333"/>
      <c r="BS63" s="610">
        <f t="shared" si="12"/>
        <v>0</v>
      </c>
    </row>
    <row r="64" spans="1:73" s="137" customFormat="1" ht="15">
      <c r="A64" s="159" t="s">
        <v>79</v>
      </c>
      <c r="B64" s="130">
        <f t="shared" si="9"/>
        <v>0</v>
      </c>
      <c r="C64" s="1091"/>
      <c r="D64" s="1268"/>
      <c r="E64" s="1268"/>
      <c r="F64" s="1268"/>
      <c r="G64" s="1091"/>
      <c r="H64" s="1091"/>
      <c r="I64" s="1091"/>
      <c r="J64" s="2068"/>
      <c r="K64" s="2068"/>
      <c r="L64" s="1268"/>
      <c r="M64" s="1268"/>
      <c r="N64" s="1268"/>
      <c r="O64" s="1268"/>
      <c r="P64" s="1268"/>
      <c r="Q64" s="1268"/>
      <c r="R64" s="1268"/>
      <c r="S64" s="1268"/>
      <c r="T64" s="1268"/>
      <c r="U64" s="1268"/>
      <c r="V64" s="1268"/>
      <c r="W64" s="609"/>
      <c r="X64" s="609"/>
      <c r="Y64" s="609"/>
      <c r="Z64" s="609"/>
      <c r="AA64" s="609"/>
      <c r="AB64" s="609"/>
      <c r="AC64" s="609"/>
      <c r="AD64" s="609"/>
      <c r="AE64" s="609"/>
      <c r="AF64" s="609" t="s">
        <v>109</v>
      </c>
      <c r="AG64" s="609" t="s">
        <v>109</v>
      </c>
      <c r="AH64" s="610">
        <f t="shared" si="11"/>
        <v>0</v>
      </c>
      <c r="AJ64" s="2267"/>
      <c r="AK64" s="2267"/>
      <c r="AL64" s="159" t="s">
        <v>79</v>
      </c>
      <c r="AM64" s="130">
        <f t="shared" si="10"/>
        <v>0</v>
      </c>
      <c r="AN64" s="1091"/>
      <c r="AO64" s="1268"/>
      <c r="AP64" s="1268"/>
      <c r="AQ64" s="1268"/>
      <c r="AR64" s="1091"/>
      <c r="AS64" s="1091"/>
      <c r="AT64" s="1091"/>
      <c r="AU64" s="2068"/>
      <c r="AV64" s="2068"/>
      <c r="AW64" s="1268"/>
      <c r="AX64" s="1268"/>
      <c r="AY64" s="1268"/>
      <c r="AZ64" s="1268"/>
      <c r="BA64" s="1268"/>
      <c r="BB64" s="1268"/>
      <c r="BC64" s="1268"/>
      <c r="BD64" s="1268"/>
      <c r="BE64" s="1268"/>
      <c r="BF64" s="1268"/>
      <c r="BG64" s="1268"/>
      <c r="BH64" s="2066"/>
      <c r="BI64" s="2066"/>
      <c r="BJ64" s="2066"/>
      <c r="BK64" s="2066"/>
      <c r="BL64" s="2066"/>
      <c r="BM64" s="2066"/>
      <c r="BN64" s="2066"/>
      <c r="BO64" s="2066"/>
      <c r="BP64" s="2066"/>
      <c r="BQ64" s="2066"/>
      <c r="BR64" s="2066"/>
      <c r="BS64" s="610">
        <f t="shared" si="12"/>
        <v>0</v>
      </c>
    </row>
    <row r="65" spans="1:71" s="137" customFormat="1" ht="12">
      <c r="A65" s="159" t="s">
        <v>80</v>
      </c>
      <c r="B65" s="130">
        <f t="shared" si="9"/>
        <v>0</v>
      </c>
      <c r="C65" s="609" t="s">
        <v>109</v>
      </c>
      <c r="D65" s="609" t="s">
        <v>109</v>
      </c>
      <c r="E65" s="609" t="s">
        <v>109</v>
      </c>
      <c r="F65" s="609" t="s">
        <v>109</v>
      </c>
      <c r="G65" s="609" t="s">
        <v>109</v>
      </c>
      <c r="H65" s="609" t="s">
        <v>109</v>
      </c>
      <c r="I65" s="609" t="s">
        <v>109</v>
      </c>
      <c r="J65" s="609" t="s">
        <v>109</v>
      </c>
      <c r="K65" s="609" t="s">
        <v>109</v>
      </c>
      <c r="L65" s="609" t="s">
        <v>109</v>
      </c>
      <c r="M65" s="609" t="s">
        <v>109</v>
      </c>
      <c r="N65" s="609" t="s">
        <v>109</v>
      </c>
      <c r="O65" s="609" t="s">
        <v>109</v>
      </c>
      <c r="P65" s="609" t="s">
        <v>109</v>
      </c>
      <c r="Q65" s="609" t="s">
        <v>109</v>
      </c>
      <c r="R65" s="609" t="s">
        <v>109</v>
      </c>
      <c r="S65" s="609" t="s">
        <v>109</v>
      </c>
      <c r="T65" s="609" t="s">
        <v>109</v>
      </c>
      <c r="U65" s="609" t="s">
        <v>109</v>
      </c>
      <c r="V65" s="609" t="s">
        <v>109</v>
      </c>
      <c r="W65" s="609" t="s">
        <v>109</v>
      </c>
      <c r="X65" s="609" t="s">
        <v>109</v>
      </c>
      <c r="Y65" s="609" t="s">
        <v>109</v>
      </c>
      <c r="Z65" s="609" t="s">
        <v>109</v>
      </c>
      <c r="AA65" s="609" t="s">
        <v>109</v>
      </c>
      <c r="AB65" s="609" t="s">
        <v>109</v>
      </c>
      <c r="AC65" s="609" t="s">
        <v>109</v>
      </c>
      <c r="AD65" s="609" t="s">
        <v>109</v>
      </c>
      <c r="AE65" s="609" t="s">
        <v>109</v>
      </c>
      <c r="AF65" s="609" t="s">
        <v>109</v>
      </c>
      <c r="AG65" s="609" t="s">
        <v>109</v>
      </c>
      <c r="AH65" s="610">
        <f t="shared" si="11"/>
        <v>0</v>
      </c>
      <c r="AJ65" s="2267"/>
      <c r="AK65" s="2267"/>
      <c r="AL65" s="159" t="s">
        <v>80</v>
      </c>
      <c r="AM65" s="130">
        <f t="shared" si="10"/>
        <v>0</v>
      </c>
      <c r="AN65" s="2066"/>
      <c r="AO65" s="2066"/>
      <c r="AP65" s="2066"/>
      <c r="AQ65" s="2066"/>
      <c r="AR65" s="2066"/>
      <c r="AS65" s="2066"/>
      <c r="AT65" s="2066"/>
      <c r="AU65" s="2066"/>
      <c r="AV65" s="2066"/>
      <c r="AW65" s="2066"/>
      <c r="AX65" s="2066"/>
      <c r="AY65" s="2066"/>
      <c r="AZ65" s="2066"/>
      <c r="BA65" s="2066"/>
      <c r="BB65" s="2066"/>
      <c r="BC65" s="2066"/>
      <c r="BD65" s="2066"/>
      <c r="BE65" s="2066"/>
      <c r="BF65" s="2066"/>
      <c r="BG65" s="2066"/>
      <c r="BH65" s="2066"/>
      <c r="BI65" s="2066"/>
      <c r="BJ65" s="2066"/>
      <c r="BK65" s="2066"/>
      <c r="BL65" s="2066"/>
      <c r="BM65" s="2066"/>
      <c r="BN65" s="2066"/>
      <c r="BO65" s="2066"/>
      <c r="BP65" s="2066"/>
      <c r="BQ65" s="2066"/>
      <c r="BR65" s="2066"/>
      <c r="BS65" s="610">
        <f t="shared" si="12"/>
        <v>0</v>
      </c>
    </row>
    <row r="66" spans="1:71" s="137" customFormat="1" ht="12">
      <c r="A66" s="148" t="s">
        <v>81</v>
      </c>
      <c r="B66" s="130">
        <f t="shared" si="9"/>
        <v>0</v>
      </c>
      <c r="C66" s="609" t="s">
        <v>109</v>
      </c>
      <c r="D66" s="609" t="s">
        <v>109</v>
      </c>
      <c r="E66" s="609" t="s">
        <v>109</v>
      </c>
      <c r="F66" s="609" t="s">
        <v>109</v>
      </c>
      <c r="G66" s="609" t="s">
        <v>109</v>
      </c>
      <c r="H66" s="609" t="s">
        <v>109</v>
      </c>
      <c r="I66" s="609" t="s">
        <v>109</v>
      </c>
      <c r="J66" s="609" t="s">
        <v>109</v>
      </c>
      <c r="K66" s="609" t="s">
        <v>109</v>
      </c>
      <c r="L66" s="609" t="s">
        <v>109</v>
      </c>
      <c r="M66" s="609" t="s">
        <v>109</v>
      </c>
      <c r="N66" s="609" t="s">
        <v>109</v>
      </c>
      <c r="O66" s="609" t="s">
        <v>109</v>
      </c>
      <c r="P66" s="609" t="s">
        <v>109</v>
      </c>
      <c r="Q66" s="609" t="s">
        <v>109</v>
      </c>
      <c r="R66" s="609" t="s">
        <v>109</v>
      </c>
      <c r="S66" s="609" t="s">
        <v>109</v>
      </c>
      <c r="T66" s="609" t="s">
        <v>109</v>
      </c>
      <c r="U66" s="609" t="s">
        <v>109</v>
      </c>
      <c r="V66" s="609" t="s">
        <v>109</v>
      </c>
      <c r="W66" s="609" t="s">
        <v>109</v>
      </c>
      <c r="X66" s="609" t="s">
        <v>109</v>
      </c>
      <c r="Y66" s="609" t="s">
        <v>109</v>
      </c>
      <c r="Z66" s="609" t="s">
        <v>109</v>
      </c>
      <c r="AA66" s="609" t="s">
        <v>109</v>
      </c>
      <c r="AB66" s="609" t="s">
        <v>109</v>
      </c>
      <c r="AC66" s="609" t="s">
        <v>109</v>
      </c>
      <c r="AD66" s="609" t="s">
        <v>109</v>
      </c>
      <c r="AE66" s="609" t="s">
        <v>109</v>
      </c>
      <c r="AF66" s="609" t="s">
        <v>109</v>
      </c>
      <c r="AG66" s="609" t="s">
        <v>109</v>
      </c>
      <c r="AH66" s="610">
        <f t="shared" si="11"/>
        <v>0</v>
      </c>
      <c r="AJ66" s="2267"/>
      <c r="AK66" s="2267"/>
      <c r="AL66" s="148" t="s">
        <v>81</v>
      </c>
      <c r="AM66" s="130">
        <f t="shared" si="10"/>
        <v>0</v>
      </c>
      <c r="AN66" s="2066"/>
      <c r="AO66" s="2066"/>
      <c r="AP66" s="2066"/>
      <c r="AQ66" s="2066"/>
      <c r="AR66" s="2066"/>
      <c r="AS66" s="2066"/>
      <c r="AT66" s="2066"/>
      <c r="AU66" s="2066"/>
      <c r="AV66" s="2066"/>
      <c r="AW66" s="2066"/>
      <c r="AX66" s="2066"/>
      <c r="AY66" s="2066"/>
      <c r="AZ66" s="2066"/>
      <c r="BA66" s="2066"/>
      <c r="BB66" s="2066"/>
      <c r="BC66" s="2066"/>
      <c r="BD66" s="2066"/>
      <c r="BE66" s="2066"/>
      <c r="BF66" s="2066"/>
      <c r="BG66" s="2066"/>
      <c r="BH66" s="2066"/>
      <c r="BI66" s="2066"/>
      <c r="BJ66" s="2066"/>
      <c r="BK66" s="2066"/>
      <c r="BL66" s="2066"/>
      <c r="BM66" s="2066"/>
      <c r="BN66" s="2066"/>
      <c r="BO66" s="2066"/>
      <c r="BP66" s="2066"/>
      <c r="BQ66" s="2066"/>
      <c r="BR66" s="2066"/>
      <c r="BS66" s="610">
        <f t="shared" si="12"/>
        <v>0</v>
      </c>
    </row>
    <row r="67" spans="1:71" s="137" customFormat="1" ht="12">
      <c r="A67" s="148" t="s">
        <v>82</v>
      </c>
      <c r="B67" s="130">
        <f t="shared" si="9"/>
        <v>0</v>
      </c>
      <c r="C67" s="609" t="s">
        <v>109</v>
      </c>
      <c r="D67" s="609" t="s">
        <v>109</v>
      </c>
      <c r="E67" s="609" t="s">
        <v>109</v>
      </c>
      <c r="F67" s="609" t="s">
        <v>109</v>
      </c>
      <c r="G67" s="609" t="s">
        <v>109</v>
      </c>
      <c r="H67" s="609" t="s">
        <v>109</v>
      </c>
      <c r="I67" s="609" t="s">
        <v>109</v>
      </c>
      <c r="J67" s="609" t="s">
        <v>109</v>
      </c>
      <c r="K67" s="609" t="s">
        <v>109</v>
      </c>
      <c r="L67" s="609" t="s">
        <v>109</v>
      </c>
      <c r="M67" s="609" t="s">
        <v>109</v>
      </c>
      <c r="N67" s="609" t="s">
        <v>109</v>
      </c>
      <c r="O67" s="609" t="s">
        <v>109</v>
      </c>
      <c r="P67" s="609" t="s">
        <v>109</v>
      </c>
      <c r="Q67" s="609" t="s">
        <v>109</v>
      </c>
      <c r="R67" s="609" t="s">
        <v>109</v>
      </c>
      <c r="S67" s="609" t="s">
        <v>109</v>
      </c>
      <c r="T67" s="609" t="s">
        <v>109</v>
      </c>
      <c r="U67" s="609" t="s">
        <v>109</v>
      </c>
      <c r="V67" s="609" t="s">
        <v>109</v>
      </c>
      <c r="W67" s="609" t="s">
        <v>109</v>
      </c>
      <c r="X67" s="1333"/>
      <c r="Y67" s="1333"/>
      <c r="Z67" s="1333"/>
      <c r="AA67" s="1333"/>
      <c r="AB67" s="1333"/>
      <c r="AC67" s="1333"/>
      <c r="AD67" s="1333"/>
      <c r="AE67" s="1333"/>
      <c r="AF67" s="1333"/>
      <c r="AG67" s="1333"/>
      <c r="AH67" s="610">
        <f t="shared" si="11"/>
        <v>0</v>
      </c>
      <c r="AJ67" s="2267"/>
      <c r="AK67" s="2267"/>
      <c r="AL67" s="148" t="s">
        <v>82</v>
      </c>
      <c r="AM67" s="130">
        <f t="shared" si="10"/>
        <v>0</v>
      </c>
      <c r="AN67" s="2066"/>
      <c r="AO67" s="2066"/>
      <c r="AP67" s="2066"/>
      <c r="AQ67" s="2066"/>
      <c r="AR67" s="2066"/>
      <c r="AS67" s="2066"/>
      <c r="AT67" s="2066"/>
      <c r="AU67" s="2066"/>
      <c r="AV67" s="2066"/>
      <c r="AW67" s="2066"/>
      <c r="AX67" s="2066"/>
      <c r="AY67" s="2066"/>
      <c r="AZ67" s="2066"/>
      <c r="BA67" s="2066"/>
      <c r="BB67" s="2066"/>
      <c r="BC67" s="2066"/>
      <c r="BD67" s="2066"/>
      <c r="BE67" s="2066"/>
      <c r="BF67" s="2066"/>
      <c r="BG67" s="2066"/>
      <c r="BH67" s="2066"/>
      <c r="BI67" s="1333"/>
      <c r="BJ67" s="1333"/>
      <c r="BK67" s="1333"/>
      <c r="BL67" s="1333"/>
      <c r="BM67" s="1333"/>
      <c r="BN67" s="1333"/>
      <c r="BO67" s="1333"/>
      <c r="BP67" s="1333"/>
      <c r="BQ67" s="1333"/>
      <c r="BR67" s="1333"/>
      <c r="BS67" s="610">
        <f t="shared" si="12"/>
        <v>0</v>
      </c>
    </row>
    <row r="68" spans="1:71" s="137" customFormat="1" ht="12">
      <c r="A68" s="148" t="s">
        <v>83</v>
      </c>
      <c r="B68" s="130">
        <f t="shared" si="9"/>
        <v>0</v>
      </c>
      <c r="C68" s="151"/>
      <c r="D68" s="130"/>
      <c r="E68" s="130"/>
      <c r="F68" s="130"/>
      <c r="G68" s="49"/>
      <c r="H68" s="130"/>
      <c r="I68" s="130"/>
      <c r="J68" s="130"/>
      <c r="K68" s="130"/>
      <c r="L68" s="130"/>
      <c r="M68" s="130"/>
      <c r="N68" s="130"/>
      <c r="O68" s="130"/>
      <c r="P68" s="130"/>
      <c r="Q68" s="130"/>
      <c r="R68" s="130"/>
      <c r="S68" s="130"/>
      <c r="T68" s="130"/>
      <c r="U68" s="130"/>
      <c r="V68" s="130"/>
      <c r="W68" s="130"/>
      <c r="X68" s="130"/>
      <c r="Y68" s="49"/>
      <c r="Z68" s="130"/>
      <c r="AA68" s="130"/>
      <c r="AB68" s="130"/>
      <c r="AC68" s="130"/>
      <c r="AD68" s="130"/>
      <c r="AE68" s="610"/>
      <c r="AF68" s="130"/>
      <c r="AG68" s="610"/>
      <c r="AH68" s="610">
        <f t="shared" si="11"/>
        <v>0</v>
      </c>
      <c r="AJ68" s="2267"/>
      <c r="AK68" s="2267"/>
      <c r="AL68" s="148" t="s">
        <v>83</v>
      </c>
      <c r="AM68" s="130">
        <f t="shared" si="10"/>
        <v>0</v>
      </c>
      <c r="AN68" s="1333"/>
      <c r="AO68" s="1333"/>
      <c r="AP68" s="1333"/>
      <c r="AQ68" s="1333"/>
      <c r="AR68" s="1201"/>
      <c r="AS68" s="1333"/>
      <c r="AT68" s="1333"/>
      <c r="AU68" s="1333"/>
      <c r="AV68" s="1333"/>
      <c r="AW68" s="1333"/>
      <c r="AX68" s="1333"/>
      <c r="AY68" s="1333"/>
      <c r="AZ68" s="1333"/>
      <c r="BA68" s="1333"/>
      <c r="BB68" s="1333"/>
      <c r="BC68" s="1333"/>
      <c r="BD68" s="1333"/>
      <c r="BE68" s="1333"/>
      <c r="BF68" s="1333"/>
      <c r="BG68" s="1333"/>
      <c r="BH68" s="1333"/>
      <c r="BI68" s="1333"/>
      <c r="BJ68" s="1201"/>
      <c r="BK68" s="1333"/>
      <c r="BL68" s="1333"/>
      <c r="BM68" s="1333"/>
      <c r="BN68" s="1333"/>
      <c r="BO68" s="1333"/>
      <c r="BP68" s="2497"/>
      <c r="BQ68" s="1333"/>
      <c r="BR68" s="2497"/>
      <c r="BS68" s="610">
        <f t="shared" si="12"/>
        <v>0</v>
      </c>
    </row>
    <row r="69" spans="1:71" s="137" customFormat="1" ht="15">
      <c r="A69" s="148" t="s">
        <v>84</v>
      </c>
      <c r="B69" s="130">
        <f t="shared" si="9"/>
        <v>0</v>
      </c>
      <c r="C69" s="151"/>
      <c r="D69" s="130"/>
      <c r="E69" s="130"/>
      <c r="F69" s="130"/>
      <c r="G69" s="130"/>
      <c r="H69" s="130"/>
      <c r="I69" s="130"/>
      <c r="J69" s="130"/>
      <c r="K69" s="130"/>
      <c r="L69" s="1084" t="s">
        <v>109</v>
      </c>
      <c r="M69" s="1084" t="s">
        <v>109</v>
      </c>
      <c r="N69" s="1084" t="s">
        <v>109</v>
      </c>
      <c r="O69" s="1084" t="s">
        <v>109</v>
      </c>
      <c r="P69" s="1084" t="s">
        <v>109</v>
      </c>
      <c r="Q69" s="1084" t="s">
        <v>109</v>
      </c>
      <c r="R69" s="1084" t="s">
        <v>109</v>
      </c>
      <c r="S69" s="1084" t="s">
        <v>109</v>
      </c>
      <c r="T69" s="1084" t="s">
        <v>109</v>
      </c>
      <c r="U69" s="1084" t="s">
        <v>109</v>
      </c>
      <c r="V69" s="1084" t="s">
        <v>109</v>
      </c>
      <c r="W69" s="1084" t="s">
        <v>109</v>
      </c>
      <c r="X69" s="1084" t="s">
        <v>109</v>
      </c>
      <c r="Y69" s="1084" t="s">
        <v>109</v>
      </c>
      <c r="Z69" s="1084" t="s">
        <v>109</v>
      </c>
      <c r="AA69" s="1084" t="s">
        <v>109</v>
      </c>
      <c r="AB69" s="1084" t="s">
        <v>109</v>
      </c>
      <c r="AC69" s="1084" t="s">
        <v>109</v>
      </c>
      <c r="AD69" s="1084" t="s">
        <v>109</v>
      </c>
      <c r="AE69" s="1084" t="s">
        <v>109</v>
      </c>
      <c r="AF69" s="1084" t="s">
        <v>109</v>
      </c>
      <c r="AG69" s="1084" t="s">
        <v>109</v>
      </c>
      <c r="AH69" s="610">
        <f t="shared" si="11"/>
        <v>0</v>
      </c>
      <c r="AJ69" s="2267"/>
      <c r="AK69" s="2267"/>
      <c r="AL69" s="148" t="s">
        <v>84</v>
      </c>
      <c r="AM69" s="130">
        <f t="shared" si="10"/>
        <v>0</v>
      </c>
      <c r="AN69" s="1333"/>
      <c r="AO69" s="1333"/>
      <c r="AP69" s="1333"/>
      <c r="AQ69" s="1333"/>
      <c r="AR69" s="1333"/>
      <c r="AS69" s="1333"/>
      <c r="AT69" s="1333"/>
      <c r="AU69" s="1333"/>
      <c r="AV69" s="1333"/>
      <c r="AW69" s="1091"/>
      <c r="AX69" s="1091"/>
      <c r="AY69" s="1091"/>
      <c r="AZ69" s="1091"/>
      <c r="BA69" s="1091"/>
      <c r="BB69" s="1091"/>
      <c r="BC69" s="1091"/>
      <c r="BD69" s="1091"/>
      <c r="BE69" s="1091"/>
      <c r="BF69" s="1091"/>
      <c r="BG69" s="1091"/>
      <c r="BH69" s="1091"/>
      <c r="BI69" s="1091"/>
      <c r="BJ69" s="1091"/>
      <c r="BK69" s="1091"/>
      <c r="BL69" s="1091"/>
      <c r="BM69" s="1091"/>
      <c r="BN69" s="1091"/>
      <c r="BO69" s="1091"/>
      <c r="BP69" s="1091"/>
      <c r="BQ69" s="1091"/>
      <c r="BR69" s="1091"/>
      <c r="BS69" s="610">
        <f t="shared" si="12"/>
        <v>0</v>
      </c>
    </row>
    <row r="70" spans="1:71" ht="15">
      <c r="A70" s="71" t="s">
        <v>72</v>
      </c>
      <c r="B70" s="75">
        <f>SUM(B58:B69)</f>
        <v>2117.2759999999998</v>
      </c>
      <c r="C70" s="32">
        <f>SUM(C58:C68)</f>
        <v>44.801000000000002</v>
      </c>
      <c r="D70" s="39">
        <f>SUM(D58:D68)</f>
        <v>0</v>
      </c>
      <c r="E70" s="39">
        <v>0</v>
      </c>
      <c r="F70" s="39">
        <f t="shared" ref="F70:AC70" si="13">SUM(F58:F68)</f>
        <v>231.12200000000001</v>
      </c>
      <c r="G70" s="39">
        <f t="shared" si="13"/>
        <v>228.06800000000001</v>
      </c>
      <c r="H70" s="39">
        <f t="shared" si="13"/>
        <v>190.55699999999999</v>
      </c>
      <c r="I70" s="39">
        <f t="shared" si="13"/>
        <v>63.232999999999997</v>
      </c>
      <c r="J70" s="39">
        <f t="shared" si="13"/>
        <v>0</v>
      </c>
      <c r="K70" s="39">
        <f t="shared" si="13"/>
        <v>0</v>
      </c>
      <c r="L70" s="39">
        <f t="shared" si="13"/>
        <v>0</v>
      </c>
      <c r="M70" s="39">
        <f t="shared" si="13"/>
        <v>0</v>
      </c>
      <c r="N70" s="39">
        <f t="shared" si="13"/>
        <v>15.271000000000001</v>
      </c>
      <c r="O70" s="39">
        <f t="shared" si="13"/>
        <v>5.6070000000000002</v>
      </c>
      <c r="P70" s="39">
        <f t="shared" si="13"/>
        <v>0</v>
      </c>
      <c r="Q70" s="39">
        <f t="shared" si="13"/>
        <v>18.079999999999998</v>
      </c>
      <c r="R70" s="39">
        <f t="shared" si="13"/>
        <v>6.6470000000000002</v>
      </c>
      <c r="S70" s="39">
        <f t="shared" si="13"/>
        <v>0</v>
      </c>
      <c r="T70" s="39">
        <f t="shared" si="13"/>
        <v>213.89400000000001</v>
      </c>
      <c r="U70" s="39">
        <f t="shared" si="13"/>
        <v>139.738</v>
      </c>
      <c r="V70" s="39">
        <f t="shared" si="13"/>
        <v>152.27199999999999</v>
      </c>
      <c r="W70" s="39">
        <f t="shared" si="13"/>
        <v>89.01</v>
      </c>
      <c r="X70" s="39">
        <f t="shared" si="13"/>
        <v>0</v>
      </c>
      <c r="Y70" s="39">
        <f t="shared" si="13"/>
        <v>0</v>
      </c>
      <c r="Z70" s="39">
        <f t="shared" si="13"/>
        <v>0</v>
      </c>
      <c r="AA70" s="39">
        <f t="shared" si="13"/>
        <v>0</v>
      </c>
      <c r="AB70" s="39">
        <f t="shared" si="13"/>
        <v>0</v>
      </c>
      <c r="AC70" s="39">
        <f t="shared" si="13"/>
        <v>0</v>
      </c>
      <c r="AD70" s="39">
        <v>0</v>
      </c>
      <c r="AE70" s="39">
        <f>SUM(AE58:AE68)</f>
        <v>284.24200000000002</v>
      </c>
      <c r="AF70" s="39">
        <f>SUM(AF58:AF68)</f>
        <v>0</v>
      </c>
      <c r="AG70" s="39">
        <f>SUM(AG58:AG68)</f>
        <v>429.12900000000002</v>
      </c>
      <c r="AH70" s="32">
        <f>SUM(AH58:AH68)</f>
        <v>2117.2759999999998</v>
      </c>
      <c r="AL70" s="71" t="s">
        <v>72</v>
      </c>
      <c r="AM70" s="75">
        <f>SUM(AM58:AM69)</f>
        <v>1049.3420000000001</v>
      </c>
      <c r="AN70" s="32">
        <f>SUM(AN58:AN68)</f>
        <v>479.279</v>
      </c>
      <c r="AO70" s="39">
        <f>SUM(AO58:AO68)</f>
        <v>104.304</v>
      </c>
      <c r="AP70" s="39">
        <v>0</v>
      </c>
      <c r="AQ70" s="39">
        <f t="shared" ref="AQ70:BN70" si="14">SUM(AQ58:AQ68)</f>
        <v>0</v>
      </c>
      <c r="AR70" s="39">
        <f t="shared" si="14"/>
        <v>0</v>
      </c>
      <c r="AS70" s="39">
        <f t="shared" si="14"/>
        <v>0</v>
      </c>
      <c r="AT70" s="39">
        <f t="shared" si="14"/>
        <v>8.0299999999999994</v>
      </c>
      <c r="AU70" s="39">
        <f t="shared" si="14"/>
        <v>0</v>
      </c>
      <c r="AV70" s="39">
        <f t="shared" si="14"/>
        <v>0</v>
      </c>
      <c r="AW70" s="39">
        <f t="shared" si="14"/>
        <v>0</v>
      </c>
      <c r="AX70" s="39">
        <f t="shared" si="14"/>
        <v>1.6910000000000025</v>
      </c>
      <c r="AY70" s="39">
        <f t="shared" si="14"/>
        <v>0</v>
      </c>
      <c r="AZ70" s="39">
        <f t="shared" si="14"/>
        <v>0</v>
      </c>
      <c r="BA70" s="39">
        <f t="shared" si="14"/>
        <v>0</v>
      </c>
      <c r="BB70" s="39">
        <f t="shared" si="14"/>
        <v>0</v>
      </c>
      <c r="BC70" s="39">
        <f t="shared" si="14"/>
        <v>0</v>
      </c>
      <c r="BD70" s="39">
        <f t="shared" si="14"/>
        <v>3.738</v>
      </c>
      <c r="BE70" s="39">
        <f t="shared" si="14"/>
        <v>80.683999999999997</v>
      </c>
      <c r="BF70" s="39">
        <f t="shared" si="14"/>
        <v>88.989000000000004</v>
      </c>
      <c r="BG70" s="39">
        <f t="shared" si="14"/>
        <v>0</v>
      </c>
      <c r="BH70" s="39">
        <f t="shared" si="14"/>
        <v>0</v>
      </c>
      <c r="BI70" s="39">
        <f t="shared" si="14"/>
        <v>244.50800000000001</v>
      </c>
      <c r="BJ70" s="39">
        <f t="shared" si="14"/>
        <v>35.551000000000002</v>
      </c>
      <c r="BK70" s="39">
        <f t="shared" si="14"/>
        <v>0</v>
      </c>
      <c r="BL70" s="39">
        <f t="shared" si="14"/>
        <v>0.20899999999999999</v>
      </c>
      <c r="BM70" s="39">
        <f t="shared" si="14"/>
        <v>0</v>
      </c>
      <c r="BN70" s="39">
        <f t="shared" si="14"/>
        <v>0</v>
      </c>
      <c r="BO70" s="39">
        <v>0</v>
      </c>
      <c r="BP70" s="39">
        <f>SUM(BP58:BP68)</f>
        <v>0</v>
      </c>
      <c r="BQ70" s="39">
        <f>SUM(BQ58:BQ68)</f>
        <v>2.359</v>
      </c>
      <c r="BR70" s="39">
        <f>SUM(BR58:BR68)</f>
        <v>0</v>
      </c>
      <c r="BS70" s="32">
        <f>SUM(BS58:BS68)</f>
        <v>1049.3420000000001</v>
      </c>
    </row>
    <row r="71" spans="1:71" ht="5.0999999999999996" customHeight="1" thickBot="1">
      <c r="A71" s="37"/>
      <c r="B71" s="37"/>
      <c r="C71" s="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
    </row>
    <row r="72" spans="1:71" ht="15.6" thickBot="1">
      <c r="A72" s="3811" t="s">
        <v>58</v>
      </c>
      <c r="B72" s="3812"/>
      <c r="C72" s="3812"/>
      <c r="D72" s="3812"/>
      <c r="E72" s="3812"/>
      <c r="F72" s="3812"/>
      <c r="G72" s="3812"/>
      <c r="H72" s="3813"/>
      <c r="I72" s="11"/>
      <c r="J72" s="11"/>
      <c r="K72" s="1970" t="s">
        <v>1328</v>
      </c>
      <c r="L72" s="11"/>
      <c r="M72" s="11"/>
      <c r="N72" s="11"/>
      <c r="O72" s="11"/>
      <c r="P72" s="11"/>
      <c r="Q72" s="11"/>
      <c r="R72" s="11"/>
      <c r="S72" s="11"/>
      <c r="T72" s="11"/>
      <c r="U72" s="11"/>
      <c r="V72" s="11"/>
      <c r="W72" s="11"/>
      <c r="X72" s="11"/>
      <c r="Y72" s="11"/>
      <c r="Z72" s="11"/>
      <c r="AA72" s="11"/>
      <c r="AB72" s="11"/>
      <c r="AC72" s="11"/>
      <c r="AD72" s="11"/>
      <c r="AE72" s="11"/>
      <c r="AF72" s="11"/>
      <c r="AG72" s="11"/>
      <c r="AH72" s="11"/>
      <c r="AT72" s="2623">
        <f>SUM(AT62:BF62)</f>
        <v>183.13200000000001</v>
      </c>
    </row>
    <row r="73" spans="1:71" ht="15">
      <c r="A73" s="5" t="s">
        <v>70</v>
      </c>
      <c r="B73" s="5" t="s">
        <v>71</v>
      </c>
      <c r="C73" s="5">
        <v>1</v>
      </c>
      <c r="D73" s="21">
        <v>2</v>
      </c>
      <c r="E73" s="21">
        <v>3</v>
      </c>
      <c r="F73" s="21">
        <v>4</v>
      </c>
      <c r="G73" s="21">
        <v>5</v>
      </c>
      <c r="H73" s="21">
        <v>6</v>
      </c>
      <c r="I73" s="21">
        <v>7</v>
      </c>
      <c r="J73" s="21">
        <v>8</v>
      </c>
      <c r="K73" s="21">
        <v>9</v>
      </c>
      <c r="L73" s="21">
        <v>10</v>
      </c>
      <c r="M73" s="21">
        <v>11</v>
      </c>
      <c r="N73" s="21">
        <v>12</v>
      </c>
      <c r="O73" s="21">
        <v>13</v>
      </c>
      <c r="P73" s="21">
        <v>14</v>
      </c>
      <c r="Q73" s="21">
        <v>15</v>
      </c>
      <c r="R73" s="21">
        <v>16</v>
      </c>
      <c r="S73" s="21">
        <v>17</v>
      </c>
      <c r="T73" s="21">
        <v>18</v>
      </c>
      <c r="U73" s="21">
        <v>19</v>
      </c>
      <c r="V73" s="21">
        <v>20</v>
      </c>
      <c r="W73" s="21">
        <v>21</v>
      </c>
      <c r="X73" s="21">
        <v>22</v>
      </c>
      <c r="Y73" s="21">
        <v>23</v>
      </c>
      <c r="Z73" s="21">
        <v>24</v>
      </c>
      <c r="AA73" s="21">
        <v>25</v>
      </c>
      <c r="AB73" s="21">
        <v>26</v>
      </c>
      <c r="AC73" s="21">
        <v>27</v>
      </c>
      <c r="AD73" s="21">
        <v>28</v>
      </c>
      <c r="AE73" s="21">
        <v>29</v>
      </c>
      <c r="AF73" s="21">
        <v>30</v>
      </c>
      <c r="AG73" s="21">
        <v>31</v>
      </c>
      <c r="AH73" s="25" t="s">
        <v>72</v>
      </c>
      <c r="AI73" s="2266" t="s">
        <v>1345</v>
      </c>
      <c r="AJ73" s="66">
        <f>(B86/COUNTIF($C$74:$AG$85,"&gt;0"))</f>
        <v>9.7800000000000011</v>
      </c>
    </row>
    <row r="74" spans="1:71" ht="15">
      <c r="A74" s="120" t="s">
        <v>73</v>
      </c>
      <c r="B74" s="94">
        <f t="shared" ref="B74:B85" si="15">+AH74</f>
        <v>0</v>
      </c>
      <c r="C74" s="609" t="s">
        <v>109</v>
      </c>
      <c r="D74" s="609" t="s">
        <v>109</v>
      </c>
      <c r="E74" s="609" t="s">
        <v>109</v>
      </c>
      <c r="F74" s="609" t="s">
        <v>109</v>
      </c>
      <c r="G74" s="609" t="s">
        <v>109</v>
      </c>
      <c r="H74" s="609" t="s">
        <v>109</v>
      </c>
      <c r="I74" s="609" t="s">
        <v>109</v>
      </c>
      <c r="J74" s="609" t="s">
        <v>109</v>
      </c>
      <c r="K74" s="609" t="s">
        <v>109</v>
      </c>
      <c r="L74" s="609" t="s">
        <v>109</v>
      </c>
      <c r="M74" s="609" t="s">
        <v>109</v>
      </c>
      <c r="N74" s="609" t="s">
        <v>109</v>
      </c>
      <c r="O74" s="609" t="s">
        <v>109</v>
      </c>
      <c r="P74" s="609" t="s">
        <v>109</v>
      </c>
      <c r="Q74" s="609" t="s">
        <v>109</v>
      </c>
      <c r="R74" s="609" t="s">
        <v>109</v>
      </c>
      <c r="S74" s="609" t="s">
        <v>109</v>
      </c>
      <c r="T74" s="609" t="s">
        <v>109</v>
      </c>
      <c r="U74" s="609" t="s">
        <v>109</v>
      </c>
      <c r="V74" s="609" t="s">
        <v>109</v>
      </c>
      <c r="W74" s="609" t="s">
        <v>109</v>
      </c>
      <c r="X74" s="609" t="s">
        <v>109</v>
      </c>
      <c r="Y74" s="609" t="s">
        <v>109</v>
      </c>
      <c r="Z74" s="609" t="s">
        <v>109</v>
      </c>
      <c r="AA74" s="609" t="s">
        <v>109</v>
      </c>
      <c r="AB74" s="609" t="s">
        <v>109</v>
      </c>
      <c r="AC74" s="609" t="s">
        <v>109</v>
      </c>
      <c r="AD74" s="609" t="s">
        <v>109</v>
      </c>
      <c r="AE74" s="609" t="s">
        <v>109</v>
      </c>
      <c r="AF74" s="609" t="s">
        <v>109</v>
      </c>
      <c r="AG74" s="609" t="s">
        <v>109</v>
      </c>
      <c r="AH74" s="39">
        <f>SUM(C74:AG74)</f>
        <v>0</v>
      </c>
      <c r="AJ74" s="66">
        <f>+'Resumen RAE Anchoveta'!G32</f>
        <v>-19.120000000000005</v>
      </c>
    </row>
    <row r="75" spans="1:71" ht="15">
      <c r="A75" s="120" t="s">
        <v>74</v>
      </c>
      <c r="B75" s="94">
        <f t="shared" si="15"/>
        <v>0</v>
      </c>
      <c r="C75" s="609" t="s">
        <v>109</v>
      </c>
      <c r="D75" s="609" t="s">
        <v>109</v>
      </c>
      <c r="E75" s="609" t="s">
        <v>109</v>
      </c>
      <c r="F75" s="609" t="s">
        <v>109</v>
      </c>
      <c r="G75" s="609" t="s">
        <v>109</v>
      </c>
      <c r="H75" s="609" t="s">
        <v>109</v>
      </c>
      <c r="I75" s="609" t="s">
        <v>109</v>
      </c>
      <c r="J75" s="609" t="s">
        <v>109</v>
      </c>
      <c r="K75" s="609" t="s">
        <v>109</v>
      </c>
      <c r="L75" s="609" t="s">
        <v>109</v>
      </c>
      <c r="M75" s="609" t="s">
        <v>109</v>
      </c>
      <c r="N75" s="609" t="s">
        <v>109</v>
      </c>
      <c r="O75" s="609" t="s">
        <v>109</v>
      </c>
      <c r="P75" s="609" t="s">
        <v>109</v>
      </c>
      <c r="Q75" s="609" t="s">
        <v>109</v>
      </c>
      <c r="R75" s="1689"/>
      <c r="S75" s="609" t="s">
        <v>109</v>
      </c>
      <c r="T75" s="609" t="s">
        <v>109</v>
      </c>
      <c r="U75" s="609" t="s">
        <v>109</v>
      </c>
      <c r="V75" s="609" t="s">
        <v>109</v>
      </c>
      <c r="W75" s="1689"/>
      <c r="X75" s="609" t="s">
        <v>109</v>
      </c>
      <c r="Y75" s="609" t="s">
        <v>109</v>
      </c>
      <c r="Z75" s="609" t="s">
        <v>109</v>
      </c>
      <c r="AA75" s="609" t="s">
        <v>109</v>
      </c>
      <c r="AB75" s="609" t="s">
        <v>109</v>
      </c>
      <c r="AC75" s="609" t="s">
        <v>109</v>
      </c>
      <c r="AD75" s="609" t="s">
        <v>109</v>
      </c>
      <c r="AE75" s="609" t="s">
        <v>109</v>
      </c>
      <c r="AF75" s="609" t="s">
        <v>109</v>
      </c>
      <c r="AG75" s="609" t="s">
        <v>109</v>
      </c>
      <c r="AH75" s="39">
        <f t="shared" ref="AH75:AH85" si="16">SUM(C75:AG75)</f>
        <v>0</v>
      </c>
      <c r="AJ75" s="1093">
        <f>+AJ74/AJ73</f>
        <v>-1.9550102249488754</v>
      </c>
    </row>
    <row r="76" spans="1:71" ht="15">
      <c r="A76" s="120" t="s">
        <v>75</v>
      </c>
      <c r="B76" s="94">
        <f t="shared" si="15"/>
        <v>39.120000000000005</v>
      </c>
      <c r="C76" s="609" t="s">
        <v>109</v>
      </c>
      <c r="D76" s="609" t="s">
        <v>109</v>
      </c>
      <c r="E76" s="609" t="s">
        <v>109</v>
      </c>
      <c r="F76" s="609" t="s">
        <v>109</v>
      </c>
      <c r="G76" s="609" t="s">
        <v>109</v>
      </c>
      <c r="H76" s="15"/>
      <c r="I76" s="15"/>
      <c r="J76" s="15"/>
      <c r="K76" s="15"/>
      <c r="L76" s="15"/>
      <c r="M76" s="15"/>
      <c r="N76" s="15"/>
      <c r="O76" s="15"/>
      <c r="P76" s="15"/>
      <c r="Q76" s="15"/>
      <c r="R76" s="15">
        <v>3.0270000000000001</v>
      </c>
      <c r="S76" s="15"/>
      <c r="T76" s="15">
        <v>10.587000000000002</v>
      </c>
      <c r="U76" s="15">
        <v>9.1219999999999999</v>
      </c>
      <c r="V76" s="15">
        <v>16.384</v>
      </c>
      <c r="W76" s="15"/>
      <c r="X76" s="15"/>
      <c r="Y76" s="15"/>
      <c r="Z76" s="15"/>
      <c r="AA76" s="15"/>
      <c r="AB76" s="15"/>
      <c r="AC76" s="1689"/>
      <c r="AD76" s="1689"/>
      <c r="AE76" s="1689"/>
      <c r="AF76" s="1689"/>
      <c r="AG76" s="1689"/>
      <c r="AH76" s="39">
        <f t="shared" si="16"/>
        <v>39.120000000000005</v>
      </c>
    </row>
    <row r="77" spans="1:71" ht="15">
      <c r="A77" s="120" t="s">
        <v>76</v>
      </c>
      <c r="B77" s="94">
        <f t="shared" si="15"/>
        <v>0</v>
      </c>
      <c r="C77" s="1689"/>
      <c r="D77" s="1689"/>
      <c r="E77" s="1689"/>
      <c r="F77" s="1689"/>
      <c r="G77" s="1689"/>
      <c r="H77" s="1689"/>
      <c r="I77" s="1689"/>
      <c r="J77" s="1689"/>
      <c r="K77" s="1689"/>
      <c r="L77" s="151"/>
      <c r="M77" s="151"/>
      <c r="N77" s="151"/>
      <c r="O77" s="151"/>
      <c r="P77" s="151"/>
      <c r="Q77" s="151"/>
      <c r="R77" s="151"/>
      <c r="S77" s="151"/>
      <c r="T77" s="151"/>
      <c r="U77" s="151"/>
      <c r="V77" s="151"/>
      <c r="W77" s="151"/>
      <c r="X77" s="151"/>
      <c r="Y77" s="151"/>
      <c r="Z77" s="151"/>
      <c r="AA77" s="151"/>
      <c r="AB77" s="151"/>
      <c r="AC77" s="151"/>
      <c r="AD77" s="151"/>
      <c r="AE77" s="151"/>
      <c r="AF77" s="151"/>
      <c r="AG77" s="1689"/>
      <c r="AH77" s="39">
        <f t="shared" si="16"/>
        <v>0</v>
      </c>
    </row>
    <row r="78" spans="1:71" ht="15">
      <c r="A78" s="109" t="s">
        <v>77</v>
      </c>
      <c r="B78" s="94">
        <f t="shared" si="15"/>
        <v>0</v>
      </c>
      <c r="C78" s="237"/>
      <c r="D78" s="237"/>
      <c r="E78" s="237"/>
      <c r="F78" s="237"/>
      <c r="G78" s="237"/>
      <c r="H78" s="237"/>
      <c r="I78" s="237"/>
      <c r="J78" s="237"/>
      <c r="K78" s="237"/>
      <c r="L78" s="237"/>
      <c r="M78" s="237"/>
      <c r="N78" s="237"/>
      <c r="O78" s="237"/>
      <c r="P78" s="237"/>
      <c r="Q78" s="237"/>
      <c r="R78" s="237"/>
      <c r="S78" s="237"/>
      <c r="T78" s="15"/>
      <c r="U78" s="15"/>
      <c r="V78" s="15"/>
      <c r="W78" s="15"/>
      <c r="X78" s="15"/>
      <c r="Y78" s="15"/>
      <c r="Z78" s="15"/>
      <c r="AA78" s="15"/>
      <c r="AB78" s="15"/>
      <c r="AC78" s="15"/>
      <c r="AD78" s="15"/>
      <c r="AE78" s="15"/>
      <c r="AF78" s="15"/>
      <c r="AG78" s="15"/>
      <c r="AH78" s="39">
        <f t="shared" si="16"/>
        <v>0</v>
      </c>
    </row>
    <row r="79" spans="1:71" ht="15">
      <c r="A79" s="109" t="s">
        <v>78</v>
      </c>
      <c r="B79" s="94">
        <f t="shared" si="15"/>
        <v>0</v>
      </c>
      <c r="C79" s="1091"/>
      <c r="D79" s="1091"/>
      <c r="E79" s="1091"/>
      <c r="F79" s="1091"/>
      <c r="G79" s="1091"/>
      <c r="H79" s="1091"/>
      <c r="I79" s="1091"/>
      <c r="J79" s="1091"/>
      <c r="K79" s="1091"/>
      <c r="L79" s="1091"/>
      <c r="M79" s="1091"/>
      <c r="N79" s="1091"/>
      <c r="O79" s="1091"/>
      <c r="P79" s="1091"/>
      <c r="Q79" s="1091"/>
      <c r="R79" s="1091"/>
      <c r="S79" s="1091"/>
      <c r="T79" s="1091"/>
      <c r="U79" s="1091"/>
      <c r="V79" s="1091"/>
      <c r="W79" s="1091"/>
      <c r="X79" s="1091"/>
      <c r="Y79" s="1091"/>
      <c r="Z79" s="1091"/>
      <c r="AA79" s="1091"/>
      <c r="AB79" s="1091"/>
      <c r="AC79" s="1091"/>
      <c r="AD79" s="1091"/>
      <c r="AE79" s="1091"/>
      <c r="AF79" s="1091"/>
      <c r="AG79" s="1091"/>
      <c r="AH79" s="39">
        <f t="shared" si="16"/>
        <v>0</v>
      </c>
    </row>
    <row r="80" spans="1:71" ht="15">
      <c r="A80" s="109" t="s">
        <v>79</v>
      </c>
      <c r="B80" s="94">
        <f t="shared" si="15"/>
        <v>0</v>
      </c>
      <c r="C80" s="1091"/>
      <c r="D80" s="1268"/>
      <c r="E80" s="1268"/>
      <c r="F80" s="1268"/>
      <c r="G80" s="1091"/>
      <c r="H80" s="1091"/>
      <c r="I80" s="1091"/>
      <c r="J80" s="2068"/>
      <c r="K80" s="2068"/>
      <c r="L80" s="1268"/>
      <c r="M80" s="1268"/>
      <c r="N80" s="1268"/>
      <c r="O80" s="1268"/>
      <c r="P80" s="1268"/>
      <c r="Q80" s="1268"/>
      <c r="R80" s="1268"/>
      <c r="S80" s="1268"/>
      <c r="T80" s="1268"/>
      <c r="U80" s="1268"/>
      <c r="V80" s="1268"/>
      <c r="W80" s="609"/>
      <c r="X80" s="609"/>
      <c r="Y80" s="609"/>
      <c r="Z80" s="609"/>
      <c r="AA80" s="609"/>
      <c r="AB80" s="609"/>
      <c r="AC80" s="609"/>
      <c r="AD80" s="609"/>
      <c r="AE80" s="609"/>
      <c r="AF80" s="609" t="s">
        <v>109</v>
      </c>
      <c r="AG80" s="609" t="s">
        <v>109</v>
      </c>
      <c r="AH80" s="39">
        <f t="shared" si="16"/>
        <v>0</v>
      </c>
    </row>
    <row r="81" spans="1:36" ht="15">
      <c r="A81" s="109" t="s">
        <v>80</v>
      </c>
      <c r="B81" s="94">
        <f t="shared" si="15"/>
        <v>0</v>
      </c>
      <c r="C81" s="609" t="s">
        <v>109</v>
      </c>
      <c r="D81" s="609" t="s">
        <v>109</v>
      </c>
      <c r="E81" s="609" t="s">
        <v>109</v>
      </c>
      <c r="F81" s="609" t="s">
        <v>109</v>
      </c>
      <c r="G81" s="609" t="s">
        <v>109</v>
      </c>
      <c r="H81" s="609" t="s">
        <v>109</v>
      </c>
      <c r="I81" s="609" t="s">
        <v>109</v>
      </c>
      <c r="J81" s="609" t="s">
        <v>109</v>
      </c>
      <c r="K81" s="609" t="s">
        <v>109</v>
      </c>
      <c r="L81" s="609" t="s">
        <v>109</v>
      </c>
      <c r="M81" s="609" t="s">
        <v>109</v>
      </c>
      <c r="N81" s="609" t="s">
        <v>109</v>
      </c>
      <c r="O81" s="609" t="s">
        <v>109</v>
      </c>
      <c r="P81" s="609" t="s">
        <v>109</v>
      </c>
      <c r="Q81" s="609" t="s">
        <v>109</v>
      </c>
      <c r="R81" s="609" t="s">
        <v>109</v>
      </c>
      <c r="S81" s="609" t="s">
        <v>109</v>
      </c>
      <c r="T81" s="609" t="s">
        <v>109</v>
      </c>
      <c r="U81" s="609" t="s">
        <v>109</v>
      </c>
      <c r="V81" s="609" t="s">
        <v>109</v>
      </c>
      <c r="W81" s="609" t="s">
        <v>109</v>
      </c>
      <c r="X81" s="609" t="s">
        <v>109</v>
      </c>
      <c r="Y81" s="609" t="s">
        <v>109</v>
      </c>
      <c r="Z81" s="609" t="s">
        <v>109</v>
      </c>
      <c r="AA81" s="609" t="s">
        <v>109</v>
      </c>
      <c r="AB81" s="609" t="s">
        <v>109</v>
      </c>
      <c r="AC81" s="609" t="s">
        <v>109</v>
      </c>
      <c r="AD81" s="609" t="s">
        <v>109</v>
      </c>
      <c r="AE81" s="609" t="s">
        <v>109</v>
      </c>
      <c r="AF81" s="609" t="s">
        <v>109</v>
      </c>
      <c r="AG81" s="609" t="s">
        <v>109</v>
      </c>
      <c r="AH81" s="39">
        <f t="shared" si="16"/>
        <v>0</v>
      </c>
    </row>
    <row r="82" spans="1:36" ht="15">
      <c r="A82" s="110" t="s">
        <v>81</v>
      </c>
      <c r="B82" s="94">
        <f t="shared" si="15"/>
        <v>0</v>
      </c>
      <c r="C82" s="609" t="s">
        <v>109</v>
      </c>
      <c r="D82" s="609" t="s">
        <v>109</v>
      </c>
      <c r="E82" s="609" t="s">
        <v>109</v>
      </c>
      <c r="F82" s="609" t="s">
        <v>109</v>
      </c>
      <c r="G82" s="609" t="s">
        <v>109</v>
      </c>
      <c r="H82" s="609" t="s">
        <v>109</v>
      </c>
      <c r="I82" s="609" t="s">
        <v>109</v>
      </c>
      <c r="J82" s="609" t="s">
        <v>109</v>
      </c>
      <c r="K82" s="609" t="s">
        <v>109</v>
      </c>
      <c r="L82" s="609" t="s">
        <v>109</v>
      </c>
      <c r="M82" s="609" t="s">
        <v>109</v>
      </c>
      <c r="N82" s="609" t="s">
        <v>109</v>
      </c>
      <c r="O82" s="609" t="s">
        <v>109</v>
      </c>
      <c r="P82" s="609" t="s">
        <v>109</v>
      </c>
      <c r="Q82" s="609" t="s">
        <v>109</v>
      </c>
      <c r="R82" s="609" t="s">
        <v>109</v>
      </c>
      <c r="S82" s="609" t="s">
        <v>109</v>
      </c>
      <c r="T82" s="609" t="s">
        <v>109</v>
      </c>
      <c r="U82" s="609" t="s">
        <v>109</v>
      </c>
      <c r="V82" s="609" t="s">
        <v>109</v>
      </c>
      <c r="W82" s="609" t="s">
        <v>109</v>
      </c>
      <c r="X82" s="609" t="s">
        <v>109</v>
      </c>
      <c r="Y82" s="609" t="s">
        <v>109</v>
      </c>
      <c r="Z82" s="609" t="s">
        <v>109</v>
      </c>
      <c r="AA82" s="609" t="s">
        <v>109</v>
      </c>
      <c r="AB82" s="609" t="s">
        <v>109</v>
      </c>
      <c r="AC82" s="609" t="s">
        <v>109</v>
      </c>
      <c r="AD82" s="609" t="s">
        <v>109</v>
      </c>
      <c r="AE82" s="609" t="s">
        <v>109</v>
      </c>
      <c r="AF82" s="609" t="s">
        <v>109</v>
      </c>
      <c r="AG82" s="609" t="s">
        <v>109</v>
      </c>
      <c r="AH82" s="39">
        <f t="shared" si="16"/>
        <v>0</v>
      </c>
    </row>
    <row r="83" spans="1:36" ht="15">
      <c r="A83" s="110" t="s">
        <v>82</v>
      </c>
      <c r="B83" s="15">
        <f t="shared" si="15"/>
        <v>0</v>
      </c>
      <c r="C83" s="609" t="s">
        <v>109</v>
      </c>
      <c r="D83" s="609" t="s">
        <v>109</v>
      </c>
      <c r="E83" s="609" t="s">
        <v>109</v>
      </c>
      <c r="F83" s="609" t="s">
        <v>109</v>
      </c>
      <c r="G83" s="609" t="s">
        <v>109</v>
      </c>
      <c r="H83" s="609" t="s">
        <v>109</v>
      </c>
      <c r="I83" s="609" t="s">
        <v>109</v>
      </c>
      <c r="J83" s="609" t="s">
        <v>109</v>
      </c>
      <c r="K83" s="609" t="s">
        <v>109</v>
      </c>
      <c r="L83" s="609" t="s">
        <v>109</v>
      </c>
      <c r="M83" s="609" t="s">
        <v>109</v>
      </c>
      <c r="N83" s="609" t="s">
        <v>109</v>
      </c>
      <c r="O83" s="609" t="s">
        <v>109</v>
      </c>
      <c r="P83" s="609" t="s">
        <v>109</v>
      </c>
      <c r="Q83" s="609" t="s">
        <v>109</v>
      </c>
      <c r="R83" s="609" t="s">
        <v>109</v>
      </c>
      <c r="S83" s="609" t="s">
        <v>109</v>
      </c>
      <c r="T83" s="609" t="s">
        <v>109</v>
      </c>
      <c r="U83" s="609" t="s">
        <v>109</v>
      </c>
      <c r="V83" s="609" t="s">
        <v>109</v>
      </c>
      <c r="W83" s="609" t="s">
        <v>109</v>
      </c>
      <c r="X83" s="1091"/>
      <c r="Y83" s="1091"/>
      <c r="Z83" s="1091"/>
      <c r="AA83" s="1091"/>
      <c r="AB83" s="1091"/>
      <c r="AC83" s="1091"/>
      <c r="AD83" s="1091"/>
      <c r="AE83" s="1268"/>
      <c r="AF83" s="1091"/>
      <c r="AG83" s="1268"/>
      <c r="AH83" s="39">
        <f t="shared" si="16"/>
        <v>0</v>
      </c>
    </row>
    <row r="84" spans="1:36" ht="15">
      <c r="A84" s="110" t="s">
        <v>83</v>
      </c>
      <c r="B84" s="15">
        <f t="shared" si="15"/>
        <v>0</v>
      </c>
      <c r="C84" s="35"/>
      <c r="D84" s="15"/>
      <c r="E84" s="15"/>
      <c r="F84" s="15"/>
      <c r="G84" s="11"/>
      <c r="H84" s="15"/>
      <c r="I84" s="15"/>
      <c r="J84" s="15"/>
      <c r="K84" s="15"/>
      <c r="L84" s="15"/>
      <c r="M84" s="15"/>
      <c r="N84" s="15"/>
      <c r="O84" s="15"/>
      <c r="P84" s="15"/>
      <c r="Q84" s="15"/>
      <c r="R84" s="15"/>
      <c r="S84" s="15"/>
      <c r="T84" s="15"/>
      <c r="U84" s="15"/>
      <c r="V84" s="15"/>
      <c r="W84" s="15"/>
      <c r="X84" s="15"/>
      <c r="Y84" s="11"/>
      <c r="Z84" s="15"/>
      <c r="AA84" s="15"/>
      <c r="AB84" s="15"/>
      <c r="AC84" s="15"/>
      <c r="AD84" s="15"/>
      <c r="AE84" s="39"/>
      <c r="AF84" s="15"/>
      <c r="AG84" s="39"/>
      <c r="AH84" s="39">
        <f t="shared" si="16"/>
        <v>0</v>
      </c>
    </row>
    <row r="85" spans="1:36" ht="15">
      <c r="A85" s="110" t="s">
        <v>84</v>
      </c>
      <c r="B85" s="15">
        <f t="shared" si="15"/>
        <v>0</v>
      </c>
      <c r="C85" s="35"/>
      <c r="D85" s="15"/>
      <c r="E85" s="15"/>
      <c r="F85" s="15"/>
      <c r="G85" s="15"/>
      <c r="H85" s="15"/>
      <c r="I85" s="15"/>
      <c r="J85" s="15"/>
      <c r="K85" s="15"/>
      <c r="L85" s="1084" t="s">
        <v>109</v>
      </c>
      <c r="M85" s="1084" t="s">
        <v>109</v>
      </c>
      <c r="N85" s="1084" t="s">
        <v>109</v>
      </c>
      <c r="O85" s="1084" t="s">
        <v>109</v>
      </c>
      <c r="P85" s="1084" t="s">
        <v>109</v>
      </c>
      <c r="Q85" s="1084" t="s">
        <v>109</v>
      </c>
      <c r="R85" s="1084" t="s">
        <v>109</v>
      </c>
      <c r="S85" s="1084" t="s">
        <v>109</v>
      </c>
      <c r="T85" s="1084" t="s">
        <v>109</v>
      </c>
      <c r="U85" s="1084" t="s">
        <v>109</v>
      </c>
      <c r="V85" s="1084" t="s">
        <v>109</v>
      </c>
      <c r="W85" s="1084" t="s">
        <v>109</v>
      </c>
      <c r="X85" s="1084" t="s">
        <v>109</v>
      </c>
      <c r="Y85" s="1084" t="s">
        <v>109</v>
      </c>
      <c r="Z85" s="1084" t="s">
        <v>109</v>
      </c>
      <c r="AA85" s="1084" t="s">
        <v>109</v>
      </c>
      <c r="AB85" s="1084" t="s">
        <v>109</v>
      </c>
      <c r="AC85" s="1084" t="s">
        <v>109</v>
      </c>
      <c r="AD85" s="1084" t="s">
        <v>109</v>
      </c>
      <c r="AE85" s="1084" t="s">
        <v>109</v>
      </c>
      <c r="AF85" s="1084" t="s">
        <v>109</v>
      </c>
      <c r="AG85" s="1084" t="s">
        <v>109</v>
      </c>
      <c r="AH85" s="39">
        <f t="shared" si="16"/>
        <v>0</v>
      </c>
    </row>
    <row r="86" spans="1:36" ht="15">
      <c r="A86" s="71" t="s">
        <v>72</v>
      </c>
      <c r="B86" s="75">
        <f>SUM(B74:B85)</f>
        <v>39.120000000000005</v>
      </c>
      <c r="C86" s="32">
        <f>SUM(C74:C84)</f>
        <v>0</v>
      </c>
      <c r="D86" s="39">
        <f>SUM(D74:D84)</f>
        <v>0</v>
      </c>
      <c r="E86" s="39">
        <v>0</v>
      </c>
      <c r="F86" s="39">
        <f t="shared" ref="F86:AC86" si="17">SUM(F74:F84)</f>
        <v>0</v>
      </c>
      <c r="G86" s="39">
        <f t="shared" si="17"/>
        <v>0</v>
      </c>
      <c r="H86" s="39">
        <f t="shared" si="17"/>
        <v>0</v>
      </c>
      <c r="I86" s="39">
        <f t="shared" si="17"/>
        <v>0</v>
      </c>
      <c r="J86" s="39">
        <f t="shared" si="17"/>
        <v>0</v>
      </c>
      <c r="K86" s="39">
        <f t="shared" si="17"/>
        <v>0</v>
      </c>
      <c r="L86" s="39">
        <f t="shared" si="17"/>
        <v>0</v>
      </c>
      <c r="M86" s="39">
        <f t="shared" si="17"/>
        <v>0</v>
      </c>
      <c r="N86" s="39">
        <f t="shared" si="17"/>
        <v>0</v>
      </c>
      <c r="O86" s="39">
        <f t="shared" si="17"/>
        <v>0</v>
      </c>
      <c r="P86" s="39">
        <f t="shared" si="17"/>
        <v>0</v>
      </c>
      <c r="Q86" s="39">
        <f t="shared" si="17"/>
        <v>0</v>
      </c>
      <c r="R86" s="39">
        <f t="shared" si="17"/>
        <v>3.0270000000000001</v>
      </c>
      <c r="S86" s="39">
        <f t="shared" si="17"/>
        <v>0</v>
      </c>
      <c r="T86" s="39">
        <f t="shared" si="17"/>
        <v>10.587000000000002</v>
      </c>
      <c r="U86" s="39">
        <f t="shared" si="17"/>
        <v>9.1219999999999999</v>
      </c>
      <c r="V86" s="39">
        <f t="shared" si="17"/>
        <v>16.384</v>
      </c>
      <c r="W86" s="39">
        <f t="shared" si="17"/>
        <v>0</v>
      </c>
      <c r="X86" s="39">
        <f t="shared" si="17"/>
        <v>0</v>
      </c>
      <c r="Y86" s="39">
        <f t="shared" si="17"/>
        <v>0</v>
      </c>
      <c r="Z86" s="39">
        <f t="shared" si="17"/>
        <v>0</v>
      </c>
      <c r="AA86" s="39">
        <f t="shared" si="17"/>
        <v>0</v>
      </c>
      <c r="AB86" s="39">
        <f t="shared" si="17"/>
        <v>0</v>
      </c>
      <c r="AC86" s="39">
        <f t="shared" si="17"/>
        <v>0</v>
      </c>
      <c r="AD86" s="39">
        <v>0</v>
      </c>
      <c r="AE86" s="39">
        <f>SUM(AE74:AE84)</f>
        <v>0</v>
      </c>
      <c r="AF86" s="39">
        <f>SUM(AF74:AF84)</f>
        <v>0</v>
      </c>
      <c r="AG86" s="39">
        <f>SUM(AG74:AG84)</f>
        <v>0</v>
      </c>
      <c r="AH86" s="32">
        <f>SUM(AH74:AH84)</f>
        <v>39.120000000000005</v>
      </c>
    </row>
    <row r="87" spans="1:36" ht="15">
      <c r="A87" s="115"/>
      <c r="B87" s="190"/>
      <c r="C87" s="40"/>
      <c r="D87" s="41"/>
      <c r="E87" s="41"/>
      <c r="F87" s="41"/>
      <c r="G87" s="41"/>
      <c r="H87" s="41"/>
      <c r="I87" s="41"/>
      <c r="J87" s="41"/>
      <c r="K87" s="41"/>
      <c r="L87" s="41"/>
      <c r="M87" s="41"/>
      <c r="N87" s="41"/>
      <c r="O87" s="41"/>
      <c r="P87" s="41"/>
      <c r="Q87" s="41"/>
      <c r="R87" s="42"/>
      <c r="S87" s="38"/>
      <c r="T87" s="38"/>
      <c r="U87" s="38"/>
      <c r="V87" s="38"/>
      <c r="W87" s="38"/>
      <c r="X87" s="38"/>
      <c r="Y87" s="38"/>
      <c r="Z87" s="38"/>
      <c r="AA87" s="38"/>
      <c r="AB87" s="38"/>
      <c r="AC87" s="38"/>
      <c r="AD87" s="38"/>
      <c r="AE87" s="38"/>
      <c r="AF87" s="38"/>
      <c r="AG87" s="38"/>
      <c r="AH87" s="13"/>
    </row>
    <row r="88" spans="1:36" ht="15">
      <c r="A88" s="3838" t="s">
        <v>68</v>
      </c>
      <c r="B88" s="3839"/>
      <c r="C88" s="3839"/>
      <c r="D88" s="3839"/>
      <c r="E88" s="3839"/>
      <c r="F88" s="3839"/>
      <c r="G88" s="3839"/>
      <c r="H88" s="3839"/>
      <c r="I88" s="3839"/>
      <c r="J88" s="3839"/>
      <c r="K88" s="3839"/>
      <c r="L88" s="3839"/>
      <c r="M88" s="3839"/>
      <c r="N88" s="3839"/>
      <c r="O88" s="3839"/>
      <c r="P88" s="3839"/>
      <c r="Q88" s="3839"/>
      <c r="R88" s="3839"/>
      <c r="S88" s="22"/>
      <c r="T88" s="22"/>
      <c r="U88" s="22"/>
      <c r="V88" s="22"/>
      <c r="W88" s="22"/>
      <c r="X88" s="22"/>
      <c r="Y88" s="22"/>
      <c r="Z88" s="22"/>
      <c r="AA88" s="22"/>
      <c r="AB88" s="22"/>
      <c r="AC88" s="22"/>
      <c r="AD88" s="22"/>
      <c r="AE88" s="22"/>
      <c r="AF88" s="22"/>
      <c r="AG88" s="22"/>
      <c r="AH88" s="55"/>
    </row>
    <row r="89" spans="1:36" ht="16.8">
      <c r="A89" s="3834" t="s">
        <v>185</v>
      </c>
      <c r="B89" s="3835"/>
      <c r="C89" s="3835"/>
      <c r="D89" s="3835"/>
      <c r="E89" s="3835"/>
      <c r="F89" s="3835"/>
      <c r="G89" s="3835"/>
      <c r="H89" s="3835"/>
      <c r="I89" s="3835"/>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55"/>
    </row>
    <row r="90" spans="1:36" ht="15">
      <c r="A90" s="5" t="s">
        <v>70</v>
      </c>
      <c r="B90" s="19" t="s">
        <v>71</v>
      </c>
      <c r="C90" s="57">
        <v>1</v>
      </c>
      <c r="D90" s="23">
        <v>2</v>
      </c>
      <c r="E90" s="23">
        <v>3</v>
      </c>
      <c r="F90" s="23">
        <v>4</v>
      </c>
      <c r="G90" s="23">
        <v>5</v>
      </c>
      <c r="H90" s="23">
        <v>6</v>
      </c>
      <c r="I90" s="23">
        <v>7</v>
      </c>
      <c r="J90" s="23">
        <v>8</v>
      </c>
      <c r="K90" s="23">
        <v>9</v>
      </c>
      <c r="L90" s="23">
        <v>10</v>
      </c>
      <c r="M90" s="23">
        <v>11</v>
      </c>
      <c r="N90" s="23">
        <v>12</v>
      </c>
      <c r="O90" s="23">
        <v>13</v>
      </c>
      <c r="P90" s="23">
        <v>14</v>
      </c>
      <c r="Q90" s="23">
        <v>15</v>
      </c>
      <c r="R90" s="23">
        <v>16</v>
      </c>
      <c r="S90" s="23">
        <v>17</v>
      </c>
      <c r="T90" s="23">
        <v>18</v>
      </c>
      <c r="U90" s="23">
        <v>19</v>
      </c>
      <c r="V90" s="23">
        <v>20</v>
      </c>
      <c r="W90" s="23">
        <v>21</v>
      </c>
      <c r="X90" s="23">
        <v>22</v>
      </c>
      <c r="Y90" s="23">
        <v>23</v>
      </c>
      <c r="Z90" s="23">
        <v>24</v>
      </c>
      <c r="AA90" s="23">
        <v>25</v>
      </c>
      <c r="AB90" s="23">
        <v>26</v>
      </c>
      <c r="AC90" s="23">
        <v>27</v>
      </c>
      <c r="AD90" s="23">
        <v>28</v>
      </c>
      <c r="AE90" s="23">
        <v>29</v>
      </c>
      <c r="AF90" s="23">
        <v>30</v>
      </c>
      <c r="AG90" s="23">
        <v>31</v>
      </c>
      <c r="AH90" s="56" t="s">
        <v>72</v>
      </c>
      <c r="AI90" s="2266" t="s">
        <v>1345</v>
      </c>
      <c r="AJ90" s="66">
        <f>(B103/COUNTIF($C$91:$AG$102,"&gt;0"))</f>
        <v>17.644600000000004</v>
      </c>
    </row>
    <row r="91" spans="1:36" ht="15">
      <c r="A91" s="109" t="s">
        <v>73</v>
      </c>
      <c r="B91" s="19">
        <f t="shared" ref="B91:B102" si="18">+AH91</f>
        <v>0</v>
      </c>
      <c r="C91" s="609" t="s">
        <v>109</v>
      </c>
      <c r="D91" s="609" t="s">
        <v>109</v>
      </c>
      <c r="E91" s="609" t="s">
        <v>109</v>
      </c>
      <c r="F91" s="609" t="s">
        <v>109</v>
      </c>
      <c r="G91" s="609" t="s">
        <v>109</v>
      </c>
      <c r="H91" s="609" t="s">
        <v>109</v>
      </c>
      <c r="I91" s="609" t="s">
        <v>109</v>
      </c>
      <c r="J91" s="609" t="s">
        <v>109</v>
      </c>
      <c r="K91" s="609" t="s">
        <v>109</v>
      </c>
      <c r="L91" s="609" t="s">
        <v>109</v>
      </c>
      <c r="M91" s="609" t="s">
        <v>109</v>
      </c>
      <c r="N91" s="609" t="s">
        <v>109</v>
      </c>
      <c r="O91" s="609" t="s">
        <v>109</v>
      </c>
      <c r="P91" s="609" t="s">
        <v>109</v>
      </c>
      <c r="Q91" s="609" t="s">
        <v>109</v>
      </c>
      <c r="R91" s="609" t="s">
        <v>109</v>
      </c>
      <c r="S91" s="609" t="s">
        <v>109</v>
      </c>
      <c r="T91" s="609" t="s">
        <v>109</v>
      </c>
      <c r="U91" s="609" t="s">
        <v>109</v>
      </c>
      <c r="V91" s="609" t="s">
        <v>109</v>
      </c>
      <c r="W91" s="609" t="s">
        <v>109</v>
      </c>
      <c r="X91" s="609" t="s">
        <v>109</v>
      </c>
      <c r="Y91" s="609" t="s">
        <v>109</v>
      </c>
      <c r="Z91" s="609" t="s">
        <v>109</v>
      </c>
      <c r="AA91" s="609" t="s">
        <v>109</v>
      </c>
      <c r="AB91" s="609" t="s">
        <v>109</v>
      </c>
      <c r="AC91" s="609" t="s">
        <v>109</v>
      </c>
      <c r="AD91" s="609" t="s">
        <v>109</v>
      </c>
      <c r="AE91" s="609" t="s">
        <v>109</v>
      </c>
      <c r="AF91" s="609" t="s">
        <v>109</v>
      </c>
      <c r="AG91" s="609" t="s">
        <v>109</v>
      </c>
      <c r="AH91" s="56">
        <f>SUM(C91:AG91)</f>
        <v>0</v>
      </c>
      <c r="AJ91" s="66">
        <f>+'Resumen RAE Anchoveta'!G50</f>
        <v>-1.6230000000000029</v>
      </c>
    </row>
    <row r="92" spans="1:36" ht="15">
      <c r="A92" s="109" t="s">
        <v>74</v>
      </c>
      <c r="B92" s="19">
        <f t="shared" si="18"/>
        <v>0</v>
      </c>
      <c r="C92" s="609" t="s">
        <v>109</v>
      </c>
      <c r="D92" s="609" t="s">
        <v>109</v>
      </c>
      <c r="E92" s="609" t="s">
        <v>109</v>
      </c>
      <c r="F92" s="609" t="s">
        <v>109</v>
      </c>
      <c r="G92" s="609" t="s">
        <v>109</v>
      </c>
      <c r="H92" s="609" t="s">
        <v>109</v>
      </c>
      <c r="I92" s="609" t="s">
        <v>109</v>
      </c>
      <c r="J92" s="609" t="s">
        <v>109</v>
      </c>
      <c r="K92" s="609" t="s">
        <v>109</v>
      </c>
      <c r="L92" s="609" t="s">
        <v>109</v>
      </c>
      <c r="M92" s="609" t="s">
        <v>109</v>
      </c>
      <c r="N92" s="609" t="s">
        <v>109</v>
      </c>
      <c r="O92" s="609" t="s">
        <v>109</v>
      </c>
      <c r="P92" s="609" t="s">
        <v>109</v>
      </c>
      <c r="Q92" s="609" t="s">
        <v>109</v>
      </c>
      <c r="R92" s="609" t="s">
        <v>109</v>
      </c>
      <c r="S92" s="609" t="s">
        <v>109</v>
      </c>
      <c r="T92" s="609" t="s">
        <v>109</v>
      </c>
      <c r="U92" s="609" t="s">
        <v>109</v>
      </c>
      <c r="V92" s="609" t="s">
        <v>109</v>
      </c>
      <c r="W92" s="609" t="s">
        <v>109</v>
      </c>
      <c r="X92" s="609" t="s">
        <v>109</v>
      </c>
      <c r="Y92" s="609" t="s">
        <v>109</v>
      </c>
      <c r="Z92" s="609" t="s">
        <v>109</v>
      </c>
      <c r="AA92" s="609" t="s">
        <v>109</v>
      </c>
      <c r="AB92" s="609" t="s">
        <v>109</v>
      </c>
      <c r="AC92" s="609" t="s">
        <v>109</v>
      </c>
      <c r="AD92" s="609" t="s">
        <v>109</v>
      </c>
      <c r="AE92" s="609" t="s">
        <v>109</v>
      </c>
      <c r="AF92" s="609" t="s">
        <v>109</v>
      </c>
      <c r="AG92" s="609" t="s">
        <v>109</v>
      </c>
      <c r="AH92" s="56">
        <f t="shared" ref="AH92:AH102" si="19">SUM(C92:AG92)</f>
        <v>0</v>
      </c>
      <c r="AJ92" s="1093">
        <f>+AJ91/AJ90</f>
        <v>-9.1982816272400764E-2</v>
      </c>
    </row>
    <row r="93" spans="1:36" ht="15">
      <c r="A93" s="109" t="s">
        <v>75</v>
      </c>
      <c r="B93" s="19">
        <f t="shared" si="18"/>
        <v>0</v>
      </c>
      <c r="C93" s="609" t="s">
        <v>109</v>
      </c>
      <c r="D93" s="609" t="s">
        <v>109</v>
      </c>
      <c r="E93" s="609" t="s">
        <v>109</v>
      </c>
      <c r="F93" s="609" t="s">
        <v>109</v>
      </c>
      <c r="G93" s="609" t="s">
        <v>109</v>
      </c>
      <c r="H93" s="1091"/>
      <c r="I93" s="1091"/>
      <c r="J93" s="1091"/>
      <c r="K93" s="1091"/>
      <c r="L93" s="1091"/>
      <c r="M93" s="1091"/>
      <c r="N93" s="1091"/>
      <c r="O93" s="1091"/>
      <c r="P93" s="1091"/>
      <c r="Q93" s="1091"/>
      <c r="R93" s="1091"/>
      <c r="S93" s="1091"/>
      <c r="T93" s="1091"/>
      <c r="U93" s="1591"/>
      <c r="V93" s="1091"/>
      <c r="W93" s="1091"/>
      <c r="X93" s="1091"/>
      <c r="Y93" s="1091"/>
      <c r="Z93" s="1091"/>
      <c r="AA93" s="1091"/>
      <c r="AB93" s="1091"/>
      <c r="AC93" s="1689"/>
      <c r="AD93" s="1689"/>
      <c r="AE93" s="1689"/>
      <c r="AF93" s="1689"/>
      <c r="AG93" s="1689"/>
      <c r="AH93" s="56">
        <f t="shared" si="19"/>
        <v>0</v>
      </c>
    </row>
    <row r="94" spans="1:36" ht="15">
      <c r="A94" s="109" t="s">
        <v>76</v>
      </c>
      <c r="B94" s="19">
        <f t="shared" si="18"/>
        <v>90.097000000000008</v>
      </c>
      <c r="C94" s="2152"/>
      <c r="D94" s="2152"/>
      <c r="E94" s="2152"/>
      <c r="F94" s="2152"/>
      <c r="G94" s="2152"/>
      <c r="H94" s="2152"/>
      <c r="I94" s="2152"/>
      <c r="J94" s="2152"/>
      <c r="K94" s="2152"/>
      <c r="L94" s="15"/>
      <c r="M94" s="15"/>
      <c r="N94" s="15"/>
      <c r="O94" s="15"/>
      <c r="P94" s="15"/>
      <c r="Q94" s="227"/>
      <c r="R94" s="227"/>
      <c r="S94" s="125"/>
      <c r="T94" s="125"/>
      <c r="U94" s="125"/>
      <c r="V94" s="125"/>
      <c r="W94" s="125"/>
      <c r="X94" s="125"/>
      <c r="Y94" s="125"/>
      <c r="Z94" s="125"/>
      <c r="AA94" s="125">
        <v>20.100000000000001</v>
      </c>
      <c r="AB94" s="125">
        <v>54.972000000000001</v>
      </c>
      <c r="AC94" s="125"/>
      <c r="AD94" s="125">
        <v>15.025</v>
      </c>
      <c r="AE94" s="125"/>
      <c r="AF94" s="125"/>
      <c r="AG94" s="125"/>
      <c r="AH94" s="56">
        <f t="shared" si="19"/>
        <v>90.097000000000008</v>
      </c>
    </row>
    <row r="95" spans="1:36" ht="15">
      <c r="A95" s="111" t="s">
        <v>77</v>
      </c>
      <c r="B95" s="19">
        <f t="shared" si="18"/>
        <v>80.606000000000009</v>
      </c>
      <c r="C95" s="2067"/>
      <c r="D95" s="2067"/>
      <c r="E95" s="2067"/>
      <c r="F95" s="2067"/>
      <c r="G95" s="2067"/>
      <c r="H95" s="1091"/>
      <c r="I95" s="1091"/>
      <c r="J95" s="1091">
        <v>30.387</v>
      </c>
      <c r="K95" s="1091">
        <v>22.437999999999999</v>
      </c>
      <c r="L95" s="1091">
        <v>8.3079999999999998</v>
      </c>
      <c r="M95" s="1091"/>
      <c r="N95" s="1091"/>
      <c r="O95" s="1091"/>
      <c r="P95" s="1091"/>
      <c r="Q95" s="1091"/>
      <c r="R95" s="1091"/>
      <c r="S95" s="1091"/>
      <c r="T95" s="1091"/>
      <c r="U95" s="1091"/>
      <c r="V95" s="1091"/>
      <c r="W95" s="1091"/>
      <c r="X95" s="1091"/>
      <c r="Y95" s="1091"/>
      <c r="Z95" s="1091"/>
      <c r="AA95" s="1091">
        <v>17.510999999999999</v>
      </c>
      <c r="AB95" s="1091">
        <v>1.962</v>
      </c>
      <c r="AC95" s="1091"/>
      <c r="AD95" s="1091"/>
      <c r="AE95" s="1091"/>
      <c r="AF95" s="1091"/>
      <c r="AG95" s="1091"/>
      <c r="AH95" s="56">
        <f>SUM(C95:AG95)</f>
        <v>80.606000000000009</v>
      </c>
    </row>
    <row r="96" spans="1:36" ht="15">
      <c r="A96" s="111" t="s">
        <v>78</v>
      </c>
      <c r="B96" s="19">
        <f t="shared" si="18"/>
        <v>3.4609999999999999</v>
      </c>
      <c r="C96" s="1091"/>
      <c r="D96" s="1091"/>
      <c r="E96" s="1091"/>
      <c r="F96" s="1091"/>
      <c r="G96" s="1091"/>
      <c r="H96" s="1091"/>
      <c r="I96" s="1091"/>
      <c r="J96" s="1091"/>
      <c r="K96" s="1091"/>
      <c r="L96" s="1091"/>
      <c r="M96" s="1091"/>
      <c r="N96" s="1091"/>
      <c r="O96" s="1091"/>
      <c r="P96" s="1091"/>
      <c r="Q96" s="1091"/>
      <c r="R96" s="1091"/>
      <c r="S96" s="1091"/>
      <c r="T96" s="1091"/>
      <c r="U96" s="1091"/>
      <c r="V96" s="1091">
        <v>3.4609999999999999</v>
      </c>
      <c r="W96" s="1091"/>
      <c r="X96" s="1091"/>
      <c r="Y96" s="1091"/>
      <c r="Z96" s="1091"/>
      <c r="AA96" s="1091"/>
      <c r="AB96" s="1091"/>
      <c r="AC96" s="1091"/>
      <c r="AD96" s="1091"/>
      <c r="AE96" s="1091"/>
      <c r="AF96" s="1091"/>
      <c r="AG96" s="1091"/>
      <c r="AH96" s="56">
        <f t="shared" si="19"/>
        <v>3.4609999999999999</v>
      </c>
    </row>
    <row r="97" spans="1:36" ht="15">
      <c r="A97" s="111" t="s">
        <v>79</v>
      </c>
      <c r="B97" s="19">
        <f t="shared" si="18"/>
        <v>0</v>
      </c>
      <c r="C97" s="1091"/>
      <c r="D97" s="1268"/>
      <c r="E97" s="1268"/>
      <c r="F97" s="1268"/>
      <c r="G97" s="1091"/>
      <c r="H97" s="1091"/>
      <c r="I97" s="1091"/>
      <c r="J97" s="2068"/>
      <c r="K97" s="2068"/>
      <c r="L97" s="1268"/>
      <c r="M97" s="1268"/>
      <c r="N97" s="1268"/>
      <c r="O97" s="1268"/>
      <c r="P97" s="1268"/>
      <c r="Q97" s="1268"/>
      <c r="R97" s="1268"/>
      <c r="S97" s="1268"/>
      <c r="T97" s="1268"/>
      <c r="U97" s="1268"/>
      <c r="V97" s="1268"/>
      <c r="W97" s="609"/>
      <c r="X97" s="609"/>
      <c r="Y97" s="609"/>
      <c r="Z97" s="609"/>
      <c r="AA97" s="609"/>
      <c r="AB97" s="609"/>
      <c r="AC97" s="609"/>
      <c r="AD97" s="609"/>
      <c r="AE97" s="609"/>
      <c r="AF97" s="609" t="s">
        <v>109</v>
      </c>
      <c r="AG97" s="609" t="s">
        <v>109</v>
      </c>
      <c r="AH97" s="56">
        <f t="shared" si="19"/>
        <v>0</v>
      </c>
    </row>
    <row r="98" spans="1:36" ht="15">
      <c r="A98" s="111" t="s">
        <v>80</v>
      </c>
      <c r="B98" s="19">
        <f t="shared" si="18"/>
        <v>0</v>
      </c>
      <c r="C98" s="609" t="s">
        <v>109</v>
      </c>
      <c r="D98" s="609" t="s">
        <v>109</v>
      </c>
      <c r="E98" s="609" t="s">
        <v>109</v>
      </c>
      <c r="F98" s="609" t="s">
        <v>109</v>
      </c>
      <c r="G98" s="609" t="s">
        <v>109</v>
      </c>
      <c r="H98" s="609" t="s">
        <v>109</v>
      </c>
      <c r="I98" s="609" t="s">
        <v>109</v>
      </c>
      <c r="J98" s="609" t="s">
        <v>109</v>
      </c>
      <c r="K98" s="609" t="s">
        <v>109</v>
      </c>
      <c r="L98" s="609" t="s">
        <v>109</v>
      </c>
      <c r="M98" s="609" t="s">
        <v>109</v>
      </c>
      <c r="N98" s="609" t="s">
        <v>109</v>
      </c>
      <c r="O98" s="609" t="s">
        <v>109</v>
      </c>
      <c r="P98" s="609" t="s">
        <v>109</v>
      </c>
      <c r="Q98" s="609" t="s">
        <v>109</v>
      </c>
      <c r="R98" s="609" t="s">
        <v>109</v>
      </c>
      <c r="S98" s="609" t="s">
        <v>109</v>
      </c>
      <c r="T98" s="609" t="s">
        <v>109</v>
      </c>
      <c r="U98" s="609" t="s">
        <v>109</v>
      </c>
      <c r="V98" s="609" t="s">
        <v>109</v>
      </c>
      <c r="W98" s="609" t="s">
        <v>109</v>
      </c>
      <c r="X98" s="609" t="s">
        <v>109</v>
      </c>
      <c r="Y98" s="609" t="s">
        <v>109</v>
      </c>
      <c r="Z98" s="609" t="s">
        <v>109</v>
      </c>
      <c r="AA98" s="609" t="s">
        <v>109</v>
      </c>
      <c r="AB98" s="609" t="s">
        <v>109</v>
      </c>
      <c r="AC98" s="609" t="s">
        <v>109</v>
      </c>
      <c r="AD98" s="609" t="s">
        <v>109</v>
      </c>
      <c r="AE98" s="609" t="s">
        <v>109</v>
      </c>
      <c r="AF98" s="609" t="s">
        <v>109</v>
      </c>
      <c r="AG98" s="609" t="s">
        <v>109</v>
      </c>
      <c r="AH98" s="56">
        <f t="shared" si="19"/>
        <v>0</v>
      </c>
    </row>
    <row r="99" spans="1:36" ht="15">
      <c r="A99" s="21" t="s">
        <v>81</v>
      </c>
      <c r="B99" s="19">
        <f t="shared" si="18"/>
        <v>0</v>
      </c>
      <c r="C99" s="609" t="s">
        <v>109</v>
      </c>
      <c r="D99" s="609" t="s">
        <v>109</v>
      </c>
      <c r="E99" s="609" t="s">
        <v>109</v>
      </c>
      <c r="F99" s="609" t="s">
        <v>109</v>
      </c>
      <c r="G99" s="609" t="s">
        <v>109</v>
      </c>
      <c r="H99" s="609" t="s">
        <v>109</v>
      </c>
      <c r="I99" s="609" t="s">
        <v>109</v>
      </c>
      <c r="J99" s="609" t="s">
        <v>109</v>
      </c>
      <c r="K99" s="609" t="s">
        <v>109</v>
      </c>
      <c r="L99" s="609" t="s">
        <v>109</v>
      </c>
      <c r="M99" s="609" t="s">
        <v>109</v>
      </c>
      <c r="N99" s="609" t="s">
        <v>109</v>
      </c>
      <c r="O99" s="609" t="s">
        <v>109</v>
      </c>
      <c r="P99" s="609" t="s">
        <v>109</v>
      </c>
      <c r="Q99" s="609" t="s">
        <v>109</v>
      </c>
      <c r="R99" s="609" t="s">
        <v>109</v>
      </c>
      <c r="S99" s="609" t="s">
        <v>109</v>
      </c>
      <c r="T99" s="609" t="s">
        <v>109</v>
      </c>
      <c r="U99" s="609" t="s">
        <v>109</v>
      </c>
      <c r="V99" s="609" t="s">
        <v>109</v>
      </c>
      <c r="W99" s="609" t="s">
        <v>109</v>
      </c>
      <c r="X99" s="609" t="s">
        <v>109</v>
      </c>
      <c r="Y99" s="609" t="s">
        <v>109</v>
      </c>
      <c r="Z99" s="609" t="s">
        <v>109</v>
      </c>
      <c r="AA99" s="609" t="s">
        <v>109</v>
      </c>
      <c r="AB99" s="609" t="s">
        <v>109</v>
      </c>
      <c r="AC99" s="609" t="s">
        <v>109</v>
      </c>
      <c r="AD99" s="609" t="s">
        <v>109</v>
      </c>
      <c r="AE99" s="609" t="s">
        <v>109</v>
      </c>
      <c r="AF99" s="609" t="s">
        <v>109</v>
      </c>
      <c r="AG99" s="609" t="s">
        <v>109</v>
      </c>
      <c r="AH99" s="56">
        <f t="shared" si="19"/>
        <v>0</v>
      </c>
    </row>
    <row r="100" spans="1:36" ht="15">
      <c r="A100" s="21" t="s">
        <v>82</v>
      </c>
      <c r="B100" s="19">
        <f t="shared" si="18"/>
        <v>0</v>
      </c>
      <c r="C100" s="609" t="s">
        <v>109</v>
      </c>
      <c r="D100" s="609" t="s">
        <v>109</v>
      </c>
      <c r="E100" s="609" t="s">
        <v>109</v>
      </c>
      <c r="F100" s="609" t="s">
        <v>109</v>
      </c>
      <c r="G100" s="609" t="s">
        <v>109</v>
      </c>
      <c r="H100" s="609" t="s">
        <v>109</v>
      </c>
      <c r="I100" s="609" t="s">
        <v>109</v>
      </c>
      <c r="J100" s="609" t="s">
        <v>109</v>
      </c>
      <c r="K100" s="609" t="s">
        <v>109</v>
      </c>
      <c r="L100" s="609" t="s">
        <v>109</v>
      </c>
      <c r="M100" s="609" t="s">
        <v>109</v>
      </c>
      <c r="N100" s="609" t="s">
        <v>109</v>
      </c>
      <c r="O100" s="609" t="s">
        <v>109</v>
      </c>
      <c r="P100" s="609" t="s">
        <v>109</v>
      </c>
      <c r="Q100" s="609" t="s">
        <v>109</v>
      </c>
      <c r="R100" s="609" t="s">
        <v>109</v>
      </c>
      <c r="S100" s="609" t="s">
        <v>109</v>
      </c>
      <c r="T100" s="609" t="s">
        <v>109</v>
      </c>
      <c r="U100" s="609" t="s">
        <v>109</v>
      </c>
      <c r="V100" s="609" t="s">
        <v>109</v>
      </c>
      <c r="W100" s="609" t="s">
        <v>109</v>
      </c>
      <c r="X100" s="1091"/>
      <c r="Y100" s="1091"/>
      <c r="Z100" s="1091"/>
      <c r="AA100" s="1091"/>
      <c r="AB100" s="1091"/>
      <c r="AC100" s="1091"/>
      <c r="AD100" s="1091"/>
      <c r="AE100" s="1268"/>
      <c r="AF100" s="1091"/>
      <c r="AG100" s="1268"/>
      <c r="AH100" s="56">
        <f t="shared" si="19"/>
        <v>0</v>
      </c>
    </row>
    <row r="101" spans="1:36" ht="15">
      <c r="A101" s="21" t="s">
        <v>83</v>
      </c>
      <c r="B101" s="19">
        <f t="shared" si="18"/>
        <v>2.282</v>
      </c>
      <c r="C101" s="35"/>
      <c r="D101" s="15"/>
      <c r="E101" s="15"/>
      <c r="F101" s="15"/>
      <c r="G101" s="11"/>
      <c r="H101" s="15"/>
      <c r="I101" s="15"/>
      <c r="J101" s="15"/>
      <c r="K101" s="15"/>
      <c r="L101" s="15"/>
      <c r="M101" s="15">
        <v>2.282</v>
      </c>
      <c r="N101" s="15"/>
      <c r="O101" s="15"/>
      <c r="P101" s="15"/>
      <c r="Q101" s="15"/>
      <c r="R101" s="15"/>
      <c r="S101" s="15"/>
      <c r="T101" s="15"/>
      <c r="U101" s="15"/>
      <c r="V101" s="15"/>
      <c r="W101" s="15"/>
      <c r="X101" s="15"/>
      <c r="Y101" s="11"/>
      <c r="Z101" s="15"/>
      <c r="AA101" s="15"/>
      <c r="AB101" s="15"/>
      <c r="AC101" s="15"/>
      <c r="AD101" s="15"/>
      <c r="AE101" s="39"/>
      <c r="AF101" s="15"/>
      <c r="AG101" s="39"/>
      <c r="AH101" s="56">
        <f t="shared" si="19"/>
        <v>2.282</v>
      </c>
    </row>
    <row r="102" spans="1:36" ht="15">
      <c r="A102" s="21" t="s">
        <v>84</v>
      </c>
      <c r="B102" s="19">
        <f t="shared" si="18"/>
        <v>0</v>
      </c>
      <c r="C102" s="35"/>
      <c r="D102" s="15"/>
      <c r="E102" s="15"/>
      <c r="F102" s="15"/>
      <c r="G102" s="15"/>
      <c r="H102" s="15"/>
      <c r="I102" s="15"/>
      <c r="J102" s="15"/>
      <c r="K102" s="15"/>
      <c r="L102" s="1084" t="s">
        <v>109</v>
      </c>
      <c r="M102" s="1084" t="s">
        <v>109</v>
      </c>
      <c r="N102" s="1084" t="s">
        <v>109</v>
      </c>
      <c r="O102" s="1084" t="s">
        <v>109</v>
      </c>
      <c r="P102" s="1084" t="s">
        <v>109</v>
      </c>
      <c r="Q102" s="1084" t="s">
        <v>109</v>
      </c>
      <c r="R102" s="1084" t="s">
        <v>109</v>
      </c>
      <c r="S102" s="1084" t="s">
        <v>109</v>
      </c>
      <c r="T102" s="1084" t="s">
        <v>109</v>
      </c>
      <c r="U102" s="1084" t="s">
        <v>109</v>
      </c>
      <c r="V102" s="1084" t="s">
        <v>109</v>
      </c>
      <c r="W102" s="1084" t="s">
        <v>109</v>
      </c>
      <c r="X102" s="1084" t="s">
        <v>109</v>
      </c>
      <c r="Y102" s="1084" t="s">
        <v>109</v>
      </c>
      <c r="Z102" s="1084" t="s">
        <v>109</v>
      </c>
      <c r="AA102" s="1084" t="s">
        <v>109</v>
      </c>
      <c r="AB102" s="1084" t="s">
        <v>109</v>
      </c>
      <c r="AC102" s="1084" t="s">
        <v>109</v>
      </c>
      <c r="AD102" s="1084" t="s">
        <v>109</v>
      </c>
      <c r="AE102" s="1084" t="s">
        <v>109</v>
      </c>
      <c r="AF102" s="1084" t="s">
        <v>109</v>
      </c>
      <c r="AG102" s="1084" t="s">
        <v>109</v>
      </c>
      <c r="AH102" s="56">
        <f t="shared" si="19"/>
        <v>0</v>
      </c>
    </row>
    <row r="103" spans="1:36" ht="15">
      <c r="A103" s="71" t="s">
        <v>72</v>
      </c>
      <c r="B103" s="73">
        <f t="shared" ref="B103:AH103" si="20">SUM(B91:B102)</f>
        <v>176.44600000000005</v>
      </c>
      <c r="C103" s="56">
        <f t="shared" si="20"/>
        <v>0</v>
      </c>
      <c r="D103" s="56">
        <f t="shared" si="20"/>
        <v>0</v>
      </c>
      <c r="E103" s="56">
        <f t="shared" si="20"/>
        <v>0</v>
      </c>
      <c r="F103" s="56">
        <f t="shared" si="20"/>
        <v>0</v>
      </c>
      <c r="G103" s="56">
        <f t="shared" si="20"/>
        <v>0</v>
      </c>
      <c r="H103" s="56">
        <f t="shared" si="20"/>
        <v>0</v>
      </c>
      <c r="I103" s="56">
        <f t="shared" si="20"/>
        <v>0</v>
      </c>
      <c r="J103" s="56">
        <f t="shared" si="20"/>
        <v>30.387</v>
      </c>
      <c r="K103" s="56">
        <f t="shared" si="20"/>
        <v>22.437999999999999</v>
      </c>
      <c r="L103" s="56">
        <f t="shared" si="20"/>
        <v>8.3079999999999998</v>
      </c>
      <c r="M103" s="56">
        <f t="shared" si="20"/>
        <v>2.282</v>
      </c>
      <c r="N103" s="56">
        <f t="shared" si="20"/>
        <v>0</v>
      </c>
      <c r="O103" s="56">
        <f t="shared" si="20"/>
        <v>0</v>
      </c>
      <c r="P103" s="56">
        <f t="shared" si="20"/>
        <v>0</v>
      </c>
      <c r="Q103" s="56">
        <f t="shared" si="20"/>
        <v>0</v>
      </c>
      <c r="R103" s="56">
        <f t="shared" si="20"/>
        <v>0</v>
      </c>
      <c r="S103" s="56">
        <f t="shared" si="20"/>
        <v>0</v>
      </c>
      <c r="T103" s="56">
        <f t="shared" si="20"/>
        <v>0</v>
      </c>
      <c r="U103" s="56">
        <f t="shared" si="20"/>
        <v>0</v>
      </c>
      <c r="V103" s="56">
        <f t="shared" si="20"/>
        <v>3.4609999999999999</v>
      </c>
      <c r="W103" s="56">
        <f t="shared" si="20"/>
        <v>0</v>
      </c>
      <c r="X103" s="56">
        <f t="shared" si="20"/>
        <v>0</v>
      </c>
      <c r="Y103" s="56">
        <f t="shared" si="20"/>
        <v>0</v>
      </c>
      <c r="Z103" s="56">
        <f t="shared" si="20"/>
        <v>0</v>
      </c>
      <c r="AA103" s="56">
        <f t="shared" si="20"/>
        <v>37.611000000000004</v>
      </c>
      <c r="AB103" s="56">
        <f t="shared" si="20"/>
        <v>56.934000000000005</v>
      </c>
      <c r="AC103" s="56">
        <f t="shared" si="20"/>
        <v>0</v>
      </c>
      <c r="AD103" s="56">
        <f t="shared" si="20"/>
        <v>15.025</v>
      </c>
      <c r="AE103" s="56">
        <f t="shared" si="20"/>
        <v>0</v>
      </c>
      <c r="AF103" s="56">
        <f t="shared" si="20"/>
        <v>0</v>
      </c>
      <c r="AG103" s="56">
        <f t="shared" si="20"/>
        <v>0</v>
      </c>
      <c r="AH103" s="56">
        <f t="shared" si="20"/>
        <v>176.44600000000005</v>
      </c>
    </row>
    <row r="104" spans="1:36" ht="15">
      <c r="A104" s="114"/>
      <c r="B104" s="18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row>
    <row r="105" spans="1:36" ht="15">
      <c r="A105" s="3836" t="s">
        <v>589</v>
      </c>
      <c r="B105" s="3837"/>
      <c r="C105" s="3837"/>
      <c r="D105" s="3837"/>
      <c r="E105" s="3837"/>
      <c r="F105" s="3837"/>
      <c r="G105" s="3837"/>
      <c r="H105" s="3837"/>
      <c r="I105" s="3837"/>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55"/>
    </row>
    <row r="106" spans="1:36" ht="15">
      <c r="A106" s="5" t="s">
        <v>70</v>
      </c>
      <c r="B106" s="19" t="s">
        <v>71</v>
      </c>
      <c r="C106" s="57">
        <v>1</v>
      </c>
      <c r="D106" s="23">
        <v>2</v>
      </c>
      <c r="E106" s="23">
        <v>3</v>
      </c>
      <c r="F106" s="23">
        <v>4</v>
      </c>
      <c r="G106" s="23">
        <v>5</v>
      </c>
      <c r="H106" s="23">
        <v>6</v>
      </c>
      <c r="I106" s="23">
        <v>7</v>
      </c>
      <c r="J106" s="23">
        <v>8</v>
      </c>
      <c r="K106" s="23">
        <v>9</v>
      </c>
      <c r="L106" s="23">
        <v>10</v>
      </c>
      <c r="M106" s="23">
        <v>11</v>
      </c>
      <c r="N106" s="23">
        <v>12</v>
      </c>
      <c r="O106" s="23">
        <v>13</v>
      </c>
      <c r="P106" s="23">
        <v>14</v>
      </c>
      <c r="Q106" s="23">
        <v>15</v>
      </c>
      <c r="R106" s="23">
        <v>16</v>
      </c>
      <c r="S106" s="23">
        <v>17</v>
      </c>
      <c r="T106" s="23">
        <v>18</v>
      </c>
      <c r="U106" s="23">
        <v>19</v>
      </c>
      <c r="V106" s="23">
        <v>20</v>
      </c>
      <c r="W106" s="23">
        <v>21</v>
      </c>
      <c r="X106" s="23">
        <v>22</v>
      </c>
      <c r="Y106" s="23">
        <v>23</v>
      </c>
      <c r="Z106" s="23">
        <v>24</v>
      </c>
      <c r="AA106" s="23">
        <v>25</v>
      </c>
      <c r="AB106" s="23">
        <v>26</v>
      </c>
      <c r="AC106" s="23">
        <v>27</v>
      </c>
      <c r="AD106" s="23">
        <v>28</v>
      </c>
      <c r="AE106" s="23">
        <v>29</v>
      </c>
      <c r="AF106" s="23">
        <v>30</v>
      </c>
      <c r="AG106" s="23">
        <v>31</v>
      </c>
      <c r="AH106" s="56" t="s">
        <v>72</v>
      </c>
      <c r="AI106" s="2266" t="s">
        <v>1345</v>
      </c>
      <c r="AJ106" s="66" t="e">
        <f>(B119/COUNTIF($C$107:$AG$118,"&gt;0"))</f>
        <v>#DIV/0!</v>
      </c>
    </row>
    <row r="107" spans="1:36" ht="15">
      <c r="A107" s="109" t="s">
        <v>73</v>
      </c>
      <c r="B107" s="19">
        <f t="shared" ref="B107:B118" si="21">+AH107</f>
        <v>0</v>
      </c>
      <c r="C107" s="609" t="s">
        <v>109</v>
      </c>
      <c r="D107" s="609" t="s">
        <v>109</v>
      </c>
      <c r="E107" s="609" t="s">
        <v>109</v>
      </c>
      <c r="F107" s="609" t="s">
        <v>109</v>
      </c>
      <c r="G107" s="609" t="s">
        <v>109</v>
      </c>
      <c r="H107" s="609" t="s">
        <v>109</v>
      </c>
      <c r="I107" s="609" t="s">
        <v>109</v>
      </c>
      <c r="J107" s="609" t="s">
        <v>109</v>
      </c>
      <c r="K107" s="609" t="s">
        <v>109</v>
      </c>
      <c r="L107" s="609" t="s">
        <v>109</v>
      </c>
      <c r="M107" s="609" t="s">
        <v>109</v>
      </c>
      <c r="N107" s="609" t="s">
        <v>109</v>
      </c>
      <c r="O107" s="609" t="s">
        <v>109</v>
      </c>
      <c r="P107" s="609" t="s">
        <v>109</v>
      </c>
      <c r="Q107" s="609" t="s">
        <v>109</v>
      </c>
      <c r="R107" s="609" t="s">
        <v>109</v>
      </c>
      <c r="S107" s="609" t="s">
        <v>109</v>
      </c>
      <c r="T107" s="609" t="s">
        <v>109</v>
      </c>
      <c r="U107" s="609" t="s">
        <v>109</v>
      </c>
      <c r="V107" s="609" t="s">
        <v>109</v>
      </c>
      <c r="W107" s="609" t="s">
        <v>109</v>
      </c>
      <c r="X107" s="609" t="s">
        <v>109</v>
      </c>
      <c r="Y107" s="609" t="s">
        <v>109</v>
      </c>
      <c r="Z107" s="609" t="s">
        <v>109</v>
      </c>
      <c r="AA107" s="609" t="s">
        <v>109</v>
      </c>
      <c r="AB107" s="609" t="s">
        <v>109</v>
      </c>
      <c r="AC107" s="609" t="s">
        <v>109</v>
      </c>
      <c r="AD107" s="609" t="s">
        <v>109</v>
      </c>
      <c r="AE107" s="609" t="s">
        <v>109</v>
      </c>
      <c r="AF107" s="609" t="s">
        <v>109</v>
      </c>
      <c r="AG107" s="609" t="s">
        <v>109</v>
      </c>
      <c r="AH107" s="56">
        <f>SUM(C107:AG107)</f>
        <v>0</v>
      </c>
    </row>
    <row r="108" spans="1:36" ht="15">
      <c r="A108" s="109" t="s">
        <v>74</v>
      </c>
      <c r="B108" s="19">
        <f t="shared" si="21"/>
        <v>0</v>
      </c>
      <c r="C108" s="609" t="s">
        <v>109</v>
      </c>
      <c r="D108" s="609" t="s">
        <v>109</v>
      </c>
      <c r="E108" s="609" t="s">
        <v>109</v>
      </c>
      <c r="F108" s="609" t="s">
        <v>109</v>
      </c>
      <c r="G108" s="609" t="s">
        <v>109</v>
      </c>
      <c r="H108" s="609" t="s">
        <v>109</v>
      </c>
      <c r="I108" s="609" t="s">
        <v>109</v>
      </c>
      <c r="J108" s="609" t="s">
        <v>109</v>
      </c>
      <c r="K108" s="609" t="s">
        <v>109</v>
      </c>
      <c r="L108" s="609" t="s">
        <v>109</v>
      </c>
      <c r="M108" s="609" t="s">
        <v>109</v>
      </c>
      <c r="N108" s="609" t="s">
        <v>109</v>
      </c>
      <c r="O108" s="609" t="s">
        <v>109</v>
      </c>
      <c r="P108" s="609" t="s">
        <v>109</v>
      </c>
      <c r="Q108" s="609" t="s">
        <v>109</v>
      </c>
      <c r="R108" s="609" t="s">
        <v>109</v>
      </c>
      <c r="S108" s="609" t="s">
        <v>109</v>
      </c>
      <c r="T108" s="609" t="s">
        <v>109</v>
      </c>
      <c r="U108" s="609" t="s">
        <v>109</v>
      </c>
      <c r="V108" s="609" t="s">
        <v>109</v>
      </c>
      <c r="W108" s="609" t="s">
        <v>109</v>
      </c>
      <c r="X108" s="609" t="s">
        <v>109</v>
      </c>
      <c r="Y108" s="609" t="s">
        <v>109</v>
      </c>
      <c r="Z108" s="609" t="s">
        <v>109</v>
      </c>
      <c r="AA108" s="609" t="s">
        <v>109</v>
      </c>
      <c r="AB108" s="609" t="s">
        <v>109</v>
      </c>
      <c r="AC108" s="609" t="s">
        <v>109</v>
      </c>
      <c r="AD108" s="609" t="s">
        <v>109</v>
      </c>
      <c r="AE108" s="609" t="s">
        <v>109</v>
      </c>
      <c r="AF108" s="609" t="s">
        <v>109</v>
      </c>
      <c r="AG108" s="609" t="s">
        <v>109</v>
      </c>
      <c r="AH108" s="56">
        <f>SUM(C108:AG108)</f>
        <v>0</v>
      </c>
    </row>
    <row r="109" spans="1:36" ht="15">
      <c r="A109" s="109" t="s">
        <v>75</v>
      </c>
      <c r="B109" s="19">
        <f t="shared" si="21"/>
        <v>0</v>
      </c>
      <c r="C109" s="609" t="s">
        <v>109</v>
      </c>
      <c r="D109" s="609" t="s">
        <v>109</v>
      </c>
      <c r="E109" s="609" t="s">
        <v>109</v>
      </c>
      <c r="F109" s="609" t="s">
        <v>109</v>
      </c>
      <c r="G109" s="609" t="s">
        <v>109</v>
      </c>
      <c r="H109" s="1091"/>
      <c r="I109" s="1091"/>
      <c r="J109" s="1091"/>
      <c r="K109" s="1091"/>
      <c r="L109" s="1091"/>
      <c r="M109" s="1091"/>
      <c r="N109" s="1091"/>
      <c r="O109" s="1091"/>
      <c r="P109" s="1091"/>
      <c r="Q109" s="1091"/>
      <c r="R109" s="1091"/>
      <c r="S109" s="1091"/>
      <c r="T109" s="1091"/>
      <c r="U109" s="1591"/>
      <c r="V109" s="1091"/>
      <c r="W109" s="1091"/>
      <c r="X109" s="1091"/>
      <c r="Y109" s="1091"/>
      <c r="Z109" s="1091"/>
      <c r="AA109" s="1091"/>
      <c r="AB109" s="1091"/>
      <c r="AC109" s="1689"/>
      <c r="AD109" s="1689"/>
      <c r="AE109" s="1689"/>
      <c r="AF109" s="1689"/>
      <c r="AG109" s="1689"/>
      <c r="AH109" s="56">
        <f>SUM(C109:AG109)</f>
        <v>0</v>
      </c>
    </row>
    <row r="110" spans="1:36" ht="15">
      <c r="A110" s="109" t="s">
        <v>76</v>
      </c>
      <c r="B110" s="19">
        <f t="shared" si="21"/>
        <v>0</v>
      </c>
      <c r="C110" s="2152"/>
      <c r="D110" s="2152"/>
      <c r="E110" s="2152"/>
      <c r="F110" s="2152"/>
      <c r="G110" s="2152"/>
      <c r="H110" s="2152"/>
      <c r="I110" s="2152"/>
      <c r="J110" s="2152"/>
      <c r="K110" s="2152"/>
      <c r="L110" s="15"/>
      <c r="M110" s="15"/>
      <c r="N110" s="15"/>
      <c r="O110" s="15"/>
      <c r="P110" s="15"/>
      <c r="Q110" s="227"/>
      <c r="R110" s="227"/>
      <c r="S110" s="125"/>
      <c r="T110" s="125"/>
      <c r="U110" s="125"/>
      <c r="V110" s="125"/>
      <c r="W110" s="125"/>
      <c r="X110" s="125"/>
      <c r="Y110" s="125"/>
      <c r="Z110" s="125"/>
      <c r="AA110" s="125"/>
      <c r="AB110" s="125"/>
      <c r="AC110" s="125"/>
      <c r="AD110" s="125"/>
      <c r="AE110" s="125"/>
      <c r="AF110" s="125"/>
      <c r="AG110" s="125"/>
      <c r="AH110" s="56">
        <f>SUM(C110:AG110)</f>
        <v>0</v>
      </c>
    </row>
    <row r="111" spans="1:36" ht="15">
      <c r="A111" s="111" t="s">
        <v>77</v>
      </c>
      <c r="B111" s="19">
        <f t="shared" si="21"/>
        <v>0</v>
      </c>
      <c r="C111" s="2067"/>
      <c r="D111" s="2067"/>
      <c r="E111" s="2067"/>
      <c r="F111" s="2067"/>
      <c r="G111" s="2067"/>
      <c r="H111" s="1091"/>
      <c r="I111" s="1091"/>
      <c r="J111" s="1091"/>
      <c r="K111" s="1091"/>
      <c r="L111" s="1091"/>
      <c r="M111" s="1091"/>
      <c r="N111" s="1091"/>
      <c r="O111" s="1091"/>
      <c r="P111" s="1091"/>
      <c r="Q111" s="1091"/>
      <c r="R111" s="1091"/>
      <c r="S111" s="1091"/>
      <c r="T111" s="1091"/>
      <c r="U111" s="1091"/>
      <c r="V111" s="1091"/>
      <c r="W111" s="1091"/>
      <c r="X111" s="1091"/>
      <c r="Y111" s="1091"/>
      <c r="Z111" s="1091"/>
      <c r="AA111" s="1091"/>
      <c r="AB111" s="1091"/>
      <c r="AC111" s="1091"/>
      <c r="AD111" s="1091"/>
      <c r="AE111" s="1091"/>
      <c r="AF111" s="1091"/>
      <c r="AG111" s="1091"/>
      <c r="AH111" s="56">
        <f>SUM(C111:AG111)</f>
        <v>0</v>
      </c>
    </row>
    <row r="112" spans="1:36" ht="15">
      <c r="A112" s="111" t="s">
        <v>78</v>
      </c>
      <c r="B112" s="19">
        <f t="shared" si="21"/>
        <v>0</v>
      </c>
      <c r="C112" s="1091"/>
      <c r="D112" s="1091"/>
      <c r="E112" s="1091"/>
      <c r="F112" s="1091"/>
      <c r="G112" s="1091"/>
      <c r="H112" s="1091"/>
      <c r="I112" s="1091"/>
      <c r="J112" s="1091"/>
      <c r="K112" s="1091"/>
      <c r="L112" s="1091"/>
      <c r="M112" s="1091"/>
      <c r="N112" s="1091"/>
      <c r="O112" s="1091"/>
      <c r="P112" s="1091"/>
      <c r="Q112" s="1091"/>
      <c r="R112" s="1091"/>
      <c r="S112" s="1091"/>
      <c r="T112" s="1091"/>
      <c r="U112" s="1091"/>
      <c r="V112" s="1091"/>
      <c r="W112" s="1091"/>
      <c r="X112" s="1091"/>
      <c r="Y112" s="1091"/>
      <c r="Z112" s="1091"/>
      <c r="AA112" s="1091"/>
      <c r="AB112" s="1091"/>
      <c r="AC112" s="1091"/>
      <c r="AD112" s="1091"/>
      <c r="AE112" s="1091"/>
      <c r="AF112" s="1091"/>
      <c r="AG112" s="1091"/>
      <c r="AH112" s="56">
        <f t="shared" ref="AH112:AH118" si="22">SUM(C112:AG112)</f>
        <v>0</v>
      </c>
    </row>
    <row r="113" spans="1:36" ht="15">
      <c r="A113" s="111" t="s">
        <v>79</v>
      </c>
      <c r="B113" s="19">
        <f t="shared" si="21"/>
        <v>0</v>
      </c>
      <c r="C113" s="1091"/>
      <c r="D113" s="1268"/>
      <c r="E113" s="1268"/>
      <c r="F113" s="1268"/>
      <c r="G113" s="1091"/>
      <c r="H113" s="1091"/>
      <c r="I113" s="1091"/>
      <c r="J113" s="2068"/>
      <c r="K113" s="2068"/>
      <c r="L113" s="1268"/>
      <c r="M113" s="1268"/>
      <c r="N113" s="1268"/>
      <c r="O113" s="1268"/>
      <c r="P113" s="1268"/>
      <c r="Q113" s="1268"/>
      <c r="R113" s="1268"/>
      <c r="S113" s="1268"/>
      <c r="T113" s="1268"/>
      <c r="U113" s="1268"/>
      <c r="V113" s="1268"/>
      <c r="W113" s="609"/>
      <c r="X113" s="609"/>
      <c r="Y113" s="609"/>
      <c r="Z113" s="609"/>
      <c r="AA113" s="609"/>
      <c r="AB113" s="609"/>
      <c r="AC113" s="609"/>
      <c r="AD113" s="609"/>
      <c r="AE113" s="609"/>
      <c r="AF113" s="609" t="s">
        <v>109</v>
      </c>
      <c r="AG113" s="609" t="s">
        <v>109</v>
      </c>
      <c r="AH113" s="56">
        <f t="shared" si="22"/>
        <v>0</v>
      </c>
    </row>
    <row r="114" spans="1:36" ht="15">
      <c r="A114" s="111" t="s">
        <v>80</v>
      </c>
      <c r="B114" s="19">
        <f t="shared" si="21"/>
        <v>0</v>
      </c>
      <c r="C114" s="609" t="s">
        <v>109</v>
      </c>
      <c r="D114" s="609" t="s">
        <v>109</v>
      </c>
      <c r="E114" s="609" t="s">
        <v>109</v>
      </c>
      <c r="F114" s="609" t="s">
        <v>109</v>
      </c>
      <c r="G114" s="609" t="s">
        <v>109</v>
      </c>
      <c r="H114" s="609" t="s">
        <v>109</v>
      </c>
      <c r="I114" s="609" t="s">
        <v>109</v>
      </c>
      <c r="J114" s="609" t="s">
        <v>109</v>
      </c>
      <c r="K114" s="609" t="s">
        <v>109</v>
      </c>
      <c r="L114" s="609" t="s">
        <v>109</v>
      </c>
      <c r="M114" s="609" t="s">
        <v>109</v>
      </c>
      <c r="N114" s="609" t="s">
        <v>109</v>
      </c>
      <c r="O114" s="609" t="s">
        <v>109</v>
      </c>
      <c r="P114" s="609" t="s">
        <v>109</v>
      </c>
      <c r="Q114" s="609" t="s">
        <v>109</v>
      </c>
      <c r="R114" s="609" t="s">
        <v>109</v>
      </c>
      <c r="S114" s="609" t="s">
        <v>109</v>
      </c>
      <c r="T114" s="609" t="s">
        <v>109</v>
      </c>
      <c r="U114" s="609" t="s">
        <v>109</v>
      </c>
      <c r="V114" s="609" t="s">
        <v>109</v>
      </c>
      <c r="W114" s="609" t="s">
        <v>109</v>
      </c>
      <c r="X114" s="609" t="s">
        <v>109</v>
      </c>
      <c r="Y114" s="609" t="s">
        <v>109</v>
      </c>
      <c r="Z114" s="609" t="s">
        <v>109</v>
      </c>
      <c r="AA114" s="609" t="s">
        <v>109</v>
      </c>
      <c r="AB114" s="609" t="s">
        <v>109</v>
      </c>
      <c r="AC114" s="609" t="s">
        <v>109</v>
      </c>
      <c r="AD114" s="609" t="s">
        <v>109</v>
      </c>
      <c r="AE114" s="609" t="s">
        <v>109</v>
      </c>
      <c r="AF114" s="609" t="s">
        <v>109</v>
      </c>
      <c r="AG114" s="609" t="s">
        <v>109</v>
      </c>
      <c r="AH114" s="56">
        <f t="shared" si="22"/>
        <v>0</v>
      </c>
    </row>
    <row r="115" spans="1:36" ht="15">
      <c r="A115" s="21" t="s">
        <v>81</v>
      </c>
      <c r="B115" s="19">
        <f t="shared" si="21"/>
        <v>0</v>
      </c>
      <c r="C115" s="609" t="s">
        <v>109</v>
      </c>
      <c r="D115" s="609" t="s">
        <v>109</v>
      </c>
      <c r="E115" s="609" t="s">
        <v>109</v>
      </c>
      <c r="F115" s="609" t="s">
        <v>109</v>
      </c>
      <c r="G115" s="609" t="s">
        <v>109</v>
      </c>
      <c r="H115" s="609" t="s">
        <v>109</v>
      </c>
      <c r="I115" s="609" t="s">
        <v>109</v>
      </c>
      <c r="J115" s="609" t="s">
        <v>109</v>
      </c>
      <c r="K115" s="609" t="s">
        <v>109</v>
      </c>
      <c r="L115" s="609" t="s">
        <v>109</v>
      </c>
      <c r="M115" s="609" t="s">
        <v>109</v>
      </c>
      <c r="N115" s="609" t="s">
        <v>109</v>
      </c>
      <c r="O115" s="609" t="s">
        <v>109</v>
      </c>
      <c r="P115" s="609" t="s">
        <v>109</v>
      </c>
      <c r="Q115" s="609" t="s">
        <v>109</v>
      </c>
      <c r="R115" s="609" t="s">
        <v>109</v>
      </c>
      <c r="S115" s="609" t="s">
        <v>109</v>
      </c>
      <c r="T115" s="609" t="s">
        <v>109</v>
      </c>
      <c r="U115" s="609" t="s">
        <v>109</v>
      </c>
      <c r="V115" s="609" t="s">
        <v>109</v>
      </c>
      <c r="W115" s="609" t="s">
        <v>109</v>
      </c>
      <c r="X115" s="609" t="s">
        <v>109</v>
      </c>
      <c r="Y115" s="609" t="s">
        <v>109</v>
      </c>
      <c r="Z115" s="609" t="s">
        <v>109</v>
      </c>
      <c r="AA115" s="609" t="s">
        <v>109</v>
      </c>
      <c r="AB115" s="609" t="s">
        <v>109</v>
      </c>
      <c r="AC115" s="609" t="s">
        <v>109</v>
      </c>
      <c r="AD115" s="609" t="s">
        <v>109</v>
      </c>
      <c r="AE115" s="609" t="s">
        <v>109</v>
      </c>
      <c r="AF115" s="609" t="s">
        <v>109</v>
      </c>
      <c r="AG115" s="609" t="s">
        <v>109</v>
      </c>
      <c r="AH115" s="56">
        <f t="shared" si="22"/>
        <v>0</v>
      </c>
    </row>
    <row r="116" spans="1:36" ht="15">
      <c r="A116" s="21" t="s">
        <v>82</v>
      </c>
      <c r="B116" s="19">
        <v>0</v>
      </c>
      <c r="C116" s="609" t="s">
        <v>109</v>
      </c>
      <c r="D116" s="609" t="s">
        <v>109</v>
      </c>
      <c r="E116" s="609" t="s">
        <v>109</v>
      </c>
      <c r="F116" s="609" t="s">
        <v>109</v>
      </c>
      <c r="G116" s="609" t="s">
        <v>109</v>
      </c>
      <c r="H116" s="609" t="s">
        <v>109</v>
      </c>
      <c r="I116" s="609" t="s">
        <v>109</v>
      </c>
      <c r="J116" s="609" t="s">
        <v>109</v>
      </c>
      <c r="K116" s="609" t="s">
        <v>109</v>
      </c>
      <c r="L116" s="609" t="s">
        <v>109</v>
      </c>
      <c r="M116" s="609" t="s">
        <v>109</v>
      </c>
      <c r="N116" s="609" t="s">
        <v>109</v>
      </c>
      <c r="O116" s="609" t="s">
        <v>109</v>
      </c>
      <c r="P116" s="609" t="s">
        <v>109</v>
      </c>
      <c r="Q116" s="609" t="s">
        <v>109</v>
      </c>
      <c r="R116" s="609" t="s">
        <v>109</v>
      </c>
      <c r="S116" s="609" t="s">
        <v>109</v>
      </c>
      <c r="T116" s="609" t="s">
        <v>109</v>
      </c>
      <c r="U116" s="609" t="s">
        <v>109</v>
      </c>
      <c r="V116" s="609" t="s">
        <v>109</v>
      </c>
      <c r="W116" s="609" t="s">
        <v>109</v>
      </c>
      <c r="X116" s="1091"/>
      <c r="Y116" s="1091"/>
      <c r="Z116" s="1091"/>
      <c r="AA116" s="1091"/>
      <c r="AB116" s="1091"/>
      <c r="AC116" s="1091"/>
      <c r="AD116" s="1091"/>
      <c r="AE116" s="1268"/>
      <c r="AF116" s="1091"/>
      <c r="AG116" s="1268"/>
      <c r="AH116" s="56">
        <f t="shared" si="22"/>
        <v>0</v>
      </c>
    </row>
    <row r="117" spans="1:36" ht="15">
      <c r="A117" s="21" t="s">
        <v>83</v>
      </c>
      <c r="B117" s="19">
        <f t="shared" si="21"/>
        <v>0</v>
      </c>
      <c r="C117" s="35"/>
      <c r="D117" s="15"/>
      <c r="E117" s="15"/>
      <c r="F117" s="15"/>
      <c r="G117" s="11"/>
      <c r="H117" s="15"/>
      <c r="I117" s="15"/>
      <c r="J117" s="15"/>
      <c r="K117" s="15"/>
      <c r="L117" s="15"/>
      <c r="M117" s="15"/>
      <c r="N117" s="15"/>
      <c r="O117" s="15"/>
      <c r="P117" s="15"/>
      <c r="Q117" s="15"/>
      <c r="R117" s="15"/>
      <c r="S117" s="15"/>
      <c r="T117" s="15"/>
      <c r="U117" s="15"/>
      <c r="V117" s="15"/>
      <c r="W117" s="15"/>
      <c r="X117" s="15"/>
      <c r="Y117" s="11"/>
      <c r="Z117" s="15"/>
      <c r="AA117" s="15"/>
      <c r="AB117" s="15"/>
      <c r="AC117" s="15"/>
      <c r="AD117" s="15"/>
      <c r="AE117" s="39"/>
      <c r="AF117" s="15"/>
      <c r="AG117" s="39"/>
      <c r="AH117" s="56">
        <f t="shared" si="22"/>
        <v>0</v>
      </c>
    </row>
    <row r="118" spans="1:36" ht="15">
      <c r="A118" s="21" t="s">
        <v>84</v>
      </c>
      <c r="B118" s="19">
        <f t="shared" si="21"/>
        <v>0</v>
      </c>
      <c r="C118" s="35"/>
      <c r="D118" s="15"/>
      <c r="E118" s="15"/>
      <c r="F118" s="15"/>
      <c r="G118" s="15"/>
      <c r="H118" s="15"/>
      <c r="I118" s="15"/>
      <c r="J118" s="15"/>
      <c r="K118" s="15"/>
      <c r="L118" s="1084" t="s">
        <v>109</v>
      </c>
      <c r="M118" s="1084" t="s">
        <v>109</v>
      </c>
      <c r="N118" s="1084" t="s">
        <v>109</v>
      </c>
      <c r="O118" s="1084" t="s">
        <v>109</v>
      </c>
      <c r="P118" s="1084" t="s">
        <v>109</v>
      </c>
      <c r="Q118" s="1084" t="s">
        <v>109</v>
      </c>
      <c r="R118" s="1084" t="s">
        <v>109</v>
      </c>
      <c r="S118" s="1084" t="s">
        <v>109</v>
      </c>
      <c r="T118" s="1084" t="s">
        <v>109</v>
      </c>
      <c r="U118" s="1084" t="s">
        <v>109</v>
      </c>
      <c r="V118" s="1084" t="s">
        <v>109</v>
      </c>
      <c r="W118" s="1084" t="s">
        <v>109</v>
      </c>
      <c r="X118" s="1084" t="s">
        <v>109</v>
      </c>
      <c r="Y118" s="1084" t="s">
        <v>109</v>
      </c>
      <c r="Z118" s="1084" t="s">
        <v>109</v>
      </c>
      <c r="AA118" s="1084" t="s">
        <v>109</v>
      </c>
      <c r="AB118" s="1084" t="s">
        <v>109</v>
      </c>
      <c r="AC118" s="1084" t="s">
        <v>109</v>
      </c>
      <c r="AD118" s="1084" t="s">
        <v>109</v>
      </c>
      <c r="AE118" s="1084" t="s">
        <v>109</v>
      </c>
      <c r="AF118" s="1084" t="s">
        <v>109</v>
      </c>
      <c r="AG118" s="1084" t="s">
        <v>109</v>
      </c>
      <c r="AH118" s="56">
        <f t="shared" si="22"/>
        <v>0</v>
      </c>
    </row>
    <row r="119" spans="1:36" ht="15">
      <c r="A119" s="71" t="s">
        <v>72</v>
      </c>
      <c r="B119" s="74">
        <f>SUM(B107:B118)</f>
        <v>0</v>
      </c>
      <c r="C119" s="56">
        <f t="shared" ref="C119:AH119" si="23">SUM(C107:C118)</f>
        <v>0</v>
      </c>
      <c r="D119" s="56">
        <f t="shared" si="23"/>
        <v>0</v>
      </c>
      <c r="E119" s="56">
        <f t="shared" si="23"/>
        <v>0</v>
      </c>
      <c r="F119" s="56">
        <f t="shared" si="23"/>
        <v>0</v>
      </c>
      <c r="G119" s="56">
        <f t="shared" si="23"/>
        <v>0</v>
      </c>
      <c r="H119" s="56">
        <f t="shared" si="23"/>
        <v>0</v>
      </c>
      <c r="I119" s="56">
        <f t="shared" si="23"/>
        <v>0</v>
      </c>
      <c r="J119" s="56">
        <f t="shared" si="23"/>
        <v>0</v>
      </c>
      <c r="K119" s="56">
        <f t="shared" si="23"/>
        <v>0</v>
      </c>
      <c r="L119" s="56">
        <f t="shared" si="23"/>
        <v>0</v>
      </c>
      <c r="M119" s="56">
        <f t="shared" si="23"/>
        <v>0</v>
      </c>
      <c r="N119" s="56">
        <f t="shared" si="23"/>
        <v>0</v>
      </c>
      <c r="O119" s="56">
        <f t="shared" si="23"/>
        <v>0</v>
      </c>
      <c r="P119" s="56">
        <f t="shared" si="23"/>
        <v>0</v>
      </c>
      <c r="Q119" s="56">
        <f t="shared" si="23"/>
        <v>0</v>
      </c>
      <c r="R119" s="56">
        <f t="shared" si="23"/>
        <v>0</v>
      </c>
      <c r="S119" s="56">
        <f t="shared" si="23"/>
        <v>0</v>
      </c>
      <c r="T119" s="56">
        <f t="shared" si="23"/>
        <v>0</v>
      </c>
      <c r="U119" s="56">
        <f t="shared" si="23"/>
        <v>0</v>
      </c>
      <c r="V119" s="56">
        <f t="shared" si="23"/>
        <v>0</v>
      </c>
      <c r="W119" s="56">
        <f t="shared" si="23"/>
        <v>0</v>
      </c>
      <c r="X119" s="56">
        <f t="shared" si="23"/>
        <v>0</v>
      </c>
      <c r="Y119" s="56">
        <f t="shared" si="23"/>
        <v>0</v>
      </c>
      <c r="Z119" s="56">
        <f t="shared" si="23"/>
        <v>0</v>
      </c>
      <c r="AA119" s="56">
        <f t="shared" si="23"/>
        <v>0</v>
      </c>
      <c r="AB119" s="56">
        <f t="shared" si="23"/>
        <v>0</v>
      </c>
      <c r="AC119" s="56">
        <f t="shared" si="23"/>
        <v>0</v>
      </c>
      <c r="AD119" s="56">
        <f t="shared" si="23"/>
        <v>0</v>
      </c>
      <c r="AE119" s="56">
        <f t="shared" si="23"/>
        <v>0</v>
      </c>
      <c r="AF119" s="56">
        <f t="shared" si="23"/>
        <v>0</v>
      </c>
      <c r="AG119" s="56">
        <f t="shared" si="23"/>
        <v>0</v>
      </c>
      <c r="AH119" s="56">
        <f t="shared" si="23"/>
        <v>0</v>
      </c>
    </row>
    <row r="120" spans="1:36" ht="15">
      <c r="A120" s="1751"/>
      <c r="B120" s="1753"/>
      <c r="C120" s="1754"/>
      <c r="D120" s="1754"/>
      <c r="E120" s="1754"/>
      <c r="F120" s="1754"/>
      <c r="G120" s="1754"/>
      <c r="H120" s="1754"/>
      <c r="I120" s="1754"/>
      <c r="J120" s="1754"/>
      <c r="K120" s="1754"/>
      <c r="L120" s="1754"/>
      <c r="M120" s="1754"/>
      <c r="N120" s="1754"/>
      <c r="O120" s="1754"/>
      <c r="P120" s="1754"/>
      <c r="Q120" s="1754"/>
      <c r="R120" s="1755"/>
      <c r="S120" s="59"/>
      <c r="T120" s="59"/>
      <c r="U120" s="59"/>
      <c r="V120" s="59"/>
      <c r="W120" s="59"/>
      <c r="X120" s="59"/>
      <c r="Y120" s="59"/>
      <c r="Z120" s="59"/>
      <c r="AA120" s="59"/>
      <c r="AB120" s="59"/>
      <c r="AC120" s="59"/>
      <c r="AD120" s="59"/>
      <c r="AE120" s="59"/>
      <c r="AF120" s="59"/>
      <c r="AG120" s="59"/>
      <c r="AH120" s="59"/>
    </row>
    <row r="121" spans="1:36" ht="15">
      <c r="A121" s="3811" t="s">
        <v>91</v>
      </c>
      <c r="B121" s="3812"/>
      <c r="C121" s="3813"/>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55"/>
    </row>
    <row r="122" spans="1:36" ht="15">
      <c r="A122" s="5" t="s">
        <v>70</v>
      </c>
      <c r="B122" s="19" t="s">
        <v>71</v>
      </c>
      <c r="C122" s="57">
        <v>1</v>
      </c>
      <c r="D122" s="23">
        <v>2</v>
      </c>
      <c r="E122" s="23">
        <v>3</v>
      </c>
      <c r="F122" s="23">
        <v>4</v>
      </c>
      <c r="G122" s="23">
        <v>5</v>
      </c>
      <c r="H122" s="23">
        <v>6</v>
      </c>
      <c r="I122" s="23">
        <v>7</v>
      </c>
      <c r="J122" s="23">
        <v>8</v>
      </c>
      <c r="K122" s="23">
        <v>9</v>
      </c>
      <c r="L122" s="23">
        <v>10</v>
      </c>
      <c r="M122" s="23">
        <v>11</v>
      </c>
      <c r="N122" s="23">
        <v>12</v>
      </c>
      <c r="O122" s="23">
        <v>13</v>
      </c>
      <c r="P122" s="23">
        <v>14</v>
      </c>
      <c r="Q122" s="23">
        <v>15</v>
      </c>
      <c r="R122" s="23">
        <v>16</v>
      </c>
      <c r="S122" s="23">
        <v>17</v>
      </c>
      <c r="T122" s="23">
        <v>18</v>
      </c>
      <c r="U122" s="23">
        <v>19</v>
      </c>
      <c r="V122" s="23">
        <v>20</v>
      </c>
      <c r="W122" s="23">
        <v>21</v>
      </c>
      <c r="X122" s="23">
        <v>22</v>
      </c>
      <c r="Y122" s="23">
        <v>23</v>
      </c>
      <c r="Z122" s="23">
        <v>24</v>
      </c>
      <c r="AA122" s="23">
        <v>25</v>
      </c>
      <c r="AB122" s="23">
        <v>26</v>
      </c>
      <c r="AC122" s="23">
        <v>27</v>
      </c>
      <c r="AD122" s="23">
        <v>28</v>
      </c>
      <c r="AE122" s="23">
        <v>29</v>
      </c>
      <c r="AF122" s="23">
        <v>30</v>
      </c>
      <c r="AG122" s="23">
        <v>31</v>
      </c>
      <c r="AH122" s="56" t="s">
        <v>72</v>
      </c>
      <c r="AI122" s="2266" t="s">
        <v>1345</v>
      </c>
      <c r="AJ122" s="66">
        <f>(B135/COUNTIF($C$123:$AG$134,"&gt;0"))</f>
        <v>15.739000000000001</v>
      </c>
    </row>
    <row r="123" spans="1:36" ht="15">
      <c r="A123" s="109" t="s">
        <v>73</v>
      </c>
      <c r="B123" s="19">
        <f t="shared" ref="B123:B134" si="24">+AH123</f>
        <v>0</v>
      </c>
      <c r="C123" s="609" t="s">
        <v>109</v>
      </c>
      <c r="D123" s="609" t="s">
        <v>109</v>
      </c>
      <c r="E123" s="609" t="s">
        <v>109</v>
      </c>
      <c r="F123" s="609" t="s">
        <v>109</v>
      </c>
      <c r="G123" s="609" t="s">
        <v>109</v>
      </c>
      <c r="H123" s="609" t="s">
        <v>109</v>
      </c>
      <c r="I123" s="609" t="s">
        <v>109</v>
      </c>
      <c r="J123" s="609" t="s">
        <v>109</v>
      </c>
      <c r="K123" s="609" t="s">
        <v>109</v>
      </c>
      <c r="L123" s="609" t="s">
        <v>109</v>
      </c>
      <c r="M123" s="609" t="s">
        <v>109</v>
      </c>
      <c r="N123" s="609" t="s">
        <v>109</v>
      </c>
      <c r="O123" s="609" t="s">
        <v>109</v>
      </c>
      <c r="P123" s="609" t="s">
        <v>109</v>
      </c>
      <c r="Q123" s="609" t="s">
        <v>109</v>
      </c>
      <c r="R123" s="609" t="s">
        <v>109</v>
      </c>
      <c r="S123" s="609" t="s">
        <v>109</v>
      </c>
      <c r="T123" s="609" t="s">
        <v>109</v>
      </c>
      <c r="U123" s="609" t="s">
        <v>109</v>
      </c>
      <c r="V123" s="609" t="s">
        <v>109</v>
      </c>
      <c r="W123" s="609" t="s">
        <v>109</v>
      </c>
      <c r="X123" s="609" t="s">
        <v>109</v>
      </c>
      <c r="Y123" s="609" t="s">
        <v>109</v>
      </c>
      <c r="Z123" s="609" t="s">
        <v>109</v>
      </c>
      <c r="AA123" s="609" t="s">
        <v>109</v>
      </c>
      <c r="AB123" s="609" t="s">
        <v>109</v>
      </c>
      <c r="AC123" s="609" t="s">
        <v>109</v>
      </c>
      <c r="AD123" s="609" t="s">
        <v>109</v>
      </c>
      <c r="AE123" s="609" t="s">
        <v>109</v>
      </c>
      <c r="AF123" s="609" t="s">
        <v>109</v>
      </c>
      <c r="AG123" s="609" t="s">
        <v>109</v>
      </c>
      <c r="AH123" s="56">
        <f>SUM(C123:AG123)</f>
        <v>0</v>
      </c>
    </row>
    <row r="124" spans="1:36" ht="15">
      <c r="A124" s="109" t="s">
        <v>74</v>
      </c>
      <c r="B124" s="19">
        <f t="shared" si="24"/>
        <v>0</v>
      </c>
      <c r="C124" s="609" t="s">
        <v>109</v>
      </c>
      <c r="D124" s="609" t="s">
        <v>109</v>
      </c>
      <c r="E124" s="609" t="s">
        <v>109</v>
      </c>
      <c r="F124" s="609" t="s">
        <v>109</v>
      </c>
      <c r="G124" s="609" t="s">
        <v>109</v>
      </c>
      <c r="H124" s="609" t="s">
        <v>109</v>
      </c>
      <c r="I124" s="609" t="s">
        <v>109</v>
      </c>
      <c r="J124" s="609" t="s">
        <v>109</v>
      </c>
      <c r="K124" s="609" t="s">
        <v>109</v>
      </c>
      <c r="L124" s="609" t="s">
        <v>109</v>
      </c>
      <c r="M124" s="609" t="s">
        <v>109</v>
      </c>
      <c r="N124" s="609" t="s">
        <v>109</v>
      </c>
      <c r="O124" s="609" t="s">
        <v>109</v>
      </c>
      <c r="P124" s="609" t="s">
        <v>109</v>
      </c>
      <c r="Q124" s="609" t="s">
        <v>109</v>
      </c>
      <c r="R124" s="609" t="s">
        <v>109</v>
      </c>
      <c r="S124" s="609" t="s">
        <v>109</v>
      </c>
      <c r="T124" s="609" t="s">
        <v>109</v>
      </c>
      <c r="U124" s="609" t="s">
        <v>109</v>
      </c>
      <c r="V124" s="609" t="s">
        <v>109</v>
      </c>
      <c r="W124" s="609" t="s">
        <v>109</v>
      </c>
      <c r="X124" s="609" t="s">
        <v>109</v>
      </c>
      <c r="Y124" s="609" t="s">
        <v>109</v>
      </c>
      <c r="Z124" s="609" t="s">
        <v>109</v>
      </c>
      <c r="AA124" s="609" t="s">
        <v>109</v>
      </c>
      <c r="AB124" s="609" t="s">
        <v>109</v>
      </c>
      <c r="AC124" s="609" t="s">
        <v>109</v>
      </c>
      <c r="AD124" s="609" t="s">
        <v>109</v>
      </c>
      <c r="AE124" s="609" t="s">
        <v>109</v>
      </c>
      <c r="AF124" s="609" t="s">
        <v>109</v>
      </c>
      <c r="AG124" s="609" t="s">
        <v>109</v>
      </c>
      <c r="AH124" s="56">
        <f>SUM(C124:AG124)</f>
        <v>0</v>
      </c>
    </row>
    <row r="125" spans="1:36" ht="15">
      <c r="A125" s="109" t="s">
        <v>75</v>
      </c>
      <c r="B125" s="19">
        <f t="shared" si="24"/>
        <v>0</v>
      </c>
      <c r="C125" s="609" t="s">
        <v>109</v>
      </c>
      <c r="D125" s="609" t="s">
        <v>109</v>
      </c>
      <c r="E125" s="609" t="s">
        <v>109</v>
      </c>
      <c r="F125" s="609" t="s">
        <v>109</v>
      </c>
      <c r="G125" s="609" t="s">
        <v>109</v>
      </c>
      <c r="H125" s="1091"/>
      <c r="I125" s="1091"/>
      <c r="J125" s="1091"/>
      <c r="K125" s="1091"/>
      <c r="L125" s="1091"/>
      <c r="M125" s="1091"/>
      <c r="N125" s="1091"/>
      <c r="O125" s="1091"/>
      <c r="P125" s="1091"/>
      <c r="Q125" s="1091"/>
      <c r="R125" s="1091"/>
      <c r="S125" s="1091"/>
      <c r="T125" s="1091"/>
      <c r="U125" s="1591"/>
      <c r="V125" s="1091"/>
      <c r="W125" s="1091"/>
      <c r="X125" s="1091"/>
      <c r="Y125" s="1091"/>
      <c r="Z125" s="1091"/>
      <c r="AA125" s="1091"/>
      <c r="AB125" s="1091"/>
      <c r="AC125" s="1689"/>
      <c r="AD125" s="1689"/>
      <c r="AE125" s="1689"/>
      <c r="AF125" s="1689"/>
      <c r="AG125" s="1689"/>
      <c r="AH125" s="56">
        <f>SUM(C125:AG125)</f>
        <v>0</v>
      </c>
    </row>
    <row r="126" spans="1:36" ht="15">
      <c r="A126" s="109" t="s">
        <v>76</v>
      </c>
      <c r="B126" s="19">
        <f t="shared" si="24"/>
        <v>0</v>
      </c>
      <c r="C126" s="1689"/>
      <c r="D126" s="1689"/>
      <c r="E126" s="1689"/>
      <c r="F126" s="1689"/>
      <c r="G126" s="1689"/>
      <c r="H126" s="1689"/>
      <c r="I126" s="1689"/>
      <c r="J126" s="1689"/>
      <c r="K126" s="2067"/>
      <c r="L126" s="2067"/>
      <c r="M126" s="2067"/>
      <c r="N126" s="2067"/>
      <c r="O126" s="2067"/>
      <c r="P126" s="2067"/>
      <c r="Q126" s="2067"/>
      <c r="R126" s="2067"/>
      <c r="S126" s="2067"/>
      <c r="T126" s="2067"/>
      <c r="U126" s="125"/>
      <c r="V126" s="125"/>
      <c r="W126" s="125"/>
      <c r="X126" s="125"/>
      <c r="Y126" s="125"/>
      <c r="Z126" s="125"/>
      <c r="AA126" s="125"/>
      <c r="AB126" s="125"/>
      <c r="AC126" s="125"/>
      <c r="AD126" s="125"/>
      <c r="AE126" s="125"/>
      <c r="AF126" s="125"/>
      <c r="AG126" s="125"/>
      <c r="AH126" s="56">
        <f>SUM(C126:AG126)</f>
        <v>0</v>
      </c>
    </row>
    <row r="127" spans="1:36" ht="15">
      <c r="A127" s="111" t="s">
        <v>77</v>
      </c>
      <c r="B127" s="19">
        <f t="shared" si="24"/>
        <v>0</v>
      </c>
      <c r="C127" s="1091"/>
      <c r="D127" s="1091"/>
      <c r="E127" s="1091"/>
      <c r="F127" s="1091"/>
      <c r="G127" s="1091"/>
      <c r="H127" s="1091"/>
      <c r="I127" s="1091"/>
      <c r="J127" s="1091"/>
      <c r="K127" s="1091"/>
      <c r="L127" s="1091"/>
      <c r="M127" s="1091"/>
      <c r="N127" s="1091"/>
      <c r="O127" s="1091"/>
      <c r="P127" s="1091"/>
      <c r="Q127" s="1091"/>
      <c r="R127" s="1091"/>
      <c r="S127" s="1091"/>
      <c r="T127" s="1091"/>
      <c r="U127" s="15"/>
      <c r="V127" s="15"/>
      <c r="W127" s="15"/>
      <c r="X127" s="15"/>
      <c r="Y127" s="15"/>
      <c r="Z127" s="15"/>
      <c r="AA127" s="15"/>
      <c r="AB127" s="15"/>
      <c r="AC127" s="15"/>
      <c r="AD127" s="15"/>
      <c r="AE127" s="15"/>
      <c r="AF127" s="15"/>
      <c r="AG127" s="15"/>
      <c r="AH127" s="56">
        <f>SUM(C127:AG127)</f>
        <v>0</v>
      </c>
    </row>
    <row r="128" spans="1:36" ht="15">
      <c r="A128" s="111" t="s">
        <v>78</v>
      </c>
      <c r="B128" s="19">
        <f t="shared" si="24"/>
        <v>0</v>
      </c>
      <c r="C128" s="1091"/>
      <c r="D128" s="1091"/>
      <c r="E128" s="1091"/>
      <c r="F128" s="1091"/>
      <c r="G128" s="1091"/>
      <c r="H128" s="1091"/>
      <c r="I128" s="1091"/>
      <c r="J128" s="1091"/>
      <c r="K128" s="1091"/>
      <c r="L128" s="1091"/>
      <c r="M128" s="1091"/>
      <c r="N128" s="1091"/>
      <c r="O128" s="1091"/>
      <c r="P128" s="1091"/>
      <c r="Q128" s="1091"/>
      <c r="R128" s="1091"/>
      <c r="S128" s="1091"/>
      <c r="T128" s="1091"/>
      <c r="U128" s="1091"/>
      <c r="V128" s="1091"/>
      <c r="W128" s="1091"/>
      <c r="X128" s="1091"/>
      <c r="Y128" s="1091"/>
      <c r="Z128" s="1091"/>
      <c r="AA128" s="1091"/>
      <c r="AB128" s="1091"/>
      <c r="AC128" s="1091"/>
      <c r="AD128" s="1091"/>
      <c r="AE128" s="1091"/>
      <c r="AF128" s="1091"/>
      <c r="AG128" s="1091"/>
      <c r="AH128" s="56">
        <f t="shared" ref="AH128:AH134" si="25">SUM(C128:AG128)</f>
        <v>0</v>
      </c>
    </row>
    <row r="129" spans="1:36" ht="15">
      <c r="A129" s="111" t="s">
        <v>79</v>
      </c>
      <c r="B129" s="19">
        <f t="shared" si="24"/>
        <v>0</v>
      </c>
      <c r="C129" s="1091"/>
      <c r="D129" s="1268"/>
      <c r="E129" s="1268"/>
      <c r="F129" s="1268"/>
      <c r="G129" s="1091"/>
      <c r="H129" s="1091"/>
      <c r="I129" s="1091"/>
      <c r="J129" s="2068"/>
      <c r="K129" s="2068"/>
      <c r="L129" s="1268"/>
      <c r="M129" s="1268"/>
      <c r="N129" s="1268"/>
      <c r="O129" s="1268"/>
      <c r="P129" s="1268"/>
      <c r="Q129" s="1268"/>
      <c r="R129" s="1268"/>
      <c r="S129" s="1268"/>
      <c r="T129" s="1268"/>
      <c r="U129" s="1268"/>
      <c r="V129" s="1268"/>
      <c r="W129" s="609"/>
      <c r="X129" s="609"/>
      <c r="Y129" s="609"/>
      <c r="Z129" s="609"/>
      <c r="AA129" s="609"/>
      <c r="AB129" s="609"/>
      <c r="AC129" s="609"/>
      <c r="AD129" s="609"/>
      <c r="AE129" s="609"/>
      <c r="AF129" s="609" t="s">
        <v>109</v>
      </c>
      <c r="AG129" s="609" t="s">
        <v>109</v>
      </c>
      <c r="AH129" s="56">
        <f t="shared" si="25"/>
        <v>0</v>
      </c>
    </row>
    <row r="130" spans="1:36" ht="15">
      <c r="A130" s="111" t="s">
        <v>80</v>
      </c>
      <c r="B130" s="19">
        <f t="shared" si="24"/>
        <v>0</v>
      </c>
      <c r="C130" s="609" t="s">
        <v>109</v>
      </c>
      <c r="D130" s="609" t="s">
        <v>109</v>
      </c>
      <c r="E130" s="609" t="s">
        <v>109</v>
      </c>
      <c r="F130" s="609" t="s">
        <v>109</v>
      </c>
      <c r="G130" s="609" t="s">
        <v>109</v>
      </c>
      <c r="H130" s="609" t="s">
        <v>109</v>
      </c>
      <c r="I130" s="609" t="s">
        <v>109</v>
      </c>
      <c r="J130" s="609" t="s">
        <v>109</v>
      </c>
      <c r="K130" s="609" t="s">
        <v>109</v>
      </c>
      <c r="L130" s="609" t="s">
        <v>109</v>
      </c>
      <c r="M130" s="609" t="s">
        <v>109</v>
      </c>
      <c r="N130" s="609" t="s">
        <v>109</v>
      </c>
      <c r="O130" s="609" t="s">
        <v>109</v>
      </c>
      <c r="P130" s="609" t="s">
        <v>109</v>
      </c>
      <c r="Q130" s="609" t="s">
        <v>109</v>
      </c>
      <c r="R130" s="609" t="s">
        <v>109</v>
      </c>
      <c r="S130" s="609" t="s">
        <v>109</v>
      </c>
      <c r="T130" s="609" t="s">
        <v>109</v>
      </c>
      <c r="U130" s="609" t="s">
        <v>109</v>
      </c>
      <c r="V130" s="609" t="s">
        <v>109</v>
      </c>
      <c r="W130" s="609" t="s">
        <v>109</v>
      </c>
      <c r="X130" s="609" t="s">
        <v>109</v>
      </c>
      <c r="Y130" s="609" t="s">
        <v>109</v>
      </c>
      <c r="Z130" s="609" t="s">
        <v>109</v>
      </c>
      <c r="AA130" s="609" t="s">
        <v>109</v>
      </c>
      <c r="AB130" s="609" t="s">
        <v>109</v>
      </c>
      <c r="AC130" s="609" t="s">
        <v>109</v>
      </c>
      <c r="AD130" s="609" t="s">
        <v>109</v>
      </c>
      <c r="AE130" s="609" t="s">
        <v>109</v>
      </c>
      <c r="AF130" s="609" t="s">
        <v>109</v>
      </c>
      <c r="AG130" s="609" t="s">
        <v>109</v>
      </c>
      <c r="AH130" s="56">
        <f t="shared" si="25"/>
        <v>0</v>
      </c>
    </row>
    <row r="131" spans="1:36" ht="15">
      <c r="A131" s="21" t="s">
        <v>81</v>
      </c>
      <c r="B131" s="19">
        <f t="shared" si="24"/>
        <v>0</v>
      </c>
      <c r="C131" s="609" t="s">
        <v>109</v>
      </c>
      <c r="D131" s="609" t="s">
        <v>109</v>
      </c>
      <c r="E131" s="609" t="s">
        <v>109</v>
      </c>
      <c r="F131" s="609" t="s">
        <v>109</v>
      </c>
      <c r="G131" s="609" t="s">
        <v>109</v>
      </c>
      <c r="H131" s="609" t="s">
        <v>109</v>
      </c>
      <c r="I131" s="609" t="s">
        <v>109</v>
      </c>
      <c r="J131" s="609" t="s">
        <v>109</v>
      </c>
      <c r="K131" s="609" t="s">
        <v>109</v>
      </c>
      <c r="L131" s="609" t="s">
        <v>109</v>
      </c>
      <c r="M131" s="609" t="s">
        <v>109</v>
      </c>
      <c r="N131" s="609" t="s">
        <v>109</v>
      </c>
      <c r="O131" s="609" t="s">
        <v>109</v>
      </c>
      <c r="P131" s="609" t="s">
        <v>109</v>
      </c>
      <c r="Q131" s="609" t="s">
        <v>109</v>
      </c>
      <c r="R131" s="609" t="s">
        <v>109</v>
      </c>
      <c r="S131" s="609" t="s">
        <v>109</v>
      </c>
      <c r="T131" s="609" t="s">
        <v>109</v>
      </c>
      <c r="U131" s="609" t="s">
        <v>109</v>
      </c>
      <c r="V131" s="609" t="s">
        <v>109</v>
      </c>
      <c r="W131" s="609" t="s">
        <v>109</v>
      </c>
      <c r="X131" s="609" t="s">
        <v>109</v>
      </c>
      <c r="Y131" s="609" t="s">
        <v>109</v>
      </c>
      <c r="Z131" s="609" t="s">
        <v>109</v>
      </c>
      <c r="AA131" s="609" t="s">
        <v>109</v>
      </c>
      <c r="AB131" s="609" t="s">
        <v>109</v>
      </c>
      <c r="AC131" s="609" t="s">
        <v>109</v>
      </c>
      <c r="AD131" s="609" t="s">
        <v>109</v>
      </c>
      <c r="AE131" s="609" t="s">
        <v>109</v>
      </c>
      <c r="AF131" s="609" t="s">
        <v>109</v>
      </c>
      <c r="AG131" s="609" t="s">
        <v>109</v>
      </c>
      <c r="AH131" s="56">
        <f t="shared" si="25"/>
        <v>0</v>
      </c>
    </row>
    <row r="132" spans="1:36" ht="15">
      <c r="A132" s="21" t="s">
        <v>82</v>
      </c>
      <c r="B132" s="19">
        <f t="shared" si="24"/>
        <v>15.739000000000001</v>
      </c>
      <c r="C132" s="609" t="s">
        <v>109</v>
      </c>
      <c r="D132" s="609" t="s">
        <v>109</v>
      </c>
      <c r="E132" s="609" t="s">
        <v>109</v>
      </c>
      <c r="F132" s="609" t="s">
        <v>109</v>
      </c>
      <c r="G132" s="609" t="s">
        <v>109</v>
      </c>
      <c r="H132" s="609" t="s">
        <v>109</v>
      </c>
      <c r="I132" s="609" t="s">
        <v>109</v>
      </c>
      <c r="J132" s="609" t="s">
        <v>109</v>
      </c>
      <c r="K132" s="609" t="s">
        <v>109</v>
      </c>
      <c r="L132" s="609" t="s">
        <v>109</v>
      </c>
      <c r="M132" s="609" t="s">
        <v>109</v>
      </c>
      <c r="N132" s="609" t="s">
        <v>109</v>
      </c>
      <c r="O132" s="609" t="s">
        <v>109</v>
      </c>
      <c r="P132" s="609" t="s">
        <v>109</v>
      </c>
      <c r="Q132" s="609" t="s">
        <v>109</v>
      </c>
      <c r="R132" s="609" t="s">
        <v>109</v>
      </c>
      <c r="S132" s="609" t="s">
        <v>109</v>
      </c>
      <c r="T132" s="609" t="s">
        <v>109</v>
      </c>
      <c r="U132" s="609" t="s">
        <v>109</v>
      </c>
      <c r="V132" s="609" t="s">
        <v>109</v>
      </c>
      <c r="W132" s="609" t="s">
        <v>109</v>
      </c>
      <c r="X132" s="1091"/>
      <c r="Y132" s="1091">
        <v>15.739000000000001</v>
      </c>
      <c r="Z132" s="1091"/>
      <c r="AA132" s="1091"/>
      <c r="AB132" s="1091"/>
      <c r="AC132" s="1091"/>
      <c r="AD132" s="1091"/>
      <c r="AE132" s="1268"/>
      <c r="AF132" s="1091"/>
      <c r="AG132" s="1268"/>
      <c r="AH132" s="56">
        <f t="shared" si="25"/>
        <v>15.739000000000001</v>
      </c>
    </row>
    <row r="133" spans="1:36" ht="15">
      <c r="A133" s="21" t="s">
        <v>83</v>
      </c>
      <c r="B133" s="19">
        <f t="shared" si="24"/>
        <v>0</v>
      </c>
      <c r="C133" s="35"/>
      <c r="D133" s="15"/>
      <c r="E133" s="15"/>
      <c r="F133" s="15"/>
      <c r="G133" s="11"/>
      <c r="H133" s="15"/>
      <c r="I133" s="15"/>
      <c r="J133" s="15"/>
      <c r="K133" s="15"/>
      <c r="L133" s="15"/>
      <c r="M133" s="15"/>
      <c r="N133" s="15"/>
      <c r="O133" s="15"/>
      <c r="P133" s="15"/>
      <c r="Q133" s="15"/>
      <c r="R133" s="15"/>
      <c r="S133" s="15"/>
      <c r="T133" s="15"/>
      <c r="U133" s="15"/>
      <c r="V133" s="15"/>
      <c r="W133" s="15"/>
      <c r="X133" s="15"/>
      <c r="Y133" s="11"/>
      <c r="Z133" s="15"/>
      <c r="AA133" s="15"/>
      <c r="AB133" s="15"/>
      <c r="AC133" s="15"/>
      <c r="AD133" s="15"/>
      <c r="AE133" s="39"/>
      <c r="AF133" s="15"/>
      <c r="AG133" s="39"/>
      <c r="AH133" s="56">
        <f t="shared" si="25"/>
        <v>0</v>
      </c>
    </row>
    <row r="134" spans="1:36" ht="15">
      <c r="A134" s="21" t="s">
        <v>84</v>
      </c>
      <c r="B134" s="19">
        <f t="shared" si="24"/>
        <v>0</v>
      </c>
      <c r="C134" s="35"/>
      <c r="D134" s="15"/>
      <c r="E134" s="15"/>
      <c r="F134" s="15"/>
      <c r="G134" s="15"/>
      <c r="H134" s="15"/>
      <c r="I134" s="15"/>
      <c r="J134" s="15"/>
      <c r="K134" s="15"/>
      <c r="L134" s="1084" t="s">
        <v>109</v>
      </c>
      <c r="M134" s="1084" t="s">
        <v>109</v>
      </c>
      <c r="N134" s="1084" t="s">
        <v>109</v>
      </c>
      <c r="O134" s="1084" t="s">
        <v>109</v>
      </c>
      <c r="P134" s="1084" t="s">
        <v>109</v>
      </c>
      <c r="Q134" s="1084" t="s">
        <v>109</v>
      </c>
      <c r="R134" s="1084" t="s">
        <v>109</v>
      </c>
      <c r="S134" s="1084" t="s">
        <v>109</v>
      </c>
      <c r="T134" s="1084" t="s">
        <v>109</v>
      </c>
      <c r="U134" s="1084" t="s">
        <v>109</v>
      </c>
      <c r="V134" s="1084" t="s">
        <v>109</v>
      </c>
      <c r="W134" s="1084" t="s">
        <v>109</v>
      </c>
      <c r="X134" s="1084" t="s">
        <v>109</v>
      </c>
      <c r="Y134" s="1084" t="s">
        <v>109</v>
      </c>
      <c r="Z134" s="1084" t="s">
        <v>109</v>
      </c>
      <c r="AA134" s="1084" t="s">
        <v>109</v>
      </c>
      <c r="AB134" s="1084" t="s">
        <v>109</v>
      </c>
      <c r="AC134" s="1084" t="s">
        <v>109</v>
      </c>
      <c r="AD134" s="1084" t="s">
        <v>109</v>
      </c>
      <c r="AE134" s="1084" t="s">
        <v>109</v>
      </c>
      <c r="AF134" s="1084" t="s">
        <v>109</v>
      </c>
      <c r="AG134" s="1084" t="s">
        <v>109</v>
      </c>
      <c r="AH134" s="56">
        <f t="shared" si="25"/>
        <v>0</v>
      </c>
    </row>
    <row r="135" spans="1:36" ht="15">
      <c r="A135" s="71" t="s">
        <v>72</v>
      </c>
      <c r="B135" s="74">
        <f>SUM(B123:B134)</f>
        <v>15.739000000000001</v>
      </c>
      <c r="C135" s="56">
        <f t="shared" ref="C135:AH135" si="26">SUM(C123:C134)</f>
        <v>0</v>
      </c>
      <c r="D135" s="56">
        <f t="shared" si="26"/>
        <v>0</v>
      </c>
      <c r="E135" s="56">
        <f t="shared" si="26"/>
        <v>0</v>
      </c>
      <c r="F135" s="56">
        <f t="shared" si="26"/>
        <v>0</v>
      </c>
      <c r="G135" s="56">
        <f t="shared" si="26"/>
        <v>0</v>
      </c>
      <c r="H135" s="56">
        <f t="shared" si="26"/>
        <v>0</v>
      </c>
      <c r="I135" s="56">
        <f t="shared" si="26"/>
        <v>0</v>
      </c>
      <c r="J135" s="56">
        <f t="shared" si="26"/>
        <v>0</v>
      </c>
      <c r="K135" s="56">
        <f t="shared" si="26"/>
        <v>0</v>
      </c>
      <c r="L135" s="56">
        <f t="shared" si="26"/>
        <v>0</v>
      </c>
      <c r="M135" s="56">
        <f t="shared" si="26"/>
        <v>0</v>
      </c>
      <c r="N135" s="56">
        <f t="shared" si="26"/>
        <v>0</v>
      </c>
      <c r="O135" s="56">
        <f t="shared" si="26"/>
        <v>0</v>
      </c>
      <c r="P135" s="56">
        <f t="shared" si="26"/>
        <v>0</v>
      </c>
      <c r="Q135" s="56">
        <f t="shared" si="26"/>
        <v>0</v>
      </c>
      <c r="R135" s="56">
        <f t="shared" si="26"/>
        <v>0</v>
      </c>
      <c r="S135" s="56">
        <f t="shared" si="26"/>
        <v>0</v>
      </c>
      <c r="T135" s="56">
        <f t="shared" si="26"/>
        <v>0</v>
      </c>
      <c r="U135" s="56">
        <f t="shared" si="26"/>
        <v>0</v>
      </c>
      <c r="V135" s="56">
        <f t="shared" si="26"/>
        <v>0</v>
      </c>
      <c r="W135" s="56">
        <f t="shared" si="26"/>
        <v>0</v>
      </c>
      <c r="X135" s="56">
        <f t="shared" si="26"/>
        <v>0</v>
      </c>
      <c r="Y135" s="56">
        <f t="shared" si="26"/>
        <v>15.739000000000001</v>
      </c>
      <c r="Z135" s="56">
        <f t="shared" si="26"/>
        <v>0</v>
      </c>
      <c r="AA135" s="56">
        <f t="shared" si="26"/>
        <v>0</v>
      </c>
      <c r="AB135" s="56">
        <f t="shared" si="26"/>
        <v>0</v>
      </c>
      <c r="AC135" s="56">
        <f t="shared" si="26"/>
        <v>0</v>
      </c>
      <c r="AD135" s="56">
        <f t="shared" si="26"/>
        <v>0</v>
      </c>
      <c r="AE135" s="56">
        <f t="shared" si="26"/>
        <v>0</v>
      </c>
      <c r="AF135" s="56">
        <f t="shared" si="26"/>
        <v>0</v>
      </c>
      <c r="AG135" s="56">
        <f t="shared" si="26"/>
        <v>0</v>
      </c>
      <c r="AH135" s="56">
        <f t="shared" si="26"/>
        <v>15.739000000000001</v>
      </c>
    </row>
    <row r="136" spans="1:36" ht="15">
      <c r="A136" s="115"/>
      <c r="B136" s="190"/>
      <c r="C136" s="40"/>
      <c r="D136" s="41"/>
      <c r="E136" s="41"/>
      <c r="F136" s="41"/>
      <c r="G136" s="41"/>
      <c r="H136" s="41"/>
      <c r="I136" s="41"/>
      <c r="J136" s="41"/>
      <c r="K136" s="41"/>
      <c r="L136" s="41"/>
      <c r="M136" s="41"/>
      <c r="N136" s="41"/>
      <c r="O136" s="41"/>
      <c r="P136" s="41"/>
      <c r="Q136" s="41"/>
      <c r="R136" s="42"/>
      <c r="S136" s="38"/>
      <c r="T136" s="38"/>
      <c r="U136" s="38"/>
      <c r="V136" s="38"/>
      <c r="W136" s="38"/>
      <c r="X136" s="38"/>
      <c r="Y136" s="38"/>
      <c r="Z136" s="38"/>
      <c r="AA136" s="38"/>
      <c r="AB136" s="38"/>
      <c r="AC136" s="38"/>
      <c r="AD136" s="38"/>
      <c r="AE136" s="38"/>
      <c r="AF136" s="38"/>
      <c r="AG136" s="38"/>
      <c r="AH136" s="13"/>
    </row>
    <row r="137" spans="1:36" ht="15">
      <c r="A137" s="3818" t="s">
        <v>53</v>
      </c>
      <c r="B137" s="3819"/>
      <c r="C137" s="3819"/>
      <c r="D137" s="3819"/>
      <c r="E137" s="3819"/>
      <c r="F137" s="3819"/>
      <c r="G137" s="3819"/>
      <c r="H137" s="3819"/>
      <c r="I137" s="3819"/>
      <c r="J137" s="3819"/>
      <c r="K137" s="3819"/>
      <c r="L137" s="3819"/>
      <c r="M137" s="3819"/>
      <c r="N137" s="3819"/>
      <c r="O137" s="3819"/>
      <c r="P137" s="3819"/>
      <c r="Q137" s="3819"/>
      <c r="R137" s="3820"/>
      <c r="S137" s="11"/>
      <c r="T137" s="11"/>
      <c r="U137" s="11"/>
      <c r="V137" s="11"/>
      <c r="W137" s="11"/>
      <c r="X137" s="11"/>
      <c r="Y137" s="11"/>
      <c r="Z137" s="11"/>
      <c r="AA137" s="11"/>
      <c r="AB137" s="11"/>
      <c r="AC137" s="11"/>
      <c r="AD137" s="11"/>
      <c r="AE137" s="11"/>
      <c r="AF137" s="11"/>
      <c r="AG137" s="11"/>
      <c r="AH137" s="1"/>
    </row>
    <row r="138" spans="1:36" ht="5.0999999999999996" customHeight="1">
      <c r="A138" s="36"/>
      <c r="B138" s="37"/>
      <c r="C138" s="13"/>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13"/>
    </row>
    <row r="139" spans="1:36" ht="15">
      <c r="A139" s="3811" t="s">
        <v>123</v>
      </c>
      <c r="B139" s="3812"/>
      <c r="C139" s="3812"/>
      <c r="D139" s="3812"/>
      <c r="E139" s="3812"/>
      <c r="F139" s="3812"/>
      <c r="G139" s="3812"/>
      <c r="H139" s="3813"/>
      <c r="I139" s="1262"/>
      <c r="J139" s="29"/>
      <c r="K139" s="29"/>
      <c r="L139" s="29"/>
      <c r="M139" s="29"/>
      <c r="N139" s="29"/>
      <c r="O139" s="29"/>
      <c r="P139" s="29"/>
      <c r="Q139" s="29"/>
      <c r="R139" s="29"/>
      <c r="S139" s="11"/>
      <c r="T139" s="11"/>
      <c r="U139" s="11"/>
      <c r="V139" s="11"/>
      <c r="W139" s="11"/>
      <c r="X139" s="11"/>
      <c r="Y139" s="11"/>
      <c r="Z139" s="11"/>
      <c r="AA139" s="11"/>
      <c r="AB139" s="11"/>
      <c r="AC139" s="11"/>
      <c r="AD139" s="11"/>
      <c r="AE139" s="11"/>
      <c r="AF139" s="11"/>
      <c r="AG139" s="11"/>
      <c r="AH139" s="11"/>
    </row>
    <row r="140" spans="1:36" ht="15">
      <c r="A140" s="5" t="s">
        <v>70</v>
      </c>
      <c r="B140" s="5" t="s">
        <v>71</v>
      </c>
      <c r="C140" s="1054">
        <v>1</v>
      </c>
      <c r="D140" s="21">
        <v>2</v>
      </c>
      <c r="E140" s="21">
        <v>3</v>
      </c>
      <c r="F140" s="21">
        <v>4</v>
      </c>
      <c r="G140" s="21">
        <v>5</v>
      </c>
      <c r="H140" s="21">
        <v>6</v>
      </c>
      <c r="I140" s="21">
        <v>7</v>
      </c>
      <c r="J140" s="21">
        <v>8</v>
      </c>
      <c r="K140" s="21">
        <v>9</v>
      </c>
      <c r="L140" s="21">
        <v>10</v>
      </c>
      <c r="M140" s="21">
        <v>11</v>
      </c>
      <c r="N140" s="21">
        <v>12</v>
      </c>
      <c r="O140" s="21">
        <v>13</v>
      </c>
      <c r="P140" s="21">
        <v>14</v>
      </c>
      <c r="Q140" s="21">
        <v>15</v>
      </c>
      <c r="R140" s="21">
        <v>16</v>
      </c>
      <c r="S140" s="21">
        <v>17</v>
      </c>
      <c r="T140" s="21">
        <v>18</v>
      </c>
      <c r="U140" s="21">
        <v>19</v>
      </c>
      <c r="V140" s="21">
        <v>20</v>
      </c>
      <c r="W140" s="21">
        <v>21</v>
      </c>
      <c r="X140" s="21">
        <v>22</v>
      </c>
      <c r="Y140" s="21">
        <v>23</v>
      </c>
      <c r="Z140" s="21">
        <v>24</v>
      </c>
      <c r="AA140" s="21">
        <v>25</v>
      </c>
      <c r="AB140" s="21">
        <v>26</v>
      </c>
      <c r="AC140" s="21">
        <v>27</v>
      </c>
      <c r="AD140" s="21">
        <v>28</v>
      </c>
      <c r="AE140" s="21">
        <v>29</v>
      </c>
      <c r="AF140" s="21">
        <v>30</v>
      </c>
      <c r="AG140" s="21">
        <v>31</v>
      </c>
      <c r="AH140" s="25" t="s">
        <v>72</v>
      </c>
      <c r="AI140" s="2266" t="s">
        <v>1345</v>
      </c>
      <c r="AJ140" s="66">
        <f>(B153/COUNTIF($C$141:$AG$152,"&gt;0"))</f>
        <v>6.040750000000001</v>
      </c>
    </row>
    <row r="141" spans="1:36" ht="15">
      <c r="A141" s="122" t="s">
        <v>73</v>
      </c>
      <c r="B141" s="15">
        <f t="shared" ref="B141:B152" si="27">+AH141</f>
        <v>0</v>
      </c>
      <c r="C141" s="107" t="s">
        <v>109</v>
      </c>
      <c r="D141" s="107" t="s">
        <v>109</v>
      </c>
      <c r="E141" s="107" t="s">
        <v>109</v>
      </c>
      <c r="F141" s="107" t="s">
        <v>109</v>
      </c>
      <c r="G141" s="107" t="s">
        <v>109</v>
      </c>
      <c r="H141" s="107" t="s">
        <v>109</v>
      </c>
      <c r="I141" s="107" t="s">
        <v>109</v>
      </c>
      <c r="J141" s="107" t="s">
        <v>109</v>
      </c>
      <c r="K141" s="107" t="s">
        <v>109</v>
      </c>
      <c r="L141" s="107" t="s">
        <v>109</v>
      </c>
      <c r="M141" s="107" t="s">
        <v>109</v>
      </c>
      <c r="N141" s="107" t="s">
        <v>109</v>
      </c>
      <c r="O141" s="107" t="s">
        <v>109</v>
      </c>
      <c r="P141" s="107" t="s">
        <v>109</v>
      </c>
      <c r="Q141" s="107" t="s">
        <v>109</v>
      </c>
      <c r="R141" s="107" t="s">
        <v>109</v>
      </c>
      <c r="S141" s="107" t="s">
        <v>109</v>
      </c>
      <c r="T141" s="107" t="s">
        <v>109</v>
      </c>
      <c r="U141" s="107" t="s">
        <v>109</v>
      </c>
      <c r="V141" s="107" t="s">
        <v>109</v>
      </c>
      <c r="W141" s="107" t="s">
        <v>109</v>
      </c>
      <c r="X141" s="107" t="s">
        <v>109</v>
      </c>
      <c r="Y141" s="107" t="s">
        <v>109</v>
      </c>
      <c r="Z141" s="107" t="s">
        <v>109</v>
      </c>
      <c r="AA141" s="107" t="s">
        <v>109</v>
      </c>
      <c r="AB141" s="107" t="s">
        <v>109</v>
      </c>
      <c r="AC141" s="107" t="s">
        <v>109</v>
      </c>
      <c r="AD141" s="107" t="s">
        <v>109</v>
      </c>
      <c r="AE141" s="107" t="s">
        <v>109</v>
      </c>
      <c r="AF141" s="107" t="s">
        <v>109</v>
      </c>
      <c r="AG141" s="107" t="s">
        <v>109</v>
      </c>
      <c r="AH141" s="39">
        <f>SUM(C141:AG141)</f>
        <v>0</v>
      </c>
      <c r="AJ141" s="66">
        <f>+'Resumen RAE Anchoveta'!G234</f>
        <v>135.59299999999996</v>
      </c>
    </row>
    <row r="142" spans="1:36" ht="15">
      <c r="A142" s="122" t="s">
        <v>74</v>
      </c>
      <c r="B142" s="15">
        <f t="shared" si="27"/>
        <v>22.439000000000004</v>
      </c>
      <c r="C142" s="107" t="s">
        <v>109</v>
      </c>
      <c r="D142" s="107" t="s">
        <v>109</v>
      </c>
      <c r="E142" s="107" t="s">
        <v>109</v>
      </c>
      <c r="F142" s="107" t="s">
        <v>109</v>
      </c>
      <c r="G142" s="107" t="s">
        <v>109</v>
      </c>
      <c r="H142" s="107" t="s">
        <v>109</v>
      </c>
      <c r="I142" s="107" t="s">
        <v>109</v>
      </c>
      <c r="J142" s="108">
        <v>0.45500000000000002</v>
      </c>
      <c r="K142" s="108">
        <v>0</v>
      </c>
      <c r="L142" s="108">
        <v>15.332000000000001</v>
      </c>
      <c r="M142" s="108">
        <v>0</v>
      </c>
      <c r="N142" s="108">
        <v>2.2850000000000001</v>
      </c>
      <c r="O142" s="108">
        <v>0</v>
      </c>
      <c r="P142" s="108">
        <v>0</v>
      </c>
      <c r="Q142" s="108">
        <v>0.79900000000000004</v>
      </c>
      <c r="R142" s="108">
        <v>3.5680000000000001</v>
      </c>
      <c r="S142" s="108">
        <v>0</v>
      </c>
      <c r="T142" s="108">
        <v>0</v>
      </c>
      <c r="U142" s="108">
        <v>0</v>
      </c>
      <c r="V142" s="108">
        <v>0</v>
      </c>
      <c r="W142" s="108">
        <v>0</v>
      </c>
      <c r="X142" s="108">
        <v>0</v>
      </c>
      <c r="Y142" s="108">
        <v>0</v>
      </c>
      <c r="Z142" s="108">
        <v>0</v>
      </c>
      <c r="AA142" s="108">
        <v>0</v>
      </c>
      <c r="AB142" s="108">
        <v>0</v>
      </c>
      <c r="AC142" s="108">
        <v>0</v>
      </c>
      <c r="AD142" s="108">
        <v>0</v>
      </c>
      <c r="AE142" s="108"/>
      <c r="AF142" s="108"/>
      <c r="AG142" s="108"/>
      <c r="AH142" s="39">
        <f t="shared" ref="AH142:AH152" si="28">SUM(C142:AG142)</f>
        <v>22.439000000000004</v>
      </c>
      <c r="AJ142" s="1093">
        <f>+AJ141/AJ140</f>
        <v>22.446384968753868</v>
      </c>
    </row>
    <row r="143" spans="1:36" ht="15">
      <c r="A143" s="122" t="s">
        <v>75</v>
      </c>
      <c r="B143" s="15">
        <f t="shared" si="27"/>
        <v>4.5519999999999996</v>
      </c>
      <c r="C143" s="108">
        <v>4.5519999999999996</v>
      </c>
      <c r="D143" s="108">
        <v>0</v>
      </c>
      <c r="E143" s="108">
        <v>0</v>
      </c>
      <c r="F143" s="108">
        <v>0</v>
      </c>
      <c r="G143" s="108">
        <v>0</v>
      </c>
      <c r="H143" s="94">
        <v>0</v>
      </c>
      <c r="I143" s="94">
        <v>0</v>
      </c>
      <c r="J143" s="94">
        <v>0</v>
      </c>
      <c r="K143" s="94">
        <v>0</v>
      </c>
      <c r="L143" s="94">
        <v>0</v>
      </c>
      <c r="M143" s="94">
        <v>0</v>
      </c>
      <c r="N143" s="94">
        <v>0</v>
      </c>
      <c r="O143" s="94">
        <v>0</v>
      </c>
      <c r="P143" s="94">
        <v>0</v>
      </c>
      <c r="Q143" s="94">
        <v>0</v>
      </c>
      <c r="R143" s="94">
        <v>0</v>
      </c>
      <c r="S143" s="94">
        <v>0</v>
      </c>
      <c r="T143" s="94"/>
      <c r="U143" s="94"/>
      <c r="V143" s="94"/>
      <c r="W143" s="94"/>
      <c r="X143" s="94"/>
      <c r="Y143" s="94"/>
      <c r="Z143" s="94"/>
      <c r="AA143" s="94"/>
      <c r="AB143" s="94"/>
      <c r="AC143" s="1689"/>
      <c r="AD143" s="1689"/>
      <c r="AE143" s="1689"/>
      <c r="AF143" s="1689"/>
      <c r="AG143" s="1689"/>
      <c r="AH143" s="39">
        <f>SUM(C143:AG143)</f>
        <v>4.5519999999999996</v>
      </c>
    </row>
    <row r="144" spans="1:36" ht="15">
      <c r="A144" s="122" t="s">
        <v>76</v>
      </c>
      <c r="B144" s="15">
        <f t="shared" si="27"/>
        <v>0</v>
      </c>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39">
        <f t="shared" si="28"/>
        <v>0</v>
      </c>
    </row>
    <row r="145" spans="1:36" ht="15">
      <c r="A145" s="120" t="s">
        <v>77</v>
      </c>
      <c r="B145" s="15">
        <f t="shared" si="27"/>
        <v>21.335000000000001</v>
      </c>
      <c r="C145" s="35"/>
      <c r="D145" s="15"/>
      <c r="E145" s="15"/>
      <c r="F145" s="15"/>
      <c r="G145" s="15"/>
      <c r="H145" s="15"/>
      <c r="I145" s="15"/>
      <c r="J145" s="15"/>
      <c r="K145" s="15"/>
      <c r="L145" s="15"/>
      <c r="M145" s="15"/>
      <c r="N145" s="15"/>
      <c r="O145" s="15"/>
      <c r="P145" s="15"/>
      <c r="Q145" s="15"/>
      <c r="R145" s="15">
        <v>16.811</v>
      </c>
      <c r="S145" s="15">
        <v>4.524</v>
      </c>
      <c r="T145" s="15">
        <v>0</v>
      </c>
      <c r="U145" s="15">
        <v>0</v>
      </c>
      <c r="V145" s="15">
        <v>0</v>
      </c>
      <c r="W145" s="15">
        <v>0</v>
      </c>
      <c r="X145" s="15">
        <v>0</v>
      </c>
      <c r="Y145" s="15">
        <v>0</v>
      </c>
      <c r="Z145" s="15">
        <v>0</v>
      </c>
      <c r="AA145" s="15">
        <v>0</v>
      </c>
      <c r="AB145" s="15">
        <v>0</v>
      </c>
      <c r="AC145" s="15"/>
      <c r="AD145" s="15"/>
      <c r="AE145" s="15"/>
      <c r="AF145" s="15"/>
      <c r="AG145" s="15"/>
      <c r="AH145" s="39">
        <f t="shared" si="28"/>
        <v>21.335000000000001</v>
      </c>
    </row>
    <row r="146" spans="1:36" ht="15">
      <c r="A146" s="120" t="s">
        <v>78</v>
      </c>
      <c r="B146" s="15">
        <f t="shared" si="27"/>
        <v>0</v>
      </c>
      <c r="C146" s="39"/>
      <c r="D146" s="39"/>
      <c r="E146" s="39"/>
      <c r="F146" s="39"/>
      <c r="G146" s="39"/>
      <c r="H146" s="15"/>
      <c r="I146" s="15"/>
      <c r="J146" s="15"/>
      <c r="K146" s="15"/>
      <c r="L146" s="15"/>
      <c r="M146" s="1091"/>
      <c r="N146" s="1091"/>
      <c r="O146" s="1091"/>
      <c r="P146" s="1091"/>
      <c r="Q146" s="1091"/>
      <c r="R146" s="1091"/>
      <c r="S146" s="1091"/>
      <c r="T146" s="1091"/>
      <c r="U146" s="1091"/>
      <c r="V146" s="1091"/>
      <c r="W146" s="1091"/>
      <c r="X146" s="1091"/>
      <c r="Y146" s="15"/>
      <c r="Z146" s="15"/>
      <c r="AA146" s="15"/>
      <c r="AB146" s="15"/>
      <c r="AC146" s="15"/>
      <c r="AD146" s="15"/>
      <c r="AE146" s="15"/>
      <c r="AF146" s="15"/>
      <c r="AG146" s="15"/>
      <c r="AH146" s="39">
        <f t="shared" si="28"/>
        <v>0</v>
      </c>
    </row>
    <row r="147" spans="1:36" ht="15">
      <c r="A147" s="120" t="s">
        <v>79</v>
      </c>
      <c r="B147" s="15">
        <f t="shared" si="27"/>
        <v>0</v>
      </c>
      <c r="C147" s="35"/>
      <c r="D147" s="39"/>
      <c r="E147" s="39"/>
      <c r="F147" s="39"/>
      <c r="G147" s="15"/>
      <c r="H147" s="15"/>
      <c r="I147" s="15"/>
      <c r="J147" s="43"/>
      <c r="K147" s="43"/>
      <c r="L147" s="39"/>
      <c r="M147" s="39"/>
      <c r="N147" s="39"/>
      <c r="O147" s="39"/>
      <c r="P147" s="39"/>
      <c r="Q147" s="39"/>
      <c r="R147" s="39"/>
      <c r="S147" s="39"/>
      <c r="T147" s="39"/>
      <c r="U147" s="39"/>
      <c r="V147" s="39"/>
      <c r="W147" s="1974"/>
      <c r="X147" s="1974"/>
      <c r="Y147" s="1974"/>
      <c r="Z147" s="1974"/>
      <c r="AA147" s="1974"/>
      <c r="AB147" s="1974"/>
      <c r="AC147" s="1974"/>
      <c r="AD147" s="1974"/>
      <c r="AE147" s="1974"/>
      <c r="AF147" s="609" t="s">
        <v>109</v>
      </c>
      <c r="AG147" s="609" t="s">
        <v>109</v>
      </c>
      <c r="AH147" s="39">
        <f t="shared" si="28"/>
        <v>0</v>
      </c>
    </row>
    <row r="148" spans="1:36" ht="15">
      <c r="A148" s="120" t="s">
        <v>80</v>
      </c>
      <c r="B148" s="15">
        <f t="shared" si="27"/>
        <v>0</v>
      </c>
      <c r="C148" s="609" t="s">
        <v>109</v>
      </c>
      <c r="D148" s="609" t="s">
        <v>109</v>
      </c>
      <c r="E148" s="609" t="s">
        <v>109</v>
      </c>
      <c r="F148" s="609" t="s">
        <v>109</v>
      </c>
      <c r="G148" s="609" t="s">
        <v>109</v>
      </c>
      <c r="H148" s="609" t="s">
        <v>109</v>
      </c>
      <c r="I148" s="609" t="s">
        <v>109</v>
      </c>
      <c r="J148" s="609" t="s">
        <v>109</v>
      </c>
      <c r="K148" s="609" t="s">
        <v>109</v>
      </c>
      <c r="L148" s="609" t="s">
        <v>109</v>
      </c>
      <c r="M148" s="609" t="s">
        <v>109</v>
      </c>
      <c r="N148" s="609" t="s">
        <v>109</v>
      </c>
      <c r="O148" s="609" t="s">
        <v>109</v>
      </c>
      <c r="P148" s="609" t="s">
        <v>109</v>
      </c>
      <c r="Q148" s="609" t="s">
        <v>109</v>
      </c>
      <c r="R148" s="609" t="s">
        <v>109</v>
      </c>
      <c r="S148" s="609" t="s">
        <v>109</v>
      </c>
      <c r="T148" s="609" t="s">
        <v>109</v>
      </c>
      <c r="U148" s="609" t="s">
        <v>109</v>
      </c>
      <c r="V148" s="609" t="s">
        <v>109</v>
      </c>
      <c r="W148" s="609" t="s">
        <v>109</v>
      </c>
      <c r="X148" s="609" t="s">
        <v>109</v>
      </c>
      <c r="Y148" s="609" t="s">
        <v>109</v>
      </c>
      <c r="Z148" s="609" t="s">
        <v>109</v>
      </c>
      <c r="AA148" s="609" t="s">
        <v>109</v>
      </c>
      <c r="AB148" s="609" t="s">
        <v>109</v>
      </c>
      <c r="AC148" s="609" t="s">
        <v>109</v>
      </c>
      <c r="AD148" s="609" t="s">
        <v>109</v>
      </c>
      <c r="AE148" s="609" t="s">
        <v>109</v>
      </c>
      <c r="AF148" s="609" t="s">
        <v>109</v>
      </c>
      <c r="AG148" s="609" t="s">
        <v>109</v>
      </c>
      <c r="AH148" s="39">
        <f t="shared" si="28"/>
        <v>0</v>
      </c>
    </row>
    <row r="149" spans="1:36" ht="15">
      <c r="A149" s="123" t="s">
        <v>81</v>
      </c>
      <c r="B149" s="15">
        <f t="shared" si="27"/>
        <v>0</v>
      </c>
      <c r="C149" s="609" t="s">
        <v>109</v>
      </c>
      <c r="D149" s="609" t="s">
        <v>109</v>
      </c>
      <c r="E149" s="609" t="s">
        <v>109</v>
      </c>
      <c r="F149" s="609" t="s">
        <v>109</v>
      </c>
      <c r="G149" s="609" t="s">
        <v>109</v>
      </c>
      <c r="H149" s="609" t="s">
        <v>109</v>
      </c>
      <c r="I149" s="609" t="s">
        <v>109</v>
      </c>
      <c r="J149" s="609" t="s">
        <v>109</v>
      </c>
      <c r="K149" s="609" t="s">
        <v>109</v>
      </c>
      <c r="L149" s="609" t="s">
        <v>109</v>
      </c>
      <c r="M149" s="609" t="s">
        <v>109</v>
      </c>
      <c r="N149" s="609" t="s">
        <v>109</v>
      </c>
      <c r="O149" s="609" t="s">
        <v>109</v>
      </c>
      <c r="P149" s="609" t="s">
        <v>109</v>
      </c>
      <c r="Q149" s="609" t="s">
        <v>109</v>
      </c>
      <c r="R149" s="609" t="s">
        <v>109</v>
      </c>
      <c r="S149" s="609" t="s">
        <v>109</v>
      </c>
      <c r="T149" s="609" t="s">
        <v>109</v>
      </c>
      <c r="U149" s="609" t="s">
        <v>109</v>
      </c>
      <c r="V149" s="609" t="s">
        <v>109</v>
      </c>
      <c r="W149" s="609" t="s">
        <v>109</v>
      </c>
      <c r="X149" s="609" t="s">
        <v>109</v>
      </c>
      <c r="Y149" s="609" t="s">
        <v>109</v>
      </c>
      <c r="Z149" s="609" t="s">
        <v>109</v>
      </c>
      <c r="AA149" s="609" t="s">
        <v>109</v>
      </c>
      <c r="AB149" s="609" t="s">
        <v>109</v>
      </c>
      <c r="AC149" s="609" t="s">
        <v>109</v>
      </c>
      <c r="AD149" s="609" t="s">
        <v>109</v>
      </c>
      <c r="AE149" s="609" t="s">
        <v>109</v>
      </c>
      <c r="AF149" s="609" t="s">
        <v>109</v>
      </c>
      <c r="AG149" s="609" t="s">
        <v>109</v>
      </c>
      <c r="AH149" s="39">
        <f t="shared" si="28"/>
        <v>0</v>
      </c>
    </row>
    <row r="150" spans="1:36" ht="15">
      <c r="A150" s="123" t="s">
        <v>82</v>
      </c>
      <c r="B150" s="15">
        <f t="shared" si="27"/>
        <v>0</v>
      </c>
      <c r="C150" s="609" t="s">
        <v>109</v>
      </c>
      <c r="D150" s="609" t="s">
        <v>109</v>
      </c>
      <c r="E150" s="609" t="s">
        <v>109</v>
      </c>
      <c r="F150" s="609" t="s">
        <v>109</v>
      </c>
      <c r="G150" s="609" t="s">
        <v>109</v>
      </c>
      <c r="H150" s="609" t="s">
        <v>109</v>
      </c>
      <c r="I150" s="609" t="s">
        <v>109</v>
      </c>
      <c r="J150" s="609" t="s">
        <v>109</v>
      </c>
      <c r="K150" s="609" t="s">
        <v>109</v>
      </c>
      <c r="L150" s="609" t="s">
        <v>109</v>
      </c>
      <c r="M150" s="609" t="s">
        <v>109</v>
      </c>
      <c r="N150" s="609" t="s">
        <v>109</v>
      </c>
      <c r="O150" s="609" t="s">
        <v>109</v>
      </c>
      <c r="P150" s="609" t="s">
        <v>109</v>
      </c>
      <c r="Q150" s="609" t="s">
        <v>109</v>
      </c>
      <c r="R150" s="609" t="s">
        <v>109</v>
      </c>
      <c r="S150" s="609" t="s">
        <v>109</v>
      </c>
      <c r="T150" s="609" t="s">
        <v>109</v>
      </c>
      <c r="U150" s="609" t="s">
        <v>109</v>
      </c>
      <c r="V150" s="609" t="s">
        <v>109</v>
      </c>
      <c r="W150" s="609" t="s">
        <v>109</v>
      </c>
      <c r="X150" s="1091"/>
      <c r="Y150" s="1091"/>
      <c r="Z150" s="1091"/>
      <c r="AA150" s="1091"/>
      <c r="AB150" s="1091"/>
      <c r="AC150" s="1091"/>
      <c r="AD150" s="1091"/>
      <c r="AE150" s="1268"/>
      <c r="AF150" s="1091"/>
      <c r="AG150" s="1268"/>
      <c r="AH150" s="39">
        <f>SUM(C150:AG150)</f>
        <v>0</v>
      </c>
    </row>
    <row r="151" spans="1:36" ht="15">
      <c r="A151" s="123" t="s">
        <v>83</v>
      </c>
      <c r="B151" s="15">
        <f t="shared" si="27"/>
        <v>0</v>
      </c>
      <c r="C151" s="173"/>
      <c r="D151" s="52"/>
      <c r="E151" s="52"/>
      <c r="F151" s="52"/>
      <c r="G151" s="951"/>
      <c r="H151" s="52"/>
      <c r="I151" s="52"/>
      <c r="J151" s="52"/>
      <c r="K151" s="52"/>
      <c r="L151" s="52"/>
      <c r="M151" s="52"/>
      <c r="N151" s="52"/>
      <c r="O151" s="15"/>
      <c r="P151" s="1091"/>
      <c r="Q151" s="1091"/>
      <c r="R151" s="1091"/>
      <c r="S151" s="1091"/>
      <c r="T151" s="1091"/>
      <c r="U151" s="1091"/>
      <c r="V151" s="1091"/>
      <c r="W151" s="1091"/>
      <c r="X151" s="1091"/>
      <c r="Y151" s="1229"/>
      <c r="Z151" s="1091"/>
      <c r="AA151" s="1091"/>
      <c r="AB151" s="1091"/>
      <c r="AC151" s="1091"/>
      <c r="AD151" s="1091"/>
      <c r="AE151" s="1268"/>
      <c r="AF151" s="1091"/>
      <c r="AG151" s="1268"/>
      <c r="AH151" s="39">
        <f t="shared" si="28"/>
        <v>0</v>
      </c>
    </row>
    <row r="152" spans="1:36" ht="15">
      <c r="A152" s="123" t="s">
        <v>84</v>
      </c>
      <c r="B152" s="15">
        <f t="shared" si="27"/>
        <v>0</v>
      </c>
      <c r="C152" s="35"/>
      <c r="D152" s="15"/>
      <c r="E152" s="15"/>
      <c r="F152" s="15"/>
      <c r="G152" s="15"/>
      <c r="H152" s="15"/>
      <c r="I152" s="15"/>
      <c r="J152" s="15"/>
      <c r="K152" s="15"/>
      <c r="L152" s="1091"/>
      <c r="M152" s="1091"/>
      <c r="N152" s="1091"/>
      <c r="O152" s="1091"/>
      <c r="P152" s="1091"/>
      <c r="Q152" s="1091"/>
      <c r="R152" s="1091"/>
      <c r="S152" s="1091"/>
      <c r="T152" s="1091"/>
      <c r="U152" s="1091"/>
      <c r="V152" s="1091"/>
      <c r="W152" s="1091"/>
      <c r="X152" s="1091"/>
      <c r="Y152" s="1091"/>
      <c r="Z152" s="1091"/>
      <c r="AA152" s="1091"/>
      <c r="AB152" s="1091"/>
      <c r="AC152" s="1091"/>
      <c r="AD152" s="1091"/>
      <c r="AE152" s="1091"/>
      <c r="AF152" s="1091"/>
      <c r="AG152" s="1091"/>
      <c r="AH152" s="39">
        <f t="shared" si="28"/>
        <v>0</v>
      </c>
    </row>
    <row r="153" spans="1:36" ht="15">
      <c r="A153" s="71" t="s">
        <v>72</v>
      </c>
      <c r="B153" s="72">
        <f>SUM(B141:B152)</f>
        <v>48.326000000000008</v>
      </c>
      <c r="C153" s="32">
        <f>SUM(C141:C151)</f>
        <v>4.5519999999999996</v>
      </c>
      <c r="D153" s="39">
        <f>SUM(D141:D151)</f>
        <v>0</v>
      </c>
      <c r="E153" s="39">
        <v>0</v>
      </c>
      <c r="F153" s="39">
        <f t="shared" ref="F153:AC153" si="29">SUM(F141:F151)</f>
        <v>0</v>
      </c>
      <c r="G153" s="39">
        <f t="shared" si="29"/>
        <v>0</v>
      </c>
      <c r="H153" s="39">
        <f t="shared" si="29"/>
        <v>0</v>
      </c>
      <c r="I153" s="39">
        <f t="shared" si="29"/>
        <v>0</v>
      </c>
      <c r="J153" s="39">
        <f t="shared" si="29"/>
        <v>0.45500000000000002</v>
      </c>
      <c r="K153" s="39">
        <f t="shared" si="29"/>
        <v>0</v>
      </c>
      <c r="L153" s="39">
        <f t="shared" si="29"/>
        <v>15.332000000000001</v>
      </c>
      <c r="M153" s="39">
        <f t="shared" si="29"/>
        <v>0</v>
      </c>
      <c r="N153" s="39">
        <f t="shared" si="29"/>
        <v>2.2850000000000001</v>
      </c>
      <c r="O153" s="39">
        <f t="shared" si="29"/>
        <v>0</v>
      </c>
      <c r="P153" s="39">
        <f t="shared" si="29"/>
        <v>0</v>
      </c>
      <c r="Q153" s="39">
        <f t="shared" si="29"/>
        <v>0.79900000000000004</v>
      </c>
      <c r="R153" s="39">
        <f t="shared" si="29"/>
        <v>20.379000000000001</v>
      </c>
      <c r="S153" s="39">
        <f t="shared" si="29"/>
        <v>4.524</v>
      </c>
      <c r="T153" s="39">
        <f t="shared" si="29"/>
        <v>0</v>
      </c>
      <c r="U153" s="39">
        <f t="shared" si="29"/>
        <v>0</v>
      </c>
      <c r="V153" s="39">
        <f t="shared" si="29"/>
        <v>0</v>
      </c>
      <c r="W153" s="39">
        <f t="shared" si="29"/>
        <v>0</v>
      </c>
      <c r="X153" s="39">
        <f t="shared" si="29"/>
        <v>0</v>
      </c>
      <c r="Y153" s="39">
        <f t="shared" si="29"/>
        <v>0</v>
      </c>
      <c r="Z153" s="39">
        <f t="shared" si="29"/>
        <v>0</v>
      </c>
      <c r="AA153" s="39">
        <f t="shared" si="29"/>
        <v>0</v>
      </c>
      <c r="AB153" s="39">
        <f t="shared" si="29"/>
        <v>0</v>
      </c>
      <c r="AC153" s="39">
        <f t="shared" si="29"/>
        <v>0</v>
      </c>
      <c r="AD153" s="39">
        <v>0</v>
      </c>
      <c r="AE153" s="39">
        <f>SUM(AE141:AE151)</f>
        <v>0</v>
      </c>
      <c r="AF153" s="39">
        <f>SUM(AF141:AF151)</f>
        <v>0</v>
      </c>
      <c r="AG153" s="39">
        <f>SUM(AG141:AG151)</f>
        <v>0</v>
      </c>
      <c r="AH153" s="32">
        <f>SUM(AH141:AH151)</f>
        <v>48.326000000000008</v>
      </c>
    </row>
    <row r="154" spans="1:36" ht="19.5" customHeight="1">
      <c r="A154" s="36"/>
      <c r="B154" s="37"/>
      <c r="C154" s="13"/>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13"/>
    </row>
    <row r="155" spans="1:36" ht="15">
      <c r="A155" s="3811" t="s">
        <v>54</v>
      </c>
      <c r="B155" s="3812"/>
      <c r="C155" s="3812"/>
      <c r="D155" s="3812"/>
      <c r="E155" s="3812"/>
      <c r="F155" s="3812"/>
      <c r="G155" s="3812"/>
      <c r="H155" s="3813"/>
      <c r="I155" s="29"/>
      <c r="J155" s="29"/>
      <c r="K155" s="29"/>
      <c r="L155" s="29"/>
      <c r="M155" s="29"/>
      <c r="N155" s="29"/>
      <c r="O155" s="29"/>
      <c r="P155" s="29"/>
      <c r="R155" s="29"/>
      <c r="S155" s="11"/>
      <c r="T155" s="11"/>
      <c r="U155" s="11"/>
      <c r="V155" s="11"/>
      <c r="W155" s="11"/>
      <c r="X155" s="11"/>
      <c r="Y155" s="11"/>
      <c r="Z155" s="11"/>
      <c r="AA155" s="11"/>
      <c r="AB155" s="11"/>
      <c r="AC155" s="11"/>
      <c r="AD155" s="11"/>
      <c r="AE155" s="11"/>
      <c r="AF155" s="11"/>
      <c r="AG155" s="11"/>
      <c r="AH155" s="11"/>
    </row>
    <row r="156" spans="1:36" ht="15">
      <c r="A156" s="5" t="s">
        <v>70</v>
      </c>
      <c r="B156" s="5" t="s">
        <v>71</v>
      </c>
      <c r="C156" s="1054">
        <v>1</v>
      </c>
      <c r="D156" s="21">
        <v>2</v>
      </c>
      <c r="E156" s="21">
        <v>3</v>
      </c>
      <c r="F156" s="21">
        <v>4</v>
      </c>
      <c r="G156" s="21">
        <v>5</v>
      </c>
      <c r="H156" s="21">
        <v>6</v>
      </c>
      <c r="I156" s="21">
        <v>7</v>
      </c>
      <c r="J156" s="21">
        <v>8</v>
      </c>
      <c r="K156" s="21">
        <v>9</v>
      </c>
      <c r="L156" s="21">
        <v>10</v>
      </c>
      <c r="M156" s="21">
        <v>11</v>
      </c>
      <c r="N156" s="21">
        <v>12</v>
      </c>
      <c r="O156" s="21">
        <v>13</v>
      </c>
      <c r="P156" s="21">
        <v>14</v>
      </c>
      <c r="Q156" s="21">
        <v>15</v>
      </c>
      <c r="R156" s="21">
        <v>16</v>
      </c>
      <c r="S156" s="21">
        <v>17</v>
      </c>
      <c r="T156" s="21">
        <v>18</v>
      </c>
      <c r="U156" s="21">
        <v>19</v>
      </c>
      <c r="V156" s="21">
        <v>20</v>
      </c>
      <c r="W156" s="21">
        <v>21</v>
      </c>
      <c r="X156" s="21">
        <v>22</v>
      </c>
      <c r="Y156" s="21">
        <v>23</v>
      </c>
      <c r="Z156" s="21">
        <v>24</v>
      </c>
      <c r="AA156" s="21">
        <v>25</v>
      </c>
      <c r="AB156" s="21">
        <v>26</v>
      </c>
      <c r="AC156" s="21">
        <v>27</v>
      </c>
      <c r="AD156" s="21">
        <v>28</v>
      </c>
      <c r="AE156" s="21">
        <v>29</v>
      </c>
      <c r="AF156" s="21">
        <v>30</v>
      </c>
      <c r="AG156" s="21">
        <v>31</v>
      </c>
      <c r="AH156" s="25" t="s">
        <v>72</v>
      </c>
      <c r="AI156" s="2266" t="s">
        <v>1345</v>
      </c>
      <c r="AJ156" s="66">
        <f>(B169/COUNTIF($C$157:$AG$168,"&gt;0"))</f>
        <v>18.138200000000005</v>
      </c>
    </row>
    <row r="157" spans="1:36" ht="15">
      <c r="A157" s="122" t="s">
        <v>73</v>
      </c>
      <c r="B157" s="15">
        <f t="shared" ref="B157:B168" si="30">+AH157</f>
        <v>0</v>
      </c>
      <c r="C157" s="107" t="s">
        <v>109</v>
      </c>
      <c r="D157" s="107" t="s">
        <v>109</v>
      </c>
      <c r="E157" s="107" t="s">
        <v>109</v>
      </c>
      <c r="F157" s="107" t="s">
        <v>109</v>
      </c>
      <c r="G157" s="107" t="s">
        <v>109</v>
      </c>
      <c r="H157" s="107" t="s">
        <v>109</v>
      </c>
      <c r="I157" s="107" t="s">
        <v>109</v>
      </c>
      <c r="J157" s="107" t="s">
        <v>109</v>
      </c>
      <c r="K157" s="107" t="s">
        <v>109</v>
      </c>
      <c r="L157" s="107" t="s">
        <v>109</v>
      </c>
      <c r="M157" s="107" t="s">
        <v>109</v>
      </c>
      <c r="N157" s="107" t="s">
        <v>109</v>
      </c>
      <c r="O157" s="107" t="s">
        <v>109</v>
      </c>
      <c r="P157" s="107" t="s">
        <v>109</v>
      </c>
      <c r="Q157" s="107" t="s">
        <v>109</v>
      </c>
      <c r="R157" s="107" t="s">
        <v>109</v>
      </c>
      <c r="S157" s="107" t="s">
        <v>109</v>
      </c>
      <c r="T157" s="107" t="s">
        <v>109</v>
      </c>
      <c r="U157" s="107" t="s">
        <v>109</v>
      </c>
      <c r="V157" s="107" t="s">
        <v>109</v>
      </c>
      <c r="W157" s="107" t="s">
        <v>109</v>
      </c>
      <c r="X157" s="107" t="s">
        <v>109</v>
      </c>
      <c r="Y157" s="107" t="s">
        <v>109</v>
      </c>
      <c r="Z157" s="107" t="s">
        <v>109</v>
      </c>
      <c r="AA157" s="107" t="s">
        <v>109</v>
      </c>
      <c r="AB157" s="107" t="s">
        <v>109</v>
      </c>
      <c r="AC157" s="107" t="s">
        <v>109</v>
      </c>
      <c r="AD157" s="107" t="s">
        <v>109</v>
      </c>
      <c r="AE157" s="107" t="s">
        <v>109</v>
      </c>
      <c r="AF157" s="107" t="s">
        <v>109</v>
      </c>
      <c r="AG157" s="107" t="s">
        <v>109</v>
      </c>
      <c r="AH157" s="39">
        <f>SUM(C157:AG157)</f>
        <v>0</v>
      </c>
      <c r="AJ157" s="66">
        <f>+'Resumen RAE Anchoveta'!G235</f>
        <v>352.36499999999995</v>
      </c>
    </row>
    <row r="158" spans="1:36" ht="15">
      <c r="A158" s="122" t="s">
        <v>74</v>
      </c>
      <c r="B158" s="15">
        <f t="shared" si="30"/>
        <v>318.12400000000002</v>
      </c>
      <c r="C158" s="107" t="s">
        <v>109</v>
      </c>
      <c r="D158" s="107" t="s">
        <v>109</v>
      </c>
      <c r="E158" s="107" t="s">
        <v>109</v>
      </c>
      <c r="F158" s="107" t="s">
        <v>109</v>
      </c>
      <c r="G158" s="107" t="s">
        <v>109</v>
      </c>
      <c r="H158" s="107" t="s">
        <v>109</v>
      </c>
      <c r="I158" s="107" t="s">
        <v>109</v>
      </c>
      <c r="J158" s="108">
        <v>61.198999999999998</v>
      </c>
      <c r="K158" s="108">
        <v>12.057</v>
      </c>
      <c r="L158" s="108">
        <v>76.152000000000001</v>
      </c>
      <c r="M158" s="108">
        <v>24.702999999999999</v>
      </c>
      <c r="N158" s="108">
        <v>0</v>
      </c>
      <c r="O158" s="108">
        <v>0</v>
      </c>
      <c r="P158" s="108">
        <v>17.297999999999998</v>
      </c>
      <c r="Q158" s="108">
        <v>2.4660000000000002</v>
      </c>
      <c r="R158" s="108">
        <v>72.436000000000007</v>
      </c>
      <c r="S158" s="108">
        <v>15.257</v>
      </c>
      <c r="T158" s="108">
        <v>6.5030000000000001</v>
      </c>
      <c r="U158" s="108">
        <v>7.4950000000000001</v>
      </c>
      <c r="V158" s="108">
        <v>9.016</v>
      </c>
      <c r="W158" s="108">
        <v>0</v>
      </c>
      <c r="X158" s="108">
        <v>0</v>
      </c>
      <c r="Y158" s="108">
        <v>0</v>
      </c>
      <c r="Z158" s="108">
        <v>0</v>
      </c>
      <c r="AA158" s="108">
        <v>0</v>
      </c>
      <c r="AB158" s="108">
        <v>0</v>
      </c>
      <c r="AC158" s="108">
        <v>0</v>
      </c>
      <c r="AD158" s="108">
        <v>13.542</v>
      </c>
      <c r="AE158" s="108"/>
      <c r="AF158" s="108"/>
      <c r="AG158" s="108"/>
      <c r="AH158" s="39">
        <f>SUM(C158:AG158)</f>
        <v>318.12400000000002</v>
      </c>
      <c r="AJ158" s="1093">
        <f>+AJ157/AJ156</f>
        <v>19.426679604370879</v>
      </c>
    </row>
    <row r="159" spans="1:36" ht="15">
      <c r="A159" s="122" t="s">
        <v>75</v>
      </c>
      <c r="B159" s="15">
        <f t="shared" si="30"/>
        <v>25.228000000000002</v>
      </c>
      <c r="C159" s="108">
        <v>17.766999999999999</v>
      </c>
      <c r="D159" s="108">
        <v>7.4610000000000003</v>
      </c>
      <c r="E159" s="108">
        <v>0</v>
      </c>
      <c r="F159" s="108">
        <v>0</v>
      </c>
      <c r="G159" s="108">
        <v>0</v>
      </c>
      <c r="H159" s="94">
        <v>0</v>
      </c>
      <c r="I159" s="94">
        <v>0</v>
      </c>
      <c r="J159" s="94">
        <v>0</v>
      </c>
      <c r="K159" s="15">
        <v>0</v>
      </c>
      <c r="L159" s="15">
        <v>0</v>
      </c>
      <c r="M159" s="15">
        <v>0</v>
      </c>
      <c r="N159" s="15">
        <v>0</v>
      </c>
      <c r="O159" s="15">
        <v>0</v>
      </c>
      <c r="P159" s="15">
        <v>0</v>
      </c>
      <c r="Q159" s="15">
        <v>0</v>
      </c>
      <c r="R159" s="15">
        <v>0</v>
      </c>
      <c r="S159" s="15">
        <v>0</v>
      </c>
      <c r="T159" s="15"/>
      <c r="U159" s="15"/>
      <c r="V159" s="15"/>
      <c r="W159" s="15"/>
      <c r="X159" s="15"/>
      <c r="Y159" s="15"/>
      <c r="Z159" s="15"/>
      <c r="AA159" s="15"/>
      <c r="AB159" s="15"/>
      <c r="AC159" s="1689"/>
      <c r="AD159" s="1689"/>
      <c r="AE159" s="1689"/>
      <c r="AF159" s="1689"/>
      <c r="AG159" s="1689"/>
      <c r="AH159" s="39">
        <f>SUM(C159:AG159)</f>
        <v>25.228000000000002</v>
      </c>
    </row>
    <row r="160" spans="1:36" ht="15">
      <c r="A160" s="122" t="s">
        <v>76</v>
      </c>
      <c r="B160" s="15">
        <f t="shared" si="30"/>
        <v>6.423</v>
      </c>
      <c r="C160" s="2481">
        <v>0</v>
      </c>
      <c r="D160" s="2481">
        <v>0</v>
      </c>
      <c r="E160" s="2481">
        <v>0</v>
      </c>
      <c r="F160" s="2481">
        <v>2.77</v>
      </c>
      <c r="G160" s="2481">
        <v>0</v>
      </c>
      <c r="H160" s="2481">
        <v>0</v>
      </c>
      <c r="I160" s="2481">
        <v>0</v>
      </c>
      <c r="J160" s="2481">
        <v>0</v>
      </c>
      <c r="K160" s="2481">
        <v>3.653</v>
      </c>
      <c r="L160" s="2482">
        <v>0</v>
      </c>
      <c r="M160" s="2482">
        <v>0</v>
      </c>
      <c r="N160" s="2482">
        <v>0</v>
      </c>
      <c r="O160" s="2482">
        <v>0</v>
      </c>
      <c r="P160" s="2482">
        <v>0</v>
      </c>
      <c r="Q160" s="2482">
        <v>0</v>
      </c>
      <c r="R160" s="2482">
        <v>0</v>
      </c>
      <c r="S160" s="15"/>
      <c r="T160" s="15"/>
      <c r="U160" s="15"/>
      <c r="V160" s="15"/>
      <c r="W160" s="15"/>
      <c r="X160" s="15"/>
      <c r="Y160" s="15"/>
      <c r="Z160" s="15"/>
      <c r="AA160" s="15"/>
      <c r="AB160" s="15"/>
      <c r="AC160" s="1091"/>
      <c r="AD160" s="1091"/>
      <c r="AE160" s="1091"/>
      <c r="AF160" s="1091"/>
      <c r="AG160" s="1091"/>
      <c r="AH160" s="39">
        <f t="shared" ref="AH160:AH168" si="31">SUM(C160:AG160)</f>
        <v>6.423</v>
      </c>
    </row>
    <row r="161" spans="1:36" ht="15">
      <c r="A161" s="120" t="s">
        <v>77</v>
      </c>
      <c r="B161" s="15">
        <f t="shared" si="30"/>
        <v>6.1239999999999997</v>
      </c>
      <c r="C161" s="35"/>
      <c r="D161" s="15"/>
      <c r="E161" s="15"/>
      <c r="F161" s="15"/>
      <c r="G161" s="15"/>
      <c r="H161" s="15"/>
      <c r="I161" s="15"/>
      <c r="J161" s="15"/>
      <c r="K161" s="15"/>
      <c r="L161" s="15"/>
      <c r="M161" s="15"/>
      <c r="N161" s="15"/>
      <c r="O161" s="15"/>
      <c r="P161" s="15"/>
      <c r="Q161" s="15"/>
      <c r="R161" s="15"/>
      <c r="S161" s="15"/>
      <c r="T161" s="15"/>
      <c r="U161" s="15"/>
      <c r="V161" s="15"/>
      <c r="W161" s="15">
        <v>6.1239999999999997</v>
      </c>
      <c r="X161" s="15"/>
      <c r="Y161" s="15"/>
      <c r="Z161" s="15"/>
      <c r="AA161" s="15"/>
      <c r="AB161" s="15"/>
      <c r="AC161" s="15"/>
      <c r="AD161" s="15"/>
      <c r="AE161" s="15"/>
      <c r="AF161" s="15"/>
      <c r="AG161" s="15"/>
      <c r="AH161" s="39">
        <f t="shared" si="31"/>
        <v>6.1239999999999997</v>
      </c>
    </row>
    <row r="162" spans="1:36" ht="15">
      <c r="A162" s="120" t="s">
        <v>78</v>
      </c>
      <c r="B162" s="15">
        <f>+AH162</f>
        <v>0</v>
      </c>
      <c r="C162" s="35"/>
      <c r="D162" s="15"/>
      <c r="E162" s="15"/>
      <c r="F162" s="15"/>
      <c r="G162" s="15"/>
      <c r="H162" s="1091"/>
      <c r="I162" s="1091"/>
      <c r="J162" s="1091"/>
      <c r="K162" s="1091"/>
      <c r="L162" s="1091"/>
      <c r="M162" s="1091"/>
      <c r="N162" s="1091"/>
      <c r="O162" s="1091"/>
      <c r="P162" s="1091"/>
      <c r="Q162" s="1091"/>
      <c r="R162" s="1091"/>
      <c r="S162" s="1091"/>
      <c r="T162" s="1091"/>
      <c r="U162" s="1091"/>
      <c r="V162" s="1091"/>
      <c r="W162" s="1091"/>
      <c r="X162" s="1091"/>
      <c r="Y162" s="15"/>
      <c r="Z162" s="15"/>
      <c r="AA162" s="15"/>
      <c r="AB162" s="15"/>
      <c r="AC162" s="15"/>
      <c r="AD162" s="15"/>
      <c r="AE162" s="15"/>
      <c r="AF162" s="15"/>
      <c r="AG162" s="15"/>
      <c r="AH162" s="39">
        <f t="shared" si="31"/>
        <v>0</v>
      </c>
    </row>
    <row r="163" spans="1:36" ht="15">
      <c r="A163" s="120" t="s">
        <v>79</v>
      </c>
      <c r="B163" s="15">
        <f t="shared" si="30"/>
        <v>6.8650000000000002</v>
      </c>
      <c r="C163" s="1091"/>
      <c r="D163" s="1268"/>
      <c r="E163" s="1268"/>
      <c r="F163" s="1268"/>
      <c r="G163" s="1091"/>
      <c r="H163" s="1091"/>
      <c r="I163" s="1091"/>
      <c r="J163" s="2068"/>
      <c r="K163" s="2068">
        <v>0.68400000000000005</v>
      </c>
      <c r="L163" s="1268">
        <v>3.714</v>
      </c>
      <c r="M163" s="1268">
        <v>2.4670000000000001</v>
      </c>
      <c r="N163" s="1268">
        <v>0</v>
      </c>
      <c r="O163" s="1268">
        <v>0</v>
      </c>
      <c r="P163" s="1268">
        <v>0</v>
      </c>
      <c r="Q163" s="1268">
        <v>0</v>
      </c>
      <c r="R163" s="1268">
        <v>0</v>
      </c>
      <c r="S163" s="1268">
        <v>0</v>
      </c>
      <c r="T163" s="1268"/>
      <c r="U163" s="1268"/>
      <c r="V163" s="1268"/>
      <c r="W163" s="609"/>
      <c r="X163" s="609"/>
      <c r="Y163" s="609"/>
      <c r="Z163" s="609"/>
      <c r="AA163" s="609"/>
      <c r="AB163" s="609"/>
      <c r="AC163" s="609"/>
      <c r="AD163" s="609"/>
      <c r="AE163" s="609"/>
      <c r="AF163" s="609" t="s">
        <v>109</v>
      </c>
      <c r="AG163" s="609" t="s">
        <v>109</v>
      </c>
      <c r="AH163" s="39">
        <f t="shared" si="31"/>
        <v>6.8650000000000002</v>
      </c>
    </row>
    <row r="164" spans="1:36" ht="15">
      <c r="A164" s="120" t="s">
        <v>80</v>
      </c>
      <c r="B164" s="15">
        <f t="shared" si="30"/>
        <v>0</v>
      </c>
      <c r="C164" s="609" t="s">
        <v>109</v>
      </c>
      <c r="D164" s="609" t="s">
        <v>109</v>
      </c>
      <c r="E164" s="609" t="s">
        <v>109</v>
      </c>
      <c r="F164" s="609" t="s">
        <v>109</v>
      </c>
      <c r="G164" s="609" t="s">
        <v>109</v>
      </c>
      <c r="H164" s="609" t="s">
        <v>109</v>
      </c>
      <c r="I164" s="609" t="s">
        <v>109</v>
      </c>
      <c r="J164" s="609" t="s">
        <v>109</v>
      </c>
      <c r="K164" s="609" t="s">
        <v>109</v>
      </c>
      <c r="L164" s="609" t="s">
        <v>109</v>
      </c>
      <c r="M164" s="609" t="s">
        <v>109</v>
      </c>
      <c r="N164" s="609" t="s">
        <v>109</v>
      </c>
      <c r="O164" s="609" t="s">
        <v>109</v>
      </c>
      <c r="P164" s="609" t="s">
        <v>109</v>
      </c>
      <c r="Q164" s="609" t="s">
        <v>109</v>
      </c>
      <c r="R164" s="609" t="s">
        <v>109</v>
      </c>
      <c r="S164" s="609" t="s">
        <v>109</v>
      </c>
      <c r="T164" s="609" t="s">
        <v>109</v>
      </c>
      <c r="U164" s="609" t="s">
        <v>109</v>
      </c>
      <c r="V164" s="609" t="s">
        <v>109</v>
      </c>
      <c r="W164" s="609" t="s">
        <v>109</v>
      </c>
      <c r="X164" s="609" t="s">
        <v>109</v>
      </c>
      <c r="Y164" s="609" t="s">
        <v>109</v>
      </c>
      <c r="Z164" s="609" t="s">
        <v>109</v>
      </c>
      <c r="AA164" s="609" t="s">
        <v>109</v>
      </c>
      <c r="AB164" s="609" t="s">
        <v>109</v>
      </c>
      <c r="AC164" s="609" t="s">
        <v>109</v>
      </c>
      <c r="AD164" s="609" t="s">
        <v>109</v>
      </c>
      <c r="AE164" s="609" t="s">
        <v>109</v>
      </c>
      <c r="AF164" s="609" t="s">
        <v>109</v>
      </c>
      <c r="AG164" s="609" t="s">
        <v>109</v>
      </c>
      <c r="AH164" s="39">
        <f t="shared" si="31"/>
        <v>0</v>
      </c>
    </row>
    <row r="165" spans="1:36" ht="15">
      <c r="A165" s="123" t="s">
        <v>81</v>
      </c>
      <c r="B165" s="15">
        <f t="shared" si="30"/>
        <v>0</v>
      </c>
      <c r="C165" s="609" t="s">
        <v>109</v>
      </c>
      <c r="D165" s="609" t="s">
        <v>109</v>
      </c>
      <c r="E165" s="609" t="s">
        <v>109</v>
      </c>
      <c r="F165" s="609" t="s">
        <v>109</v>
      </c>
      <c r="G165" s="609" t="s">
        <v>109</v>
      </c>
      <c r="H165" s="609" t="s">
        <v>109</v>
      </c>
      <c r="I165" s="609" t="s">
        <v>109</v>
      </c>
      <c r="J165" s="609" t="s">
        <v>109</v>
      </c>
      <c r="K165" s="609" t="s">
        <v>109</v>
      </c>
      <c r="L165" s="609" t="s">
        <v>109</v>
      </c>
      <c r="M165" s="609" t="s">
        <v>109</v>
      </c>
      <c r="N165" s="609" t="s">
        <v>109</v>
      </c>
      <c r="O165" s="609" t="s">
        <v>109</v>
      </c>
      <c r="P165" s="609" t="s">
        <v>109</v>
      </c>
      <c r="Q165" s="609" t="s">
        <v>109</v>
      </c>
      <c r="R165" s="609" t="s">
        <v>109</v>
      </c>
      <c r="S165" s="609" t="s">
        <v>109</v>
      </c>
      <c r="T165" s="609" t="s">
        <v>109</v>
      </c>
      <c r="U165" s="609" t="s">
        <v>109</v>
      </c>
      <c r="V165" s="609" t="s">
        <v>109</v>
      </c>
      <c r="W165" s="609" t="s">
        <v>109</v>
      </c>
      <c r="X165" s="609" t="s">
        <v>109</v>
      </c>
      <c r="Y165" s="609" t="s">
        <v>109</v>
      </c>
      <c r="Z165" s="609" t="s">
        <v>109</v>
      </c>
      <c r="AA165" s="609" t="s">
        <v>109</v>
      </c>
      <c r="AB165" s="609" t="s">
        <v>109</v>
      </c>
      <c r="AC165" s="609" t="s">
        <v>109</v>
      </c>
      <c r="AD165" s="609" t="s">
        <v>109</v>
      </c>
      <c r="AE165" s="609" t="s">
        <v>109</v>
      </c>
      <c r="AF165" s="609" t="s">
        <v>109</v>
      </c>
      <c r="AG165" s="609" t="s">
        <v>109</v>
      </c>
      <c r="AH165" s="39">
        <f t="shared" si="31"/>
        <v>0</v>
      </c>
    </row>
    <row r="166" spans="1:36" ht="15">
      <c r="A166" s="123" t="s">
        <v>82</v>
      </c>
      <c r="B166" s="15">
        <f t="shared" si="30"/>
        <v>0</v>
      </c>
      <c r="C166" s="609" t="s">
        <v>109</v>
      </c>
      <c r="D166" s="609" t="s">
        <v>109</v>
      </c>
      <c r="E166" s="609" t="s">
        <v>109</v>
      </c>
      <c r="F166" s="609" t="s">
        <v>109</v>
      </c>
      <c r="G166" s="609" t="s">
        <v>109</v>
      </c>
      <c r="H166" s="609" t="s">
        <v>109</v>
      </c>
      <c r="I166" s="609" t="s">
        <v>109</v>
      </c>
      <c r="J166" s="609" t="s">
        <v>109</v>
      </c>
      <c r="K166" s="609" t="s">
        <v>109</v>
      </c>
      <c r="L166" s="609" t="s">
        <v>109</v>
      </c>
      <c r="M166" s="609" t="s">
        <v>109</v>
      </c>
      <c r="N166" s="609" t="s">
        <v>109</v>
      </c>
      <c r="O166" s="609" t="s">
        <v>109</v>
      </c>
      <c r="P166" s="609" t="s">
        <v>109</v>
      </c>
      <c r="Q166" s="609" t="s">
        <v>109</v>
      </c>
      <c r="R166" s="609" t="s">
        <v>109</v>
      </c>
      <c r="S166" s="609" t="s">
        <v>109</v>
      </c>
      <c r="T166" s="609" t="s">
        <v>109</v>
      </c>
      <c r="U166" s="609" t="s">
        <v>109</v>
      </c>
      <c r="V166" s="609" t="s">
        <v>109</v>
      </c>
      <c r="W166" s="609" t="s">
        <v>109</v>
      </c>
      <c r="X166" s="1091"/>
      <c r="Y166" s="1091"/>
      <c r="Z166" s="1091"/>
      <c r="AA166" s="1091"/>
      <c r="AB166" s="1091"/>
      <c r="AC166" s="1091"/>
      <c r="AD166" s="1091"/>
      <c r="AE166" s="1268"/>
      <c r="AF166" s="1091"/>
      <c r="AG166" s="1268"/>
      <c r="AH166" s="39">
        <f t="shared" si="31"/>
        <v>0</v>
      </c>
    </row>
    <row r="167" spans="1:36" ht="15">
      <c r="A167" s="123" t="s">
        <v>83</v>
      </c>
      <c r="B167" s="15">
        <f t="shared" si="30"/>
        <v>0</v>
      </c>
      <c r="C167" s="35"/>
      <c r="D167" s="15"/>
      <c r="E167" s="15"/>
      <c r="F167" s="15"/>
      <c r="G167" s="11"/>
      <c r="H167" s="15"/>
      <c r="I167" s="15"/>
      <c r="J167" s="15"/>
      <c r="K167" s="15"/>
      <c r="L167" s="15"/>
      <c r="M167" s="15"/>
      <c r="N167" s="15"/>
      <c r="O167" s="15"/>
      <c r="P167" s="15"/>
      <c r="Q167" s="15"/>
      <c r="R167" s="15"/>
      <c r="S167" s="15"/>
      <c r="T167" s="15"/>
      <c r="U167" s="15"/>
      <c r="V167" s="15"/>
      <c r="W167" s="15"/>
      <c r="X167" s="15"/>
      <c r="Y167" s="11"/>
      <c r="Z167" s="15"/>
      <c r="AA167" s="15"/>
      <c r="AB167" s="15"/>
      <c r="AC167" s="15"/>
      <c r="AD167" s="15"/>
      <c r="AE167" s="39"/>
      <c r="AF167" s="15"/>
      <c r="AG167" s="39"/>
      <c r="AH167" s="39">
        <f t="shared" si="31"/>
        <v>0</v>
      </c>
    </row>
    <row r="168" spans="1:36" ht="15">
      <c r="A168" s="123" t="s">
        <v>84</v>
      </c>
      <c r="B168" s="15">
        <f t="shared" si="30"/>
        <v>0</v>
      </c>
      <c r="C168" s="35"/>
      <c r="D168" s="15"/>
      <c r="E168" s="15"/>
      <c r="F168" s="15"/>
      <c r="G168" s="15"/>
      <c r="H168" s="15"/>
      <c r="I168" s="15"/>
      <c r="J168" s="15"/>
      <c r="K168" s="15"/>
      <c r="L168" s="15"/>
      <c r="M168" s="15"/>
      <c r="N168" s="15"/>
      <c r="O168" s="15"/>
      <c r="P168" s="1091"/>
      <c r="Q168" s="1091"/>
      <c r="R168" s="1091"/>
      <c r="S168" s="1091"/>
      <c r="T168" s="1091"/>
      <c r="U168" s="1091"/>
      <c r="V168" s="1091"/>
      <c r="W168" s="1091"/>
      <c r="X168" s="1091"/>
      <c r="Y168" s="1091"/>
      <c r="Z168" s="1091"/>
      <c r="AA168" s="1091"/>
      <c r="AB168" s="1091"/>
      <c r="AC168" s="1091"/>
      <c r="AD168" s="1091"/>
      <c r="AE168" s="1091"/>
      <c r="AF168" s="1091"/>
      <c r="AG168" s="1091"/>
      <c r="AH168" s="39">
        <f t="shared" si="31"/>
        <v>0</v>
      </c>
    </row>
    <row r="169" spans="1:36" ht="15">
      <c r="A169" s="71" t="s">
        <v>72</v>
      </c>
      <c r="B169" s="72">
        <f>SUM(B157:B168)</f>
        <v>362.76400000000007</v>
      </c>
      <c r="C169" s="32">
        <f>SUM(C157:C167)</f>
        <v>17.766999999999999</v>
      </c>
      <c r="D169" s="39">
        <f>SUM(D157:D167)</f>
        <v>7.4610000000000003</v>
      </c>
      <c r="E169" s="39">
        <v>0</v>
      </c>
      <c r="F169" s="39">
        <f t="shared" ref="F169:AC169" si="32">SUM(F157:F167)</f>
        <v>2.77</v>
      </c>
      <c r="G169" s="39">
        <f t="shared" si="32"/>
        <v>0</v>
      </c>
      <c r="H169" s="39">
        <f t="shared" si="32"/>
        <v>0</v>
      </c>
      <c r="I169" s="39">
        <f t="shared" si="32"/>
        <v>0</v>
      </c>
      <c r="J169" s="39">
        <f t="shared" si="32"/>
        <v>61.198999999999998</v>
      </c>
      <c r="K169" s="39">
        <f t="shared" si="32"/>
        <v>16.394000000000002</v>
      </c>
      <c r="L169" s="39">
        <f t="shared" si="32"/>
        <v>79.866</v>
      </c>
      <c r="M169" s="39">
        <f t="shared" si="32"/>
        <v>27.169999999999998</v>
      </c>
      <c r="N169" s="39">
        <f t="shared" si="32"/>
        <v>0</v>
      </c>
      <c r="O169" s="39">
        <f t="shared" si="32"/>
        <v>0</v>
      </c>
      <c r="P169" s="39">
        <f t="shared" si="32"/>
        <v>17.297999999999998</v>
      </c>
      <c r="Q169" s="39">
        <f t="shared" si="32"/>
        <v>2.4660000000000002</v>
      </c>
      <c r="R169" s="39">
        <f t="shared" si="32"/>
        <v>72.436000000000007</v>
      </c>
      <c r="S169" s="39">
        <f t="shared" si="32"/>
        <v>15.257</v>
      </c>
      <c r="T169" s="39">
        <f t="shared" si="32"/>
        <v>6.5030000000000001</v>
      </c>
      <c r="U169" s="39">
        <f t="shared" si="32"/>
        <v>7.4950000000000001</v>
      </c>
      <c r="V169" s="39">
        <f t="shared" si="32"/>
        <v>9.016</v>
      </c>
      <c r="W169" s="39">
        <f t="shared" si="32"/>
        <v>6.1239999999999997</v>
      </c>
      <c r="X169" s="39">
        <f t="shared" si="32"/>
        <v>0</v>
      </c>
      <c r="Y169" s="39">
        <f t="shared" si="32"/>
        <v>0</v>
      </c>
      <c r="Z169" s="39">
        <f t="shared" si="32"/>
        <v>0</v>
      </c>
      <c r="AA169" s="39">
        <f t="shared" si="32"/>
        <v>0</v>
      </c>
      <c r="AB169" s="39">
        <f t="shared" si="32"/>
        <v>0</v>
      </c>
      <c r="AC169" s="39">
        <f t="shared" si="32"/>
        <v>0</v>
      </c>
      <c r="AD169" s="39">
        <v>0</v>
      </c>
      <c r="AE169" s="39">
        <f>SUM(AE157:AE167)</f>
        <v>0</v>
      </c>
      <c r="AF169" s="39">
        <f>SUM(AF157:AF167)</f>
        <v>0</v>
      </c>
      <c r="AG169" s="39">
        <f>SUM(AG157:AG167)</f>
        <v>0</v>
      </c>
      <c r="AH169" s="32">
        <f>SUM(AH157:AH167)</f>
        <v>362.76400000000007</v>
      </c>
    </row>
    <row r="170" spans="1:36" ht="5.0999999999999996" customHeight="1">
      <c r="A170" s="36"/>
      <c r="B170" s="37"/>
      <c r="C170" s="13"/>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13"/>
    </row>
    <row r="171" spans="1:36" ht="15">
      <c r="A171" s="3811" t="s">
        <v>124</v>
      </c>
      <c r="B171" s="3812"/>
      <c r="C171" s="3812"/>
      <c r="D171" s="3812"/>
      <c r="E171" s="3812"/>
      <c r="F171" s="3812"/>
      <c r="G171" s="3812"/>
      <c r="H171" s="3813"/>
      <c r="I171" s="1262"/>
      <c r="J171" s="29"/>
      <c r="K171" s="29"/>
      <c r="L171" s="29"/>
      <c r="M171" s="29"/>
      <c r="N171" s="29"/>
      <c r="O171" s="29"/>
      <c r="P171" s="29"/>
      <c r="Q171" s="29"/>
      <c r="R171" s="29"/>
      <c r="S171" s="11"/>
      <c r="T171" s="11"/>
      <c r="U171" s="11"/>
      <c r="V171" s="11"/>
      <c r="W171" s="11"/>
      <c r="X171" s="11"/>
      <c r="Y171" s="11"/>
      <c r="Z171" s="11"/>
      <c r="AA171" s="11"/>
      <c r="AB171" s="11"/>
      <c r="AC171" s="11"/>
      <c r="AD171" s="11"/>
      <c r="AE171" s="11"/>
      <c r="AF171" s="11"/>
      <c r="AG171" s="11"/>
      <c r="AH171" s="11"/>
    </row>
    <row r="172" spans="1:36" ht="15">
      <c r="A172" s="5" t="s">
        <v>70</v>
      </c>
      <c r="B172" s="5" t="s">
        <v>71</v>
      </c>
      <c r="C172" s="1054">
        <v>1</v>
      </c>
      <c r="D172" s="21">
        <v>2</v>
      </c>
      <c r="E172" s="21">
        <v>3</v>
      </c>
      <c r="F172" s="21">
        <v>4</v>
      </c>
      <c r="G172" s="21">
        <v>5</v>
      </c>
      <c r="H172" s="21">
        <v>6</v>
      </c>
      <c r="I172" s="21">
        <v>7</v>
      </c>
      <c r="J172" s="21">
        <v>8</v>
      </c>
      <c r="K172" s="21">
        <v>9</v>
      </c>
      <c r="L172" s="21">
        <v>10</v>
      </c>
      <c r="M172" s="21">
        <v>11</v>
      </c>
      <c r="N172" s="21">
        <v>12</v>
      </c>
      <c r="O172" s="21">
        <v>13</v>
      </c>
      <c r="P172" s="21">
        <v>14</v>
      </c>
      <c r="Q172" s="21">
        <v>15</v>
      </c>
      <c r="R172" s="21">
        <v>16</v>
      </c>
      <c r="S172" s="21">
        <v>17</v>
      </c>
      <c r="T172" s="21">
        <v>18</v>
      </c>
      <c r="U172" s="21">
        <v>19</v>
      </c>
      <c r="V172" s="21">
        <v>20</v>
      </c>
      <c r="W172" s="21">
        <v>21</v>
      </c>
      <c r="X172" s="21">
        <v>22</v>
      </c>
      <c r="Y172" s="21">
        <v>23</v>
      </c>
      <c r="Z172" s="21">
        <v>24</v>
      </c>
      <c r="AA172" s="21">
        <v>25</v>
      </c>
      <c r="AB172" s="21">
        <v>26</v>
      </c>
      <c r="AC172" s="21">
        <v>27</v>
      </c>
      <c r="AD172" s="21">
        <v>28</v>
      </c>
      <c r="AE172" s="21">
        <v>29</v>
      </c>
      <c r="AF172" s="21">
        <v>30</v>
      </c>
      <c r="AG172" s="21">
        <v>31</v>
      </c>
      <c r="AH172" s="25" t="s">
        <v>72</v>
      </c>
      <c r="AI172" s="2266" t="s">
        <v>1345</v>
      </c>
      <c r="AJ172" s="66">
        <f>(B185/COUNTIF($C$173:$AG$184,"&gt;0"))</f>
        <v>3.3272307692307694</v>
      </c>
    </row>
    <row r="173" spans="1:36" ht="15">
      <c r="A173" s="122" t="s">
        <v>73</v>
      </c>
      <c r="B173" s="15">
        <f t="shared" ref="B173:B184" si="33">+AH173</f>
        <v>0</v>
      </c>
      <c r="C173" s="107" t="s">
        <v>109</v>
      </c>
      <c r="D173" s="107" t="s">
        <v>109</v>
      </c>
      <c r="E173" s="107" t="s">
        <v>109</v>
      </c>
      <c r="F173" s="107" t="s">
        <v>109</v>
      </c>
      <c r="G173" s="107" t="s">
        <v>109</v>
      </c>
      <c r="H173" s="107" t="s">
        <v>109</v>
      </c>
      <c r="I173" s="107" t="s">
        <v>109</v>
      </c>
      <c r="J173" s="107" t="s">
        <v>109</v>
      </c>
      <c r="K173" s="107" t="s">
        <v>109</v>
      </c>
      <c r="L173" s="107" t="s">
        <v>109</v>
      </c>
      <c r="M173" s="107" t="s">
        <v>109</v>
      </c>
      <c r="N173" s="107" t="s">
        <v>109</v>
      </c>
      <c r="O173" s="107" t="s">
        <v>109</v>
      </c>
      <c r="P173" s="107" t="s">
        <v>109</v>
      </c>
      <c r="Q173" s="107" t="s">
        <v>109</v>
      </c>
      <c r="R173" s="107" t="s">
        <v>109</v>
      </c>
      <c r="S173" s="107" t="s">
        <v>109</v>
      </c>
      <c r="T173" s="107" t="s">
        <v>109</v>
      </c>
      <c r="U173" s="107" t="s">
        <v>109</v>
      </c>
      <c r="V173" s="107" t="s">
        <v>109</v>
      </c>
      <c r="W173" s="107" t="s">
        <v>109</v>
      </c>
      <c r="X173" s="107" t="s">
        <v>109</v>
      </c>
      <c r="Y173" s="107" t="s">
        <v>109</v>
      </c>
      <c r="Z173" s="107" t="s">
        <v>109</v>
      </c>
      <c r="AA173" s="107" t="s">
        <v>109</v>
      </c>
      <c r="AB173" s="107" t="s">
        <v>109</v>
      </c>
      <c r="AC173" s="107" t="s">
        <v>109</v>
      </c>
      <c r="AD173" s="107" t="s">
        <v>109</v>
      </c>
      <c r="AE173" s="107" t="s">
        <v>109</v>
      </c>
      <c r="AF173" s="107" t="s">
        <v>109</v>
      </c>
      <c r="AG173" s="107" t="s">
        <v>109</v>
      </c>
      <c r="AH173" s="39">
        <f>SUM(C173:AG173)</f>
        <v>0</v>
      </c>
      <c r="AJ173" s="66">
        <f>+'Resumen RAE Anchoveta'!G236</f>
        <v>316.53300000000002</v>
      </c>
    </row>
    <row r="174" spans="1:36" ht="15">
      <c r="A174" s="122" t="s">
        <v>74</v>
      </c>
      <c r="B174" s="15">
        <f t="shared" si="33"/>
        <v>11.751000000000001</v>
      </c>
      <c r="C174" s="107" t="s">
        <v>109</v>
      </c>
      <c r="D174" s="107" t="s">
        <v>109</v>
      </c>
      <c r="E174" s="107" t="s">
        <v>109</v>
      </c>
      <c r="F174" s="107" t="s">
        <v>109</v>
      </c>
      <c r="G174" s="107" t="s">
        <v>109</v>
      </c>
      <c r="H174" s="107" t="s">
        <v>109</v>
      </c>
      <c r="I174" s="107" t="s">
        <v>109</v>
      </c>
      <c r="J174" s="108">
        <v>0</v>
      </c>
      <c r="K174" s="108">
        <v>0</v>
      </c>
      <c r="L174" s="108">
        <v>0</v>
      </c>
      <c r="M174" s="108">
        <v>0</v>
      </c>
      <c r="N174" s="108">
        <v>0</v>
      </c>
      <c r="O174" s="108">
        <v>0</v>
      </c>
      <c r="P174" s="108">
        <v>0</v>
      </c>
      <c r="Q174" s="108">
        <v>0</v>
      </c>
      <c r="R174" s="108">
        <v>1.6060000000000001</v>
      </c>
      <c r="S174" s="108">
        <v>7.5709999999999997</v>
      </c>
      <c r="T174" s="108">
        <v>0</v>
      </c>
      <c r="U174" s="108">
        <v>0</v>
      </c>
      <c r="V174" s="108">
        <v>0.97</v>
      </c>
      <c r="W174" s="108">
        <v>0</v>
      </c>
      <c r="X174" s="108">
        <v>0</v>
      </c>
      <c r="Y174" s="108">
        <v>0</v>
      </c>
      <c r="Z174" s="108">
        <v>0</v>
      </c>
      <c r="AA174" s="108">
        <v>0</v>
      </c>
      <c r="AB174" s="108">
        <v>0</v>
      </c>
      <c r="AC174" s="108">
        <v>0</v>
      </c>
      <c r="AD174" s="108">
        <v>1.6040000000000001</v>
      </c>
      <c r="AE174" s="108"/>
      <c r="AF174" s="108"/>
      <c r="AG174" s="108"/>
      <c r="AH174" s="39">
        <f>SUM(C174:AG174)</f>
        <v>11.751000000000001</v>
      </c>
      <c r="AJ174" s="1093">
        <f>+AJ173/AJ172</f>
        <v>95.134068525454296</v>
      </c>
    </row>
    <row r="175" spans="1:36" ht="15">
      <c r="A175" s="122" t="s">
        <v>75</v>
      </c>
      <c r="B175" s="15">
        <f t="shared" si="33"/>
        <v>2.8039999999999998</v>
      </c>
      <c r="C175" s="108">
        <v>2.8039999999999998</v>
      </c>
      <c r="D175" s="108">
        <v>0</v>
      </c>
      <c r="E175" s="108">
        <v>0</v>
      </c>
      <c r="F175" s="108">
        <v>0</v>
      </c>
      <c r="G175" s="108">
        <v>0</v>
      </c>
      <c r="H175" s="94">
        <v>0</v>
      </c>
      <c r="I175" s="94">
        <v>0</v>
      </c>
      <c r="J175" s="94">
        <v>0</v>
      </c>
      <c r="K175" s="94">
        <v>0</v>
      </c>
      <c r="L175" s="94">
        <v>0</v>
      </c>
      <c r="M175" s="94">
        <v>0</v>
      </c>
      <c r="N175" s="94">
        <v>0</v>
      </c>
      <c r="O175" s="94">
        <v>0</v>
      </c>
      <c r="P175" s="94">
        <v>0</v>
      </c>
      <c r="Q175" s="94">
        <v>0</v>
      </c>
      <c r="R175" s="94">
        <v>0</v>
      </c>
      <c r="S175" s="15">
        <v>0</v>
      </c>
      <c r="T175" s="15"/>
      <c r="U175" s="15"/>
      <c r="V175" s="15"/>
      <c r="W175" s="15"/>
      <c r="X175" s="15"/>
      <c r="Y175" s="15"/>
      <c r="Z175" s="15"/>
      <c r="AA175" s="15"/>
      <c r="AB175" s="15"/>
      <c r="AC175" s="1689"/>
      <c r="AD175" s="1689"/>
      <c r="AE175" s="1689"/>
      <c r="AF175" s="1689"/>
      <c r="AG175" s="1689"/>
      <c r="AH175" s="39">
        <f>SUM(C175:AG175)</f>
        <v>2.8039999999999998</v>
      </c>
    </row>
    <row r="176" spans="1:36" ht="15">
      <c r="A176" s="122" t="s">
        <v>76</v>
      </c>
      <c r="B176" s="15">
        <f t="shared" si="33"/>
        <v>15.95</v>
      </c>
      <c r="C176" s="2480">
        <v>0</v>
      </c>
      <c r="D176" s="2480">
        <v>0</v>
      </c>
      <c r="E176" s="2480">
        <v>0</v>
      </c>
      <c r="F176" s="2480">
        <v>0</v>
      </c>
      <c r="G176" s="2480">
        <v>0</v>
      </c>
      <c r="H176" s="2480">
        <v>0</v>
      </c>
      <c r="I176" s="2480">
        <v>6.1420000000000003</v>
      </c>
      <c r="J176" s="2480">
        <v>0</v>
      </c>
      <c r="K176" s="2480">
        <v>0</v>
      </c>
      <c r="L176" s="2481">
        <v>0</v>
      </c>
      <c r="M176" s="2481">
        <v>0</v>
      </c>
      <c r="N176" s="2481">
        <v>0</v>
      </c>
      <c r="O176" s="2481">
        <v>0</v>
      </c>
      <c r="P176" s="2481">
        <v>0</v>
      </c>
      <c r="Q176" s="2481">
        <v>0.52500000000000002</v>
      </c>
      <c r="R176" s="2481">
        <v>0</v>
      </c>
      <c r="S176" s="1091">
        <v>0</v>
      </c>
      <c r="T176" s="1091">
        <v>0</v>
      </c>
      <c r="U176" s="1091">
        <v>0</v>
      </c>
      <c r="V176" s="1091">
        <v>0</v>
      </c>
      <c r="W176" s="1091">
        <v>1.167</v>
      </c>
      <c r="X176" s="1091">
        <v>5.3949999999999996</v>
      </c>
      <c r="Y176" s="1091">
        <v>2.7210000000000001</v>
      </c>
      <c r="Z176" s="1091">
        <v>0</v>
      </c>
      <c r="AA176" s="1091"/>
      <c r="AB176" s="1091"/>
      <c r="AC176" s="1091"/>
      <c r="AD176" s="1091"/>
      <c r="AE176" s="1091"/>
      <c r="AF176" s="1091"/>
      <c r="AG176" s="1091"/>
      <c r="AH176" s="39">
        <f t="shared" ref="AH176:AH184" si="34">SUM(C176:AG176)</f>
        <v>15.95</v>
      </c>
    </row>
    <row r="177" spans="1:36" ht="15">
      <c r="A177" s="120" t="s">
        <v>77</v>
      </c>
      <c r="B177" s="15">
        <f t="shared" si="33"/>
        <v>4.9580000000000002</v>
      </c>
      <c r="C177" s="1091"/>
      <c r="D177" s="1091"/>
      <c r="E177" s="1091"/>
      <c r="F177" s="1091"/>
      <c r="G177" s="1091"/>
      <c r="H177" s="1091"/>
      <c r="I177" s="1091"/>
      <c r="J177" s="1091"/>
      <c r="K177" s="1091"/>
      <c r="L177" s="1091"/>
      <c r="M177" s="1091"/>
      <c r="N177" s="1091"/>
      <c r="O177" s="1091"/>
      <c r="P177" s="1091"/>
      <c r="Q177" s="1091"/>
      <c r="R177" s="1091">
        <v>3.496</v>
      </c>
      <c r="S177" s="1091">
        <v>1.462</v>
      </c>
      <c r="T177" s="1091">
        <v>0</v>
      </c>
      <c r="U177" s="1091">
        <v>0</v>
      </c>
      <c r="V177" s="1091">
        <v>0</v>
      </c>
      <c r="W177" s="1091">
        <v>0</v>
      </c>
      <c r="X177" s="1091">
        <v>0</v>
      </c>
      <c r="Y177" s="1091">
        <v>0</v>
      </c>
      <c r="Z177" s="1091">
        <v>0</v>
      </c>
      <c r="AA177" s="1091">
        <v>0</v>
      </c>
      <c r="AB177" s="1091">
        <v>0</v>
      </c>
      <c r="AC177" s="1091"/>
      <c r="AD177" s="1091"/>
      <c r="AE177" s="1091"/>
      <c r="AF177" s="1091"/>
      <c r="AG177" s="1091"/>
      <c r="AH177" s="39">
        <f t="shared" si="34"/>
        <v>4.9580000000000002</v>
      </c>
    </row>
    <row r="178" spans="1:36" ht="15">
      <c r="A178" s="120" t="s">
        <v>78</v>
      </c>
      <c r="B178" s="15">
        <f t="shared" si="33"/>
        <v>7.7910000000000004</v>
      </c>
      <c r="C178" s="1091"/>
      <c r="D178" s="1091"/>
      <c r="E178" s="1091"/>
      <c r="F178" s="1091"/>
      <c r="G178" s="1091"/>
      <c r="H178" s="1091"/>
      <c r="I178" s="1091"/>
      <c r="J178" s="1091"/>
      <c r="K178" s="1091"/>
      <c r="L178" s="1091"/>
      <c r="M178" s="1091"/>
      <c r="N178" s="1091"/>
      <c r="O178" s="1091"/>
      <c r="P178" s="1091"/>
      <c r="Q178" s="1091"/>
      <c r="R178" s="1091"/>
      <c r="S178" s="1091"/>
      <c r="T178" s="1091">
        <v>7.7910000000000004</v>
      </c>
      <c r="U178" s="1091"/>
      <c r="V178" s="1091"/>
      <c r="W178" s="1091"/>
      <c r="X178" s="1091"/>
      <c r="Y178" s="1091"/>
      <c r="Z178" s="1091"/>
      <c r="AA178" s="1091"/>
      <c r="AB178" s="1091"/>
      <c r="AC178" s="1091"/>
      <c r="AD178" s="1091"/>
      <c r="AE178" s="1091"/>
      <c r="AF178" s="1091"/>
      <c r="AG178" s="1091"/>
      <c r="AH178" s="39">
        <f t="shared" si="34"/>
        <v>7.7910000000000004</v>
      </c>
    </row>
    <row r="179" spans="1:36" ht="15">
      <c r="A179" s="120" t="s">
        <v>79</v>
      </c>
      <c r="B179" s="15">
        <f t="shared" si="33"/>
        <v>0</v>
      </c>
      <c r="C179" s="1091"/>
      <c r="D179" s="1268"/>
      <c r="E179" s="1268"/>
      <c r="F179" s="1268"/>
      <c r="G179" s="1091"/>
      <c r="H179" s="1091"/>
      <c r="I179" s="1091"/>
      <c r="J179" s="2068"/>
      <c r="K179" s="2068"/>
      <c r="L179" s="1268"/>
      <c r="M179" s="1268"/>
      <c r="N179" s="1268"/>
      <c r="O179" s="1268"/>
      <c r="P179" s="1268"/>
      <c r="Q179" s="1268"/>
      <c r="R179" s="1268"/>
      <c r="S179" s="1268"/>
      <c r="T179" s="1268"/>
      <c r="U179" s="1268"/>
      <c r="V179" s="1268"/>
      <c r="W179" s="609"/>
      <c r="X179" s="609"/>
      <c r="Y179" s="609"/>
      <c r="Z179" s="609"/>
      <c r="AA179" s="609"/>
      <c r="AB179" s="609"/>
      <c r="AC179" s="609"/>
      <c r="AD179" s="609"/>
      <c r="AE179" s="609"/>
      <c r="AF179" s="609" t="s">
        <v>109</v>
      </c>
      <c r="AG179" s="609" t="s">
        <v>109</v>
      </c>
      <c r="AH179" s="39">
        <f t="shared" si="34"/>
        <v>0</v>
      </c>
    </row>
    <row r="180" spans="1:36" ht="15">
      <c r="A180" s="120" t="s">
        <v>80</v>
      </c>
      <c r="B180" s="15">
        <f t="shared" si="33"/>
        <v>0</v>
      </c>
      <c r="C180" s="609" t="s">
        <v>109</v>
      </c>
      <c r="D180" s="609" t="s">
        <v>109</v>
      </c>
      <c r="E180" s="609" t="s">
        <v>109</v>
      </c>
      <c r="F180" s="609" t="s">
        <v>109</v>
      </c>
      <c r="G180" s="609" t="s">
        <v>109</v>
      </c>
      <c r="H180" s="609" t="s">
        <v>109</v>
      </c>
      <c r="I180" s="609" t="s">
        <v>109</v>
      </c>
      <c r="J180" s="609" t="s">
        <v>109</v>
      </c>
      <c r="K180" s="609" t="s">
        <v>109</v>
      </c>
      <c r="L180" s="609" t="s">
        <v>109</v>
      </c>
      <c r="M180" s="609" t="s">
        <v>109</v>
      </c>
      <c r="N180" s="609" t="s">
        <v>109</v>
      </c>
      <c r="O180" s="609" t="s">
        <v>109</v>
      </c>
      <c r="P180" s="609" t="s">
        <v>109</v>
      </c>
      <c r="Q180" s="609" t="s">
        <v>109</v>
      </c>
      <c r="R180" s="609" t="s">
        <v>109</v>
      </c>
      <c r="S180" s="609" t="s">
        <v>109</v>
      </c>
      <c r="T180" s="609" t="s">
        <v>109</v>
      </c>
      <c r="U180" s="609" t="s">
        <v>109</v>
      </c>
      <c r="V180" s="609" t="s">
        <v>109</v>
      </c>
      <c r="W180" s="609" t="s">
        <v>109</v>
      </c>
      <c r="X180" s="609" t="s">
        <v>109</v>
      </c>
      <c r="Y180" s="609" t="s">
        <v>109</v>
      </c>
      <c r="Z180" s="609" t="s">
        <v>109</v>
      </c>
      <c r="AA180" s="609" t="s">
        <v>109</v>
      </c>
      <c r="AB180" s="609" t="s">
        <v>109</v>
      </c>
      <c r="AC180" s="609" t="s">
        <v>109</v>
      </c>
      <c r="AD180" s="609" t="s">
        <v>109</v>
      </c>
      <c r="AE180" s="609" t="s">
        <v>109</v>
      </c>
      <c r="AF180" s="609" t="s">
        <v>109</v>
      </c>
      <c r="AG180" s="609" t="s">
        <v>109</v>
      </c>
      <c r="AH180" s="39">
        <f t="shared" si="34"/>
        <v>0</v>
      </c>
    </row>
    <row r="181" spans="1:36" ht="15">
      <c r="A181" s="123" t="s">
        <v>81</v>
      </c>
      <c r="B181" s="15">
        <f t="shared" si="33"/>
        <v>0</v>
      </c>
      <c r="C181" s="609" t="s">
        <v>109</v>
      </c>
      <c r="D181" s="609" t="s">
        <v>109</v>
      </c>
      <c r="E181" s="609" t="s">
        <v>109</v>
      </c>
      <c r="F181" s="609" t="s">
        <v>109</v>
      </c>
      <c r="G181" s="609" t="s">
        <v>109</v>
      </c>
      <c r="H181" s="609" t="s">
        <v>109</v>
      </c>
      <c r="I181" s="609" t="s">
        <v>109</v>
      </c>
      <c r="J181" s="609" t="s">
        <v>109</v>
      </c>
      <c r="K181" s="609" t="s">
        <v>109</v>
      </c>
      <c r="L181" s="609" t="s">
        <v>109</v>
      </c>
      <c r="M181" s="609" t="s">
        <v>109</v>
      </c>
      <c r="N181" s="609" t="s">
        <v>109</v>
      </c>
      <c r="O181" s="609" t="s">
        <v>109</v>
      </c>
      <c r="P181" s="609" t="s">
        <v>109</v>
      </c>
      <c r="Q181" s="609" t="s">
        <v>109</v>
      </c>
      <c r="R181" s="609" t="s">
        <v>109</v>
      </c>
      <c r="S181" s="609" t="s">
        <v>109</v>
      </c>
      <c r="T181" s="609" t="s">
        <v>109</v>
      </c>
      <c r="U181" s="609" t="s">
        <v>109</v>
      </c>
      <c r="V181" s="609" t="s">
        <v>109</v>
      </c>
      <c r="W181" s="609" t="s">
        <v>109</v>
      </c>
      <c r="X181" s="609" t="s">
        <v>109</v>
      </c>
      <c r="Y181" s="609" t="s">
        <v>109</v>
      </c>
      <c r="Z181" s="609" t="s">
        <v>109</v>
      </c>
      <c r="AA181" s="609" t="s">
        <v>109</v>
      </c>
      <c r="AB181" s="609" t="s">
        <v>109</v>
      </c>
      <c r="AC181" s="609" t="s">
        <v>109</v>
      </c>
      <c r="AD181" s="609" t="s">
        <v>109</v>
      </c>
      <c r="AE181" s="609" t="s">
        <v>109</v>
      </c>
      <c r="AF181" s="609" t="s">
        <v>109</v>
      </c>
      <c r="AG181" s="609" t="s">
        <v>109</v>
      </c>
      <c r="AH181" s="39">
        <f t="shared" si="34"/>
        <v>0</v>
      </c>
    </row>
    <row r="182" spans="1:36" ht="15">
      <c r="A182" s="123" t="s">
        <v>82</v>
      </c>
      <c r="B182" s="15">
        <f t="shared" si="33"/>
        <v>0</v>
      </c>
      <c r="C182" s="609" t="s">
        <v>109</v>
      </c>
      <c r="D182" s="609" t="s">
        <v>109</v>
      </c>
      <c r="E182" s="609" t="s">
        <v>109</v>
      </c>
      <c r="F182" s="609" t="s">
        <v>109</v>
      </c>
      <c r="G182" s="609" t="s">
        <v>109</v>
      </c>
      <c r="H182" s="609" t="s">
        <v>109</v>
      </c>
      <c r="I182" s="609" t="s">
        <v>109</v>
      </c>
      <c r="J182" s="609" t="s">
        <v>109</v>
      </c>
      <c r="K182" s="609" t="s">
        <v>109</v>
      </c>
      <c r="L182" s="609" t="s">
        <v>109</v>
      </c>
      <c r="M182" s="609" t="s">
        <v>109</v>
      </c>
      <c r="N182" s="609" t="s">
        <v>109</v>
      </c>
      <c r="O182" s="609" t="s">
        <v>109</v>
      </c>
      <c r="P182" s="609" t="s">
        <v>109</v>
      </c>
      <c r="Q182" s="609" t="s">
        <v>109</v>
      </c>
      <c r="R182" s="609" t="s">
        <v>109</v>
      </c>
      <c r="S182" s="609" t="s">
        <v>109</v>
      </c>
      <c r="T182" s="609" t="s">
        <v>109</v>
      </c>
      <c r="U182" s="609" t="s">
        <v>109</v>
      </c>
      <c r="V182" s="609" t="s">
        <v>109</v>
      </c>
      <c r="W182" s="609" t="s">
        <v>109</v>
      </c>
      <c r="X182" s="1091"/>
      <c r="Y182" s="1091"/>
      <c r="Z182" s="1091"/>
      <c r="AA182" s="1091"/>
      <c r="AB182" s="1091"/>
      <c r="AC182" s="1091"/>
      <c r="AD182" s="1091"/>
      <c r="AE182" s="1268"/>
      <c r="AF182" s="1091"/>
      <c r="AG182" s="1268"/>
      <c r="AH182" s="39">
        <f t="shared" si="34"/>
        <v>0</v>
      </c>
    </row>
    <row r="183" spans="1:36" ht="15">
      <c r="A183" s="123" t="s">
        <v>83</v>
      </c>
      <c r="B183" s="15">
        <f t="shared" si="33"/>
        <v>0</v>
      </c>
      <c r="C183" s="1091"/>
      <c r="D183" s="1091"/>
      <c r="E183" s="1091"/>
      <c r="F183" s="1091"/>
      <c r="G183" s="1229"/>
      <c r="H183" s="1091"/>
      <c r="I183" s="1091"/>
      <c r="J183" s="1091"/>
      <c r="K183" s="1091"/>
      <c r="L183" s="1091"/>
      <c r="M183" s="1091"/>
      <c r="N183" s="1091"/>
      <c r="O183" s="1091"/>
      <c r="P183" s="1091"/>
      <c r="Q183" s="1091"/>
      <c r="R183" s="1091"/>
      <c r="S183" s="1091"/>
      <c r="T183" s="1091"/>
      <c r="U183" s="1091"/>
      <c r="V183" s="1091"/>
      <c r="W183" s="1091"/>
      <c r="X183" s="1091"/>
      <c r="Y183" s="1229"/>
      <c r="Z183" s="1091"/>
      <c r="AA183" s="1091"/>
      <c r="AB183" s="1091"/>
      <c r="AC183" s="1091"/>
      <c r="AD183" s="1091"/>
      <c r="AE183" s="1268"/>
      <c r="AF183" s="1091"/>
      <c r="AG183" s="1268"/>
      <c r="AH183" s="39">
        <f t="shared" si="34"/>
        <v>0</v>
      </c>
    </row>
    <row r="184" spans="1:36" ht="15">
      <c r="A184" s="123" t="s">
        <v>84</v>
      </c>
      <c r="B184" s="15">
        <f t="shared" si="33"/>
        <v>0</v>
      </c>
      <c r="C184" s="1091"/>
      <c r="D184" s="1091"/>
      <c r="E184" s="1091"/>
      <c r="F184" s="1091"/>
      <c r="G184" s="1091"/>
      <c r="H184" s="1091"/>
      <c r="I184" s="1091"/>
      <c r="J184" s="1091"/>
      <c r="K184" s="1091"/>
      <c r="L184" s="1091"/>
      <c r="M184" s="1091"/>
      <c r="N184" s="1091"/>
      <c r="O184" s="1091"/>
      <c r="P184" s="1091"/>
      <c r="Q184" s="1091"/>
      <c r="R184" s="1091"/>
      <c r="S184" s="1091"/>
      <c r="T184" s="1091"/>
      <c r="U184" s="1091"/>
      <c r="V184" s="1091"/>
      <c r="W184" s="1091"/>
      <c r="X184" s="1091"/>
      <c r="Y184" s="1091"/>
      <c r="Z184" s="1091"/>
      <c r="AA184" s="1091"/>
      <c r="AB184" s="1091"/>
      <c r="AC184" s="1091"/>
      <c r="AD184" s="1091"/>
      <c r="AE184" s="1091"/>
      <c r="AF184" s="1091"/>
      <c r="AG184" s="1091"/>
      <c r="AH184" s="39">
        <f t="shared" si="34"/>
        <v>0</v>
      </c>
    </row>
    <row r="185" spans="1:36" ht="15">
      <c r="A185" s="71" t="s">
        <v>72</v>
      </c>
      <c r="B185" s="72">
        <f>SUM(B173:B184)</f>
        <v>43.254000000000005</v>
      </c>
      <c r="C185" s="32">
        <f>SUM(C173:C183)</f>
        <v>2.8039999999999998</v>
      </c>
      <c r="D185" s="39">
        <f>SUM(D173:D183)</f>
        <v>0</v>
      </c>
      <c r="E185" s="39">
        <v>0</v>
      </c>
      <c r="F185" s="39">
        <f t="shared" ref="F185:AC185" si="35">SUM(F173:F183)</f>
        <v>0</v>
      </c>
      <c r="G185" s="39">
        <f t="shared" si="35"/>
        <v>0</v>
      </c>
      <c r="H185" s="39">
        <f t="shared" si="35"/>
        <v>0</v>
      </c>
      <c r="I185" s="39">
        <f t="shared" si="35"/>
        <v>6.1420000000000003</v>
      </c>
      <c r="J185" s="39">
        <f t="shared" si="35"/>
        <v>0</v>
      </c>
      <c r="K185" s="39">
        <f t="shared" si="35"/>
        <v>0</v>
      </c>
      <c r="L185" s="39">
        <f t="shared" si="35"/>
        <v>0</v>
      </c>
      <c r="M185" s="39">
        <f t="shared" si="35"/>
        <v>0</v>
      </c>
      <c r="N185" s="39">
        <f t="shared" si="35"/>
        <v>0</v>
      </c>
      <c r="O185" s="39">
        <f t="shared" si="35"/>
        <v>0</v>
      </c>
      <c r="P185" s="39">
        <f t="shared" si="35"/>
        <v>0</v>
      </c>
      <c r="Q185" s="39">
        <f t="shared" si="35"/>
        <v>0.52500000000000002</v>
      </c>
      <c r="R185" s="39">
        <f t="shared" si="35"/>
        <v>5.1020000000000003</v>
      </c>
      <c r="S185" s="39">
        <f t="shared" si="35"/>
        <v>9.0329999999999995</v>
      </c>
      <c r="T185" s="39">
        <f t="shared" si="35"/>
        <v>7.7910000000000004</v>
      </c>
      <c r="U185" s="39">
        <f t="shared" si="35"/>
        <v>0</v>
      </c>
      <c r="V185" s="39">
        <f t="shared" si="35"/>
        <v>0.97</v>
      </c>
      <c r="W185" s="39">
        <f t="shared" si="35"/>
        <v>1.167</v>
      </c>
      <c r="X185" s="39">
        <f t="shared" si="35"/>
        <v>5.3949999999999996</v>
      </c>
      <c r="Y185" s="39">
        <f t="shared" si="35"/>
        <v>2.7210000000000001</v>
      </c>
      <c r="Z185" s="39">
        <f t="shared" si="35"/>
        <v>0</v>
      </c>
      <c r="AA185" s="39">
        <f t="shared" si="35"/>
        <v>0</v>
      </c>
      <c r="AB185" s="39">
        <f t="shared" si="35"/>
        <v>0</v>
      </c>
      <c r="AC185" s="39">
        <f t="shared" si="35"/>
        <v>0</v>
      </c>
      <c r="AD185" s="39">
        <v>0</v>
      </c>
      <c r="AE185" s="39">
        <f>SUM(AE173:AE183)</f>
        <v>0</v>
      </c>
      <c r="AF185" s="39">
        <f>SUM(AF173:AF183)</f>
        <v>0</v>
      </c>
      <c r="AG185" s="39">
        <f>SUM(AG173:AG183)</f>
        <v>0</v>
      </c>
      <c r="AH185" s="32">
        <f>SUM(AH173:AH183)</f>
        <v>43.254000000000005</v>
      </c>
    </row>
    <row r="186" spans="1:36" ht="5.0999999999999996" customHeight="1">
      <c r="A186" s="36"/>
      <c r="B186" s="37"/>
      <c r="C186" s="13"/>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13"/>
    </row>
    <row r="187" spans="1:36" ht="15">
      <c r="A187" s="3811" t="s">
        <v>55</v>
      </c>
      <c r="B187" s="3812"/>
      <c r="C187" s="3812"/>
      <c r="D187" s="3812"/>
      <c r="E187" s="3812"/>
      <c r="F187" s="3812"/>
      <c r="G187" s="3812"/>
      <c r="H187" s="3813"/>
      <c r="I187" s="1262"/>
      <c r="J187" s="29"/>
      <c r="K187" s="29"/>
      <c r="L187" s="29"/>
      <c r="M187" s="29"/>
      <c r="N187" s="29"/>
      <c r="O187" s="29"/>
      <c r="P187" s="29"/>
      <c r="Q187" s="29"/>
      <c r="R187" s="29"/>
      <c r="S187" s="11"/>
      <c r="T187" s="11"/>
      <c r="U187" s="11"/>
      <c r="V187" s="11"/>
      <c r="W187" s="11"/>
      <c r="X187" s="11"/>
      <c r="Y187" s="11"/>
      <c r="Z187" s="11"/>
      <c r="AA187" s="11"/>
      <c r="AB187" s="11"/>
      <c r="AC187" s="11"/>
      <c r="AD187" s="11"/>
      <c r="AE187" s="11"/>
      <c r="AF187" s="11"/>
      <c r="AG187" s="11"/>
      <c r="AH187" s="11"/>
    </row>
    <row r="188" spans="1:36" ht="15">
      <c r="A188" s="5" t="s">
        <v>70</v>
      </c>
      <c r="B188" s="5" t="s">
        <v>71</v>
      </c>
      <c r="C188" s="1054">
        <v>1</v>
      </c>
      <c r="D188" s="21">
        <v>2</v>
      </c>
      <c r="E188" s="21">
        <v>3</v>
      </c>
      <c r="F188" s="21">
        <v>4</v>
      </c>
      <c r="G188" s="21">
        <v>5</v>
      </c>
      <c r="H188" s="21">
        <v>6</v>
      </c>
      <c r="I188" s="21">
        <v>7</v>
      </c>
      <c r="J188" s="21">
        <v>8</v>
      </c>
      <c r="K188" s="21">
        <v>9</v>
      </c>
      <c r="L188" s="21">
        <v>10</v>
      </c>
      <c r="M188" s="21">
        <v>11</v>
      </c>
      <c r="N188" s="21">
        <v>12</v>
      </c>
      <c r="O188" s="21">
        <v>13</v>
      </c>
      <c r="P188" s="21">
        <v>14</v>
      </c>
      <c r="Q188" s="21">
        <v>15</v>
      </c>
      <c r="R188" s="21">
        <v>16</v>
      </c>
      <c r="S188" s="21">
        <v>17</v>
      </c>
      <c r="T188" s="21">
        <v>18</v>
      </c>
      <c r="U188" s="21">
        <v>19</v>
      </c>
      <c r="V188" s="21">
        <v>20</v>
      </c>
      <c r="W188" s="21">
        <v>21</v>
      </c>
      <c r="X188" s="21">
        <v>22</v>
      </c>
      <c r="Y188" s="21">
        <v>23</v>
      </c>
      <c r="Z188" s="21">
        <v>24</v>
      </c>
      <c r="AA188" s="21">
        <v>25</v>
      </c>
      <c r="AB188" s="21">
        <v>26</v>
      </c>
      <c r="AC188" s="21">
        <v>27</v>
      </c>
      <c r="AD188" s="21">
        <v>28</v>
      </c>
      <c r="AE188" s="21">
        <v>29</v>
      </c>
      <c r="AF188" s="21">
        <v>30</v>
      </c>
      <c r="AG188" s="21">
        <v>31</v>
      </c>
      <c r="AH188" s="25" t="s">
        <v>72</v>
      </c>
      <c r="AI188" s="2266" t="s">
        <v>1345</v>
      </c>
      <c r="AJ188" s="66">
        <f>(B201/COUNTIF($C$189:$AG$200,"&gt;0"))</f>
        <v>6.5939285714285729</v>
      </c>
    </row>
    <row r="189" spans="1:36" ht="15">
      <c r="A189" s="122" t="s">
        <v>73</v>
      </c>
      <c r="B189" s="52">
        <f t="shared" ref="B189:B200" si="36">+AH189</f>
        <v>0</v>
      </c>
      <c r="C189" s="107" t="s">
        <v>109</v>
      </c>
      <c r="D189" s="107" t="s">
        <v>109</v>
      </c>
      <c r="E189" s="107" t="s">
        <v>109</v>
      </c>
      <c r="F189" s="107" t="s">
        <v>109</v>
      </c>
      <c r="G189" s="107" t="s">
        <v>109</v>
      </c>
      <c r="H189" s="107" t="s">
        <v>109</v>
      </c>
      <c r="I189" s="107" t="s">
        <v>109</v>
      </c>
      <c r="J189" s="107" t="s">
        <v>109</v>
      </c>
      <c r="K189" s="107" t="s">
        <v>109</v>
      </c>
      <c r="L189" s="107" t="s">
        <v>109</v>
      </c>
      <c r="M189" s="107" t="s">
        <v>109</v>
      </c>
      <c r="N189" s="107" t="s">
        <v>109</v>
      </c>
      <c r="O189" s="107" t="s">
        <v>109</v>
      </c>
      <c r="P189" s="107" t="s">
        <v>109</v>
      </c>
      <c r="Q189" s="107" t="s">
        <v>109</v>
      </c>
      <c r="R189" s="107" t="s">
        <v>109</v>
      </c>
      <c r="S189" s="107" t="s">
        <v>109</v>
      </c>
      <c r="T189" s="107" t="s">
        <v>109</v>
      </c>
      <c r="U189" s="107" t="s">
        <v>109</v>
      </c>
      <c r="V189" s="107" t="s">
        <v>109</v>
      </c>
      <c r="W189" s="107" t="s">
        <v>109</v>
      </c>
      <c r="X189" s="107" t="s">
        <v>109</v>
      </c>
      <c r="Y189" s="107" t="s">
        <v>109</v>
      </c>
      <c r="Z189" s="107" t="s">
        <v>109</v>
      </c>
      <c r="AA189" s="107" t="s">
        <v>109</v>
      </c>
      <c r="AB189" s="107" t="s">
        <v>109</v>
      </c>
      <c r="AC189" s="107" t="s">
        <v>109</v>
      </c>
      <c r="AD189" s="107" t="s">
        <v>109</v>
      </c>
      <c r="AE189" s="107" t="s">
        <v>109</v>
      </c>
      <c r="AF189" s="107" t="s">
        <v>109</v>
      </c>
      <c r="AG189" s="107" t="s">
        <v>109</v>
      </c>
      <c r="AH189" s="39">
        <f>SUM(C189:AG189)</f>
        <v>0</v>
      </c>
      <c r="AJ189" s="66">
        <f>+'Resumen RAE Anchoveta'!G237</f>
        <v>102.58199999999997</v>
      </c>
    </row>
    <row r="190" spans="1:36" ht="15">
      <c r="A190" s="122" t="s">
        <v>74</v>
      </c>
      <c r="B190" s="52">
        <f t="shared" si="36"/>
        <v>44.939000000000007</v>
      </c>
      <c r="C190" s="107" t="s">
        <v>109</v>
      </c>
      <c r="D190" s="107" t="s">
        <v>109</v>
      </c>
      <c r="E190" s="107" t="s">
        <v>109</v>
      </c>
      <c r="F190" s="107" t="s">
        <v>109</v>
      </c>
      <c r="G190" s="107" t="s">
        <v>109</v>
      </c>
      <c r="H190" s="107" t="s">
        <v>109</v>
      </c>
      <c r="I190" s="107" t="s">
        <v>109</v>
      </c>
      <c r="J190" s="108">
        <v>3.972</v>
      </c>
      <c r="K190" s="108">
        <v>0</v>
      </c>
      <c r="L190" s="108">
        <v>18.167999999999999</v>
      </c>
      <c r="M190" s="108">
        <v>0</v>
      </c>
      <c r="N190" s="108">
        <v>0</v>
      </c>
      <c r="O190" s="108">
        <v>0</v>
      </c>
      <c r="P190" s="108">
        <v>0</v>
      </c>
      <c r="Q190" s="108">
        <v>10.188000000000001</v>
      </c>
      <c r="R190" s="108">
        <v>11.502000000000001</v>
      </c>
      <c r="S190" s="108">
        <v>0</v>
      </c>
      <c r="T190" s="108">
        <v>0</v>
      </c>
      <c r="U190" s="108">
        <v>1.109</v>
      </c>
      <c r="V190" s="108">
        <v>0</v>
      </c>
      <c r="W190" s="108">
        <v>0</v>
      </c>
      <c r="X190" s="108">
        <v>0</v>
      </c>
      <c r="Y190" s="108">
        <v>0</v>
      </c>
      <c r="Z190" s="108">
        <v>0</v>
      </c>
      <c r="AA190" s="108">
        <v>0</v>
      </c>
      <c r="AB190" s="108">
        <v>0</v>
      </c>
      <c r="AC190" s="108">
        <v>0</v>
      </c>
      <c r="AD190" s="108">
        <v>0</v>
      </c>
      <c r="AE190" s="108"/>
      <c r="AF190" s="108"/>
      <c r="AG190" s="108"/>
      <c r="AH190" s="39">
        <f>SUM(C190:AG190)</f>
        <v>44.939000000000007</v>
      </c>
      <c r="AJ190" s="1093">
        <f>+AJ189/AJ188</f>
        <v>15.557038401126569</v>
      </c>
    </row>
    <row r="191" spans="1:36" ht="15">
      <c r="A191" s="122" t="s">
        <v>75</v>
      </c>
      <c r="B191" s="52">
        <f t="shared" si="36"/>
        <v>6.6050000000000004</v>
      </c>
      <c r="C191" s="108">
        <v>0</v>
      </c>
      <c r="D191" s="108">
        <v>0</v>
      </c>
      <c r="E191" s="108">
        <v>0</v>
      </c>
      <c r="F191" s="108">
        <v>0</v>
      </c>
      <c r="G191" s="108">
        <v>0</v>
      </c>
      <c r="H191" s="94">
        <v>0</v>
      </c>
      <c r="I191" s="94">
        <v>0</v>
      </c>
      <c r="J191" s="94">
        <v>0</v>
      </c>
      <c r="K191" s="94">
        <v>0</v>
      </c>
      <c r="L191" s="94">
        <v>0</v>
      </c>
      <c r="M191" s="94">
        <v>0</v>
      </c>
      <c r="N191" s="94">
        <v>0</v>
      </c>
      <c r="O191" s="94">
        <v>0</v>
      </c>
      <c r="P191" s="94">
        <v>0</v>
      </c>
      <c r="Q191" s="94">
        <v>6.6050000000000004</v>
      </c>
      <c r="R191" s="94">
        <v>0</v>
      </c>
      <c r="S191" s="15">
        <v>0</v>
      </c>
      <c r="T191" s="15"/>
      <c r="U191" s="15"/>
      <c r="V191" s="15"/>
      <c r="W191" s="15"/>
      <c r="X191" s="15"/>
      <c r="Y191" s="15"/>
      <c r="Z191" s="15"/>
      <c r="AA191" s="15"/>
      <c r="AB191" s="15"/>
      <c r="AC191" s="1689"/>
      <c r="AD191" s="1689"/>
      <c r="AE191" s="1689"/>
      <c r="AF191" s="1689"/>
      <c r="AG191" s="1689"/>
      <c r="AH191" s="39">
        <f>SUM(C191:AG191)</f>
        <v>6.6050000000000004</v>
      </c>
    </row>
    <row r="192" spans="1:36" ht="15">
      <c r="A192" s="122" t="s">
        <v>76</v>
      </c>
      <c r="B192" s="52">
        <f t="shared" si="36"/>
        <v>7.875</v>
      </c>
      <c r="C192" s="1689">
        <v>0</v>
      </c>
      <c r="D192" s="1689">
        <v>0</v>
      </c>
      <c r="E192" s="1689">
        <v>0</v>
      </c>
      <c r="F192" s="1689">
        <v>0</v>
      </c>
      <c r="G192" s="1689">
        <v>0</v>
      </c>
      <c r="H192" s="1689">
        <v>0</v>
      </c>
      <c r="I192" s="1689">
        <v>0</v>
      </c>
      <c r="J192" s="1689">
        <v>0</v>
      </c>
      <c r="K192" s="1689">
        <v>0</v>
      </c>
      <c r="L192" s="1091">
        <v>0</v>
      </c>
      <c r="M192" s="1091">
        <v>0</v>
      </c>
      <c r="N192" s="1091">
        <v>0</v>
      </c>
      <c r="O192" s="1091">
        <v>0</v>
      </c>
      <c r="P192" s="1091">
        <v>0</v>
      </c>
      <c r="Q192" s="1091">
        <v>0</v>
      </c>
      <c r="R192" s="1091">
        <v>1.915</v>
      </c>
      <c r="S192" s="1091">
        <v>0</v>
      </c>
      <c r="T192" s="1091">
        <v>0</v>
      </c>
      <c r="U192" s="1091">
        <v>0</v>
      </c>
      <c r="V192" s="1091">
        <v>0</v>
      </c>
      <c r="W192" s="1091">
        <v>6.7000000000000004E-2</v>
      </c>
      <c r="X192" s="1091">
        <v>3.7130000000000001</v>
      </c>
      <c r="Y192" s="1091">
        <v>2.1800000000000002</v>
      </c>
      <c r="Z192" s="1091">
        <v>0</v>
      </c>
      <c r="AA192" s="1091"/>
      <c r="AB192" s="1091"/>
      <c r="AC192" s="1091"/>
      <c r="AD192" s="1091"/>
      <c r="AE192" s="1091"/>
      <c r="AF192" s="1091"/>
      <c r="AG192" s="1091"/>
      <c r="AH192" s="39">
        <f t="shared" ref="AH192:AH200" si="37">SUM(C192:AG192)</f>
        <v>7.875</v>
      </c>
    </row>
    <row r="193" spans="1:36" ht="15">
      <c r="A193" s="120" t="s">
        <v>77</v>
      </c>
      <c r="B193" s="52">
        <f t="shared" si="36"/>
        <v>3.1469999999999998</v>
      </c>
      <c r="C193" s="1091"/>
      <c r="D193" s="1091"/>
      <c r="E193" s="1091"/>
      <c r="F193" s="1091"/>
      <c r="G193" s="1091"/>
      <c r="H193" s="1091"/>
      <c r="I193" s="1091"/>
      <c r="J193" s="1091"/>
      <c r="K193" s="1091"/>
      <c r="L193" s="1091"/>
      <c r="M193" s="1091"/>
      <c r="N193" s="1091"/>
      <c r="O193" s="1091"/>
      <c r="P193" s="1091"/>
      <c r="Q193" s="1091"/>
      <c r="R193" s="1091"/>
      <c r="S193" s="1091">
        <v>3.1469999999999998</v>
      </c>
      <c r="T193" s="1091">
        <v>0</v>
      </c>
      <c r="U193" s="1091">
        <v>0</v>
      </c>
      <c r="V193" s="1091">
        <v>0</v>
      </c>
      <c r="W193" s="1091">
        <v>0</v>
      </c>
      <c r="X193" s="1091">
        <v>0</v>
      </c>
      <c r="Y193" s="1091">
        <v>0</v>
      </c>
      <c r="Z193" s="1091">
        <v>0</v>
      </c>
      <c r="AA193" s="1091">
        <v>0</v>
      </c>
      <c r="AB193" s="1091">
        <v>0</v>
      </c>
      <c r="AC193" s="1091"/>
      <c r="AD193" s="1091"/>
      <c r="AE193" s="1091"/>
      <c r="AF193" s="1091"/>
      <c r="AG193" s="1091"/>
      <c r="AH193" s="39">
        <f t="shared" si="37"/>
        <v>3.1469999999999998</v>
      </c>
    </row>
    <row r="194" spans="1:36" ht="15">
      <c r="A194" s="120" t="s">
        <v>78</v>
      </c>
      <c r="B194" s="52">
        <f t="shared" si="36"/>
        <v>8.1460000000000008</v>
      </c>
      <c r="C194" s="1091"/>
      <c r="D194" s="1091"/>
      <c r="E194" s="1091"/>
      <c r="F194" s="1091"/>
      <c r="G194" s="1091"/>
      <c r="H194" s="1091"/>
      <c r="I194" s="1091"/>
      <c r="J194" s="1091"/>
      <c r="K194" s="1091"/>
      <c r="L194" s="1091"/>
      <c r="M194" s="1091"/>
      <c r="N194" s="1091"/>
      <c r="O194" s="1091"/>
      <c r="P194" s="1091"/>
      <c r="Q194" s="1091"/>
      <c r="R194" s="1091"/>
      <c r="S194" s="1091"/>
      <c r="T194" s="1091">
        <v>8.1460000000000008</v>
      </c>
      <c r="U194" s="1091"/>
      <c r="V194" s="1091"/>
      <c r="W194" s="1091"/>
      <c r="X194" s="1091"/>
      <c r="Y194" s="1091"/>
      <c r="Z194" s="1091"/>
      <c r="AA194" s="1091"/>
      <c r="AB194" s="1091"/>
      <c r="AC194" s="1091"/>
      <c r="AD194" s="1091"/>
      <c r="AE194" s="1091"/>
      <c r="AF194" s="1091"/>
      <c r="AG194" s="1091"/>
      <c r="AH194" s="39">
        <f t="shared" si="37"/>
        <v>8.1460000000000008</v>
      </c>
    </row>
    <row r="195" spans="1:36" ht="15">
      <c r="A195" s="120" t="s">
        <v>79</v>
      </c>
      <c r="B195" s="52">
        <f t="shared" si="36"/>
        <v>0</v>
      </c>
      <c r="C195" s="1091"/>
      <c r="D195" s="1268"/>
      <c r="E195" s="1268"/>
      <c r="F195" s="1268"/>
      <c r="G195" s="1091"/>
      <c r="H195" s="1091"/>
      <c r="I195" s="1091"/>
      <c r="J195" s="2068"/>
      <c r="K195" s="2068"/>
      <c r="L195" s="1268"/>
      <c r="M195" s="1268"/>
      <c r="N195" s="1268"/>
      <c r="O195" s="1268"/>
      <c r="P195" s="1268"/>
      <c r="Q195" s="1268"/>
      <c r="R195" s="1268"/>
      <c r="S195" s="1268"/>
      <c r="T195" s="1268"/>
      <c r="U195" s="1268"/>
      <c r="V195" s="1268"/>
      <c r="W195" s="609"/>
      <c r="X195" s="609"/>
      <c r="Y195" s="609"/>
      <c r="Z195" s="609"/>
      <c r="AA195" s="609"/>
      <c r="AB195" s="609"/>
      <c r="AC195" s="609"/>
      <c r="AD195" s="609"/>
      <c r="AE195" s="609"/>
      <c r="AF195" s="609" t="s">
        <v>109</v>
      </c>
      <c r="AG195" s="609" t="s">
        <v>109</v>
      </c>
      <c r="AH195" s="39">
        <f t="shared" si="37"/>
        <v>0</v>
      </c>
    </row>
    <row r="196" spans="1:36" ht="15">
      <c r="A196" s="120" t="s">
        <v>80</v>
      </c>
      <c r="B196" s="52">
        <f t="shared" si="36"/>
        <v>0</v>
      </c>
      <c r="C196" s="609" t="s">
        <v>109</v>
      </c>
      <c r="D196" s="609" t="s">
        <v>109</v>
      </c>
      <c r="E196" s="609" t="s">
        <v>109</v>
      </c>
      <c r="F196" s="609" t="s">
        <v>109</v>
      </c>
      <c r="G196" s="609" t="s">
        <v>109</v>
      </c>
      <c r="H196" s="609" t="s">
        <v>109</v>
      </c>
      <c r="I196" s="609" t="s">
        <v>109</v>
      </c>
      <c r="J196" s="609" t="s">
        <v>109</v>
      </c>
      <c r="K196" s="609" t="s">
        <v>109</v>
      </c>
      <c r="L196" s="609" t="s">
        <v>109</v>
      </c>
      <c r="M196" s="609" t="s">
        <v>109</v>
      </c>
      <c r="N196" s="609" t="s">
        <v>109</v>
      </c>
      <c r="O196" s="609" t="s">
        <v>109</v>
      </c>
      <c r="P196" s="609" t="s">
        <v>109</v>
      </c>
      <c r="Q196" s="609" t="s">
        <v>109</v>
      </c>
      <c r="R196" s="609" t="s">
        <v>109</v>
      </c>
      <c r="S196" s="609" t="s">
        <v>109</v>
      </c>
      <c r="T196" s="609" t="s">
        <v>109</v>
      </c>
      <c r="U196" s="609" t="s">
        <v>109</v>
      </c>
      <c r="V196" s="609" t="s">
        <v>109</v>
      </c>
      <c r="W196" s="609" t="s">
        <v>109</v>
      </c>
      <c r="X196" s="609" t="s">
        <v>109</v>
      </c>
      <c r="Y196" s="609" t="s">
        <v>109</v>
      </c>
      <c r="Z196" s="609" t="s">
        <v>109</v>
      </c>
      <c r="AA196" s="609" t="s">
        <v>109</v>
      </c>
      <c r="AB196" s="609" t="s">
        <v>109</v>
      </c>
      <c r="AC196" s="609" t="s">
        <v>109</v>
      </c>
      <c r="AD196" s="609" t="s">
        <v>109</v>
      </c>
      <c r="AE196" s="609" t="s">
        <v>109</v>
      </c>
      <c r="AF196" s="609" t="s">
        <v>109</v>
      </c>
      <c r="AG196" s="609" t="s">
        <v>109</v>
      </c>
      <c r="AH196" s="39">
        <f t="shared" si="37"/>
        <v>0</v>
      </c>
    </row>
    <row r="197" spans="1:36" ht="15">
      <c r="A197" s="123" t="s">
        <v>81</v>
      </c>
      <c r="B197" s="52">
        <f t="shared" si="36"/>
        <v>0</v>
      </c>
      <c r="C197" s="609" t="s">
        <v>109</v>
      </c>
      <c r="D197" s="609" t="s">
        <v>109</v>
      </c>
      <c r="E197" s="609" t="s">
        <v>109</v>
      </c>
      <c r="F197" s="609" t="s">
        <v>109</v>
      </c>
      <c r="G197" s="609" t="s">
        <v>109</v>
      </c>
      <c r="H197" s="609" t="s">
        <v>109</v>
      </c>
      <c r="I197" s="609" t="s">
        <v>109</v>
      </c>
      <c r="J197" s="609" t="s">
        <v>109</v>
      </c>
      <c r="K197" s="609" t="s">
        <v>109</v>
      </c>
      <c r="L197" s="609" t="s">
        <v>109</v>
      </c>
      <c r="M197" s="609" t="s">
        <v>109</v>
      </c>
      <c r="N197" s="609" t="s">
        <v>109</v>
      </c>
      <c r="O197" s="609" t="s">
        <v>109</v>
      </c>
      <c r="P197" s="609" t="s">
        <v>109</v>
      </c>
      <c r="Q197" s="609" t="s">
        <v>109</v>
      </c>
      <c r="R197" s="609" t="s">
        <v>109</v>
      </c>
      <c r="S197" s="609" t="s">
        <v>109</v>
      </c>
      <c r="T197" s="609" t="s">
        <v>109</v>
      </c>
      <c r="U197" s="609" t="s">
        <v>109</v>
      </c>
      <c r="V197" s="609" t="s">
        <v>109</v>
      </c>
      <c r="W197" s="609" t="s">
        <v>109</v>
      </c>
      <c r="X197" s="609" t="s">
        <v>109</v>
      </c>
      <c r="Y197" s="609" t="s">
        <v>109</v>
      </c>
      <c r="Z197" s="609" t="s">
        <v>109</v>
      </c>
      <c r="AA197" s="609" t="s">
        <v>109</v>
      </c>
      <c r="AB197" s="609" t="s">
        <v>109</v>
      </c>
      <c r="AC197" s="609" t="s">
        <v>109</v>
      </c>
      <c r="AD197" s="609" t="s">
        <v>109</v>
      </c>
      <c r="AE197" s="609" t="s">
        <v>109</v>
      </c>
      <c r="AF197" s="609" t="s">
        <v>109</v>
      </c>
      <c r="AG197" s="609" t="s">
        <v>109</v>
      </c>
      <c r="AH197" s="39">
        <f t="shared" si="37"/>
        <v>0</v>
      </c>
    </row>
    <row r="198" spans="1:36" ht="15">
      <c r="A198" s="123" t="s">
        <v>82</v>
      </c>
      <c r="B198" s="52">
        <f t="shared" si="36"/>
        <v>0</v>
      </c>
      <c r="C198" s="609" t="s">
        <v>109</v>
      </c>
      <c r="D198" s="609" t="s">
        <v>109</v>
      </c>
      <c r="E198" s="609" t="s">
        <v>109</v>
      </c>
      <c r="F198" s="609" t="s">
        <v>109</v>
      </c>
      <c r="G198" s="609" t="s">
        <v>109</v>
      </c>
      <c r="H198" s="609" t="s">
        <v>109</v>
      </c>
      <c r="I198" s="609" t="s">
        <v>109</v>
      </c>
      <c r="J198" s="609" t="s">
        <v>109</v>
      </c>
      <c r="K198" s="609" t="s">
        <v>109</v>
      </c>
      <c r="L198" s="609" t="s">
        <v>109</v>
      </c>
      <c r="M198" s="609" t="s">
        <v>109</v>
      </c>
      <c r="N198" s="609" t="s">
        <v>109</v>
      </c>
      <c r="O198" s="609" t="s">
        <v>109</v>
      </c>
      <c r="P198" s="609" t="s">
        <v>109</v>
      </c>
      <c r="Q198" s="609" t="s">
        <v>109</v>
      </c>
      <c r="R198" s="609" t="s">
        <v>109</v>
      </c>
      <c r="S198" s="609" t="s">
        <v>109</v>
      </c>
      <c r="T198" s="609" t="s">
        <v>109</v>
      </c>
      <c r="U198" s="609" t="s">
        <v>109</v>
      </c>
      <c r="V198" s="609" t="s">
        <v>109</v>
      </c>
      <c r="W198" s="609" t="s">
        <v>109</v>
      </c>
      <c r="X198" s="1091"/>
      <c r="Y198" s="1091"/>
      <c r="Z198" s="1091"/>
      <c r="AA198" s="1091"/>
      <c r="AB198" s="1091"/>
      <c r="AC198" s="1091"/>
      <c r="AD198" s="1091"/>
      <c r="AE198" s="1268"/>
      <c r="AF198" s="1091"/>
      <c r="AG198" s="1268"/>
      <c r="AH198" s="39">
        <f t="shared" si="37"/>
        <v>0</v>
      </c>
    </row>
    <row r="199" spans="1:36" ht="15">
      <c r="A199" s="123" t="s">
        <v>83</v>
      </c>
      <c r="B199" s="52">
        <f t="shared" si="36"/>
        <v>21.603000000000002</v>
      </c>
      <c r="C199" s="1091"/>
      <c r="D199" s="1091"/>
      <c r="E199" s="1091"/>
      <c r="F199" s="1091"/>
      <c r="G199" s="1229"/>
      <c r="H199" s="1091"/>
      <c r="I199" s="1091"/>
      <c r="J199" s="1091"/>
      <c r="K199" s="1091"/>
      <c r="L199" s="1091"/>
      <c r="M199" s="1091"/>
      <c r="N199" s="1091"/>
      <c r="O199" s="1091"/>
      <c r="P199" s="1091">
        <v>10.089</v>
      </c>
      <c r="Q199" s="1091">
        <v>11.513999999999999</v>
      </c>
      <c r="R199" s="1091"/>
      <c r="S199" s="1091"/>
      <c r="T199" s="1091"/>
      <c r="U199" s="1091"/>
      <c r="V199" s="1091"/>
      <c r="W199" s="1091"/>
      <c r="X199" s="1091"/>
      <c r="Y199" s="1229"/>
      <c r="Z199" s="1091"/>
      <c r="AA199" s="1091"/>
      <c r="AB199" s="1091"/>
      <c r="AC199" s="1091"/>
      <c r="AD199" s="1091"/>
      <c r="AE199" s="1268"/>
      <c r="AF199" s="1091"/>
      <c r="AG199" s="1268"/>
      <c r="AH199" s="39">
        <f t="shared" si="37"/>
        <v>21.603000000000002</v>
      </c>
    </row>
    <row r="200" spans="1:36" ht="15">
      <c r="A200" s="123" t="s">
        <v>84</v>
      </c>
      <c r="B200" s="52">
        <f t="shared" si="36"/>
        <v>0</v>
      </c>
      <c r="C200" s="35"/>
      <c r="D200" s="15"/>
      <c r="E200" s="15"/>
      <c r="F200" s="15"/>
      <c r="G200" s="15"/>
      <c r="H200" s="15"/>
      <c r="I200" s="15"/>
      <c r="J200" s="15"/>
      <c r="K200" s="15"/>
      <c r="L200" s="15"/>
      <c r="M200" s="15"/>
      <c r="N200" s="15"/>
      <c r="O200" s="15"/>
      <c r="P200" s="1091"/>
      <c r="Q200" s="1091"/>
      <c r="R200" s="1091"/>
      <c r="S200" s="1091"/>
      <c r="T200" s="1091"/>
      <c r="U200" s="1091"/>
      <c r="V200" s="1091"/>
      <c r="W200" s="1091"/>
      <c r="X200" s="1091"/>
      <c r="Y200" s="1091"/>
      <c r="Z200" s="1091"/>
      <c r="AA200" s="1091"/>
      <c r="AB200" s="1091"/>
      <c r="AC200" s="1091"/>
      <c r="AD200" s="1091"/>
      <c r="AE200" s="1091"/>
      <c r="AF200" s="1091"/>
      <c r="AG200" s="1091"/>
      <c r="AH200" s="39">
        <f t="shared" si="37"/>
        <v>0</v>
      </c>
    </row>
    <row r="201" spans="1:36" ht="15">
      <c r="A201" s="71" t="s">
        <v>72</v>
      </c>
      <c r="B201" s="75">
        <f>SUM(B189:B200)</f>
        <v>92.315000000000026</v>
      </c>
      <c r="C201" s="32">
        <f>SUM(C189:C199)</f>
        <v>0</v>
      </c>
      <c r="D201" s="39">
        <f>SUM(D189:D199)</f>
        <v>0</v>
      </c>
      <c r="E201" s="39">
        <v>0</v>
      </c>
      <c r="F201" s="39">
        <f t="shared" ref="F201:AC201" si="38">SUM(F189:F199)</f>
        <v>0</v>
      </c>
      <c r="G201" s="39">
        <f t="shared" si="38"/>
        <v>0</v>
      </c>
      <c r="H201" s="39">
        <f t="shared" si="38"/>
        <v>0</v>
      </c>
      <c r="I201" s="39">
        <f t="shared" si="38"/>
        <v>0</v>
      </c>
      <c r="J201" s="39">
        <f t="shared" si="38"/>
        <v>3.972</v>
      </c>
      <c r="K201" s="39">
        <f t="shared" si="38"/>
        <v>0</v>
      </c>
      <c r="L201" s="39">
        <f t="shared" si="38"/>
        <v>18.167999999999999</v>
      </c>
      <c r="M201" s="39">
        <f t="shared" si="38"/>
        <v>0</v>
      </c>
      <c r="N201" s="39">
        <f t="shared" si="38"/>
        <v>0</v>
      </c>
      <c r="O201" s="39">
        <f t="shared" si="38"/>
        <v>0</v>
      </c>
      <c r="P201" s="39">
        <f t="shared" si="38"/>
        <v>10.089</v>
      </c>
      <c r="Q201" s="39">
        <f t="shared" si="38"/>
        <v>28.306999999999999</v>
      </c>
      <c r="R201" s="39">
        <f t="shared" si="38"/>
        <v>13.417000000000002</v>
      </c>
      <c r="S201" s="39">
        <f t="shared" si="38"/>
        <v>3.1469999999999998</v>
      </c>
      <c r="T201" s="39">
        <f t="shared" si="38"/>
        <v>8.1460000000000008</v>
      </c>
      <c r="U201" s="39">
        <f t="shared" si="38"/>
        <v>1.109</v>
      </c>
      <c r="V201" s="39">
        <f t="shared" si="38"/>
        <v>0</v>
      </c>
      <c r="W201" s="39">
        <f t="shared" si="38"/>
        <v>6.7000000000000004E-2</v>
      </c>
      <c r="X201" s="39">
        <f t="shared" si="38"/>
        <v>3.7130000000000001</v>
      </c>
      <c r="Y201" s="39">
        <f t="shared" si="38"/>
        <v>2.1800000000000002</v>
      </c>
      <c r="Z201" s="39">
        <f t="shared" si="38"/>
        <v>0</v>
      </c>
      <c r="AA201" s="39">
        <f t="shared" si="38"/>
        <v>0</v>
      </c>
      <c r="AB201" s="39">
        <f t="shared" si="38"/>
        <v>0</v>
      </c>
      <c r="AC201" s="39">
        <f t="shared" si="38"/>
        <v>0</v>
      </c>
      <c r="AD201" s="39">
        <v>0</v>
      </c>
      <c r="AE201" s="39">
        <f>SUM(AE189:AE199)</f>
        <v>0</v>
      </c>
      <c r="AF201" s="39">
        <f>SUM(AF189:AF199)</f>
        <v>0</v>
      </c>
      <c r="AG201" s="39">
        <f>SUM(AG189:AG199)</f>
        <v>0</v>
      </c>
      <c r="AH201" s="32">
        <f>SUM(AH189:AH199)</f>
        <v>92.315000000000026</v>
      </c>
    </row>
    <row r="202" spans="1:36" ht="5.0999999999999996" customHeight="1">
      <c r="A202" s="36"/>
      <c r="B202" s="37"/>
      <c r="C202" s="13"/>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13"/>
    </row>
    <row r="203" spans="1:36" ht="15">
      <c r="A203" s="3811" t="s">
        <v>56</v>
      </c>
      <c r="B203" s="3812"/>
      <c r="C203" s="3812"/>
      <c r="D203" s="3812"/>
      <c r="E203" s="3812"/>
      <c r="F203" s="3812"/>
      <c r="G203" s="3812"/>
      <c r="H203" s="3813"/>
      <c r="I203" s="1262"/>
      <c r="J203" s="29"/>
      <c r="K203" s="29"/>
      <c r="L203" s="29"/>
      <c r="M203" s="29"/>
      <c r="N203" s="29"/>
      <c r="O203" s="29"/>
      <c r="P203" s="29"/>
      <c r="Q203" s="29"/>
      <c r="R203" s="29"/>
      <c r="S203" s="11"/>
      <c r="T203" s="11"/>
      <c r="U203" s="11"/>
      <c r="V203" s="11"/>
      <c r="W203" s="11"/>
      <c r="X203" s="11"/>
      <c r="Y203" s="11"/>
      <c r="Z203" s="11"/>
      <c r="AA203" s="11"/>
      <c r="AB203" s="11"/>
      <c r="AC203" s="11"/>
      <c r="AD203" s="11"/>
      <c r="AE203" s="11"/>
      <c r="AF203" s="11"/>
      <c r="AG203" s="11"/>
      <c r="AH203" s="11"/>
    </row>
    <row r="204" spans="1:36" ht="15">
      <c r="A204" s="5" t="s">
        <v>70</v>
      </c>
      <c r="B204" s="5" t="s">
        <v>71</v>
      </c>
      <c r="C204" s="1054">
        <v>1</v>
      </c>
      <c r="D204" s="21">
        <v>2</v>
      </c>
      <c r="E204" s="21">
        <v>3</v>
      </c>
      <c r="F204" s="21">
        <v>4</v>
      </c>
      <c r="G204" s="21">
        <v>5</v>
      </c>
      <c r="H204" s="21">
        <v>6</v>
      </c>
      <c r="I204" s="21">
        <v>7</v>
      </c>
      <c r="J204" s="21">
        <v>8</v>
      </c>
      <c r="K204" s="21">
        <v>9</v>
      </c>
      <c r="L204" s="21">
        <v>10</v>
      </c>
      <c r="M204" s="21">
        <v>11</v>
      </c>
      <c r="N204" s="21">
        <v>12</v>
      </c>
      <c r="O204" s="21">
        <v>13</v>
      </c>
      <c r="P204" s="21">
        <v>14</v>
      </c>
      <c r="Q204" s="21">
        <v>15</v>
      </c>
      <c r="R204" s="21">
        <v>16</v>
      </c>
      <c r="S204" s="21">
        <v>17</v>
      </c>
      <c r="T204" s="21">
        <v>18</v>
      </c>
      <c r="U204" s="21">
        <v>19</v>
      </c>
      <c r="V204" s="21">
        <v>20</v>
      </c>
      <c r="W204" s="21">
        <v>21</v>
      </c>
      <c r="X204" s="21">
        <v>22</v>
      </c>
      <c r="Y204" s="21">
        <v>23</v>
      </c>
      <c r="Z204" s="21">
        <v>24</v>
      </c>
      <c r="AA204" s="21">
        <v>25</v>
      </c>
      <c r="AB204" s="21">
        <v>26</v>
      </c>
      <c r="AC204" s="21">
        <v>27</v>
      </c>
      <c r="AD204" s="21">
        <v>28</v>
      </c>
      <c r="AE204" s="21">
        <v>29</v>
      </c>
      <c r="AF204" s="21">
        <v>30</v>
      </c>
      <c r="AG204" s="21">
        <v>31</v>
      </c>
      <c r="AH204" s="25" t="s">
        <v>72</v>
      </c>
      <c r="AI204" s="2266" t="s">
        <v>1345</v>
      </c>
      <c r="AJ204" s="66" t="e">
        <f>(B217/COUNTIF($C$205:$AG$216,"&gt;0"))</f>
        <v>#DIV/0!</v>
      </c>
    </row>
    <row r="205" spans="1:36" ht="15">
      <c r="A205" s="122" t="s">
        <v>73</v>
      </c>
      <c r="B205" s="94">
        <f t="shared" ref="B205:B216" si="39">+AH205</f>
        <v>0</v>
      </c>
      <c r="C205" s="107" t="s">
        <v>109</v>
      </c>
      <c r="D205" s="107" t="s">
        <v>109</v>
      </c>
      <c r="E205" s="107" t="s">
        <v>109</v>
      </c>
      <c r="F205" s="107" t="s">
        <v>109</v>
      </c>
      <c r="G205" s="107" t="s">
        <v>109</v>
      </c>
      <c r="H205" s="107" t="s">
        <v>109</v>
      </c>
      <c r="I205" s="107" t="s">
        <v>109</v>
      </c>
      <c r="J205" s="107" t="s">
        <v>109</v>
      </c>
      <c r="K205" s="107" t="s">
        <v>109</v>
      </c>
      <c r="L205" s="107" t="s">
        <v>109</v>
      </c>
      <c r="M205" s="107" t="s">
        <v>109</v>
      </c>
      <c r="N205" s="107" t="s">
        <v>109</v>
      </c>
      <c r="O205" s="107" t="s">
        <v>109</v>
      </c>
      <c r="P205" s="107" t="s">
        <v>109</v>
      </c>
      <c r="Q205" s="107" t="s">
        <v>109</v>
      </c>
      <c r="R205" s="107" t="s">
        <v>109</v>
      </c>
      <c r="S205" s="107" t="s">
        <v>109</v>
      </c>
      <c r="T205" s="107" t="s">
        <v>109</v>
      </c>
      <c r="U205" s="107" t="s">
        <v>109</v>
      </c>
      <c r="V205" s="107" t="s">
        <v>109</v>
      </c>
      <c r="W205" s="107" t="s">
        <v>109</v>
      </c>
      <c r="X205" s="107" t="s">
        <v>109</v>
      </c>
      <c r="Y205" s="107" t="s">
        <v>109</v>
      </c>
      <c r="Z205" s="107" t="s">
        <v>109</v>
      </c>
      <c r="AA205" s="107" t="s">
        <v>109</v>
      </c>
      <c r="AB205" s="107" t="s">
        <v>109</v>
      </c>
      <c r="AC205" s="107" t="s">
        <v>109</v>
      </c>
      <c r="AD205" s="107" t="s">
        <v>109</v>
      </c>
      <c r="AE205" s="107" t="s">
        <v>109</v>
      </c>
      <c r="AF205" s="107" t="s">
        <v>109</v>
      </c>
      <c r="AG205" s="107" t="s">
        <v>109</v>
      </c>
      <c r="AH205" s="39">
        <f>SUM(C205:AG205)</f>
        <v>0</v>
      </c>
    </row>
    <row r="206" spans="1:36" ht="15">
      <c r="A206" s="122" t="s">
        <v>74</v>
      </c>
      <c r="B206" s="94">
        <f t="shared" si="39"/>
        <v>0</v>
      </c>
      <c r="C206" s="107" t="s">
        <v>109</v>
      </c>
      <c r="D206" s="107" t="s">
        <v>109</v>
      </c>
      <c r="E206" s="107" t="s">
        <v>109</v>
      </c>
      <c r="F206" s="107" t="s">
        <v>109</v>
      </c>
      <c r="G206" s="107" t="s">
        <v>109</v>
      </c>
      <c r="H206" s="107" t="s">
        <v>109</v>
      </c>
      <c r="I206" s="107" t="s">
        <v>109</v>
      </c>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39">
        <f>SUM(C206:AG206)</f>
        <v>0</v>
      </c>
    </row>
    <row r="207" spans="1:36" ht="15">
      <c r="A207" s="122" t="s">
        <v>75</v>
      </c>
      <c r="B207" s="94">
        <f t="shared" si="39"/>
        <v>0</v>
      </c>
      <c r="C207" s="108"/>
      <c r="D207" s="108"/>
      <c r="E207" s="108"/>
      <c r="F207" s="108"/>
      <c r="G207" s="108"/>
      <c r="H207" s="94"/>
      <c r="I207" s="94"/>
      <c r="J207" s="94"/>
      <c r="K207" s="94"/>
      <c r="L207" s="94"/>
      <c r="M207" s="94"/>
      <c r="N207" s="94">
        <v>0</v>
      </c>
      <c r="O207" s="94"/>
      <c r="P207" s="94"/>
      <c r="Q207" s="94"/>
      <c r="R207" s="94"/>
      <c r="S207" s="94"/>
      <c r="T207" s="94"/>
      <c r="U207" s="94"/>
      <c r="V207" s="94"/>
      <c r="W207" s="94"/>
      <c r="X207" s="94"/>
      <c r="Y207" s="94"/>
      <c r="Z207" s="94"/>
      <c r="AA207" s="94"/>
      <c r="AB207" s="94"/>
      <c r="AC207" s="1689"/>
      <c r="AD207" s="1689"/>
      <c r="AE207" s="1689"/>
      <c r="AF207" s="1689"/>
      <c r="AG207" s="1689"/>
      <c r="AH207" s="39">
        <f>SUM(C207:AG207)</f>
        <v>0</v>
      </c>
    </row>
    <row r="208" spans="1:36" ht="15">
      <c r="A208" s="122" t="s">
        <v>76</v>
      </c>
      <c r="B208" s="94">
        <f t="shared" si="39"/>
        <v>0</v>
      </c>
      <c r="C208" s="15"/>
      <c r="D208" s="15"/>
      <c r="E208" s="15"/>
      <c r="F208" s="15"/>
      <c r="G208" s="15"/>
      <c r="H208" s="15"/>
      <c r="I208" s="15"/>
      <c r="J208" s="15"/>
      <c r="K208" s="15"/>
      <c r="L208" s="94"/>
      <c r="M208" s="94"/>
      <c r="N208" s="94"/>
      <c r="O208" s="94"/>
      <c r="P208" s="94"/>
      <c r="Q208" s="94"/>
      <c r="R208" s="94"/>
      <c r="S208" s="94"/>
      <c r="T208" s="94"/>
      <c r="U208" s="94"/>
      <c r="V208" s="94"/>
      <c r="W208" s="94"/>
      <c r="X208" s="94"/>
      <c r="Y208" s="94"/>
      <c r="Z208" s="94"/>
      <c r="AA208" s="94"/>
      <c r="AB208" s="94"/>
      <c r="AC208" s="94"/>
      <c r="AD208" s="94"/>
      <c r="AE208" s="94"/>
      <c r="AF208" s="94"/>
      <c r="AG208" s="94"/>
      <c r="AH208" s="39">
        <f t="shared" ref="AH208:AH216" si="40">SUM(C208:AG208)</f>
        <v>0</v>
      </c>
    </row>
    <row r="209" spans="1:36" ht="15">
      <c r="A209" s="120" t="s">
        <v>77</v>
      </c>
      <c r="B209" s="94">
        <f t="shared" si="39"/>
        <v>0</v>
      </c>
      <c r="C209" s="3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39">
        <f t="shared" si="40"/>
        <v>0</v>
      </c>
    </row>
    <row r="210" spans="1:36" ht="15">
      <c r="A210" s="120" t="s">
        <v>78</v>
      </c>
      <c r="B210" s="105">
        <f t="shared" si="39"/>
        <v>0</v>
      </c>
      <c r="C210" s="39"/>
      <c r="D210" s="39"/>
      <c r="E210" s="39"/>
      <c r="F210" s="39"/>
      <c r="G210" s="39"/>
      <c r="H210" s="15"/>
      <c r="I210" s="15"/>
      <c r="J210" s="15"/>
      <c r="K210" s="15"/>
      <c r="L210" s="15"/>
      <c r="M210" s="15"/>
      <c r="N210" s="15"/>
      <c r="O210" s="15"/>
      <c r="P210" s="15"/>
      <c r="Q210" s="15"/>
      <c r="R210" s="15"/>
      <c r="S210" s="15"/>
      <c r="T210" s="15"/>
      <c r="U210" s="15"/>
      <c r="V210" s="15"/>
      <c r="W210" s="15"/>
      <c r="X210" s="15"/>
      <c r="Y210" s="39"/>
      <c r="Z210" s="39"/>
      <c r="AA210" s="39"/>
      <c r="AB210" s="39"/>
      <c r="AC210" s="15"/>
      <c r="AD210" s="15"/>
      <c r="AE210" s="15"/>
      <c r="AF210" s="15"/>
      <c r="AG210" s="15"/>
      <c r="AH210" s="104">
        <f t="shared" si="40"/>
        <v>0</v>
      </c>
    </row>
    <row r="211" spans="1:36" ht="15">
      <c r="A211" s="120" t="s">
        <v>79</v>
      </c>
      <c r="B211" s="94">
        <f>SUM(AH211)</f>
        <v>0</v>
      </c>
      <c r="C211" s="35"/>
      <c r="D211" s="39"/>
      <c r="E211" s="39"/>
      <c r="F211" s="39"/>
      <c r="G211" s="15"/>
      <c r="H211" s="15"/>
      <c r="I211" s="15"/>
      <c r="J211" s="43"/>
      <c r="K211" s="43"/>
      <c r="L211" s="39"/>
      <c r="M211" s="39"/>
      <c r="N211" s="39"/>
      <c r="O211" s="39"/>
      <c r="P211" s="39"/>
      <c r="Q211" s="39"/>
      <c r="R211" s="39"/>
      <c r="S211" s="39"/>
      <c r="T211" s="39"/>
      <c r="U211" s="39"/>
      <c r="V211" s="39"/>
      <c r="W211" s="1974"/>
      <c r="X211" s="1974"/>
      <c r="Y211" s="1974"/>
      <c r="Z211" s="1974"/>
      <c r="AA211" s="1974"/>
      <c r="AB211" s="1974"/>
      <c r="AC211" s="1974"/>
      <c r="AD211" s="1974"/>
      <c r="AE211" s="1974"/>
      <c r="AF211" s="609" t="s">
        <v>109</v>
      </c>
      <c r="AG211" s="609" t="s">
        <v>109</v>
      </c>
      <c r="AH211" s="39">
        <f t="shared" si="40"/>
        <v>0</v>
      </c>
    </row>
    <row r="212" spans="1:36" ht="15">
      <c r="A212" s="120" t="s">
        <v>80</v>
      </c>
      <c r="B212" s="15">
        <f t="shared" si="39"/>
        <v>0</v>
      </c>
      <c r="C212" s="609" t="s">
        <v>109</v>
      </c>
      <c r="D212" s="609" t="s">
        <v>109</v>
      </c>
      <c r="E212" s="609" t="s">
        <v>109</v>
      </c>
      <c r="F212" s="609" t="s">
        <v>109</v>
      </c>
      <c r="G212" s="609" t="s">
        <v>109</v>
      </c>
      <c r="H212" s="609" t="s">
        <v>109</v>
      </c>
      <c r="I212" s="609" t="s">
        <v>109</v>
      </c>
      <c r="J212" s="609" t="s">
        <v>109</v>
      </c>
      <c r="K212" s="609" t="s">
        <v>109</v>
      </c>
      <c r="L212" s="609" t="s">
        <v>109</v>
      </c>
      <c r="M212" s="609" t="s">
        <v>109</v>
      </c>
      <c r="N212" s="609" t="s">
        <v>109</v>
      </c>
      <c r="O212" s="609" t="s">
        <v>109</v>
      </c>
      <c r="P212" s="609" t="s">
        <v>109</v>
      </c>
      <c r="Q212" s="609" t="s">
        <v>109</v>
      </c>
      <c r="R212" s="609" t="s">
        <v>109</v>
      </c>
      <c r="S212" s="609" t="s">
        <v>109</v>
      </c>
      <c r="T212" s="609" t="s">
        <v>109</v>
      </c>
      <c r="U212" s="609" t="s">
        <v>109</v>
      </c>
      <c r="V212" s="609" t="s">
        <v>109</v>
      </c>
      <c r="W212" s="609" t="s">
        <v>109</v>
      </c>
      <c r="X212" s="609" t="s">
        <v>109</v>
      </c>
      <c r="Y212" s="609" t="s">
        <v>109</v>
      </c>
      <c r="Z212" s="609" t="s">
        <v>109</v>
      </c>
      <c r="AA212" s="609" t="s">
        <v>109</v>
      </c>
      <c r="AB212" s="609" t="s">
        <v>109</v>
      </c>
      <c r="AC212" s="609" t="s">
        <v>109</v>
      </c>
      <c r="AD212" s="609" t="s">
        <v>109</v>
      </c>
      <c r="AE212" s="609" t="s">
        <v>109</v>
      </c>
      <c r="AF212" s="609" t="s">
        <v>109</v>
      </c>
      <c r="AG212" s="609" t="s">
        <v>109</v>
      </c>
      <c r="AH212" s="39">
        <f t="shared" si="40"/>
        <v>0</v>
      </c>
    </row>
    <row r="213" spans="1:36" ht="15">
      <c r="A213" s="123" t="s">
        <v>81</v>
      </c>
      <c r="B213" s="15">
        <f t="shared" si="39"/>
        <v>0</v>
      </c>
      <c r="C213" s="609" t="s">
        <v>109</v>
      </c>
      <c r="D213" s="609" t="s">
        <v>109</v>
      </c>
      <c r="E213" s="609" t="s">
        <v>109</v>
      </c>
      <c r="F213" s="609" t="s">
        <v>109</v>
      </c>
      <c r="G213" s="609" t="s">
        <v>109</v>
      </c>
      <c r="H213" s="609" t="s">
        <v>109</v>
      </c>
      <c r="I213" s="609" t="s">
        <v>109</v>
      </c>
      <c r="J213" s="609" t="s">
        <v>109</v>
      </c>
      <c r="K213" s="609" t="s">
        <v>109</v>
      </c>
      <c r="L213" s="609" t="s">
        <v>109</v>
      </c>
      <c r="M213" s="609" t="s">
        <v>109</v>
      </c>
      <c r="N213" s="609" t="s">
        <v>109</v>
      </c>
      <c r="O213" s="609" t="s">
        <v>109</v>
      </c>
      <c r="P213" s="609" t="s">
        <v>109</v>
      </c>
      <c r="Q213" s="609" t="s">
        <v>109</v>
      </c>
      <c r="R213" s="609" t="s">
        <v>109</v>
      </c>
      <c r="S213" s="609" t="s">
        <v>109</v>
      </c>
      <c r="T213" s="609" t="s">
        <v>109</v>
      </c>
      <c r="U213" s="609" t="s">
        <v>109</v>
      </c>
      <c r="V213" s="609" t="s">
        <v>109</v>
      </c>
      <c r="W213" s="609" t="s">
        <v>109</v>
      </c>
      <c r="X213" s="609" t="s">
        <v>109</v>
      </c>
      <c r="Y213" s="609" t="s">
        <v>109</v>
      </c>
      <c r="Z213" s="609" t="s">
        <v>109</v>
      </c>
      <c r="AA213" s="609" t="s">
        <v>109</v>
      </c>
      <c r="AB213" s="609" t="s">
        <v>109</v>
      </c>
      <c r="AC213" s="609" t="s">
        <v>109</v>
      </c>
      <c r="AD213" s="609" t="s">
        <v>109</v>
      </c>
      <c r="AE213" s="609" t="s">
        <v>109</v>
      </c>
      <c r="AF213" s="609" t="s">
        <v>109</v>
      </c>
      <c r="AG213" s="609" t="s">
        <v>109</v>
      </c>
      <c r="AH213" s="39">
        <f t="shared" si="40"/>
        <v>0</v>
      </c>
    </row>
    <row r="214" spans="1:36" ht="15">
      <c r="A214" s="123" t="s">
        <v>82</v>
      </c>
      <c r="B214" s="15">
        <f t="shared" si="39"/>
        <v>0</v>
      </c>
      <c r="C214" s="609" t="s">
        <v>109</v>
      </c>
      <c r="D214" s="609" t="s">
        <v>109</v>
      </c>
      <c r="E214" s="609" t="s">
        <v>109</v>
      </c>
      <c r="F214" s="609" t="s">
        <v>109</v>
      </c>
      <c r="G214" s="609" t="s">
        <v>109</v>
      </c>
      <c r="H214" s="609" t="s">
        <v>109</v>
      </c>
      <c r="I214" s="609" t="s">
        <v>109</v>
      </c>
      <c r="J214" s="609" t="s">
        <v>109</v>
      </c>
      <c r="K214" s="609" t="s">
        <v>109</v>
      </c>
      <c r="L214" s="609" t="s">
        <v>109</v>
      </c>
      <c r="M214" s="609" t="s">
        <v>109</v>
      </c>
      <c r="N214" s="609" t="s">
        <v>109</v>
      </c>
      <c r="O214" s="609" t="s">
        <v>109</v>
      </c>
      <c r="P214" s="609" t="s">
        <v>109</v>
      </c>
      <c r="Q214" s="609" t="s">
        <v>109</v>
      </c>
      <c r="R214" s="609" t="s">
        <v>109</v>
      </c>
      <c r="S214" s="609" t="s">
        <v>109</v>
      </c>
      <c r="T214" s="609" t="s">
        <v>109</v>
      </c>
      <c r="U214" s="609" t="s">
        <v>109</v>
      </c>
      <c r="V214" s="609" t="s">
        <v>109</v>
      </c>
      <c r="W214" s="609" t="s">
        <v>109</v>
      </c>
      <c r="X214" s="1091"/>
      <c r="Y214" s="1091"/>
      <c r="Z214" s="1091"/>
      <c r="AA214" s="1091"/>
      <c r="AB214" s="1091"/>
      <c r="AC214" s="1091"/>
      <c r="AD214" s="1091"/>
      <c r="AE214" s="1268"/>
      <c r="AF214" s="1091"/>
      <c r="AG214" s="1268"/>
      <c r="AH214" s="39">
        <f t="shared" si="40"/>
        <v>0</v>
      </c>
    </row>
    <row r="215" spans="1:36" ht="15">
      <c r="A215" s="123" t="s">
        <v>83</v>
      </c>
      <c r="B215" s="15">
        <f t="shared" si="39"/>
        <v>0</v>
      </c>
      <c r="C215" s="35"/>
      <c r="D215" s="15"/>
      <c r="E215" s="15"/>
      <c r="F215" s="15"/>
      <c r="G215" s="11"/>
      <c r="H215" s="15"/>
      <c r="I215" s="15"/>
      <c r="J215" s="15"/>
      <c r="K215" s="15"/>
      <c r="L215" s="15"/>
      <c r="M215" s="15"/>
      <c r="N215" s="15"/>
      <c r="O215" s="15"/>
      <c r="P215" s="15"/>
      <c r="Q215" s="15"/>
      <c r="R215" s="15"/>
      <c r="S215" s="15"/>
      <c r="T215" s="15"/>
      <c r="U215" s="15"/>
      <c r="V215" s="15"/>
      <c r="W215" s="15"/>
      <c r="X215" s="15"/>
      <c r="Y215" s="11"/>
      <c r="Z215" s="15"/>
      <c r="AA215" s="15"/>
      <c r="AB215" s="15"/>
      <c r="AC215" s="15"/>
      <c r="AD215" s="15"/>
      <c r="AE215" s="39"/>
      <c r="AF215" s="15"/>
      <c r="AG215" s="39"/>
      <c r="AH215" s="39">
        <f t="shared" si="40"/>
        <v>0</v>
      </c>
    </row>
    <row r="216" spans="1:36" ht="15">
      <c r="A216" s="123" t="s">
        <v>84</v>
      </c>
      <c r="B216" s="15">
        <f t="shared" si="39"/>
        <v>0</v>
      </c>
      <c r="C216" s="35"/>
      <c r="D216" s="15"/>
      <c r="E216" s="15"/>
      <c r="F216" s="15"/>
      <c r="G216" s="15"/>
      <c r="H216" s="15"/>
      <c r="I216" s="15"/>
      <c r="J216" s="15"/>
      <c r="K216" s="15"/>
      <c r="L216" s="15"/>
      <c r="M216" s="15"/>
      <c r="N216" s="15"/>
      <c r="O216" s="15"/>
      <c r="P216" s="1091"/>
      <c r="Q216" s="1091"/>
      <c r="R216" s="1091"/>
      <c r="S216" s="1091"/>
      <c r="T216" s="1091"/>
      <c r="U216" s="1091"/>
      <c r="V216" s="1091"/>
      <c r="W216" s="1091"/>
      <c r="X216" s="1091"/>
      <c r="Y216" s="1091"/>
      <c r="Z216" s="1091"/>
      <c r="AA216" s="1091"/>
      <c r="AB216" s="1091"/>
      <c r="AC216" s="1091"/>
      <c r="AD216" s="1091"/>
      <c r="AE216" s="1091"/>
      <c r="AF216" s="1091"/>
      <c r="AG216" s="1091"/>
      <c r="AH216" s="39">
        <f t="shared" si="40"/>
        <v>0</v>
      </c>
    </row>
    <row r="217" spans="1:36" ht="15">
      <c r="A217" s="71" t="s">
        <v>72</v>
      </c>
      <c r="B217" s="72">
        <f>SUM(B205:B216)</f>
        <v>0</v>
      </c>
      <c r="C217" s="32">
        <f>SUM(C205:C215)</f>
        <v>0</v>
      </c>
      <c r="D217" s="39">
        <f>SUM(D205:D215)</f>
        <v>0</v>
      </c>
      <c r="E217" s="39">
        <v>0</v>
      </c>
      <c r="F217" s="39">
        <f t="shared" ref="F217:AC217" si="41">SUM(F205:F215)</f>
        <v>0</v>
      </c>
      <c r="G217" s="39">
        <f t="shared" si="41"/>
        <v>0</v>
      </c>
      <c r="H217" s="39">
        <f t="shared" si="41"/>
        <v>0</v>
      </c>
      <c r="I217" s="39">
        <f t="shared" si="41"/>
        <v>0</v>
      </c>
      <c r="J217" s="39">
        <f t="shared" si="41"/>
        <v>0</v>
      </c>
      <c r="K217" s="39">
        <f t="shared" si="41"/>
        <v>0</v>
      </c>
      <c r="L217" s="39">
        <f t="shared" si="41"/>
        <v>0</v>
      </c>
      <c r="M217" s="39">
        <f t="shared" si="41"/>
        <v>0</v>
      </c>
      <c r="N217" s="39">
        <f t="shared" si="41"/>
        <v>0</v>
      </c>
      <c r="O217" s="39">
        <f t="shared" si="41"/>
        <v>0</v>
      </c>
      <c r="P217" s="39">
        <f t="shared" si="41"/>
        <v>0</v>
      </c>
      <c r="Q217" s="39">
        <f t="shared" si="41"/>
        <v>0</v>
      </c>
      <c r="R217" s="39">
        <f t="shared" si="41"/>
        <v>0</v>
      </c>
      <c r="S217" s="39">
        <f t="shared" si="41"/>
        <v>0</v>
      </c>
      <c r="T217" s="39">
        <f t="shared" si="41"/>
        <v>0</v>
      </c>
      <c r="U217" s="39">
        <f t="shared" si="41"/>
        <v>0</v>
      </c>
      <c r="V217" s="39">
        <f t="shared" si="41"/>
        <v>0</v>
      </c>
      <c r="W217" s="39">
        <f t="shared" si="41"/>
        <v>0</v>
      </c>
      <c r="X217" s="39">
        <f t="shared" si="41"/>
        <v>0</v>
      </c>
      <c r="Y217" s="39">
        <f t="shared" si="41"/>
        <v>0</v>
      </c>
      <c r="Z217" s="39">
        <f t="shared" si="41"/>
        <v>0</v>
      </c>
      <c r="AA217" s="39">
        <f t="shared" si="41"/>
        <v>0</v>
      </c>
      <c r="AB217" s="39">
        <f t="shared" si="41"/>
        <v>0</v>
      </c>
      <c r="AC217" s="39">
        <f t="shared" si="41"/>
        <v>0</v>
      </c>
      <c r="AD217" s="39">
        <v>0</v>
      </c>
      <c r="AE217" s="39">
        <f>SUM(AE205:AE215)</f>
        <v>0</v>
      </c>
      <c r="AF217" s="39">
        <f>SUM(AF205:AF215)</f>
        <v>0</v>
      </c>
      <c r="AG217" s="39">
        <f>SUM(AG205:AG215)</f>
        <v>0</v>
      </c>
      <c r="AH217" s="32">
        <f>SUM(AH205:AH215)</f>
        <v>0</v>
      </c>
    </row>
    <row r="218" spans="1:36" ht="17.25" customHeight="1">
      <c r="A218" s="36"/>
      <c r="B218" s="37"/>
      <c r="C218" s="13"/>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13"/>
    </row>
    <row r="219" spans="1:36" ht="15">
      <c r="A219" s="3811" t="s">
        <v>125</v>
      </c>
      <c r="B219" s="3812"/>
      <c r="C219" s="3812"/>
      <c r="D219" s="3812"/>
      <c r="E219" s="3812"/>
      <c r="F219" s="3812"/>
      <c r="G219" s="3812"/>
      <c r="H219" s="3813"/>
      <c r="I219" s="1229"/>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row>
    <row r="220" spans="1:36" ht="15">
      <c r="A220" s="5" t="s">
        <v>70</v>
      </c>
      <c r="B220" s="5" t="s">
        <v>71</v>
      </c>
      <c r="C220" s="1054">
        <v>1</v>
      </c>
      <c r="D220" s="21">
        <v>2</v>
      </c>
      <c r="E220" s="21">
        <v>3</v>
      </c>
      <c r="F220" s="21">
        <v>4</v>
      </c>
      <c r="G220" s="21">
        <v>5</v>
      </c>
      <c r="H220" s="21">
        <v>6</v>
      </c>
      <c r="I220" s="21">
        <v>7</v>
      </c>
      <c r="J220" s="21">
        <v>8</v>
      </c>
      <c r="K220" s="21">
        <v>9</v>
      </c>
      <c r="L220" s="21">
        <v>10</v>
      </c>
      <c r="M220" s="21">
        <v>11</v>
      </c>
      <c r="N220" s="21">
        <v>12</v>
      </c>
      <c r="O220" s="21">
        <v>13</v>
      </c>
      <c r="P220" s="21">
        <v>14</v>
      </c>
      <c r="Q220" s="21">
        <v>15</v>
      </c>
      <c r="R220" s="21">
        <v>16</v>
      </c>
      <c r="S220" s="21">
        <v>17</v>
      </c>
      <c r="T220" s="21">
        <v>18</v>
      </c>
      <c r="U220" s="21">
        <v>19</v>
      </c>
      <c r="V220" s="21">
        <v>20</v>
      </c>
      <c r="W220" s="21">
        <v>21</v>
      </c>
      <c r="X220" s="21">
        <v>22</v>
      </c>
      <c r="Y220" s="21">
        <v>23</v>
      </c>
      <c r="Z220" s="21">
        <v>24</v>
      </c>
      <c r="AA220" s="21">
        <v>25</v>
      </c>
      <c r="AB220" s="21">
        <v>26</v>
      </c>
      <c r="AC220" s="21">
        <v>27</v>
      </c>
      <c r="AD220" s="21">
        <v>28</v>
      </c>
      <c r="AE220" s="21">
        <v>29</v>
      </c>
      <c r="AF220" s="21">
        <v>30</v>
      </c>
      <c r="AG220" s="21">
        <v>31</v>
      </c>
      <c r="AH220" s="25" t="s">
        <v>72</v>
      </c>
      <c r="AI220" s="2266" t="s">
        <v>1345</v>
      </c>
      <c r="AJ220" s="66" t="e">
        <f>(B233/COUNTIF($C$221:$AG$232,"&gt;0"))</f>
        <v>#DIV/0!</v>
      </c>
    </row>
    <row r="221" spans="1:36" ht="15">
      <c r="A221" s="122" t="s">
        <v>73</v>
      </c>
      <c r="B221" s="15">
        <f t="shared" ref="B221:B232" si="42">+AH221</f>
        <v>0</v>
      </c>
      <c r="C221" s="107" t="s">
        <v>109</v>
      </c>
      <c r="D221" s="107" t="s">
        <v>109</v>
      </c>
      <c r="E221" s="107" t="s">
        <v>109</v>
      </c>
      <c r="F221" s="107" t="s">
        <v>109</v>
      </c>
      <c r="G221" s="107" t="s">
        <v>109</v>
      </c>
      <c r="H221" s="107" t="s">
        <v>109</v>
      </c>
      <c r="I221" s="107" t="s">
        <v>109</v>
      </c>
      <c r="J221" s="107" t="s">
        <v>109</v>
      </c>
      <c r="K221" s="107" t="s">
        <v>109</v>
      </c>
      <c r="L221" s="107" t="s">
        <v>109</v>
      </c>
      <c r="M221" s="107" t="s">
        <v>109</v>
      </c>
      <c r="N221" s="107" t="s">
        <v>109</v>
      </c>
      <c r="O221" s="107" t="s">
        <v>109</v>
      </c>
      <c r="P221" s="107" t="s">
        <v>109</v>
      </c>
      <c r="Q221" s="107" t="s">
        <v>109</v>
      </c>
      <c r="R221" s="107" t="s">
        <v>109</v>
      </c>
      <c r="S221" s="107" t="s">
        <v>109</v>
      </c>
      <c r="T221" s="107" t="s">
        <v>109</v>
      </c>
      <c r="U221" s="107" t="s">
        <v>109</v>
      </c>
      <c r="V221" s="107" t="s">
        <v>109</v>
      </c>
      <c r="W221" s="107" t="s">
        <v>109</v>
      </c>
      <c r="X221" s="107" t="s">
        <v>109</v>
      </c>
      <c r="Y221" s="107" t="s">
        <v>109</v>
      </c>
      <c r="Z221" s="107" t="s">
        <v>109</v>
      </c>
      <c r="AA221" s="107" t="s">
        <v>109</v>
      </c>
      <c r="AB221" s="107" t="s">
        <v>109</v>
      </c>
      <c r="AC221" s="107" t="s">
        <v>109</v>
      </c>
      <c r="AD221" s="107" t="s">
        <v>109</v>
      </c>
      <c r="AE221" s="107" t="s">
        <v>109</v>
      </c>
      <c r="AF221" s="107" t="s">
        <v>109</v>
      </c>
      <c r="AG221" s="107" t="s">
        <v>109</v>
      </c>
      <c r="AH221" s="39">
        <f>SUM(C221:AG221)</f>
        <v>0</v>
      </c>
    </row>
    <row r="222" spans="1:36" ht="15">
      <c r="A222" s="122" t="s">
        <v>74</v>
      </c>
      <c r="B222" s="15">
        <f t="shared" si="42"/>
        <v>0</v>
      </c>
      <c r="C222" s="107" t="s">
        <v>109</v>
      </c>
      <c r="D222" s="107" t="s">
        <v>109</v>
      </c>
      <c r="E222" s="107" t="s">
        <v>109</v>
      </c>
      <c r="F222" s="107" t="s">
        <v>109</v>
      </c>
      <c r="G222" s="107" t="s">
        <v>109</v>
      </c>
      <c r="H222" s="107" t="s">
        <v>109</v>
      </c>
      <c r="I222" s="107" t="s">
        <v>109</v>
      </c>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39">
        <f t="shared" ref="AH222:AH232" si="43">SUM(C222:AG222)</f>
        <v>0</v>
      </c>
    </row>
    <row r="223" spans="1:36" ht="15">
      <c r="A223" s="122" t="s">
        <v>75</v>
      </c>
      <c r="B223" s="15">
        <f t="shared" si="42"/>
        <v>0</v>
      </c>
      <c r="C223" s="108"/>
      <c r="D223" s="108"/>
      <c r="E223" s="108"/>
      <c r="F223" s="108"/>
      <c r="G223" s="108"/>
      <c r="H223" s="94"/>
      <c r="I223" s="94"/>
      <c r="J223" s="94"/>
      <c r="K223" s="94"/>
      <c r="L223" s="94"/>
      <c r="M223" s="94"/>
      <c r="N223" s="94">
        <v>0</v>
      </c>
      <c r="O223" s="94"/>
      <c r="P223" s="94"/>
      <c r="Q223" s="94"/>
      <c r="R223" s="94"/>
      <c r="S223" s="15"/>
      <c r="T223" s="15"/>
      <c r="U223" s="15"/>
      <c r="V223" s="15"/>
      <c r="W223" s="15"/>
      <c r="X223" s="15"/>
      <c r="Y223" s="15"/>
      <c r="Z223" s="15"/>
      <c r="AA223" s="15"/>
      <c r="AB223" s="15"/>
      <c r="AC223" s="1689"/>
      <c r="AD223" s="1689"/>
      <c r="AE223" s="1689"/>
      <c r="AF223" s="1689"/>
      <c r="AG223" s="1689"/>
      <c r="AH223" s="39">
        <f t="shared" si="43"/>
        <v>0</v>
      </c>
    </row>
    <row r="224" spans="1:36" ht="15">
      <c r="A224" s="122" t="s">
        <v>76</v>
      </c>
      <c r="B224" s="15">
        <f t="shared" si="42"/>
        <v>0</v>
      </c>
      <c r="C224" s="1689"/>
      <c r="D224" s="1689"/>
      <c r="E224" s="1689"/>
      <c r="F224" s="1689"/>
      <c r="G224" s="1689"/>
      <c r="H224" s="1689"/>
      <c r="I224" s="1689"/>
      <c r="J224" s="1689"/>
      <c r="K224" s="1689"/>
      <c r="L224" s="1091"/>
      <c r="M224" s="1091"/>
      <c r="N224" s="1091"/>
      <c r="O224" s="1091"/>
      <c r="P224" s="1091"/>
      <c r="Q224" s="1091"/>
      <c r="R224" s="1091"/>
      <c r="S224" s="1091"/>
      <c r="T224" s="1091"/>
      <c r="U224" s="1091"/>
      <c r="V224" s="1091"/>
      <c r="W224" s="1091"/>
      <c r="X224" s="1091"/>
      <c r="Y224" s="1091"/>
      <c r="Z224" s="1091"/>
      <c r="AA224" s="1091"/>
      <c r="AB224" s="1091"/>
      <c r="AC224" s="1091"/>
      <c r="AD224" s="1091"/>
      <c r="AE224" s="1091"/>
      <c r="AF224" s="1091"/>
      <c r="AG224" s="1091"/>
      <c r="AH224" s="39">
        <f t="shared" si="43"/>
        <v>0</v>
      </c>
    </row>
    <row r="225" spans="1:36" ht="15">
      <c r="A225" s="120" t="s">
        <v>77</v>
      </c>
      <c r="B225" s="15">
        <f t="shared" si="42"/>
        <v>0</v>
      </c>
      <c r="C225" s="1091"/>
      <c r="D225" s="1091"/>
      <c r="E225" s="1091"/>
      <c r="F225" s="1091"/>
      <c r="G225" s="1091"/>
      <c r="H225" s="1091"/>
      <c r="I225" s="1091"/>
      <c r="J225" s="1091"/>
      <c r="K225" s="1091"/>
      <c r="L225" s="1091"/>
      <c r="M225" s="1091"/>
      <c r="N225" s="1091"/>
      <c r="O225" s="1091"/>
      <c r="P225" s="1091"/>
      <c r="Q225" s="1091"/>
      <c r="R225" s="1091"/>
      <c r="S225" s="1091"/>
      <c r="T225" s="1091"/>
      <c r="U225" s="1091"/>
      <c r="V225" s="1091"/>
      <c r="W225" s="1091"/>
      <c r="X225" s="1091"/>
      <c r="Y225" s="1091"/>
      <c r="Z225" s="1091"/>
      <c r="AA225" s="1091"/>
      <c r="AB225" s="1091"/>
      <c r="AC225" s="1091"/>
      <c r="AD225" s="1091"/>
      <c r="AE225" s="1091"/>
      <c r="AF225" s="1091"/>
      <c r="AG225" s="1091"/>
      <c r="AH225" s="39">
        <f t="shared" si="43"/>
        <v>0</v>
      </c>
    </row>
    <row r="226" spans="1:36" ht="15">
      <c r="A226" s="120" t="s">
        <v>78</v>
      </c>
      <c r="B226" s="15">
        <f t="shared" si="42"/>
        <v>0</v>
      </c>
      <c r="C226" s="1091"/>
      <c r="D226" s="1091"/>
      <c r="E226" s="1091"/>
      <c r="F226" s="1091"/>
      <c r="G226" s="1091"/>
      <c r="H226" s="1091"/>
      <c r="I226" s="1091"/>
      <c r="J226" s="1091"/>
      <c r="K226" s="1091"/>
      <c r="L226" s="1091"/>
      <c r="M226" s="1091"/>
      <c r="N226" s="1091"/>
      <c r="O226" s="1091"/>
      <c r="P226" s="1091"/>
      <c r="Q226" s="1091"/>
      <c r="R226" s="1091"/>
      <c r="S226" s="1091"/>
      <c r="T226" s="1091"/>
      <c r="U226" s="1091"/>
      <c r="V226" s="1091"/>
      <c r="W226" s="1091"/>
      <c r="X226" s="1091"/>
      <c r="Y226" s="1091"/>
      <c r="Z226" s="1091"/>
      <c r="AA226" s="1091"/>
      <c r="AB226" s="1091"/>
      <c r="AC226" s="1091"/>
      <c r="AD226" s="1091"/>
      <c r="AE226" s="1091"/>
      <c r="AF226" s="1091"/>
      <c r="AG226" s="1091"/>
      <c r="AH226" s="39">
        <f t="shared" si="43"/>
        <v>0</v>
      </c>
    </row>
    <row r="227" spans="1:36" ht="15">
      <c r="A227" s="120" t="s">
        <v>79</v>
      </c>
      <c r="B227" s="15">
        <f t="shared" si="42"/>
        <v>0</v>
      </c>
      <c r="C227" s="1091"/>
      <c r="D227" s="1268"/>
      <c r="E227" s="1268"/>
      <c r="F227" s="1268"/>
      <c r="G227" s="1091"/>
      <c r="H227" s="1091"/>
      <c r="I227" s="1091"/>
      <c r="J227" s="2068"/>
      <c r="K227" s="2068"/>
      <c r="L227" s="1268"/>
      <c r="M227" s="1268"/>
      <c r="N227" s="1268"/>
      <c r="O227" s="1268"/>
      <c r="P227" s="1268"/>
      <c r="Q227" s="1268"/>
      <c r="R227" s="1268"/>
      <c r="S227" s="1268"/>
      <c r="T227" s="1268"/>
      <c r="U227" s="1268"/>
      <c r="V227" s="1268"/>
      <c r="W227" s="609"/>
      <c r="X227" s="609"/>
      <c r="Y227" s="609"/>
      <c r="Z227" s="609"/>
      <c r="AA227" s="609"/>
      <c r="AB227" s="609"/>
      <c r="AC227" s="609"/>
      <c r="AD227" s="609"/>
      <c r="AE227" s="609"/>
      <c r="AF227" s="609" t="s">
        <v>109</v>
      </c>
      <c r="AG227" s="609" t="s">
        <v>109</v>
      </c>
      <c r="AH227" s="39">
        <f t="shared" si="43"/>
        <v>0</v>
      </c>
    </row>
    <row r="228" spans="1:36" ht="15">
      <c r="A228" s="120" t="s">
        <v>80</v>
      </c>
      <c r="B228" s="15">
        <f t="shared" si="42"/>
        <v>0</v>
      </c>
      <c r="C228" s="609" t="s">
        <v>109</v>
      </c>
      <c r="D228" s="609" t="s">
        <v>109</v>
      </c>
      <c r="E228" s="609" t="s">
        <v>109</v>
      </c>
      <c r="F228" s="609" t="s">
        <v>109</v>
      </c>
      <c r="G228" s="609" t="s">
        <v>109</v>
      </c>
      <c r="H228" s="609" t="s">
        <v>109</v>
      </c>
      <c r="I228" s="609" t="s">
        <v>109</v>
      </c>
      <c r="J228" s="609" t="s">
        <v>109</v>
      </c>
      <c r="K228" s="609" t="s">
        <v>109</v>
      </c>
      <c r="L228" s="609" t="s">
        <v>109</v>
      </c>
      <c r="M228" s="609" t="s">
        <v>109</v>
      </c>
      <c r="N228" s="609" t="s">
        <v>109</v>
      </c>
      <c r="O228" s="609" t="s">
        <v>109</v>
      </c>
      <c r="P228" s="609" t="s">
        <v>109</v>
      </c>
      <c r="Q228" s="609" t="s">
        <v>109</v>
      </c>
      <c r="R228" s="609" t="s">
        <v>109</v>
      </c>
      <c r="S228" s="609" t="s">
        <v>109</v>
      </c>
      <c r="T228" s="609" t="s">
        <v>109</v>
      </c>
      <c r="U228" s="609" t="s">
        <v>109</v>
      </c>
      <c r="V228" s="609" t="s">
        <v>109</v>
      </c>
      <c r="W228" s="609" t="s">
        <v>109</v>
      </c>
      <c r="X228" s="609" t="s">
        <v>109</v>
      </c>
      <c r="Y228" s="609" t="s">
        <v>109</v>
      </c>
      <c r="Z228" s="609" t="s">
        <v>109</v>
      </c>
      <c r="AA228" s="609" t="s">
        <v>109</v>
      </c>
      <c r="AB228" s="609" t="s">
        <v>109</v>
      </c>
      <c r="AC228" s="609" t="s">
        <v>109</v>
      </c>
      <c r="AD228" s="609" t="s">
        <v>109</v>
      </c>
      <c r="AE228" s="609" t="s">
        <v>109</v>
      </c>
      <c r="AF228" s="609" t="s">
        <v>109</v>
      </c>
      <c r="AG228" s="609" t="s">
        <v>109</v>
      </c>
      <c r="AH228" s="39">
        <f t="shared" si="43"/>
        <v>0</v>
      </c>
    </row>
    <row r="229" spans="1:36" ht="15">
      <c r="A229" s="123" t="s">
        <v>81</v>
      </c>
      <c r="B229" s="15">
        <f t="shared" si="42"/>
        <v>0</v>
      </c>
      <c r="C229" s="609" t="s">
        <v>109</v>
      </c>
      <c r="D229" s="609" t="s">
        <v>109</v>
      </c>
      <c r="E229" s="609" t="s">
        <v>109</v>
      </c>
      <c r="F229" s="609" t="s">
        <v>109</v>
      </c>
      <c r="G229" s="609" t="s">
        <v>109</v>
      </c>
      <c r="H229" s="609" t="s">
        <v>109</v>
      </c>
      <c r="I229" s="609" t="s">
        <v>109</v>
      </c>
      <c r="J229" s="609" t="s">
        <v>109</v>
      </c>
      <c r="K229" s="609" t="s">
        <v>109</v>
      </c>
      <c r="L229" s="609" t="s">
        <v>109</v>
      </c>
      <c r="M229" s="609" t="s">
        <v>109</v>
      </c>
      <c r="N229" s="609" t="s">
        <v>109</v>
      </c>
      <c r="O229" s="609" t="s">
        <v>109</v>
      </c>
      <c r="P229" s="609" t="s">
        <v>109</v>
      </c>
      <c r="Q229" s="609" t="s">
        <v>109</v>
      </c>
      <c r="R229" s="609" t="s">
        <v>109</v>
      </c>
      <c r="S229" s="609" t="s">
        <v>109</v>
      </c>
      <c r="T229" s="609" t="s">
        <v>109</v>
      </c>
      <c r="U229" s="609" t="s">
        <v>109</v>
      </c>
      <c r="V229" s="609" t="s">
        <v>109</v>
      </c>
      <c r="W229" s="609" t="s">
        <v>109</v>
      </c>
      <c r="X229" s="609" t="s">
        <v>109</v>
      </c>
      <c r="Y229" s="609" t="s">
        <v>109</v>
      </c>
      <c r="Z229" s="609" t="s">
        <v>109</v>
      </c>
      <c r="AA229" s="609" t="s">
        <v>109</v>
      </c>
      <c r="AB229" s="609" t="s">
        <v>109</v>
      </c>
      <c r="AC229" s="609" t="s">
        <v>109</v>
      </c>
      <c r="AD229" s="609" t="s">
        <v>109</v>
      </c>
      <c r="AE229" s="609" t="s">
        <v>109</v>
      </c>
      <c r="AF229" s="609" t="s">
        <v>109</v>
      </c>
      <c r="AG229" s="609" t="s">
        <v>109</v>
      </c>
      <c r="AH229" s="39">
        <f t="shared" si="43"/>
        <v>0</v>
      </c>
    </row>
    <row r="230" spans="1:36" ht="15">
      <c r="A230" s="123" t="s">
        <v>82</v>
      </c>
      <c r="B230" s="15">
        <f t="shared" si="42"/>
        <v>0</v>
      </c>
      <c r="C230" s="609" t="s">
        <v>109</v>
      </c>
      <c r="D230" s="609" t="s">
        <v>109</v>
      </c>
      <c r="E230" s="609" t="s">
        <v>109</v>
      </c>
      <c r="F230" s="609" t="s">
        <v>109</v>
      </c>
      <c r="G230" s="609" t="s">
        <v>109</v>
      </c>
      <c r="H230" s="609" t="s">
        <v>109</v>
      </c>
      <c r="I230" s="609" t="s">
        <v>109</v>
      </c>
      <c r="J230" s="609" t="s">
        <v>109</v>
      </c>
      <c r="K230" s="609" t="s">
        <v>109</v>
      </c>
      <c r="L230" s="609" t="s">
        <v>109</v>
      </c>
      <c r="M230" s="609" t="s">
        <v>109</v>
      </c>
      <c r="N230" s="609" t="s">
        <v>109</v>
      </c>
      <c r="O230" s="609" t="s">
        <v>109</v>
      </c>
      <c r="P230" s="609" t="s">
        <v>109</v>
      </c>
      <c r="Q230" s="609" t="s">
        <v>109</v>
      </c>
      <c r="R230" s="609" t="s">
        <v>109</v>
      </c>
      <c r="S230" s="609" t="s">
        <v>109</v>
      </c>
      <c r="T230" s="609" t="s">
        <v>109</v>
      </c>
      <c r="U230" s="609" t="s">
        <v>109</v>
      </c>
      <c r="V230" s="609" t="s">
        <v>109</v>
      </c>
      <c r="W230" s="609" t="s">
        <v>109</v>
      </c>
      <c r="X230" s="1091"/>
      <c r="Y230" s="1091"/>
      <c r="Z230" s="1091"/>
      <c r="AA230" s="1091"/>
      <c r="AB230" s="1091"/>
      <c r="AC230" s="1091"/>
      <c r="AD230" s="1091"/>
      <c r="AE230" s="1268"/>
      <c r="AF230" s="1091"/>
      <c r="AG230" s="1268"/>
      <c r="AH230" s="39">
        <f t="shared" si="43"/>
        <v>0</v>
      </c>
    </row>
    <row r="231" spans="1:36" ht="15">
      <c r="A231" s="123" t="s">
        <v>83</v>
      </c>
      <c r="B231" s="15">
        <f t="shared" si="42"/>
        <v>0</v>
      </c>
      <c r="C231" s="1091"/>
      <c r="D231" s="1091"/>
      <c r="E231" s="1091"/>
      <c r="F231" s="1091"/>
      <c r="G231" s="1229"/>
      <c r="H231" s="1091"/>
      <c r="I231" s="1091"/>
      <c r="J231" s="1091"/>
      <c r="K231" s="1091"/>
      <c r="L231" s="1091"/>
      <c r="M231" s="1091"/>
      <c r="N231" s="1091"/>
      <c r="O231" s="1091"/>
      <c r="P231" s="1091"/>
      <c r="Q231" s="1091"/>
      <c r="R231" s="1091"/>
      <c r="S231" s="1091"/>
      <c r="T231" s="1091"/>
      <c r="U231" s="1091"/>
      <c r="V231" s="1091"/>
      <c r="W231" s="1091"/>
      <c r="X231" s="1091"/>
      <c r="Y231" s="1229"/>
      <c r="Z231" s="1091"/>
      <c r="AA231" s="1091"/>
      <c r="AB231" s="1091"/>
      <c r="AC231" s="1091"/>
      <c r="AD231" s="1091"/>
      <c r="AE231" s="1268"/>
      <c r="AF231" s="1091"/>
      <c r="AG231" s="1268"/>
      <c r="AH231" s="39">
        <f t="shared" si="43"/>
        <v>0</v>
      </c>
    </row>
    <row r="232" spans="1:36" ht="15">
      <c r="A232" s="123" t="s">
        <v>84</v>
      </c>
      <c r="B232" s="15">
        <f t="shared" si="42"/>
        <v>0</v>
      </c>
      <c r="C232" s="35"/>
      <c r="D232" s="15"/>
      <c r="E232" s="15"/>
      <c r="F232" s="15"/>
      <c r="G232" s="15"/>
      <c r="H232" s="15"/>
      <c r="I232" s="15"/>
      <c r="J232" s="15"/>
      <c r="K232" s="15"/>
      <c r="L232" s="15"/>
      <c r="M232" s="15"/>
      <c r="N232" s="15"/>
      <c r="O232" s="15"/>
      <c r="P232" s="1091"/>
      <c r="Q232" s="1091"/>
      <c r="R232" s="1091"/>
      <c r="S232" s="1091"/>
      <c r="T232" s="1091"/>
      <c r="U232" s="1091"/>
      <c r="V232" s="1091"/>
      <c r="W232" s="1091"/>
      <c r="X232" s="1091"/>
      <c r="Y232" s="1091"/>
      <c r="Z232" s="1091"/>
      <c r="AA232" s="1091"/>
      <c r="AB232" s="1091"/>
      <c r="AC232" s="1091"/>
      <c r="AD232" s="1091"/>
      <c r="AE232" s="1091"/>
      <c r="AF232" s="1091"/>
      <c r="AG232" s="1091"/>
      <c r="AH232" s="39">
        <f t="shared" si="43"/>
        <v>0</v>
      </c>
    </row>
    <row r="233" spans="1:36" ht="15">
      <c r="A233" s="71" t="s">
        <v>72</v>
      </c>
      <c r="B233" s="72">
        <f>SUM(B221:B232)</f>
        <v>0</v>
      </c>
      <c r="C233" s="32">
        <f>SUM(C221:C231)</f>
        <v>0</v>
      </c>
      <c r="D233" s="39">
        <f>SUM(D221:D231)</f>
        <v>0</v>
      </c>
      <c r="E233" s="39">
        <v>0</v>
      </c>
      <c r="F233" s="39">
        <f t="shared" ref="F233:AC233" si="44">SUM(F221:F231)</f>
        <v>0</v>
      </c>
      <c r="G233" s="39">
        <f t="shared" si="44"/>
        <v>0</v>
      </c>
      <c r="H233" s="39">
        <f t="shared" si="44"/>
        <v>0</v>
      </c>
      <c r="I233" s="39">
        <f t="shared" si="44"/>
        <v>0</v>
      </c>
      <c r="J233" s="39">
        <f t="shared" si="44"/>
        <v>0</v>
      </c>
      <c r="K233" s="39">
        <f t="shared" si="44"/>
        <v>0</v>
      </c>
      <c r="L233" s="39">
        <f t="shared" si="44"/>
        <v>0</v>
      </c>
      <c r="M233" s="39">
        <f t="shared" si="44"/>
        <v>0</v>
      </c>
      <c r="N233" s="39">
        <f t="shared" si="44"/>
        <v>0</v>
      </c>
      <c r="O233" s="39">
        <f t="shared" si="44"/>
        <v>0</v>
      </c>
      <c r="P233" s="39">
        <f t="shared" si="44"/>
        <v>0</v>
      </c>
      <c r="Q233" s="39">
        <f t="shared" si="44"/>
        <v>0</v>
      </c>
      <c r="R233" s="39">
        <f t="shared" si="44"/>
        <v>0</v>
      </c>
      <c r="S233" s="39">
        <f t="shared" si="44"/>
        <v>0</v>
      </c>
      <c r="T233" s="39">
        <f t="shared" si="44"/>
        <v>0</v>
      </c>
      <c r="U233" s="39">
        <f t="shared" si="44"/>
        <v>0</v>
      </c>
      <c r="V233" s="39">
        <f t="shared" si="44"/>
        <v>0</v>
      </c>
      <c r="W233" s="39">
        <f t="shared" si="44"/>
        <v>0</v>
      </c>
      <c r="X233" s="39">
        <f t="shared" si="44"/>
        <v>0</v>
      </c>
      <c r="Y233" s="39">
        <f t="shared" si="44"/>
        <v>0</v>
      </c>
      <c r="Z233" s="39">
        <f t="shared" si="44"/>
        <v>0</v>
      </c>
      <c r="AA233" s="39">
        <f t="shared" si="44"/>
        <v>0</v>
      </c>
      <c r="AB233" s="39">
        <f t="shared" si="44"/>
        <v>0</v>
      </c>
      <c r="AC233" s="39">
        <f t="shared" si="44"/>
        <v>0</v>
      </c>
      <c r="AD233" s="39">
        <v>0</v>
      </c>
      <c r="AE233" s="39">
        <f>SUM(AE221:AE231)</f>
        <v>0</v>
      </c>
      <c r="AF233" s="39">
        <f>SUM(AF221:AF231)</f>
        <v>0</v>
      </c>
      <c r="AG233" s="39">
        <f>SUM(AG221:AG231)</f>
        <v>0</v>
      </c>
      <c r="AH233" s="32">
        <f>SUM(AH221:AH231)</f>
        <v>0</v>
      </c>
    </row>
    <row r="234" spans="1:36" ht="5.0999999999999996" customHeight="1">
      <c r="A234" s="36"/>
      <c r="B234" s="44"/>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row>
    <row r="235" spans="1:36" ht="15">
      <c r="A235" s="3811" t="s">
        <v>100</v>
      </c>
      <c r="B235" s="3812"/>
      <c r="C235" s="3812"/>
      <c r="D235" s="3812"/>
      <c r="E235" s="3812"/>
      <c r="F235" s="3812"/>
      <c r="G235" s="3812"/>
      <c r="H235" s="3813"/>
      <c r="I235" s="1229"/>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spans="1:36" ht="15">
      <c r="A236" s="5" t="s">
        <v>89</v>
      </c>
      <c r="B236" s="5" t="s">
        <v>71</v>
      </c>
      <c r="C236" s="1054">
        <v>1</v>
      </c>
      <c r="D236" s="21">
        <v>2</v>
      </c>
      <c r="E236" s="21">
        <v>3</v>
      </c>
      <c r="F236" s="21">
        <v>4</v>
      </c>
      <c r="G236" s="21">
        <v>5</v>
      </c>
      <c r="H236" s="21">
        <v>6</v>
      </c>
      <c r="I236" s="21">
        <v>7</v>
      </c>
      <c r="J236" s="21">
        <v>8</v>
      </c>
      <c r="K236" s="21">
        <v>9</v>
      </c>
      <c r="L236" s="21">
        <v>10</v>
      </c>
      <c r="M236" s="21">
        <v>11</v>
      </c>
      <c r="N236" s="21">
        <v>12</v>
      </c>
      <c r="O236" s="21">
        <v>13</v>
      </c>
      <c r="P236" s="21">
        <v>14</v>
      </c>
      <c r="Q236" s="21">
        <v>15</v>
      </c>
      <c r="R236" s="21">
        <v>16</v>
      </c>
      <c r="S236" s="21">
        <v>17</v>
      </c>
      <c r="T236" s="21">
        <v>18</v>
      </c>
      <c r="U236" s="21">
        <v>19</v>
      </c>
      <c r="V236" s="21">
        <v>20</v>
      </c>
      <c r="W236" s="21">
        <v>21</v>
      </c>
      <c r="X236" s="21">
        <v>22</v>
      </c>
      <c r="Y236" s="21">
        <v>23</v>
      </c>
      <c r="Z236" s="21">
        <v>24</v>
      </c>
      <c r="AA236" s="21">
        <v>25</v>
      </c>
      <c r="AB236" s="21">
        <v>26</v>
      </c>
      <c r="AC236" s="21">
        <v>27</v>
      </c>
      <c r="AD236" s="21">
        <v>28</v>
      </c>
      <c r="AE236" s="21">
        <v>29</v>
      </c>
      <c r="AF236" s="21">
        <v>30</v>
      </c>
      <c r="AG236" s="21">
        <v>31</v>
      </c>
      <c r="AH236" s="25" t="s">
        <v>72</v>
      </c>
      <c r="AI236" s="2266" t="s">
        <v>1345</v>
      </c>
      <c r="AJ236" s="66" t="e">
        <f>(B249/COUNTIF($C$237:$AG$248,"&gt;0"))</f>
        <v>#DIV/0!</v>
      </c>
    </row>
    <row r="237" spans="1:36" ht="15">
      <c r="A237" s="122" t="s">
        <v>73</v>
      </c>
      <c r="B237" s="15">
        <f t="shared" ref="B237:B248" si="45">+AH237</f>
        <v>0</v>
      </c>
      <c r="C237" s="107" t="s">
        <v>109</v>
      </c>
      <c r="D237" s="107" t="s">
        <v>109</v>
      </c>
      <c r="E237" s="107" t="s">
        <v>109</v>
      </c>
      <c r="F237" s="107" t="s">
        <v>109</v>
      </c>
      <c r="G237" s="107" t="s">
        <v>109</v>
      </c>
      <c r="H237" s="107" t="s">
        <v>109</v>
      </c>
      <c r="I237" s="107" t="s">
        <v>109</v>
      </c>
      <c r="J237" s="107" t="s">
        <v>109</v>
      </c>
      <c r="K237" s="107" t="s">
        <v>109</v>
      </c>
      <c r="L237" s="107" t="s">
        <v>109</v>
      </c>
      <c r="M237" s="107" t="s">
        <v>109</v>
      </c>
      <c r="N237" s="107" t="s">
        <v>109</v>
      </c>
      <c r="O237" s="107" t="s">
        <v>109</v>
      </c>
      <c r="P237" s="107" t="s">
        <v>109</v>
      </c>
      <c r="Q237" s="107" t="s">
        <v>109</v>
      </c>
      <c r="R237" s="107" t="s">
        <v>109</v>
      </c>
      <c r="S237" s="107" t="s">
        <v>109</v>
      </c>
      <c r="T237" s="107" t="s">
        <v>109</v>
      </c>
      <c r="U237" s="107" t="s">
        <v>109</v>
      </c>
      <c r="V237" s="107" t="s">
        <v>109</v>
      </c>
      <c r="W237" s="107" t="s">
        <v>109</v>
      </c>
      <c r="X237" s="107" t="s">
        <v>109</v>
      </c>
      <c r="Y237" s="107" t="s">
        <v>109</v>
      </c>
      <c r="Z237" s="107" t="s">
        <v>109</v>
      </c>
      <c r="AA237" s="107" t="s">
        <v>109</v>
      </c>
      <c r="AB237" s="107" t="s">
        <v>109</v>
      </c>
      <c r="AC237" s="107" t="s">
        <v>109</v>
      </c>
      <c r="AD237" s="107" t="s">
        <v>109</v>
      </c>
      <c r="AE237" s="107" t="s">
        <v>109</v>
      </c>
      <c r="AF237" s="107" t="s">
        <v>109</v>
      </c>
      <c r="AG237" s="107" t="s">
        <v>109</v>
      </c>
      <c r="AH237" s="39">
        <f>SUM(C237:AG237)</f>
        <v>0</v>
      </c>
    </row>
    <row r="238" spans="1:36" ht="15">
      <c r="A238" s="122" t="s">
        <v>74</v>
      </c>
      <c r="B238" s="15">
        <f t="shared" si="45"/>
        <v>0</v>
      </c>
      <c r="C238" s="107" t="s">
        <v>109</v>
      </c>
      <c r="D238" s="107" t="s">
        <v>109</v>
      </c>
      <c r="E238" s="107" t="s">
        <v>109</v>
      </c>
      <c r="F238" s="107" t="s">
        <v>109</v>
      </c>
      <c r="G238" s="107" t="s">
        <v>109</v>
      </c>
      <c r="H238" s="107" t="s">
        <v>109</v>
      </c>
      <c r="I238" s="107" t="s">
        <v>109</v>
      </c>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108"/>
      <c r="AH238" s="39">
        <f t="shared" ref="AH238:AH248" si="46">SUM(C238:AG238)</f>
        <v>0</v>
      </c>
    </row>
    <row r="239" spans="1:36" ht="15">
      <c r="A239" s="122" t="s">
        <v>75</v>
      </c>
      <c r="B239" s="15">
        <f t="shared" si="45"/>
        <v>0</v>
      </c>
      <c r="C239" s="108"/>
      <c r="D239" s="108"/>
      <c r="E239" s="108"/>
      <c r="F239" s="108"/>
      <c r="G239" s="108"/>
      <c r="H239" s="94"/>
      <c r="I239" s="94"/>
      <c r="J239" s="94"/>
      <c r="K239" s="94"/>
      <c r="L239" s="94"/>
      <c r="M239" s="94"/>
      <c r="N239" s="94">
        <v>0</v>
      </c>
      <c r="O239" s="94"/>
      <c r="P239" s="94"/>
      <c r="Q239" s="94"/>
      <c r="R239" s="94"/>
      <c r="S239" s="15"/>
      <c r="T239" s="15"/>
      <c r="U239" s="15"/>
      <c r="V239" s="15"/>
      <c r="W239" s="15"/>
      <c r="X239" s="15"/>
      <c r="Y239" s="15"/>
      <c r="Z239" s="15"/>
      <c r="AA239" s="15"/>
      <c r="AB239" s="15"/>
      <c r="AC239" s="1689"/>
      <c r="AD239" s="1689"/>
      <c r="AE239" s="1689"/>
      <c r="AF239" s="1689"/>
      <c r="AG239" s="1689"/>
      <c r="AH239" s="39">
        <f t="shared" si="46"/>
        <v>0</v>
      </c>
    </row>
    <row r="240" spans="1:36" ht="15">
      <c r="A240" s="122" t="s">
        <v>76</v>
      </c>
      <c r="B240" s="15">
        <f t="shared" si="45"/>
        <v>0</v>
      </c>
      <c r="C240" s="1689"/>
      <c r="D240" s="1689"/>
      <c r="E240" s="1689"/>
      <c r="F240" s="1689"/>
      <c r="G240" s="1689"/>
      <c r="H240" s="1689"/>
      <c r="I240" s="1689"/>
      <c r="J240" s="1689"/>
      <c r="K240" s="1689"/>
      <c r="L240" s="1091"/>
      <c r="M240" s="1091"/>
      <c r="N240" s="1091"/>
      <c r="O240" s="1091"/>
      <c r="P240" s="1091"/>
      <c r="Q240" s="1091"/>
      <c r="R240" s="1091"/>
      <c r="S240" s="1091"/>
      <c r="T240" s="1091"/>
      <c r="U240" s="1091"/>
      <c r="V240" s="1091"/>
      <c r="W240" s="1091"/>
      <c r="X240" s="1091"/>
      <c r="Y240" s="1091"/>
      <c r="Z240" s="1091"/>
      <c r="AA240" s="1091"/>
      <c r="AB240" s="1091"/>
      <c r="AC240" s="1091"/>
      <c r="AD240" s="1091"/>
      <c r="AE240" s="1091"/>
      <c r="AF240" s="1091"/>
      <c r="AG240" s="1091"/>
      <c r="AH240" s="39">
        <f t="shared" si="46"/>
        <v>0</v>
      </c>
    </row>
    <row r="241" spans="1:36" ht="15">
      <c r="A241" s="120" t="s">
        <v>77</v>
      </c>
      <c r="B241" s="15">
        <f t="shared" si="45"/>
        <v>0</v>
      </c>
      <c r="C241" s="1091"/>
      <c r="D241" s="1091"/>
      <c r="E241" s="1091"/>
      <c r="F241" s="1091"/>
      <c r="G241" s="1091"/>
      <c r="H241" s="1091"/>
      <c r="I241" s="1091"/>
      <c r="J241" s="1091"/>
      <c r="K241" s="1091"/>
      <c r="L241" s="1091"/>
      <c r="M241" s="1091"/>
      <c r="N241" s="1091"/>
      <c r="O241" s="1091"/>
      <c r="P241" s="1091"/>
      <c r="Q241" s="1091"/>
      <c r="R241" s="1091"/>
      <c r="S241" s="1091"/>
      <c r="T241" s="1091"/>
      <c r="U241" s="1091"/>
      <c r="V241" s="1091"/>
      <c r="W241" s="1091"/>
      <c r="X241" s="1091"/>
      <c r="Y241" s="1091"/>
      <c r="Z241" s="1091"/>
      <c r="AA241" s="1091"/>
      <c r="AB241" s="1091"/>
      <c r="AC241" s="1091"/>
      <c r="AD241" s="1091"/>
      <c r="AE241" s="1091"/>
      <c r="AF241" s="1091"/>
      <c r="AG241" s="1091"/>
      <c r="AH241" s="39">
        <f t="shared" si="46"/>
        <v>0</v>
      </c>
    </row>
    <row r="242" spans="1:36" ht="15">
      <c r="A242" s="120" t="s">
        <v>78</v>
      </c>
      <c r="B242" s="15">
        <f t="shared" si="45"/>
        <v>0</v>
      </c>
      <c r="C242" s="1091"/>
      <c r="D242" s="1091"/>
      <c r="E242" s="1091"/>
      <c r="F242" s="1091"/>
      <c r="G242" s="1091"/>
      <c r="H242" s="1091"/>
      <c r="I242" s="1091"/>
      <c r="J242" s="1091"/>
      <c r="K242" s="1091"/>
      <c r="L242" s="1091"/>
      <c r="M242" s="1091"/>
      <c r="N242" s="1091"/>
      <c r="O242" s="1091"/>
      <c r="P242" s="1091"/>
      <c r="Q242" s="1091"/>
      <c r="R242" s="1091"/>
      <c r="S242" s="1091"/>
      <c r="T242" s="1091"/>
      <c r="U242" s="1091"/>
      <c r="V242" s="1091"/>
      <c r="W242" s="1091"/>
      <c r="X242" s="1091"/>
      <c r="Y242" s="1091"/>
      <c r="Z242" s="1091"/>
      <c r="AA242" s="1091"/>
      <c r="AB242" s="1091"/>
      <c r="AC242" s="1091"/>
      <c r="AD242" s="1091"/>
      <c r="AE242" s="1091"/>
      <c r="AF242" s="1091"/>
      <c r="AG242" s="1091"/>
      <c r="AH242" s="39">
        <f t="shared" si="46"/>
        <v>0</v>
      </c>
    </row>
    <row r="243" spans="1:36" ht="15">
      <c r="A243" s="120" t="s">
        <v>79</v>
      </c>
      <c r="B243" s="15">
        <f t="shared" si="45"/>
        <v>0</v>
      </c>
      <c r="C243" s="1091"/>
      <c r="D243" s="1268"/>
      <c r="E243" s="1268"/>
      <c r="F243" s="1268"/>
      <c r="G243" s="1091"/>
      <c r="H243" s="1091"/>
      <c r="I243" s="1091"/>
      <c r="J243" s="2068"/>
      <c r="K243" s="2068"/>
      <c r="L243" s="1268"/>
      <c r="M243" s="1268"/>
      <c r="N243" s="1268"/>
      <c r="O243" s="1268"/>
      <c r="P243" s="1268"/>
      <c r="Q243" s="1268"/>
      <c r="R243" s="1268"/>
      <c r="S243" s="1268"/>
      <c r="T243" s="1268"/>
      <c r="U243" s="1268"/>
      <c r="V243" s="1268"/>
      <c r="W243" s="609"/>
      <c r="X243" s="609"/>
      <c r="Y243" s="609"/>
      <c r="Z243" s="609"/>
      <c r="AA243" s="609"/>
      <c r="AB243" s="609"/>
      <c r="AC243" s="609"/>
      <c r="AD243" s="609"/>
      <c r="AE243" s="609"/>
      <c r="AF243" s="609" t="s">
        <v>109</v>
      </c>
      <c r="AG243" s="609" t="s">
        <v>109</v>
      </c>
      <c r="AH243" s="39">
        <f t="shared" si="46"/>
        <v>0</v>
      </c>
    </row>
    <row r="244" spans="1:36" ht="15">
      <c r="A244" s="120" t="s">
        <v>80</v>
      </c>
      <c r="B244" s="15">
        <f t="shared" si="45"/>
        <v>0</v>
      </c>
      <c r="C244" s="609" t="s">
        <v>109</v>
      </c>
      <c r="D244" s="609" t="s">
        <v>109</v>
      </c>
      <c r="E244" s="609" t="s">
        <v>109</v>
      </c>
      <c r="F244" s="609" t="s">
        <v>109</v>
      </c>
      <c r="G244" s="609" t="s">
        <v>109</v>
      </c>
      <c r="H244" s="609" t="s">
        <v>109</v>
      </c>
      <c r="I244" s="609" t="s">
        <v>109</v>
      </c>
      <c r="J244" s="609" t="s">
        <v>109</v>
      </c>
      <c r="K244" s="609" t="s">
        <v>109</v>
      </c>
      <c r="L244" s="609" t="s">
        <v>109</v>
      </c>
      <c r="M244" s="609" t="s">
        <v>109</v>
      </c>
      <c r="N244" s="609" t="s">
        <v>109</v>
      </c>
      <c r="O244" s="609" t="s">
        <v>109</v>
      </c>
      <c r="P244" s="609" t="s">
        <v>109</v>
      </c>
      <c r="Q244" s="609" t="s">
        <v>109</v>
      </c>
      <c r="R244" s="609" t="s">
        <v>109</v>
      </c>
      <c r="S244" s="609" t="s">
        <v>109</v>
      </c>
      <c r="T244" s="609" t="s">
        <v>109</v>
      </c>
      <c r="U244" s="609" t="s">
        <v>109</v>
      </c>
      <c r="V244" s="609" t="s">
        <v>109</v>
      </c>
      <c r="W244" s="609" t="s">
        <v>109</v>
      </c>
      <c r="X244" s="609" t="s">
        <v>109</v>
      </c>
      <c r="Y244" s="609" t="s">
        <v>109</v>
      </c>
      <c r="Z244" s="609" t="s">
        <v>109</v>
      </c>
      <c r="AA244" s="609" t="s">
        <v>109</v>
      </c>
      <c r="AB244" s="609" t="s">
        <v>109</v>
      </c>
      <c r="AC244" s="609" t="s">
        <v>109</v>
      </c>
      <c r="AD244" s="609" t="s">
        <v>109</v>
      </c>
      <c r="AE244" s="609" t="s">
        <v>109</v>
      </c>
      <c r="AF244" s="609" t="s">
        <v>109</v>
      </c>
      <c r="AG244" s="609" t="s">
        <v>109</v>
      </c>
      <c r="AH244" s="39">
        <f t="shared" si="46"/>
        <v>0</v>
      </c>
    </row>
    <row r="245" spans="1:36" ht="15">
      <c r="A245" s="123" t="s">
        <v>81</v>
      </c>
      <c r="B245" s="15">
        <f t="shared" si="45"/>
        <v>0</v>
      </c>
      <c r="C245" s="609" t="s">
        <v>109</v>
      </c>
      <c r="D245" s="609" t="s">
        <v>109</v>
      </c>
      <c r="E245" s="609" t="s">
        <v>109</v>
      </c>
      <c r="F245" s="609" t="s">
        <v>109</v>
      </c>
      <c r="G245" s="609" t="s">
        <v>109</v>
      </c>
      <c r="H245" s="609" t="s">
        <v>109</v>
      </c>
      <c r="I245" s="609" t="s">
        <v>109</v>
      </c>
      <c r="J245" s="609" t="s">
        <v>109</v>
      </c>
      <c r="K245" s="609" t="s">
        <v>109</v>
      </c>
      <c r="L245" s="609" t="s">
        <v>109</v>
      </c>
      <c r="M245" s="609" t="s">
        <v>109</v>
      </c>
      <c r="N245" s="609" t="s">
        <v>109</v>
      </c>
      <c r="O245" s="609" t="s">
        <v>109</v>
      </c>
      <c r="P245" s="609" t="s">
        <v>109</v>
      </c>
      <c r="Q245" s="609" t="s">
        <v>109</v>
      </c>
      <c r="R245" s="609" t="s">
        <v>109</v>
      </c>
      <c r="S245" s="609" t="s">
        <v>109</v>
      </c>
      <c r="T245" s="609" t="s">
        <v>109</v>
      </c>
      <c r="U245" s="609" t="s">
        <v>109</v>
      </c>
      <c r="V245" s="609" t="s">
        <v>109</v>
      </c>
      <c r="W245" s="609" t="s">
        <v>109</v>
      </c>
      <c r="X245" s="609" t="s">
        <v>109</v>
      </c>
      <c r="Y245" s="609" t="s">
        <v>109</v>
      </c>
      <c r="Z245" s="609" t="s">
        <v>109</v>
      </c>
      <c r="AA245" s="609" t="s">
        <v>109</v>
      </c>
      <c r="AB245" s="609" t="s">
        <v>109</v>
      </c>
      <c r="AC245" s="609" t="s">
        <v>109</v>
      </c>
      <c r="AD245" s="609" t="s">
        <v>109</v>
      </c>
      <c r="AE245" s="609" t="s">
        <v>109</v>
      </c>
      <c r="AF245" s="609" t="s">
        <v>109</v>
      </c>
      <c r="AG245" s="609" t="s">
        <v>109</v>
      </c>
      <c r="AH245" s="39">
        <f t="shared" si="46"/>
        <v>0</v>
      </c>
    </row>
    <row r="246" spans="1:36" ht="15">
      <c r="A246" s="123" t="s">
        <v>82</v>
      </c>
      <c r="B246" s="15">
        <f t="shared" si="45"/>
        <v>0</v>
      </c>
      <c r="C246" s="609" t="s">
        <v>109</v>
      </c>
      <c r="D246" s="609" t="s">
        <v>109</v>
      </c>
      <c r="E246" s="609" t="s">
        <v>109</v>
      </c>
      <c r="F246" s="609" t="s">
        <v>109</v>
      </c>
      <c r="G246" s="609" t="s">
        <v>109</v>
      </c>
      <c r="H246" s="609" t="s">
        <v>109</v>
      </c>
      <c r="I246" s="609" t="s">
        <v>109</v>
      </c>
      <c r="J246" s="609" t="s">
        <v>109</v>
      </c>
      <c r="K246" s="609" t="s">
        <v>109</v>
      </c>
      <c r="L246" s="609" t="s">
        <v>109</v>
      </c>
      <c r="M246" s="609" t="s">
        <v>109</v>
      </c>
      <c r="N246" s="609" t="s">
        <v>109</v>
      </c>
      <c r="O246" s="609" t="s">
        <v>109</v>
      </c>
      <c r="P246" s="609" t="s">
        <v>109</v>
      </c>
      <c r="Q246" s="609" t="s">
        <v>109</v>
      </c>
      <c r="R246" s="609" t="s">
        <v>109</v>
      </c>
      <c r="S246" s="609" t="s">
        <v>109</v>
      </c>
      <c r="T246" s="609" t="s">
        <v>109</v>
      </c>
      <c r="U246" s="609" t="s">
        <v>109</v>
      </c>
      <c r="V246" s="609" t="s">
        <v>109</v>
      </c>
      <c r="W246" s="609" t="s">
        <v>109</v>
      </c>
      <c r="X246" s="1091"/>
      <c r="Y246" s="1091"/>
      <c r="Z246" s="1091"/>
      <c r="AA246" s="1091"/>
      <c r="AB246" s="1091"/>
      <c r="AC246" s="1091"/>
      <c r="AD246" s="1091"/>
      <c r="AE246" s="1268"/>
      <c r="AF246" s="1091"/>
      <c r="AG246" s="1268"/>
      <c r="AH246" s="39">
        <f t="shared" si="46"/>
        <v>0</v>
      </c>
    </row>
    <row r="247" spans="1:36" ht="15">
      <c r="A247" s="123" t="s">
        <v>83</v>
      </c>
      <c r="B247" s="15">
        <f t="shared" si="45"/>
        <v>0</v>
      </c>
      <c r="C247" s="1091"/>
      <c r="D247" s="1091"/>
      <c r="E247" s="1091"/>
      <c r="F247" s="1091"/>
      <c r="G247" s="1229"/>
      <c r="H247" s="1091"/>
      <c r="I247" s="1091"/>
      <c r="J247" s="1091"/>
      <c r="K247" s="1091"/>
      <c r="L247" s="1091"/>
      <c r="M247" s="1091"/>
      <c r="N247" s="1091"/>
      <c r="O247" s="1091"/>
      <c r="P247" s="1091"/>
      <c r="Q247" s="1091"/>
      <c r="R247" s="1091"/>
      <c r="S247" s="1091"/>
      <c r="T247" s="1091"/>
      <c r="U247" s="1091"/>
      <c r="V247" s="1091"/>
      <c r="W247" s="1091"/>
      <c r="X247" s="1091"/>
      <c r="Y247" s="1229"/>
      <c r="Z247" s="1091"/>
      <c r="AA247" s="1091"/>
      <c r="AB247" s="1091"/>
      <c r="AC247" s="1091"/>
      <c r="AD247" s="1091"/>
      <c r="AE247" s="1268"/>
      <c r="AF247" s="1091"/>
      <c r="AG247" s="1268"/>
      <c r="AH247" s="39">
        <f t="shared" si="46"/>
        <v>0</v>
      </c>
    </row>
    <row r="248" spans="1:36" ht="15">
      <c r="A248" s="123" t="s">
        <v>84</v>
      </c>
      <c r="B248" s="15">
        <f t="shared" si="45"/>
        <v>0</v>
      </c>
      <c r="C248" s="35"/>
      <c r="D248" s="15"/>
      <c r="E248" s="15"/>
      <c r="F248" s="15"/>
      <c r="G248" s="15"/>
      <c r="H248" s="15"/>
      <c r="I248" s="15"/>
      <c r="J248" s="15"/>
      <c r="K248" s="15"/>
      <c r="L248" s="15"/>
      <c r="M248" s="15"/>
      <c r="N248" s="15"/>
      <c r="O248" s="15"/>
      <c r="P248" s="1091"/>
      <c r="Q248" s="1091"/>
      <c r="R248" s="1091"/>
      <c r="S248" s="1091"/>
      <c r="T248" s="1091"/>
      <c r="U248" s="1091"/>
      <c r="V248" s="1091"/>
      <c r="W248" s="1091"/>
      <c r="X248" s="1091"/>
      <c r="Y248" s="1091"/>
      <c r="Z248" s="1091"/>
      <c r="AA248" s="1091"/>
      <c r="AB248" s="1091"/>
      <c r="AC248" s="1091"/>
      <c r="AD248" s="1091"/>
      <c r="AE248" s="1091"/>
      <c r="AF248" s="1091"/>
      <c r="AG248" s="1091"/>
      <c r="AH248" s="39">
        <f t="shared" si="46"/>
        <v>0</v>
      </c>
    </row>
    <row r="249" spans="1:36" ht="15">
      <c r="A249" s="71" t="s">
        <v>72</v>
      </c>
      <c r="B249" s="72">
        <f>SUM(B237:B248)</f>
        <v>0</v>
      </c>
      <c r="C249" s="32">
        <f>SUM(C237:C247)</f>
        <v>0</v>
      </c>
      <c r="D249" s="39">
        <f>SUM(D237:D247)</f>
        <v>0</v>
      </c>
      <c r="E249" s="39">
        <v>0</v>
      </c>
      <c r="F249" s="39">
        <f t="shared" ref="F249:AC249" si="47">SUM(F237:F247)</f>
        <v>0</v>
      </c>
      <c r="G249" s="39">
        <f t="shared" si="47"/>
        <v>0</v>
      </c>
      <c r="H249" s="39">
        <f t="shared" si="47"/>
        <v>0</v>
      </c>
      <c r="I249" s="39">
        <f t="shared" si="47"/>
        <v>0</v>
      </c>
      <c r="J249" s="39">
        <f t="shared" si="47"/>
        <v>0</v>
      </c>
      <c r="K249" s="39">
        <f t="shared" si="47"/>
        <v>0</v>
      </c>
      <c r="L249" s="39">
        <f t="shared" si="47"/>
        <v>0</v>
      </c>
      <c r="M249" s="39">
        <f t="shared" si="47"/>
        <v>0</v>
      </c>
      <c r="N249" s="39">
        <f t="shared" si="47"/>
        <v>0</v>
      </c>
      <c r="O249" s="39">
        <f t="shared" si="47"/>
        <v>0</v>
      </c>
      <c r="P249" s="39">
        <f t="shared" si="47"/>
        <v>0</v>
      </c>
      <c r="Q249" s="39">
        <f t="shared" si="47"/>
        <v>0</v>
      </c>
      <c r="R249" s="39">
        <f t="shared" si="47"/>
        <v>0</v>
      </c>
      <c r="S249" s="39">
        <f t="shared" si="47"/>
        <v>0</v>
      </c>
      <c r="T249" s="39">
        <f t="shared" si="47"/>
        <v>0</v>
      </c>
      <c r="U249" s="39">
        <f t="shared" si="47"/>
        <v>0</v>
      </c>
      <c r="V249" s="39">
        <f t="shared" si="47"/>
        <v>0</v>
      </c>
      <c r="W249" s="39">
        <f t="shared" si="47"/>
        <v>0</v>
      </c>
      <c r="X249" s="39">
        <f t="shared" si="47"/>
        <v>0</v>
      </c>
      <c r="Y249" s="39">
        <f t="shared" si="47"/>
        <v>0</v>
      </c>
      <c r="Z249" s="39">
        <f t="shared" si="47"/>
        <v>0</v>
      </c>
      <c r="AA249" s="39">
        <f t="shared" si="47"/>
        <v>0</v>
      </c>
      <c r="AB249" s="39">
        <f t="shared" si="47"/>
        <v>0</v>
      </c>
      <c r="AC249" s="39">
        <f t="shared" si="47"/>
        <v>0</v>
      </c>
      <c r="AD249" s="39">
        <v>0</v>
      </c>
      <c r="AE249" s="39">
        <f>SUM(AE237:AE247)</f>
        <v>0</v>
      </c>
      <c r="AF249" s="39">
        <f>SUM(AF237:AF247)</f>
        <v>0</v>
      </c>
      <c r="AG249" s="39">
        <f>SUM(AG237:AG247)</f>
        <v>0</v>
      </c>
      <c r="AH249" s="32">
        <f>SUM(AH237:AH247)</f>
        <v>0</v>
      </c>
    </row>
    <row r="250" spans="1:36" ht="5.0999999999999996" customHeight="1">
      <c r="A250" s="14"/>
      <c r="B250" s="14"/>
      <c r="C250" s="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
    </row>
    <row r="251" spans="1:36" ht="15">
      <c r="A251" s="3811" t="s">
        <v>961</v>
      </c>
      <c r="B251" s="3812"/>
      <c r="C251" s="3812"/>
      <c r="D251" s="3812"/>
      <c r="E251" s="3812"/>
      <c r="F251" s="3812"/>
      <c r="G251" s="3812"/>
      <c r="H251" s="3813"/>
      <c r="I251" s="1229"/>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row>
    <row r="252" spans="1:36" ht="15">
      <c r="A252" s="5" t="s">
        <v>70</v>
      </c>
      <c r="B252" s="5" t="s">
        <v>71</v>
      </c>
      <c r="C252" s="1054">
        <v>1</v>
      </c>
      <c r="D252" s="21">
        <v>2</v>
      </c>
      <c r="E252" s="21">
        <v>3</v>
      </c>
      <c r="F252" s="21">
        <v>4</v>
      </c>
      <c r="G252" s="21">
        <v>5</v>
      </c>
      <c r="H252" s="21">
        <v>6</v>
      </c>
      <c r="I252" s="21">
        <v>7</v>
      </c>
      <c r="J252" s="21">
        <v>8</v>
      </c>
      <c r="K252" s="21">
        <v>9</v>
      </c>
      <c r="L252" s="21">
        <v>10</v>
      </c>
      <c r="M252" s="21">
        <v>11</v>
      </c>
      <c r="N252" s="21">
        <v>12</v>
      </c>
      <c r="O252" s="21">
        <v>13</v>
      </c>
      <c r="P252" s="21">
        <v>14</v>
      </c>
      <c r="Q252" s="21">
        <v>15</v>
      </c>
      <c r="R252" s="21">
        <v>16</v>
      </c>
      <c r="S252" s="21">
        <v>17</v>
      </c>
      <c r="T252" s="21">
        <v>18</v>
      </c>
      <c r="U252" s="21">
        <v>19</v>
      </c>
      <c r="V252" s="21">
        <v>20</v>
      </c>
      <c r="W252" s="21">
        <v>21</v>
      </c>
      <c r="X252" s="21">
        <v>22</v>
      </c>
      <c r="Y252" s="21">
        <v>23</v>
      </c>
      <c r="Z252" s="21">
        <v>24</v>
      </c>
      <c r="AA252" s="21">
        <v>25</v>
      </c>
      <c r="AB252" s="21">
        <v>26</v>
      </c>
      <c r="AC252" s="21">
        <v>27</v>
      </c>
      <c r="AD252" s="21">
        <v>28</v>
      </c>
      <c r="AE252" s="21">
        <v>29</v>
      </c>
      <c r="AF252" s="21">
        <v>30</v>
      </c>
      <c r="AG252" s="21">
        <v>31</v>
      </c>
      <c r="AH252" s="25" t="s">
        <v>72</v>
      </c>
      <c r="AI252" s="2266" t="s">
        <v>1345</v>
      </c>
      <c r="AJ252" s="66" t="e">
        <f>(B265/COUNTIF($C$253:$AG$264,"&gt;0"))</f>
        <v>#DIV/0!</v>
      </c>
    </row>
    <row r="253" spans="1:36" ht="15">
      <c r="A253" s="122" t="s">
        <v>73</v>
      </c>
      <c r="B253" s="52">
        <f t="shared" ref="B253:B264" si="48">+AH253</f>
        <v>0</v>
      </c>
      <c r="C253" s="107" t="s">
        <v>109</v>
      </c>
      <c r="D253" s="107" t="s">
        <v>109</v>
      </c>
      <c r="E253" s="107" t="s">
        <v>109</v>
      </c>
      <c r="F253" s="107" t="s">
        <v>109</v>
      </c>
      <c r="G253" s="107" t="s">
        <v>109</v>
      </c>
      <c r="H253" s="107" t="s">
        <v>109</v>
      </c>
      <c r="I253" s="107" t="s">
        <v>109</v>
      </c>
      <c r="J253" s="107" t="s">
        <v>109</v>
      </c>
      <c r="K253" s="107" t="s">
        <v>109</v>
      </c>
      <c r="L253" s="107" t="s">
        <v>109</v>
      </c>
      <c r="M253" s="107" t="s">
        <v>109</v>
      </c>
      <c r="N253" s="107" t="s">
        <v>109</v>
      </c>
      <c r="O253" s="107" t="s">
        <v>109</v>
      </c>
      <c r="P253" s="107" t="s">
        <v>109</v>
      </c>
      <c r="Q253" s="107" t="s">
        <v>109</v>
      </c>
      <c r="R253" s="107" t="s">
        <v>109</v>
      </c>
      <c r="S253" s="107" t="s">
        <v>109</v>
      </c>
      <c r="T253" s="107" t="s">
        <v>109</v>
      </c>
      <c r="U253" s="107" t="s">
        <v>109</v>
      </c>
      <c r="V253" s="107" t="s">
        <v>109</v>
      </c>
      <c r="W253" s="107" t="s">
        <v>109</v>
      </c>
      <c r="X253" s="107" t="s">
        <v>109</v>
      </c>
      <c r="Y253" s="107" t="s">
        <v>109</v>
      </c>
      <c r="Z253" s="107" t="s">
        <v>109</v>
      </c>
      <c r="AA253" s="107" t="s">
        <v>109</v>
      </c>
      <c r="AB253" s="107" t="s">
        <v>109</v>
      </c>
      <c r="AC253" s="107" t="s">
        <v>109</v>
      </c>
      <c r="AD253" s="107" t="s">
        <v>109</v>
      </c>
      <c r="AE253" s="107" t="s">
        <v>109</v>
      </c>
      <c r="AF253" s="107" t="s">
        <v>109</v>
      </c>
      <c r="AG253" s="107" t="s">
        <v>109</v>
      </c>
      <c r="AH253" s="39">
        <f>SUM(C253:AG253)</f>
        <v>0</v>
      </c>
    </row>
    <row r="254" spans="1:36" s="67" customFormat="1" ht="15">
      <c r="A254" s="122" t="s">
        <v>74</v>
      </c>
      <c r="B254" s="52">
        <f t="shared" si="48"/>
        <v>0</v>
      </c>
      <c r="C254" s="107" t="s">
        <v>109</v>
      </c>
      <c r="D254" s="107" t="s">
        <v>109</v>
      </c>
      <c r="E254" s="107" t="s">
        <v>109</v>
      </c>
      <c r="F254" s="107" t="s">
        <v>109</v>
      </c>
      <c r="G254" s="107" t="s">
        <v>109</v>
      </c>
      <c r="H254" s="107" t="s">
        <v>109</v>
      </c>
      <c r="I254" s="107" t="s">
        <v>109</v>
      </c>
      <c r="J254" s="108"/>
      <c r="K254" s="108"/>
      <c r="L254" s="108"/>
      <c r="M254" s="108"/>
      <c r="N254" s="108"/>
      <c r="O254" s="108"/>
      <c r="P254" s="108"/>
      <c r="Q254" s="108"/>
      <c r="R254" s="108"/>
      <c r="S254" s="108"/>
      <c r="T254" s="108"/>
      <c r="U254" s="108"/>
      <c r="V254" s="108"/>
      <c r="W254" s="108"/>
      <c r="X254" s="108"/>
      <c r="Y254" s="108"/>
      <c r="Z254" s="108"/>
      <c r="AA254" s="108"/>
      <c r="AB254" s="108"/>
      <c r="AC254" s="108"/>
      <c r="AD254" s="108"/>
      <c r="AE254" s="108"/>
      <c r="AF254" s="108"/>
      <c r="AG254" s="108"/>
      <c r="AH254" s="39">
        <f t="shared" ref="AH254:AH264" si="49">SUM(C254:AG254)</f>
        <v>0</v>
      </c>
    </row>
    <row r="255" spans="1:36" ht="15">
      <c r="A255" s="122" t="s">
        <v>75</v>
      </c>
      <c r="B255" s="52">
        <f t="shared" si="48"/>
        <v>0</v>
      </c>
      <c r="C255" s="108"/>
      <c r="D255" s="108"/>
      <c r="E255" s="108"/>
      <c r="F255" s="108"/>
      <c r="G255" s="108"/>
      <c r="H255" s="94"/>
      <c r="I255" s="94"/>
      <c r="J255" s="94"/>
      <c r="K255" s="94"/>
      <c r="L255" s="94"/>
      <c r="M255" s="94"/>
      <c r="N255" s="94">
        <v>0</v>
      </c>
      <c r="O255" s="94"/>
      <c r="P255" s="94"/>
      <c r="Q255" s="94"/>
      <c r="R255" s="94"/>
      <c r="S255" s="15"/>
      <c r="T255" s="15"/>
      <c r="U255" s="15"/>
      <c r="V255" s="15"/>
      <c r="W255" s="15"/>
      <c r="X255" s="15"/>
      <c r="Y255" s="15"/>
      <c r="Z255" s="15"/>
      <c r="AA255" s="15"/>
      <c r="AB255" s="15"/>
      <c r="AC255" s="1689"/>
      <c r="AD255" s="1689"/>
      <c r="AE255" s="1689"/>
      <c r="AF255" s="1689"/>
      <c r="AG255" s="1689"/>
      <c r="AH255" s="39">
        <f t="shared" si="49"/>
        <v>0</v>
      </c>
    </row>
    <row r="256" spans="1:36" ht="15">
      <c r="A256" s="122" t="s">
        <v>76</v>
      </c>
      <c r="B256" s="52">
        <f t="shared" si="48"/>
        <v>0</v>
      </c>
      <c r="C256" s="1689"/>
      <c r="D256" s="1689"/>
      <c r="E256" s="1689"/>
      <c r="F256" s="1689"/>
      <c r="G256" s="1689"/>
      <c r="H256" s="1689"/>
      <c r="I256" s="1689"/>
      <c r="J256" s="1689"/>
      <c r="K256" s="1689"/>
      <c r="L256" s="1091"/>
      <c r="M256" s="1091"/>
      <c r="N256" s="1091"/>
      <c r="O256" s="1091"/>
      <c r="P256" s="1091"/>
      <c r="Q256" s="1091"/>
      <c r="R256" s="1091"/>
      <c r="S256" s="1091"/>
      <c r="T256" s="1091"/>
      <c r="U256" s="1091"/>
      <c r="V256" s="1091"/>
      <c r="W256" s="1091"/>
      <c r="X256" s="1091"/>
      <c r="Y256" s="1091"/>
      <c r="Z256" s="1091"/>
      <c r="AA256" s="1091"/>
      <c r="AB256" s="1091"/>
      <c r="AC256" s="1091"/>
      <c r="AD256" s="1091"/>
      <c r="AE256" s="1091"/>
      <c r="AF256" s="1091"/>
      <c r="AG256" s="1091"/>
      <c r="AH256" s="39">
        <f t="shared" si="49"/>
        <v>0</v>
      </c>
    </row>
    <row r="257" spans="1:36" s="67" customFormat="1" ht="15">
      <c r="A257" s="120" t="s">
        <v>77</v>
      </c>
      <c r="B257" s="52">
        <f t="shared" si="48"/>
        <v>0</v>
      </c>
      <c r="C257" s="1091"/>
      <c r="D257" s="1091"/>
      <c r="E257" s="1091"/>
      <c r="F257" s="1091"/>
      <c r="G257" s="1091"/>
      <c r="H257" s="1091"/>
      <c r="I257" s="1091"/>
      <c r="J257" s="1091"/>
      <c r="K257" s="1091"/>
      <c r="L257" s="1091"/>
      <c r="M257" s="1091"/>
      <c r="N257" s="1091"/>
      <c r="O257" s="1091"/>
      <c r="P257" s="1091"/>
      <c r="Q257" s="1091"/>
      <c r="R257" s="1091"/>
      <c r="S257" s="1091"/>
      <c r="T257" s="1091"/>
      <c r="U257" s="1091"/>
      <c r="V257" s="1091"/>
      <c r="W257" s="1091"/>
      <c r="X257" s="1091"/>
      <c r="Y257" s="1091"/>
      <c r="Z257" s="1091"/>
      <c r="AA257" s="1091"/>
      <c r="AB257" s="1091"/>
      <c r="AC257" s="1091"/>
      <c r="AD257" s="1091"/>
      <c r="AE257" s="1091"/>
      <c r="AF257" s="1091"/>
      <c r="AG257" s="1091"/>
      <c r="AH257" s="39">
        <f t="shared" si="49"/>
        <v>0</v>
      </c>
    </row>
    <row r="258" spans="1:36" ht="15">
      <c r="A258" s="120" t="s">
        <v>78</v>
      </c>
      <c r="B258" s="52">
        <f t="shared" si="48"/>
        <v>0</v>
      </c>
      <c r="C258" s="1091"/>
      <c r="D258" s="1091"/>
      <c r="E258" s="1091"/>
      <c r="F258" s="1091"/>
      <c r="G258" s="1091"/>
      <c r="H258" s="1091"/>
      <c r="I258" s="1091"/>
      <c r="J258" s="1091"/>
      <c r="K258" s="1091"/>
      <c r="L258" s="1091"/>
      <c r="M258" s="1091"/>
      <c r="N258" s="1091"/>
      <c r="O258" s="1091"/>
      <c r="P258" s="1091"/>
      <c r="Q258" s="1091"/>
      <c r="R258" s="1091"/>
      <c r="S258" s="1091"/>
      <c r="T258" s="1091"/>
      <c r="U258" s="1091"/>
      <c r="V258" s="1091"/>
      <c r="W258" s="1091"/>
      <c r="X258" s="1091"/>
      <c r="Y258" s="1091"/>
      <c r="Z258" s="1091"/>
      <c r="AA258" s="1091"/>
      <c r="AB258" s="1091"/>
      <c r="AC258" s="1091"/>
      <c r="AD258" s="1091"/>
      <c r="AE258" s="1091"/>
      <c r="AF258" s="1091"/>
      <c r="AG258" s="1091"/>
      <c r="AH258" s="39">
        <f t="shared" si="49"/>
        <v>0</v>
      </c>
    </row>
    <row r="259" spans="1:36" ht="15">
      <c r="A259" s="120" t="s">
        <v>79</v>
      </c>
      <c r="B259" s="52">
        <f t="shared" si="48"/>
        <v>0</v>
      </c>
      <c r="C259" s="1091"/>
      <c r="D259" s="1268"/>
      <c r="E259" s="1268"/>
      <c r="F259" s="1268"/>
      <c r="G259" s="1091"/>
      <c r="H259" s="1091"/>
      <c r="I259" s="1091"/>
      <c r="J259" s="2068"/>
      <c r="K259" s="2068"/>
      <c r="L259" s="1268"/>
      <c r="M259" s="1268"/>
      <c r="N259" s="1268"/>
      <c r="O259" s="1268"/>
      <c r="P259" s="1268"/>
      <c r="Q259" s="1268"/>
      <c r="R259" s="1268"/>
      <c r="S259" s="1268"/>
      <c r="T259" s="1268"/>
      <c r="U259" s="1268"/>
      <c r="V259" s="1268"/>
      <c r="W259" s="609"/>
      <c r="X259" s="609"/>
      <c r="Y259" s="609"/>
      <c r="Z259" s="609"/>
      <c r="AA259" s="609"/>
      <c r="AB259" s="609"/>
      <c r="AC259" s="609"/>
      <c r="AD259" s="609"/>
      <c r="AE259" s="609"/>
      <c r="AF259" s="609" t="s">
        <v>109</v>
      </c>
      <c r="AG259" s="609" t="s">
        <v>109</v>
      </c>
      <c r="AH259" s="39">
        <f t="shared" si="49"/>
        <v>0</v>
      </c>
    </row>
    <row r="260" spans="1:36" s="67" customFormat="1" ht="15">
      <c r="A260" s="120" t="s">
        <v>80</v>
      </c>
      <c r="B260" s="52">
        <f t="shared" si="48"/>
        <v>0</v>
      </c>
      <c r="C260" s="609" t="s">
        <v>109</v>
      </c>
      <c r="D260" s="609" t="s">
        <v>109</v>
      </c>
      <c r="E260" s="609" t="s">
        <v>109</v>
      </c>
      <c r="F260" s="609" t="s">
        <v>109</v>
      </c>
      <c r="G260" s="609" t="s">
        <v>109</v>
      </c>
      <c r="H260" s="609" t="s">
        <v>109</v>
      </c>
      <c r="I260" s="609" t="s">
        <v>109</v>
      </c>
      <c r="J260" s="609" t="s">
        <v>109</v>
      </c>
      <c r="K260" s="609" t="s">
        <v>109</v>
      </c>
      <c r="L260" s="609" t="s">
        <v>109</v>
      </c>
      <c r="M260" s="609" t="s">
        <v>109</v>
      </c>
      <c r="N260" s="609" t="s">
        <v>109</v>
      </c>
      <c r="O260" s="609" t="s">
        <v>109</v>
      </c>
      <c r="P260" s="609" t="s">
        <v>109</v>
      </c>
      <c r="Q260" s="609" t="s">
        <v>109</v>
      </c>
      <c r="R260" s="609" t="s">
        <v>109</v>
      </c>
      <c r="S260" s="609" t="s">
        <v>109</v>
      </c>
      <c r="T260" s="609" t="s">
        <v>109</v>
      </c>
      <c r="U260" s="609" t="s">
        <v>109</v>
      </c>
      <c r="V260" s="609" t="s">
        <v>109</v>
      </c>
      <c r="W260" s="609" t="s">
        <v>109</v>
      </c>
      <c r="X260" s="609" t="s">
        <v>109</v>
      </c>
      <c r="Y260" s="609" t="s">
        <v>109</v>
      </c>
      <c r="Z260" s="609" t="s">
        <v>109</v>
      </c>
      <c r="AA260" s="609" t="s">
        <v>109</v>
      </c>
      <c r="AB260" s="609" t="s">
        <v>109</v>
      </c>
      <c r="AC260" s="609" t="s">
        <v>109</v>
      </c>
      <c r="AD260" s="609" t="s">
        <v>109</v>
      </c>
      <c r="AE260" s="609" t="s">
        <v>109</v>
      </c>
      <c r="AF260" s="609" t="s">
        <v>109</v>
      </c>
      <c r="AG260" s="609" t="s">
        <v>109</v>
      </c>
      <c r="AH260" s="39">
        <f t="shared" si="49"/>
        <v>0</v>
      </c>
    </row>
    <row r="261" spans="1:36" ht="15">
      <c r="A261" s="123" t="s">
        <v>81</v>
      </c>
      <c r="B261" s="52">
        <f t="shared" si="48"/>
        <v>0</v>
      </c>
      <c r="C261" s="609" t="s">
        <v>109</v>
      </c>
      <c r="D261" s="609" t="s">
        <v>109</v>
      </c>
      <c r="E261" s="609" t="s">
        <v>109</v>
      </c>
      <c r="F261" s="609" t="s">
        <v>109</v>
      </c>
      <c r="G261" s="609" t="s">
        <v>109</v>
      </c>
      <c r="H261" s="609" t="s">
        <v>109</v>
      </c>
      <c r="I261" s="609" t="s">
        <v>109</v>
      </c>
      <c r="J261" s="609" t="s">
        <v>109</v>
      </c>
      <c r="K261" s="609" t="s">
        <v>109</v>
      </c>
      <c r="L261" s="609" t="s">
        <v>109</v>
      </c>
      <c r="M261" s="609" t="s">
        <v>109</v>
      </c>
      <c r="N261" s="609" t="s">
        <v>109</v>
      </c>
      <c r="O261" s="609" t="s">
        <v>109</v>
      </c>
      <c r="P261" s="609" t="s">
        <v>109</v>
      </c>
      <c r="Q261" s="609" t="s">
        <v>109</v>
      </c>
      <c r="R261" s="609" t="s">
        <v>109</v>
      </c>
      <c r="S261" s="609" t="s">
        <v>109</v>
      </c>
      <c r="T261" s="609" t="s">
        <v>109</v>
      </c>
      <c r="U261" s="609" t="s">
        <v>109</v>
      </c>
      <c r="V261" s="609" t="s">
        <v>109</v>
      </c>
      <c r="W261" s="609" t="s">
        <v>109</v>
      </c>
      <c r="X261" s="609" t="s">
        <v>109</v>
      </c>
      <c r="Y261" s="609" t="s">
        <v>109</v>
      </c>
      <c r="Z261" s="609" t="s">
        <v>109</v>
      </c>
      <c r="AA261" s="609" t="s">
        <v>109</v>
      </c>
      <c r="AB261" s="609" t="s">
        <v>109</v>
      </c>
      <c r="AC261" s="609" t="s">
        <v>109</v>
      </c>
      <c r="AD261" s="609" t="s">
        <v>109</v>
      </c>
      <c r="AE261" s="609" t="s">
        <v>109</v>
      </c>
      <c r="AF261" s="609" t="s">
        <v>109</v>
      </c>
      <c r="AG261" s="609" t="s">
        <v>109</v>
      </c>
      <c r="AH261" s="39">
        <f t="shared" si="49"/>
        <v>0</v>
      </c>
    </row>
    <row r="262" spans="1:36" ht="15">
      <c r="A262" s="123" t="s">
        <v>82</v>
      </c>
      <c r="B262" s="52">
        <f t="shared" si="48"/>
        <v>0</v>
      </c>
      <c r="C262" s="609" t="s">
        <v>109</v>
      </c>
      <c r="D262" s="609" t="s">
        <v>109</v>
      </c>
      <c r="E262" s="609" t="s">
        <v>109</v>
      </c>
      <c r="F262" s="609" t="s">
        <v>109</v>
      </c>
      <c r="G262" s="609" t="s">
        <v>109</v>
      </c>
      <c r="H262" s="609" t="s">
        <v>109</v>
      </c>
      <c r="I262" s="609" t="s">
        <v>109</v>
      </c>
      <c r="J262" s="609" t="s">
        <v>109</v>
      </c>
      <c r="K262" s="609" t="s">
        <v>109</v>
      </c>
      <c r="L262" s="609" t="s">
        <v>109</v>
      </c>
      <c r="M262" s="609" t="s">
        <v>109</v>
      </c>
      <c r="N262" s="609" t="s">
        <v>109</v>
      </c>
      <c r="O262" s="609" t="s">
        <v>109</v>
      </c>
      <c r="P262" s="609" t="s">
        <v>109</v>
      </c>
      <c r="Q262" s="609" t="s">
        <v>109</v>
      </c>
      <c r="R262" s="609" t="s">
        <v>109</v>
      </c>
      <c r="S262" s="609" t="s">
        <v>109</v>
      </c>
      <c r="T262" s="609" t="s">
        <v>109</v>
      </c>
      <c r="U262" s="609" t="s">
        <v>109</v>
      </c>
      <c r="V262" s="609" t="s">
        <v>109</v>
      </c>
      <c r="W262" s="609" t="s">
        <v>109</v>
      </c>
      <c r="X262" s="1091"/>
      <c r="Y262" s="1091"/>
      <c r="Z262" s="1091"/>
      <c r="AA262" s="1091"/>
      <c r="AB262" s="1091"/>
      <c r="AC262" s="1091"/>
      <c r="AD262" s="1091"/>
      <c r="AE262" s="1268"/>
      <c r="AF262" s="1091"/>
      <c r="AG262" s="1268"/>
      <c r="AH262" s="39">
        <f t="shared" si="49"/>
        <v>0</v>
      </c>
    </row>
    <row r="263" spans="1:36" ht="15">
      <c r="A263" s="123" t="s">
        <v>83</v>
      </c>
      <c r="B263" s="52">
        <f t="shared" si="48"/>
        <v>0</v>
      </c>
      <c r="C263" s="1091"/>
      <c r="D263" s="1091"/>
      <c r="E263" s="1091"/>
      <c r="F263" s="1091"/>
      <c r="G263" s="1229"/>
      <c r="H263" s="1091"/>
      <c r="I263" s="1091"/>
      <c r="J263" s="1091"/>
      <c r="K263" s="1091"/>
      <c r="L263" s="1091"/>
      <c r="M263" s="1091"/>
      <c r="N263" s="1091"/>
      <c r="O263" s="1091"/>
      <c r="P263" s="1091"/>
      <c r="Q263" s="1091"/>
      <c r="R263" s="1091"/>
      <c r="S263" s="1091"/>
      <c r="T263" s="1091"/>
      <c r="U263" s="1091"/>
      <c r="V263" s="1091"/>
      <c r="W263" s="1091"/>
      <c r="X263" s="1091"/>
      <c r="Y263" s="1229"/>
      <c r="Z263" s="1091"/>
      <c r="AA263" s="1091"/>
      <c r="AB263" s="1091"/>
      <c r="AC263" s="1091"/>
      <c r="AD263" s="1091"/>
      <c r="AE263" s="1268"/>
      <c r="AF263" s="1091"/>
      <c r="AG263" s="1268"/>
      <c r="AH263" s="39">
        <f t="shared" si="49"/>
        <v>0</v>
      </c>
    </row>
    <row r="264" spans="1:36" ht="15">
      <c r="A264" s="123" t="s">
        <v>84</v>
      </c>
      <c r="B264" s="52">
        <f t="shared" si="48"/>
        <v>0</v>
      </c>
      <c r="C264" s="35"/>
      <c r="D264" s="15"/>
      <c r="E264" s="15"/>
      <c r="F264" s="15"/>
      <c r="G264" s="15"/>
      <c r="H264" s="15"/>
      <c r="I264" s="15"/>
      <c r="J264" s="15"/>
      <c r="K264" s="15"/>
      <c r="L264" s="15"/>
      <c r="M264" s="15"/>
      <c r="N264" s="15"/>
      <c r="O264" s="15"/>
      <c r="P264" s="1091"/>
      <c r="Q264" s="1091"/>
      <c r="R264" s="1091"/>
      <c r="S264" s="1091"/>
      <c r="T264" s="1091"/>
      <c r="U264" s="1091"/>
      <c r="V264" s="1091"/>
      <c r="W264" s="1091"/>
      <c r="X264" s="1091"/>
      <c r="Y264" s="1091"/>
      <c r="Z264" s="1091"/>
      <c r="AA264" s="1091"/>
      <c r="AB264" s="1091"/>
      <c r="AC264" s="1091"/>
      <c r="AD264" s="1091"/>
      <c r="AE264" s="1091"/>
      <c r="AF264" s="1091"/>
      <c r="AG264" s="1091"/>
      <c r="AH264" s="39">
        <f t="shared" si="49"/>
        <v>0</v>
      </c>
    </row>
    <row r="265" spans="1:36" ht="15">
      <c r="A265" s="71" t="s">
        <v>72</v>
      </c>
      <c r="B265" s="75">
        <f>SUM(B253:B264)</f>
        <v>0</v>
      </c>
      <c r="C265" s="32">
        <f>SUM(C253:C263)</f>
        <v>0</v>
      </c>
      <c r="D265" s="39">
        <f>SUM(D253:D263)</f>
        <v>0</v>
      </c>
      <c r="E265" s="39">
        <v>0</v>
      </c>
      <c r="F265" s="39">
        <f t="shared" ref="F265:AC265" si="50">SUM(F253:F263)</f>
        <v>0</v>
      </c>
      <c r="G265" s="39">
        <f t="shared" si="50"/>
        <v>0</v>
      </c>
      <c r="H265" s="39">
        <f t="shared" si="50"/>
        <v>0</v>
      </c>
      <c r="I265" s="39">
        <f t="shared" si="50"/>
        <v>0</v>
      </c>
      <c r="J265" s="39">
        <f t="shared" si="50"/>
        <v>0</v>
      </c>
      <c r="K265" s="39">
        <f t="shared" si="50"/>
        <v>0</v>
      </c>
      <c r="L265" s="39">
        <f t="shared" si="50"/>
        <v>0</v>
      </c>
      <c r="M265" s="39">
        <f t="shared" si="50"/>
        <v>0</v>
      </c>
      <c r="N265" s="39">
        <f t="shared" si="50"/>
        <v>0</v>
      </c>
      <c r="O265" s="39">
        <f t="shared" si="50"/>
        <v>0</v>
      </c>
      <c r="P265" s="39">
        <f t="shared" si="50"/>
        <v>0</v>
      </c>
      <c r="Q265" s="39">
        <f t="shared" si="50"/>
        <v>0</v>
      </c>
      <c r="R265" s="39">
        <f t="shared" si="50"/>
        <v>0</v>
      </c>
      <c r="S265" s="39">
        <f t="shared" si="50"/>
        <v>0</v>
      </c>
      <c r="T265" s="39">
        <f t="shared" si="50"/>
        <v>0</v>
      </c>
      <c r="U265" s="39">
        <f t="shared" si="50"/>
        <v>0</v>
      </c>
      <c r="V265" s="39">
        <f t="shared" si="50"/>
        <v>0</v>
      </c>
      <c r="W265" s="39">
        <f t="shared" si="50"/>
        <v>0</v>
      </c>
      <c r="X265" s="39">
        <f t="shared" si="50"/>
        <v>0</v>
      </c>
      <c r="Y265" s="39">
        <f t="shared" si="50"/>
        <v>0</v>
      </c>
      <c r="Z265" s="39">
        <f t="shared" si="50"/>
        <v>0</v>
      </c>
      <c r="AA265" s="39">
        <f t="shared" si="50"/>
        <v>0</v>
      </c>
      <c r="AB265" s="39">
        <f t="shared" si="50"/>
        <v>0</v>
      </c>
      <c r="AC265" s="39">
        <f t="shared" si="50"/>
        <v>0</v>
      </c>
      <c r="AD265" s="39">
        <v>0</v>
      </c>
      <c r="AE265" s="39">
        <f>SUM(AE253:AE263)</f>
        <v>0</v>
      </c>
      <c r="AF265" s="39">
        <f>SUM(AF253:AF263)</f>
        <v>0</v>
      </c>
      <c r="AG265" s="39">
        <f>SUM(AG253:AG263)</f>
        <v>0</v>
      </c>
      <c r="AH265" s="32">
        <f>SUM(AH253:AH263)</f>
        <v>0</v>
      </c>
    </row>
    <row r="266" spans="1:36" ht="5.0999999999999996" customHeight="1">
      <c r="A266" s="14"/>
      <c r="B266" s="14"/>
      <c r="C266" s="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
    </row>
    <row r="267" spans="1:36" ht="15">
      <c r="A267" s="3811" t="s">
        <v>962</v>
      </c>
      <c r="B267" s="3812"/>
      <c r="C267" s="3812"/>
      <c r="D267" s="3812"/>
      <c r="E267" s="3812"/>
      <c r="F267" s="3812"/>
      <c r="G267" s="3812"/>
      <c r="H267" s="3813"/>
      <c r="I267" s="1970" t="s">
        <v>1328</v>
      </c>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row>
    <row r="268" spans="1:36" ht="15">
      <c r="A268" s="5" t="s">
        <v>70</v>
      </c>
      <c r="B268" s="5" t="s">
        <v>71</v>
      </c>
      <c r="C268" s="1054">
        <v>1</v>
      </c>
      <c r="D268" s="21">
        <v>2</v>
      </c>
      <c r="E268" s="21">
        <v>3</v>
      </c>
      <c r="F268" s="21">
        <v>4</v>
      </c>
      <c r="G268" s="21">
        <v>5</v>
      </c>
      <c r="H268" s="21">
        <v>6</v>
      </c>
      <c r="I268" s="21">
        <v>7</v>
      </c>
      <c r="J268" s="21">
        <v>8</v>
      </c>
      <c r="K268" s="21">
        <v>9</v>
      </c>
      <c r="L268" s="21">
        <v>10</v>
      </c>
      <c r="M268" s="21">
        <v>11</v>
      </c>
      <c r="N268" s="21">
        <v>12</v>
      </c>
      <c r="O268" s="21">
        <v>13</v>
      </c>
      <c r="P268" s="21">
        <v>14</v>
      </c>
      <c r="Q268" s="21">
        <v>15</v>
      </c>
      <c r="R268" s="21">
        <v>16</v>
      </c>
      <c r="S268" s="21">
        <v>17</v>
      </c>
      <c r="T268" s="21">
        <v>18</v>
      </c>
      <c r="U268" s="21">
        <v>19</v>
      </c>
      <c r="V268" s="21">
        <v>20</v>
      </c>
      <c r="W268" s="21">
        <v>21</v>
      </c>
      <c r="X268" s="21">
        <v>22</v>
      </c>
      <c r="Y268" s="21">
        <v>23</v>
      </c>
      <c r="Z268" s="21">
        <v>24</v>
      </c>
      <c r="AA268" s="21">
        <v>25</v>
      </c>
      <c r="AB268" s="21">
        <v>26</v>
      </c>
      <c r="AC268" s="21">
        <v>27</v>
      </c>
      <c r="AD268" s="21">
        <v>28</v>
      </c>
      <c r="AE268" s="21">
        <v>29</v>
      </c>
      <c r="AF268" s="21">
        <v>30</v>
      </c>
      <c r="AG268" s="21">
        <v>31</v>
      </c>
      <c r="AH268" s="25" t="s">
        <v>72</v>
      </c>
      <c r="AI268" s="2266" t="s">
        <v>1345</v>
      </c>
      <c r="AJ268" s="66">
        <f>(B281/COUNTIF($C$269:$AG$280,"&gt;0"))</f>
        <v>15.512761904761906</v>
      </c>
    </row>
    <row r="269" spans="1:36" ht="15">
      <c r="A269" s="122" t="s">
        <v>73</v>
      </c>
      <c r="B269" s="15">
        <f t="shared" ref="B269:B280" si="51">+AH269</f>
        <v>0</v>
      </c>
      <c r="C269" s="107" t="s">
        <v>109</v>
      </c>
      <c r="D269" s="107" t="s">
        <v>109</v>
      </c>
      <c r="E269" s="107" t="s">
        <v>109</v>
      </c>
      <c r="F269" s="107" t="s">
        <v>109</v>
      </c>
      <c r="G269" s="107" t="s">
        <v>109</v>
      </c>
      <c r="H269" s="107" t="s">
        <v>109</v>
      </c>
      <c r="I269" s="107" t="s">
        <v>109</v>
      </c>
      <c r="J269" s="107" t="s">
        <v>109</v>
      </c>
      <c r="K269" s="107" t="s">
        <v>109</v>
      </c>
      <c r="L269" s="107" t="s">
        <v>109</v>
      </c>
      <c r="M269" s="107" t="s">
        <v>109</v>
      </c>
      <c r="N269" s="107" t="s">
        <v>109</v>
      </c>
      <c r="O269" s="107" t="s">
        <v>109</v>
      </c>
      <c r="P269" s="107" t="s">
        <v>109</v>
      </c>
      <c r="Q269" s="107" t="s">
        <v>109</v>
      </c>
      <c r="R269" s="107" t="s">
        <v>109</v>
      </c>
      <c r="S269" s="107" t="s">
        <v>109</v>
      </c>
      <c r="T269" s="107" t="s">
        <v>109</v>
      </c>
      <c r="U269" s="107" t="s">
        <v>109</v>
      </c>
      <c r="V269" s="107" t="s">
        <v>109</v>
      </c>
      <c r="W269" s="107" t="s">
        <v>109</v>
      </c>
      <c r="X269" s="107" t="s">
        <v>109</v>
      </c>
      <c r="Y269" s="107" t="s">
        <v>109</v>
      </c>
      <c r="Z269" s="107" t="s">
        <v>109</v>
      </c>
      <c r="AA269" s="107" t="s">
        <v>109</v>
      </c>
      <c r="AB269" s="107" t="s">
        <v>109</v>
      </c>
      <c r="AC269" s="107" t="s">
        <v>109</v>
      </c>
      <c r="AD269" s="107" t="s">
        <v>109</v>
      </c>
      <c r="AE269" s="107" t="s">
        <v>109</v>
      </c>
      <c r="AF269" s="107" t="s">
        <v>109</v>
      </c>
      <c r="AG269" s="107" t="s">
        <v>109</v>
      </c>
      <c r="AH269" s="39">
        <f>SUM(C269:AG269)</f>
        <v>0</v>
      </c>
      <c r="AJ269" s="66">
        <f>+'Resumen RAE Anchoveta'!G242</f>
        <v>329.24900000000008</v>
      </c>
    </row>
    <row r="270" spans="1:36" s="67" customFormat="1" ht="15">
      <c r="A270" s="122" t="s">
        <v>74</v>
      </c>
      <c r="B270" s="15">
        <f t="shared" si="51"/>
        <v>266.64599999999996</v>
      </c>
      <c r="C270" s="107" t="s">
        <v>109</v>
      </c>
      <c r="D270" s="107" t="s">
        <v>109</v>
      </c>
      <c r="E270" s="107" t="s">
        <v>109</v>
      </c>
      <c r="F270" s="107" t="s">
        <v>109</v>
      </c>
      <c r="G270" s="107" t="s">
        <v>109</v>
      </c>
      <c r="H270" s="107" t="s">
        <v>109</v>
      </c>
      <c r="I270" s="107" t="s">
        <v>109</v>
      </c>
      <c r="J270" s="108">
        <v>82.864000000000004</v>
      </c>
      <c r="K270" s="108">
        <v>18.062000000000001</v>
      </c>
      <c r="L270" s="108">
        <v>25.978999999999999</v>
      </c>
      <c r="M270" s="108">
        <v>15.957000000000001</v>
      </c>
      <c r="N270" s="108">
        <v>0</v>
      </c>
      <c r="O270" s="108">
        <v>0</v>
      </c>
      <c r="P270" s="108">
        <v>0</v>
      </c>
      <c r="Q270" s="108">
        <v>9.48</v>
      </c>
      <c r="R270" s="108">
        <v>26.981999999999999</v>
      </c>
      <c r="S270" s="108">
        <v>62.298999999999999</v>
      </c>
      <c r="T270" s="108">
        <v>4.6619999999999999</v>
      </c>
      <c r="U270" s="108">
        <v>7.1349999999999998</v>
      </c>
      <c r="V270" s="108">
        <v>13.201000000000001</v>
      </c>
      <c r="W270" s="108">
        <v>0</v>
      </c>
      <c r="X270" s="108">
        <v>0</v>
      </c>
      <c r="Y270" s="108">
        <v>0</v>
      </c>
      <c r="Z270" s="108">
        <v>0</v>
      </c>
      <c r="AA270" s="108">
        <v>0</v>
      </c>
      <c r="AB270" s="108">
        <v>0</v>
      </c>
      <c r="AC270" s="108">
        <v>2.5000000000000001E-2</v>
      </c>
      <c r="AD270" s="108">
        <v>0</v>
      </c>
      <c r="AE270" s="108"/>
      <c r="AF270" s="108"/>
      <c r="AG270" s="108"/>
      <c r="AH270" s="39">
        <f t="shared" ref="AH270:AH280" si="52">SUM(C270:AG270)</f>
        <v>266.64599999999996</v>
      </c>
      <c r="AJ270" s="3212">
        <f>+AJ269/AJ268</f>
        <v>21.224395889098993</v>
      </c>
    </row>
    <row r="271" spans="1:36" ht="15">
      <c r="A271" s="122" t="s">
        <v>75</v>
      </c>
      <c r="B271" s="15">
        <f t="shared" si="51"/>
        <v>14.143000000000001</v>
      </c>
      <c r="C271" s="108">
        <v>10.420999999999999</v>
      </c>
      <c r="D271" s="108">
        <v>2.4279999999999999</v>
      </c>
      <c r="E271" s="108">
        <v>0</v>
      </c>
      <c r="F271" s="108">
        <v>0</v>
      </c>
      <c r="G271" s="108">
        <v>0</v>
      </c>
      <c r="H271" s="94">
        <v>1.294</v>
      </c>
      <c r="I271" s="94"/>
      <c r="J271" s="94"/>
      <c r="K271" s="94"/>
      <c r="L271" s="94"/>
      <c r="M271" s="94"/>
      <c r="N271" s="94"/>
      <c r="O271" s="94"/>
      <c r="P271" s="94"/>
      <c r="Q271" s="94"/>
      <c r="R271" s="94"/>
      <c r="S271" s="15"/>
      <c r="T271" s="15"/>
      <c r="U271" s="15"/>
      <c r="V271" s="15"/>
      <c r="W271" s="15"/>
      <c r="X271" s="15"/>
      <c r="Y271" s="15"/>
      <c r="Z271" s="15"/>
      <c r="AA271" s="15"/>
      <c r="AB271" s="15"/>
      <c r="AC271" s="1689"/>
      <c r="AD271" s="1689"/>
      <c r="AE271" s="1689"/>
      <c r="AF271" s="1689"/>
      <c r="AG271" s="1689"/>
      <c r="AH271" s="39">
        <f t="shared" si="52"/>
        <v>14.143000000000001</v>
      </c>
    </row>
    <row r="272" spans="1:36" ht="15">
      <c r="A272" s="122" t="s">
        <v>76</v>
      </c>
      <c r="B272" s="15">
        <f t="shared" si="51"/>
        <v>27.911000000000001</v>
      </c>
      <c r="C272" s="1689">
        <v>0</v>
      </c>
      <c r="D272" s="1689">
        <v>0</v>
      </c>
      <c r="E272" s="1689">
        <v>0</v>
      </c>
      <c r="F272" s="1689">
        <v>0</v>
      </c>
      <c r="G272" s="1689">
        <v>11.835000000000001</v>
      </c>
      <c r="H272" s="1689">
        <v>0</v>
      </c>
      <c r="I272" s="1689">
        <v>0</v>
      </c>
      <c r="J272" s="1689">
        <v>3.907</v>
      </c>
      <c r="K272" s="1689">
        <v>10.808</v>
      </c>
      <c r="L272" s="1091">
        <v>1.361</v>
      </c>
      <c r="M272" s="1091"/>
      <c r="N272" s="1091"/>
      <c r="O272" s="1091"/>
      <c r="P272" s="1091"/>
      <c r="Q272" s="1091"/>
      <c r="R272" s="1091"/>
      <c r="S272" s="1091"/>
      <c r="T272" s="1091"/>
      <c r="U272" s="1091"/>
      <c r="V272" s="1091"/>
      <c r="W272" s="1091"/>
      <c r="X272" s="1091"/>
      <c r="Y272" s="1091"/>
      <c r="Z272" s="1091"/>
      <c r="AA272" s="1091"/>
      <c r="AB272" s="1091"/>
      <c r="AC272" s="1091"/>
      <c r="AD272" s="1091"/>
      <c r="AE272" s="1091"/>
      <c r="AF272" s="1091"/>
      <c r="AG272" s="1091"/>
      <c r="AH272" s="39">
        <f t="shared" si="52"/>
        <v>27.911000000000001</v>
      </c>
    </row>
    <row r="273" spans="1:36" s="67" customFormat="1" ht="15">
      <c r="A273" s="120" t="s">
        <v>77</v>
      </c>
      <c r="B273" s="15">
        <f t="shared" si="51"/>
        <v>7.4219999999999997</v>
      </c>
      <c r="C273" s="1091"/>
      <c r="D273" s="1091"/>
      <c r="E273" s="1091"/>
      <c r="F273" s="1091"/>
      <c r="G273" s="1091"/>
      <c r="H273" s="1091"/>
      <c r="I273" s="1091"/>
      <c r="J273" s="1091"/>
      <c r="K273" s="1091"/>
      <c r="L273" s="1091"/>
      <c r="M273" s="1091"/>
      <c r="N273" s="1091"/>
      <c r="O273" s="1091"/>
      <c r="P273" s="1091"/>
      <c r="Q273" s="1091"/>
      <c r="R273" s="1091"/>
      <c r="S273" s="1091">
        <v>7.4219999999999997</v>
      </c>
      <c r="T273" s="1091"/>
      <c r="U273" s="1091"/>
      <c r="V273" s="1091"/>
      <c r="W273" s="1091"/>
      <c r="X273" s="1091"/>
      <c r="Y273" s="1091"/>
      <c r="Z273" s="1091"/>
      <c r="AA273" s="1091"/>
      <c r="AB273" s="1091"/>
      <c r="AC273" s="1091"/>
      <c r="AD273" s="1091"/>
      <c r="AE273" s="1091"/>
      <c r="AF273" s="1091"/>
      <c r="AG273" s="1091"/>
      <c r="AH273" s="39">
        <f t="shared" si="52"/>
        <v>7.4219999999999997</v>
      </c>
    </row>
    <row r="274" spans="1:36" ht="15">
      <c r="A274" s="120" t="s">
        <v>78</v>
      </c>
      <c r="B274" s="15">
        <f t="shared" si="51"/>
        <v>0</v>
      </c>
      <c r="C274" s="1091"/>
      <c r="D274" s="1091"/>
      <c r="E274" s="1091"/>
      <c r="F274" s="1091"/>
      <c r="G274" s="1091"/>
      <c r="H274" s="1091"/>
      <c r="I274" s="1091"/>
      <c r="J274" s="1091"/>
      <c r="K274" s="1091"/>
      <c r="L274" s="1091"/>
      <c r="M274" s="1091"/>
      <c r="N274" s="1091"/>
      <c r="O274" s="1091"/>
      <c r="P274" s="1091"/>
      <c r="Q274" s="1091"/>
      <c r="R274" s="1091"/>
      <c r="S274" s="1091"/>
      <c r="T274" s="1091"/>
      <c r="U274" s="1091"/>
      <c r="V274" s="1091"/>
      <c r="W274" s="1091"/>
      <c r="X274" s="1091"/>
      <c r="Y274" s="1091"/>
      <c r="Z274" s="1091"/>
      <c r="AA274" s="1091"/>
      <c r="AB274" s="1091"/>
      <c r="AC274" s="1091"/>
      <c r="AD274" s="1091"/>
      <c r="AE274" s="1091"/>
      <c r="AF274" s="1091"/>
      <c r="AG274" s="1091"/>
      <c r="AH274" s="39">
        <f t="shared" si="52"/>
        <v>0</v>
      </c>
    </row>
    <row r="275" spans="1:36" ht="15">
      <c r="A275" s="120" t="s">
        <v>79</v>
      </c>
      <c r="B275" s="15">
        <f t="shared" si="51"/>
        <v>0.129</v>
      </c>
      <c r="C275" s="1091"/>
      <c r="D275" s="1268"/>
      <c r="E275" s="1268"/>
      <c r="F275" s="1268"/>
      <c r="G275" s="1091"/>
      <c r="H275" s="1091"/>
      <c r="I275" s="1091"/>
      <c r="J275" s="2068"/>
      <c r="K275" s="2068"/>
      <c r="L275" s="1268"/>
      <c r="M275" s="1268"/>
      <c r="N275" s="1268"/>
      <c r="O275" s="1268"/>
      <c r="P275" s="1268"/>
      <c r="Q275" s="1268"/>
      <c r="R275" s="1268"/>
      <c r="S275" s="1268"/>
      <c r="T275" s="1268"/>
      <c r="U275" s="1268"/>
      <c r="V275" s="3506">
        <v>0.129</v>
      </c>
      <c r="W275" s="609"/>
      <c r="X275" s="609"/>
      <c r="Y275" s="609"/>
      <c r="Z275" s="609"/>
      <c r="AA275" s="609"/>
      <c r="AB275" s="609"/>
      <c r="AC275" s="609"/>
      <c r="AD275" s="609"/>
      <c r="AE275" s="609"/>
      <c r="AF275" s="609" t="s">
        <v>109</v>
      </c>
      <c r="AG275" s="609" t="s">
        <v>109</v>
      </c>
      <c r="AH275" s="39">
        <f t="shared" si="52"/>
        <v>0.129</v>
      </c>
    </row>
    <row r="276" spans="1:36" s="67" customFormat="1" ht="15">
      <c r="A276" s="120" t="s">
        <v>80</v>
      </c>
      <c r="B276" s="15">
        <f t="shared" si="51"/>
        <v>0</v>
      </c>
      <c r="C276" s="609" t="s">
        <v>109</v>
      </c>
      <c r="D276" s="609" t="s">
        <v>109</v>
      </c>
      <c r="E276" s="609" t="s">
        <v>109</v>
      </c>
      <c r="F276" s="609" t="s">
        <v>109</v>
      </c>
      <c r="G276" s="609" t="s">
        <v>109</v>
      </c>
      <c r="H276" s="609" t="s">
        <v>109</v>
      </c>
      <c r="I276" s="609" t="s">
        <v>109</v>
      </c>
      <c r="J276" s="609" t="s">
        <v>109</v>
      </c>
      <c r="K276" s="609" t="s">
        <v>109</v>
      </c>
      <c r="L276" s="609" t="s">
        <v>109</v>
      </c>
      <c r="M276" s="609" t="s">
        <v>109</v>
      </c>
      <c r="N276" s="609" t="s">
        <v>109</v>
      </c>
      <c r="O276" s="609" t="s">
        <v>109</v>
      </c>
      <c r="P276" s="609" t="s">
        <v>109</v>
      </c>
      <c r="Q276" s="609" t="s">
        <v>109</v>
      </c>
      <c r="R276" s="609" t="s">
        <v>109</v>
      </c>
      <c r="S276" s="609" t="s">
        <v>109</v>
      </c>
      <c r="T276" s="609" t="s">
        <v>109</v>
      </c>
      <c r="U276" s="609" t="s">
        <v>109</v>
      </c>
      <c r="V276" s="609" t="s">
        <v>109</v>
      </c>
      <c r="W276" s="609" t="s">
        <v>109</v>
      </c>
      <c r="X276" s="609" t="s">
        <v>109</v>
      </c>
      <c r="Y276" s="609" t="s">
        <v>109</v>
      </c>
      <c r="Z276" s="609" t="s">
        <v>109</v>
      </c>
      <c r="AA276" s="609" t="s">
        <v>109</v>
      </c>
      <c r="AB276" s="609" t="s">
        <v>109</v>
      </c>
      <c r="AC276" s="609" t="s">
        <v>109</v>
      </c>
      <c r="AD276" s="609" t="s">
        <v>109</v>
      </c>
      <c r="AE276" s="609" t="s">
        <v>109</v>
      </c>
      <c r="AF276" s="609" t="s">
        <v>109</v>
      </c>
      <c r="AG276" s="609" t="s">
        <v>109</v>
      </c>
      <c r="AH276" s="39">
        <f t="shared" si="52"/>
        <v>0</v>
      </c>
    </row>
    <row r="277" spans="1:36" ht="15">
      <c r="A277" s="123" t="s">
        <v>81</v>
      </c>
      <c r="B277" s="15">
        <f t="shared" si="51"/>
        <v>0</v>
      </c>
      <c r="C277" s="609" t="s">
        <v>109</v>
      </c>
      <c r="D277" s="609" t="s">
        <v>109</v>
      </c>
      <c r="E277" s="609" t="s">
        <v>109</v>
      </c>
      <c r="F277" s="609" t="s">
        <v>109</v>
      </c>
      <c r="G277" s="609" t="s">
        <v>109</v>
      </c>
      <c r="H277" s="609" t="s">
        <v>109</v>
      </c>
      <c r="I277" s="609" t="s">
        <v>109</v>
      </c>
      <c r="J277" s="609" t="s">
        <v>109</v>
      </c>
      <c r="K277" s="609" t="s">
        <v>109</v>
      </c>
      <c r="L277" s="609" t="s">
        <v>109</v>
      </c>
      <c r="M277" s="609" t="s">
        <v>109</v>
      </c>
      <c r="N277" s="609" t="s">
        <v>109</v>
      </c>
      <c r="O277" s="609" t="s">
        <v>109</v>
      </c>
      <c r="P277" s="609" t="s">
        <v>109</v>
      </c>
      <c r="Q277" s="609" t="s">
        <v>109</v>
      </c>
      <c r="R277" s="609" t="s">
        <v>109</v>
      </c>
      <c r="S277" s="609" t="s">
        <v>109</v>
      </c>
      <c r="T277" s="609" t="s">
        <v>109</v>
      </c>
      <c r="U277" s="609" t="s">
        <v>109</v>
      </c>
      <c r="V277" s="609" t="s">
        <v>109</v>
      </c>
      <c r="W277" s="609" t="s">
        <v>109</v>
      </c>
      <c r="X277" s="609" t="s">
        <v>109</v>
      </c>
      <c r="Y277" s="609" t="s">
        <v>109</v>
      </c>
      <c r="Z277" s="609" t="s">
        <v>109</v>
      </c>
      <c r="AA277" s="609" t="s">
        <v>109</v>
      </c>
      <c r="AB277" s="609" t="s">
        <v>109</v>
      </c>
      <c r="AC277" s="609" t="s">
        <v>109</v>
      </c>
      <c r="AD277" s="609" t="s">
        <v>109</v>
      </c>
      <c r="AE277" s="609" t="s">
        <v>109</v>
      </c>
      <c r="AF277" s="609" t="s">
        <v>109</v>
      </c>
      <c r="AG277" s="609" t="s">
        <v>109</v>
      </c>
      <c r="AH277" s="39">
        <f t="shared" si="52"/>
        <v>0</v>
      </c>
    </row>
    <row r="278" spans="1:36" ht="15">
      <c r="A278" s="123" t="s">
        <v>82</v>
      </c>
      <c r="B278" s="15">
        <f t="shared" si="51"/>
        <v>0</v>
      </c>
      <c r="C278" s="609" t="s">
        <v>109</v>
      </c>
      <c r="D278" s="609" t="s">
        <v>109</v>
      </c>
      <c r="E278" s="609" t="s">
        <v>109</v>
      </c>
      <c r="F278" s="609" t="s">
        <v>109</v>
      </c>
      <c r="G278" s="609" t="s">
        <v>109</v>
      </c>
      <c r="H278" s="609" t="s">
        <v>109</v>
      </c>
      <c r="I278" s="609" t="s">
        <v>109</v>
      </c>
      <c r="J278" s="609" t="s">
        <v>109</v>
      </c>
      <c r="K278" s="609" t="s">
        <v>109</v>
      </c>
      <c r="L278" s="609" t="s">
        <v>109</v>
      </c>
      <c r="M278" s="609" t="s">
        <v>109</v>
      </c>
      <c r="N278" s="609" t="s">
        <v>109</v>
      </c>
      <c r="O278" s="609" t="s">
        <v>109</v>
      </c>
      <c r="P278" s="609" t="s">
        <v>109</v>
      </c>
      <c r="Q278" s="609" t="s">
        <v>109</v>
      </c>
      <c r="R278" s="609" t="s">
        <v>109</v>
      </c>
      <c r="S278" s="609" t="s">
        <v>109</v>
      </c>
      <c r="T278" s="609" t="s">
        <v>109</v>
      </c>
      <c r="U278" s="609" t="s">
        <v>109</v>
      </c>
      <c r="V278" s="609" t="s">
        <v>109</v>
      </c>
      <c r="W278" s="609" t="s">
        <v>109</v>
      </c>
      <c r="X278" s="1091"/>
      <c r="Y278" s="1091"/>
      <c r="Z278" s="1091"/>
      <c r="AA278" s="1091"/>
      <c r="AB278" s="1091"/>
      <c r="AC278" s="1091"/>
      <c r="AD278" s="1091"/>
      <c r="AE278" s="1268"/>
      <c r="AF278" s="1091"/>
      <c r="AG278" s="1268"/>
      <c r="AH278" s="39">
        <f t="shared" si="52"/>
        <v>0</v>
      </c>
    </row>
    <row r="279" spans="1:36" ht="15">
      <c r="A279" s="123" t="s">
        <v>83</v>
      </c>
      <c r="B279" s="15">
        <f t="shared" si="51"/>
        <v>9.5169999999999995</v>
      </c>
      <c r="C279" s="1091"/>
      <c r="D279" s="1091"/>
      <c r="E279" s="1091"/>
      <c r="F279" s="1091"/>
      <c r="G279" s="1229"/>
      <c r="H279" s="1091"/>
      <c r="I279" s="1091"/>
      <c r="J279" s="1091"/>
      <c r="K279" s="1091"/>
      <c r="L279" s="1091"/>
      <c r="M279" s="1091"/>
      <c r="N279" s="1091"/>
      <c r="O279" s="1091"/>
      <c r="P279" s="1091"/>
      <c r="Q279" s="1091">
        <v>9.5169999999999995</v>
      </c>
      <c r="R279" s="1091"/>
      <c r="S279" s="1091"/>
      <c r="T279" s="1091"/>
      <c r="U279" s="1091"/>
      <c r="V279" s="1091"/>
      <c r="W279" s="1091"/>
      <c r="X279" s="1091"/>
      <c r="Y279" s="1229"/>
      <c r="Z279" s="1091"/>
      <c r="AA279" s="1091"/>
      <c r="AB279" s="1091"/>
      <c r="AC279" s="1091"/>
      <c r="AD279" s="1091"/>
      <c r="AE279" s="1268"/>
      <c r="AF279" s="1091"/>
      <c r="AG279" s="1268"/>
      <c r="AH279" s="39">
        <f t="shared" si="52"/>
        <v>9.5169999999999995</v>
      </c>
    </row>
    <row r="280" spans="1:36" ht="15">
      <c r="A280" s="123" t="s">
        <v>84</v>
      </c>
      <c r="B280" s="15">
        <f t="shared" si="51"/>
        <v>0</v>
      </c>
      <c r="C280" s="35"/>
      <c r="D280" s="15"/>
      <c r="E280" s="15"/>
      <c r="F280" s="15"/>
      <c r="G280" s="15"/>
      <c r="H280" s="15"/>
      <c r="I280" s="15"/>
      <c r="J280" s="15"/>
      <c r="K280" s="15"/>
      <c r="L280" s="15"/>
      <c r="M280" s="15"/>
      <c r="N280" s="15"/>
      <c r="O280" s="15"/>
      <c r="P280" s="1091"/>
      <c r="Q280" s="1091"/>
      <c r="R280" s="1091"/>
      <c r="S280" s="1091"/>
      <c r="T280" s="1091"/>
      <c r="U280" s="1091"/>
      <c r="V280" s="1091"/>
      <c r="W280" s="1091"/>
      <c r="X280" s="1091"/>
      <c r="Y280" s="1091"/>
      <c r="Z280" s="1091"/>
      <c r="AA280" s="1091"/>
      <c r="AB280" s="1091"/>
      <c r="AC280" s="1091"/>
      <c r="AD280" s="1091"/>
      <c r="AE280" s="1091"/>
      <c r="AF280" s="1091"/>
      <c r="AG280" s="1091"/>
      <c r="AH280" s="39">
        <f t="shared" si="52"/>
        <v>0</v>
      </c>
    </row>
    <row r="281" spans="1:36" ht="15">
      <c r="A281" s="71" t="s">
        <v>72</v>
      </c>
      <c r="B281" s="72">
        <f>SUM(B269:B280)</f>
        <v>325.76800000000003</v>
      </c>
      <c r="C281" s="32">
        <f>SUM(C269:C279)</f>
        <v>10.420999999999999</v>
      </c>
      <c r="D281" s="39">
        <f>SUM(D269:D279)</f>
        <v>2.4279999999999999</v>
      </c>
      <c r="E281" s="39">
        <v>0</v>
      </c>
      <c r="F281" s="39">
        <f t="shared" ref="F281:AC281" si="53">SUM(F269:F279)</f>
        <v>0</v>
      </c>
      <c r="G281" s="39">
        <f t="shared" si="53"/>
        <v>11.835000000000001</v>
      </c>
      <c r="H281" s="39">
        <f t="shared" si="53"/>
        <v>1.294</v>
      </c>
      <c r="I281" s="39">
        <f t="shared" si="53"/>
        <v>0</v>
      </c>
      <c r="J281" s="39">
        <f t="shared" si="53"/>
        <v>86.771000000000001</v>
      </c>
      <c r="K281" s="39">
        <f t="shared" si="53"/>
        <v>28.87</v>
      </c>
      <c r="L281" s="39">
        <f t="shared" si="53"/>
        <v>27.34</v>
      </c>
      <c r="M281" s="39">
        <f t="shared" si="53"/>
        <v>15.957000000000001</v>
      </c>
      <c r="N281" s="39">
        <f t="shared" si="53"/>
        <v>0</v>
      </c>
      <c r="O281" s="39">
        <f t="shared" si="53"/>
        <v>0</v>
      </c>
      <c r="P281" s="39">
        <f t="shared" si="53"/>
        <v>0</v>
      </c>
      <c r="Q281" s="39">
        <f t="shared" si="53"/>
        <v>18.997</v>
      </c>
      <c r="R281" s="39">
        <f t="shared" si="53"/>
        <v>26.981999999999999</v>
      </c>
      <c r="S281" s="39">
        <f t="shared" si="53"/>
        <v>69.721000000000004</v>
      </c>
      <c r="T281" s="39">
        <f t="shared" si="53"/>
        <v>4.6619999999999999</v>
      </c>
      <c r="U281" s="39">
        <f t="shared" si="53"/>
        <v>7.1349999999999998</v>
      </c>
      <c r="V281" s="39">
        <f t="shared" si="53"/>
        <v>13.33</v>
      </c>
      <c r="W281" s="39">
        <f t="shared" si="53"/>
        <v>0</v>
      </c>
      <c r="X281" s="39">
        <f t="shared" si="53"/>
        <v>0</v>
      </c>
      <c r="Y281" s="39">
        <f t="shared" si="53"/>
        <v>0</v>
      </c>
      <c r="Z281" s="39">
        <f t="shared" si="53"/>
        <v>0</v>
      </c>
      <c r="AA281" s="39">
        <f t="shared" si="53"/>
        <v>0</v>
      </c>
      <c r="AB281" s="39">
        <f t="shared" si="53"/>
        <v>0</v>
      </c>
      <c r="AC281" s="39">
        <f t="shared" si="53"/>
        <v>2.5000000000000001E-2</v>
      </c>
      <c r="AD281" s="39">
        <v>0</v>
      </c>
      <c r="AE281" s="39">
        <f>SUM(AE269:AE279)</f>
        <v>0</v>
      </c>
      <c r="AF281" s="39">
        <f>SUM(AF269:AF279)</f>
        <v>0</v>
      </c>
      <c r="AG281" s="39">
        <f>SUM(AG269:AG279)</f>
        <v>0</v>
      </c>
      <c r="AH281" s="32">
        <f>SUM(AH269:AH279)</f>
        <v>325.76800000000003</v>
      </c>
    </row>
    <row r="282" spans="1:36" ht="5.0999999999999996" customHeight="1">
      <c r="A282" s="14"/>
      <c r="B282" s="14"/>
      <c r="C282" s="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
    </row>
    <row r="283" spans="1:36" ht="15">
      <c r="A283" s="3811" t="s">
        <v>101</v>
      </c>
      <c r="B283" s="3812"/>
      <c r="C283" s="3812"/>
      <c r="D283" s="3812"/>
      <c r="E283" s="3812"/>
      <c r="F283" s="3812"/>
      <c r="G283" s="3812"/>
      <c r="H283" s="3813"/>
      <c r="I283" s="1229"/>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row>
    <row r="284" spans="1:36" ht="15">
      <c r="A284" s="5" t="s">
        <v>70</v>
      </c>
      <c r="B284" s="5" t="s">
        <v>71</v>
      </c>
      <c r="C284" s="1054">
        <v>1</v>
      </c>
      <c r="D284" s="21">
        <v>2</v>
      </c>
      <c r="E284" s="21">
        <v>3</v>
      </c>
      <c r="F284" s="21">
        <v>4</v>
      </c>
      <c r="G284" s="21">
        <v>5</v>
      </c>
      <c r="H284" s="21">
        <v>6</v>
      </c>
      <c r="I284" s="21">
        <v>7</v>
      </c>
      <c r="J284" s="21">
        <v>8</v>
      </c>
      <c r="K284" s="21">
        <v>9</v>
      </c>
      <c r="L284" s="21">
        <v>10</v>
      </c>
      <c r="M284" s="21">
        <v>11</v>
      </c>
      <c r="N284" s="21">
        <v>12</v>
      </c>
      <c r="O284" s="21">
        <v>13</v>
      </c>
      <c r="P284" s="21">
        <v>14</v>
      </c>
      <c r="Q284" s="21">
        <v>15</v>
      </c>
      <c r="R284" s="21">
        <v>16</v>
      </c>
      <c r="S284" s="21">
        <v>17</v>
      </c>
      <c r="T284" s="21">
        <v>18</v>
      </c>
      <c r="U284" s="21">
        <v>19</v>
      </c>
      <c r="V284" s="21">
        <v>20</v>
      </c>
      <c r="W284" s="21">
        <v>21</v>
      </c>
      <c r="X284" s="21">
        <v>22</v>
      </c>
      <c r="Y284" s="21">
        <v>23</v>
      </c>
      <c r="Z284" s="21">
        <v>24</v>
      </c>
      <c r="AA284" s="21">
        <v>25</v>
      </c>
      <c r="AB284" s="21">
        <v>26</v>
      </c>
      <c r="AC284" s="21">
        <v>27</v>
      </c>
      <c r="AD284" s="21">
        <v>28</v>
      </c>
      <c r="AE284" s="21">
        <v>29</v>
      </c>
      <c r="AF284" s="21">
        <v>30</v>
      </c>
      <c r="AG284" s="21">
        <v>31</v>
      </c>
      <c r="AH284" s="25" t="s">
        <v>72</v>
      </c>
      <c r="AI284" s="2266" t="s">
        <v>1345</v>
      </c>
      <c r="AJ284" s="66" t="e">
        <f>(B297/COUNTIF($C$285:$AG$296,"&gt;0"))</f>
        <v>#DIV/0!</v>
      </c>
    </row>
    <row r="285" spans="1:36" ht="15">
      <c r="A285" s="122" t="s">
        <v>73</v>
      </c>
      <c r="B285" s="15">
        <f t="shared" ref="B285:B296" si="54">+AH285</f>
        <v>0</v>
      </c>
      <c r="C285" s="107" t="s">
        <v>109</v>
      </c>
      <c r="D285" s="107" t="s">
        <v>109</v>
      </c>
      <c r="E285" s="107" t="s">
        <v>109</v>
      </c>
      <c r="F285" s="107" t="s">
        <v>109</v>
      </c>
      <c r="G285" s="107" t="s">
        <v>109</v>
      </c>
      <c r="H285" s="107" t="s">
        <v>109</v>
      </c>
      <c r="I285" s="107" t="s">
        <v>109</v>
      </c>
      <c r="J285" s="107" t="s">
        <v>109</v>
      </c>
      <c r="K285" s="107" t="s">
        <v>109</v>
      </c>
      <c r="L285" s="107" t="s">
        <v>109</v>
      </c>
      <c r="M285" s="107" t="s">
        <v>109</v>
      </c>
      <c r="N285" s="107" t="s">
        <v>109</v>
      </c>
      <c r="O285" s="107" t="s">
        <v>109</v>
      </c>
      <c r="P285" s="107" t="s">
        <v>109</v>
      </c>
      <c r="Q285" s="107" t="s">
        <v>109</v>
      </c>
      <c r="R285" s="107" t="s">
        <v>109</v>
      </c>
      <c r="S285" s="107" t="s">
        <v>109</v>
      </c>
      <c r="T285" s="107" t="s">
        <v>109</v>
      </c>
      <c r="U285" s="107" t="s">
        <v>109</v>
      </c>
      <c r="V285" s="107" t="s">
        <v>109</v>
      </c>
      <c r="W285" s="107" t="s">
        <v>109</v>
      </c>
      <c r="X285" s="107" t="s">
        <v>109</v>
      </c>
      <c r="Y285" s="107" t="s">
        <v>109</v>
      </c>
      <c r="Z285" s="107" t="s">
        <v>109</v>
      </c>
      <c r="AA285" s="107" t="s">
        <v>109</v>
      </c>
      <c r="AB285" s="107" t="s">
        <v>109</v>
      </c>
      <c r="AC285" s="107" t="s">
        <v>109</v>
      </c>
      <c r="AD285" s="107" t="s">
        <v>109</v>
      </c>
      <c r="AE285" s="107" t="s">
        <v>109</v>
      </c>
      <c r="AF285" s="107" t="s">
        <v>109</v>
      </c>
      <c r="AG285" s="107" t="s">
        <v>109</v>
      </c>
      <c r="AH285" s="39">
        <f>SUM(C285:AG285)</f>
        <v>0</v>
      </c>
    </row>
    <row r="286" spans="1:36" s="67" customFormat="1" ht="15">
      <c r="A286" s="122" t="s">
        <v>74</v>
      </c>
      <c r="B286" s="15">
        <f t="shared" si="54"/>
        <v>0</v>
      </c>
      <c r="C286" s="107" t="s">
        <v>109</v>
      </c>
      <c r="D286" s="107" t="s">
        <v>109</v>
      </c>
      <c r="E286" s="107" t="s">
        <v>109</v>
      </c>
      <c r="F286" s="107" t="s">
        <v>109</v>
      </c>
      <c r="G286" s="107" t="s">
        <v>109</v>
      </c>
      <c r="H286" s="107" t="s">
        <v>109</v>
      </c>
      <c r="I286" s="107" t="s">
        <v>109</v>
      </c>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39">
        <f t="shared" ref="AH286:AH296" si="55">SUM(C286:AG286)</f>
        <v>0</v>
      </c>
    </row>
    <row r="287" spans="1:36" ht="15">
      <c r="A287" s="122" t="s">
        <v>75</v>
      </c>
      <c r="B287" s="15">
        <f t="shared" si="54"/>
        <v>0</v>
      </c>
      <c r="C287" s="108"/>
      <c r="D287" s="108"/>
      <c r="E287" s="108"/>
      <c r="F287" s="108"/>
      <c r="G287" s="108"/>
      <c r="H287" s="94"/>
      <c r="I287" s="94"/>
      <c r="J287" s="94"/>
      <c r="K287" s="94"/>
      <c r="L287" s="94"/>
      <c r="M287" s="94"/>
      <c r="N287" s="94">
        <v>0</v>
      </c>
      <c r="O287" s="94"/>
      <c r="P287" s="94"/>
      <c r="Q287" s="94"/>
      <c r="R287" s="94"/>
      <c r="S287" s="94"/>
      <c r="T287" s="94"/>
      <c r="U287" s="94"/>
      <c r="V287" s="94"/>
      <c r="W287" s="94"/>
      <c r="X287" s="94"/>
      <c r="Y287" s="94"/>
      <c r="Z287" s="94"/>
      <c r="AA287" s="94"/>
      <c r="AB287" s="94"/>
      <c r="AC287" s="107" t="s">
        <v>109</v>
      </c>
      <c r="AD287" s="107" t="s">
        <v>109</v>
      </c>
      <c r="AE287" s="107" t="s">
        <v>109</v>
      </c>
      <c r="AF287" s="107" t="s">
        <v>109</v>
      </c>
      <c r="AG287" s="107" t="s">
        <v>109</v>
      </c>
      <c r="AH287" s="39">
        <f t="shared" si="55"/>
        <v>0</v>
      </c>
    </row>
    <row r="288" spans="1:36" ht="15">
      <c r="A288" s="122" t="s">
        <v>76</v>
      </c>
      <c r="B288" s="15">
        <f t="shared" si="54"/>
        <v>0</v>
      </c>
      <c r="C288" s="15"/>
      <c r="D288" s="15"/>
      <c r="E288" s="15"/>
      <c r="F288" s="15"/>
      <c r="G288" s="15"/>
      <c r="H288" s="15"/>
      <c r="I288" s="15"/>
      <c r="J288" s="15"/>
      <c r="K288" s="15"/>
      <c r="L288" s="94"/>
      <c r="M288" s="94"/>
      <c r="N288" s="94"/>
      <c r="O288" s="94"/>
      <c r="P288" s="94"/>
      <c r="Q288" s="94"/>
      <c r="R288" s="94"/>
      <c r="S288" s="94"/>
      <c r="T288" s="94"/>
      <c r="U288" s="94"/>
      <c r="V288" s="94"/>
      <c r="W288" s="94"/>
      <c r="X288" s="94"/>
      <c r="Y288" s="94"/>
      <c r="Z288" s="94"/>
      <c r="AA288" s="94"/>
      <c r="AB288" s="94"/>
      <c r="AC288" s="94"/>
      <c r="AD288" s="94"/>
      <c r="AE288" s="94"/>
      <c r="AF288" s="94"/>
      <c r="AG288" s="94"/>
      <c r="AH288" s="39">
        <f t="shared" si="55"/>
        <v>0</v>
      </c>
    </row>
    <row r="289" spans="1:36" s="67" customFormat="1" ht="15">
      <c r="A289" s="120" t="s">
        <v>77</v>
      </c>
      <c r="B289" s="15">
        <f t="shared" si="54"/>
        <v>0</v>
      </c>
      <c r="C289" s="3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39">
        <f t="shared" si="55"/>
        <v>0</v>
      </c>
    </row>
    <row r="290" spans="1:36" ht="15">
      <c r="A290" s="120" t="s">
        <v>78</v>
      </c>
      <c r="B290" s="15">
        <f t="shared" si="54"/>
        <v>0</v>
      </c>
      <c r="C290" s="1091"/>
      <c r="D290" s="1091"/>
      <c r="E290" s="1091"/>
      <c r="F290" s="1091"/>
      <c r="G290" s="1091"/>
      <c r="H290" s="1091"/>
      <c r="I290" s="1091"/>
      <c r="J290" s="1091"/>
      <c r="K290" s="1091"/>
      <c r="L290" s="1091"/>
      <c r="M290" s="1091"/>
      <c r="N290" s="1091"/>
      <c r="O290" s="1091"/>
      <c r="P290" s="1091"/>
      <c r="Q290" s="1091"/>
      <c r="R290" s="1091"/>
      <c r="S290" s="1091"/>
      <c r="T290" s="1091"/>
      <c r="U290" s="1091"/>
      <c r="V290" s="1091"/>
      <c r="W290" s="1091"/>
      <c r="X290" s="1091"/>
      <c r="Y290" s="1091"/>
      <c r="Z290" s="1091"/>
      <c r="AA290" s="1091"/>
      <c r="AB290" s="1091"/>
      <c r="AC290" s="1091"/>
      <c r="AD290" s="1091"/>
      <c r="AE290" s="1091"/>
      <c r="AF290" s="1091"/>
      <c r="AG290" s="1091"/>
      <c r="AH290" s="39">
        <f t="shared" si="55"/>
        <v>0</v>
      </c>
    </row>
    <row r="291" spans="1:36" ht="15">
      <c r="A291" s="120" t="s">
        <v>79</v>
      </c>
      <c r="B291" s="15">
        <f t="shared" si="54"/>
        <v>0</v>
      </c>
      <c r="C291" s="1091"/>
      <c r="D291" s="1268"/>
      <c r="E291" s="1268"/>
      <c r="F291" s="1268"/>
      <c r="G291" s="1091"/>
      <c r="H291" s="1091"/>
      <c r="I291" s="1091"/>
      <c r="J291" s="2068"/>
      <c r="K291" s="2068"/>
      <c r="L291" s="1268"/>
      <c r="M291" s="1268"/>
      <c r="N291" s="1268"/>
      <c r="O291" s="1268"/>
      <c r="P291" s="1268"/>
      <c r="Q291" s="1268"/>
      <c r="R291" s="1268"/>
      <c r="S291" s="1268"/>
      <c r="T291" s="1268"/>
      <c r="U291" s="1268"/>
      <c r="V291" s="1268"/>
      <c r="W291" s="609"/>
      <c r="X291" s="609"/>
      <c r="Y291" s="609"/>
      <c r="Z291" s="609"/>
      <c r="AA291" s="609"/>
      <c r="AB291" s="609"/>
      <c r="AC291" s="609"/>
      <c r="AD291" s="609"/>
      <c r="AE291" s="609"/>
      <c r="AF291" s="609" t="s">
        <v>109</v>
      </c>
      <c r="AG291" s="609" t="s">
        <v>109</v>
      </c>
      <c r="AH291" s="39">
        <f t="shared" si="55"/>
        <v>0</v>
      </c>
    </row>
    <row r="292" spans="1:36" s="67" customFormat="1" ht="15">
      <c r="A292" s="120" t="s">
        <v>80</v>
      </c>
      <c r="B292" s="15">
        <f t="shared" si="54"/>
        <v>0</v>
      </c>
      <c r="C292" s="609" t="s">
        <v>109</v>
      </c>
      <c r="D292" s="609" t="s">
        <v>109</v>
      </c>
      <c r="E292" s="609" t="s">
        <v>109</v>
      </c>
      <c r="F292" s="609" t="s">
        <v>109</v>
      </c>
      <c r="G292" s="609" t="s">
        <v>109</v>
      </c>
      <c r="H292" s="609" t="s">
        <v>109</v>
      </c>
      <c r="I292" s="609" t="s">
        <v>109</v>
      </c>
      <c r="J292" s="609" t="s">
        <v>109</v>
      </c>
      <c r="K292" s="609" t="s">
        <v>109</v>
      </c>
      <c r="L292" s="609" t="s">
        <v>109</v>
      </c>
      <c r="M292" s="609" t="s">
        <v>109</v>
      </c>
      <c r="N292" s="609" t="s">
        <v>109</v>
      </c>
      <c r="O292" s="609" t="s">
        <v>109</v>
      </c>
      <c r="P292" s="609" t="s">
        <v>109</v>
      </c>
      <c r="Q292" s="609" t="s">
        <v>109</v>
      </c>
      <c r="R292" s="609" t="s">
        <v>109</v>
      </c>
      <c r="S292" s="609" t="s">
        <v>109</v>
      </c>
      <c r="T292" s="609" t="s">
        <v>109</v>
      </c>
      <c r="U292" s="609" t="s">
        <v>109</v>
      </c>
      <c r="V292" s="609" t="s">
        <v>109</v>
      </c>
      <c r="W292" s="609" t="s">
        <v>109</v>
      </c>
      <c r="X292" s="609" t="s">
        <v>109</v>
      </c>
      <c r="Y292" s="609" t="s">
        <v>109</v>
      </c>
      <c r="Z292" s="609" t="s">
        <v>109</v>
      </c>
      <c r="AA292" s="609" t="s">
        <v>109</v>
      </c>
      <c r="AB292" s="609" t="s">
        <v>109</v>
      </c>
      <c r="AC292" s="609" t="s">
        <v>109</v>
      </c>
      <c r="AD292" s="609" t="s">
        <v>109</v>
      </c>
      <c r="AE292" s="609" t="s">
        <v>109</v>
      </c>
      <c r="AF292" s="609" t="s">
        <v>109</v>
      </c>
      <c r="AG292" s="609" t="s">
        <v>109</v>
      </c>
      <c r="AH292" s="39">
        <f t="shared" si="55"/>
        <v>0</v>
      </c>
    </row>
    <row r="293" spans="1:36" ht="15">
      <c r="A293" s="123" t="s">
        <v>81</v>
      </c>
      <c r="B293" s="15">
        <f t="shared" si="54"/>
        <v>0</v>
      </c>
      <c r="C293" s="609" t="s">
        <v>109</v>
      </c>
      <c r="D293" s="609" t="s">
        <v>109</v>
      </c>
      <c r="E293" s="609" t="s">
        <v>109</v>
      </c>
      <c r="F293" s="609" t="s">
        <v>109</v>
      </c>
      <c r="G293" s="609" t="s">
        <v>109</v>
      </c>
      <c r="H293" s="609" t="s">
        <v>109</v>
      </c>
      <c r="I293" s="609" t="s">
        <v>109</v>
      </c>
      <c r="J293" s="609" t="s">
        <v>109</v>
      </c>
      <c r="K293" s="609" t="s">
        <v>109</v>
      </c>
      <c r="L293" s="609" t="s">
        <v>109</v>
      </c>
      <c r="M293" s="609" t="s">
        <v>109</v>
      </c>
      <c r="N293" s="609" t="s">
        <v>109</v>
      </c>
      <c r="O293" s="609" t="s">
        <v>109</v>
      </c>
      <c r="P293" s="609" t="s">
        <v>109</v>
      </c>
      <c r="Q293" s="609" t="s">
        <v>109</v>
      </c>
      <c r="R293" s="609" t="s">
        <v>109</v>
      </c>
      <c r="S293" s="609" t="s">
        <v>109</v>
      </c>
      <c r="T293" s="609" t="s">
        <v>109</v>
      </c>
      <c r="U293" s="609" t="s">
        <v>109</v>
      </c>
      <c r="V293" s="609" t="s">
        <v>109</v>
      </c>
      <c r="W293" s="609" t="s">
        <v>109</v>
      </c>
      <c r="X293" s="609" t="s">
        <v>109</v>
      </c>
      <c r="Y293" s="609" t="s">
        <v>109</v>
      </c>
      <c r="Z293" s="609" t="s">
        <v>109</v>
      </c>
      <c r="AA293" s="609" t="s">
        <v>109</v>
      </c>
      <c r="AB293" s="609" t="s">
        <v>109</v>
      </c>
      <c r="AC293" s="609" t="s">
        <v>109</v>
      </c>
      <c r="AD293" s="609" t="s">
        <v>109</v>
      </c>
      <c r="AE293" s="609" t="s">
        <v>109</v>
      </c>
      <c r="AF293" s="609" t="s">
        <v>109</v>
      </c>
      <c r="AG293" s="609" t="s">
        <v>109</v>
      </c>
      <c r="AH293" s="39">
        <f t="shared" si="55"/>
        <v>0</v>
      </c>
    </row>
    <row r="294" spans="1:36" ht="15">
      <c r="A294" s="123" t="s">
        <v>82</v>
      </c>
      <c r="B294" s="15">
        <f t="shared" si="54"/>
        <v>0</v>
      </c>
      <c r="C294" s="609" t="s">
        <v>109</v>
      </c>
      <c r="D294" s="609" t="s">
        <v>109</v>
      </c>
      <c r="E294" s="609" t="s">
        <v>109</v>
      </c>
      <c r="F294" s="609" t="s">
        <v>109</v>
      </c>
      <c r="G294" s="609" t="s">
        <v>109</v>
      </c>
      <c r="H294" s="609" t="s">
        <v>109</v>
      </c>
      <c r="I294" s="609" t="s">
        <v>109</v>
      </c>
      <c r="J294" s="609" t="s">
        <v>109</v>
      </c>
      <c r="K294" s="609" t="s">
        <v>109</v>
      </c>
      <c r="L294" s="609" t="s">
        <v>109</v>
      </c>
      <c r="M294" s="609" t="s">
        <v>109</v>
      </c>
      <c r="N294" s="609" t="s">
        <v>109</v>
      </c>
      <c r="O294" s="609" t="s">
        <v>109</v>
      </c>
      <c r="P294" s="609" t="s">
        <v>109</v>
      </c>
      <c r="Q294" s="609" t="s">
        <v>109</v>
      </c>
      <c r="R294" s="609" t="s">
        <v>109</v>
      </c>
      <c r="S294" s="609" t="s">
        <v>109</v>
      </c>
      <c r="T294" s="609" t="s">
        <v>109</v>
      </c>
      <c r="U294" s="609" t="s">
        <v>109</v>
      </c>
      <c r="V294" s="609" t="s">
        <v>109</v>
      </c>
      <c r="W294" s="609" t="s">
        <v>109</v>
      </c>
      <c r="X294" s="1091"/>
      <c r="Y294" s="1091"/>
      <c r="Z294" s="1091"/>
      <c r="AA294" s="1091"/>
      <c r="AB294" s="1091"/>
      <c r="AC294" s="1091"/>
      <c r="AD294" s="1091"/>
      <c r="AE294" s="1268"/>
      <c r="AF294" s="1091"/>
      <c r="AG294" s="1268"/>
      <c r="AH294" s="39">
        <f t="shared" si="55"/>
        <v>0</v>
      </c>
    </row>
    <row r="295" spans="1:36" ht="15">
      <c r="A295" s="123" t="s">
        <v>83</v>
      </c>
      <c r="B295" s="15">
        <f t="shared" si="54"/>
        <v>0</v>
      </c>
      <c r="C295" s="35"/>
      <c r="D295" s="15"/>
      <c r="E295" s="15"/>
      <c r="F295" s="15"/>
      <c r="G295" s="11"/>
      <c r="H295" s="15"/>
      <c r="I295" s="15"/>
      <c r="J295" s="15"/>
      <c r="K295" s="15"/>
      <c r="L295" s="15"/>
      <c r="M295" s="15"/>
      <c r="N295" s="15"/>
      <c r="O295" s="15"/>
      <c r="P295" s="15"/>
      <c r="Q295" s="15"/>
      <c r="R295" s="15"/>
      <c r="S295" s="15"/>
      <c r="T295" s="15"/>
      <c r="U295" s="15"/>
      <c r="V295" s="15"/>
      <c r="W295" s="15"/>
      <c r="X295" s="15"/>
      <c r="Y295" s="11"/>
      <c r="Z295" s="15"/>
      <c r="AA295" s="15"/>
      <c r="AB295" s="15"/>
      <c r="AC295" s="15"/>
      <c r="AD295" s="15"/>
      <c r="AE295" s="39"/>
      <c r="AF295" s="15"/>
      <c r="AG295" s="39"/>
      <c r="AH295" s="39">
        <f t="shared" si="55"/>
        <v>0</v>
      </c>
    </row>
    <row r="296" spans="1:36" ht="15">
      <c r="A296" s="123" t="s">
        <v>84</v>
      </c>
      <c r="B296" s="15">
        <f t="shared" si="54"/>
        <v>0</v>
      </c>
      <c r="C296" s="35"/>
      <c r="D296" s="15"/>
      <c r="E296" s="15"/>
      <c r="F296" s="15"/>
      <c r="G296" s="15"/>
      <c r="H296" s="15"/>
      <c r="I296" s="15"/>
      <c r="J296" s="15"/>
      <c r="K296" s="15"/>
      <c r="L296" s="15"/>
      <c r="M296" s="15"/>
      <c r="N296" s="15"/>
      <c r="O296" s="15"/>
      <c r="P296" s="1091"/>
      <c r="Q296" s="1091"/>
      <c r="R296" s="1091"/>
      <c r="S296" s="1091"/>
      <c r="T296" s="1091"/>
      <c r="U296" s="1091"/>
      <c r="V296" s="1091"/>
      <c r="W296" s="1091"/>
      <c r="X296" s="1091"/>
      <c r="Y296" s="1091"/>
      <c r="Z296" s="1091"/>
      <c r="AA296" s="1091"/>
      <c r="AB296" s="1091"/>
      <c r="AC296" s="1091"/>
      <c r="AD296" s="1091"/>
      <c r="AE296" s="1091"/>
      <c r="AF296" s="1091"/>
      <c r="AG296" s="1091"/>
      <c r="AH296" s="39">
        <f t="shared" si="55"/>
        <v>0</v>
      </c>
    </row>
    <row r="297" spans="1:36" ht="15">
      <c r="A297" s="71" t="s">
        <v>72</v>
      </c>
      <c r="B297" s="72">
        <f>SUM(B285:B296)</f>
        <v>0</v>
      </c>
      <c r="C297" s="32">
        <f>SUM(C285:C295)</f>
        <v>0</v>
      </c>
      <c r="D297" s="39">
        <f>SUM(D285:D295)</f>
        <v>0</v>
      </c>
      <c r="E297" s="39">
        <v>0</v>
      </c>
      <c r="F297" s="39">
        <f t="shared" ref="F297:AC297" si="56">SUM(F285:F295)</f>
        <v>0</v>
      </c>
      <c r="G297" s="39">
        <f t="shared" si="56"/>
        <v>0</v>
      </c>
      <c r="H297" s="39">
        <f t="shared" si="56"/>
        <v>0</v>
      </c>
      <c r="I297" s="39">
        <f t="shared" si="56"/>
        <v>0</v>
      </c>
      <c r="J297" s="39">
        <f t="shared" si="56"/>
        <v>0</v>
      </c>
      <c r="K297" s="39">
        <f t="shared" si="56"/>
        <v>0</v>
      </c>
      <c r="L297" s="39">
        <f t="shared" si="56"/>
        <v>0</v>
      </c>
      <c r="M297" s="39">
        <f t="shared" si="56"/>
        <v>0</v>
      </c>
      <c r="N297" s="39">
        <f t="shared" si="56"/>
        <v>0</v>
      </c>
      <c r="O297" s="39">
        <f t="shared" si="56"/>
        <v>0</v>
      </c>
      <c r="P297" s="39">
        <f t="shared" si="56"/>
        <v>0</v>
      </c>
      <c r="Q297" s="39">
        <f t="shared" si="56"/>
        <v>0</v>
      </c>
      <c r="R297" s="39">
        <f t="shared" si="56"/>
        <v>0</v>
      </c>
      <c r="S297" s="39">
        <f t="shared" si="56"/>
        <v>0</v>
      </c>
      <c r="T297" s="39">
        <f t="shared" si="56"/>
        <v>0</v>
      </c>
      <c r="U297" s="39">
        <f t="shared" si="56"/>
        <v>0</v>
      </c>
      <c r="V297" s="39">
        <f t="shared" si="56"/>
        <v>0</v>
      </c>
      <c r="W297" s="39">
        <f t="shared" si="56"/>
        <v>0</v>
      </c>
      <c r="X297" s="39">
        <f t="shared" si="56"/>
        <v>0</v>
      </c>
      <c r="Y297" s="39">
        <f t="shared" si="56"/>
        <v>0</v>
      </c>
      <c r="Z297" s="39">
        <f t="shared" si="56"/>
        <v>0</v>
      </c>
      <c r="AA297" s="39">
        <f t="shared" si="56"/>
        <v>0</v>
      </c>
      <c r="AB297" s="39">
        <f t="shared" si="56"/>
        <v>0</v>
      </c>
      <c r="AC297" s="39">
        <f t="shared" si="56"/>
        <v>0</v>
      </c>
      <c r="AD297" s="39">
        <v>0</v>
      </c>
      <c r="AE297" s="39">
        <f>SUM(AE285:AE295)</f>
        <v>0</v>
      </c>
      <c r="AF297" s="39">
        <f>SUM(AF285:AF295)</f>
        <v>0</v>
      </c>
      <c r="AG297" s="39">
        <f>SUM(AG285:AG295)</f>
        <v>0</v>
      </c>
      <c r="AH297" s="32">
        <f>SUM(AH285:AH295)</f>
        <v>0</v>
      </c>
    </row>
    <row r="298" spans="1:36" ht="5.0999999999999996" customHeight="1">
      <c r="A298" s="14"/>
      <c r="B298" s="14"/>
      <c r="C298" s="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
    </row>
    <row r="299" spans="1:36" ht="15">
      <c r="A299" s="3811" t="s">
        <v>103</v>
      </c>
      <c r="B299" s="3812"/>
      <c r="C299" s="3812"/>
      <c r="D299" s="3812"/>
      <c r="E299" s="3812"/>
      <c r="F299" s="3812"/>
      <c r="G299" s="3812"/>
      <c r="H299" s="3813"/>
      <c r="I299" s="1229"/>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row>
    <row r="300" spans="1:36" ht="15">
      <c r="A300" s="5" t="s">
        <v>70</v>
      </c>
      <c r="B300" s="5" t="s">
        <v>71</v>
      </c>
      <c r="C300" s="1054">
        <v>1</v>
      </c>
      <c r="D300" s="21">
        <v>2</v>
      </c>
      <c r="E300" s="21">
        <v>3</v>
      </c>
      <c r="F300" s="21">
        <v>4</v>
      </c>
      <c r="G300" s="21">
        <v>5</v>
      </c>
      <c r="H300" s="21">
        <v>6</v>
      </c>
      <c r="I300" s="21">
        <v>7</v>
      </c>
      <c r="J300" s="21">
        <v>8</v>
      </c>
      <c r="K300" s="21">
        <v>9</v>
      </c>
      <c r="L300" s="21">
        <v>10</v>
      </c>
      <c r="M300" s="21">
        <v>11</v>
      </c>
      <c r="N300" s="21">
        <v>12</v>
      </c>
      <c r="O300" s="21">
        <v>13</v>
      </c>
      <c r="P300" s="21">
        <v>14</v>
      </c>
      <c r="Q300" s="21">
        <v>15</v>
      </c>
      <c r="R300" s="21">
        <v>16</v>
      </c>
      <c r="S300" s="21">
        <v>17</v>
      </c>
      <c r="T300" s="21">
        <v>18</v>
      </c>
      <c r="U300" s="21">
        <v>19</v>
      </c>
      <c r="V300" s="21">
        <v>20</v>
      </c>
      <c r="W300" s="21">
        <v>21</v>
      </c>
      <c r="X300" s="21">
        <v>22</v>
      </c>
      <c r="Y300" s="21">
        <v>23</v>
      </c>
      <c r="Z300" s="21">
        <v>24</v>
      </c>
      <c r="AA300" s="21">
        <v>25</v>
      </c>
      <c r="AB300" s="21">
        <v>26</v>
      </c>
      <c r="AC300" s="21">
        <v>27</v>
      </c>
      <c r="AD300" s="21">
        <v>28</v>
      </c>
      <c r="AE300" s="21">
        <v>29</v>
      </c>
      <c r="AF300" s="21">
        <v>30</v>
      </c>
      <c r="AG300" s="21">
        <v>31</v>
      </c>
      <c r="AH300" s="25" t="s">
        <v>72</v>
      </c>
      <c r="AI300" s="2266" t="s">
        <v>1345</v>
      </c>
      <c r="AJ300" s="66" t="e">
        <f>(B313/COUNTIF($C$301:$AG$312,"&gt;0"))</f>
        <v>#DIV/0!</v>
      </c>
    </row>
    <row r="301" spans="1:36" ht="15">
      <c r="A301" s="122" t="s">
        <v>73</v>
      </c>
      <c r="B301" s="15">
        <f t="shared" ref="B301:B312" si="57">+AH301</f>
        <v>0</v>
      </c>
      <c r="C301" s="107" t="s">
        <v>109</v>
      </c>
      <c r="D301" s="107" t="s">
        <v>109</v>
      </c>
      <c r="E301" s="107" t="s">
        <v>109</v>
      </c>
      <c r="F301" s="107" t="s">
        <v>109</v>
      </c>
      <c r="G301" s="107" t="s">
        <v>109</v>
      </c>
      <c r="H301" s="107" t="s">
        <v>109</v>
      </c>
      <c r="I301" s="107" t="s">
        <v>109</v>
      </c>
      <c r="J301" s="107" t="s">
        <v>109</v>
      </c>
      <c r="K301" s="107" t="s">
        <v>109</v>
      </c>
      <c r="L301" s="107" t="s">
        <v>109</v>
      </c>
      <c r="M301" s="107" t="s">
        <v>109</v>
      </c>
      <c r="N301" s="107" t="s">
        <v>109</v>
      </c>
      <c r="O301" s="107" t="s">
        <v>109</v>
      </c>
      <c r="P301" s="107" t="s">
        <v>109</v>
      </c>
      <c r="Q301" s="107" t="s">
        <v>109</v>
      </c>
      <c r="R301" s="107" t="s">
        <v>109</v>
      </c>
      <c r="S301" s="107" t="s">
        <v>109</v>
      </c>
      <c r="T301" s="107" t="s">
        <v>109</v>
      </c>
      <c r="U301" s="107" t="s">
        <v>109</v>
      </c>
      <c r="V301" s="107" t="s">
        <v>109</v>
      </c>
      <c r="W301" s="107" t="s">
        <v>109</v>
      </c>
      <c r="X301" s="107" t="s">
        <v>109</v>
      </c>
      <c r="Y301" s="107" t="s">
        <v>109</v>
      </c>
      <c r="Z301" s="107" t="s">
        <v>109</v>
      </c>
      <c r="AA301" s="107" t="s">
        <v>109</v>
      </c>
      <c r="AB301" s="107" t="s">
        <v>109</v>
      </c>
      <c r="AC301" s="107" t="s">
        <v>109</v>
      </c>
      <c r="AD301" s="107" t="s">
        <v>109</v>
      </c>
      <c r="AE301" s="107" t="s">
        <v>109</v>
      </c>
      <c r="AF301" s="107" t="s">
        <v>109</v>
      </c>
      <c r="AG301" s="107" t="s">
        <v>109</v>
      </c>
      <c r="AH301" s="39">
        <f>SUM(C301:AG301)</f>
        <v>0</v>
      </c>
    </row>
    <row r="302" spans="1:36" s="67" customFormat="1" ht="15">
      <c r="A302" s="122" t="s">
        <v>74</v>
      </c>
      <c r="B302" s="15">
        <f t="shared" si="57"/>
        <v>0</v>
      </c>
      <c r="C302" s="107" t="s">
        <v>109</v>
      </c>
      <c r="D302" s="107" t="s">
        <v>109</v>
      </c>
      <c r="E302" s="107" t="s">
        <v>109</v>
      </c>
      <c r="F302" s="107" t="s">
        <v>109</v>
      </c>
      <c r="G302" s="107" t="s">
        <v>109</v>
      </c>
      <c r="H302" s="107" t="s">
        <v>109</v>
      </c>
      <c r="I302" s="107" t="s">
        <v>109</v>
      </c>
      <c r="J302" s="108"/>
      <c r="K302" s="108"/>
      <c r="L302" s="108"/>
      <c r="M302" s="108"/>
      <c r="N302" s="108"/>
      <c r="O302" s="108"/>
      <c r="P302" s="108"/>
      <c r="Q302" s="108"/>
      <c r="R302" s="108"/>
      <c r="S302" s="108"/>
      <c r="T302" s="108"/>
      <c r="U302" s="108"/>
      <c r="V302" s="108"/>
      <c r="W302" s="108"/>
      <c r="X302" s="108"/>
      <c r="Y302" s="108"/>
      <c r="Z302" s="108"/>
      <c r="AA302" s="108"/>
      <c r="AB302" s="108"/>
      <c r="AC302" s="108"/>
      <c r="AD302" s="108"/>
      <c r="AE302" s="108"/>
      <c r="AF302" s="108"/>
      <c r="AG302" s="108"/>
      <c r="AH302" s="39">
        <f t="shared" ref="AH302:AH312" si="58">SUM(C302:AG302)</f>
        <v>0</v>
      </c>
    </row>
    <row r="303" spans="1:36" ht="15">
      <c r="A303" s="122" t="s">
        <v>75</v>
      </c>
      <c r="B303" s="15">
        <f t="shared" si="57"/>
        <v>0</v>
      </c>
      <c r="C303" s="108"/>
      <c r="D303" s="108"/>
      <c r="E303" s="108"/>
      <c r="F303" s="108"/>
      <c r="G303" s="108"/>
      <c r="H303" s="94"/>
      <c r="I303" s="94"/>
      <c r="J303" s="94"/>
      <c r="K303" s="94"/>
      <c r="L303" s="94"/>
      <c r="M303" s="94"/>
      <c r="N303" s="94">
        <v>0</v>
      </c>
      <c r="O303" s="94"/>
      <c r="P303" s="94"/>
      <c r="Q303" s="94"/>
      <c r="R303" s="94"/>
      <c r="S303" s="94"/>
      <c r="T303" s="94"/>
      <c r="U303" s="94"/>
      <c r="V303" s="94"/>
      <c r="W303" s="94"/>
      <c r="X303" s="94"/>
      <c r="Y303" s="94"/>
      <c r="Z303" s="94"/>
      <c r="AA303" s="94"/>
      <c r="AB303" s="94"/>
      <c r="AC303" s="1689"/>
      <c r="AD303" s="1689"/>
      <c r="AE303" s="1689"/>
      <c r="AF303" s="1689"/>
      <c r="AG303" s="1689"/>
      <c r="AH303" s="39">
        <f t="shared" si="58"/>
        <v>0</v>
      </c>
    </row>
    <row r="304" spans="1:36" ht="15">
      <c r="A304" s="122" t="s">
        <v>76</v>
      </c>
      <c r="B304" s="15">
        <f t="shared" si="57"/>
        <v>0</v>
      </c>
      <c r="C304" s="1689"/>
      <c r="D304" s="1689"/>
      <c r="E304" s="1689"/>
      <c r="F304" s="1689"/>
      <c r="G304" s="1689"/>
      <c r="H304" s="1689"/>
      <c r="I304" s="1689"/>
      <c r="J304" s="1689"/>
      <c r="K304" s="1689"/>
      <c r="L304" s="1091"/>
      <c r="M304" s="1091"/>
      <c r="N304" s="1091"/>
      <c r="O304" s="1091"/>
      <c r="P304" s="1091"/>
      <c r="Q304" s="1091"/>
      <c r="R304" s="1091"/>
      <c r="S304" s="1091"/>
      <c r="T304" s="1091"/>
      <c r="U304" s="1091"/>
      <c r="V304" s="1091"/>
      <c r="W304" s="1091"/>
      <c r="X304" s="1091"/>
      <c r="Y304" s="1091"/>
      <c r="Z304" s="1091"/>
      <c r="AA304" s="1091"/>
      <c r="AB304" s="1091"/>
      <c r="AC304" s="1091"/>
      <c r="AD304" s="1091"/>
      <c r="AE304" s="1091"/>
      <c r="AF304" s="1091"/>
      <c r="AG304" s="1091"/>
      <c r="AH304" s="39">
        <f t="shared" si="58"/>
        <v>0</v>
      </c>
    </row>
    <row r="305" spans="1:44" s="67" customFormat="1" ht="15">
      <c r="A305" s="120" t="s">
        <v>77</v>
      </c>
      <c r="B305" s="15">
        <f t="shared" si="57"/>
        <v>0</v>
      </c>
      <c r="C305" s="1091"/>
      <c r="D305" s="1091"/>
      <c r="E305" s="1091"/>
      <c r="F305" s="1091"/>
      <c r="G305" s="1091"/>
      <c r="H305" s="1091"/>
      <c r="I305" s="1091"/>
      <c r="J305" s="1091"/>
      <c r="K305" s="1091"/>
      <c r="L305" s="1091"/>
      <c r="M305" s="1091"/>
      <c r="N305" s="1091"/>
      <c r="O305" s="1091"/>
      <c r="P305" s="1091"/>
      <c r="Q305" s="1091"/>
      <c r="R305" s="1091"/>
      <c r="S305" s="1091"/>
      <c r="T305" s="1091"/>
      <c r="U305" s="1091"/>
      <c r="V305" s="1091"/>
      <c r="W305" s="1091"/>
      <c r="X305" s="1091"/>
      <c r="Y305" s="1091"/>
      <c r="Z305" s="1091"/>
      <c r="AA305" s="1091"/>
      <c r="AB305" s="1091"/>
      <c r="AC305" s="1091"/>
      <c r="AD305" s="1091"/>
      <c r="AE305" s="1091"/>
      <c r="AF305" s="1091"/>
      <c r="AG305" s="1091"/>
      <c r="AH305" s="39">
        <f t="shared" si="58"/>
        <v>0</v>
      </c>
    </row>
    <row r="306" spans="1:44" ht="15">
      <c r="A306" s="120" t="s">
        <v>78</v>
      </c>
      <c r="B306" s="15">
        <f t="shared" si="57"/>
        <v>0</v>
      </c>
      <c r="C306" s="1091"/>
      <c r="D306" s="1091"/>
      <c r="E306" s="1091"/>
      <c r="F306" s="1091"/>
      <c r="G306" s="1091"/>
      <c r="H306" s="1091"/>
      <c r="I306" s="1091"/>
      <c r="J306" s="1091"/>
      <c r="K306" s="1091"/>
      <c r="L306" s="1091"/>
      <c r="M306" s="1091"/>
      <c r="N306" s="1091"/>
      <c r="O306" s="1091"/>
      <c r="P306" s="1091"/>
      <c r="Q306" s="1091"/>
      <c r="R306" s="1091"/>
      <c r="S306" s="1091"/>
      <c r="T306" s="1091"/>
      <c r="U306" s="1091"/>
      <c r="V306" s="1091"/>
      <c r="W306" s="1091"/>
      <c r="X306" s="1091"/>
      <c r="Y306" s="1091"/>
      <c r="Z306" s="1091"/>
      <c r="AA306" s="1091"/>
      <c r="AB306" s="1091"/>
      <c r="AC306" s="1091"/>
      <c r="AD306" s="1091"/>
      <c r="AE306" s="1091"/>
      <c r="AF306" s="1091"/>
      <c r="AG306" s="1091"/>
      <c r="AH306" s="39">
        <f t="shared" si="58"/>
        <v>0</v>
      </c>
    </row>
    <row r="307" spans="1:44" ht="15">
      <c r="A307" s="120" t="s">
        <v>79</v>
      </c>
      <c r="B307" s="15">
        <f t="shared" si="57"/>
        <v>0</v>
      </c>
      <c r="C307" s="1091"/>
      <c r="D307" s="1268"/>
      <c r="E307" s="1268"/>
      <c r="F307" s="1268"/>
      <c r="G307" s="1091"/>
      <c r="H307" s="1091"/>
      <c r="I307" s="1091"/>
      <c r="J307" s="2068"/>
      <c r="K307" s="2068"/>
      <c r="L307" s="1268"/>
      <c r="M307" s="1268"/>
      <c r="N307" s="1268"/>
      <c r="O307" s="1268"/>
      <c r="P307" s="1268"/>
      <c r="Q307" s="1268"/>
      <c r="R307" s="1268"/>
      <c r="S307" s="1268"/>
      <c r="T307" s="1268"/>
      <c r="U307" s="1268"/>
      <c r="V307" s="1268"/>
      <c r="W307" s="609"/>
      <c r="X307" s="609"/>
      <c r="Y307" s="609"/>
      <c r="Z307" s="609"/>
      <c r="AA307" s="609"/>
      <c r="AB307" s="609"/>
      <c r="AC307" s="609"/>
      <c r="AD307" s="609"/>
      <c r="AE307" s="609"/>
      <c r="AF307" s="609" t="s">
        <v>109</v>
      </c>
      <c r="AG307" s="609" t="s">
        <v>109</v>
      </c>
      <c r="AH307" s="39">
        <f t="shared" si="58"/>
        <v>0</v>
      </c>
    </row>
    <row r="308" spans="1:44" s="67" customFormat="1" ht="15">
      <c r="A308" s="120" t="s">
        <v>80</v>
      </c>
      <c r="B308" s="15">
        <f t="shared" si="57"/>
        <v>0</v>
      </c>
      <c r="C308" s="609" t="s">
        <v>109</v>
      </c>
      <c r="D308" s="609" t="s">
        <v>109</v>
      </c>
      <c r="E308" s="609" t="s">
        <v>109</v>
      </c>
      <c r="F308" s="609" t="s">
        <v>109</v>
      </c>
      <c r="G308" s="609" t="s">
        <v>109</v>
      </c>
      <c r="H308" s="609" t="s">
        <v>109</v>
      </c>
      <c r="I308" s="609" t="s">
        <v>109</v>
      </c>
      <c r="J308" s="609" t="s">
        <v>109</v>
      </c>
      <c r="K308" s="609" t="s">
        <v>109</v>
      </c>
      <c r="L308" s="609" t="s">
        <v>109</v>
      </c>
      <c r="M308" s="609" t="s">
        <v>109</v>
      </c>
      <c r="N308" s="609" t="s">
        <v>109</v>
      </c>
      <c r="O308" s="609" t="s">
        <v>109</v>
      </c>
      <c r="P308" s="609" t="s">
        <v>109</v>
      </c>
      <c r="Q308" s="609" t="s">
        <v>109</v>
      </c>
      <c r="R308" s="609" t="s">
        <v>109</v>
      </c>
      <c r="S308" s="609" t="s">
        <v>109</v>
      </c>
      <c r="T308" s="609" t="s">
        <v>109</v>
      </c>
      <c r="U308" s="609" t="s">
        <v>109</v>
      </c>
      <c r="V308" s="609" t="s">
        <v>109</v>
      </c>
      <c r="W308" s="609" t="s">
        <v>109</v>
      </c>
      <c r="X308" s="609" t="s">
        <v>109</v>
      </c>
      <c r="Y308" s="609" t="s">
        <v>109</v>
      </c>
      <c r="Z308" s="609" t="s">
        <v>109</v>
      </c>
      <c r="AA308" s="609" t="s">
        <v>109</v>
      </c>
      <c r="AB308" s="609" t="s">
        <v>109</v>
      </c>
      <c r="AC308" s="609" t="s">
        <v>109</v>
      </c>
      <c r="AD308" s="609" t="s">
        <v>109</v>
      </c>
      <c r="AE308" s="609" t="s">
        <v>109</v>
      </c>
      <c r="AF308" s="609" t="s">
        <v>109</v>
      </c>
      <c r="AG308" s="609" t="s">
        <v>109</v>
      </c>
      <c r="AH308" s="39">
        <f t="shared" si="58"/>
        <v>0</v>
      </c>
    </row>
    <row r="309" spans="1:44" ht="15">
      <c r="A309" s="123" t="s">
        <v>81</v>
      </c>
      <c r="B309" s="15">
        <f t="shared" si="57"/>
        <v>0</v>
      </c>
      <c r="C309" s="609" t="s">
        <v>109</v>
      </c>
      <c r="D309" s="609" t="s">
        <v>109</v>
      </c>
      <c r="E309" s="609" t="s">
        <v>109</v>
      </c>
      <c r="F309" s="609" t="s">
        <v>109</v>
      </c>
      <c r="G309" s="609" t="s">
        <v>109</v>
      </c>
      <c r="H309" s="609" t="s">
        <v>109</v>
      </c>
      <c r="I309" s="609" t="s">
        <v>109</v>
      </c>
      <c r="J309" s="609" t="s">
        <v>109</v>
      </c>
      <c r="K309" s="609" t="s">
        <v>109</v>
      </c>
      <c r="L309" s="609" t="s">
        <v>109</v>
      </c>
      <c r="M309" s="609" t="s">
        <v>109</v>
      </c>
      <c r="N309" s="609" t="s">
        <v>109</v>
      </c>
      <c r="O309" s="609" t="s">
        <v>109</v>
      </c>
      <c r="P309" s="609" t="s">
        <v>109</v>
      </c>
      <c r="Q309" s="609" t="s">
        <v>109</v>
      </c>
      <c r="R309" s="609" t="s">
        <v>109</v>
      </c>
      <c r="S309" s="609" t="s">
        <v>109</v>
      </c>
      <c r="T309" s="609" t="s">
        <v>109</v>
      </c>
      <c r="U309" s="609" t="s">
        <v>109</v>
      </c>
      <c r="V309" s="609" t="s">
        <v>109</v>
      </c>
      <c r="W309" s="609" t="s">
        <v>109</v>
      </c>
      <c r="X309" s="609" t="s">
        <v>109</v>
      </c>
      <c r="Y309" s="609" t="s">
        <v>109</v>
      </c>
      <c r="Z309" s="609" t="s">
        <v>109</v>
      </c>
      <c r="AA309" s="609" t="s">
        <v>109</v>
      </c>
      <c r="AB309" s="609" t="s">
        <v>109</v>
      </c>
      <c r="AC309" s="609" t="s">
        <v>109</v>
      </c>
      <c r="AD309" s="609" t="s">
        <v>109</v>
      </c>
      <c r="AE309" s="609" t="s">
        <v>109</v>
      </c>
      <c r="AF309" s="609" t="s">
        <v>109</v>
      </c>
      <c r="AG309" s="609" t="s">
        <v>109</v>
      </c>
      <c r="AH309" s="39">
        <f t="shared" si="58"/>
        <v>0</v>
      </c>
    </row>
    <row r="310" spans="1:44" ht="15">
      <c r="A310" s="123" t="s">
        <v>82</v>
      </c>
      <c r="B310" s="15">
        <f t="shared" si="57"/>
        <v>0</v>
      </c>
      <c r="C310" s="609" t="s">
        <v>109</v>
      </c>
      <c r="D310" s="609" t="s">
        <v>109</v>
      </c>
      <c r="E310" s="609" t="s">
        <v>109</v>
      </c>
      <c r="F310" s="609" t="s">
        <v>109</v>
      </c>
      <c r="G310" s="609" t="s">
        <v>109</v>
      </c>
      <c r="H310" s="609" t="s">
        <v>109</v>
      </c>
      <c r="I310" s="609" t="s">
        <v>109</v>
      </c>
      <c r="J310" s="609" t="s">
        <v>109</v>
      </c>
      <c r="K310" s="609" t="s">
        <v>109</v>
      </c>
      <c r="L310" s="609" t="s">
        <v>109</v>
      </c>
      <c r="M310" s="609" t="s">
        <v>109</v>
      </c>
      <c r="N310" s="609" t="s">
        <v>109</v>
      </c>
      <c r="O310" s="609" t="s">
        <v>109</v>
      </c>
      <c r="P310" s="609" t="s">
        <v>109</v>
      </c>
      <c r="Q310" s="609" t="s">
        <v>109</v>
      </c>
      <c r="R310" s="609" t="s">
        <v>109</v>
      </c>
      <c r="S310" s="609" t="s">
        <v>109</v>
      </c>
      <c r="T310" s="609" t="s">
        <v>109</v>
      </c>
      <c r="U310" s="609" t="s">
        <v>109</v>
      </c>
      <c r="V310" s="609" t="s">
        <v>109</v>
      </c>
      <c r="W310" s="609" t="s">
        <v>109</v>
      </c>
      <c r="X310" s="1091"/>
      <c r="Y310" s="1091"/>
      <c r="Z310" s="1091"/>
      <c r="AA310" s="1091"/>
      <c r="AB310" s="1091"/>
      <c r="AC310" s="1091"/>
      <c r="AD310" s="1091"/>
      <c r="AE310" s="1268"/>
      <c r="AF310" s="1091"/>
      <c r="AG310" s="1268"/>
      <c r="AH310" s="39">
        <f t="shared" si="58"/>
        <v>0</v>
      </c>
    </row>
    <row r="311" spans="1:44" ht="15">
      <c r="A311" s="123" t="s">
        <v>83</v>
      </c>
      <c r="B311" s="15">
        <f t="shared" si="57"/>
        <v>0</v>
      </c>
      <c r="C311" s="1091"/>
      <c r="D311" s="1091"/>
      <c r="E311" s="1091"/>
      <c r="F311" s="1091"/>
      <c r="G311" s="1229"/>
      <c r="H311" s="1091"/>
      <c r="I311" s="1091"/>
      <c r="J311" s="1091"/>
      <c r="K311" s="1091"/>
      <c r="L311" s="1091"/>
      <c r="M311" s="1091"/>
      <c r="N311" s="1091"/>
      <c r="O311" s="1091"/>
      <c r="P311" s="1091"/>
      <c r="Q311" s="1091"/>
      <c r="R311" s="1091"/>
      <c r="S311" s="1091"/>
      <c r="T311" s="1091"/>
      <c r="U311" s="1091"/>
      <c r="V311" s="1091"/>
      <c r="W311" s="1091"/>
      <c r="X311" s="1091"/>
      <c r="Y311" s="1229"/>
      <c r="Z311" s="1091"/>
      <c r="AA311" s="1091"/>
      <c r="AB311" s="1091"/>
      <c r="AC311" s="1091"/>
      <c r="AD311" s="1091"/>
      <c r="AE311" s="1268"/>
      <c r="AF311" s="1091"/>
      <c r="AG311" s="1268"/>
      <c r="AH311" s="39">
        <f t="shared" si="58"/>
        <v>0</v>
      </c>
    </row>
    <row r="312" spans="1:44" ht="15">
      <c r="A312" s="123" t="s">
        <v>84</v>
      </c>
      <c r="B312" s="15">
        <f t="shared" si="57"/>
        <v>0</v>
      </c>
      <c r="C312" s="35"/>
      <c r="D312" s="15"/>
      <c r="E312" s="15"/>
      <c r="F312" s="15"/>
      <c r="G312" s="15"/>
      <c r="H312" s="15"/>
      <c r="I312" s="15"/>
      <c r="J312" s="15"/>
      <c r="K312" s="15"/>
      <c r="L312" s="15"/>
      <c r="M312" s="15"/>
      <c r="N312" s="15"/>
      <c r="O312" s="15"/>
      <c r="P312" s="1091"/>
      <c r="Q312" s="1091"/>
      <c r="R312" s="1091"/>
      <c r="S312" s="1091"/>
      <c r="T312" s="1091"/>
      <c r="U312" s="1091"/>
      <c r="V312" s="1091"/>
      <c r="W312" s="1091"/>
      <c r="X312" s="1091"/>
      <c r="Y312" s="1091"/>
      <c r="Z312" s="1091"/>
      <c r="AA312" s="1091"/>
      <c r="AB312" s="1091"/>
      <c r="AC312" s="1091"/>
      <c r="AD312" s="1091"/>
      <c r="AE312" s="1091"/>
      <c r="AF312" s="1091"/>
      <c r="AG312" s="1091"/>
      <c r="AH312" s="39">
        <f t="shared" si="58"/>
        <v>0</v>
      </c>
    </row>
    <row r="313" spans="1:44" ht="15">
      <c r="A313" s="71" t="s">
        <v>72</v>
      </c>
      <c r="B313" s="72">
        <f>SUM(B301:B312)</f>
        <v>0</v>
      </c>
      <c r="C313" s="32">
        <f>SUM(C301:C311)</f>
        <v>0</v>
      </c>
      <c r="D313" s="39">
        <f>SUM(D301:D311)</f>
        <v>0</v>
      </c>
      <c r="E313" s="39">
        <v>0</v>
      </c>
      <c r="F313" s="39">
        <f t="shared" ref="F313:AC313" si="59">SUM(F301:F311)</f>
        <v>0</v>
      </c>
      <c r="G313" s="39">
        <f t="shared" si="59"/>
        <v>0</v>
      </c>
      <c r="H313" s="39">
        <f t="shared" si="59"/>
        <v>0</v>
      </c>
      <c r="I313" s="39">
        <f t="shared" si="59"/>
        <v>0</v>
      </c>
      <c r="J313" s="39">
        <f t="shared" si="59"/>
        <v>0</v>
      </c>
      <c r="K313" s="39">
        <f t="shared" si="59"/>
        <v>0</v>
      </c>
      <c r="L313" s="39">
        <f t="shared" si="59"/>
        <v>0</v>
      </c>
      <c r="M313" s="39">
        <f t="shared" si="59"/>
        <v>0</v>
      </c>
      <c r="N313" s="39">
        <f t="shared" si="59"/>
        <v>0</v>
      </c>
      <c r="O313" s="39">
        <f t="shared" si="59"/>
        <v>0</v>
      </c>
      <c r="P313" s="39">
        <f t="shared" si="59"/>
        <v>0</v>
      </c>
      <c r="Q313" s="39">
        <f t="shared" si="59"/>
        <v>0</v>
      </c>
      <c r="R313" s="39">
        <f t="shared" si="59"/>
        <v>0</v>
      </c>
      <c r="S313" s="39">
        <f t="shared" si="59"/>
        <v>0</v>
      </c>
      <c r="T313" s="39">
        <f t="shared" si="59"/>
        <v>0</v>
      </c>
      <c r="U313" s="39">
        <f t="shared" si="59"/>
        <v>0</v>
      </c>
      <c r="V313" s="39">
        <f t="shared" si="59"/>
        <v>0</v>
      </c>
      <c r="W313" s="39">
        <f t="shared" si="59"/>
        <v>0</v>
      </c>
      <c r="X313" s="39">
        <f t="shared" si="59"/>
        <v>0</v>
      </c>
      <c r="Y313" s="39">
        <f t="shared" si="59"/>
        <v>0</v>
      </c>
      <c r="Z313" s="39">
        <f t="shared" si="59"/>
        <v>0</v>
      </c>
      <c r="AA313" s="39">
        <f t="shared" si="59"/>
        <v>0</v>
      </c>
      <c r="AB313" s="39">
        <f t="shared" si="59"/>
        <v>0</v>
      </c>
      <c r="AC313" s="39">
        <f t="shared" si="59"/>
        <v>0</v>
      </c>
      <c r="AD313" s="39">
        <v>0</v>
      </c>
      <c r="AE313" s="39">
        <f>SUM(AE301:AE311)</f>
        <v>0</v>
      </c>
      <c r="AF313" s="39">
        <f>SUM(AF301:AF311)</f>
        <v>0</v>
      </c>
      <c r="AG313" s="39">
        <f>SUM(AG301:AG311)</f>
        <v>0</v>
      </c>
      <c r="AH313" s="32">
        <f>SUM(AH301:AH311)</f>
        <v>0</v>
      </c>
    </row>
    <row r="314" spans="1:44" ht="5.0999999999999996" customHeight="1">
      <c r="A314" s="14"/>
      <c r="B314" s="14"/>
      <c r="C314" s="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
    </row>
    <row r="315" spans="1:44" ht="15">
      <c r="A315" s="3811" t="s">
        <v>104</v>
      </c>
      <c r="B315" s="3812"/>
      <c r="C315" s="3812"/>
      <c r="D315" s="3812"/>
      <c r="E315" s="3812"/>
      <c r="F315" s="3812"/>
      <c r="G315" s="3812"/>
      <c r="H315" s="3813"/>
      <c r="I315" s="1229"/>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row>
    <row r="316" spans="1:44" ht="15">
      <c r="A316" s="5" t="s">
        <v>70</v>
      </c>
      <c r="B316" s="5" t="s">
        <v>71</v>
      </c>
      <c r="C316" s="1054">
        <v>1</v>
      </c>
      <c r="D316" s="21">
        <v>2</v>
      </c>
      <c r="E316" s="21">
        <v>3</v>
      </c>
      <c r="F316" s="21">
        <v>4</v>
      </c>
      <c r="G316" s="21">
        <v>5</v>
      </c>
      <c r="H316" s="21">
        <v>6</v>
      </c>
      <c r="I316" s="21">
        <v>7</v>
      </c>
      <c r="J316" s="21">
        <v>8</v>
      </c>
      <c r="K316" s="21">
        <v>9</v>
      </c>
      <c r="L316" s="21">
        <v>10</v>
      </c>
      <c r="M316" s="21">
        <v>11</v>
      </c>
      <c r="N316" s="21">
        <v>12</v>
      </c>
      <c r="O316" s="21">
        <v>13</v>
      </c>
      <c r="P316" s="21">
        <v>14</v>
      </c>
      <c r="Q316" s="21">
        <v>15</v>
      </c>
      <c r="R316" s="21">
        <v>16</v>
      </c>
      <c r="S316" s="21">
        <v>17</v>
      </c>
      <c r="T316" s="21">
        <v>18</v>
      </c>
      <c r="U316" s="21">
        <v>19</v>
      </c>
      <c r="V316" s="21">
        <v>20</v>
      </c>
      <c r="W316" s="21">
        <v>21</v>
      </c>
      <c r="X316" s="21">
        <v>22</v>
      </c>
      <c r="Y316" s="21">
        <v>23</v>
      </c>
      <c r="Z316" s="21">
        <v>24</v>
      </c>
      <c r="AA316" s="21">
        <v>25</v>
      </c>
      <c r="AB316" s="21">
        <v>26</v>
      </c>
      <c r="AC316" s="21">
        <v>27</v>
      </c>
      <c r="AD316" s="21">
        <v>28</v>
      </c>
      <c r="AE316" s="21">
        <v>29</v>
      </c>
      <c r="AF316" s="21">
        <v>30</v>
      </c>
      <c r="AG316" s="21">
        <v>31</v>
      </c>
      <c r="AH316" s="25" t="s">
        <v>72</v>
      </c>
      <c r="AI316" s="2266" t="s">
        <v>1345</v>
      </c>
      <c r="AJ316" s="66" t="e">
        <f>(B329/COUNTIF($C$317:$AG$328,"&gt;0"))</f>
        <v>#DIV/0!</v>
      </c>
      <c r="AL316" s="3814"/>
      <c r="AM316" s="3814"/>
      <c r="AN316" s="3814"/>
      <c r="AO316" s="3814"/>
      <c r="AP316" s="3814"/>
      <c r="AQ316" s="3814"/>
      <c r="AR316" s="3814"/>
    </row>
    <row r="317" spans="1:44" ht="15">
      <c r="A317" s="122" t="s">
        <v>73</v>
      </c>
      <c r="B317" s="15">
        <f t="shared" ref="B317:B328" si="60">+AH317</f>
        <v>0</v>
      </c>
      <c r="C317" s="107" t="s">
        <v>109</v>
      </c>
      <c r="D317" s="107" t="s">
        <v>109</v>
      </c>
      <c r="E317" s="107" t="s">
        <v>109</v>
      </c>
      <c r="F317" s="107" t="s">
        <v>109</v>
      </c>
      <c r="G317" s="107" t="s">
        <v>109</v>
      </c>
      <c r="H317" s="107" t="s">
        <v>109</v>
      </c>
      <c r="I317" s="107" t="s">
        <v>109</v>
      </c>
      <c r="J317" s="107" t="s">
        <v>109</v>
      </c>
      <c r="K317" s="107" t="s">
        <v>109</v>
      </c>
      <c r="L317" s="107" t="s">
        <v>109</v>
      </c>
      <c r="M317" s="107" t="s">
        <v>109</v>
      </c>
      <c r="N317" s="107" t="s">
        <v>109</v>
      </c>
      <c r="O317" s="107" t="s">
        <v>109</v>
      </c>
      <c r="P317" s="107" t="s">
        <v>109</v>
      </c>
      <c r="Q317" s="107" t="s">
        <v>109</v>
      </c>
      <c r="R317" s="107" t="s">
        <v>109</v>
      </c>
      <c r="S317" s="107" t="s">
        <v>109</v>
      </c>
      <c r="T317" s="107" t="s">
        <v>109</v>
      </c>
      <c r="U317" s="107" t="s">
        <v>109</v>
      </c>
      <c r="V317" s="107" t="s">
        <v>109</v>
      </c>
      <c r="W317" s="107" t="s">
        <v>109</v>
      </c>
      <c r="X317" s="107" t="s">
        <v>109</v>
      </c>
      <c r="Y317" s="107" t="s">
        <v>109</v>
      </c>
      <c r="Z317" s="107" t="s">
        <v>109</v>
      </c>
      <c r="AA317" s="107" t="s">
        <v>109</v>
      </c>
      <c r="AB317" s="107" t="s">
        <v>109</v>
      </c>
      <c r="AC317" s="107" t="s">
        <v>109</v>
      </c>
      <c r="AD317" s="107" t="s">
        <v>109</v>
      </c>
      <c r="AE317" s="107" t="s">
        <v>109</v>
      </c>
      <c r="AF317" s="107" t="s">
        <v>109</v>
      </c>
      <c r="AG317" s="107" t="s">
        <v>109</v>
      </c>
      <c r="AH317" s="39">
        <f>SUM(C317:AG317)</f>
        <v>0</v>
      </c>
      <c r="AL317" s="1555"/>
      <c r="AM317" s="1555"/>
      <c r="AN317" s="1555"/>
      <c r="AO317" s="1555"/>
      <c r="AP317" s="1555"/>
      <c r="AQ317" s="1555"/>
      <c r="AR317" s="1555"/>
    </row>
    <row r="318" spans="1:44" s="67" customFormat="1" ht="15">
      <c r="A318" s="122" t="s">
        <v>74</v>
      </c>
      <c r="B318" s="15">
        <f t="shared" si="60"/>
        <v>0</v>
      </c>
      <c r="C318" s="107" t="s">
        <v>109</v>
      </c>
      <c r="D318" s="107" t="s">
        <v>109</v>
      </c>
      <c r="E318" s="107" t="s">
        <v>109</v>
      </c>
      <c r="F318" s="107" t="s">
        <v>109</v>
      </c>
      <c r="G318" s="107" t="s">
        <v>109</v>
      </c>
      <c r="H318" s="107" t="s">
        <v>109</v>
      </c>
      <c r="I318" s="107" t="s">
        <v>109</v>
      </c>
      <c r="J318" s="108"/>
      <c r="K318" s="108"/>
      <c r="L318" s="108"/>
      <c r="M318" s="108"/>
      <c r="N318" s="108"/>
      <c r="O318" s="108"/>
      <c r="P318" s="108"/>
      <c r="Q318" s="108"/>
      <c r="R318" s="108"/>
      <c r="S318" s="108"/>
      <c r="T318" s="108"/>
      <c r="U318" s="108"/>
      <c r="V318" s="108"/>
      <c r="W318" s="108"/>
      <c r="X318" s="108"/>
      <c r="Y318" s="108"/>
      <c r="Z318" s="108"/>
      <c r="AA318" s="108"/>
      <c r="AB318" s="108"/>
      <c r="AC318" s="108"/>
      <c r="AD318" s="108"/>
      <c r="AE318" s="108"/>
      <c r="AF318" s="108"/>
      <c r="AG318" s="108"/>
      <c r="AH318" s="39">
        <f t="shared" ref="AH318:AH328" si="61">SUM(C318:AG318)</f>
        <v>0</v>
      </c>
      <c r="AL318" s="1555"/>
      <c r="AM318" s="1555"/>
      <c r="AN318" s="1555"/>
      <c r="AO318" s="1555"/>
      <c r="AP318" s="1555"/>
      <c r="AQ318" s="1555"/>
      <c r="AR318" s="1555"/>
    </row>
    <row r="319" spans="1:44" ht="15">
      <c r="A319" s="122" t="s">
        <v>75</v>
      </c>
      <c r="B319" s="15">
        <f t="shared" si="60"/>
        <v>0</v>
      </c>
      <c r="C319" s="108"/>
      <c r="D319" s="108"/>
      <c r="E319" s="108"/>
      <c r="F319" s="108"/>
      <c r="G319" s="108"/>
      <c r="H319" s="94"/>
      <c r="I319" s="94"/>
      <c r="J319" s="94"/>
      <c r="K319" s="94"/>
      <c r="L319" s="94"/>
      <c r="M319" s="94"/>
      <c r="N319" s="94">
        <v>0</v>
      </c>
      <c r="O319" s="94"/>
      <c r="P319" s="94"/>
      <c r="Q319" s="94"/>
      <c r="R319" s="94"/>
      <c r="S319" s="94"/>
      <c r="T319" s="94"/>
      <c r="U319" s="94"/>
      <c r="V319" s="94"/>
      <c r="W319" s="94"/>
      <c r="X319" s="94"/>
      <c r="Y319" s="94"/>
      <c r="Z319" s="94"/>
      <c r="AA319" s="94"/>
      <c r="AB319" s="94"/>
      <c r="AC319" s="1689"/>
      <c r="AD319" s="1689"/>
      <c r="AE319" s="1689"/>
      <c r="AF319" s="1689"/>
      <c r="AG319" s="1689"/>
      <c r="AH319" s="39">
        <f t="shared" si="61"/>
        <v>0</v>
      </c>
      <c r="AL319" s="3814"/>
      <c r="AM319" s="3814"/>
      <c r="AN319" s="3814"/>
      <c r="AO319" s="3814"/>
      <c r="AP319" s="3814"/>
      <c r="AQ319" s="3814"/>
      <c r="AR319" s="3814"/>
    </row>
    <row r="320" spans="1:44" ht="15">
      <c r="A320" s="122" t="s">
        <v>76</v>
      </c>
      <c r="B320" s="15">
        <f t="shared" si="60"/>
        <v>0</v>
      </c>
      <c r="C320" s="1689"/>
      <c r="D320" s="1689"/>
      <c r="E320" s="1689"/>
      <c r="F320" s="1689"/>
      <c r="G320" s="1689"/>
      <c r="H320" s="1689"/>
      <c r="I320" s="1689"/>
      <c r="J320" s="1689"/>
      <c r="K320" s="1689"/>
      <c r="L320" s="1091"/>
      <c r="M320" s="1091"/>
      <c r="N320" s="1091"/>
      <c r="O320" s="1091"/>
      <c r="P320" s="1091"/>
      <c r="Q320" s="1091"/>
      <c r="R320" s="1091"/>
      <c r="S320" s="1091"/>
      <c r="T320" s="1091"/>
      <c r="U320" s="1091"/>
      <c r="V320" s="1091"/>
      <c r="W320" s="1091"/>
      <c r="X320" s="1091"/>
      <c r="Y320" s="1091"/>
      <c r="Z320" s="1091"/>
      <c r="AA320" s="1091"/>
      <c r="AB320" s="1091"/>
      <c r="AC320" s="1091"/>
      <c r="AD320" s="1091"/>
      <c r="AE320" s="1091"/>
      <c r="AF320" s="1091"/>
      <c r="AG320" s="1091"/>
      <c r="AH320" s="39">
        <f t="shared" si="61"/>
        <v>0</v>
      </c>
      <c r="AL320" s="1555"/>
      <c r="AM320" s="1555"/>
      <c r="AN320" s="1555"/>
      <c r="AO320" s="1555"/>
      <c r="AP320" s="1555"/>
      <c r="AQ320" s="1555"/>
      <c r="AR320" s="1555"/>
    </row>
    <row r="321" spans="1:44" s="67" customFormat="1" ht="15">
      <c r="A321" s="120" t="s">
        <v>77</v>
      </c>
      <c r="B321" s="15">
        <f t="shared" si="60"/>
        <v>0</v>
      </c>
      <c r="C321" s="1091"/>
      <c r="D321" s="1091"/>
      <c r="E321" s="1091"/>
      <c r="F321" s="1091"/>
      <c r="G321" s="1091"/>
      <c r="H321" s="1091"/>
      <c r="I321" s="1091"/>
      <c r="J321" s="1091"/>
      <c r="K321" s="1091"/>
      <c r="L321" s="1091"/>
      <c r="M321" s="1091"/>
      <c r="N321" s="1091"/>
      <c r="O321" s="1091"/>
      <c r="P321" s="1091"/>
      <c r="Q321" s="1091"/>
      <c r="R321" s="1091"/>
      <c r="S321" s="1091"/>
      <c r="T321" s="1091"/>
      <c r="U321" s="1091"/>
      <c r="V321" s="1091"/>
      <c r="W321" s="1091"/>
      <c r="X321" s="1091"/>
      <c r="Y321" s="1091"/>
      <c r="Z321" s="1091"/>
      <c r="AA321" s="1091"/>
      <c r="AB321" s="1091"/>
      <c r="AC321" s="1091"/>
      <c r="AD321" s="1091"/>
      <c r="AE321" s="1091"/>
      <c r="AF321" s="1091"/>
      <c r="AG321" s="1091"/>
      <c r="AH321" s="39">
        <f t="shared" si="61"/>
        <v>0</v>
      </c>
      <c r="AL321" s="1555"/>
      <c r="AM321" s="1555"/>
      <c r="AN321" s="1555"/>
      <c r="AO321" s="1555"/>
      <c r="AP321" s="1555"/>
      <c r="AQ321" s="1555"/>
      <c r="AR321" s="1555"/>
    </row>
    <row r="322" spans="1:44" ht="15">
      <c r="A322" s="120" t="s">
        <v>78</v>
      </c>
      <c r="B322" s="15">
        <f t="shared" si="60"/>
        <v>0</v>
      </c>
      <c r="C322" s="1091"/>
      <c r="D322" s="1091"/>
      <c r="E322" s="1091"/>
      <c r="F322" s="1091"/>
      <c r="G322" s="1091"/>
      <c r="H322" s="1091"/>
      <c r="I322" s="1091"/>
      <c r="J322" s="1091"/>
      <c r="K322" s="1091"/>
      <c r="L322" s="1091"/>
      <c r="M322" s="1091"/>
      <c r="N322" s="1091"/>
      <c r="O322" s="1091"/>
      <c r="P322" s="1091"/>
      <c r="Q322" s="1091"/>
      <c r="R322" s="1091"/>
      <c r="S322" s="1091"/>
      <c r="T322" s="1091"/>
      <c r="U322" s="1091"/>
      <c r="V322" s="1091"/>
      <c r="W322" s="1091"/>
      <c r="X322" s="1091"/>
      <c r="Y322" s="1091"/>
      <c r="Z322" s="1091"/>
      <c r="AA322" s="1091"/>
      <c r="AB322" s="1091"/>
      <c r="AC322" s="1091"/>
      <c r="AD322" s="1091"/>
      <c r="AE322" s="1091"/>
      <c r="AF322" s="1091"/>
      <c r="AG322" s="1091"/>
      <c r="AH322" s="39">
        <f t="shared" si="61"/>
        <v>0</v>
      </c>
      <c r="AL322" s="1555"/>
      <c r="AM322" s="1555"/>
      <c r="AN322" s="1555"/>
      <c r="AO322" s="1555"/>
      <c r="AP322" s="1555"/>
      <c r="AQ322" s="1555"/>
      <c r="AR322" s="1555"/>
    </row>
    <row r="323" spans="1:44" ht="15">
      <c r="A323" s="120" t="s">
        <v>79</v>
      </c>
      <c r="B323" s="15">
        <f t="shared" si="60"/>
        <v>0</v>
      </c>
      <c r="C323" s="1091"/>
      <c r="D323" s="1268"/>
      <c r="E323" s="1268"/>
      <c r="F323" s="1268"/>
      <c r="G323" s="1091"/>
      <c r="H323" s="1091"/>
      <c r="I323" s="1091"/>
      <c r="J323" s="2068"/>
      <c r="K323" s="2068"/>
      <c r="L323" s="1268"/>
      <c r="M323" s="1268"/>
      <c r="N323" s="1268"/>
      <c r="O323" s="1268"/>
      <c r="P323" s="1268"/>
      <c r="Q323" s="1268"/>
      <c r="R323" s="1268"/>
      <c r="S323" s="1268"/>
      <c r="T323" s="1268"/>
      <c r="U323" s="1268"/>
      <c r="V323" s="1268"/>
      <c r="W323" s="609"/>
      <c r="X323" s="609"/>
      <c r="Y323" s="609"/>
      <c r="Z323" s="609"/>
      <c r="AA323" s="609"/>
      <c r="AB323" s="609"/>
      <c r="AC323" s="609"/>
      <c r="AD323" s="609"/>
      <c r="AE323" s="609"/>
      <c r="AF323" s="609" t="s">
        <v>109</v>
      </c>
      <c r="AG323" s="609" t="s">
        <v>109</v>
      </c>
      <c r="AH323" s="39">
        <f t="shared" si="61"/>
        <v>0</v>
      </c>
      <c r="AL323" s="1555"/>
      <c r="AM323" s="1555"/>
      <c r="AN323" s="1555"/>
      <c r="AO323" s="1555"/>
      <c r="AP323" s="1555"/>
      <c r="AQ323" s="1555"/>
      <c r="AR323" s="1555"/>
    </row>
    <row r="324" spans="1:44" s="67" customFormat="1" ht="15">
      <c r="A324" s="120" t="s">
        <v>80</v>
      </c>
      <c r="B324" s="15">
        <f t="shared" si="60"/>
        <v>0</v>
      </c>
      <c r="C324" s="609" t="s">
        <v>109</v>
      </c>
      <c r="D324" s="609" t="s">
        <v>109</v>
      </c>
      <c r="E324" s="609" t="s">
        <v>109</v>
      </c>
      <c r="F324" s="609" t="s">
        <v>109</v>
      </c>
      <c r="G324" s="609" t="s">
        <v>109</v>
      </c>
      <c r="H324" s="609" t="s">
        <v>109</v>
      </c>
      <c r="I324" s="609" t="s">
        <v>109</v>
      </c>
      <c r="J324" s="609" t="s">
        <v>109</v>
      </c>
      <c r="K324" s="609" t="s">
        <v>109</v>
      </c>
      <c r="L324" s="609" t="s">
        <v>109</v>
      </c>
      <c r="M324" s="609" t="s">
        <v>109</v>
      </c>
      <c r="N324" s="609" t="s">
        <v>109</v>
      </c>
      <c r="O324" s="609" t="s">
        <v>109</v>
      </c>
      <c r="P324" s="609" t="s">
        <v>109</v>
      </c>
      <c r="Q324" s="609" t="s">
        <v>109</v>
      </c>
      <c r="R324" s="609" t="s">
        <v>109</v>
      </c>
      <c r="S324" s="609" t="s">
        <v>109</v>
      </c>
      <c r="T324" s="609" t="s">
        <v>109</v>
      </c>
      <c r="U324" s="609" t="s">
        <v>109</v>
      </c>
      <c r="V324" s="609" t="s">
        <v>109</v>
      </c>
      <c r="W324" s="609" t="s">
        <v>109</v>
      </c>
      <c r="X324" s="609" t="s">
        <v>109</v>
      </c>
      <c r="Y324" s="609" t="s">
        <v>109</v>
      </c>
      <c r="Z324" s="609" t="s">
        <v>109</v>
      </c>
      <c r="AA324" s="609" t="s">
        <v>109</v>
      </c>
      <c r="AB324" s="609" t="s">
        <v>109</v>
      </c>
      <c r="AC324" s="609" t="s">
        <v>109</v>
      </c>
      <c r="AD324" s="609" t="s">
        <v>109</v>
      </c>
      <c r="AE324" s="609" t="s">
        <v>109</v>
      </c>
      <c r="AF324" s="609" t="s">
        <v>109</v>
      </c>
      <c r="AG324" s="609" t="s">
        <v>109</v>
      </c>
      <c r="AH324" s="39">
        <f t="shared" si="61"/>
        <v>0</v>
      </c>
      <c r="AL324" s="1555"/>
      <c r="AM324" s="1555"/>
      <c r="AN324" s="1555"/>
      <c r="AO324" s="1555"/>
      <c r="AP324" s="1555"/>
      <c r="AQ324" s="1555"/>
      <c r="AR324" s="1555"/>
    </row>
    <row r="325" spans="1:44" ht="15">
      <c r="A325" s="123" t="s">
        <v>81</v>
      </c>
      <c r="B325" s="15">
        <f t="shared" si="60"/>
        <v>0</v>
      </c>
      <c r="C325" s="609" t="s">
        <v>109</v>
      </c>
      <c r="D325" s="609" t="s">
        <v>109</v>
      </c>
      <c r="E325" s="609" t="s">
        <v>109</v>
      </c>
      <c r="F325" s="609" t="s">
        <v>109</v>
      </c>
      <c r="G325" s="609" t="s">
        <v>109</v>
      </c>
      <c r="H325" s="609" t="s">
        <v>109</v>
      </c>
      <c r="I325" s="609" t="s">
        <v>109</v>
      </c>
      <c r="J325" s="609" t="s">
        <v>109</v>
      </c>
      <c r="K325" s="609" t="s">
        <v>109</v>
      </c>
      <c r="L325" s="609" t="s">
        <v>109</v>
      </c>
      <c r="M325" s="609" t="s">
        <v>109</v>
      </c>
      <c r="N325" s="609" t="s">
        <v>109</v>
      </c>
      <c r="O325" s="609" t="s">
        <v>109</v>
      </c>
      <c r="P325" s="609" t="s">
        <v>109</v>
      </c>
      <c r="Q325" s="609" t="s">
        <v>109</v>
      </c>
      <c r="R325" s="609" t="s">
        <v>109</v>
      </c>
      <c r="S325" s="609" t="s">
        <v>109</v>
      </c>
      <c r="T325" s="609" t="s">
        <v>109</v>
      </c>
      <c r="U325" s="609" t="s">
        <v>109</v>
      </c>
      <c r="V325" s="609" t="s">
        <v>109</v>
      </c>
      <c r="W325" s="609" t="s">
        <v>109</v>
      </c>
      <c r="X325" s="609" t="s">
        <v>109</v>
      </c>
      <c r="Y325" s="609" t="s">
        <v>109</v>
      </c>
      <c r="Z325" s="609" t="s">
        <v>109</v>
      </c>
      <c r="AA325" s="609" t="s">
        <v>109</v>
      </c>
      <c r="AB325" s="609" t="s">
        <v>109</v>
      </c>
      <c r="AC325" s="609" t="s">
        <v>109</v>
      </c>
      <c r="AD325" s="609" t="s">
        <v>109</v>
      </c>
      <c r="AE325" s="609" t="s">
        <v>109</v>
      </c>
      <c r="AF325" s="609" t="s">
        <v>109</v>
      </c>
      <c r="AG325" s="609" t="s">
        <v>109</v>
      </c>
      <c r="AH325" s="39">
        <f t="shared" si="61"/>
        <v>0</v>
      </c>
      <c r="AL325" s="3814"/>
      <c r="AM325" s="3814"/>
      <c r="AN325" s="3814"/>
      <c r="AO325" s="3814"/>
      <c r="AP325" s="3814"/>
      <c r="AQ325" s="3814"/>
      <c r="AR325" s="3814"/>
    </row>
    <row r="326" spans="1:44" ht="15">
      <c r="A326" s="123" t="s">
        <v>82</v>
      </c>
      <c r="B326" s="15">
        <f t="shared" si="60"/>
        <v>0</v>
      </c>
      <c r="C326" s="609" t="s">
        <v>109</v>
      </c>
      <c r="D326" s="609" t="s">
        <v>109</v>
      </c>
      <c r="E326" s="609" t="s">
        <v>109</v>
      </c>
      <c r="F326" s="609" t="s">
        <v>109</v>
      </c>
      <c r="G326" s="609" t="s">
        <v>109</v>
      </c>
      <c r="H326" s="609" t="s">
        <v>109</v>
      </c>
      <c r="I326" s="609" t="s">
        <v>109</v>
      </c>
      <c r="J326" s="609" t="s">
        <v>109</v>
      </c>
      <c r="K326" s="609" t="s">
        <v>109</v>
      </c>
      <c r="L326" s="609" t="s">
        <v>109</v>
      </c>
      <c r="M326" s="609" t="s">
        <v>109</v>
      </c>
      <c r="N326" s="609" t="s">
        <v>109</v>
      </c>
      <c r="O326" s="609" t="s">
        <v>109</v>
      </c>
      <c r="P326" s="609" t="s">
        <v>109</v>
      </c>
      <c r="Q326" s="609" t="s">
        <v>109</v>
      </c>
      <c r="R326" s="609" t="s">
        <v>109</v>
      </c>
      <c r="S326" s="609" t="s">
        <v>109</v>
      </c>
      <c r="T326" s="609" t="s">
        <v>109</v>
      </c>
      <c r="U326" s="609" t="s">
        <v>109</v>
      </c>
      <c r="V326" s="609" t="s">
        <v>109</v>
      </c>
      <c r="W326" s="609" t="s">
        <v>109</v>
      </c>
      <c r="X326" s="1091"/>
      <c r="Y326" s="1091"/>
      <c r="Z326" s="1091"/>
      <c r="AA326" s="1091"/>
      <c r="AB326" s="1091"/>
      <c r="AC326" s="1091"/>
      <c r="AD326" s="1091"/>
      <c r="AE326" s="1268"/>
      <c r="AF326" s="1091"/>
      <c r="AG326" s="1268"/>
      <c r="AH326" s="39">
        <f t="shared" si="61"/>
        <v>0</v>
      </c>
      <c r="AL326" s="1555"/>
      <c r="AM326" s="1555"/>
      <c r="AN326" s="1555"/>
      <c r="AO326" s="1555"/>
      <c r="AP326" s="1555"/>
      <c r="AQ326" s="1555"/>
      <c r="AR326" s="1555"/>
    </row>
    <row r="327" spans="1:44" ht="15">
      <c r="A327" s="123" t="s">
        <v>83</v>
      </c>
      <c r="B327" s="15">
        <f t="shared" si="60"/>
        <v>0</v>
      </c>
      <c r="C327" s="1091"/>
      <c r="D327" s="1091"/>
      <c r="E327" s="1091"/>
      <c r="F327" s="1091"/>
      <c r="G327" s="1229"/>
      <c r="H327" s="1091"/>
      <c r="I327" s="1091"/>
      <c r="J327" s="1091"/>
      <c r="K327" s="1091"/>
      <c r="L327" s="1091"/>
      <c r="M327" s="1091"/>
      <c r="N327" s="1091"/>
      <c r="O327" s="1091"/>
      <c r="P327" s="1091"/>
      <c r="Q327" s="1091"/>
      <c r="R327" s="1091"/>
      <c r="S327" s="1091"/>
      <c r="T327" s="1091"/>
      <c r="U327" s="1091"/>
      <c r="V327" s="1091"/>
      <c r="W327" s="1091"/>
      <c r="X327" s="1091"/>
      <c r="Y327" s="1229"/>
      <c r="Z327" s="1091"/>
      <c r="AA327" s="1091"/>
      <c r="AB327" s="1091"/>
      <c r="AC327" s="1091"/>
      <c r="AD327" s="1091"/>
      <c r="AE327" s="1268"/>
      <c r="AF327" s="1091"/>
      <c r="AG327" s="1268"/>
      <c r="AH327" s="39">
        <f t="shared" si="61"/>
        <v>0</v>
      </c>
      <c r="AL327" s="1555"/>
      <c r="AM327" s="1555"/>
      <c r="AN327" s="1555"/>
      <c r="AO327" s="1555"/>
      <c r="AP327" s="1555"/>
      <c r="AQ327" s="1555"/>
      <c r="AR327" s="1555"/>
    </row>
    <row r="328" spans="1:44" ht="15">
      <c r="A328" s="123" t="s">
        <v>84</v>
      </c>
      <c r="B328" s="15">
        <f t="shared" si="60"/>
        <v>0</v>
      </c>
      <c r="C328" s="35"/>
      <c r="D328" s="15"/>
      <c r="E328" s="15"/>
      <c r="F328" s="15"/>
      <c r="G328" s="15"/>
      <c r="H328" s="15"/>
      <c r="I328" s="15"/>
      <c r="J328" s="15"/>
      <c r="K328" s="15"/>
      <c r="L328" s="15"/>
      <c r="M328" s="15"/>
      <c r="N328" s="15"/>
      <c r="O328" s="15"/>
      <c r="P328" s="1091"/>
      <c r="Q328" s="1091"/>
      <c r="R328" s="1091"/>
      <c r="S328" s="1091"/>
      <c r="T328" s="1091"/>
      <c r="U328" s="1091"/>
      <c r="V328" s="1091"/>
      <c r="W328" s="1091"/>
      <c r="X328" s="1091"/>
      <c r="Y328" s="1091"/>
      <c r="Z328" s="1091"/>
      <c r="AA328" s="1091"/>
      <c r="AB328" s="1091"/>
      <c r="AC328" s="1091"/>
      <c r="AD328" s="1091"/>
      <c r="AE328" s="1091"/>
      <c r="AF328" s="1091"/>
      <c r="AG328" s="1091"/>
      <c r="AH328" s="39">
        <f t="shared" si="61"/>
        <v>0</v>
      </c>
      <c r="AL328" s="1555"/>
      <c r="AM328" s="1555"/>
      <c r="AN328" s="1555"/>
      <c r="AO328" s="1555"/>
      <c r="AP328" s="1555"/>
      <c r="AQ328" s="1555"/>
      <c r="AR328" s="1555"/>
    </row>
    <row r="329" spans="1:44" ht="15">
      <c r="A329" s="71" t="s">
        <v>72</v>
      </c>
      <c r="B329" s="72">
        <f>SUM(B317:B328)</f>
        <v>0</v>
      </c>
      <c r="C329" s="32">
        <f>SUM(C317:C327)</f>
        <v>0</v>
      </c>
      <c r="D329" s="39">
        <f>SUM(D317:D327)</f>
        <v>0</v>
      </c>
      <c r="E329" s="39">
        <v>0</v>
      </c>
      <c r="F329" s="39">
        <f t="shared" ref="F329:AC329" si="62">SUM(F317:F327)</f>
        <v>0</v>
      </c>
      <c r="G329" s="39">
        <f t="shared" si="62"/>
        <v>0</v>
      </c>
      <c r="H329" s="39">
        <f t="shared" si="62"/>
        <v>0</v>
      </c>
      <c r="I329" s="39">
        <f t="shared" si="62"/>
        <v>0</v>
      </c>
      <c r="J329" s="39">
        <f t="shared" si="62"/>
        <v>0</v>
      </c>
      <c r="K329" s="39">
        <f t="shared" si="62"/>
        <v>0</v>
      </c>
      <c r="L329" s="39">
        <f t="shared" si="62"/>
        <v>0</v>
      </c>
      <c r="M329" s="39">
        <f t="shared" si="62"/>
        <v>0</v>
      </c>
      <c r="N329" s="39">
        <f t="shared" si="62"/>
        <v>0</v>
      </c>
      <c r="O329" s="39">
        <f t="shared" si="62"/>
        <v>0</v>
      </c>
      <c r="P329" s="39">
        <f t="shared" si="62"/>
        <v>0</v>
      </c>
      <c r="Q329" s="39">
        <f t="shared" si="62"/>
        <v>0</v>
      </c>
      <c r="R329" s="39">
        <f t="shared" si="62"/>
        <v>0</v>
      </c>
      <c r="S329" s="39">
        <f t="shared" si="62"/>
        <v>0</v>
      </c>
      <c r="T329" s="39">
        <f t="shared" si="62"/>
        <v>0</v>
      </c>
      <c r="U329" s="39">
        <f t="shared" si="62"/>
        <v>0</v>
      </c>
      <c r="V329" s="39">
        <f t="shared" si="62"/>
        <v>0</v>
      </c>
      <c r="W329" s="39">
        <f t="shared" si="62"/>
        <v>0</v>
      </c>
      <c r="X329" s="39">
        <f t="shared" si="62"/>
        <v>0</v>
      </c>
      <c r="Y329" s="39">
        <f t="shared" si="62"/>
        <v>0</v>
      </c>
      <c r="Z329" s="39">
        <f t="shared" si="62"/>
        <v>0</v>
      </c>
      <c r="AA329" s="39">
        <f t="shared" si="62"/>
        <v>0</v>
      </c>
      <c r="AB329" s="39">
        <f t="shared" si="62"/>
        <v>0</v>
      </c>
      <c r="AC329" s="39">
        <f t="shared" si="62"/>
        <v>0</v>
      </c>
      <c r="AD329" s="39">
        <v>0</v>
      </c>
      <c r="AE329" s="39">
        <f>SUM(AE317:AE327)</f>
        <v>0</v>
      </c>
      <c r="AF329" s="39">
        <f>SUM(AF317:AF327)</f>
        <v>0</v>
      </c>
      <c r="AG329" s="39">
        <f>SUM(AG317:AG327)</f>
        <v>0</v>
      </c>
      <c r="AH329" s="32">
        <f>SUM(AH317:AH327)</f>
        <v>0</v>
      </c>
      <c r="AL329" s="1555"/>
      <c r="AM329" s="1555"/>
      <c r="AN329" s="1555"/>
      <c r="AO329" s="1555"/>
      <c r="AP329" s="1555"/>
      <c r="AQ329" s="1555"/>
      <c r="AR329" s="1555"/>
    </row>
    <row r="330" spans="1:44" ht="22.5" customHeight="1">
      <c r="A330" s="14"/>
      <c r="B330" s="14"/>
      <c r="C330" s="1"/>
      <c r="D330" s="11"/>
      <c r="E330" s="11"/>
      <c r="F330" s="11"/>
      <c r="G330" s="11"/>
      <c r="H330" s="11"/>
      <c r="I330" s="1229"/>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
      <c r="AL330" s="3814"/>
      <c r="AM330" s="3814"/>
      <c r="AN330" s="3814"/>
      <c r="AO330" s="3814"/>
      <c r="AP330" s="3814"/>
      <c r="AQ330" s="3814"/>
      <c r="AR330" s="3814"/>
    </row>
    <row r="331" spans="1:44" ht="15">
      <c r="A331" s="3811" t="s">
        <v>105</v>
      </c>
      <c r="B331" s="3812"/>
      <c r="C331" s="3812"/>
      <c r="D331" s="3812"/>
      <c r="E331" s="3812"/>
      <c r="F331" s="3812"/>
      <c r="G331" s="3812"/>
      <c r="H331" s="3813"/>
      <c r="I331" s="1229"/>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L331" s="3814"/>
      <c r="AM331" s="3814"/>
      <c r="AN331" s="3814"/>
      <c r="AO331" s="3814"/>
      <c r="AP331" s="3814"/>
      <c r="AQ331" s="3814"/>
      <c r="AR331" s="3814"/>
    </row>
    <row r="332" spans="1:44" ht="15">
      <c r="A332" s="5" t="s">
        <v>70</v>
      </c>
      <c r="B332" s="5" t="s">
        <v>71</v>
      </c>
      <c r="C332" s="1039">
        <v>1</v>
      </c>
      <c r="D332" s="21">
        <v>2</v>
      </c>
      <c r="E332" s="21">
        <v>3</v>
      </c>
      <c r="F332" s="21">
        <v>4</v>
      </c>
      <c r="G332" s="21">
        <v>5</v>
      </c>
      <c r="H332" s="21">
        <v>6</v>
      </c>
      <c r="I332" s="21">
        <v>7</v>
      </c>
      <c r="J332" s="21">
        <v>8</v>
      </c>
      <c r="K332" s="21">
        <v>9</v>
      </c>
      <c r="L332" s="21">
        <v>10</v>
      </c>
      <c r="M332" s="21">
        <v>11</v>
      </c>
      <c r="N332" s="21">
        <v>12</v>
      </c>
      <c r="O332" s="21">
        <v>13</v>
      </c>
      <c r="P332" s="21">
        <v>14</v>
      </c>
      <c r="Q332" s="21">
        <v>15</v>
      </c>
      <c r="R332" s="21">
        <v>16</v>
      </c>
      <c r="S332" s="21">
        <v>17</v>
      </c>
      <c r="T332" s="21">
        <v>18</v>
      </c>
      <c r="U332" s="21">
        <v>19</v>
      </c>
      <c r="V332" s="21">
        <v>20</v>
      </c>
      <c r="W332" s="21">
        <v>21</v>
      </c>
      <c r="X332" s="21">
        <v>22</v>
      </c>
      <c r="Y332" s="21">
        <v>23</v>
      </c>
      <c r="Z332" s="21">
        <v>24</v>
      </c>
      <c r="AA332" s="21">
        <v>25</v>
      </c>
      <c r="AB332" s="21">
        <v>26</v>
      </c>
      <c r="AC332" s="21">
        <v>27</v>
      </c>
      <c r="AD332" s="21">
        <v>28</v>
      </c>
      <c r="AE332" s="21">
        <v>29</v>
      </c>
      <c r="AF332" s="21">
        <v>30</v>
      </c>
      <c r="AG332" s="21">
        <v>31</v>
      </c>
      <c r="AH332" s="25" t="s">
        <v>72</v>
      </c>
      <c r="AI332" s="2266" t="s">
        <v>1345</v>
      </c>
      <c r="AJ332" s="66">
        <f>(B345/COUNTIF($C$333:$AG$344,"&gt;0"))</f>
        <v>4.1920000000000002</v>
      </c>
    </row>
    <row r="333" spans="1:44" ht="15">
      <c r="A333" s="122" t="s">
        <v>73</v>
      </c>
      <c r="B333" s="15">
        <f t="shared" ref="B333:B344" si="63">+AH333</f>
        <v>0</v>
      </c>
      <c r="C333" s="107" t="s">
        <v>109</v>
      </c>
      <c r="D333" s="107" t="s">
        <v>109</v>
      </c>
      <c r="E333" s="107" t="s">
        <v>109</v>
      </c>
      <c r="F333" s="107" t="s">
        <v>109</v>
      </c>
      <c r="G333" s="107" t="s">
        <v>109</v>
      </c>
      <c r="H333" s="107" t="s">
        <v>109</v>
      </c>
      <c r="I333" s="107" t="s">
        <v>109</v>
      </c>
      <c r="J333" s="107" t="s">
        <v>109</v>
      </c>
      <c r="K333" s="107" t="s">
        <v>109</v>
      </c>
      <c r="L333" s="107" t="s">
        <v>109</v>
      </c>
      <c r="M333" s="107" t="s">
        <v>109</v>
      </c>
      <c r="N333" s="107" t="s">
        <v>109</v>
      </c>
      <c r="O333" s="107" t="s">
        <v>109</v>
      </c>
      <c r="P333" s="107" t="s">
        <v>109</v>
      </c>
      <c r="Q333" s="107" t="s">
        <v>109</v>
      </c>
      <c r="R333" s="107" t="s">
        <v>109</v>
      </c>
      <c r="S333" s="107" t="s">
        <v>109</v>
      </c>
      <c r="T333" s="107" t="s">
        <v>109</v>
      </c>
      <c r="U333" s="107" t="s">
        <v>109</v>
      </c>
      <c r="V333" s="107" t="s">
        <v>109</v>
      </c>
      <c r="W333" s="107" t="s">
        <v>109</v>
      </c>
      <c r="X333" s="107" t="s">
        <v>109</v>
      </c>
      <c r="Y333" s="107" t="s">
        <v>109</v>
      </c>
      <c r="Z333" s="107" t="s">
        <v>109</v>
      </c>
      <c r="AA333" s="107" t="s">
        <v>109</v>
      </c>
      <c r="AB333" s="107" t="s">
        <v>109</v>
      </c>
      <c r="AC333" s="107" t="s">
        <v>109</v>
      </c>
      <c r="AD333" s="107" t="s">
        <v>109</v>
      </c>
      <c r="AE333" s="107" t="s">
        <v>109</v>
      </c>
      <c r="AF333" s="107" t="s">
        <v>109</v>
      </c>
      <c r="AG333" s="107" t="s">
        <v>109</v>
      </c>
      <c r="AH333" s="39">
        <f>SUM(C333:AG333)</f>
        <v>0</v>
      </c>
      <c r="AJ333" s="66">
        <f>+'Resumen RAE Anchoveta'!G246</f>
        <v>65.031999999999996</v>
      </c>
    </row>
    <row r="334" spans="1:44" ht="15">
      <c r="A334" s="122" t="s">
        <v>74</v>
      </c>
      <c r="B334" s="15">
        <f t="shared" si="63"/>
        <v>8.3840000000000003</v>
      </c>
      <c r="C334" s="107" t="s">
        <v>109</v>
      </c>
      <c r="D334" s="107" t="s">
        <v>109</v>
      </c>
      <c r="E334" s="107" t="s">
        <v>109</v>
      </c>
      <c r="F334" s="107" t="s">
        <v>109</v>
      </c>
      <c r="G334" s="107" t="s">
        <v>109</v>
      </c>
      <c r="H334" s="107" t="s">
        <v>109</v>
      </c>
      <c r="I334" s="107" t="s">
        <v>109</v>
      </c>
      <c r="J334" s="108">
        <v>3.9990000000000001</v>
      </c>
      <c r="K334" s="108">
        <v>0</v>
      </c>
      <c r="L334" s="108">
        <v>0</v>
      </c>
      <c r="M334" s="108">
        <v>0</v>
      </c>
      <c r="N334" s="108">
        <v>0</v>
      </c>
      <c r="O334" s="108">
        <v>0</v>
      </c>
      <c r="P334" s="108">
        <v>0</v>
      </c>
      <c r="Q334" s="108">
        <v>0</v>
      </c>
      <c r="R334" s="108">
        <v>0</v>
      </c>
      <c r="S334" s="108">
        <v>0</v>
      </c>
      <c r="T334" s="108">
        <v>0</v>
      </c>
      <c r="U334" s="108">
        <v>0</v>
      </c>
      <c r="V334" s="108">
        <v>0</v>
      </c>
      <c r="W334" s="108">
        <v>0</v>
      </c>
      <c r="X334" s="108">
        <v>0</v>
      </c>
      <c r="Y334" s="108">
        <v>0</v>
      </c>
      <c r="Z334" s="108">
        <v>0</v>
      </c>
      <c r="AA334" s="108">
        <v>0</v>
      </c>
      <c r="AB334" s="108">
        <v>0</v>
      </c>
      <c r="AC334" s="108">
        <v>0</v>
      </c>
      <c r="AD334" s="108">
        <v>4.3849999999999998</v>
      </c>
      <c r="AE334" s="108"/>
      <c r="AF334" s="108"/>
      <c r="AG334" s="108"/>
      <c r="AH334" s="39">
        <f t="shared" ref="AH334:AH344" si="64">SUM(C334:AG334)</f>
        <v>8.3840000000000003</v>
      </c>
      <c r="AJ334" s="1093">
        <f>+AJ333/+AJ332</f>
        <v>15.513358778625953</v>
      </c>
    </row>
    <row r="335" spans="1:44" ht="15">
      <c r="A335" s="122" t="s">
        <v>75</v>
      </c>
      <c r="B335" s="15">
        <f t="shared" si="63"/>
        <v>0</v>
      </c>
      <c r="C335" s="108">
        <v>0</v>
      </c>
      <c r="D335" s="108">
        <v>0</v>
      </c>
      <c r="E335" s="108">
        <v>0</v>
      </c>
      <c r="F335" s="108">
        <v>0</v>
      </c>
      <c r="G335" s="108">
        <v>0</v>
      </c>
      <c r="H335" s="94">
        <v>0</v>
      </c>
      <c r="I335" s="94">
        <v>0</v>
      </c>
      <c r="J335" s="94">
        <v>0</v>
      </c>
      <c r="K335" s="94">
        <v>0</v>
      </c>
      <c r="L335" s="94">
        <v>0</v>
      </c>
      <c r="M335" s="94">
        <v>0</v>
      </c>
      <c r="N335" s="94">
        <v>0</v>
      </c>
      <c r="O335" s="94">
        <v>0</v>
      </c>
      <c r="P335" s="94">
        <v>0</v>
      </c>
      <c r="Q335" s="94">
        <v>0</v>
      </c>
      <c r="R335" s="94">
        <v>0</v>
      </c>
      <c r="S335" s="94">
        <v>0</v>
      </c>
      <c r="T335" s="94"/>
      <c r="U335" s="94"/>
      <c r="V335" s="94"/>
      <c r="W335" s="94"/>
      <c r="X335" s="94"/>
      <c r="Y335" s="94"/>
      <c r="Z335" s="94"/>
      <c r="AA335" s="94"/>
      <c r="AB335" s="94"/>
      <c r="AC335" s="1689"/>
      <c r="AD335" s="1689"/>
      <c r="AE335" s="1689"/>
      <c r="AF335" s="1689"/>
      <c r="AG335" s="1689"/>
      <c r="AH335" s="39">
        <f t="shared" si="64"/>
        <v>0</v>
      </c>
    </row>
    <row r="336" spans="1:44" ht="15">
      <c r="A336" s="122" t="s">
        <v>76</v>
      </c>
      <c r="B336" s="15">
        <f t="shared" si="63"/>
        <v>0</v>
      </c>
      <c r="C336" s="15"/>
      <c r="D336" s="15"/>
      <c r="E336" s="15"/>
      <c r="F336" s="15"/>
      <c r="G336" s="15"/>
      <c r="H336" s="15"/>
      <c r="I336" s="15"/>
      <c r="J336" s="15"/>
      <c r="K336" s="15"/>
      <c r="L336" s="94"/>
      <c r="M336" s="94"/>
      <c r="N336" s="94"/>
      <c r="O336" s="94"/>
      <c r="P336" s="94"/>
      <c r="Q336" s="94"/>
      <c r="R336" s="94"/>
      <c r="S336" s="94"/>
      <c r="T336" s="94"/>
      <c r="U336" s="94"/>
      <c r="V336" s="94"/>
      <c r="W336" s="94"/>
      <c r="X336" s="94"/>
      <c r="Y336" s="94"/>
      <c r="Z336" s="94"/>
      <c r="AA336" s="94"/>
      <c r="AB336" s="94"/>
      <c r="AC336" s="94"/>
      <c r="AD336" s="94"/>
      <c r="AE336" s="94"/>
      <c r="AF336" s="94"/>
      <c r="AG336" s="94"/>
      <c r="AH336" s="39">
        <f t="shared" si="64"/>
        <v>0</v>
      </c>
    </row>
    <row r="337" spans="1:36" ht="15">
      <c r="A337" s="120" t="s">
        <v>77</v>
      </c>
      <c r="B337" s="15">
        <f t="shared" si="63"/>
        <v>0</v>
      </c>
      <c r="C337" s="3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39">
        <f t="shared" si="64"/>
        <v>0</v>
      </c>
    </row>
    <row r="338" spans="1:36" ht="15">
      <c r="A338" s="120" t="s">
        <v>78</v>
      </c>
      <c r="B338" s="15">
        <f t="shared" si="63"/>
        <v>0</v>
      </c>
      <c r="C338" s="35"/>
      <c r="D338" s="15"/>
      <c r="E338" s="15"/>
      <c r="F338" s="15"/>
      <c r="G338" s="15"/>
      <c r="H338" s="1091"/>
      <c r="I338" s="1091"/>
      <c r="J338" s="1091"/>
      <c r="K338" s="1091"/>
      <c r="L338" s="1091"/>
      <c r="M338" s="1091"/>
      <c r="N338" s="1091"/>
      <c r="O338" s="1091"/>
      <c r="P338" s="1091"/>
      <c r="Q338" s="1091"/>
      <c r="R338" s="1091"/>
      <c r="S338" s="1091"/>
      <c r="T338" s="1091"/>
      <c r="U338" s="1091"/>
      <c r="V338" s="1091"/>
      <c r="W338" s="1091"/>
      <c r="X338" s="1091"/>
      <c r="Y338" s="15"/>
      <c r="Z338" s="15"/>
      <c r="AA338" s="15"/>
      <c r="AB338" s="15"/>
      <c r="AC338" s="15"/>
      <c r="AD338" s="15"/>
      <c r="AE338" s="15"/>
      <c r="AF338" s="15"/>
      <c r="AG338" s="15"/>
      <c r="AH338" s="39">
        <f t="shared" si="64"/>
        <v>0</v>
      </c>
    </row>
    <row r="339" spans="1:36" ht="15">
      <c r="A339" s="120" t="s">
        <v>79</v>
      </c>
      <c r="B339" s="15">
        <f t="shared" si="63"/>
        <v>0</v>
      </c>
      <c r="C339" s="35"/>
      <c r="D339" s="39"/>
      <c r="E339" s="39"/>
      <c r="F339" s="39"/>
      <c r="G339" s="15"/>
      <c r="H339" s="15"/>
      <c r="I339" s="15"/>
      <c r="J339" s="43"/>
      <c r="K339" s="43"/>
      <c r="L339" s="39"/>
      <c r="M339" s="39"/>
      <c r="N339" s="39"/>
      <c r="O339" s="39"/>
      <c r="P339" s="39"/>
      <c r="Q339" s="39"/>
      <c r="R339" s="39"/>
      <c r="S339" s="39"/>
      <c r="T339" s="39"/>
      <c r="U339" s="39"/>
      <c r="V339" s="39"/>
      <c r="W339" s="1974"/>
      <c r="X339" s="1974"/>
      <c r="Y339" s="1974"/>
      <c r="Z339" s="1974"/>
      <c r="AA339" s="1974"/>
      <c r="AB339" s="1974"/>
      <c r="AC339" s="1974"/>
      <c r="AD339" s="1974"/>
      <c r="AE339" s="1974"/>
      <c r="AF339" s="2163" t="s">
        <v>109</v>
      </c>
      <c r="AG339" s="2163" t="s">
        <v>109</v>
      </c>
      <c r="AH339" s="39">
        <f t="shared" si="64"/>
        <v>0</v>
      </c>
    </row>
    <row r="340" spans="1:36" ht="15">
      <c r="A340" s="120" t="s">
        <v>80</v>
      </c>
      <c r="B340" s="15">
        <f t="shared" si="63"/>
        <v>0</v>
      </c>
      <c r="C340" s="609" t="s">
        <v>109</v>
      </c>
      <c r="D340" s="609" t="s">
        <v>109</v>
      </c>
      <c r="E340" s="609" t="s">
        <v>109</v>
      </c>
      <c r="F340" s="609" t="s">
        <v>109</v>
      </c>
      <c r="G340" s="609" t="s">
        <v>109</v>
      </c>
      <c r="H340" s="609" t="s">
        <v>109</v>
      </c>
      <c r="I340" s="609" t="s">
        <v>109</v>
      </c>
      <c r="J340" s="609" t="s">
        <v>109</v>
      </c>
      <c r="K340" s="609" t="s">
        <v>109</v>
      </c>
      <c r="L340" s="609" t="s">
        <v>109</v>
      </c>
      <c r="M340" s="609" t="s">
        <v>109</v>
      </c>
      <c r="N340" s="609" t="s">
        <v>109</v>
      </c>
      <c r="O340" s="609" t="s">
        <v>109</v>
      </c>
      <c r="P340" s="609" t="s">
        <v>109</v>
      </c>
      <c r="Q340" s="609" t="s">
        <v>109</v>
      </c>
      <c r="R340" s="609" t="s">
        <v>109</v>
      </c>
      <c r="S340" s="609" t="s">
        <v>109</v>
      </c>
      <c r="T340" s="609" t="s">
        <v>109</v>
      </c>
      <c r="U340" s="609" t="s">
        <v>109</v>
      </c>
      <c r="V340" s="609" t="s">
        <v>109</v>
      </c>
      <c r="W340" s="609" t="s">
        <v>109</v>
      </c>
      <c r="X340" s="609" t="s">
        <v>109</v>
      </c>
      <c r="Y340" s="609" t="s">
        <v>109</v>
      </c>
      <c r="Z340" s="609" t="s">
        <v>109</v>
      </c>
      <c r="AA340" s="609" t="s">
        <v>109</v>
      </c>
      <c r="AB340" s="609" t="s">
        <v>109</v>
      </c>
      <c r="AC340" s="609" t="s">
        <v>109</v>
      </c>
      <c r="AD340" s="609" t="s">
        <v>109</v>
      </c>
      <c r="AE340" s="609" t="s">
        <v>109</v>
      </c>
      <c r="AF340" s="609" t="s">
        <v>109</v>
      </c>
      <c r="AG340" s="609" t="s">
        <v>109</v>
      </c>
      <c r="AH340" s="39">
        <f t="shared" si="64"/>
        <v>0</v>
      </c>
    </row>
    <row r="341" spans="1:36" ht="15">
      <c r="A341" s="123" t="s">
        <v>81</v>
      </c>
      <c r="B341" s="15">
        <f t="shared" si="63"/>
        <v>0</v>
      </c>
      <c r="C341" s="609" t="s">
        <v>109</v>
      </c>
      <c r="D341" s="609" t="s">
        <v>109</v>
      </c>
      <c r="E341" s="609" t="s">
        <v>109</v>
      </c>
      <c r="F341" s="609" t="s">
        <v>109</v>
      </c>
      <c r="G341" s="609" t="s">
        <v>109</v>
      </c>
      <c r="H341" s="609" t="s">
        <v>109</v>
      </c>
      <c r="I341" s="609" t="s">
        <v>109</v>
      </c>
      <c r="J341" s="609" t="s">
        <v>109</v>
      </c>
      <c r="K341" s="609" t="s">
        <v>109</v>
      </c>
      <c r="L341" s="609" t="s">
        <v>109</v>
      </c>
      <c r="M341" s="609" t="s">
        <v>109</v>
      </c>
      <c r="N341" s="609" t="s">
        <v>109</v>
      </c>
      <c r="O341" s="609" t="s">
        <v>109</v>
      </c>
      <c r="P341" s="609" t="s">
        <v>109</v>
      </c>
      <c r="Q341" s="609" t="s">
        <v>109</v>
      </c>
      <c r="R341" s="609" t="s">
        <v>109</v>
      </c>
      <c r="S341" s="609" t="s">
        <v>109</v>
      </c>
      <c r="T341" s="609" t="s">
        <v>109</v>
      </c>
      <c r="U341" s="609" t="s">
        <v>109</v>
      </c>
      <c r="V341" s="609" t="s">
        <v>109</v>
      </c>
      <c r="W341" s="609" t="s">
        <v>109</v>
      </c>
      <c r="X341" s="609" t="s">
        <v>109</v>
      </c>
      <c r="Y341" s="609" t="s">
        <v>109</v>
      </c>
      <c r="Z341" s="609" t="s">
        <v>109</v>
      </c>
      <c r="AA341" s="609" t="s">
        <v>109</v>
      </c>
      <c r="AB341" s="609" t="s">
        <v>109</v>
      </c>
      <c r="AC341" s="609" t="s">
        <v>109</v>
      </c>
      <c r="AD341" s="609" t="s">
        <v>109</v>
      </c>
      <c r="AE341" s="609" t="s">
        <v>109</v>
      </c>
      <c r="AF341" s="609" t="s">
        <v>109</v>
      </c>
      <c r="AG341" s="609" t="s">
        <v>109</v>
      </c>
      <c r="AH341" s="39">
        <f t="shared" si="64"/>
        <v>0</v>
      </c>
    </row>
    <row r="342" spans="1:36" ht="15">
      <c r="A342" s="123" t="s">
        <v>82</v>
      </c>
      <c r="B342" s="15">
        <f t="shared" si="63"/>
        <v>0</v>
      </c>
      <c r="C342" s="609" t="s">
        <v>109</v>
      </c>
      <c r="D342" s="609" t="s">
        <v>109</v>
      </c>
      <c r="E342" s="609" t="s">
        <v>109</v>
      </c>
      <c r="F342" s="609" t="s">
        <v>109</v>
      </c>
      <c r="G342" s="609" t="s">
        <v>109</v>
      </c>
      <c r="H342" s="609" t="s">
        <v>109</v>
      </c>
      <c r="I342" s="609" t="s">
        <v>109</v>
      </c>
      <c r="J342" s="609" t="s">
        <v>109</v>
      </c>
      <c r="K342" s="609" t="s">
        <v>109</v>
      </c>
      <c r="L342" s="609" t="s">
        <v>109</v>
      </c>
      <c r="M342" s="609" t="s">
        <v>109</v>
      </c>
      <c r="N342" s="609" t="s">
        <v>109</v>
      </c>
      <c r="O342" s="609" t="s">
        <v>109</v>
      </c>
      <c r="P342" s="609" t="s">
        <v>109</v>
      </c>
      <c r="Q342" s="609" t="s">
        <v>109</v>
      </c>
      <c r="R342" s="609" t="s">
        <v>109</v>
      </c>
      <c r="S342" s="609" t="s">
        <v>109</v>
      </c>
      <c r="T342" s="609" t="s">
        <v>109</v>
      </c>
      <c r="U342" s="609" t="s">
        <v>109</v>
      </c>
      <c r="V342" s="609" t="s">
        <v>109</v>
      </c>
      <c r="W342" s="609" t="s">
        <v>109</v>
      </c>
      <c r="X342" s="1091"/>
      <c r="Y342" s="1091"/>
      <c r="Z342" s="1091"/>
      <c r="AA342" s="1091"/>
      <c r="AB342" s="1091"/>
      <c r="AC342" s="1091"/>
      <c r="AD342" s="1091"/>
      <c r="AE342" s="1268"/>
      <c r="AF342" s="1091"/>
      <c r="AG342" s="1268"/>
      <c r="AH342" s="39">
        <f t="shared" si="64"/>
        <v>0</v>
      </c>
    </row>
    <row r="343" spans="1:36" ht="15">
      <c r="A343" s="123" t="s">
        <v>83</v>
      </c>
      <c r="B343" s="15">
        <f t="shared" si="63"/>
        <v>0</v>
      </c>
      <c r="C343" s="35"/>
      <c r="D343" s="15"/>
      <c r="E343" s="15"/>
      <c r="F343" s="15"/>
      <c r="G343" s="11"/>
      <c r="H343" s="15"/>
      <c r="I343" s="15"/>
      <c r="J343" s="15"/>
      <c r="K343" s="15"/>
      <c r="L343" s="15"/>
      <c r="M343" s="15"/>
      <c r="N343" s="15"/>
      <c r="O343" s="15"/>
      <c r="P343" s="15"/>
      <c r="Q343" s="15"/>
      <c r="R343" s="15"/>
      <c r="S343" s="15"/>
      <c r="T343" s="15"/>
      <c r="U343" s="15"/>
      <c r="V343" s="15"/>
      <c r="W343" s="15"/>
      <c r="X343" s="15"/>
      <c r="Y343" s="11"/>
      <c r="Z343" s="15"/>
      <c r="AA343" s="15"/>
      <c r="AB343" s="15"/>
      <c r="AC343" s="15"/>
      <c r="AD343" s="15"/>
      <c r="AE343" s="39"/>
      <c r="AF343" s="15"/>
      <c r="AG343" s="39"/>
      <c r="AH343" s="39">
        <f t="shared" si="64"/>
        <v>0</v>
      </c>
    </row>
    <row r="344" spans="1:36" ht="15">
      <c r="A344" s="123" t="s">
        <v>84</v>
      </c>
      <c r="B344" s="15">
        <f t="shared" si="63"/>
        <v>0</v>
      </c>
      <c r="C344" s="35"/>
      <c r="D344" s="15"/>
      <c r="E344" s="15"/>
      <c r="F344" s="15"/>
      <c r="G344" s="15"/>
      <c r="H344" s="15"/>
      <c r="I344" s="15"/>
      <c r="J344" s="15"/>
      <c r="K344" s="15"/>
      <c r="L344" s="15"/>
      <c r="M344" s="15"/>
      <c r="N344" s="15"/>
      <c r="O344" s="15"/>
      <c r="P344" s="1091"/>
      <c r="Q344" s="1091"/>
      <c r="R344" s="1091"/>
      <c r="S344" s="1091"/>
      <c r="T344" s="1091"/>
      <c r="U344" s="1091"/>
      <c r="V344" s="1091"/>
      <c r="W344" s="1091"/>
      <c r="X344" s="1091"/>
      <c r="Y344" s="1091"/>
      <c r="Z344" s="1091"/>
      <c r="AA344" s="1091"/>
      <c r="AB344" s="1091"/>
      <c r="AC344" s="1091"/>
      <c r="AD344" s="1091"/>
      <c r="AE344" s="1091"/>
      <c r="AF344" s="1091"/>
      <c r="AG344" s="1091"/>
      <c r="AH344" s="39">
        <f t="shared" si="64"/>
        <v>0</v>
      </c>
    </row>
    <row r="345" spans="1:36" ht="15">
      <c r="A345" s="71" t="s">
        <v>72</v>
      </c>
      <c r="B345" s="72">
        <f>SUM(B333:B344)</f>
        <v>8.3840000000000003</v>
      </c>
      <c r="C345" s="32">
        <f>SUM(C333:C343)</f>
        <v>0</v>
      </c>
      <c r="D345" s="39">
        <f>SUM(D333:D343)</f>
        <v>0</v>
      </c>
      <c r="E345" s="39">
        <v>0</v>
      </c>
      <c r="F345" s="39">
        <f t="shared" ref="F345:AC345" si="65">SUM(F333:F343)</f>
        <v>0</v>
      </c>
      <c r="G345" s="39">
        <f t="shared" si="65"/>
        <v>0</v>
      </c>
      <c r="H345" s="39">
        <f t="shared" si="65"/>
        <v>0</v>
      </c>
      <c r="I345" s="39">
        <f t="shared" si="65"/>
        <v>0</v>
      </c>
      <c r="J345" s="39">
        <f t="shared" si="65"/>
        <v>3.9990000000000001</v>
      </c>
      <c r="K345" s="39">
        <f t="shared" si="65"/>
        <v>0</v>
      </c>
      <c r="L345" s="39">
        <f t="shared" si="65"/>
        <v>0</v>
      </c>
      <c r="M345" s="39">
        <f t="shared" si="65"/>
        <v>0</v>
      </c>
      <c r="N345" s="39">
        <f t="shared" si="65"/>
        <v>0</v>
      </c>
      <c r="O345" s="39">
        <f t="shared" si="65"/>
        <v>0</v>
      </c>
      <c r="P345" s="39">
        <f t="shared" si="65"/>
        <v>0</v>
      </c>
      <c r="Q345" s="39">
        <f t="shared" si="65"/>
        <v>0</v>
      </c>
      <c r="R345" s="39">
        <f t="shared" si="65"/>
        <v>0</v>
      </c>
      <c r="S345" s="39">
        <f t="shared" si="65"/>
        <v>0</v>
      </c>
      <c r="T345" s="39">
        <f t="shared" si="65"/>
        <v>0</v>
      </c>
      <c r="U345" s="39">
        <f t="shared" si="65"/>
        <v>0</v>
      </c>
      <c r="V345" s="39">
        <f t="shared" si="65"/>
        <v>0</v>
      </c>
      <c r="W345" s="39">
        <f t="shared" si="65"/>
        <v>0</v>
      </c>
      <c r="X345" s="39">
        <f t="shared" si="65"/>
        <v>0</v>
      </c>
      <c r="Y345" s="39">
        <f t="shared" si="65"/>
        <v>0</v>
      </c>
      <c r="Z345" s="39">
        <f t="shared" si="65"/>
        <v>0</v>
      </c>
      <c r="AA345" s="39">
        <f t="shared" si="65"/>
        <v>0</v>
      </c>
      <c r="AB345" s="39">
        <f t="shared" si="65"/>
        <v>0</v>
      </c>
      <c r="AC345" s="39">
        <f t="shared" si="65"/>
        <v>0</v>
      </c>
      <c r="AD345" s="39">
        <v>0</v>
      </c>
      <c r="AE345" s="39">
        <f>SUM(AE333:AE343)</f>
        <v>0</v>
      </c>
      <c r="AF345" s="39">
        <f>SUM(AF333:AF343)</f>
        <v>0</v>
      </c>
      <c r="AG345" s="39">
        <f>SUM(AG333:AG343)</f>
        <v>0</v>
      </c>
      <c r="AH345" s="32">
        <f>SUM(AH333:AH343)</f>
        <v>8.3840000000000003</v>
      </c>
    </row>
    <row r="346" spans="1:36" ht="6.75" customHeight="1">
      <c r="A346" s="14"/>
      <c r="B346" s="14"/>
      <c r="C346" s="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
    </row>
    <row r="347" spans="1:36" ht="15">
      <c r="A347" s="3811" t="s">
        <v>107</v>
      </c>
      <c r="B347" s="3812"/>
      <c r="C347" s="3812"/>
      <c r="D347" s="3812"/>
      <c r="E347" s="3812"/>
      <c r="F347" s="3812"/>
      <c r="G347" s="3812"/>
      <c r="H347" s="3813"/>
      <c r="I347" s="1229"/>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spans="1:36" ht="15">
      <c r="A348" s="5" t="s">
        <v>70</v>
      </c>
      <c r="B348" s="5" t="s">
        <v>71</v>
      </c>
      <c r="C348" s="1039">
        <v>1</v>
      </c>
      <c r="D348" s="21">
        <v>2</v>
      </c>
      <c r="E348" s="21">
        <v>3</v>
      </c>
      <c r="F348" s="21">
        <v>4</v>
      </c>
      <c r="G348" s="21">
        <v>5</v>
      </c>
      <c r="H348" s="21">
        <v>6</v>
      </c>
      <c r="I348" s="21">
        <v>7</v>
      </c>
      <c r="J348" s="21">
        <v>8</v>
      </c>
      <c r="K348" s="21">
        <v>9</v>
      </c>
      <c r="L348" s="21">
        <v>10</v>
      </c>
      <c r="M348" s="21">
        <v>11</v>
      </c>
      <c r="N348" s="21">
        <v>12</v>
      </c>
      <c r="O348" s="21">
        <v>13</v>
      </c>
      <c r="P348" s="21">
        <v>14</v>
      </c>
      <c r="Q348" s="21">
        <v>15</v>
      </c>
      <c r="R348" s="21">
        <v>16</v>
      </c>
      <c r="S348" s="21">
        <v>17</v>
      </c>
      <c r="T348" s="21">
        <v>18</v>
      </c>
      <c r="U348" s="21">
        <v>19</v>
      </c>
      <c r="V348" s="21">
        <v>20</v>
      </c>
      <c r="W348" s="21">
        <v>21</v>
      </c>
      <c r="X348" s="21">
        <v>22</v>
      </c>
      <c r="Y348" s="21">
        <v>23</v>
      </c>
      <c r="Z348" s="21">
        <v>24</v>
      </c>
      <c r="AA348" s="21">
        <v>25</v>
      </c>
      <c r="AB348" s="21">
        <v>26</v>
      </c>
      <c r="AC348" s="21">
        <v>27</v>
      </c>
      <c r="AD348" s="21">
        <v>28</v>
      </c>
      <c r="AE348" s="21">
        <v>29</v>
      </c>
      <c r="AF348" s="21">
        <v>30</v>
      </c>
      <c r="AG348" s="21">
        <v>31</v>
      </c>
      <c r="AH348" s="25" t="s">
        <v>72</v>
      </c>
      <c r="AI348" s="2266" t="s">
        <v>1345</v>
      </c>
      <c r="AJ348" s="66" t="e">
        <f>(B361/COUNTIF($C$349:$AG$360,"&gt;0"))</f>
        <v>#DIV/0!</v>
      </c>
    </row>
    <row r="349" spans="1:36" ht="15">
      <c r="A349" s="122" t="s">
        <v>73</v>
      </c>
      <c r="B349" s="15">
        <f t="shared" ref="B349:B360" si="66">+AH349</f>
        <v>0</v>
      </c>
      <c r="C349" s="107" t="s">
        <v>109</v>
      </c>
      <c r="D349" s="107" t="s">
        <v>109</v>
      </c>
      <c r="E349" s="107" t="s">
        <v>109</v>
      </c>
      <c r="F349" s="107" t="s">
        <v>109</v>
      </c>
      <c r="G349" s="107" t="s">
        <v>109</v>
      </c>
      <c r="H349" s="107" t="s">
        <v>109</v>
      </c>
      <c r="I349" s="107" t="s">
        <v>109</v>
      </c>
      <c r="J349" s="107" t="s">
        <v>109</v>
      </c>
      <c r="K349" s="107" t="s">
        <v>109</v>
      </c>
      <c r="L349" s="107" t="s">
        <v>109</v>
      </c>
      <c r="M349" s="107" t="s">
        <v>109</v>
      </c>
      <c r="N349" s="107" t="s">
        <v>109</v>
      </c>
      <c r="O349" s="107" t="s">
        <v>109</v>
      </c>
      <c r="P349" s="107" t="s">
        <v>109</v>
      </c>
      <c r="Q349" s="107" t="s">
        <v>109</v>
      </c>
      <c r="R349" s="107" t="s">
        <v>109</v>
      </c>
      <c r="S349" s="107" t="s">
        <v>109</v>
      </c>
      <c r="T349" s="107" t="s">
        <v>109</v>
      </c>
      <c r="U349" s="107" t="s">
        <v>109</v>
      </c>
      <c r="V349" s="107" t="s">
        <v>109</v>
      </c>
      <c r="W349" s="107" t="s">
        <v>109</v>
      </c>
      <c r="X349" s="107" t="s">
        <v>109</v>
      </c>
      <c r="Y349" s="107" t="s">
        <v>109</v>
      </c>
      <c r="Z349" s="107" t="s">
        <v>109</v>
      </c>
      <c r="AA349" s="107" t="s">
        <v>109</v>
      </c>
      <c r="AB349" s="107" t="s">
        <v>109</v>
      </c>
      <c r="AC349" s="107" t="s">
        <v>109</v>
      </c>
      <c r="AD349" s="107" t="s">
        <v>109</v>
      </c>
      <c r="AE349" s="107" t="s">
        <v>109</v>
      </c>
      <c r="AF349" s="107" t="s">
        <v>109</v>
      </c>
      <c r="AG349" s="107" t="s">
        <v>109</v>
      </c>
      <c r="AH349" s="39">
        <f>SUM(C349:AG349)</f>
        <v>0</v>
      </c>
    </row>
    <row r="350" spans="1:36" ht="15">
      <c r="A350" s="122" t="s">
        <v>74</v>
      </c>
      <c r="B350" s="15">
        <f t="shared" si="66"/>
        <v>0</v>
      </c>
      <c r="C350" s="107" t="s">
        <v>109</v>
      </c>
      <c r="D350" s="107" t="s">
        <v>109</v>
      </c>
      <c r="E350" s="107" t="s">
        <v>109</v>
      </c>
      <c r="F350" s="107" t="s">
        <v>109</v>
      </c>
      <c r="G350" s="107" t="s">
        <v>109</v>
      </c>
      <c r="H350" s="107" t="s">
        <v>109</v>
      </c>
      <c r="I350" s="107" t="s">
        <v>109</v>
      </c>
      <c r="J350" s="108"/>
      <c r="K350" s="108"/>
      <c r="L350" s="108"/>
      <c r="M350" s="108"/>
      <c r="N350" s="108"/>
      <c r="O350" s="108"/>
      <c r="P350" s="108"/>
      <c r="Q350" s="108"/>
      <c r="R350" s="108"/>
      <c r="S350" s="108"/>
      <c r="T350" s="108"/>
      <c r="U350" s="108"/>
      <c r="V350" s="108"/>
      <c r="W350" s="108"/>
      <c r="X350" s="108"/>
      <c r="Y350" s="108"/>
      <c r="Z350" s="108"/>
      <c r="AA350" s="108"/>
      <c r="AB350" s="108"/>
      <c r="AC350" s="108"/>
      <c r="AD350" s="108"/>
      <c r="AE350" s="108"/>
      <c r="AF350" s="108"/>
      <c r="AG350" s="108"/>
      <c r="AH350" s="39">
        <f t="shared" ref="AH350:AH360" si="67">SUM(C350:AG350)</f>
        <v>0</v>
      </c>
    </row>
    <row r="351" spans="1:36" ht="15">
      <c r="A351" s="122" t="s">
        <v>75</v>
      </c>
      <c r="B351" s="15">
        <f t="shared" si="66"/>
        <v>0</v>
      </c>
      <c r="C351" s="108"/>
      <c r="D351" s="108"/>
      <c r="E351" s="15"/>
      <c r="F351" s="108"/>
      <c r="G351" s="108"/>
      <c r="H351" s="94"/>
      <c r="I351" s="94"/>
      <c r="J351" s="94"/>
      <c r="K351" s="94"/>
      <c r="L351" s="94"/>
      <c r="M351" s="94"/>
      <c r="N351" s="94">
        <v>0</v>
      </c>
      <c r="O351" s="94"/>
      <c r="P351" s="94"/>
      <c r="Q351" s="94"/>
      <c r="R351" s="94"/>
      <c r="S351" s="94"/>
      <c r="T351" s="94"/>
      <c r="U351" s="94"/>
      <c r="V351" s="94"/>
      <c r="W351" s="94"/>
      <c r="X351" s="94"/>
      <c r="Y351" s="94"/>
      <c r="Z351" s="94"/>
      <c r="AA351" s="94"/>
      <c r="AB351" s="94"/>
      <c r="AC351" s="1689"/>
      <c r="AD351" s="1689"/>
      <c r="AE351" s="1689"/>
      <c r="AF351" s="1689"/>
      <c r="AG351" s="1689"/>
      <c r="AH351" s="39">
        <f t="shared" si="67"/>
        <v>0</v>
      </c>
    </row>
    <row r="352" spans="1:36" ht="15">
      <c r="A352" s="122" t="s">
        <v>76</v>
      </c>
      <c r="B352" s="15">
        <f t="shared" si="66"/>
        <v>0</v>
      </c>
      <c r="C352" s="15"/>
      <c r="D352" s="15"/>
      <c r="E352" s="15"/>
      <c r="F352" s="15"/>
      <c r="G352" s="15"/>
      <c r="H352" s="15"/>
      <c r="I352" s="15"/>
      <c r="J352" s="15"/>
      <c r="K352" s="15"/>
      <c r="L352" s="39"/>
      <c r="M352" s="39"/>
      <c r="N352" s="39"/>
      <c r="O352" s="94"/>
      <c r="P352" s="94"/>
      <c r="Q352" s="94"/>
      <c r="R352" s="94"/>
      <c r="S352" s="94"/>
      <c r="T352" s="94"/>
      <c r="U352" s="94"/>
      <c r="V352" s="94"/>
      <c r="W352" s="94"/>
      <c r="X352" s="94"/>
      <c r="Y352" s="94"/>
      <c r="Z352" s="94"/>
      <c r="AA352" s="94"/>
      <c r="AB352" s="94"/>
      <c r="AC352" s="94"/>
      <c r="AD352" s="94"/>
      <c r="AE352" s="94"/>
      <c r="AF352" s="94"/>
      <c r="AG352" s="94"/>
      <c r="AH352" s="39">
        <f t="shared" si="67"/>
        <v>0</v>
      </c>
    </row>
    <row r="353" spans="1:36" ht="15">
      <c r="A353" s="120" t="s">
        <v>77</v>
      </c>
      <c r="B353" s="15">
        <f t="shared" si="66"/>
        <v>0</v>
      </c>
      <c r="C353" s="3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39">
        <f t="shared" si="67"/>
        <v>0</v>
      </c>
    </row>
    <row r="354" spans="1:36" ht="15">
      <c r="A354" s="120" t="s">
        <v>78</v>
      </c>
      <c r="B354" s="15">
        <f t="shared" si="66"/>
        <v>0</v>
      </c>
      <c r="C354" s="35"/>
      <c r="D354" s="15"/>
      <c r="E354" s="15"/>
      <c r="F354" s="15"/>
      <c r="G354" s="15"/>
      <c r="H354" s="1091"/>
      <c r="I354" s="1091"/>
      <c r="J354" s="1091"/>
      <c r="K354" s="1091"/>
      <c r="L354" s="1091"/>
      <c r="M354" s="1091"/>
      <c r="N354" s="1091"/>
      <c r="O354" s="1091"/>
      <c r="P354" s="1091"/>
      <c r="Q354" s="1091"/>
      <c r="R354" s="1091"/>
      <c r="S354" s="1091"/>
      <c r="T354" s="1091"/>
      <c r="U354" s="1091"/>
      <c r="V354" s="1091"/>
      <c r="W354" s="1091"/>
      <c r="X354" s="1091"/>
      <c r="Y354" s="15"/>
      <c r="Z354" s="15"/>
      <c r="AA354" s="15"/>
      <c r="AB354" s="15"/>
      <c r="AC354" s="15"/>
      <c r="AD354" s="15"/>
      <c r="AE354" s="15"/>
      <c r="AF354" s="15"/>
      <c r="AG354" s="15"/>
      <c r="AH354" s="39">
        <f t="shared" si="67"/>
        <v>0</v>
      </c>
    </row>
    <row r="355" spans="1:36" ht="15">
      <c r="A355" s="120" t="s">
        <v>79</v>
      </c>
      <c r="B355" s="15">
        <f t="shared" si="66"/>
        <v>0</v>
      </c>
      <c r="C355" s="35"/>
      <c r="D355" s="39"/>
      <c r="E355" s="39"/>
      <c r="F355" s="39"/>
      <c r="G355" s="15"/>
      <c r="H355" s="15"/>
      <c r="I355" s="15"/>
      <c r="J355" s="43"/>
      <c r="K355" s="43"/>
      <c r="L355" s="39"/>
      <c r="M355" s="39"/>
      <c r="N355" s="39"/>
      <c r="O355" s="39"/>
      <c r="P355" s="39"/>
      <c r="Q355" s="39"/>
      <c r="R355" s="39"/>
      <c r="S355" s="39"/>
      <c r="T355" s="39"/>
      <c r="U355" s="39"/>
      <c r="V355" s="39"/>
      <c r="W355" s="609"/>
      <c r="X355" s="1974"/>
      <c r="Y355" s="609"/>
      <c r="Z355" s="609"/>
      <c r="AA355" s="609"/>
      <c r="AB355" s="609"/>
      <c r="AC355" s="609"/>
      <c r="AD355" s="609"/>
      <c r="AE355" s="609"/>
      <c r="AF355" s="609" t="s">
        <v>109</v>
      </c>
      <c r="AG355" s="609" t="s">
        <v>109</v>
      </c>
      <c r="AH355" s="39">
        <f t="shared" si="67"/>
        <v>0</v>
      </c>
    </row>
    <row r="356" spans="1:36" ht="15">
      <c r="A356" s="120" t="s">
        <v>80</v>
      </c>
      <c r="B356" s="15">
        <f t="shared" si="66"/>
        <v>0</v>
      </c>
      <c r="C356" s="609" t="s">
        <v>109</v>
      </c>
      <c r="D356" s="609" t="s">
        <v>109</v>
      </c>
      <c r="E356" s="609" t="s">
        <v>109</v>
      </c>
      <c r="F356" s="609" t="s">
        <v>109</v>
      </c>
      <c r="G356" s="609" t="s">
        <v>109</v>
      </c>
      <c r="H356" s="609" t="s">
        <v>109</v>
      </c>
      <c r="I356" s="609" t="s">
        <v>109</v>
      </c>
      <c r="J356" s="609" t="s">
        <v>109</v>
      </c>
      <c r="K356" s="609" t="s">
        <v>109</v>
      </c>
      <c r="L356" s="609" t="s">
        <v>109</v>
      </c>
      <c r="M356" s="609" t="s">
        <v>109</v>
      </c>
      <c r="N356" s="609" t="s">
        <v>109</v>
      </c>
      <c r="O356" s="609" t="s">
        <v>109</v>
      </c>
      <c r="P356" s="609" t="s">
        <v>109</v>
      </c>
      <c r="Q356" s="609" t="s">
        <v>109</v>
      </c>
      <c r="R356" s="609" t="s">
        <v>109</v>
      </c>
      <c r="S356" s="609" t="s">
        <v>109</v>
      </c>
      <c r="T356" s="609" t="s">
        <v>109</v>
      </c>
      <c r="U356" s="609" t="s">
        <v>109</v>
      </c>
      <c r="V356" s="609" t="s">
        <v>109</v>
      </c>
      <c r="W356" s="609" t="s">
        <v>109</v>
      </c>
      <c r="X356" s="609" t="s">
        <v>109</v>
      </c>
      <c r="Y356" s="609" t="s">
        <v>109</v>
      </c>
      <c r="Z356" s="609" t="s">
        <v>109</v>
      </c>
      <c r="AA356" s="609" t="s">
        <v>109</v>
      </c>
      <c r="AB356" s="609" t="s">
        <v>109</v>
      </c>
      <c r="AC356" s="609" t="s">
        <v>109</v>
      </c>
      <c r="AD356" s="609" t="s">
        <v>109</v>
      </c>
      <c r="AE356" s="609" t="s">
        <v>109</v>
      </c>
      <c r="AF356" s="609" t="s">
        <v>109</v>
      </c>
      <c r="AG356" s="609" t="s">
        <v>109</v>
      </c>
      <c r="AH356" s="39">
        <f t="shared" si="67"/>
        <v>0</v>
      </c>
    </row>
    <row r="357" spans="1:36" ht="15">
      <c r="A357" s="123" t="s">
        <v>81</v>
      </c>
      <c r="B357" s="15">
        <f t="shared" si="66"/>
        <v>0</v>
      </c>
      <c r="C357" s="609" t="s">
        <v>109</v>
      </c>
      <c r="D357" s="609" t="s">
        <v>109</v>
      </c>
      <c r="E357" s="609" t="s">
        <v>109</v>
      </c>
      <c r="F357" s="609" t="s">
        <v>109</v>
      </c>
      <c r="G357" s="609" t="s">
        <v>109</v>
      </c>
      <c r="H357" s="609" t="s">
        <v>109</v>
      </c>
      <c r="I357" s="609" t="s">
        <v>109</v>
      </c>
      <c r="J357" s="609" t="s">
        <v>109</v>
      </c>
      <c r="K357" s="609" t="s">
        <v>109</v>
      </c>
      <c r="L357" s="609" t="s">
        <v>109</v>
      </c>
      <c r="M357" s="609" t="s">
        <v>109</v>
      </c>
      <c r="N357" s="609" t="s">
        <v>109</v>
      </c>
      <c r="O357" s="609" t="s">
        <v>109</v>
      </c>
      <c r="P357" s="609" t="s">
        <v>109</v>
      </c>
      <c r="Q357" s="609" t="s">
        <v>109</v>
      </c>
      <c r="R357" s="609" t="s">
        <v>109</v>
      </c>
      <c r="S357" s="609" t="s">
        <v>109</v>
      </c>
      <c r="T357" s="609" t="s">
        <v>109</v>
      </c>
      <c r="U357" s="609" t="s">
        <v>109</v>
      </c>
      <c r="V357" s="609" t="s">
        <v>109</v>
      </c>
      <c r="W357" s="609" t="s">
        <v>109</v>
      </c>
      <c r="X357" s="609" t="s">
        <v>109</v>
      </c>
      <c r="Y357" s="609" t="s">
        <v>109</v>
      </c>
      <c r="Z357" s="609" t="s">
        <v>109</v>
      </c>
      <c r="AA357" s="609" t="s">
        <v>109</v>
      </c>
      <c r="AB357" s="609" t="s">
        <v>109</v>
      </c>
      <c r="AC357" s="609" t="s">
        <v>109</v>
      </c>
      <c r="AD357" s="609" t="s">
        <v>109</v>
      </c>
      <c r="AE357" s="609" t="s">
        <v>109</v>
      </c>
      <c r="AF357" s="609" t="s">
        <v>109</v>
      </c>
      <c r="AG357" s="609" t="s">
        <v>109</v>
      </c>
      <c r="AH357" s="39">
        <f t="shared" si="67"/>
        <v>0</v>
      </c>
    </row>
    <row r="358" spans="1:36" ht="15">
      <c r="A358" s="123" t="s">
        <v>82</v>
      </c>
      <c r="B358" s="15">
        <f t="shared" si="66"/>
        <v>0</v>
      </c>
      <c r="C358" s="609" t="s">
        <v>109</v>
      </c>
      <c r="D358" s="609" t="s">
        <v>109</v>
      </c>
      <c r="E358" s="609" t="s">
        <v>109</v>
      </c>
      <c r="F358" s="609" t="s">
        <v>109</v>
      </c>
      <c r="G358" s="609" t="s">
        <v>109</v>
      </c>
      <c r="H358" s="609" t="s">
        <v>109</v>
      </c>
      <c r="I358" s="609" t="s">
        <v>109</v>
      </c>
      <c r="J358" s="609" t="s">
        <v>109</v>
      </c>
      <c r="K358" s="609" t="s">
        <v>109</v>
      </c>
      <c r="L358" s="609" t="s">
        <v>109</v>
      </c>
      <c r="M358" s="609" t="s">
        <v>109</v>
      </c>
      <c r="N358" s="609" t="s">
        <v>109</v>
      </c>
      <c r="O358" s="609" t="s">
        <v>109</v>
      </c>
      <c r="P358" s="609" t="s">
        <v>109</v>
      </c>
      <c r="Q358" s="609" t="s">
        <v>109</v>
      </c>
      <c r="R358" s="609" t="s">
        <v>109</v>
      </c>
      <c r="S358" s="609" t="s">
        <v>109</v>
      </c>
      <c r="T358" s="609" t="s">
        <v>109</v>
      </c>
      <c r="U358" s="609" t="s">
        <v>109</v>
      </c>
      <c r="V358" s="609" t="s">
        <v>109</v>
      </c>
      <c r="W358" s="609" t="s">
        <v>109</v>
      </c>
      <c r="X358" s="1091"/>
      <c r="Y358" s="1091"/>
      <c r="Z358" s="1091"/>
      <c r="AA358" s="1091"/>
      <c r="AB358" s="1091"/>
      <c r="AC358" s="1091"/>
      <c r="AD358" s="1091"/>
      <c r="AE358" s="1268"/>
      <c r="AF358" s="1091"/>
      <c r="AG358" s="1268"/>
      <c r="AH358" s="39">
        <f t="shared" si="67"/>
        <v>0</v>
      </c>
    </row>
    <row r="359" spans="1:36" ht="15">
      <c r="A359" s="123" t="s">
        <v>83</v>
      </c>
      <c r="B359" s="15">
        <f t="shared" si="66"/>
        <v>0</v>
      </c>
      <c r="C359" s="35"/>
      <c r="D359" s="15"/>
      <c r="E359" s="15"/>
      <c r="F359" s="15"/>
      <c r="G359" s="11"/>
      <c r="H359" s="15"/>
      <c r="I359" s="15"/>
      <c r="J359" s="15"/>
      <c r="K359" s="15"/>
      <c r="L359" s="15"/>
      <c r="M359" s="15"/>
      <c r="N359" s="15"/>
      <c r="O359" s="15"/>
      <c r="P359" s="15"/>
      <c r="Q359" s="15"/>
      <c r="R359" s="15"/>
      <c r="S359" s="15"/>
      <c r="T359" s="15"/>
      <c r="U359" s="15"/>
      <c r="V359" s="15"/>
      <c r="W359" s="15"/>
      <c r="X359" s="15"/>
      <c r="Y359" s="11"/>
      <c r="Z359" s="15"/>
      <c r="AA359" s="15"/>
      <c r="AB359" s="15"/>
      <c r="AC359" s="15"/>
      <c r="AD359" s="15"/>
      <c r="AE359" s="39"/>
      <c r="AF359" s="15"/>
      <c r="AG359" s="39"/>
      <c r="AH359" s="39">
        <f t="shared" si="67"/>
        <v>0</v>
      </c>
    </row>
    <row r="360" spans="1:36" ht="15">
      <c r="A360" s="123" t="s">
        <v>84</v>
      </c>
      <c r="B360" s="15">
        <f t="shared" si="66"/>
        <v>0</v>
      </c>
      <c r="C360" s="35"/>
      <c r="D360" s="15"/>
      <c r="E360" s="15"/>
      <c r="F360" s="15"/>
      <c r="G360" s="15"/>
      <c r="H360" s="15"/>
      <c r="I360" s="15"/>
      <c r="J360" s="15"/>
      <c r="K360" s="15"/>
      <c r="L360" s="15"/>
      <c r="M360" s="15"/>
      <c r="N360" s="15"/>
      <c r="O360" s="15"/>
      <c r="P360" s="1091"/>
      <c r="Q360" s="1091"/>
      <c r="R360" s="1091"/>
      <c r="S360" s="1091"/>
      <c r="T360" s="1091"/>
      <c r="U360" s="1091"/>
      <c r="V360" s="1091"/>
      <c r="W360" s="1091"/>
      <c r="X360" s="1091"/>
      <c r="Y360" s="1091"/>
      <c r="Z360" s="1091"/>
      <c r="AA360" s="1091"/>
      <c r="AB360" s="1091"/>
      <c r="AC360" s="1091"/>
      <c r="AD360" s="1091"/>
      <c r="AE360" s="1091"/>
      <c r="AF360" s="1091"/>
      <c r="AG360" s="1091"/>
      <c r="AH360" s="39">
        <f t="shared" si="67"/>
        <v>0</v>
      </c>
    </row>
    <row r="361" spans="1:36" ht="15">
      <c r="A361" s="71" t="s">
        <v>72</v>
      </c>
      <c r="B361" s="72">
        <f>SUM(B349:B360)</f>
        <v>0</v>
      </c>
      <c r="C361" s="32">
        <f>SUM(C349:C359)</f>
        <v>0</v>
      </c>
      <c r="D361" s="39">
        <f>SUM(D349:D359)</f>
        <v>0</v>
      </c>
      <c r="E361" s="39">
        <v>0</v>
      </c>
      <c r="F361" s="39">
        <f t="shared" ref="F361:AC361" si="68">SUM(F349:F359)</f>
        <v>0</v>
      </c>
      <c r="G361" s="39">
        <f t="shared" si="68"/>
        <v>0</v>
      </c>
      <c r="H361" s="39">
        <f t="shared" si="68"/>
        <v>0</v>
      </c>
      <c r="I361" s="39">
        <f t="shared" si="68"/>
        <v>0</v>
      </c>
      <c r="J361" s="39">
        <f t="shared" si="68"/>
        <v>0</v>
      </c>
      <c r="K361" s="39">
        <f t="shared" si="68"/>
        <v>0</v>
      </c>
      <c r="L361" s="39">
        <f t="shared" si="68"/>
        <v>0</v>
      </c>
      <c r="M361" s="39">
        <f t="shared" si="68"/>
        <v>0</v>
      </c>
      <c r="N361" s="39">
        <f t="shared" si="68"/>
        <v>0</v>
      </c>
      <c r="O361" s="39">
        <f t="shared" si="68"/>
        <v>0</v>
      </c>
      <c r="P361" s="39">
        <f t="shared" si="68"/>
        <v>0</v>
      </c>
      <c r="Q361" s="39">
        <f t="shared" si="68"/>
        <v>0</v>
      </c>
      <c r="R361" s="39">
        <f t="shared" si="68"/>
        <v>0</v>
      </c>
      <c r="S361" s="39">
        <f t="shared" si="68"/>
        <v>0</v>
      </c>
      <c r="T361" s="39">
        <f t="shared" si="68"/>
        <v>0</v>
      </c>
      <c r="U361" s="39">
        <f t="shared" si="68"/>
        <v>0</v>
      </c>
      <c r="V361" s="39">
        <f t="shared" si="68"/>
        <v>0</v>
      </c>
      <c r="W361" s="39">
        <f t="shared" si="68"/>
        <v>0</v>
      </c>
      <c r="X361" s="39">
        <f t="shared" si="68"/>
        <v>0</v>
      </c>
      <c r="Y361" s="39">
        <f t="shared" si="68"/>
        <v>0</v>
      </c>
      <c r="Z361" s="39">
        <f t="shared" si="68"/>
        <v>0</v>
      </c>
      <c r="AA361" s="39">
        <f t="shared" si="68"/>
        <v>0</v>
      </c>
      <c r="AB361" s="39">
        <f t="shared" si="68"/>
        <v>0</v>
      </c>
      <c r="AC361" s="39">
        <f t="shared" si="68"/>
        <v>0</v>
      </c>
      <c r="AD361" s="39">
        <v>0</v>
      </c>
      <c r="AE361" s="39">
        <f>SUM(AE349:AE359)</f>
        <v>0</v>
      </c>
      <c r="AF361" s="39">
        <f>SUM(AF349:AF359)</f>
        <v>0</v>
      </c>
      <c r="AG361" s="39">
        <f>SUM(AG349:AG359)</f>
        <v>0</v>
      </c>
      <c r="AH361" s="32">
        <f>SUM(AH349:AH359)</f>
        <v>0</v>
      </c>
    </row>
    <row r="362" spans="1:36" ht="6" customHeight="1">
      <c r="A362" s="14"/>
      <c r="B362" s="14"/>
      <c r="C362" s="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
    </row>
    <row r="363" spans="1:36" ht="15">
      <c r="A363" s="3811"/>
      <c r="B363" s="3812"/>
      <c r="C363" s="3812"/>
      <c r="D363" s="3812"/>
      <c r="E363" s="3812"/>
      <c r="F363" s="3812"/>
      <c r="G363" s="3812"/>
      <c r="H363" s="3813"/>
      <c r="I363" s="1229"/>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row>
    <row r="364" spans="1:36" ht="15">
      <c r="A364" s="5" t="s">
        <v>70</v>
      </c>
      <c r="B364" s="5" t="s">
        <v>71</v>
      </c>
      <c r="C364" s="1054">
        <v>1</v>
      </c>
      <c r="D364" s="21">
        <v>2</v>
      </c>
      <c r="E364" s="21">
        <v>3</v>
      </c>
      <c r="F364" s="21">
        <v>4</v>
      </c>
      <c r="G364" s="21">
        <v>5</v>
      </c>
      <c r="H364" s="21">
        <v>6</v>
      </c>
      <c r="I364" s="21">
        <v>7</v>
      </c>
      <c r="J364" s="21">
        <v>8</v>
      </c>
      <c r="K364" s="21">
        <v>9</v>
      </c>
      <c r="L364" s="21">
        <v>10</v>
      </c>
      <c r="M364" s="21">
        <v>11</v>
      </c>
      <c r="N364" s="21">
        <v>12</v>
      </c>
      <c r="O364" s="21">
        <v>13</v>
      </c>
      <c r="P364" s="21">
        <v>14</v>
      </c>
      <c r="Q364" s="21">
        <v>15</v>
      </c>
      <c r="R364" s="21">
        <v>16</v>
      </c>
      <c r="S364" s="21">
        <v>17</v>
      </c>
      <c r="T364" s="21">
        <v>18</v>
      </c>
      <c r="U364" s="21">
        <v>19</v>
      </c>
      <c r="V364" s="21">
        <v>20</v>
      </c>
      <c r="W364" s="21">
        <v>21</v>
      </c>
      <c r="X364" s="21">
        <v>22</v>
      </c>
      <c r="Y364" s="21">
        <v>23</v>
      </c>
      <c r="Z364" s="21">
        <v>24</v>
      </c>
      <c r="AA364" s="21">
        <v>25</v>
      </c>
      <c r="AB364" s="21">
        <v>26</v>
      </c>
      <c r="AC364" s="21">
        <v>27</v>
      </c>
      <c r="AD364" s="21">
        <v>28</v>
      </c>
      <c r="AE364" s="21">
        <v>29</v>
      </c>
      <c r="AF364" s="21">
        <v>30</v>
      </c>
      <c r="AG364" s="21">
        <v>31</v>
      </c>
      <c r="AH364" s="25" t="s">
        <v>72</v>
      </c>
      <c r="AI364" s="2266" t="s">
        <v>1345</v>
      </c>
      <c r="AJ364" s="66" t="e">
        <f>(B377/COUNTIF($C$365:$AG$376,"&gt;0"))</f>
        <v>#DIV/0!</v>
      </c>
    </row>
    <row r="365" spans="1:36" ht="15">
      <c r="A365" s="122" t="s">
        <v>73</v>
      </c>
      <c r="B365" s="15">
        <f t="shared" ref="B365:B376" si="69">+AH365</f>
        <v>0</v>
      </c>
      <c r="C365" s="1689"/>
      <c r="D365" s="1689"/>
      <c r="E365" s="1689"/>
      <c r="F365" s="1689"/>
      <c r="G365" s="1689"/>
      <c r="H365" s="1689"/>
      <c r="I365" s="1689"/>
      <c r="J365" s="1689"/>
      <c r="K365" s="1689"/>
      <c r="L365" s="1689"/>
      <c r="M365" s="1689"/>
      <c r="N365" s="1689"/>
      <c r="O365" s="1689"/>
      <c r="P365" s="1689"/>
      <c r="Q365" s="1689"/>
      <c r="R365" s="1689"/>
      <c r="S365" s="1689"/>
      <c r="T365" s="1689"/>
      <c r="U365" s="1689"/>
      <c r="V365" s="1689"/>
      <c r="W365" s="1689"/>
      <c r="X365" s="1689"/>
      <c r="Y365" s="1689"/>
      <c r="Z365" s="1689"/>
      <c r="AA365" s="1689"/>
      <c r="AB365" s="1689"/>
      <c r="AC365" s="1689"/>
      <c r="AD365" s="1689"/>
      <c r="AE365" s="1689"/>
      <c r="AF365" s="1689"/>
      <c r="AG365" s="1689"/>
      <c r="AH365" s="39">
        <f>SUM(C365:AG365)</f>
        <v>0</v>
      </c>
    </row>
    <row r="366" spans="1:36" ht="15">
      <c r="A366" s="122" t="s">
        <v>74</v>
      </c>
      <c r="B366" s="15">
        <f t="shared" si="69"/>
        <v>0</v>
      </c>
      <c r="C366" s="1689"/>
      <c r="D366" s="1689"/>
      <c r="E366" s="1689"/>
      <c r="F366" s="1689"/>
      <c r="G366" s="1689"/>
      <c r="H366" s="1689"/>
      <c r="I366" s="1689"/>
      <c r="J366" s="1689"/>
      <c r="K366" s="1689"/>
      <c r="L366" s="1689"/>
      <c r="M366" s="1689"/>
      <c r="N366" s="1689"/>
      <c r="O366" s="1689"/>
      <c r="P366" s="1689"/>
      <c r="Q366" s="1689"/>
      <c r="R366" s="1689"/>
      <c r="S366" s="1689"/>
      <c r="T366" s="1689"/>
      <c r="U366" s="1689"/>
      <c r="V366" s="1689"/>
      <c r="W366" s="1689"/>
      <c r="X366" s="1689"/>
      <c r="Y366" s="1689"/>
      <c r="Z366" s="1689"/>
      <c r="AA366" s="1689"/>
      <c r="AB366" s="1689"/>
      <c r="AC366" s="1689"/>
      <c r="AD366" s="1689"/>
      <c r="AE366" s="1689"/>
      <c r="AF366" s="1689"/>
      <c r="AG366" s="1689"/>
      <c r="AH366" s="39">
        <f t="shared" ref="AH366:AH376" si="70">SUM(C366:AG366)</f>
        <v>0</v>
      </c>
    </row>
    <row r="367" spans="1:36" ht="15">
      <c r="A367" s="122" t="s">
        <v>75</v>
      </c>
      <c r="B367" s="15">
        <f t="shared" si="69"/>
        <v>0</v>
      </c>
      <c r="C367" s="1689"/>
      <c r="D367" s="1689"/>
      <c r="E367" s="1689"/>
      <c r="F367" s="1689"/>
      <c r="G367" s="1689"/>
      <c r="H367" s="1091"/>
      <c r="I367" s="1091"/>
      <c r="J367" s="1091"/>
      <c r="K367" s="1091"/>
      <c r="L367" s="1091"/>
      <c r="M367" s="1091"/>
      <c r="N367" s="1091"/>
      <c r="O367" s="1091"/>
      <c r="P367" s="1091"/>
      <c r="Q367" s="1091"/>
      <c r="R367" s="1091"/>
      <c r="S367" s="1091"/>
      <c r="T367" s="1091"/>
      <c r="U367" s="1091"/>
      <c r="V367" s="1091"/>
      <c r="W367" s="1091"/>
      <c r="X367" s="1091"/>
      <c r="Y367" s="1091"/>
      <c r="Z367" s="1091"/>
      <c r="AA367" s="1091"/>
      <c r="AB367" s="1091"/>
      <c r="AC367" s="1689"/>
      <c r="AD367" s="1689"/>
      <c r="AE367" s="1689"/>
      <c r="AF367" s="1689"/>
      <c r="AG367" s="1689"/>
      <c r="AH367" s="39">
        <f t="shared" si="70"/>
        <v>0</v>
      </c>
    </row>
    <row r="368" spans="1:36" ht="15">
      <c r="A368" s="122" t="s">
        <v>76</v>
      </c>
      <c r="B368" s="15">
        <f t="shared" si="69"/>
        <v>0</v>
      </c>
      <c r="C368" s="1689"/>
      <c r="D368" s="1689"/>
      <c r="E368" s="1689"/>
      <c r="F368" s="1689"/>
      <c r="G368" s="1689"/>
      <c r="H368" s="1689"/>
      <c r="I368" s="1689"/>
      <c r="J368" s="1689"/>
      <c r="K368" s="1689"/>
      <c r="L368" s="1091"/>
      <c r="M368" s="1091"/>
      <c r="N368" s="1091"/>
      <c r="O368" s="1091"/>
      <c r="P368" s="1091"/>
      <c r="Q368" s="1091"/>
      <c r="R368" s="1091"/>
      <c r="S368" s="1091"/>
      <c r="T368" s="1091"/>
      <c r="U368" s="1091"/>
      <c r="V368" s="1091"/>
      <c r="W368" s="1091"/>
      <c r="X368" s="1091"/>
      <c r="Y368" s="1091"/>
      <c r="Z368" s="1091"/>
      <c r="AA368" s="1091"/>
      <c r="AB368" s="1091"/>
      <c r="AC368" s="1091"/>
      <c r="AD368" s="1091"/>
      <c r="AE368" s="1091"/>
      <c r="AF368" s="1091"/>
      <c r="AG368" s="1091"/>
      <c r="AH368" s="39">
        <f t="shared" si="70"/>
        <v>0</v>
      </c>
    </row>
    <row r="369" spans="1:36" ht="15">
      <c r="A369" s="120" t="s">
        <v>77</v>
      </c>
      <c r="B369" s="15">
        <f t="shared" si="69"/>
        <v>0</v>
      </c>
      <c r="C369" s="1091"/>
      <c r="D369" s="1091"/>
      <c r="E369" s="1091"/>
      <c r="F369" s="1091"/>
      <c r="G369" s="1091"/>
      <c r="H369" s="1091"/>
      <c r="I369" s="1091"/>
      <c r="J369" s="1091"/>
      <c r="K369" s="1091"/>
      <c r="L369" s="1091"/>
      <c r="M369" s="1091"/>
      <c r="N369" s="1091"/>
      <c r="O369" s="1091"/>
      <c r="P369" s="1091"/>
      <c r="Q369" s="1091"/>
      <c r="R369" s="1091"/>
      <c r="S369" s="1091"/>
      <c r="T369" s="1091"/>
      <c r="U369" s="1091"/>
      <c r="V369" s="1091"/>
      <c r="W369" s="1091"/>
      <c r="X369" s="1091"/>
      <c r="Y369" s="1091"/>
      <c r="Z369" s="1091"/>
      <c r="AA369" s="1091"/>
      <c r="AB369" s="1091"/>
      <c r="AC369" s="1091"/>
      <c r="AD369" s="1091"/>
      <c r="AE369" s="1091"/>
      <c r="AF369" s="1091"/>
      <c r="AG369" s="1091"/>
      <c r="AH369" s="39">
        <f t="shared" si="70"/>
        <v>0</v>
      </c>
    </row>
    <row r="370" spans="1:36" ht="15">
      <c r="A370" s="120" t="s">
        <v>78</v>
      </c>
      <c r="B370" s="15">
        <f t="shared" si="69"/>
        <v>0</v>
      </c>
      <c r="C370" s="1091"/>
      <c r="D370" s="1091"/>
      <c r="E370" s="1091"/>
      <c r="F370" s="1091"/>
      <c r="G370" s="1091"/>
      <c r="H370" s="1091"/>
      <c r="I370" s="1091"/>
      <c r="J370" s="1091"/>
      <c r="K370" s="1091"/>
      <c r="L370" s="1091"/>
      <c r="M370" s="1091"/>
      <c r="N370" s="1091"/>
      <c r="O370" s="1091"/>
      <c r="P370" s="1091"/>
      <c r="Q370" s="1091"/>
      <c r="R370" s="1091"/>
      <c r="S370" s="1091"/>
      <c r="T370" s="1091"/>
      <c r="U370" s="1091"/>
      <c r="V370" s="1091"/>
      <c r="W370" s="1091"/>
      <c r="X370" s="1091"/>
      <c r="Y370" s="1091"/>
      <c r="Z370" s="1091"/>
      <c r="AA370" s="1091"/>
      <c r="AB370" s="1091"/>
      <c r="AC370" s="1091"/>
      <c r="AD370" s="1091"/>
      <c r="AE370" s="1091"/>
      <c r="AF370" s="1091"/>
      <c r="AG370" s="1091"/>
      <c r="AH370" s="39">
        <f t="shared" si="70"/>
        <v>0</v>
      </c>
    </row>
    <row r="371" spans="1:36" ht="15">
      <c r="A371" s="120" t="s">
        <v>79</v>
      </c>
      <c r="B371" s="15">
        <f t="shared" si="69"/>
        <v>0</v>
      </c>
      <c r="C371" s="1091"/>
      <c r="D371" s="1268"/>
      <c r="E371" s="1268"/>
      <c r="F371" s="1268"/>
      <c r="G371" s="1091"/>
      <c r="H371" s="1091"/>
      <c r="I371" s="1091"/>
      <c r="J371" s="2068"/>
      <c r="K371" s="2068"/>
      <c r="L371" s="1268"/>
      <c r="M371" s="1268"/>
      <c r="N371" s="1268"/>
      <c r="O371" s="1268"/>
      <c r="P371" s="1268"/>
      <c r="Q371" s="1268"/>
      <c r="R371" s="1268"/>
      <c r="S371" s="1268"/>
      <c r="T371" s="1268"/>
      <c r="U371" s="1268"/>
      <c r="V371" s="1268"/>
      <c r="W371" s="2066"/>
      <c r="X371" s="2066"/>
      <c r="Y371" s="2066"/>
      <c r="Z371" s="2066"/>
      <c r="AA371" s="2066"/>
      <c r="AB371" s="2066"/>
      <c r="AC371" s="2066"/>
      <c r="AD371" s="2066"/>
      <c r="AE371" s="2066"/>
      <c r="AF371" s="2066"/>
      <c r="AG371" s="2066"/>
      <c r="AH371" s="39">
        <f t="shared" si="70"/>
        <v>0</v>
      </c>
    </row>
    <row r="372" spans="1:36" ht="15">
      <c r="A372" s="120" t="s">
        <v>80</v>
      </c>
      <c r="B372" s="15">
        <f t="shared" si="69"/>
        <v>0</v>
      </c>
      <c r="C372" s="2066"/>
      <c r="D372" s="2066"/>
      <c r="E372" s="2066"/>
      <c r="F372" s="2066"/>
      <c r="G372" s="2066"/>
      <c r="H372" s="2066"/>
      <c r="I372" s="2066"/>
      <c r="J372" s="2066"/>
      <c r="K372" s="2066"/>
      <c r="L372" s="2066"/>
      <c r="M372" s="2066"/>
      <c r="N372" s="2066"/>
      <c r="O372" s="2066"/>
      <c r="P372" s="2066"/>
      <c r="Q372" s="2066"/>
      <c r="R372" s="2066"/>
      <c r="S372" s="2066"/>
      <c r="T372" s="2066"/>
      <c r="U372" s="2066"/>
      <c r="V372" s="2066"/>
      <c r="W372" s="2066"/>
      <c r="X372" s="2066"/>
      <c r="Y372" s="2066"/>
      <c r="Z372" s="2066"/>
      <c r="AA372" s="2066"/>
      <c r="AB372" s="2066"/>
      <c r="AC372" s="2066"/>
      <c r="AD372" s="2066"/>
      <c r="AE372" s="2066"/>
      <c r="AF372" s="2066"/>
      <c r="AG372" s="2066"/>
      <c r="AH372" s="39">
        <f t="shared" si="70"/>
        <v>0</v>
      </c>
    </row>
    <row r="373" spans="1:36" ht="15">
      <c r="A373" s="123" t="s">
        <v>81</v>
      </c>
      <c r="B373" s="15">
        <f t="shared" si="69"/>
        <v>0</v>
      </c>
      <c r="C373" s="2066"/>
      <c r="D373" s="2066"/>
      <c r="E373" s="2066"/>
      <c r="F373" s="2066"/>
      <c r="G373" s="2066"/>
      <c r="H373" s="2066"/>
      <c r="I373" s="2066"/>
      <c r="J373" s="2066"/>
      <c r="K373" s="2066"/>
      <c r="L373" s="2066"/>
      <c r="M373" s="2066"/>
      <c r="N373" s="2066"/>
      <c r="O373" s="2066"/>
      <c r="P373" s="2066"/>
      <c r="Q373" s="2066"/>
      <c r="R373" s="2066"/>
      <c r="S373" s="2066"/>
      <c r="T373" s="2066"/>
      <c r="U373" s="2066"/>
      <c r="V373" s="2066"/>
      <c r="W373" s="2066"/>
      <c r="X373" s="2066"/>
      <c r="Y373" s="2066"/>
      <c r="Z373" s="2066"/>
      <c r="AA373" s="2066"/>
      <c r="AB373" s="2066"/>
      <c r="AC373" s="2066"/>
      <c r="AD373" s="2066"/>
      <c r="AE373" s="2066"/>
      <c r="AF373" s="2066"/>
      <c r="AG373" s="2066"/>
      <c r="AH373" s="39">
        <f t="shared" si="70"/>
        <v>0</v>
      </c>
    </row>
    <row r="374" spans="1:36" ht="15">
      <c r="A374" s="123" t="s">
        <v>82</v>
      </c>
      <c r="B374" s="15">
        <f t="shared" si="69"/>
        <v>0</v>
      </c>
      <c r="C374" s="2066"/>
      <c r="D374" s="2066"/>
      <c r="E374" s="2066"/>
      <c r="F374" s="2066"/>
      <c r="G374" s="2066"/>
      <c r="H374" s="2066"/>
      <c r="I374" s="2066"/>
      <c r="J374" s="2066"/>
      <c r="K374" s="2066"/>
      <c r="L374" s="2066"/>
      <c r="M374" s="2066"/>
      <c r="N374" s="2066"/>
      <c r="O374" s="2066"/>
      <c r="P374" s="2066"/>
      <c r="Q374" s="2066"/>
      <c r="R374" s="2066"/>
      <c r="S374" s="2066"/>
      <c r="T374" s="2066"/>
      <c r="U374" s="2066"/>
      <c r="V374" s="2066"/>
      <c r="W374" s="2066"/>
      <c r="X374" s="1091"/>
      <c r="Y374" s="1091"/>
      <c r="Z374" s="1091"/>
      <c r="AA374" s="1091"/>
      <c r="AB374" s="1091"/>
      <c r="AC374" s="1091"/>
      <c r="AD374" s="1091"/>
      <c r="AE374" s="1268"/>
      <c r="AF374" s="1091"/>
      <c r="AG374" s="1268"/>
      <c r="AH374" s="39">
        <f t="shared" si="70"/>
        <v>0</v>
      </c>
    </row>
    <row r="375" spans="1:36" ht="15">
      <c r="A375" s="123" t="s">
        <v>83</v>
      </c>
      <c r="B375" s="15">
        <f t="shared" si="69"/>
        <v>0</v>
      </c>
      <c r="C375" s="1091"/>
      <c r="D375" s="1091"/>
      <c r="E375" s="1091"/>
      <c r="F375" s="1091"/>
      <c r="G375" s="1229"/>
      <c r="H375" s="1091"/>
      <c r="I375" s="1091"/>
      <c r="J375" s="1091"/>
      <c r="K375" s="1091"/>
      <c r="L375" s="1091"/>
      <c r="M375" s="1091"/>
      <c r="N375" s="1091"/>
      <c r="O375" s="1091"/>
      <c r="P375" s="1091"/>
      <c r="Q375" s="1091"/>
      <c r="R375" s="1091"/>
      <c r="S375" s="1091"/>
      <c r="T375" s="1091"/>
      <c r="U375" s="1091"/>
      <c r="V375" s="1091"/>
      <c r="W375" s="1091"/>
      <c r="X375" s="1091"/>
      <c r="Y375" s="1229"/>
      <c r="Z375" s="1091"/>
      <c r="AA375" s="1091"/>
      <c r="AB375" s="1091"/>
      <c r="AC375" s="1091"/>
      <c r="AD375" s="1091"/>
      <c r="AE375" s="1268"/>
      <c r="AF375" s="1091"/>
      <c r="AG375" s="1268"/>
      <c r="AH375" s="39">
        <f t="shared" si="70"/>
        <v>0</v>
      </c>
    </row>
    <row r="376" spans="1:36" ht="15">
      <c r="A376" s="123" t="s">
        <v>84</v>
      </c>
      <c r="B376" s="15">
        <f t="shared" si="69"/>
        <v>0</v>
      </c>
      <c r="C376" s="1091"/>
      <c r="D376" s="1091"/>
      <c r="E376" s="1091"/>
      <c r="F376" s="1091"/>
      <c r="G376" s="1091"/>
      <c r="H376" s="1091"/>
      <c r="I376" s="1091"/>
      <c r="J376" s="1091"/>
      <c r="K376" s="1091"/>
      <c r="L376" s="1091"/>
      <c r="M376" s="1091"/>
      <c r="N376" s="1091"/>
      <c r="O376" s="1091"/>
      <c r="P376" s="1091"/>
      <c r="Q376" s="1091"/>
      <c r="R376" s="1091"/>
      <c r="S376" s="1091"/>
      <c r="T376" s="1091"/>
      <c r="U376" s="1091"/>
      <c r="V376" s="1091"/>
      <c r="W376" s="1091"/>
      <c r="X376" s="1091"/>
      <c r="Y376" s="1091"/>
      <c r="Z376" s="1091"/>
      <c r="AA376" s="1091"/>
      <c r="AB376" s="1091"/>
      <c r="AC376" s="1091"/>
      <c r="AD376" s="1091"/>
      <c r="AE376" s="1091"/>
      <c r="AF376" s="1091"/>
      <c r="AG376" s="1091"/>
      <c r="AH376" s="39">
        <f t="shared" si="70"/>
        <v>0</v>
      </c>
    </row>
    <row r="377" spans="1:36" ht="15">
      <c r="A377" s="71" t="s">
        <v>72</v>
      </c>
      <c r="B377" s="72">
        <f>SUM(B365:B376)</f>
        <v>0</v>
      </c>
      <c r="C377" s="32">
        <f>SUM(C365:C375)</f>
        <v>0</v>
      </c>
      <c r="D377" s="39">
        <f>SUM(D365:D375)</f>
        <v>0</v>
      </c>
      <c r="E377" s="39">
        <v>0</v>
      </c>
      <c r="F377" s="39">
        <f t="shared" ref="F377:AC377" si="71">SUM(F365:F375)</f>
        <v>0</v>
      </c>
      <c r="G377" s="39">
        <f t="shared" si="71"/>
        <v>0</v>
      </c>
      <c r="H377" s="39">
        <f t="shared" si="71"/>
        <v>0</v>
      </c>
      <c r="I377" s="39">
        <f t="shared" si="71"/>
        <v>0</v>
      </c>
      <c r="J377" s="39">
        <f t="shared" si="71"/>
        <v>0</v>
      </c>
      <c r="K377" s="39">
        <f t="shared" si="71"/>
        <v>0</v>
      </c>
      <c r="L377" s="39">
        <f t="shared" si="71"/>
        <v>0</v>
      </c>
      <c r="M377" s="39">
        <f t="shared" si="71"/>
        <v>0</v>
      </c>
      <c r="N377" s="39">
        <f t="shared" si="71"/>
        <v>0</v>
      </c>
      <c r="O377" s="39">
        <f t="shared" si="71"/>
        <v>0</v>
      </c>
      <c r="P377" s="39">
        <f t="shared" si="71"/>
        <v>0</v>
      </c>
      <c r="Q377" s="39">
        <f t="shared" si="71"/>
        <v>0</v>
      </c>
      <c r="R377" s="39">
        <f t="shared" si="71"/>
        <v>0</v>
      </c>
      <c r="S377" s="39">
        <f t="shared" si="71"/>
        <v>0</v>
      </c>
      <c r="T377" s="39">
        <f t="shared" si="71"/>
        <v>0</v>
      </c>
      <c r="U377" s="39">
        <f t="shared" si="71"/>
        <v>0</v>
      </c>
      <c r="V377" s="39">
        <f t="shared" si="71"/>
        <v>0</v>
      </c>
      <c r="W377" s="39">
        <f t="shared" si="71"/>
        <v>0</v>
      </c>
      <c r="X377" s="39">
        <f t="shared" si="71"/>
        <v>0</v>
      </c>
      <c r="Y377" s="39">
        <f t="shared" si="71"/>
        <v>0</v>
      </c>
      <c r="Z377" s="39">
        <f t="shared" si="71"/>
        <v>0</v>
      </c>
      <c r="AA377" s="39">
        <f t="shared" si="71"/>
        <v>0</v>
      </c>
      <c r="AB377" s="39">
        <f t="shared" si="71"/>
        <v>0</v>
      </c>
      <c r="AC377" s="39">
        <f t="shared" si="71"/>
        <v>0</v>
      </c>
      <c r="AD377" s="39">
        <v>0</v>
      </c>
      <c r="AE377" s="39">
        <f>SUM(AE365:AE375)</f>
        <v>0</v>
      </c>
      <c r="AF377" s="39">
        <f>SUM(AF365:AF375)</f>
        <v>0</v>
      </c>
      <c r="AG377" s="39">
        <f>SUM(AG365:AG375)</f>
        <v>0</v>
      </c>
      <c r="AH377" s="32">
        <f>SUM(AH365:AH375)</f>
        <v>0</v>
      </c>
    </row>
    <row r="378" spans="1:36" ht="6.75" customHeight="1">
      <c r="A378" s="14"/>
      <c r="B378" s="14"/>
      <c r="C378" s="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
    </row>
    <row r="379" spans="1:36" ht="15">
      <c r="A379" s="3811"/>
      <c r="B379" s="3812"/>
      <c r="C379" s="3812"/>
      <c r="D379" s="3812"/>
      <c r="E379" s="3812"/>
      <c r="F379" s="3812"/>
      <c r="G379" s="3812"/>
      <c r="H379" s="3813"/>
      <c r="I379" s="1229"/>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spans="1:36" ht="15">
      <c r="A380" s="5" t="s">
        <v>70</v>
      </c>
      <c r="B380" s="5" t="s">
        <v>71</v>
      </c>
      <c r="C380" s="1054">
        <v>1</v>
      </c>
      <c r="D380" s="21">
        <v>2</v>
      </c>
      <c r="E380" s="21">
        <v>3</v>
      </c>
      <c r="F380" s="21">
        <v>4</v>
      </c>
      <c r="G380" s="21">
        <v>5</v>
      </c>
      <c r="H380" s="21">
        <v>6</v>
      </c>
      <c r="I380" s="21">
        <v>7</v>
      </c>
      <c r="J380" s="21">
        <v>8</v>
      </c>
      <c r="K380" s="21">
        <v>9</v>
      </c>
      <c r="L380" s="21">
        <v>10</v>
      </c>
      <c r="M380" s="21">
        <v>11</v>
      </c>
      <c r="N380" s="21">
        <v>12</v>
      </c>
      <c r="O380" s="21">
        <v>13</v>
      </c>
      <c r="P380" s="21">
        <v>14</v>
      </c>
      <c r="Q380" s="21">
        <v>15</v>
      </c>
      <c r="R380" s="21">
        <v>16</v>
      </c>
      <c r="S380" s="21">
        <v>17</v>
      </c>
      <c r="T380" s="21">
        <v>18</v>
      </c>
      <c r="U380" s="21">
        <v>19</v>
      </c>
      <c r="V380" s="21">
        <v>20</v>
      </c>
      <c r="W380" s="21">
        <v>21</v>
      </c>
      <c r="X380" s="21">
        <v>22</v>
      </c>
      <c r="Y380" s="21">
        <v>23</v>
      </c>
      <c r="Z380" s="21">
        <v>24</v>
      </c>
      <c r="AA380" s="21">
        <v>25</v>
      </c>
      <c r="AB380" s="21">
        <v>26</v>
      </c>
      <c r="AC380" s="21">
        <v>27</v>
      </c>
      <c r="AD380" s="21">
        <v>28</v>
      </c>
      <c r="AE380" s="21">
        <v>29</v>
      </c>
      <c r="AF380" s="21">
        <v>30</v>
      </c>
      <c r="AG380" s="21">
        <v>31</v>
      </c>
      <c r="AH380" s="25" t="s">
        <v>72</v>
      </c>
      <c r="AI380" s="2266" t="s">
        <v>1345</v>
      </c>
      <c r="AJ380" s="66" t="e">
        <f>(B393/COUNTIF($C$381:$AG$392,"&gt;0"))</f>
        <v>#DIV/0!</v>
      </c>
    </row>
    <row r="381" spans="1:36" ht="15">
      <c r="A381" s="122" t="s">
        <v>73</v>
      </c>
      <c r="B381" s="15">
        <f t="shared" ref="B381:B392" si="72">+AH381</f>
        <v>0</v>
      </c>
      <c r="C381" s="1689"/>
      <c r="D381" s="1689"/>
      <c r="E381" s="1689"/>
      <c r="F381" s="1689"/>
      <c r="G381" s="1689"/>
      <c r="H381" s="1689"/>
      <c r="I381" s="1689"/>
      <c r="J381" s="1689"/>
      <c r="K381" s="1689"/>
      <c r="L381" s="1689"/>
      <c r="M381" s="1689"/>
      <c r="N381" s="1689"/>
      <c r="O381" s="1689"/>
      <c r="P381" s="1689"/>
      <c r="Q381" s="1689"/>
      <c r="R381" s="1689"/>
      <c r="S381" s="1689"/>
      <c r="T381" s="1689"/>
      <c r="U381" s="1689"/>
      <c r="V381" s="1689"/>
      <c r="W381" s="1689"/>
      <c r="X381" s="1689"/>
      <c r="Y381" s="1689"/>
      <c r="Z381" s="1689"/>
      <c r="AA381" s="1689"/>
      <c r="AB381" s="1689"/>
      <c r="AC381" s="1689"/>
      <c r="AD381" s="1689"/>
      <c r="AE381" s="1689"/>
      <c r="AF381" s="1689"/>
      <c r="AG381" s="1689"/>
      <c r="AH381" s="39">
        <f>SUM(C381:AG381)</f>
        <v>0</v>
      </c>
    </row>
    <row r="382" spans="1:36" ht="15">
      <c r="A382" s="122" t="s">
        <v>74</v>
      </c>
      <c r="B382" s="15">
        <f t="shared" si="72"/>
        <v>0</v>
      </c>
      <c r="C382" s="1689"/>
      <c r="D382" s="1689"/>
      <c r="E382" s="1689"/>
      <c r="F382" s="1689"/>
      <c r="G382" s="1689"/>
      <c r="H382" s="1689"/>
      <c r="I382" s="1689"/>
      <c r="J382" s="1689"/>
      <c r="K382" s="1689"/>
      <c r="L382" s="1689"/>
      <c r="M382" s="1689"/>
      <c r="N382" s="1689"/>
      <c r="O382" s="1689"/>
      <c r="P382" s="1689"/>
      <c r="Q382" s="1689"/>
      <c r="R382" s="1689"/>
      <c r="S382" s="1689"/>
      <c r="T382" s="1689"/>
      <c r="U382" s="1689"/>
      <c r="V382" s="1689"/>
      <c r="W382" s="1689"/>
      <c r="X382" s="1689"/>
      <c r="Y382" s="1689"/>
      <c r="Z382" s="1689"/>
      <c r="AA382" s="1689"/>
      <c r="AB382" s="1689"/>
      <c r="AC382" s="1689"/>
      <c r="AD382" s="1689"/>
      <c r="AE382" s="1689"/>
      <c r="AF382" s="1689"/>
      <c r="AG382" s="1689"/>
      <c r="AH382" s="39">
        <f t="shared" ref="AH382:AH392" si="73">SUM(C382:AG382)</f>
        <v>0</v>
      </c>
    </row>
    <row r="383" spans="1:36" ht="15">
      <c r="A383" s="122" t="s">
        <v>75</v>
      </c>
      <c r="B383" s="15">
        <f t="shared" si="72"/>
        <v>0</v>
      </c>
      <c r="C383" s="1689"/>
      <c r="D383" s="1689"/>
      <c r="E383" s="1689"/>
      <c r="F383" s="1689"/>
      <c r="G383" s="1689"/>
      <c r="H383" s="1091"/>
      <c r="I383" s="1091"/>
      <c r="J383" s="1091"/>
      <c r="K383" s="1091"/>
      <c r="L383" s="1091"/>
      <c r="M383" s="1091"/>
      <c r="N383" s="1091"/>
      <c r="O383" s="1091"/>
      <c r="P383" s="1091"/>
      <c r="Q383" s="1091"/>
      <c r="R383" s="1091"/>
      <c r="S383" s="1091"/>
      <c r="T383" s="1091"/>
      <c r="U383" s="1091"/>
      <c r="V383" s="1091"/>
      <c r="W383" s="1091"/>
      <c r="X383" s="1091"/>
      <c r="Y383" s="1091"/>
      <c r="Z383" s="1091"/>
      <c r="AA383" s="1091"/>
      <c r="AB383" s="1091"/>
      <c r="AC383" s="1689"/>
      <c r="AD383" s="1689"/>
      <c r="AE383" s="1689"/>
      <c r="AF383" s="1689"/>
      <c r="AG383" s="1689"/>
      <c r="AH383" s="39">
        <f t="shared" si="73"/>
        <v>0</v>
      </c>
    </row>
    <row r="384" spans="1:36" ht="15">
      <c r="A384" s="122" t="s">
        <v>76</v>
      </c>
      <c r="B384" s="15">
        <f t="shared" si="72"/>
        <v>0</v>
      </c>
      <c r="C384" s="1689"/>
      <c r="D384" s="1689"/>
      <c r="E384" s="1689"/>
      <c r="F384" s="1689"/>
      <c r="G384" s="1689"/>
      <c r="H384" s="1689"/>
      <c r="I384" s="1689"/>
      <c r="J384" s="1689"/>
      <c r="K384" s="1689"/>
      <c r="L384" s="1091"/>
      <c r="M384" s="1091"/>
      <c r="N384" s="1091"/>
      <c r="O384" s="1091"/>
      <c r="P384" s="1091"/>
      <c r="Q384" s="1091"/>
      <c r="R384" s="1091"/>
      <c r="S384" s="1091"/>
      <c r="T384" s="1091"/>
      <c r="U384" s="1091"/>
      <c r="V384" s="1091"/>
      <c r="W384" s="1091"/>
      <c r="X384" s="1091"/>
      <c r="Y384" s="1091"/>
      <c r="Z384" s="1091"/>
      <c r="AA384" s="1091"/>
      <c r="AB384" s="1091"/>
      <c r="AC384" s="1091"/>
      <c r="AD384" s="1091"/>
      <c r="AE384" s="1091"/>
      <c r="AF384" s="1091"/>
      <c r="AG384" s="1091"/>
      <c r="AH384" s="39">
        <f t="shared" si="73"/>
        <v>0</v>
      </c>
    </row>
    <row r="385" spans="1:36" ht="15">
      <c r="A385" s="120" t="s">
        <v>77</v>
      </c>
      <c r="B385" s="15">
        <f t="shared" si="72"/>
        <v>0</v>
      </c>
      <c r="C385" s="1091"/>
      <c r="D385" s="1091"/>
      <c r="E385" s="1091"/>
      <c r="F385" s="1091"/>
      <c r="G385" s="1091"/>
      <c r="H385" s="1091"/>
      <c r="I385" s="1091"/>
      <c r="J385" s="1091"/>
      <c r="K385" s="1091"/>
      <c r="L385" s="1091"/>
      <c r="M385" s="1091"/>
      <c r="N385" s="1091"/>
      <c r="O385" s="1091"/>
      <c r="P385" s="1091"/>
      <c r="Q385" s="1091"/>
      <c r="R385" s="1091"/>
      <c r="S385" s="1091"/>
      <c r="T385" s="1091"/>
      <c r="U385" s="1091"/>
      <c r="V385" s="1091"/>
      <c r="W385" s="1091"/>
      <c r="X385" s="1091"/>
      <c r="Y385" s="1091"/>
      <c r="Z385" s="1091"/>
      <c r="AA385" s="1091"/>
      <c r="AB385" s="1091"/>
      <c r="AC385" s="1091"/>
      <c r="AD385" s="1091"/>
      <c r="AE385" s="1091"/>
      <c r="AF385" s="1091"/>
      <c r="AG385" s="1091"/>
      <c r="AH385" s="39">
        <f t="shared" si="73"/>
        <v>0</v>
      </c>
    </row>
    <row r="386" spans="1:36" ht="15">
      <c r="A386" s="120" t="s">
        <v>78</v>
      </c>
      <c r="B386" s="15">
        <f t="shared" si="72"/>
        <v>0</v>
      </c>
      <c r="C386" s="1091"/>
      <c r="D386" s="1091"/>
      <c r="E386" s="1091"/>
      <c r="F386" s="1091"/>
      <c r="G386" s="1091"/>
      <c r="H386" s="1091"/>
      <c r="I386" s="1091"/>
      <c r="J386" s="1091"/>
      <c r="K386" s="1091"/>
      <c r="L386" s="1091"/>
      <c r="M386" s="1091"/>
      <c r="N386" s="1091"/>
      <c r="O386" s="1091"/>
      <c r="P386" s="1091"/>
      <c r="Q386" s="1091"/>
      <c r="R386" s="1091"/>
      <c r="S386" s="1091"/>
      <c r="T386" s="1091"/>
      <c r="U386" s="1091"/>
      <c r="V386" s="1091"/>
      <c r="W386" s="1091"/>
      <c r="X386" s="1091"/>
      <c r="Y386" s="1091"/>
      <c r="Z386" s="1091"/>
      <c r="AA386" s="1091"/>
      <c r="AB386" s="1091"/>
      <c r="AC386" s="1091"/>
      <c r="AD386" s="1091"/>
      <c r="AE386" s="1091"/>
      <c r="AF386" s="1091"/>
      <c r="AG386" s="1091"/>
      <c r="AH386" s="39">
        <f t="shared" si="73"/>
        <v>0</v>
      </c>
    </row>
    <row r="387" spans="1:36" ht="15">
      <c r="A387" s="120" t="s">
        <v>79</v>
      </c>
      <c r="B387" s="15">
        <f t="shared" si="72"/>
        <v>0</v>
      </c>
      <c r="C387" s="1091"/>
      <c r="D387" s="1268"/>
      <c r="E387" s="1268"/>
      <c r="F387" s="1268"/>
      <c r="G387" s="1091"/>
      <c r="H387" s="1091"/>
      <c r="I387" s="1091"/>
      <c r="J387" s="2068"/>
      <c r="K387" s="2068"/>
      <c r="L387" s="1268"/>
      <c r="M387" s="1268"/>
      <c r="N387" s="1268"/>
      <c r="O387" s="1268"/>
      <c r="P387" s="1268"/>
      <c r="Q387" s="1268"/>
      <c r="R387" s="1268"/>
      <c r="S387" s="1268"/>
      <c r="T387" s="1268"/>
      <c r="U387" s="1268"/>
      <c r="V387" s="1268"/>
      <c r="W387" s="2066"/>
      <c r="X387" s="2066"/>
      <c r="Y387" s="2066"/>
      <c r="Z387" s="2066"/>
      <c r="AA387" s="2066"/>
      <c r="AB387" s="2066"/>
      <c r="AC387" s="2066"/>
      <c r="AD387" s="2066"/>
      <c r="AE387" s="2066"/>
      <c r="AF387" s="2066"/>
      <c r="AG387" s="2066"/>
      <c r="AH387" s="39">
        <f t="shared" si="73"/>
        <v>0</v>
      </c>
    </row>
    <row r="388" spans="1:36" ht="15">
      <c r="A388" s="120" t="s">
        <v>80</v>
      </c>
      <c r="B388" s="15">
        <f t="shared" si="72"/>
        <v>0</v>
      </c>
      <c r="C388" s="2066"/>
      <c r="D388" s="2066"/>
      <c r="E388" s="2066"/>
      <c r="F388" s="2066"/>
      <c r="G388" s="2066"/>
      <c r="H388" s="2066"/>
      <c r="I388" s="2066"/>
      <c r="J388" s="2066"/>
      <c r="K388" s="2066"/>
      <c r="L388" s="2066"/>
      <c r="M388" s="2066"/>
      <c r="N388" s="2066"/>
      <c r="O388" s="2066"/>
      <c r="P388" s="2066"/>
      <c r="Q388" s="2066"/>
      <c r="R388" s="2066"/>
      <c r="S388" s="2066"/>
      <c r="T388" s="2066"/>
      <c r="U388" s="2066"/>
      <c r="V388" s="2066"/>
      <c r="W388" s="2066"/>
      <c r="X388" s="2066"/>
      <c r="Y388" s="2066"/>
      <c r="Z388" s="2066"/>
      <c r="AA388" s="2066"/>
      <c r="AB388" s="2066"/>
      <c r="AC388" s="2066"/>
      <c r="AD388" s="2066"/>
      <c r="AE388" s="2066"/>
      <c r="AF388" s="2066"/>
      <c r="AG388" s="2066"/>
      <c r="AH388" s="39">
        <f t="shared" si="73"/>
        <v>0</v>
      </c>
    </row>
    <row r="389" spans="1:36" ht="15">
      <c r="A389" s="123" t="s">
        <v>81</v>
      </c>
      <c r="B389" s="15">
        <f t="shared" si="72"/>
        <v>0</v>
      </c>
      <c r="C389" s="2066"/>
      <c r="D389" s="2066"/>
      <c r="E389" s="2066"/>
      <c r="F389" s="2066"/>
      <c r="G389" s="2066"/>
      <c r="H389" s="2066"/>
      <c r="I389" s="2066"/>
      <c r="J389" s="2066"/>
      <c r="K389" s="2066"/>
      <c r="L389" s="2066"/>
      <c r="M389" s="2066"/>
      <c r="N389" s="2066"/>
      <c r="O389" s="2066"/>
      <c r="P389" s="2066"/>
      <c r="Q389" s="2066"/>
      <c r="R389" s="2066"/>
      <c r="S389" s="2066"/>
      <c r="T389" s="2066"/>
      <c r="U389" s="2066"/>
      <c r="V389" s="2066"/>
      <c r="W389" s="2066"/>
      <c r="X389" s="2066"/>
      <c r="Y389" s="2066"/>
      <c r="Z389" s="2066"/>
      <c r="AA389" s="2066"/>
      <c r="AB389" s="2066"/>
      <c r="AC389" s="2066"/>
      <c r="AD389" s="2066"/>
      <c r="AE389" s="2066"/>
      <c r="AF389" s="2066"/>
      <c r="AG389" s="2066"/>
      <c r="AH389" s="39">
        <f t="shared" si="73"/>
        <v>0</v>
      </c>
    </row>
    <row r="390" spans="1:36" ht="15">
      <c r="A390" s="123" t="s">
        <v>82</v>
      </c>
      <c r="B390" s="15">
        <f t="shared" si="72"/>
        <v>0</v>
      </c>
      <c r="C390" s="2066"/>
      <c r="D390" s="2066"/>
      <c r="E390" s="2066"/>
      <c r="F390" s="2066"/>
      <c r="G390" s="2066"/>
      <c r="H390" s="2066"/>
      <c r="I390" s="2066"/>
      <c r="J390" s="2066"/>
      <c r="K390" s="2066"/>
      <c r="L390" s="2066"/>
      <c r="M390" s="2066"/>
      <c r="N390" s="2066"/>
      <c r="O390" s="2066"/>
      <c r="P390" s="2066"/>
      <c r="Q390" s="2066"/>
      <c r="R390" s="2066"/>
      <c r="S390" s="2066"/>
      <c r="T390" s="2066"/>
      <c r="U390" s="2066"/>
      <c r="V390" s="2066"/>
      <c r="W390" s="2066"/>
      <c r="X390" s="1091"/>
      <c r="Y390" s="1091"/>
      <c r="Z390" s="1091"/>
      <c r="AA390" s="1091"/>
      <c r="AB390" s="1091"/>
      <c r="AC390" s="1091"/>
      <c r="AD390" s="1091"/>
      <c r="AE390" s="1268"/>
      <c r="AF390" s="1091"/>
      <c r="AG390" s="1268"/>
      <c r="AH390" s="39">
        <f t="shared" si="73"/>
        <v>0</v>
      </c>
    </row>
    <row r="391" spans="1:36" ht="15">
      <c r="A391" s="123" t="s">
        <v>83</v>
      </c>
      <c r="B391" s="15">
        <f t="shared" si="72"/>
        <v>0</v>
      </c>
      <c r="C391" s="1091"/>
      <c r="D391" s="1091"/>
      <c r="E391" s="1091"/>
      <c r="F391" s="1091"/>
      <c r="G391" s="1229"/>
      <c r="H391" s="1091"/>
      <c r="I391" s="1091"/>
      <c r="J391" s="1091"/>
      <c r="K391" s="1091"/>
      <c r="L391" s="1091"/>
      <c r="M391" s="1091"/>
      <c r="N391" s="1091"/>
      <c r="O391" s="1091"/>
      <c r="P391" s="1091"/>
      <c r="Q391" s="1091"/>
      <c r="R391" s="1091"/>
      <c r="S391" s="1091"/>
      <c r="T391" s="1091"/>
      <c r="U391" s="1091"/>
      <c r="V391" s="1091"/>
      <c r="W391" s="1091"/>
      <c r="X391" s="1091"/>
      <c r="Y391" s="1229"/>
      <c r="Z391" s="1091"/>
      <c r="AA391" s="1091"/>
      <c r="AB391" s="1091"/>
      <c r="AC391" s="1091"/>
      <c r="AD391" s="1091"/>
      <c r="AE391" s="1268"/>
      <c r="AF391" s="1091"/>
      <c r="AG391" s="1268"/>
      <c r="AH391" s="39">
        <f t="shared" si="73"/>
        <v>0</v>
      </c>
    </row>
    <row r="392" spans="1:36" ht="15">
      <c r="A392" s="123" t="s">
        <v>84</v>
      </c>
      <c r="B392" s="15">
        <f t="shared" si="72"/>
        <v>0</v>
      </c>
      <c r="C392" s="35"/>
      <c r="D392" s="15"/>
      <c r="E392" s="15"/>
      <c r="F392" s="15"/>
      <c r="G392" s="15"/>
      <c r="H392" s="15"/>
      <c r="I392" s="15"/>
      <c r="J392" s="15"/>
      <c r="K392" s="15"/>
      <c r="L392" s="15"/>
      <c r="M392" s="15"/>
      <c r="N392" s="15"/>
      <c r="O392" s="15"/>
      <c r="P392" s="1091"/>
      <c r="Q392" s="1091"/>
      <c r="R392" s="1091"/>
      <c r="S392" s="1091"/>
      <c r="T392" s="1091"/>
      <c r="U392" s="1091"/>
      <c r="V392" s="1091"/>
      <c r="W392" s="1091"/>
      <c r="X392" s="1091"/>
      <c r="Y392" s="1091"/>
      <c r="Z392" s="1091"/>
      <c r="AA392" s="1091"/>
      <c r="AB392" s="1091"/>
      <c r="AC392" s="1091"/>
      <c r="AD392" s="1091"/>
      <c r="AE392" s="1091"/>
      <c r="AF392" s="1091"/>
      <c r="AG392" s="1091"/>
      <c r="AH392" s="39">
        <f t="shared" si="73"/>
        <v>0</v>
      </c>
    </row>
    <row r="393" spans="1:36" ht="15">
      <c r="A393" s="71" t="s">
        <v>72</v>
      </c>
      <c r="B393" s="72">
        <f>SUM(B381:B392)</f>
        <v>0</v>
      </c>
      <c r="C393" s="32">
        <f>SUM(C381:C391)</f>
        <v>0</v>
      </c>
      <c r="D393" s="39">
        <f>SUM(D381:D391)</f>
        <v>0</v>
      </c>
      <c r="E393" s="39">
        <v>0</v>
      </c>
      <c r="F393" s="39">
        <f t="shared" ref="F393:AC393" si="74">SUM(F381:F391)</f>
        <v>0</v>
      </c>
      <c r="G393" s="39">
        <f t="shared" si="74"/>
        <v>0</v>
      </c>
      <c r="H393" s="39">
        <f t="shared" si="74"/>
        <v>0</v>
      </c>
      <c r="I393" s="39">
        <f t="shared" si="74"/>
        <v>0</v>
      </c>
      <c r="J393" s="39">
        <f t="shared" si="74"/>
        <v>0</v>
      </c>
      <c r="K393" s="39">
        <f t="shared" si="74"/>
        <v>0</v>
      </c>
      <c r="L393" s="39">
        <f t="shared" si="74"/>
        <v>0</v>
      </c>
      <c r="M393" s="39">
        <f t="shared" si="74"/>
        <v>0</v>
      </c>
      <c r="N393" s="39">
        <f t="shared" si="74"/>
        <v>0</v>
      </c>
      <c r="O393" s="39">
        <f t="shared" si="74"/>
        <v>0</v>
      </c>
      <c r="P393" s="39">
        <f t="shared" si="74"/>
        <v>0</v>
      </c>
      <c r="Q393" s="39">
        <f t="shared" si="74"/>
        <v>0</v>
      </c>
      <c r="R393" s="39">
        <f t="shared" si="74"/>
        <v>0</v>
      </c>
      <c r="S393" s="39">
        <f t="shared" si="74"/>
        <v>0</v>
      </c>
      <c r="T393" s="39">
        <f t="shared" si="74"/>
        <v>0</v>
      </c>
      <c r="U393" s="39">
        <f t="shared" si="74"/>
        <v>0</v>
      </c>
      <c r="V393" s="39">
        <f t="shared" si="74"/>
        <v>0</v>
      </c>
      <c r="W393" s="39">
        <f t="shared" si="74"/>
        <v>0</v>
      </c>
      <c r="X393" s="39">
        <f t="shared" si="74"/>
        <v>0</v>
      </c>
      <c r="Y393" s="39">
        <f t="shared" si="74"/>
        <v>0</v>
      </c>
      <c r="Z393" s="39">
        <f t="shared" si="74"/>
        <v>0</v>
      </c>
      <c r="AA393" s="39">
        <f t="shared" si="74"/>
        <v>0</v>
      </c>
      <c r="AB393" s="39">
        <f t="shared" si="74"/>
        <v>0</v>
      </c>
      <c r="AC393" s="39">
        <f t="shared" si="74"/>
        <v>0</v>
      </c>
      <c r="AD393" s="39">
        <v>0</v>
      </c>
      <c r="AE393" s="39">
        <f>SUM(AE381:AE391)</f>
        <v>0</v>
      </c>
      <c r="AF393" s="39">
        <f>SUM(AF381:AF391)</f>
        <v>0</v>
      </c>
      <c r="AG393" s="39">
        <f>SUM(AG381:AG391)</f>
        <v>0</v>
      </c>
      <c r="AH393" s="32">
        <f>SUM(AH381:AH391)</f>
        <v>0</v>
      </c>
    </row>
    <row r="394" spans="1:36" ht="15" customHeight="1">
      <c r="A394" s="14"/>
      <c r="B394" s="14"/>
      <c r="C394" s="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
    </row>
    <row r="395" spans="1:36" ht="15">
      <c r="A395" s="3811" t="s">
        <v>963</v>
      </c>
      <c r="B395" s="3812"/>
      <c r="C395" s="3812"/>
      <c r="D395" s="3812"/>
      <c r="E395" s="3812"/>
      <c r="F395" s="3812"/>
      <c r="G395" s="3812"/>
      <c r="H395" s="3813"/>
      <c r="I395" s="1229"/>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spans="1:36" ht="15">
      <c r="A396" s="5" t="s">
        <v>70</v>
      </c>
      <c r="B396" s="5" t="s">
        <v>71</v>
      </c>
      <c r="C396" s="1054">
        <v>1</v>
      </c>
      <c r="D396" s="21">
        <v>2</v>
      </c>
      <c r="E396" s="21">
        <v>3</v>
      </c>
      <c r="F396" s="21">
        <v>4</v>
      </c>
      <c r="G396" s="21">
        <v>5</v>
      </c>
      <c r="H396" s="21">
        <v>6</v>
      </c>
      <c r="I396" s="21">
        <v>7</v>
      </c>
      <c r="J396" s="21">
        <v>8</v>
      </c>
      <c r="K396" s="21">
        <v>9</v>
      </c>
      <c r="L396" s="21">
        <v>10</v>
      </c>
      <c r="M396" s="21">
        <v>11</v>
      </c>
      <c r="N396" s="21">
        <v>12</v>
      </c>
      <c r="O396" s="21">
        <v>13</v>
      </c>
      <c r="P396" s="21">
        <v>14</v>
      </c>
      <c r="Q396" s="21">
        <v>15</v>
      </c>
      <c r="R396" s="21">
        <v>16</v>
      </c>
      <c r="S396" s="21">
        <v>17</v>
      </c>
      <c r="T396" s="21">
        <v>18</v>
      </c>
      <c r="U396" s="21">
        <v>19</v>
      </c>
      <c r="V396" s="21">
        <v>20</v>
      </c>
      <c r="W396" s="21">
        <v>21</v>
      </c>
      <c r="X396" s="21">
        <v>22</v>
      </c>
      <c r="Y396" s="21">
        <v>23</v>
      </c>
      <c r="Z396" s="21">
        <v>24</v>
      </c>
      <c r="AA396" s="21">
        <v>25</v>
      </c>
      <c r="AB396" s="21">
        <v>26</v>
      </c>
      <c r="AC396" s="21">
        <v>27</v>
      </c>
      <c r="AD396" s="21">
        <v>28</v>
      </c>
      <c r="AE396" s="21">
        <v>29</v>
      </c>
      <c r="AF396" s="21">
        <v>30</v>
      </c>
      <c r="AG396" s="21">
        <v>31</v>
      </c>
      <c r="AH396" s="25" t="s">
        <v>72</v>
      </c>
      <c r="AI396" s="2266" t="s">
        <v>1345</v>
      </c>
      <c r="AJ396" s="66" t="e">
        <f>(B409/COUNTIF($C$397:$AG$408,"&gt;0"))</f>
        <v>#DIV/0!</v>
      </c>
    </row>
    <row r="397" spans="1:36" ht="15">
      <c r="A397" s="122" t="s">
        <v>73</v>
      </c>
      <c r="B397" s="15">
        <f t="shared" ref="B397:B408" si="75">+AH397</f>
        <v>0</v>
      </c>
      <c r="C397" s="107" t="s">
        <v>109</v>
      </c>
      <c r="D397" s="107" t="s">
        <v>109</v>
      </c>
      <c r="E397" s="107" t="s">
        <v>109</v>
      </c>
      <c r="F397" s="107" t="s">
        <v>109</v>
      </c>
      <c r="G397" s="107" t="s">
        <v>109</v>
      </c>
      <c r="H397" s="107" t="s">
        <v>109</v>
      </c>
      <c r="I397" s="107" t="s">
        <v>109</v>
      </c>
      <c r="J397" s="107" t="s">
        <v>109</v>
      </c>
      <c r="K397" s="107" t="s">
        <v>109</v>
      </c>
      <c r="L397" s="107" t="s">
        <v>109</v>
      </c>
      <c r="M397" s="107" t="s">
        <v>109</v>
      </c>
      <c r="N397" s="107" t="s">
        <v>109</v>
      </c>
      <c r="O397" s="107" t="s">
        <v>109</v>
      </c>
      <c r="P397" s="107" t="s">
        <v>109</v>
      </c>
      <c r="Q397" s="107" t="s">
        <v>109</v>
      </c>
      <c r="R397" s="107" t="s">
        <v>109</v>
      </c>
      <c r="S397" s="107" t="s">
        <v>109</v>
      </c>
      <c r="T397" s="107" t="s">
        <v>109</v>
      </c>
      <c r="U397" s="107" t="s">
        <v>109</v>
      </c>
      <c r="V397" s="107" t="s">
        <v>109</v>
      </c>
      <c r="W397" s="107" t="s">
        <v>109</v>
      </c>
      <c r="X397" s="107" t="s">
        <v>109</v>
      </c>
      <c r="Y397" s="107" t="s">
        <v>109</v>
      </c>
      <c r="Z397" s="107" t="s">
        <v>109</v>
      </c>
      <c r="AA397" s="107" t="s">
        <v>109</v>
      </c>
      <c r="AB397" s="107" t="s">
        <v>109</v>
      </c>
      <c r="AC397" s="107" t="s">
        <v>109</v>
      </c>
      <c r="AD397" s="107" t="s">
        <v>109</v>
      </c>
      <c r="AE397" s="107" t="s">
        <v>109</v>
      </c>
      <c r="AF397" s="107" t="s">
        <v>109</v>
      </c>
      <c r="AG397" s="107" t="s">
        <v>109</v>
      </c>
      <c r="AH397" s="39">
        <f>SUM(C397:AG397)</f>
        <v>0</v>
      </c>
    </row>
    <row r="398" spans="1:36" ht="15">
      <c r="A398" s="122" t="s">
        <v>74</v>
      </c>
      <c r="B398" s="15">
        <f t="shared" si="75"/>
        <v>0</v>
      </c>
      <c r="C398" s="107" t="s">
        <v>109</v>
      </c>
      <c r="D398" s="107" t="s">
        <v>109</v>
      </c>
      <c r="E398" s="107" t="s">
        <v>109</v>
      </c>
      <c r="F398" s="107" t="s">
        <v>109</v>
      </c>
      <c r="G398" s="107" t="s">
        <v>109</v>
      </c>
      <c r="H398" s="107" t="s">
        <v>109</v>
      </c>
      <c r="I398" s="107" t="s">
        <v>109</v>
      </c>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39">
        <f t="shared" ref="AH398:AH408" si="76">SUM(C398:AG398)</f>
        <v>0</v>
      </c>
    </row>
    <row r="399" spans="1:36" ht="15">
      <c r="A399" s="122" t="s">
        <v>75</v>
      </c>
      <c r="B399" s="15">
        <f t="shared" si="75"/>
        <v>0</v>
      </c>
      <c r="C399" s="108"/>
      <c r="D399" s="108"/>
      <c r="E399" s="108"/>
      <c r="F399" s="108"/>
      <c r="G399" s="108"/>
      <c r="H399" s="94"/>
      <c r="I399" s="94"/>
      <c r="J399" s="94"/>
      <c r="K399" s="94"/>
      <c r="L399" s="94"/>
      <c r="M399" s="94"/>
      <c r="N399" s="94">
        <v>0</v>
      </c>
      <c r="O399" s="94"/>
      <c r="P399" s="94"/>
      <c r="Q399" s="94"/>
      <c r="R399" s="94"/>
      <c r="S399" s="94"/>
      <c r="T399" s="94"/>
      <c r="U399" s="94"/>
      <c r="V399" s="94"/>
      <c r="W399" s="94"/>
      <c r="X399" s="94"/>
      <c r="Y399" s="94"/>
      <c r="Z399" s="94"/>
      <c r="AA399" s="94"/>
      <c r="AB399" s="94"/>
      <c r="AC399" s="1689"/>
      <c r="AD399" s="1689"/>
      <c r="AE399" s="1689"/>
      <c r="AF399" s="1689"/>
      <c r="AG399" s="1689"/>
      <c r="AH399" s="39">
        <f t="shared" si="76"/>
        <v>0</v>
      </c>
    </row>
    <row r="400" spans="1:36" ht="15">
      <c r="A400" s="122" t="s">
        <v>76</v>
      </c>
      <c r="B400" s="15">
        <f t="shared" si="75"/>
        <v>0</v>
      </c>
      <c r="C400" s="1689"/>
      <c r="D400" s="1689"/>
      <c r="E400" s="1689"/>
      <c r="F400" s="1689"/>
      <c r="G400" s="1689"/>
      <c r="H400" s="1689"/>
      <c r="I400" s="1689"/>
      <c r="J400" s="1689"/>
      <c r="K400" s="1689"/>
      <c r="L400" s="1091"/>
      <c r="M400" s="1091"/>
      <c r="N400" s="1091"/>
      <c r="O400" s="1091"/>
      <c r="P400" s="1091"/>
      <c r="Q400" s="1091"/>
      <c r="R400" s="1091"/>
      <c r="S400" s="1091"/>
      <c r="T400" s="1091"/>
      <c r="U400" s="1091"/>
      <c r="V400" s="1091"/>
      <c r="W400" s="1091"/>
      <c r="X400" s="1091"/>
      <c r="Y400" s="1091"/>
      <c r="Z400" s="1091"/>
      <c r="AA400" s="1091"/>
      <c r="AB400" s="1091"/>
      <c r="AC400" s="1091"/>
      <c r="AD400" s="1091"/>
      <c r="AE400" s="1091"/>
      <c r="AF400" s="1091"/>
      <c r="AG400" s="1091"/>
      <c r="AH400" s="39">
        <f t="shared" si="76"/>
        <v>0</v>
      </c>
    </row>
    <row r="401" spans="1:36" ht="15">
      <c r="A401" s="120" t="s">
        <v>77</v>
      </c>
      <c r="B401" s="15">
        <f t="shared" si="75"/>
        <v>0</v>
      </c>
      <c r="C401" s="1091"/>
      <c r="D401" s="1091"/>
      <c r="E401" s="1091"/>
      <c r="F401" s="1091"/>
      <c r="G401" s="1091"/>
      <c r="H401" s="1091"/>
      <c r="I401" s="1091"/>
      <c r="J401" s="1091"/>
      <c r="K401" s="1091"/>
      <c r="L401" s="1091"/>
      <c r="M401" s="1091"/>
      <c r="N401" s="1091"/>
      <c r="O401" s="1091"/>
      <c r="P401" s="1091"/>
      <c r="Q401" s="1091"/>
      <c r="R401" s="1091"/>
      <c r="S401" s="1091"/>
      <c r="T401" s="1091"/>
      <c r="U401" s="1091"/>
      <c r="V401" s="1091"/>
      <c r="W401" s="1091"/>
      <c r="X401" s="1091"/>
      <c r="Y401" s="1091"/>
      <c r="Z401" s="1091"/>
      <c r="AA401" s="1091"/>
      <c r="AB401" s="1091"/>
      <c r="AC401" s="1091"/>
      <c r="AD401" s="1091"/>
      <c r="AE401" s="1091"/>
      <c r="AF401" s="1091"/>
      <c r="AG401" s="1091"/>
      <c r="AH401" s="39">
        <f t="shared" si="76"/>
        <v>0</v>
      </c>
    </row>
    <row r="402" spans="1:36" ht="15">
      <c r="A402" s="120" t="s">
        <v>78</v>
      </c>
      <c r="B402" s="15">
        <f t="shared" si="75"/>
        <v>0</v>
      </c>
      <c r="C402" s="1091"/>
      <c r="D402" s="1091"/>
      <c r="E402" s="1091"/>
      <c r="F402" s="1091"/>
      <c r="G402" s="1091"/>
      <c r="H402" s="1091"/>
      <c r="I402" s="1091"/>
      <c r="J402" s="1091"/>
      <c r="K402" s="1091"/>
      <c r="L402" s="1091"/>
      <c r="M402" s="1091"/>
      <c r="N402" s="1091"/>
      <c r="O402" s="1091"/>
      <c r="P402" s="1091"/>
      <c r="Q402" s="1091"/>
      <c r="R402" s="1091"/>
      <c r="S402" s="1091"/>
      <c r="T402" s="1091"/>
      <c r="U402" s="1091"/>
      <c r="V402" s="1091"/>
      <c r="W402" s="1091"/>
      <c r="X402" s="1091"/>
      <c r="Y402" s="1091"/>
      <c r="Z402" s="1091"/>
      <c r="AA402" s="1091"/>
      <c r="AB402" s="1091"/>
      <c r="AC402" s="1091"/>
      <c r="AD402" s="1091"/>
      <c r="AE402" s="1091"/>
      <c r="AF402" s="1091"/>
      <c r="AG402" s="1091"/>
      <c r="AH402" s="39">
        <f t="shared" si="76"/>
        <v>0</v>
      </c>
    </row>
    <row r="403" spans="1:36" ht="15">
      <c r="A403" s="120" t="s">
        <v>79</v>
      </c>
      <c r="B403" s="15">
        <f t="shared" si="75"/>
        <v>0</v>
      </c>
      <c r="C403" s="1091"/>
      <c r="D403" s="1268"/>
      <c r="E403" s="1268"/>
      <c r="F403" s="1268"/>
      <c r="G403" s="1091"/>
      <c r="H403" s="1091"/>
      <c r="I403" s="1091"/>
      <c r="J403" s="2068"/>
      <c r="K403" s="2068"/>
      <c r="L403" s="1268"/>
      <c r="M403" s="1268"/>
      <c r="N403" s="1268"/>
      <c r="O403" s="1268"/>
      <c r="P403" s="1268"/>
      <c r="Q403" s="1268"/>
      <c r="R403" s="1268"/>
      <c r="S403" s="1268"/>
      <c r="T403" s="1268"/>
      <c r="U403" s="1268"/>
      <c r="V403" s="1268"/>
      <c r="W403" s="609"/>
      <c r="X403" s="609"/>
      <c r="Y403" s="609"/>
      <c r="Z403" s="609"/>
      <c r="AA403" s="609"/>
      <c r="AB403" s="609"/>
      <c r="AC403" s="609"/>
      <c r="AD403" s="609"/>
      <c r="AE403" s="609"/>
      <c r="AF403" s="609" t="s">
        <v>109</v>
      </c>
      <c r="AG403" s="609" t="s">
        <v>109</v>
      </c>
      <c r="AH403" s="39">
        <f t="shared" si="76"/>
        <v>0</v>
      </c>
    </row>
    <row r="404" spans="1:36" ht="15">
      <c r="A404" s="120" t="s">
        <v>80</v>
      </c>
      <c r="B404" s="15">
        <f t="shared" si="75"/>
        <v>0</v>
      </c>
      <c r="C404" s="609" t="s">
        <v>109</v>
      </c>
      <c r="D404" s="609" t="s">
        <v>109</v>
      </c>
      <c r="E404" s="609" t="s">
        <v>109</v>
      </c>
      <c r="F404" s="609" t="s">
        <v>109</v>
      </c>
      <c r="G404" s="609" t="s">
        <v>109</v>
      </c>
      <c r="H404" s="609" t="s">
        <v>109</v>
      </c>
      <c r="I404" s="609" t="s">
        <v>109</v>
      </c>
      <c r="J404" s="609" t="s">
        <v>109</v>
      </c>
      <c r="K404" s="609" t="s">
        <v>109</v>
      </c>
      <c r="L404" s="609" t="s">
        <v>109</v>
      </c>
      <c r="M404" s="609" t="s">
        <v>109</v>
      </c>
      <c r="N404" s="609" t="s">
        <v>109</v>
      </c>
      <c r="O404" s="609" t="s">
        <v>109</v>
      </c>
      <c r="P404" s="609" t="s">
        <v>109</v>
      </c>
      <c r="Q404" s="609" t="s">
        <v>109</v>
      </c>
      <c r="R404" s="609" t="s">
        <v>109</v>
      </c>
      <c r="S404" s="609" t="s">
        <v>109</v>
      </c>
      <c r="T404" s="609" t="s">
        <v>109</v>
      </c>
      <c r="U404" s="609" t="s">
        <v>109</v>
      </c>
      <c r="V404" s="609" t="s">
        <v>109</v>
      </c>
      <c r="W404" s="609" t="s">
        <v>109</v>
      </c>
      <c r="X404" s="609" t="s">
        <v>109</v>
      </c>
      <c r="Y404" s="609" t="s">
        <v>109</v>
      </c>
      <c r="Z404" s="609" t="s">
        <v>109</v>
      </c>
      <c r="AA404" s="609" t="s">
        <v>109</v>
      </c>
      <c r="AB404" s="609" t="s">
        <v>109</v>
      </c>
      <c r="AC404" s="609" t="s">
        <v>109</v>
      </c>
      <c r="AD404" s="609" t="s">
        <v>109</v>
      </c>
      <c r="AE404" s="609" t="s">
        <v>109</v>
      </c>
      <c r="AF404" s="609" t="s">
        <v>109</v>
      </c>
      <c r="AG404" s="609" t="s">
        <v>109</v>
      </c>
      <c r="AH404" s="39">
        <f t="shared" si="76"/>
        <v>0</v>
      </c>
    </row>
    <row r="405" spans="1:36" ht="15">
      <c r="A405" s="123" t="s">
        <v>81</v>
      </c>
      <c r="B405" s="15">
        <f t="shared" si="75"/>
        <v>0</v>
      </c>
      <c r="C405" s="609" t="s">
        <v>109</v>
      </c>
      <c r="D405" s="609" t="s">
        <v>109</v>
      </c>
      <c r="E405" s="609" t="s">
        <v>109</v>
      </c>
      <c r="F405" s="609" t="s">
        <v>109</v>
      </c>
      <c r="G405" s="609" t="s">
        <v>109</v>
      </c>
      <c r="H405" s="609" t="s">
        <v>109</v>
      </c>
      <c r="I405" s="609" t="s">
        <v>109</v>
      </c>
      <c r="J405" s="609" t="s">
        <v>109</v>
      </c>
      <c r="K405" s="609" t="s">
        <v>109</v>
      </c>
      <c r="L405" s="609" t="s">
        <v>109</v>
      </c>
      <c r="M405" s="609" t="s">
        <v>109</v>
      </c>
      <c r="N405" s="609" t="s">
        <v>109</v>
      </c>
      <c r="O405" s="609" t="s">
        <v>109</v>
      </c>
      <c r="P405" s="609" t="s">
        <v>109</v>
      </c>
      <c r="Q405" s="609" t="s">
        <v>109</v>
      </c>
      <c r="R405" s="609" t="s">
        <v>109</v>
      </c>
      <c r="S405" s="609" t="s">
        <v>109</v>
      </c>
      <c r="T405" s="609" t="s">
        <v>109</v>
      </c>
      <c r="U405" s="609" t="s">
        <v>109</v>
      </c>
      <c r="V405" s="609" t="s">
        <v>109</v>
      </c>
      <c r="W405" s="609" t="s">
        <v>109</v>
      </c>
      <c r="X405" s="609" t="s">
        <v>109</v>
      </c>
      <c r="Y405" s="609" t="s">
        <v>109</v>
      </c>
      <c r="Z405" s="609" t="s">
        <v>109</v>
      </c>
      <c r="AA405" s="609" t="s">
        <v>109</v>
      </c>
      <c r="AB405" s="609" t="s">
        <v>109</v>
      </c>
      <c r="AC405" s="609" t="s">
        <v>109</v>
      </c>
      <c r="AD405" s="609" t="s">
        <v>109</v>
      </c>
      <c r="AE405" s="609" t="s">
        <v>109</v>
      </c>
      <c r="AF405" s="609" t="s">
        <v>109</v>
      </c>
      <c r="AG405" s="609" t="s">
        <v>109</v>
      </c>
      <c r="AH405" s="39">
        <f t="shared" si="76"/>
        <v>0</v>
      </c>
    </row>
    <row r="406" spans="1:36" ht="15">
      <c r="A406" s="123" t="s">
        <v>82</v>
      </c>
      <c r="B406" s="15">
        <f t="shared" si="75"/>
        <v>0</v>
      </c>
      <c r="C406" s="609" t="s">
        <v>109</v>
      </c>
      <c r="D406" s="609" t="s">
        <v>109</v>
      </c>
      <c r="E406" s="609" t="s">
        <v>109</v>
      </c>
      <c r="F406" s="609" t="s">
        <v>109</v>
      </c>
      <c r="G406" s="609" t="s">
        <v>109</v>
      </c>
      <c r="H406" s="609" t="s">
        <v>109</v>
      </c>
      <c r="I406" s="609" t="s">
        <v>109</v>
      </c>
      <c r="J406" s="609" t="s">
        <v>109</v>
      </c>
      <c r="K406" s="609" t="s">
        <v>109</v>
      </c>
      <c r="L406" s="609" t="s">
        <v>109</v>
      </c>
      <c r="M406" s="609" t="s">
        <v>109</v>
      </c>
      <c r="N406" s="609" t="s">
        <v>109</v>
      </c>
      <c r="O406" s="609" t="s">
        <v>109</v>
      </c>
      <c r="P406" s="609" t="s">
        <v>109</v>
      </c>
      <c r="Q406" s="609" t="s">
        <v>109</v>
      </c>
      <c r="R406" s="609" t="s">
        <v>109</v>
      </c>
      <c r="S406" s="609" t="s">
        <v>109</v>
      </c>
      <c r="T406" s="609" t="s">
        <v>109</v>
      </c>
      <c r="U406" s="609" t="s">
        <v>109</v>
      </c>
      <c r="V406" s="609" t="s">
        <v>109</v>
      </c>
      <c r="W406" s="609" t="s">
        <v>109</v>
      </c>
      <c r="X406" s="1091"/>
      <c r="Y406" s="1091"/>
      <c r="Z406" s="1091"/>
      <c r="AA406" s="1091"/>
      <c r="AB406" s="1091"/>
      <c r="AC406" s="1091"/>
      <c r="AD406" s="1091"/>
      <c r="AE406" s="1268"/>
      <c r="AF406" s="1091"/>
      <c r="AG406" s="1268"/>
      <c r="AH406" s="39">
        <f t="shared" si="76"/>
        <v>0</v>
      </c>
    </row>
    <row r="407" spans="1:36" ht="15">
      <c r="A407" s="123" t="s">
        <v>83</v>
      </c>
      <c r="B407" s="15">
        <f t="shared" si="75"/>
        <v>0</v>
      </c>
      <c r="C407" s="35"/>
      <c r="D407" s="15"/>
      <c r="E407" s="15"/>
      <c r="F407" s="15"/>
      <c r="G407" s="11"/>
      <c r="H407" s="15"/>
      <c r="I407" s="15"/>
      <c r="J407" s="15"/>
      <c r="K407" s="15"/>
      <c r="L407" s="15"/>
      <c r="M407" s="15"/>
      <c r="N407" s="15"/>
      <c r="O407" s="15"/>
      <c r="P407" s="15"/>
      <c r="Q407" s="15"/>
      <c r="R407" s="15"/>
      <c r="S407" s="15"/>
      <c r="T407" s="15"/>
      <c r="U407" s="15"/>
      <c r="V407" s="15"/>
      <c r="W407" s="15"/>
      <c r="X407" s="15"/>
      <c r="Y407" s="11"/>
      <c r="Z407" s="15"/>
      <c r="AA407" s="15"/>
      <c r="AB407" s="15"/>
      <c r="AC407" s="15"/>
      <c r="AD407" s="15"/>
      <c r="AE407" s="39"/>
      <c r="AF407" s="15"/>
      <c r="AG407" s="39"/>
      <c r="AH407" s="39">
        <f t="shared" si="76"/>
        <v>0</v>
      </c>
    </row>
    <row r="408" spans="1:36" ht="15">
      <c r="A408" s="123" t="s">
        <v>84</v>
      </c>
      <c r="B408" s="15">
        <f t="shared" si="75"/>
        <v>0</v>
      </c>
      <c r="C408" s="35"/>
      <c r="D408" s="15"/>
      <c r="E408" s="15"/>
      <c r="F408" s="15"/>
      <c r="G408" s="15"/>
      <c r="H408" s="15"/>
      <c r="I408" s="15"/>
      <c r="J408" s="15"/>
      <c r="K408" s="15"/>
      <c r="L408" s="15"/>
      <c r="M408" s="15"/>
      <c r="N408" s="15"/>
      <c r="O408" s="15"/>
      <c r="P408" s="1091"/>
      <c r="Q408" s="1091"/>
      <c r="R408" s="1091"/>
      <c r="S408" s="1091"/>
      <c r="T408" s="1091"/>
      <c r="U408" s="1091"/>
      <c r="V408" s="1091"/>
      <c r="W408" s="1091"/>
      <c r="X408" s="1091"/>
      <c r="Y408" s="1091"/>
      <c r="Z408" s="1091"/>
      <c r="AA408" s="1091"/>
      <c r="AB408" s="1091"/>
      <c r="AC408" s="1091"/>
      <c r="AD408" s="1091"/>
      <c r="AE408" s="1091"/>
      <c r="AF408" s="1091"/>
      <c r="AG408" s="1091"/>
      <c r="AH408" s="39">
        <f t="shared" si="76"/>
        <v>0</v>
      </c>
    </row>
    <row r="409" spans="1:36" ht="15">
      <c r="A409" s="71" t="s">
        <v>72</v>
      </c>
      <c r="B409" s="72">
        <f>SUM(B397:B408)</f>
        <v>0</v>
      </c>
      <c r="C409" s="32">
        <f>SUM(C397:C407)</f>
        <v>0</v>
      </c>
      <c r="D409" s="39">
        <f>SUM(D397:D407)</f>
        <v>0</v>
      </c>
      <c r="E409" s="39">
        <v>0</v>
      </c>
      <c r="F409" s="39">
        <f t="shared" ref="F409:AC409" si="77">SUM(F397:F407)</f>
        <v>0</v>
      </c>
      <c r="G409" s="39">
        <f t="shared" si="77"/>
        <v>0</v>
      </c>
      <c r="H409" s="39">
        <f t="shared" si="77"/>
        <v>0</v>
      </c>
      <c r="I409" s="39">
        <f t="shared" si="77"/>
        <v>0</v>
      </c>
      <c r="J409" s="39">
        <f t="shared" si="77"/>
        <v>0</v>
      </c>
      <c r="K409" s="39">
        <f t="shared" si="77"/>
        <v>0</v>
      </c>
      <c r="L409" s="39">
        <f t="shared" si="77"/>
        <v>0</v>
      </c>
      <c r="M409" s="39">
        <f t="shared" si="77"/>
        <v>0</v>
      </c>
      <c r="N409" s="39">
        <f t="shared" si="77"/>
        <v>0</v>
      </c>
      <c r="O409" s="39">
        <f t="shared" si="77"/>
        <v>0</v>
      </c>
      <c r="P409" s="39">
        <f t="shared" si="77"/>
        <v>0</v>
      </c>
      <c r="Q409" s="39">
        <f t="shared" si="77"/>
        <v>0</v>
      </c>
      <c r="R409" s="39">
        <f t="shared" si="77"/>
        <v>0</v>
      </c>
      <c r="S409" s="39">
        <f t="shared" si="77"/>
        <v>0</v>
      </c>
      <c r="T409" s="39">
        <f t="shared" si="77"/>
        <v>0</v>
      </c>
      <c r="U409" s="39">
        <f t="shared" si="77"/>
        <v>0</v>
      </c>
      <c r="V409" s="39">
        <f t="shared" si="77"/>
        <v>0</v>
      </c>
      <c r="W409" s="39">
        <f t="shared" si="77"/>
        <v>0</v>
      </c>
      <c r="X409" s="39">
        <f t="shared" si="77"/>
        <v>0</v>
      </c>
      <c r="Y409" s="39">
        <f t="shared" si="77"/>
        <v>0</v>
      </c>
      <c r="Z409" s="39">
        <f t="shared" si="77"/>
        <v>0</v>
      </c>
      <c r="AA409" s="39">
        <f t="shared" si="77"/>
        <v>0</v>
      </c>
      <c r="AB409" s="39">
        <f t="shared" si="77"/>
        <v>0</v>
      </c>
      <c r="AC409" s="39">
        <f t="shared" si="77"/>
        <v>0</v>
      </c>
      <c r="AD409" s="39">
        <v>0</v>
      </c>
      <c r="AE409" s="39">
        <f>SUM(AE397:AE407)</f>
        <v>0</v>
      </c>
      <c r="AF409" s="39">
        <f>SUM(AF397:AF407)</f>
        <v>0</v>
      </c>
      <c r="AG409" s="39">
        <f>SUM(AG397:AG407)</f>
        <v>0</v>
      </c>
      <c r="AH409" s="32">
        <f>SUM(AH397:AH407)</f>
        <v>0</v>
      </c>
    </row>
    <row r="410" spans="1:36" ht="15">
      <c r="A410" s="45"/>
      <c r="B410" s="45"/>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row>
    <row r="411" spans="1:36" ht="15">
      <c r="A411" s="3818" t="s">
        <v>59</v>
      </c>
      <c r="B411" s="3819"/>
      <c r="C411" s="3819"/>
      <c r="D411" s="3819"/>
      <c r="E411" s="3819"/>
      <c r="F411" s="3819"/>
      <c r="G411" s="3819"/>
      <c r="H411" s="3819"/>
      <c r="I411" s="3819"/>
      <c r="J411" s="3819"/>
      <c r="K411" s="3819"/>
      <c r="L411" s="3819"/>
      <c r="M411" s="3819"/>
      <c r="N411" s="3819"/>
      <c r="O411" s="3819"/>
      <c r="P411" s="3819"/>
      <c r="Q411" s="3819"/>
      <c r="R411" s="3820"/>
      <c r="S411" s="11"/>
      <c r="T411" s="11"/>
      <c r="U411" s="11"/>
      <c r="V411" s="11"/>
      <c r="W411" s="11"/>
      <c r="X411" s="11"/>
      <c r="Y411" s="11"/>
      <c r="Z411" s="11"/>
      <c r="AA411" s="11"/>
      <c r="AB411" s="11"/>
      <c r="AC411" s="11"/>
      <c r="AD411" s="11"/>
      <c r="AE411" s="11"/>
      <c r="AF411" s="11"/>
      <c r="AG411" s="11"/>
      <c r="AH411" s="11"/>
    </row>
    <row r="412" spans="1:36" ht="15">
      <c r="A412" s="3815" t="s">
        <v>777</v>
      </c>
      <c r="B412" s="3816"/>
      <c r="C412" s="3816"/>
      <c r="D412" s="3816"/>
      <c r="E412" s="3816"/>
      <c r="F412" s="3816"/>
      <c r="G412" s="3816"/>
      <c r="H412" s="3817"/>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spans="1:36" ht="15">
      <c r="A413" s="5" t="s">
        <v>70</v>
      </c>
      <c r="B413" s="5" t="s">
        <v>71</v>
      </c>
      <c r="C413" s="1054">
        <v>1</v>
      </c>
      <c r="D413" s="21">
        <v>2</v>
      </c>
      <c r="E413" s="21">
        <v>3</v>
      </c>
      <c r="F413" s="21">
        <v>4</v>
      </c>
      <c r="G413" s="21">
        <v>5</v>
      </c>
      <c r="H413" s="21">
        <v>6</v>
      </c>
      <c r="I413" s="21">
        <v>7</v>
      </c>
      <c r="J413" s="21">
        <v>8</v>
      </c>
      <c r="K413" s="21">
        <v>9</v>
      </c>
      <c r="L413" s="21">
        <v>10</v>
      </c>
      <c r="M413" s="21">
        <v>11</v>
      </c>
      <c r="N413" s="21">
        <v>12</v>
      </c>
      <c r="O413" s="21">
        <v>13</v>
      </c>
      <c r="P413" s="21">
        <v>14</v>
      </c>
      <c r="Q413" s="21">
        <v>15</v>
      </c>
      <c r="R413" s="21">
        <v>16</v>
      </c>
      <c r="S413" s="21">
        <v>17</v>
      </c>
      <c r="T413" s="21">
        <v>18</v>
      </c>
      <c r="U413" s="21">
        <v>19</v>
      </c>
      <c r="V413" s="21">
        <v>20</v>
      </c>
      <c r="W413" s="21">
        <v>21</v>
      </c>
      <c r="X413" s="21">
        <v>22</v>
      </c>
      <c r="Y413" s="21">
        <v>23</v>
      </c>
      <c r="Z413" s="21">
        <v>24</v>
      </c>
      <c r="AA413" s="21">
        <v>25</v>
      </c>
      <c r="AB413" s="21">
        <v>26</v>
      </c>
      <c r="AC413" s="21">
        <v>27</v>
      </c>
      <c r="AD413" s="21">
        <v>28</v>
      </c>
      <c r="AE413" s="21">
        <v>29</v>
      </c>
      <c r="AF413" s="21">
        <v>30</v>
      </c>
      <c r="AG413" s="21">
        <v>31</v>
      </c>
      <c r="AH413" s="25" t="s">
        <v>72</v>
      </c>
      <c r="AI413" s="2266" t="s">
        <v>1345</v>
      </c>
      <c r="AJ413" s="66">
        <f>(B426/COUNTIF($C$414:$AG$425,"&gt;0"))</f>
        <v>4.2680499999999997</v>
      </c>
    </row>
    <row r="414" spans="1:36" ht="15">
      <c r="A414" s="21" t="s">
        <v>73</v>
      </c>
      <c r="B414" s="95">
        <f t="shared" ref="B414:B425" si="78">+AH414</f>
        <v>0.6</v>
      </c>
      <c r="C414" s="1689"/>
      <c r="D414" s="1689"/>
      <c r="E414" s="1689"/>
      <c r="F414" s="1689"/>
      <c r="G414" s="1689"/>
      <c r="H414" s="1689"/>
      <c r="I414" s="1689"/>
      <c r="J414" s="1689"/>
      <c r="K414" s="1689"/>
      <c r="L414" s="1689"/>
      <c r="M414" s="1689"/>
      <c r="N414" s="1689"/>
      <c r="O414" s="1689"/>
      <c r="P414" s="1689"/>
      <c r="Q414" s="1689"/>
      <c r="R414" s="1689"/>
      <c r="S414" s="1689"/>
      <c r="T414" s="1689"/>
      <c r="U414" s="1689"/>
      <c r="V414" s="1689"/>
      <c r="W414" s="1689"/>
      <c r="X414" s="1689"/>
      <c r="Y414" s="1689"/>
      <c r="Z414" s="1689"/>
      <c r="AA414" s="1689"/>
      <c r="AB414" s="1091"/>
      <c r="AC414" s="1689"/>
      <c r="AD414" s="1689">
        <v>0.6</v>
      </c>
      <c r="AE414" s="1689"/>
      <c r="AF414" s="1689"/>
      <c r="AG414" s="1689"/>
      <c r="AH414" s="39">
        <f>SUM(C414:AG414)</f>
        <v>0.6</v>
      </c>
      <c r="AJ414" s="2157">
        <f>+'Resumen RAE Anchoveta'!G272</f>
        <v>30.104999999999997</v>
      </c>
    </row>
    <row r="415" spans="1:36" ht="15">
      <c r="A415" s="21" t="s">
        <v>74</v>
      </c>
      <c r="B415" s="95">
        <f t="shared" si="78"/>
        <v>1.508</v>
      </c>
      <c r="C415" s="1689"/>
      <c r="D415" s="1689"/>
      <c r="E415" s="1689"/>
      <c r="F415" s="1689"/>
      <c r="G415" s="1689"/>
      <c r="H415" s="1689"/>
      <c r="I415" s="1689"/>
      <c r="J415" s="1689"/>
      <c r="K415" s="1689"/>
      <c r="L415" s="1689"/>
      <c r="M415" s="1689">
        <v>1.0640000000000001</v>
      </c>
      <c r="N415" s="1689"/>
      <c r="O415" s="1689"/>
      <c r="P415" s="1689"/>
      <c r="Q415" s="1689"/>
      <c r="R415" s="1689"/>
      <c r="S415" s="1689"/>
      <c r="T415" s="1689"/>
      <c r="U415" s="1689"/>
      <c r="V415" s="1689"/>
      <c r="W415" s="1689"/>
      <c r="X415" s="1689"/>
      <c r="Y415" s="1689"/>
      <c r="Z415" s="1689"/>
      <c r="AA415" s="1689"/>
      <c r="AB415" s="1689"/>
      <c r="AC415" s="1689"/>
      <c r="AD415" s="1689">
        <v>0.44400000000000001</v>
      </c>
      <c r="AE415" s="1689"/>
      <c r="AF415" s="1689"/>
      <c r="AG415" s="1689"/>
      <c r="AH415" s="39">
        <f t="shared" ref="AH415:AH425" si="79">SUM(C415:AG415)</f>
        <v>1.508</v>
      </c>
      <c r="AJ415" s="1093">
        <f>+AJ414/AJ413</f>
        <v>7.0535724745492674</v>
      </c>
    </row>
    <row r="416" spans="1:36" ht="15">
      <c r="A416" s="21" t="s">
        <v>75</v>
      </c>
      <c r="B416" s="95">
        <f t="shared" si="78"/>
        <v>7.7030000000000003</v>
      </c>
      <c r="C416" s="1689">
        <v>7.7030000000000003</v>
      </c>
      <c r="D416" s="1689"/>
      <c r="E416" s="1689"/>
      <c r="F416" s="1689"/>
      <c r="G416" s="1689"/>
      <c r="H416" s="1091"/>
      <c r="I416" s="1091"/>
      <c r="J416" s="1091"/>
      <c r="K416" s="1091"/>
      <c r="L416" s="1091"/>
      <c r="M416" s="1091"/>
      <c r="N416" s="1091"/>
      <c r="O416" s="1091"/>
      <c r="P416" s="1091"/>
      <c r="Q416" s="1084"/>
      <c r="R416" s="1084"/>
      <c r="S416" s="1084"/>
      <c r="T416" s="1084"/>
      <c r="U416" s="1084"/>
      <c r="V416" s="1084"/>
      <c r="W416" s="1084"/>
      <c r="X416" s="1084"/>
      <c r="Y416" s="1084"/>
      <c r="Z416" s="1084"/>
      <c r="AA416" s="1084"/>
      <c r="AB416" s="1084"/>
      <c r="AC416" s="1084"/>
      <c r="AD416" s="1084"/>
      <c r="AE416" s="1084"/>
      <c r="AF416" s="1084"/>
      <c r="AG416" s="1084"/>
      <c r="AH416" s="39">
        <f t="shared" si="79"/>
        <v>7.7030000000000003</v>
      </c>
    </row>
    <row r="417" spans="1:36" ht="15">
      <c r="A417" s="21" t="s">
        <v>76</v>
      </c>
      <c r="B417" s="95">
        <f t="shared" si="78"/>
        <v>0</v>
      </c>
      <c r="C417" s="1084"/>
      <c r="D417" s="1084"/>
      <c r="E417" s="1084"/>
      <c r="F417" s="1084"/>
      <c r="G417" s="1084"/>
      <c r="H417" s="1084"/>
      <c r="I417" s="1084"/>
      <c r="J417" s="1084"/>
      <c r="K417" s="1084"/>
      <c r="L417" s="1084"/>
      <c r="M417" s="1084"/>
      <c r="N417" s="1084"/>
      <c r="O417" s="1084"/>
      <c r="P417" s="1084"/>
      <c r="Q417" s="1084"/>
      <c r="R417" s="1084"/>
      <c r="S417" s="1084"/>
      <c r="T417" s="1084"/>
      <c r="U417" s="1084"/>
      <c r="V417" s="1084"/>
      <c r="W417" s="1084"/>
      <c r="X417" s="1084"/>
      <c r="Y417" s="1084"/>
      <c r="Z417" s="1084"/>
      <c r="AA417" s="1084"/>
      <c r="AB417" s="1084"/>
      <c r="AC417" s="1084"/>
      <c r="AD417" s="1084"/>
      <c r="AE417" s="1084"/>
      <c r="AF417" s="1084" t="s">
        <v>110</v>
      </c>
      <c r="AG417" s="1084" t="s">
        <v>110</v>
      </c>
      <c r="AH417" s="39">
        <f t="shared" si="79"/>
        <v>0</v>
      </c>
    </row>
    <row r="418" spans="1:36" ht="15">
      <c r="A418" s="21" t="s">
        <v>77</v>
      </c>
      <c r="B418" s="95">
        <f t="shared" si="78"/>
        <v>25.844999999999999</v>
      </c>
      <c r="C418" s="1084" t="s">
        <v>110</v>
      </c>
      <c r="D418" s="1084" t="s">
        <v>110</v>
      </c>
      <c r="E418" s="1084" t="s">
        <v>110</v>
      </c>
      <c r="F418" s="1084" t="s">
        <v>110</v>
      </c>
      <c r="G418" s="1084" t="s">
        <v>110</v>
      </c>
      <c r="H418" s="1084" t="s">
        <v>110</v>
      </c>
      <c r="I418" s="1084" t="s">
        <v>110</v>
      </c>
      <c r="J418" s="1084" t="s">
        <v>110</v>
      </c>
      <c r="K418" s="1084" t="s">
        <v>110</v>
      </c>
      <c r="L418" s="1084" t="s">
        <v>110</v>
      </c>
      <c r="M418" s="1084" t="s">
        <v>110</v>
      </c>
      <c r="N418" s="1084" t="s">
        <v>110</v>
      </c>
      <c r="O418" s="1084" t="s">
        <v>110</v>
      </c>
      <c r="P418" s="1084" t="s">
        <v>110</v>
      </c>
      <c r="Q418" s="1084" t="s">
        <v>110</v>
      </c>
      <c r="R418" s="1091"/>
      <c r="S418" s="1091"/>
      <c r="T418" s="1091"/>
      <c r="U418" s="1091"/>
      <c r="V418" s="1091"/>
      <c r="W418" s="1091"/>
      <c r="X418" s="1091">
        <v>2.2349999999999999</v>
      </c>
      <c r="Y418" s="1091">
        <v>19.809000000000001</v>
      </c>
      <c r="Z418" s="1091">
        <v>0.61299999999999999</v>
      </c>
      <c r="AA418" s="1091"/>
      <c r="AB418" s="1091"/>
      <c r="AC418" s="1091"/>
      <c r="AD418" s="1091">
        <v>3.1880000000000002</v>
      </c>
      <c r="AE418" s="1091"/>
      <c r="AF418" s="1091"/>
      <c r="AG418" s="1091"/>
      <c r="AH418" s="39">
        <f t="shared" si="79"/>
        <v>25.844999999999999</v>
      </c>
    </row>
    <row r="419" spans="1:36" ht="15">
      <c r="A419" s="21" t="s">
        <v>78</v>
      </c>
      <c r="B419" s="95">
        <f t="shared" si="78"/>
        <v>0</v>
      </c>
      <c r="C419" s="3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39">
        <f t="shared" si="79"/>
        <v>0</v>
      </c>
    </row>
    <row r="420" spans="1:36" ht="15">
      <c r="A420" s="21" t="s">
        <v>79</v>
      </c>
      <c r="B420" s="94">
        <f t="shared" si="78"/>
        <v>1.409</v>
      </c>
      <c r="C420" s="35"/>
      <c r="D420" s="39">
        <v>1.409</v>
      </c>
      <c r="E420" s="39"/>
      <c r="F420" s="39"/>
      <c r="G420" s="15"/>
      <c r="H420" s="15"/>
      <c r="I420" s="15"/>
      <c r="J420" s="43"/>
      <c r="K420" s="43"/>
      <c r="L420" s="39"/>
      <c r="M420" s="39"/>
      <c r="N420" s="39"/>
      <c r="O420" s="39"/>
      <c r="P420" s="39"/>
      <c r="Q420" s="39"/>
      <c r="R420" s="39"/>
      <c r="S420" s="39"/>
      <c r="T420" s="39"/>
      <c r="U420" s="39"/>
      <c r="V420" s="39"/>
      <c r="W420" s="897" t="s">
        <v>110</v>
      </c>
      <c r="X420" s="897" t="s">
        <v>110</v>
      </c>
      <c r="Y420" s="897" t="s">
        <v>110</v>
      </c>
      <c r="Z420" s="897" t="s">
        <v>110</v>
      </c>
      <c r="AA420" s="897" t="s">
        <v>110</v>
      </c>
      <c r="AB420" s="897" t="s">
        <v>110</v>
      </c>
      <c r="AC420" s="897" t="s">
        <v>110</v>
      </c>
      <c r="AD420" s="897" t="s">
        <v>110</v>
      </c>
      <c r="AE420" s="897" t="s">
        <v>110</v>
      </c>
      <c r="AF420" s="897" t="s">
        <v>110</v>
      </c>
      <c r="AG420" s="897" t="s">
        <v>110</v>
      </c>
      <c r="AH420" s="39">
        <f t="shared" si="79"/>
        <v>1.409</v>
      </c>
    </row>
    <row r="421" spans="1:36" ht="15">
      <c r="A421" s="21" t="s">
        <v>80</v>
      </c>
      <c r="B421" s="94">
        <f t="shared" si="78"/>
        <v>0</v>
      </c>
      <c r="C421" s="897" t="s">
        <v>110</v>
      </c>
      <c r="D421" s="897" t="s">
        <v>110</v>
      </c>
      <c r="E421" s="897" t="s">
        <v>110</v>
      </c>
      <c r="F421" s="897" t="s">
        <v>110</v>
      </c>
      <c r="G421" s="897" t="s">
        <v>110</v>
      </c>
      <c r="H421" s="897" t="s">
        <v>110</v>
      </c>
      <c r="I421" s="897" t="s">
        <v>110</v>
      </c>
      <c r="J421" s="897" t="s">
        <v>110</v>
      </c>
      <c r="K421" s="897" t="s">
        <v>110</v>
      </c>
      <c r="L421" s="897" t="s">
        <v>110</v>
      </c>
      <c r="M421" s="897" t="s">
        <v>110</v>
      </c>
      <c r="N421" s="897" t="s">
        <v>110</v>
      </c>
      <c r="O421" s="897" t="s">
        <v>110</v>
      </c>
      <c r="P421" s="897" t="s">
        <v>110</v>
      </c>
      <c r="Q421" s="897" t="s">
        <v>110</v>
      </c>
      <c r="R421" s="897" t="s">
        <v>110</v>
      </c>
      <c r="S421" s="897" t="s">
        <v>110</v>
      </c>
      <c r="T421" s="897" t="s">
        <v>110</v>
      </c>
      <c r="U421" s="897" t="s">
        <v>110</v>
      </c>
      <c r="V421" s="897" t="s">
        <v>110</v>
      </c>
      <c r="W421" s="897" t="s">
        <v>110</v>
      </c>
      <c r="X421" s="897" t="s">
        <v>110</v>
      </c>
      <c r="Y421" s="897" t="s">
        <v>110</v>
      </c>
      <c r="Z421" s="897" t="s">
        <v>110</v>
      </c>
      <c r="AA421" s="897" t="s">
        <v>110</v>
      </c>
      <c r="AB421" s="897" t="s">
        <v>110</v>
      </c>
      <c r="AC421" s="897" t="s">
        <v>110</v>
      </c>
      <c r="AD421" s="897" t="s">
        <v>110</v>
      </c>
      <c r="AE421" s="897" t="s">
        <v>110</v>
      </c>
      <c r="AF421" s="897" t="s">
        <v>110</v>
      </c>
      <c r="AG421" s="897" t="s">
        <v>110</v>
      </c>
      <c r="AH421" s="39">
        <f t="shared" si="79"/>
        <v>0</v>
      </c>
    </row>
    <row r="422" spans="1:36" ht="15">
      <c r="A422" s="21" t="s">
        <v>81</v>
      </c>
      <c r="B422" s="94">
        <f t="shared" si="78"/>
        <v>0</v>
      </c>
      <c r="C422" s="32"/>
      <c r="D422" s="39"/>
      <c r="E422" s="39"/>
      <c r="F422" s="39"/>
      <c r="G422" s="39"/>
      <c r="H422" s="39"/>
      <c r="I422" s="39"/>
      <c r="J422" s="43"/>
      <c r="K422" s="43"/>
      <c r="L422" s="15"/>
      <c r="M422" s="15"/>
      <c r="N422" s="15"/>
      <c r="O422" s="15"/>
      <c r="P422" s="15"/>
      <c r="Q422" s="897" t="s">
        <v>110</v>
      </c>
      <c r="R422" s="897" t="s">
        <v>110</v>
      </c>
      <c r="S422" s="897" t="s">
        <v>110</v>
      </c>
      <c r="T422" s="897" t="s">
        <v>110</v>
      </c>
      <c r="U422" s="897" t="s">
        <v>110</v>
      </c>
      <c r="V422" s="897" t="s">
        <v>110</v>
      </c>
      <c r="W422" s="897" t="s">
        <v>110</v>
      </c>
      <c r="X422" s="897" t="s">
        <v>110</v>
      </c>
      <c r="Y422" s="897" t="s">
        <v>110</v>
      </c>
      <c r="Z422" s="897" t="s">
        <v>110</v>
      </c>
      <c r="AA422" s="897" t="s">
        <v>110</v>
      </c>
      <c r="AB422" s="897" t="s">
        <v>110</v>
      </c>
      <c r="AC422" s="897" t="s">
        <v>110</v>
      </c>
      <c r="AD422" s="897" t="s">
        <v>110</v>
      </c>
      <c r="AE422" s="897" t="s">
        <v>110</v>
      </c>
      <c r="AF422" s="897" t="s">
        <v>110</v>
      </c>
      <c r="AG422" s="897" t="s">
        <v>110</v>
      </c>
      <c r="AH422" s="39">
        <f t="shared" si="79"/>
        <v>0</v>
      </c>
    </row>
    <row r="423" spans="1:36" ht="15">
      <c r="A423" s="21" t="s">
        <v>82</v>
      </c>
      <c r="B423" s="94">
        <f t="shared" si="78"/>
        <v>2.0499999999999998</v>
      </c>
      <c r="C423" s="897"/>
      <c r="D423" s="897"/>
      <c r="E423" s="897"/>
      <c r="F423" s="897">
        <v>0.6</v>
      </c>
      <c r="G423" s="897"/>
      <c r="H423" s="897"/>
      <c r="I423" s="897"/>
      <c r="J423" s="897"/>
      <c r="K423" s="897"/>
      <c r="L423" s="897">
        <v>1.45</v>
      </c>
      <c r="M423" s="897" t="s">
        <v>110</v>
      </c>
      <c r="N423" s="897" t="s">
        <v>110</v>
      </c>
      <c r="O423" s="897" t="s">
        <v>110</v>
      </c>
      <c r="P423" s="897" t="s">
        <v>110</v>
      </c>
      <c r="Q423" s="897" t="s">
        <v>110</v>
      </c>
      <c r="R423" s="897" t="s">
        <v>110</v>
      </c>
      <c r="S423" s="897" t="s">
        <v>110</v>
      </c>
      <c r="T423" s="897" t="s">
        <v>110</v>
      </c>
      <c r="U423" s="897" t="s">
        <v>110</v>
      </c>
      <c r="V423" s="897" t="s">
        <v>110</v>
      </c>
      <c r="W423" s="897" t="s">
        <v>110</v>
      </c>
      <c r="X423" s="897" t="s">
        <v>110</v>
      </c>
      <c r="Y423" s="897" t="s">
        <v>110</v>
      </c>
      <c r="Z423" s="897" t="s">
        <v>110</v>
      </c>
      <c r="AA423" s="897" t="s">
        <v>110</v>
      </c>
      <c r="AB423" s="897" t="s">
        <v>110</v>
      </c>
      <c r="AC423" s="897" t="s">
        <v>110</v>
      </c>
      <c r="AD423" s="897" t="s">
        <v>110</v>
      </c>
      <c r="AE423" s="897" t="s">
        <v>110</v>
      </c>
      <c r="AF423" s="897" t="s">
        <v>110</v>
      </c>
      <c r="AG423" s="897" t="s">
        <v>110</v>
      </c>
      <c r="AH423" s="39">
        <f t="shared" si="79"/>
        <v>2.0499999999999998</v>
      </c>
    </row>
    <row r="424" spans="1:36" ht="15">
      <c r="A424" s="21" t="s">
        <v>83</v>
      </c>
      <c r="B424" s="15">
        <f t="shared" si="78"/>
        <v>35.887</v>
      </c>
      <c r="C424" s="65"/>
      <c r="D424" s="65"/>
      <c r="E424" s="65"/>
      <c r="F424" s="65"/>
      <c r="G424" s="65"/>
      <c r="H424" s="65"/>
      <c r="I424" s="65"/>
      <c r="J424" s="65"/>
      <c r="K424" s="65"/>
      <c r="L424" s="65"/>
      <c r="M424" s="65"/>
      <c r="N424" s="65"/>
      <c r="O424" s="65"/>
      <c r="P424" s="65"/>
      <c r="Q424" s="65">
        <v>5.6</v>
      </c>
      <c r="R424" s="15"/>
      <c r="S424" s="15"/>
      <c r="T424" s="15">
        <v>3.375</v>
      </c>
      <c r="U424" s="15" t="s">
        <v>127</v>
      </c>
      <c r="V424" s="15">
        <v>5.6429999999999998</v>
      </c>
      <c r="W424" s="15">
        <v>6.3239999999999998</v>
      </c>
      <c r="X424" s="15">
        <v>1.6830000000000001</v>
      </c>
      <c r="Y424" s="11"/>
      <c r="Z424" s="15"/>
      <c r="AA424" s="15"/>
      <c r="AB424" s="15">
        <v>13.262</v>
      </c>
      <c r="AC424" s="15"/>
      <c r="AD424" s="15"/>
      <c r="AE424" s="39"/>
      <c r="AF424" s="15"/>
      <c r="AG424" s="39"/>
      <c r="AH424" s="39">
        <f t="shared" si="79"/>
        <v>35.887</v>
      </c>
    </row>
    <row r="425" spans="1:36" ht="15">
      <c r="A425" s="21" t="s">
        <v>84</v>
      </c>
      <c r="B425" s="15">
        <f t="shared" si="78"/>
        <v>10.359000000000002</v>
      </c>
      <c r="C425" s="35"/>
      <c r="D425" s="15"/>
      <c r="E425" s="15"/>
      <c r="F425" s="15"/>
      <c r="G425" s="15"/>
      <c r="H425" s="15"/>
      <c r="I425" s="15"/>
      <c r="J425" s="15"/>
      <c r="K425" s="15"/>
      <c r="L425" s="15"/>
      <c r="M425" s="15"/>
      <c r="N425" s="15"/>
      <c r="O425" s="15"/>
      <c r="P425" s="15"/>
      <c r="Q425" s="15">
        <v>3.8450000000000002</v>
      </c>
      <c r="R425" s="15">
        <v>2.407</v>
      </c>
      <c r="S425" s="15"/>
      <c r="T425" s="15"/>
      <c r="U425" s="15"/>
      <c r="V425" s="15"/>
      <c r="W425" s="15"/>
      <c r="X425" s="15"/>
      <c r="Y425" s="15"/>
      <c r="Z425" s="15"/>
      <c r="AA425" s="15"/>
      <c r="AB425" s="15"/>
      <c r="AC425" s="15">
        <v>4.1070000000000002</v>
      </c>
      <c r="AD425" s="15"/>
      <c r="AE425" s="39"/>
      <c r="AF425" s="15"/>
      <c r="AG425" s="39"/>
      <c r="AH425" s="39">
        <f t="shared" si="79"/>
        <v>10.359000000000002</v>
      </c>
    </row>
    <row r="426" spans="1:36" ht="15">
      <c r="A426" s="71" t="s">
        <v>72</v>
      </c>
      <c r="B426" s="72">
        <f>SUM(B414:B425)</f>
        <v>85.36099999999999</v>
      </c>
      <c r="C426" s="32">
        <f>SUM(C414:C424)</f>
        <v>7.7030000000000003</v>
      </c>
      <c r="D426" s="39">
        <f>SUM(D414:D424)</f>
        <v>1.409</v>
      </c>
      <c r="E426" s="39">
        <v>0</v>
      </c>
      <c r="F426" s="39">
        <f>SUM(F414:F424)</f>
        <v>0.6</v>
      </c>
      <c r="G426" s="39">
        <f>SUM(G414:G424)</f>
        <v>0</v>
      </c>
      <c r="H426" s="39">
        <f>SUM(H414:H424)</f>
        <v>0</v>
      </c>
      <c r="I426" s="39">
        <f>SUM(I414:I424)</f>
        <v>0</v>
      </c>
      <c r="J426" s="39">
        <f t="shared" ref="J426:AC426" si="80">SUM(J414:J424)</f>
        <v>0</v>
      </c>
      <c r="K426" s="39">
        <f t="shared" si="80"/>
        <v>0</v>
      </c>
      <c r="L426" s="39">
        <f t="shared" si="80"/>
        <v>1.45</v>
      </c>
      <c r="M426" s="39">
        <f t="shared" si="80"/>
        <v>1.0640000000000001</v>
      </c>
      <c r="N426" s="39">
        <f t="shared" si="80"/>
        <v>0</v>
      </c>
      <c r="O426" s="39">
        <f t="shared" si="80"/>
        <v>0</v>
      </c>
      <c r="P426" s="39">
        <f t="shared" si="80"/>
        <v>0</v>
      </c>
      <c r="Q426" s="39">
        <f t="shared" si="80"/>
        <v>5.6</v>
      </c>
      <c r="R426" s="39">
        <f t="shared" si="80"/>
        <v>0</v>
      </c>
      <c r="S426" s="39">
        <f t="shared" si="80"/>
        <v>0</v>
      </c>
      <c r="T426" s="39">
        <f t="shared" si="80"/>
        <v>3.375</v>
      </c>
      <c r="U426" s="39">
        <f t="shared" si="80"/>
        <v>0</v>
      </c>
      <c r="V426" s="39">
        <f t="shared" si="80"/>
        <v>5.6429999999999998</v>
      </c>
      <c r="W426" s="39">
        <f t="shared" si="80"/>
        <v>6.3239999999999998</v>
      </c>
      <c r="X426" s="39">
        <f t="shared" si="80"/>
        <v>3.9180000000000001</v>
      </c>
      <c r="Y426" s="39">
        <f t="shared" si="80"/>
        <v>19.809000000000001</v>
      </c>
      <c r="Z426" s="39">
        <f t="shared" si="80"/>
        <v>0.61299999999999999</v>
      </c>
      <c r="AA426" s="39">
        <f t="shared" si="80"/>
        <v>0</v>
      </c>
      <c r="AB426" s="39">
        <f t="shared" si="80"/>
        <v>13.262</v>
      </c>
      <c r="AC426" s="39">
        <f t="shared" si="80"/>
        <v>0</v>
      </c>
      <c r="AD426" s="39">
        <v>0</v>
      </c>
      <c r="AE426" s="39">
        <f>SUM(AE414:AE424)</f>
        <v>0</v>
      </c>
      <c r="AF426" s="39">
        <f>SUM(AF414:AF424)</f>
        <v>0</v>
      </c>
      <c r="AG426" s="39">
        <f>SUM(AG414:AG424)</f>
        <v>0</v>
      </c>
      <c r="AH426" s="32">
        <f>SUM(AH414:AH424)</f>
        <v>75.001999999999995</v>
      </c>
    </row>
    <row r="427" spans="1:36" ht="12.75" customHeight="1">
      <c r="A427" s="36"/>
      <c r="B427" s="36"/>
      <c r="C427" s="36"/>
      <c r="D427" s="36"/>
      <c r="E427" s="36"/>
      <c r="F427" s="36"/>
      <c r="G427" s="36"/>
      <c r="H427" s="36"/>
      <c r="I427" s="36"/>
      <c r="J427" s="36"/>
      <c r="K427" s="36"/>
      <c r="L427" s="36"/>
      <c r="M427" s="36"/>
      <c r="N427" s="36"/>
      <c r="O427" s="36"/>
      <c r="P427" s="36"/>
      <c r="Q427" s="36"/>
      <c r="R427" s="36"/>
      <c r="S427" s="11"/>
      <c r="T427" s="11"/>
      <c r="U427" s="11"/>
      <c r="V427" s="11"/>
      <c r="W427" s="11"/>
      <c r="X427" s="11"/>
      <c r="Y427" s="11"/>
      <c r="Z427" s="11"/>
      <c r="AA427" s="11"/>
      <c r="AB427" s="11"/>
      <c r="AC427" s="11"/>
      <c r="AD427" s="11"/>
      <c r="AE427" s="11"/>
      <c r="AF427" s="11"/>
      <c r="AG427" s="11"/>
      <c r="AH427" s="11"/>
    </row>
    <row r="428" spans="1:36" ht="15">
      <c r="A428" s="3815" t="s">
        <v>60</v>
      </c>
      <c r="B428" s="3816"/>
      <c r="C428" s="3816"/>
      <c r="D428" s="3816"/>
      <c r="E428" s="3816"/>
      <c r="F428" s="3816"/>
      <c r="G428" s="3816"/>
      <c r="H428" s="3817"/>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row>
    <row r="429" spans="1:36" ht="15">
      <c r="A429" s="5" t="s">
        <v>70</v>
      </c>
      <c r="B429" s="5" t="s">
        <v>71</v>
      </c>
      <c r="C429" s="1054">
        <v>1</v>
      </c>
      <c r="D429" s="21">
        <v>2</v>
      </c>
      <c r="E429" s="21">
        <v>3</v>
      </c>
      <c r="F429" s="21">
        <v>4</v>
      </c>
      <c r="G429" s="21">
        <v>5</v>
      </c>
      <c r="H429" s="21">
        <v>6</v>
      </c>
      <c r="I429" s="21">
        <v>7</v>
      </c>
      <c r="J429" s="21">
        <v>8</v>
      </c>
      <c r="K429" s="21">
        <v>9</v>
      </c>
      <c r="L429" s="21">
        <v>10</v>
      </c>
      <c r="M429" s="21">
        <v>11</v>
      </c>
      <c r="N429" s="21">
        <v>12</v>
      </c>
      <c r="O429" s="21">
        <v>13</v>
      </c>
      <c r="P429" s="21">
        <v>14</v>
      </c>
      <c r="Q429" s="21">
        <v>15</v>
      </c>
      <c r="R429" s="21">
        <v>16</v>
      </c>
      <c r="S429" s="21">
        <v>17</v>
      </c>
      <c r="T429" s="21">
        <v>18</v>
      </c>
      <c r="U429" s="21">
        <v>19</v>
      </c>
      <c r="V429" s="21">
        <v>20</v>
      </c>
      <c r="W429" s="21">
        <v>21</v>
      </c>
      <c r="X429" s="21">
        <v>22</v>
      </c>
      <c r="Y429" s="21">
        <v>23</v>
      </c>
      <c r="Z429" s="21">
        <v>24</v>
      </c>
      <c r="AA429" s="21">
        <v>25</v>
      </c>
      <c r="AB429" s="21">
        <v>26</v>
      </c>
      <c r="AC429" s="21">
        <v>27</v>
      </c>
      <c r="AD429" s="21">
        <v>28</v>
      </c>
      <c r="AE429" s="21">
        <v>29</v>
      </c>
      <c r="AF429" s="21">
        <v>30</v>
      </c>
      <c r="AG429" s="21">
        <v>31</v>
      </c>
      <c r="AH429" s="25" t="s">
        <v>72</v>
      </c>
      <c r="AI429" s="2266" t="s">
        <v>1345</v>
      </c>
      <c r="AJ429" s="66">
        <f>(B442/COUNTIF($C$430:$AG$441,"&gt;0"))</f>
        <v>2.0276666666666667</v>
      </c>
    </row>
    <row r="430" spans="1:36" ht="15">
      <c r="A430" s="21" t="s">
        <v>73</v>
      </c>
      <c r="B430" s="95">
        <f t="shared" ref="B430:B441" si="81">+AH430</f>
        <v>0</v>
      </c>
      <c r="C430" s="1689"/>
      <c r="D430" s="1689"/>
      <c r="E430" s="1689"/>
      <c r="F430" s="1689"/>
      <c r="G430" s="1689"/>
      <c r="H430" s="1689"/>
      <c r="I430" s="1689"/>
      <c r="J430" s="1689"/>
      <c r="K430" s="1689"/>
      <c r="L430" s="1689"/>
      <c r="M430" s="1689"/>
      <c r="N430" s="1689"/>
      <c r="O430" s="1689"/>
      <c r="P430" s="1689"/>
      <c r="Q430" s="1689"/>
      <c r="R430" s="1689"/>
      <c r="S430" s="1689"/>
      <c r="T430" s="1689"/>
      <c r="U430" s="1689"/>
      <c r="V430" s="1689"/>
      <c r="W430" s="1689"/>
      <c r="X430" s="1689"/>
      <c r="Y430" s="1689"/>
      <c r="Z430" s="1689"/>
      <c r="AA430" s="1689"/>
      <c r="AB430" s="1091"/>
      <c r="AC430" s="1689"/>
      <c r="AD430" s="1689"/>
      <c r="AE430" s="1689"/>
      <c r="AF430" s="1689"/>
      <c r="AG430" s="1689"/>
      <c r="AH430" s="39">
        <f>SUM(C430:AG430)</f>
        <v>0</v>
      </c>
      <c r="AJ430" s="2157">
        <f>+'Resumen RAE Anchoveta'!G273</f>
        <v>19.36</v>
      </c>
    </row>
    <row r="431" spans="1:36" ht="15">
      <c r="A431" s="21" t="s">
        <v>74</v>
      </c>
      <c r="B431" s="95">
        <f t="shared" si="81"/>
        <v>0</v>
      </c>
      <c r="C431" s="1689"/>
      <c r="D431" s="1689"/>
      <c r="E431" s="1689"/>
      <c r="F431" s="1689"/>
      <c r="G431" s="1689"/>
      <c r="H431" s="1689"/>
      <c r="I431" s="1689"/>
      <c r="J431" s="1689"/>
      <c r="K431" s="1689"/>
      <c r="L431" s="1689"/>
      <c r="M431" s="1689"/>
      <c r="N431" s="1689"/>
      <c r="O431" s="1689"/>
      <c r="P431" s="1689"/>
      <c r="Q431" s="1689"/>
      <c r="R431" s="1689"/>
      <c r="S431" s="1689"/>
      <c r="T431" s="1689"/>
      <c r="U431" s="1689"/>
      <c r="V431" s="1689"/>
      <c r="W431" s="1689"/>
      <c r="X431" s="1689"/>
      <c r="Y431" s="1689"/>
      <c r="Z431" s="1689"/>
      <c r="AA431" s="1689"/>
      <c r="AB431" s="1689"/>
      <c r="AC431" s="1689"/>
      <c r="AD431" s="1689"/>
      <c r="AE431" s="1689"/>
      <c r="AF431" s="1689"/>
      <c r="AG431" s="1689"/>
      <c r="AH431" s="39">
        <f t="shared" ref="AH431:AH441" si="82">SUM(C431:AG431)</f>
        <v>0</v>
      </c>
      <c r="AJ431" s="1093">
        <f>+AJ430/AJ429</f>
        <v>9.5479204339963832</v>
      </c>
    </row>
    <row r="432" spans="1:36" ht="15">
      <c r="A432" s="21" t="s">
        <v>75</v>
      </c>
      <c r="B432" s="95">
        <f t="shared" si="81"/>
        <v>0</v>
      </c>
      <c r="C432" s="1689"/>
      <c r="D432" s="1689"/>
      <c r="E432" s="1689"/>
      <c r="F432" s="1689"/>
      <c r="G432" s="1689"/>
      <c r="H432" s="1091"/>
      <c r="I432" s="1091"/>
      <c r="J432" s="1091"/>
      <c r="K432" s="1091"/>
      <c r="L432" s="1091"/>
      <c r="M432" s="1091"/>
      <c r="N432" s="1091"/>
      <c r="O432" s="1091"/>
      <c r="P432" s="1091"/>
      <c r="Q432" s="1084"/>
      <c r="R432" s="1084"/>
      <c r="S432" s="1084"/>
      <c r="T432" s="1084"/>
      <c r="U432" s="1084"/>
      <c r="V432" s="1084"/>
      <c r="W432" s="1084"/>
      <c r="X432" s="1084"/>
      <c r="Y432" s="1084"/>
      <c r="Z432" s="1084"/>
      <c r="AA432" s="1084"/>
      <c r="AB432" s="1084"/>
      <c r="AC432" s="1084"/>
      <c r="AD432" s="1084"/>
      <c r="AE432" s="1084"/>
      <c r="AF432" s="1084"/>
      <c r="AG432" s="1084"/>
      <c r="AH432" s="39">
        <f t="shared" si="82"/>
        <v>0</v>
      </c>
    </row>
    <row r="433" spans="1:36" ht="15">
      <c r="A433" s="21" t="s">
        <v>76</v>
      </c>
      <c r="B433" s="95">
        <f t="shared" si="81"/>
        <v>0</v>
      </c>
      <c r="C433" s="1084"/>
      <c r="D433" s="1084"/>
      <c r="E433" s="1084"/>
      <c r="F433" s="1084"/>
      <c r="G433" s="1084"/>
      <c r="H433" s="1084"/>
      <c r="I433" s="1084"/>
      <c r="J433" s="1084"/>
      <c r="K433" s="1084"/>
      <c r="L433" s="1084"/>
      <c r="M433" s="1084"/>
      <c r="N433" s="1084"/>
      <c r="O433" s="1084"/>
      <c r="P433" s="1084"/>
      <c r="Q433" s="1084"/>
      <c r="R433" s="1084"/>
      <c r="S433" s="1084"/>
      <c r="T433" s="1084"/>
      <c r="U433" s="1084"/>
      <c r="V433" s="1084"/>
      <c r="W433" s="1084"/>
      <c r="X433" s="1084"/>
      <c r="Y433" s="1084"/>
      <c r="Z433" s="1084"/>
      <c r="AA433" s="1084"/>
      <c r="AB433" s="1084"/>
      <c r="AC433" s="1084"/>
      <c r="AD433" s="1084"/>
      <c r="AE433" s="1084"/>
      <c r="AF433" s="1084" t="s">
        <v>110</v>
      </c>
      <c r="AG433" s="1084" t="s">
        <v>110</v>
      </c>
      <c r="AH433" s="39">
        <f t="shared" si="82"/>
        <v>0</v>
      </c>
    </row>
    <row r="434" spans="1:36" ht="15">
      <c r="A434" s="21" t="s">
        <v>77</v>
      </c>
      <c r="B434" s="95">
        <f t="shared" si="81"/>
        <v>2.1619999999999999</v>
      </c>
      <c r="C434" s="1084" t="s">
        <v>110</v>
      </c>
      <c r="D434" s="1084" t="s">
        <v>110</v>
      </c>
      <c r="E434" s="1084" t="s">
        <v>110</v>
      </c>
      <c r="F434" s="1084" t="s">
        <v>110</v>
      </c>
      <c r="G434" s="1084" t="s">
        <v>110</v>
      </c>
      <c r="H434" s="1084" t="s">
        <v>110</v>
      </c>
      <c r="I434" s="1084" t="s">
        <v>110</v>
      </c>
      <c r="J434" s="1084" t="s">
        <v>110</v>
      </c>
      <c r="K434" s="1084" t="s">
        <v>110</v>
      </c>
      <c r="L434" s="1084" t="s">
        <v>110</v>
      </c>
      <c r="M434" s="1084" t="s">
        <v>110</v>
      </c>
      <c r="N434" s="1084" t="s">
        <v>110</v>
      </c>
      <c r="O434" s="1084" t="s">
        <v>110</v>
      </c>
      <c r="P434" s="1084" t="s">
        <v>110</v>
      </c>
      <c r="Q434" s="1084" t="s">
        <v>110</v>
      </c>
      <c r="R434" s="1091"/>
      <c r="S434" s="1091"/>
      <c r="T434" s="1091"/>
      <c r="U434" s="1091"/>
      <c r="V434" s="1091"/>
      <c r="W434" s="1091"/>
      <c r="X434" s="1091"/>
      <c r="Y434" s="1091"/>
      <c r="Z434" s="1091"/>
      <c r="AA434" s="1091"/>
      <c r="AB434" s="1091"/>
      <c r="AC434" s="1091">
        <v>2.1619999999999999</v>
      </c>
      <c r="AD434" s="1091"/>
      <c r="AE434" s="1091"/>
      <c r="AF434" s="1091"/>
      <c r="AG434" s="1091"/>
      <c r="AH434" s="39">
        <f t="shared" si="82"/>
        <v>2.1619999999999999</v>
      </c>
    </row>
    <row r="435" spans="1:36" ht="15">
      <c r="A435" s="21" t="s">
        <v>78</v>
      </c>
      <c r="B435" s="95">
        <f t="shared" si="81"/>
        <v>3.9209999999999998</v>
      </c>
      <c r="C435" s="35"/>
      <c r="D435" s="15"/>
      <c r="E435" s="15">
        <v>1.899</v>
      </c>
      <c r="F435" s="15"/>
      <c r="G435" s="15"/>
      <c r="H435" s="15"/>
      <c r="I435" s="15"/>
      <c r="J435" s="15"/>
      <c r="K435" s="15"/>
      <c r="L435" s="15"/>
      <c r="M435" s="15"/>
      <c r="N435" s="15"/>
      <c r="O435" s="15"/>
      <c r="P435" s="15"/>
      <c r="Q435" s="15"/>
      <c r="R435" s="15"/>
      <c r="S435" s="15"/>
      <c r="T435" s="15">
        <v>2.0219999999999998</v>
      </c>
      <c r="U435" s="15"/>
      <c r="V435" s="15"/>
      <c r="W435" s="15"/>
      <c r="X435" s="15"/>
      <c r="Y435" s="15"/>
      <c r="Z435" s="15"/>
      <c r="AA435" s="15"/>
      <c r="AB435" s="15"/>
      <c r="AC435" s="15"/>
      <c r="AD435" s="15"/>
      <c r="AE435" s="15"/>
      <c r="AF435" s="15"/>
      <c r="AG435" s="15"/>
      <c r="AH435" s="39">
        <f t="shared" si="82"/>
        <v>3.9209999999999998</v>
      </c>
    </row>
    <row r="436" spans="1:36" ht="15">
      <c r="A436" s="21" t="s">
        <v>79</v>
      </c>
      <c r="B436" s="94">
        <f t="shared" si="81"/>
        <v>0</v>
      </c>
      <c r="C436" s="35"/>
      <c r="D436" s="39"/>
      <c r="E436" s="39"/>
      <c r="F436" s="39"/>
      <c r="G436" s="15"/>
      <c r="H436" s="15"/>
      <c r="I436" s="15"/>
      <c r="J436" s="43"/>
      <c r="K436" s="43"/>
      <c r="L436" s="39"/>
      <c r="M436" s="39"/>
      <c r="N436" s="39"/>
      <c r="O436" s="39"/>
      <c r="P436" s="39"/>
      <c r="Q436" s="39"/>
      <c r="R436" s="39"/>
      <c r="S436" s="39"/>
      <c r="T436" s="39"/>
      <c r="U436" s="39"/>
      <c r="V436" s="39"/>
      <c r="W436" s="897" t="s">
        <v>110</v>
      </c>
      <c r="X436" s="897" t="s">
        <v>110</v>
      </c>
      <c r="Y436" s="897" t="s">
        <v>110</v>
      </c>
      <c r="Z436" s="897" t="s">
        <v>110</v>
      </c>
      <c r="AA436" s="897" t="s">
        <v>110</v>
      </c>
      <c r="AB436" s="897" t="s">
        <v>110</v>
      </c>
      <c r="AC436" s="897" t="s">
        <v>110</v>
      </c>
      <c r="AD436" s="897" t="s">
        <v>110</v>
      </c>
      <c r="AE436" s="897" t="s">
        <v>110</v>
      </c>
      <c r="AF436" s="897" t="s">
        <v>110</v>
      </c>
      <c r="AG436" s="897" t="s">
        <v>110</v>
      </c>
      <c r="AH436" s="39">
        <f t="shared" si="82"/>
        <v>0</v>
      </c>
    </row>
    <row r="437" spans="1:36" ht="15">
      <c r="A437" s="21" t="s">
        <v>80</v>
      </c>
      <c r="B437" s="94">
        <f t="shared" si="81"/>
        <v>0</v>
      </c>
      <c r="C437" s="897" t="s">
        <v>110</v>
      </c>
      <c r="D437" s="897" t="s">
        <v>110</v>
      </c>
      <c r="E437" s="897" t="s">
        <v>110</v>
      </c>
      <c r="F437" s="897" t="s">
        <v>110</v>
      </c>
      <c r="G437" s="897" t="s">
        <v>110</v>
      </c>
      <c r="H437" s="897" t="s">
        <v>110</v>
      </c>
      <c r="I437" s="897" t="s">
        <v>110</v>
      </c>
      <c r="J437" s="897" t="s">
        <v>110</v>
      </c>
      <c r="K437" s="897" t="s">
        <v>110</v>
      </c>
      <c r="L437" s="897" t="s">
        <v>110</v>
      </c>
      <c r="M437" s="897" t="s">
        <v>110</v>
      </c>
      <c r="N437" s="897" t="s">
        <v>110</v>
      </c>
      <c r="O437" s="897" t="s">
        <v>110</v>
      </c>
      <c r="P437" s="897" t="s">
        <v>110</v>
      </c>
      <c r="Q437" s="897" t="s">
        <v>110</v>
      </c>
      <c r="R437" s="897" t="s">
        <v>110</v>
      </c>
      <c r="S437" s="897" t="s">
        <v>110</v>
      </c>
      <c r="T437" s="897" t="s">
        <v>110</v>
      </c>
      <c r="U437" s="897" t="s">
        <v>110</v>
      </c>
      <c r="V437" s="897" t="s">
        <v>110</v>
      </c>
      <c r="W437" s="897" t="s">
        <v>110</v>
      </c>
      <c r="X437" s="897" t="s">
        <v>110</v>
      </c>
      <c r="Y437" s="897" t="s">
        <v>110</v>
      </c>
      <c r="Z437" s="897" t="s">
        <v>110</v>
      </c>
      <c r="AA437" s="897" t="s">
        <v>110</v>
      </c>
      <c r="AB437" s="897" t="s">
        <v>110</v>
      </c>
      <c r="AC437" s="897" t="s">
        <v>110</v>
      </c>
      <c r="AD437" s="897" t="s">
        <v>110</v>
      </c>
      <c r="AE437" s="897" t="s">
        <v>110</v>
      </c>
      <c r="AF437" s="897" t="s">
        <v>110</v>
      </c>
      <c r="AG437" s="897" t="s">
        <v>110</v>
      </c>
      <c r="AH437" s="39">
        <f t="shared" si="82"/>
        <v>0</v>
      </c>
    </row>
    <row r="438" spans="1:36" ht="15">
      <c r="A438" s="21" t="s">
        <v>81</v>
      </c>
      <c r="B438" s="94">
        <f t="shared" si="81"/>
        <v>0</v>
      </c>
      <c r="C438" s="32"/>
      <c r="D438" s="39"/>
      <c r="E438" s="39"/>
      <c r="F438" s="39"/>
      <c r="G438" s="39"/>
      <c r="H438" s="39"/>
      <c r="I438" s="39"/>
      <c r="J438" s="43"/>
      <c r="K438" s="43"/>
      <c r="L438" s="15"/>
      <c r="M438" s="15"/>
      <c r="N438" s="15"/>
      <c r="O438" s="15"/>
      <c r="P438" s="15"/>
      <c r="Q438" s="897" t="s">
        <v>110</v>
      </c>
      <c r="R438" s="897" t="s">
        <v>110</v>
      </c>
      <c r="S438" s="897" t="s">
        <v>110</v>
      </c>
      <c r="T438" s="897" t="s">
        <v>110</v>
      </c>
      <c r="U438" s="897" t="s">
        <v>110</v>
      </c>
      <c r="V438" s="897" t="s">
        <v>110</v>
      </c>
      <c r="W438" s="897" t="s">
        <v>110</v>
      </c>
      <c r="X438" s="897" t="s">
        <v>110</v>
      </c>
      <c r="Y438" s="897" t="s">
        <v>110</v>
      </c>
      <c r="Z438" s="897" t="s">
        <v>110</v>
      </c>
      <c r="AA438" s="897" t="s">
        <v>110</v>
      </c>
      <c r="AB438" s="897" t="s">
        <v>110</v>
      </c>
      <c r="AC438" s="897" t="s">
        <v>110</v>
      </c>
      <c r="AD438" s="897" t="s">
        <v>110</v>
      </c>
      <c r="AE438" s="897" t="s">
        <v>110</v>
      </c>
      <c r="AF438" s="897" t="s">
        <v>110</v>
      </c>
      <c r="AG438" s="897" t="s">
        <v>110</v>
      </c>
      <c r="AH438" s="39">
        <f t="shared" si="82"/>
        <v>0</v>
      </c>
    </row>
    <row r="439" spans="1:36" ht="15">
      <c r="A439" s="21" t="s">
        <v>82</v>
      </c>
      <c r="B439" s="94">
        <f t="shared" si="81"/>
        <v>0</v>
      </c>
      <c r="C439" s="897" t="s">
        <v>110</v>
      </c>
      <c r="D439" s="897" t="s">
        <v>110</v>
      </c>
      <c r="E439" s="897" t="s">
        <v>110</v>
      </c>
      <c r="F439" s="897" t="s">
        <v>110</v>
      </c>
      <c r="G439" s="897" t="s">
        <v>110</v>
      </c>
      <c r="H439" s="897" t="s">
        <v>110</v>
      </c>
      <c r="I439" s="897" t="s">
        <v>110</v>
      </c>
      <c r="J439" s="897" t="s">
        <v>110</v>
      </c>
      <c r="K439" s="897" t="s">
        <v>110</v>
      </c>
      <c r="L439" s="897" t="s">
        <v>110</v>
      </c>
      <c r="M439" s="897" t="s">
        <v>110</v>
      </c>
      <c r="N439" s="897" t="s">
        <v>110</v>
      </c>
      <c r="O439" s="897" t="s">
        <v>110</v>
      </c>
      <c r="P439" s="897" t="s">
        <v>110</v>
      </c>
      <c r="Q439" s="897" t="s">
        <v>110</v>
      </c>
      <c r="R439" s="897" t="s">
        <v>110</v>
      </c>
      <c r="S439" s="897" t="s">
        <v>110</v>
      </c>
      <c r="T439" s="897" t="s">
        <v>110</v>
      </c>
      <c r="U439" s="897" t="s">
        <v>110</v>
      </c>
      <c r="V439" s="897" t="s">
        <v>110</v>
      </c>
      <c r="W439" s="897" t="s">
        <v>110</v>
      </c>
      <c r="X439" s="897" t="s">
        <v>110</v>
      </c>
      <c r="Y439" s="897" t="s">
        <v>110</v>
      </c>
      <c r="Z439" s="897" t="s">
        <v>110</v>
      </c>
      <c r="AA439" s="897" t="s">
        <v>110</v>
      </c>
      <c r="AB439" s="897" t="s">
        <v>110</v>
      </c>
      <c r="AC439" s="897" t="s">
        <v>110</v>
      </c>
      <c r="AD439" s="897" t="s">
        <v>110</v>
      </c>
      <c r="AE439" s="897" t="s">
        <v>110</v>
      </c>
      <c r="AF439" s="897" t="s">
        <v>110</v>
      </c>
      <c r="AG439" s="897" t="s">
        <v>110</v>
      </c>
      <c r="AH439" s="39">
        <f t="shared" si="82"/>
        <v>0</v>
      </c>
    </row>
    <row r="440" spans="1:36" ht="15">
      <c r="A440" s="21" t="s">
        <v>83</v>
      </c>
      <c r="B440" s="15">
        <f t="shared" si="81"/>
        <v>0</v>
      </c>
      <c r="C440" s="65" t="s">
        <v>110</v>
      </c>
      <c r="D440" s="65" t="s">
        <v>110</v>
      </c>
      <c r="E440" s="65" t="s">
        <v>110</v>
      </c>
      <c r="F440" s="65" t="s">
        <v>110</v>
      </c>
      <c r="G440" s="65" t="s">
        <v>110</v>
      </c>
      <c r="H440" s="65" t="s">
        <v>110</v>
      </c>
      <c r="I440" s="65" t="s">
        <v>110</v>
      </c>
      <c r="J440" s="65" t="s">
        <v>110</v>
      </c>
      <c r="K440" s="65" t="s">
        <v>110</v>
      </c>
      <c r="L440" s="65" t="s">
        <v>110</v>
      </c>
      <c r="M440" s="65" t="s">
        <v>110</v>
      </c>
      <c r="N440" s="65" t="s">
        <v>110</v>
      </c>
      <c r="O440" s="65" t="s">
        <v>110</v>
      </c>
      <c r="P440" s="65" t="s">
        <v>110</v>
      </c>
      <c r="Q440" s="65" t="s">
        <v>110</v>
      </c>
      <c r="R440" s="15"/>
      <c r="S440" s="15"/>
      <c r="T440" s="15"/>
      <c r="U440" s="15"/>
      <c r="V440" s="15"/>
      <c r="W440" s="15"/>
      <c r="X440" s="15"/>
      <c r="Y440" s="11"/>
      <c r="Z440" s="15"/>
      <c r="AA440" s="15"/>
      <c r="AB440" s="15"/>
      <c r="AC440" s="15"/>
      <c r="AD440" s="15"/>
      <c r="AE440" s="39"/>
      <c r="AF440" s="15"/>
      <c r="AG440" s="39"/>
      <c r="AH440" s="39">
        <f t="shared" si="82"/>
        <v>0</v>
      </c>
    </row>
    <row r="441" spans="1:36" ht="15">
      <c r="A441" s="21" t="s">
        <v>84</v>
      </c>
      <c r="B441" s="15">
        <f t="shared" si="81"/>
        <v>0</v>
      </c>
      <c r="C441" s="3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39"/>
      <c r="AF441" s="15"/>
      <c r="AG441" s="39"/>
      <c r="AH441" s="39">
        <f t="shared" si="82"/>
        <v>0</v>
      </c>
    </row>
    <row r="442" spans="1:36" ht="15">
      <c r="A442" s="71" t="s">
        <v>72</v>
      </c>
      <c r="B442" s="72">
        <f>SUM(B430:B441)</f>
        <v>6.0830000000000002</v>
      </c>
      <c r="C442" s="32">
        <f>SUM(C430:C440)</f>
        <v>0</v>
      </c>
      <c r="D442" s="39">
        <f>SUM(D430:D440)</f>
        <v>0</v>
      </c>
      <c r="E442" s="39">
        <v>0</v>
      </c>
      <c r="F442" s="39">
        <f>SUM(F430:F440)</f>
        <v>0</v>
      </c>
      <c r="G442" s="39">
        <f>SUM(G430:G440)</f>
        <v>0</v>
      </c>
      <c r="H442" s="39">
        <f>SUM(H430:H440)</f>
        <v>0</v>
      </c>
      <c r="I442" s="39">
        <f>SUM(I430:I440)</f>
        <v>0</v>
      </c>
      <c r="J442" s="39">
        <f t="shared" ref="J442:AC442" si="83">SUM(J430:J440)</f>
        <v>0</v>
      </c>
      <c r="K442" s="39">
        <f t="shared" si="83"/>
        <v>0</v>
      </c>
      <c r="L442" s="39">
        <f t="shared" si="83"/>
        <v>0</v>
      </c>
      <c r="M442" s="39">
        <f t="shared" si="83"/>
        <v>0</v>
      </c>
      <c r="N442" s="39">
        <f t="shared" si="83"/>
        <v>0</v>
      </c>
      <c r="O442" s="39">
        <f t="shared" si="83"/>
        <v>0</v>
      </c>
      <c r="P442" s="39">
        <f t="shared" si="83"/>
        <v>0</v>
      </c>
      <c r="Q442" s="39">
        <f t="shared" si="83"/>
        <v>0</v>
      </c>
      <c r="R442" s="39">
        <f t="shared" si="83"/>
        <v>0</v>
      </c>
      <c r="S442" s="39">
        <f t="shared" si="83"/>
        <v>0</v>
      </c>
      <c r="T442" s="39">
        <f t="shared" si="83"/>
        <v>2.0219999999999998</v>
      </c>
      <c r="U442" s="39">
        <f t="shared" si="83"/>
        <v>0</v>
      </c>
      <c r="V442" s="39">
        <f t="shared" si="83"/>
        <v>0</v>
      </c>
      <c r="W442" s="39">
        <f t="shared" si="83"/>
        <v>0</v>
      </c>
      <c r="X442" s="39">
        <f t="shared" si="83"/>
        <v>0</v>
      </c>
      <c r="Y442" s="39">
        <f t="shared" si="83"/>
        <v>0</v>
      </c>
      <c r="Z442" s="39">
        <f t="shared" si="83"/>
        <v>0</v>
      </c>
      <c r="AA442" s="39">
        <f t="shared" si="83"/>
        <v>0</v>
      </c>
      <c r="AB442" s="39">
        <f t="shared" si="83"/>
        <v>0</v>
      </c>
      <c r="AC442" s="39">
        <f t="shared" si="83"/>
        <v>2.1619999999999999</v>
      </c>
      <c r="AD442" s="39">
        <v>0</v>
      </c>
      <c r="AE442" s="39">
        <f>SUM(AE430:AE440)</f>
        <v>0</v>
      </c>
      <c r="AF442" s="39">
        <f>SUM(AF430:AF440)</f>
        <v>0</v>
      </c>
      <c r="AG442" s="39">
        <f>SUM(AG430:AG440)</f>
        <v>0</v>
      </c>
      <c r="AH442" s="32">
        <f>SUM(AH430:AH440)</f>
        <v>6.0830000000000002</v>
      </c>
    </row>
    <row r="443" spans="1:36" ht="15">
      <c r="A443" s="1682"/>
      <c r="B443" s="1684"/>
      <c r="C443" s="13"/>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13"/>
    </row>
    <row r="444" spans="1:36" ht="15">
      <c r="A444" s="3815" t="s">
        <v>577</v>
      </c>
      <c r="B444" s="3816"/>
      <c r="C444" s="3816"/>
      <c r="D444" s="3816"/>
      <c r="E444" s="3816"/>
      <c r="F444" s="3816"/>
      <c r="G444" s="3816"/>
      <c r="H444" s="3817"/>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row>
    <row r="445" spans="1:36" ht="15">
      <c r="A445" s="5" t="s">
        <v>70</v>
      </c>
      <c r="B445" s="5" t="s">
        <v>71</v>
      </c>
      <c r="C445" s="1054">
        <v>1</v>
      </c>
      <c r="D445" s="21">
        <v>2</v>
      </c>
      <c r="E445" s="21">
        <v>3</v>
      </c>
      <c r="F445" s="21">
        <v>4</v>
      </c>
      <c r="G445" s="21">
        <v>5</v>
      </c>
      <c r="H445" s="21">
        <v>6</v>
      </c>
      <c r="I445" s="21">
        <v>7</v>
      </c>
      <c r="J445" s="21">
        <v>8</v>
      </c>
      <c r="K445" s="21">
        <v>9</v>
      </c>
      <c r="L445" s="21">
        <v>10</v>
      </c>
      <c r="M445" s="21">
        <v>11</v>
      </c>
      <c r="N445" s="21">
        <v>12</v>
      </c>
      <c r="O445" s="21">
        <v>13</v>
      </c>
      <c r="P445" s="21">
        <v>14</v>
      </c>
      <c r="Q445" s="21">
        <v>15</v>
      </c>
      <c r="R445" s="21">
        <v>16</v>
      </c>
      <c r="S445" s="21">
        <v>17</v>
      </c>
      <c r="T445" s="21">
        <v>18</v>
      </c>
      <c r="U445" s="21">
        <v>19</v>
      </c>
      <c r="V445" s="21">
        <v>20</v>
      </c>
      <c r="W445" s="21">
        <v>21</v>
      </c>
      <c r="X445" s="21">
        <v>22</v>
      </c>
      <c r="Y445" s="21">
        <v>23</v>
      </c>
      <c r="Z445" s="21">
        <v>24</v>
      </c>
      <c r="AA445" s="21">
        <v>25</v>
      </c>
      <c r="AB445" s="21">
        <v>26</v>
      </c>
      <c r="AC445" s="21">
        <v>27</v>
      </c>
      <c r="AD445" s="21">
        <v>28</v>
      </c>
      <c r="AE445" s="21">
        <v>29</v>
      </c>
      <c r="AF445" s="21">
        <v>30</v>
      </c>
      <c r="AG445" s="21">
        <v>31</v>
      </c>
      <c r="AH445" s="25" t="s">
        <v>72</v>
      </c>
      <c r="AI445" s="2266" t="s">
        <v>1345</v>
      </c>
      <c r="AJ445" s="66">
        <f>(B458/COUNTIF($C$446:$AG$457,"&gt;0"))</f>
        <v>8.8613846153846154</v>
      </c>
    </row>
    <row r="446" spans="1:36" ht="15">
      <c r="A446" s="21" t="s">
        <v>73</v>
      </c>
      <c r="B446" s="95">
        <f t="shared" ref="B446:B457" si="84">+AH446</f>
        <v>0.24099999999999999</v>
      </c>
      <c r="C446" s="1689"/>
      <c r="D446" s="1689"/>
      <c r="E446" s="1689"/>
      <c r="F446" s="1689"/>
      <c r="G446" s="1689"/>
      <c r="H446" s="1689"/>
      <c r="I446" s="1689"/>
      <c r="J446" s="1689"/>
      <c r="K446" s="1689"/>
      <c r="L446" s="1689"/>
      <c r="M446" s="1689"/>
      <c r="N446" s="1689"/>
      <c r="O446" s="1689"/>
      <c r="P446" s="1689"/>
      <c r="Q446" s="1689"/>
      <c r="R446" s="1689"/>
      <c r="S446" s="1689"/>
      <c r="T446" s="1689"/>
      <c r="U446" s="1689"/>
      <c r="V446" s="1689"/>
      <c r="W446" s="1689"/>
      <c r="X446" s="1689"/>
      <c r="Y446" s="1689"/>
      <c r="Z446" s="1689"/>
      <c r="AA446" s="1689"/>
      <c r="AB446" s="1091"/>
      <c r="AC446" s="1689"/>
      <c r="AD446" s="1689"/>
      <c r="AE446" s="1689"/>
      <c r="AF446" s="1689">
        <v>0.24099999999999999</v>
      </c>
      <c r="AG446" s="1689"/>
      <c r="AH446" s="39">
        <f>SUM(C446:AG446)</f>
        <v>0.24099999999999999</v>
      </c>
      <c r="AJ446" s="2157">
        <f>+'Resumen RAE Anchoveta'!G274</f>
        <v>67.860000000000014</v>
      </c>
    </row>
    <row r="447" spans="1:36" ht="15">
      <c r="A447" s="21" t="s">
        <v>74</v>
      </c>
      <c r="B447" s="95">
        <f t="shared" si="84"/>
        <v>9.702</v>
      </c>
      <c r="C447" s="1689">
        <v>0.78500000000000003</v>
      </c>
      <c r="D447" s="1689"/>
      <c r="E447" s="1689"/>
      <c r="F447" s="1689"/>
      <c r="G447" s="1689"/>
      <c r="H447" s="1689"/>
      <c r="I447" s="1689"/>
      <c r="J447" s="1689"/>
      <c r="K447" s="1689"/>
      <c r="L447" s="1689"/>
      <c r="M447" s="1689"/>
      <c r="N447" s="1689"/>
      <c r="O447" s="1689"/>
      <c r="P447" s="1689"/>
      <c r="Q447" s="1689"/>
      <c r="R447" s="1689"/>
      <c r="S447" s="1689"/>
      <c r="T447" s="1689">
        <v>2.6040000000000001</v>
      </c>
      <c r="U447" s="1689"/>
      <c r="V447" s="1689"/>
      <c r="W447" s="1689"/>
      <c r="X447" s="1689"/>
      <c r="Y447" s="1689"/>
      <c r="Z447" s="1689"/>
      <c r="AA447" s="1689"/>
      <c r="AB447" s="1689">
        <v>6.3129999999999997</v>
      </c>
      <c r="AC447" s="1689"/>
      <c r="AD447" s="1689"/>
      <c r="AE447" s="1689"/>
      <c r="AF447" s="1689"/>
      <c r="AG447" s="1689"/>
      <c r="AH447" s="39">
        <f t="shared" ref="AH447:AH457" si="85">SUM(C447:AG447)</f>
        <v>9.702</v>
      </c>
      <c r="AJ447" s="1093">
        <f>+AJ446/AJ445</f>
        <v>7.6579454504418498</v>
      </c>
    </row>
    <row r="448" spans="1:36" ht="15">
      <c r="A448" s="21" t="s">
        <v>75</v>
      </c>
      <c r="B448" s="95">
        <f t="shared" si="84"/>
        <v>0</v>
      </c>
      <c r="C448" s="1689"/>
      <c r="D448" s="1689"/>
      <c r="E448" s="1689"/>
      <c r="F448" s="1689"/>
      <c r="G448" s="1689"/>
      <c r="H448" s="1091"/>
      <c r="I448" s="1091"/>
      <c r="J448" s="1091"/>
      <c r="K448" s="1091"/>
      <c r="L448" s="1091"/>
      <c r="M448" s="1091"/>
      <c r="N448" s="1091"/>
      <c r="O448" s="1091"/>
      <c r="P448" s="1091"/>
      <c r="Q448" s="1084"/>
      <c r="R448" s="1084"/>
      <c r="S448" s="1084"/>
      <c r="T448" s="1084"/>
      <c r="U448" s="1084"/>
      <c r="V448" s="1084"/>
      <c r="W448" s="1084"/>
      <c r="X448" s="1084"/>
      <c r="Y448" s="1084"/>
      <c r="Z448" s="1084"/>
      <c r="AA448" s="1084"/>
      <c r="AB448" s="1084"/>
      <c r="AC448" s="1084"/>
      <c r="AD448" s="1084"/>
      <c r="AE448" s="1084"/>
      <c r="AF448" s="1084"/>
      <c r="AG448" s="1084"/>
      <c r="AH448" s="39">
        <f t="shared" si="85"/>
        <v>0</v>
      </c>
    </row>
    <row r="449" spans="1:36" ht="15">
      <c r="A449" s="21" t="s">
        <v>76</v>
      </c>
      <c r="B449" s="95">
        <f t="shared" si="84"/>
        <v>0</v>
      </c>
      <c r="C449" s="1084"/>
      <c r="D449" s="1084"/>
      <c r="E449" s="1084"/>
      <c r="F449" s="1084"/>
      <c r="G449" s="1084"/>
      <c r="H449" s="1084"/>
      <c r="I449" s="1084"/>
      <c r="J449" s="1084"/>
      <c r="K449" s="1084"/>
      <c r="L449" s="1084"/>
      <c r="M449" s="1084"/>
      <c r="N449" s="1084"/>
      <c r="O449" s="1084"/>
      <c r="P449" s="1084"/>
      <c r="Q449" s="1084"/>
      <c r="R449" s="1084"/>
      <c r="S449" s="1084"/>
      <c r="T449" s="1084"/>
      <c r="U449" s="1084"/>
      <c r="V449" s="1084"/>
      <c r="W449" s="1084"/>
      <c r="X449" s="1084"/>
      <c r="Y449" s="1084"/>
      <c r="Z449" s="1084"/>
      <c r="AA449" s="1084"/>
      <c r="AB449" s="1084"/>
      <c r="AC449" s="1084"/>
      <c r="AD449" s="1084"/>
      <c r="AE449" s="1084"/>
      <c r="AF449" s="1084" t="s">
        <v>110</v>
      </c>
      <c r="AG449" s="1084" t="s">
        <v>110</v>
      </c>
      <c r="AH449" s="39">
        <f t="shared" si="85"/>
        <v>0</v>
      </c>
    </row>
    <row r="450" spans="1:36" ht="15">
      <c r="A450" s="21" t="s">
        <v>77</v>
      </c>
      <c r="B450" s="95">
        <f t="shared" si="84"/>
        <v>0</v>
      </c>
      <c r="C450" s="1084" t="s">
        <v>110</v>
      </c>
      <c r="D450" s="1084" t="s">
        <v>110</v>
      </c>
      <c r="E450" s="1084" t="s">
        <v>110</v>
      </c>
      <c r="F450" s="1084" t="s">
        <v>110</v>
      </c>
      <c r="G450" s="1084" t="s">
        <v>110</v>
      </c>
      <c r="H450" s="1084" t="s">
        <v>110</v>
      </c>
      <c r="I450" s="1084" t="s">
        <v>110</v>
      </c>
      <c r="J450" s="1084" t="s">
        <v>110</v>
      </c>
      <c r="K450" s="1084" t="s">
        <v>110</v>
      </c>
      <c r="L450" s="1084" t="s">
        <v>110</v>
      </c>
      <c r="M450" s="1084" t="s">
        <v>110</v>
      </c>
      <c r="N450" s="1084" t="s">
        <v>110</v>
      </c>
      <c r="O450" s="1084" t="s">
        <v>110</v>
      </c>
      <c r="P450" s="1084" t="s">
        <v>110</v>
      </c>
      <c r="Q450" s="1084" t="s">
        <v>110</v>
      </c>
      <c r="R450" s="1084"/>
      <c r="S450" s="1084"/>
      <c r="T450" s="1084"/>
      <c r="U450" s="1084"/>
      <c r="V450" s="1084"/>
      <c r="W450" s="1084"/>
      <c r="X450" s="1084"/>
      <c r="Y450" s="1084"/>
      <c r="Z450" s="1084"/>
      <c r="AA450" s="1084"/>
      <c r="AB450" s="1084"/>
      <c r="AC450" s="1084"/>
      <c r="AD450" s="1084"/>
      <c r="AE450" s="1084"/>
      <c r="AF450" s="1084"/>
      <c r="AG450" s="1084"/>
      <c r="AH450" s="39">
        <f t="shared" si="85"/>
        <v>0</v>
      </c>
    </row>
    <row r="451" spans="1:36" ht="15">
      <c r="A451" s="21" t="s">
        <v>78</v>
      </c>
      <c r="B451" s="95">
        <f t="shared" si="84"/>
        <v>0</v>
      </c>
      <c r="C451" s="3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39">
        <f t="shared" si="85"/>
        <v>0</v>
      </c>
    </row>
    <row r="452" spans="1:36" ht="15">
      <c r="A452" s="21" t="s">
        <v>79</v>
      </c>
      <c r="B452" s="94">
        <f t="shared" si="84"/>
        <v>7.5950000000000006</v>
      </c>
      <c r="C452" s="35"/>
      <c r="D452" s="39"/>
      <c r="E452" s="39"/>
      <c r="F452" s="39">
        <v>0.497</v>
      </c>
      <c r="G452" s="15"/>
      <c r="H452" s="15"/>
      <c r="I452" s="15"/>
      <c r="J452" s="43"/>
      <c r="K452" s="43">
        <v>1.724</v>
      </c>
      <c r="L452" s="39">
        <v>0.68400000000000005</v>
      </c>
      <c r="M452" s="39"/>
      <c r="N452" s="39"/>
      <c r="O452" s="39"/>
      <c r="P452" s="39"/>
      <c r="Q452" s="39"/>
      <c r="R452" s="39"/>
      <c r="S452" s="39"/>
      <c r="T452" s="39"/>
      <c r="U452" s="39"/>
      <c r="V452" s="39"/>
      <c r="W452" s="39"/>
      <c r="X452" s="39"/>
      <c r="Y452" s="39"/>
      <c r="Z452" s="39">
        <v>4.6900000000000004</v>
      </c>
      <c r="AA452" s="39"/>
      <c r="AB452" s="39"/>
      <c r="AC452" s="39"/>
      <c r="AD452" s="39"/>
      <c r="AE452" s="39"/>
      <c r="AF452" s="39"/>
      <c r="AG452" s="39"/>
      <c r="AH452" s="39">
        <f t="shared" si="85"/>
        <v>7.5950000000000006</v>
      </c>
    </row>
    <row r="453" spans="1:36" ht="15">
      <c r="A453" s="21" t="s">
        <v>80</v>
      </c>
      <c r="B453" s="94">
        <f t="shared" si="84"/>
        <v>94.381</v>
      </c>
      <c r="C453" s="35"/>
      <c r="D453" s="15"/>
      <c r="E453" s="15"/>
      <c r="F453" s="15"/>
      <c r="G453" s="15"/>
      <c r="H453" s="15"/>
      <c r="I453" s="15"/>
      <c r="J453" s="43"/>
      <c r="K453" s="43"/>
      <c r="L453" s="39"/>
      <c r="M453" s="39"/>
      <c r="N453" s="39"/>
      <c r="O453" s="39"/>
      <c r="P453" s="39"/>
      <c r="Q453" s="39"/>
      <c r="R453" s="39"/>
      <c r="S453" s="39"/>
      <c r="T453" s="39"/>
      <c r="U453" s="39">
        <v>45.372</v>
      </c>
      <c r="V453" s="39"/>
      <c r="W453" s="39">
        <v>33.277000000000001</v>
      </c>
      <c r="X453" s="39"/>
      <c r="Y453" s="39"/>
      <c r="Z453" s="39"/>
      <c r="AA453" s="39"/>
      <c r="AB453" s="39"/>
      <c r="AC453" s="39"/>
      <c r="AD453" s="39"/>
      <c r="AE453" s="39"/>
      <c r="AF453" s="39">
        <v>15.731999999999999</v>
      </c>
      <c r="AG453" s="39"/>
      <c r="AH453" s="39">
        <f t="shared" si="85"/>
        <v>94.381</v>
      </c>
    </row>
    <row r="454" spans="1:36" ht="15">
      <c r="A454" s="21" t="s">
        <v>81</v>
      </c>
      <c r="B454" s="94">
        <f t="shared" si="84"/>
        <v>0.75</v>
      </c>
      <c r="C454" s="32"/>
      <c r="D454" s="39"/>
      <c r="E454" s="39">
        <v>0.75</v>
      </c>
      <c r="F454" s="39"/>
      <c r="G454" s="39"/>
      <c r="H454" s="39"/>
      <c r="I454" s="39"/>
      <c r="J454" s="43"/>
      <c r="K454" s="43"/>
      <c r="L454" s="15"/>
      <c r="M454" s="15"/>
      <c r="N454" s="15"/>
      <c r="O454" s="15"/>
      <c r="P454" s="15"/>
      <c r="Q454" s="897" t="s">
        <v>110</v>
      </c>
      <c r="R454" s="897" t="s">
        <v>110</v>
      </c>
      <c r="S454" s="897" t="s">
        <v>110</v>
      </c>
      <c r="T454" s="897" t="s">
        <v>110</v>
      </c>
      <c r="U454" s="897" t="s">
        <v>110</v>
      </c>
      <c r="V454" s="897" t="s">
        <v>110</v>
      </c>
      <c r="W454" s="897" t="s">
        <v>110</v>
      </c>
      <c r="X454" s="897" t="s">
        <v>110</v>
      </c>
      <c r="Y454" s="897" t="s">
        <v>110</v>
      </c>
      <c r="Z454" s="897" t="s">
        <v>110</v>
      </c>
      <c r="AA454" s="897" t="s">
        <v>110</v>
      </c>
      <c r="AB454" s="897" t="s">
        <v>110</v>
      </c>
      <c r="AC454" s="897" t="s">
        <v>110</v>
      </c>
      <c r="AD454" s="897" t="s">
        <v>110</v>
      </c>
      <c r="AE454" s="897" t="s">
        <v>110</v>
      </c>
      <c r="AF454" s="897" t="s">
        <v>110</v>
      </c>
      <c r="AG454" s="897" t="s">
        <v>110</v>
      </c>
      <c r="AH454" s="39">
        <f t="shared" si="85"/>
        <v>0.75</v>
      </c>
    </row>
    <row r="455" spans="1:36" ht="15">
      <c r="A455" s="21" t="s">
        <v>82</v>
      </c>
      <c r="B455" s="94">
        <f t="shared" si="84"/>
        <v>0</v>
      </c>
      <c r="C455" s="897" t="s">
        <v>110</v>
      </c>
      <c r="D455" s="897" t="s">
        <v>110</v>
      </c>
      <c r="E455" s="897" t="s">
        <v>110</v>
      </c>
      <c r="F455" s="897" t="s">
        <v>110</v>
      </c>
      <c r="G455" s="897" t="s">
        <v>110</v>
      </c>
      <c r="H455" s="897" t="s">
        <v>110</v>
      </c>
      <c r="I455" s="897" t="s">
        <v>110</v>
      </c>
      <c r="J455" s="897" t="s">
        <v>110</v>
      </c>
      <c r="K455" s="897" t="s">
        <v>110</v>
      </c>
      <c r="L455" s="897" t="s">
        <v>110</v>
      </c>
      <c r="M455" s="897" t="s">
        <v>110</v>
      </c>
      <c r="N455" s="897" t="s">
        <v>110</v>
      </c>
      <c r="O455" s="897" t="s">
        <v>110</v>
      </c>
      <c r="P455" s="897" t="s">
        <v>110</v>
      </c>
      <c r="Q455" s="897" t="s">
        <v>110</v>
      </c>
      <c r="R455" s="2173"/>
      <c r="S455" s="897" t="s">
        <v>110</v>
      </c>
      <c r="T455" s="897" t="s">
        <v>110</v>
      </c>
      <c r="U455" s="897" t="s">
        <v>110</v>
      </c>
      <c r="V455" s="897" t="s">
        <v>110</v>
      </c>
      <c r="W455" s="897" t="s">
        <v>110</v>
      </c>
      <c r="X455" s="897" t="s">
        <v>110</v>
      </c>
      <c r="Y455" s="897" t="s">
        <v>110</v>
      </c>
      <c r="Z455" s="897" t="s">
        <v>110</v>
      </c>
      <c r="AA455" s="897" t="s">
        <v>110</v>
      </c>
      <c r="AB455" s="897" t="s">
        <v>110</v>
      </c>
      <c r="AC455" s="897" t="s">
        <v>110</v>
      </c>
      <c r="AD455" s="897" t="s">
        <v>110</v>
      </c>
      <c r="AE455" s="897" t="s">
        <v>110</v>
      </c>
      <c r="AF455" s="897" t="s">
        <v>110</v>
      </c>
      <c r="AG455" s="897" t="s">
        <v>110</v>
      </c>
      <c r="AH455" s="39">
        <f t="shared" si="85"/>
        <v>0</v>
      </c>
    </row>
    <row r="456" spans="1:36" ht="15">
      <c r="A456" s="21" t="s">
        <v>83</v>
      </c>
      <c r="B456" s="15">
        <f t="shared" si="84"/>
        <v>0</v>
      </c>
      <c r="C456" s="65" t="s">
        <v>110</v>
      </c>
      <c r="D456" s="65" t="s">
        <v>110</v>
      </c>
      <c r="E456" s="65" t="s">
        <v>110</v>
      </c>
      <c r="F456" s="65" t="s">
        <v>110</v>
      </c>
      <c r="G456" s="65" t="s">
        <v>110</v>
      </c>
      <c r="H456" s="65" t="s">
        <v>110</v>
      </c>
      <c r="I456" s="65" t="s">
        <v>110</v>
      </c>
      <c r="J456" s="65" t="s">
        <v>110</v>
      </c>
      <c r="K456" s="65" t="s">
        <v>110</v>
      </c>
      <c r="L456" s="65" t="s">
        <v>110</v>
      </c>
      <c r="M456" s="65" t="s">
        <v>110</v>
      </c>
      <c r="N456" s="65" t="s">
        <v>110</v>
      </c>
      <c r="O456" s="65" t="s">
        <v>110</v>
      </c>
      <c r="P456" s="65" t="s">
        <v>110</v>
      </c>
      <c r="Q456" s="65" t="s">
        <v>110</v>
      </c>
      <c r="R456" s="15"/>
      <c r="S456" s="15"/>
      <c r="T456" s="15"/>
      <c r="U456" s="15"/>
      <c r="V456" s="15"/>
      <c r="W456" s="15"/>
      <c r="X456" s="15"/>
      <c r="Y456" s="11"/>
      <c r="Z456" s="15"/>
      <c r="AA456" s="15"/>
      <c r="AB456" s="15"/>
      <c r="AC456" s="15"/>
      <c r="AD456" s="15"/>
      <c r="AE456" s="39"/>
      <c r="AF456" s="15"/>
      <c r="AG456" s="39"/>
      <c r="AH456" s="39">
        <f t="shared" si="85"/>
        <v>0</v>
      </c>
    </row>
    <row r="457" spans="1:36" ht="15">
      <c r="A457" s="21" t="s">
        <v>84</v>
      </c>
      <c r="B457" s="15">
        <f t="shared" si="84"/>
        <v>2.5289999999999999</v>
      </c>
      <c r="C457" s="35"/>
      <c r="D457" s="15"/>
      <c r="E457" s="15"/>
      <c r="F457" s="15"/>
      <c r="G457" s="15"/>
      <c r="H457" s="15"/>
      <c r="I457" s="15"/>
      <c r="J457" s="15"/>
      <c r="K457" s="15"/>
      <c r="L457" s="15"/>
      <c r="M457" s="15"/>
      <c r="N457" s="15"/>
      <c r="O457" s="15"/>
      <c r="P457" s="15"/>
      <c r="Q457" s="15">
        <v>2.5289999999999999</v>
      </c>
      <c r="R457" s="15"/>
      <c r="S457" s="15"/>
      <c r="T457" s="15"/>
      <c r="U457" s="15"/>
      <c r="V457" s="15"/>
      <c r="W457" s="15"/>
      <c r="X457" s="15"/>
      <c r="Y457" s="15"/>
      <c r="Z457" s="15"/>
      <c r="AA457" s="15"/>
      <c r="AB457" s="15"/>
      <c r="AC457" s="15"/>
      <c r="AD457" s="15"/>
      <c r="AE457" s="39"/>
      <c r="AF457" s="15"/>
      <c r="AG457" s="39"/>
      <c r="AH457" s="39">
        <f t="shared" si="85"/>
        <v>2.5289999999999999</v>
      </c>
    </row>
    <row r="458" spans="1:36" ht="15">
      <c r="A458" s="71" t="s">
        <v>72</v>
      </c>
      <c r="B458" s="72">
        <f>SUM(B446:B457)</f>
        <v>115.19799999999999</v>
      </c>
      <c r="C458" s="32">
        <f>SUM(C446:C456)</f>
        <v>0.78500000000000003</v>
      </c>
      <c r="D458" s="39">
        <f>SUM(D446:D456)</f>
        <v>0</v>
      </c>
      <c r="E458" s="39">
        <v>0</v>
      </c>
      <c r="F458" s="39">
        <f>SUM(F446:F456)</f>
        <v>0.497</v>
      </c>
      <c r="G458" s="39">
        <f>SUM(G446:G456)</f>
        <v>0</v>
      </c>
      <c r="H458" s="39">
        <f>SUM(H446:H456)</f>
        <v>0</v>
      </c>
      <c r="I458" s="39">
        <f>SUM(I446:I456)</f>
        <v>0</v>
      </c>
      <c r="J458" s="39">
        <f t="shared" ref="J458:AC458" si="86">SUM(J446:J456)</f>
        <v>0</v>
      </c>
      <c r="K458" s="39">
        <f t="shared" si="86"/>
        <v>1.724</v>
      </c>
      <c r="L458" s="39">
        <f t="shared" si="86"/>
        <v>0.68400000000000005</v>
      </c>
      <c r="M458" s="39">
        <f t="shared" si="86"/>
        <v>0</v>
      </c>
      <c r="N458" s="39">
        <f t="shared" si="86"/>
        <v>0</v>
      </c>
      <c r="O458" s="39">
        <f t="shared" si="86"/>
        <v>0</v>
      </c>
      <c r="P458" s="39">
        <f t="shared" si="86"/>
        <v>0</v>
      </c>
      <c r="Q458" s="39">
        <f t="shared" si="86"/>
        <v>0</v>
      </c>
      <c r="R458" s="39">
        <f t="shared" si="86"/>
        <v>0</v>
      </c>
      <c r="S458" s="39">
        <f t="shared" si="86"/>
        <v>0</v>
      </c>
      <c r="T458" s="39">
        <f t="shared" si="86"/>
        <v>2.6040000000000001</v>
      </c>
      <c r="U458" s="39">
        <f t="shared" si="86"/>
        <v>45.372</v>
      </c>
      <c r="V458" s="39">
        <f t="shared" si="86"/>
        <v>0</v>
      </c>
      <c r="W458" s="39">
        <f t="shared" si="86"/>
        <v>33.277000000000001</v>
      </c>
      <c r="X458" s="39">
        <f t="shared" si="86"/>
        <v>0</v>
      </c>
      <c r="Y458" s="39">
        <f t="shared" si="86"/>
        <v>0</v>
      </c>
      <c r="Z458" s="39">
        <f t="shared" si="86"/>
        <v>4.6900000000000004</v>
      </c>
      <c r="AA458" s="39">
        <f t="shared" si="86"/>
        <v>0</v>
      </c>
      <c r="AB458" s="39">
        <f t="shared" si="86"/>
        <v>6.3129999999999997</v>
      </c>
      <c r="AC458" s="39">
        <f t="shared" si="86"/>
        <v>0</v>
      </c>
      <c r="AD458" s="39">
        <v>0</v>
      </c>
      <c r="AE458" s="39">
        <f>SUM(AE446:AE456)</f>
        <v>0</v>
      </c>
      <c r="AF458" s="39">
        <f>SUM(AF446:AF456)</f>
        <v>15.972999999999999</v>
      </c>
      <c r="AG458" s="39">
        <f>SUM(AG446:AG456)</f>
        <v>0</v>
      </c>
      <c r="AH458" s="32">
        <f>SUM(AH446:AH456)</f>
        <v>112.669</v>
      </c>
    </row>
    <row r="459" spans="1:36" ht="15">
      <c r="A459" s="1682"/>
      <c r="B459" s="1684"/>
      <c r="C459" s="13"/>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13"/>
    </row>
    <row r="460" spans="1:36" ht="16.8">
      <c r="A460" s="3824" t="s">
        <v>582</v>
      </c>
      <c r="B460" s="3825"/>
      <c r="C460" s="3825"/>
      <c r="D460" s="3825"/>
      <c r="E460" s="3825"/>
      <c r="F460" s="3825"/>
      <c r="G460" s="3825"/>
      <c r="H460" s="3826"/>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row>
    <row r="461" spans="1:36" ht="15">
      <c r="A461" s="5" t="s">
        <v>70</v>
      </c>
      <c r="B461" s="5" t="s">
        <v>71</v>
      </c>
      <c r="C461" s="1054">
        <v>1</v>
      </c>
      <c r="D461" s="21">
        <v>2</v>
      </c>
      <c r="E461" s="21">
        <v>3</v>
      </c>
      <c r="F461" s="21">
        <v>4</v>
      </c>
      <c r="G461" s="21">
        <v>5</v>
      </c>
      <c r="H461" s="21">
        <v>6</v>
      </c>
      <c r="I461" s="21">
        <v>7</v>
      </c>
      <c r="J461" s="21">
        <v>8</v>
      </c>
      <c r="K461" s="21">
        <v>9</v>
      </c>
      <c r="L461" s="21">
        <v>10</v>
      </c>
      <c r="M461" s="21">
        <v>11</v>
      </c>
      <c r="N461" s="21">
        <v>12</v>
      </c>
      <c r="O461" s="21">
        <v>13</v>
      </c>
      <c r="P461" s="21">
        <v>14</v>
      </c>
      <c r="Q461" s="21">
        <v>15</v>
      </c>
      <c r="R461" s="21">
        <v>16</v>
      </c>
      <c r="S461" s="21">
        <v>17</v>
      </c>
      <c r="T461" s="21">
        <v>18</v>
      </c>
      <c r="U461" s="21">
        <v>19</v>
      </c>
      <c r="V461" s="21">
        <v>20</v>
      </c>
      <c r="W461" s="21">
        <v>21</v>
      </c>
      <c r="X461" s="21">
        <v>22</v>
      </c>
      <c r="Y461" s="21">
        <v>23</v>
      </c>
      <c r="Z461" s="21">
        <v>24</v>
      </c>
      <c r="AA461" s="21">
        <v>25</v>
      </c>
      <c r="AB461" s="21">
        <v>26</v>
      </c>
      <c r="AC461" s="21">
        <v>27</v>
      </c>
      <c r="AD461" s="21">
        <v>28</v>
      </c>
      <c r="AE461" s="21">
        <v>29</v>
      </c>
      <c r="AF461" s="21">
        <v>30</v>
      </c>
      <c r="AG461" s="21">
        <v>31</v>
      </c>
      <c r="AH461" s="25" t="s">
        <v>72</v>
      </c>
      <c r="AI461" s="2266" t="s">
        <v>1345</v>
      </c>
      <c r="AJ461" s="66">
        <f>(B474/COUNTIF($C$462:$AG$473,"&gt;0"))</f>
        <v>0.93474999999999997</v>
      </c>
    </row>
    <row r="462" spans="1:36" ht="15">
      <c r="A462" s="21" t="s">
        <v>73</v>
      </c>
      <c r="B462" s="95">
        <f t="shared" ref="B462:B473" si="87">+AH462</f>
        <v>0</v>
      </c>
      <c r="C462" s="1689"/>
      <c r="D462" s="1689"/>
      <c r="E462" s="1689"/>
      <c r="F462" s="1689"/>
      <c r="G462" s="1689"/>
      <c r="H462" s="1689"/>
      <c r="I462" s="1689"/>
      <c r="J462" s="1689"/>
      <c r="K462" s="1689"/>
      <c r="L462" s="1689"/>
      <c r="M462" s="1689"/>
      <c r="N462" s="1689"/>
      <c r="O462" s="1689"/>
      <c r="P462" s="1689"/>
      <c r="Q462" s="1689"/>
      <c r="R462" s="1689"/>
      <c r="S462" s="1689"/>
      <c r="T462" s="1689"/>
      <c r="U462" s="1689"/>
      <c r="V462" s="1689"/>
      <c r="W462" s="1689"/>
      <c r="X462" s="1689"/>
      <c r="Y462" s="1689"/>
      <c r="Z462" s="1689"/>
      <c r="AA462" s="1689"/>
      <c r="AB462" s="1091"/>
      <c r="AC462" s="1689"/>
      <c r="AD462" s="1689"/>
      <c r="AE462" s="1689"/>
      <c r="AF462" s="1689"/>
      <c r="AG462" s="1689"/>
      <c r="AH462" s="39">
        <f t="shared" ref="AH462:AH463" si="88">SUM(C462:AG462)</f>
        <v>0</v>
      </c>
      <c r="AJ462" s="2157">
        <f>+'Resumen RAE Anchoveta'!G275</f>
        <v>197.999</v>
      </c>
    </row>
    <row r="463" spans="1:36" ht="15">
      <c r="A463" s="21" t="s">
        <v>74</v>
      </c>
      <c r="B463" s="95">
        <f t="shared" si="87"/>
        <v>4.1370000000000005</v>
      </c>
      <c r="C463" s="1689">
        <v>0.255</v>
      </c>
      <c r="D463" s="1689"/>
      <c r="E463" s="1689"/>
      <c r="F463" s="1689"/>
      <c r="G463" s="1689"/>
      <c r="H463" s="1689"/>
      <c r="I463" s="1689"/>
      <c r="J463" s="1689"/>
      <c r="K463" s="1689"/>
      <c r="L463" s="1689"/>
      <c r="M463" s="1689"/>
      <c r="N463" s="1689"/>
      <c r="O463" s="1689"/>
      <c r="P463" s="1689"/>
      <c r="Q463" s="1591"/>
      <c r="R463" s="1689"/>
      <c r="S463" s="1689"/>
      <c r="T463" s="1689" t="s">
        <v>127</v>
      </c>
      <c r="U463" s="1689"/>
      <c r="V463" s="1689"/>
      <c r="W463" s="1689">
        <v>0.88800000000000001</v>
      </c>
      <c r="X463" s="1689"/>
      <c r="Y463" s="1689"/>
      <c r="Z463" s="1689"/>
      <c r="AA463" s="1689"/>
      <c r="AB463" s="1689"/>
      <c r="AC463" s="1689">
        <v>2.9940000000000002</v>
      </c>
      <c r="AD463" s="1689"/>
      <c r="AE463" s="1689"/>
      <c r="AF463" s="1689"/>
      <c r="AG463" s="1689"/>
      <c r="AH463" s="39">
        <f t="shared" si="88"/>
        <v>4.1370000000000005</v>
      </c>
      <c r="AJ463" s="1093">
        <f>+AJ462/AJ461</f>
        <v>211.82027280021396</v>
      </c>
    </row>
    <row r="464" spans="1:36" ht="15">
      <c r="A464" s="21" t="s">
        <v>75</v>
      </c>
      <c r="B464" s="95">
        <f t="shared" si="87"/>
        <v>0.42</v>
      </c>
      <c r="C464" s="1689">
        <v>0.42</v>
      </c>
      <c r="D464" s="1689"/>
      <c r="E464" s="1689"/>
      <c r="F464" s="1689"/>
      <c r="G464" s="1689"/>
      <c r="H464" s="1091"/>
      <c r="I464" s="1091"/>
      <c r="J464" s="1091"/>
      <c r="K464" s="1091"/>
      <c r="L464" s="1091"/>
      <c r="M464" s="1091"/>
      <c r="N464" s="1091"/>
      <c r="O464" s="1091"/>
      <c r="P464" s="1091"/>
      <c r="Q464" s="1084" t="s">
        <v>110</v>
      </c>
      <c r="R464" s="1084" t="s">
        <v>110</v>
      </c>
      <c r="S464" s="1084" t="s">
        <v>110</v>
      </c>
      <c r="T464" s="1084" t="s">
        <v>110</v>
      </c>
      <c r="U464" s="1084" t="s">
        <v>110</v>
      </c>
      <c r="V464" s="1084" t="s">
        <v>110</v>
      </c>
      <c r="W464" s="1084" t="s">
        <v>110</v>
      </c>
      <c r="X464" s="1084" t="s">
        <v>110</v>
      </c>
      <c r="Y464" s="1084" t="s">
        <v>110</v>
      </c>
      <c r="Z464" s="1084" t="s">
        <v>110</v>
      </c>
      <c r="AA464" s="1084" t="s">
        <v>110</v>
      </c>
      <c r="AB464" s="1084" t="s">
        <v>110</v>
      </c>
      <c r="AC464" s="1084" t="s">
        <v>110</v>
      </c>
      <c r="AD464" s="1084" t="s">
        <v>110</v>
      </c>
      <c r="AE464" s="1084" t="s">
        <v>110</v>
      </c>
      <c r="AF464" s="1084" t="s">
        <v>110</v>
      </c>
      <c r="AG464" s="1084" t="s">
        <v>110</v>
      </c>
      <c r="AH464" s="39">
        <f>SUM(C464:AG464)</f>
        <v>0.42</v>
      </c>
    </row>
    <row r="465" spans="1:36" ht="15">
      <c r="A465" s="21" t="s">
        <v>76</v>
      </c>
      <c r="B465" s="95">
        <f>+AH465</f>
        <v>0</v>
      </c>
      <c r="C465" s="1084"/>
      <c r="D465" s="1084"/>
      <c r="E465" s="1084"/>
      <c r="F465" s="1084"/>
      <c r="G465" s="1084"/>
      <c r="H465" s="1084"/>
      <c r="I465" s="1084"/>
      <c r="J465" s="1084"/>
      <c r="K465" s="1084"/>
      <c r="L465" s="1084"/>
      <c r="M465" s="1084"/>
      <c r="N465" s="1084"/>
      <c r="O465" s="1084"/>
      <c r="P465" s="1084"/>
      <c r="Q465" s="1084" t="s">
        <v>110</v>
      </c>
      <c r="R465" s="1084" t="s">
        <v>110</v>
      </c>
      <c r="S465" s="1084" t="s">
        <v>110</v>
      </c>
      <c r="T465" s="1084" t="s">
        <v>110</v>
      </c>
      <c r="U465" s="1084" t="s">
        <v>110</v>
      </c>
      <c r="V465" s="1084" t="s">
        <v>110</v>
      </c>
      <c r="W465" s="1084" t="s">
        <v>110</v>
      </c>
      <c r="X465" s="1084" t="s">
        <v>110</v>
      </c>
      <c r="Y465" s="1084" t="s">
        <v>110</v>
      </c>
      <c r="Z465" s="1084" t="s">
        <v>110</v>
      </c>
      <c r="AA465" s="1084" t="s">
        <v>110</v>
      </c>
      <c r="AB465" s="1084" t="s">
        <v>110</v>
      </c>
      <c r="AC465" s="1084" t="s">
        <v>110</v>
      </c>
      <c r="AD465" s="1084" t="s">
        <v>110</v>
      </c>
      <c r="AE465" s="1084" t="s">
        <v>110</v>
      </c>
      <c r="AF465" s="1084" t="s">
        <v>110</v>
      </c>
      <c r="AG465" s="1084" t="s">
        <v>110</v>
      </c>
      <c r="AH465" s="39">
        <f t="shared" ref="AH465:AH473" si="89">SUM(C465:AG465)</f>
        <v>0</v>
      </c>
    </row>
    <row r="466" spans="1:36" ht="15">
      <c r="A466" s="21" t="s">
        <v>77</v>
      </c>
      <c r="B466" s="95">
        <f t="shared" si="87"/>
        <v>0</v>
      </c>
      <c r="C466" s="1084" t="s">
        <v>110</v>
      </c>
      <c r="D466" s="1084" t="s">
        <v>110</v>
      </c>
      <c r="E466" s="1084" t="s">
        <v>110</v>
      </c>
      <c r="F466" s="1084" t="s">
        <v>110</v>
      </c>
      <c r="G466" s="1084" t="s">
        <v>110</v>
      </c>
      <c r="H466" s="1084" t="s">
        <v>110</v>
      </c>
      <c r="I466" s="1084" t="s">
        <v>110</v>
      </c>
      <c r="J466" s="1084" t="s">
        <v>110</v>
      </c>
      <c r="K466" s="1084" t="s">
        <v>110</v>
      </c>
      <c r="L466" s="1084" t="s">
        <v>110</v>
      </c>
      <c r="M466" s="1084" t="s">
        <v>110</v>
      </c>
      <c r="N466" s="1084" t="s">
        <v>110</v>
      </c>
      <c r="O466" s="1084" t="s">
        <v>110</v>
      </c>
      <c r="P466" s="1084" t="s">
        <v>110</v>
      </c>
      <c r="Q466" s="1084" t="s">
        <v>110</v>
      </c>
      <c r="R466" s="2165"/>
      <c r="S466" s="2165"/>
      <c r="T466" s="2165"/>
      <c r="U466" s="2165"/>
      <c r="V466" s="2165"/>
      <c r="W466" s="2165"/>
      <c r="X466" s="2165"/>
      <c r="Y466" s="2165"/>
      <c r="Z466" s="2165"/>
      <c r="AA466" s="2165"/>
      <c r="AB466" s="2165"/>
      <c r="AC466" s="2165"/>
      <c r="AD466" s="2165"/>
      <c r="AE466" s="2165"/>
      <c r="AF466" s="2165"/>
      <c r="AG466" s="2165"/>
      <c r="AH466" s="39">
        <f t="shared" si="89"/>
        <v>0</v>
      </c>
    </row>
    <row r="467" spans="1:36" ht="15">
      <c r="A467" s="21" t="s">
        <v>78</v>
      </c>
      <c r="B467" s="95">
        <f t="shared" si="87"/>
        <v>2.5099999999999998</v>
      </c>
      <c r="C467" s="35"/>
      <c r="D467" s="15"/>
      <c r="E467" s="15"/>
      <c r="F467" s="15"/>
      <c r="G467" s="15"/>
      <c r="H467" s="15">
        <v>2.1389999999999998</v>
      </c>
      <c r="I467" s="15"/>
      <c r="J467" s="15"/>
      <c r="K467" s="15"/>
      <c r="L467" s="15"/>
      <c r="M467" s="15"/>
      <c r="N467" s="15"/>
      <c r="O467" s="15">
        <v>0.17499999999999999</v>
      </c>
      <c r="P467" s="15"/>
      <c r="Q467" s="15"/>
      <c r="R467" s="15"/>
      <c r="S467" s="15"/>
      <c r="T467" s="15"/>
      <c r="U467" s="15"/>
      <c r="V467" s="15"/>
      <c r="W467" s="15"/>
      <c r="X467" s="15"/>
      <c r="Y467" s="15"/>
      <c r="Z467" s="15">
        <v>0.19600000000000001</v>
      </c>
      <c r="AA467" s="15"/>
      <c r="AB467" s="15"/>
      <c r="AC467" s="15"/>
      <c r="AD467" s="15"/>
      <c r="AE467" s="15"/>
      <c r="AF467" s="15"/>
      <c r="AG467" s="15"/>
      <c r="AH467" s="39">
        <f t="shared" si="89"/>
        <v>2.5099999999999998</v>
      </c>
    </row>
    <row r="468" spans="1:36" ht="15">
      <c r="A468" s="21" t="s">
        <v>79</v>
      </c>
      <c r="B468" s="1091">
        <f t="shared" si="87"/>
        <v>0.41099999999999998</v>
      </c>
      <c r="C468" s="35"/>
      <c r="D468" s="39"/>
      <c r="E468" s="39"/>
      <c r="F468" s="39"/>
      <c r="G468" s="15"/>
      <c r="H468" s="15"/>
      <c r="I468" s="15"/>
      <c r="J468" s="43"/>
      <c r="K468" s="43"/>
      <c r="L468" s="39">
        <v>0.41099999999999998</v>
      </c>
      <c r="M468" s="39"/>
      <c r="N468" s="39"/>
      <c r="O468" s="39"/>
      <c r="P468" s="39"/>
      <c r="Q468" s="39"/>
      <c r="R468" s="39"/>
      <c r="S468" s="39"/>
      <c r="T468" s="39"/>
      <c r="U468" s="39"/>
      <c r="V468" s="39"/>
      <c r="W468" s="1084" t="s">
        <v>110</v>
      </c>
      <c r="X468" s="1084" t="s">
        <v>110</v>
      </c>
      <c r="Y468" s="1084" t="s">
        <v>110</v>
      </c>
      <c r="Z468" s="1084" t="s">
        <v>110</v>
      </c>
      <c r="AA468" s="1084" t="s">
        <v>110</v>
      </c>
      <c r="AB468" s="1084" t="s">
        <v>110</v>
      </c>
      <c r="AC468" s="1084" t="s">
        <v>110</v>
      </c>
      <c r="AD468" s="1084" t="s">
        <v>110</v>
      </c>
      <c r="AE468" s="1084" t="s">
        <v>110</v>
      </c>
      <c r="AF468" s="1084" t="s">
        <v>110</v>
      </c>
      <c r="AG468" s="1084" t="s">
        <v>110</v>
      </c>
      <c r="AH468" s="39">
        <f t="shared" si="89"/>
        <v>0.41099999999999998</v>
      </c>
    </row>
    <row r="469" spans="1:36" ht="15">
      <c r="A469" s="21" t="s">
        <v>80</v>
      </c>
      <c r="B469" s="1091">
        <f t="shared" si="87"/>
        <v>0</v>
      </c>
      <c r="C469" s="1084" t="s">
        <v>110</v>
      </c>
      <c r="D469" s="1084" t="s">
        <v>110</v>
      </c>
      <c r="E469" s="1084" t="s">
        <v>110</v>
      </c>
      <c r="F469" s="1084" t="s">
        <v>110</v>
      </c>
      <c r="G469" s="1084" t="s">
        <v>110</v>
      </c>
      <c r="H469" s="1084" t="s">
        <v>110</v>
      </c>
      <c r="I469" s="1084" t="s">
        <v>110</v>
      </c>
      <c r="J469" s="1084" t="s">
        <v>110</v>
      </c>
      <c r="K469" s="1084" t="s">
        <v>110</v>
      </c>
      <c r="L469" s="1084" t="s">
        <v>110</v>
      </c>
      <c r="M469" s="1084" t="s">
        <v>110</v>
      </c>
      <c r="N469" s="1084" t="s">
        <v>110</v>
      </c>
      <c r="O469" s="1084" t="s">
        <v>110</v>
      </c>
      <c r="P469" s="1084" t="s">
        <v>110</v>
      </c>
      <c r="Q469" s="1084" t="s">
        <v>110</v>
      </c>
      <c r="R469" s="1084" t="s">
        <v>110</v>
      </c>
      <c r="S469" s="1084" t="s">
        <v>110</v>
      </c>
      <c r="T469" s="1084" t="s">
        <v>110</v>
      </c>
      <c r="U469" s="1084" t="s">
        <v>110</v>
      </c>
      <c r="V469" s="1084" t="s">
        <v>110</v>
      </c>
      <c r="W469" s="1084" t="s">
        <v>110</v>
      </c>
      <c r="X469" s="1084" t="s">
        <v>110</v>
      </c>
      <c r="Y469" s="1084" t="s">
        <v>110</v>
      </c>
      <c r="Z469" s="1084" t="s">
        <v>110</v>
      </c>
      <c r="AA469" s="1084" t="s">
        <v>110</v>
      </c>
      <c r="AB469" s="1084" t="s">
        <v>110</v>
      </c>
      <c r="AC469" s="1084" t="s">
        <v>110</v>
      </c>
      <c r="AD469" s="1084" t="s">
        <v>110</v>
      </c>
      <c r="AE469" s="1084" t="s">
        <v>110</v>
      </c>
      <c r="AF469" s="1084" t="s">
        <v>110</v>
      </c>
      <c r="AG469" s="1084" t="s">
        <v>110</v>
      </c>
      <c r="AH469" s="39">
        <f t="shared" si="89"/>
        <v>0</v>
      </c>
    </row>
    <row r="470" spans="1:36" ht="15">
      <c r="A470" s="21" t="s">
        <v>81</v>
      </c>
      <c r="B470" s="1091">
        <f t="shared" si="87"/>
        <v>0</v>
      </c>
      <c r="C470" s="32"/>
      <c r="D470" s="39"/>
      <c r="E470" s="39"/>
      <c r="F470" s="39"/>
      <c r="G470" s="39"/>
      <c r="H470" s="39"/>
      <c r="I470" s="39"/>
      <c r="J470" s="43"/>
      <c r="K470" s="43"/>
      <c r="L470" s="15"/>
      <c r="M470" s="15"/>
      <c r="N470" s="15"/>
      <c r="O470" s="15"/>
      <c r="P470" s="15"/>
      <c r="Q470" s="1084" t="s">
        <v>110</v>
      </c>
      <c r="R470" s="1084" t="s">
        <v>110</v>
      </c>
      <c r="S470" s="1084" t="s">
        <v>110</v>
      </c>
      <c r="T470" s="1084" t="s">
        <v>110</v>
      </c>
      <c r="U470" s="1084" t="s">
        <v>110</v>
      </c>
      <c r="V470" s="1084" t="s">
        <v>110</v>
      </c>
      <c r="W470" s="1084" t="s">
        <v>110</v>
      </c>
      <c r="X470" s="1084" t="s">
        <v>110</v>
      </c>
      <c r="Y470" s="1084" t="s">
        <v>110</v>
      </c>
      <c r="Z470" s="1084" t="s">
        <v>110</v>
      </c>
      <c r="AA470" s="1084" t="s">
        <v>110</v>
      </c>
      <c r="AB470" s="1084" t="s">
        <v>110</v>
      </c>
      <c r="AC470" s="1084" t="s">
        <v>110</v>
      </c>
      <c r="AD470" s="1084" t="s">
        <v>110</v>
      </c>
      <c r="AE470" s="1084" t="s">
        <v>110</v>
      </c>
      <c r="AF470" s="1084" t="s">
        <v>110</v>
      </c>
      <c r="AG470" s="1084" t="s">
        <v>110</v>
      </c>
      <c r="AH470" s="39">
        <f t="shared" si="89"/>
        <v>0</v>
      </c>
    </row>
    <row r="471" spans="1:36" ht="15">
      <c r="A471" s="21" t="s">
        <v>82</v>
      </c>
      <c r="B471" s="1091">
        <f t="shared" si="87"/>
        <v>0</v>
      </c>
      <c r="C471" s="35"/>
      <c r="D471" s="1084" t="s">
        <v>110</v>
      </c>
      <c r="E471" s="1084" t="s">
        <v>110</v>
      </c>
      <c r="F471" s="1084" t="s">
        <v>110</v>
      </c>
      <c r="G471" s="1084" t="s">
        <v>110</v>
      </c>
      <c r="H471" s="1084" t="s">
        <v>110</v>
      </c>
      <c r="I471" s="1084" t="s">
        <v>110</v>
      </c>
      <c r="J471" s="1084" t="s">
        <v>110</v>
      </c>
      <c r="K471" s="1084" t="s">
        <v>110</v>
      </c>
      <c r="L471" s="1084" t="s">
        <v>110</v>
      </c>
      <c r="M471" s="1084" t="s">
        <v>110</v>
      </c>
      <c r="N471" s="1084" t="s">
        <v>110</v>
      </c>
      <c r="O471" s="1084" t="s">
        <v>110</v>
      </c>
      <c r="P471" s="1084" t="s">
        <v>110</v>
      </c>
      <c r="Q471" s="1084" t="s">
        <v>110</v>
      </c>
      <c r="R471" s="1084" t="s">
        <v>110</v>
      </c>
      <c r="S471" s="1084" t="s">
        <v>110</v>
      </c>
      <c r="T471" s="1084" t="s">
        <v>110</v>
      </c>
      <c r="U471" s="1084" t="s">
        <v>110</v>
      </c>
      <c r="V471" s="1084" t="s">
        <v>110</v>
      </c>
      <c r="W471" s="1084" t="s">
        <v>110</v>
      </c>
      <c r="X471" s="1084" t="s">
        <v>110</v>
      </c>
      <c r="Y471" s="1084" t="s">
        <v>110</v>
      </c>
      <c r="Z471" s="1084" t="s">
        <v>110</v>
      </c>
      <c r="AA471" s="1084" t="s">
        <v>110</v>
      </c>
      <c r="AB471" s="1084" t="s">
        <v>110</v>
      </c>
      <c r="AC471" s="1084" t="s">
        <v>110</v>
      </c>
      <c r="AD471" s="1084" t="s">
        <v>110</v>
      </c>
      <c r="AE471" s="1084" t="s">
        <v>110</v>
      </c>
      <c r="AF471" s="1084" t="s">
        <v>110</v>
      </c>
      <c r="AG471" s="1084" t="s">
        <v>110</v>
      </c>
      <c r="AH471" s="39">
        <f t="shared" si="89"/>
        <v>0</v>
      </c>
    </row>
    <row r="472" spans="1:36" ht="15">
      <c r="A472" s="21" t="s">
        <v>83</v>
      </c>
      <c r="B472" s="1091">
        <f t="shared" si="87"/>
        <v>0</v>
      </c>
      <c r="C472" s="1084" t="s">
        <v>110</v>
      </c>
      <c r="D472" s="1084" t="s">
        <v>110</v>
      </c>
      <c r="E472" s="1084" t="s">
        <v>110</v>
      </c>
      <c r="F472" s="1084" t="s">
        <v>110</v>
      </c>
      <c r="G472" s="1084" t="s">
        <v>110</v>
      </c>
      <c r="H472" s="1084" t="s">
        <v>110</v>
      </c>
      <c r="I472" s="1084" t="s">
        <v>110</v>
      </c>
      <c r="J472" s="1084" t="s">
        <v>110</v>
      </c>
      <c r="K472" s="1084" t="s">
        <v>110</v>
      </c>
      <c r="L472" s="1084" t="s">
        <v>110</v>
      </c>
      <c r="M472" s="1084" t="s">
        <v>110</v>
      </c>
      <c r="N472" s="1084" t="s">
        <v>110</v>
      </c>
      <c r="O472" s="1084" t="s">
        <v>110</v>
      </c>
      <c r="P472" s="1084" t="s">
        <v>110</v>
      </c>
      <c r="Q472" s="1084" t="s">
        <v>110</v>
      </c>
      <c r="R472" s="15"/>
      <c r="S472" s="15"/>
      <c r="T472" s="15"/>
      <c r="U472" s="15"/>
      <c r="V472" s="15"/>
      <c r="W472" s="15"/>
      <c r="X472" s="15"/>
      <c r="Y472" s="11"/>
      <c r="Z472" s="15"/>
      <c r="AA472" s="15"/>
      <c r="AB472" s="3555" t="s">
        <v>127</v>
      </c>
      <c r="AC472" s="15"/>
      <c r="AD472" s="15"/>
      <c r="AE472" s="39"/>
      <c r="AF472" s="15"/>
      <c r="AG472" s="39"/>
      <c r="AH472" s="39">
        <f t="shared" si="89"/>
        <v>0</v>
      </c>
    </row>
    <row r="473" spans="1:36" ht="15">
      <c r="A473" s="21" t="s">
        <v>84</v>
      </c>
      <c r="B473" s="1091">
        <f t="shared" si="87"/>
        <v>0</v>
      </c>
      <c r="C473" s="3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39"/>
      <c r="AF473" s="15"/>
      <c r="AG473" s="39"/>
      <c r="AH473" s="39">
        <f t="shared" si="89"/>
        <v>0</v>
      </c>
    </row>
    <row r="474" spans="1:36" ht="15">
      <c r="A474" s="71" t="s">
        <v>72</v>
      </c>
      <c r="B474" s="75">
        <f>SUM(B462:B473)</f>
        <v>7.4779999999999998</v>
      </c>
      <c r="C474" s="32">
        <f>SUM(C462:C472)</f>
        <v>0.67500000000000004</v>
      </c>
      <c r="D474" s="39">
        <f>SUM(D462:D472)</f>
        <v>0</v>
      </c>
      <c r="E474" s="39">
        <v>0</v>
      </c>
      <c r="F474" s="39">
        <f t="shared" ref="F474:AC474" si="90">SUM(F462:F472)</f>
        <v>0</v>
      </c>
      <c r="G474" s="39">
        <f t="shared" si="90"/>
        <v>0</v>
      </c>
      <c r="H474" s="39">
        <f t="shared" si="90"/>
        <v>2.1389999999999998</v>
      </c>
      <c r="I474" s="39">
        <f t="shared" si="90"/>
        <v>0</v>
      </c>
      <c r="J474" s="39">
        <f t="shared" si="90"/>
        <v>0</v>
      </c>
      <c r="K474" s="39">
        <f t="shared" si="90"/>
        <v>0</v>
      </c>
      <c r="L474" s="39">
        <f t="shared" si="90"/>
        <v>0.41099999999999998</v>
      </c>
      <c r="M474" s="39">
        <f t="shared" si="90"/>
        <v>0</v>
      </c>
      <c r="N474" s="39">
        <f t="shared" si="90"/>
        <v>0</v>
      </c>
      <c r="O474" s="39">
        <f t="shared" si="90"/>
        <v>0.17499999999999999</v>
      </c>
      <c r="P474" s="39">
        <f t="shared" si="90"/>
        <v>0</v>
      </c>
      <c r="Q474" s="39">
        <f t="shared" si="90"/>
        <v>0</v>
      </c>
      <c r="R474" s="39">
        <f t="shared" si="90"/>
        <v>0</v>
      </c>
      <c r="S474" s="39">
        <f t="shared" si="90"/>
        <v>0</v>
      </c>
      <c r="T474" s="39">
        <f t="shared" si="90"/>
        <v>0</v>
      </c>
      <c r="U474" s="39">
        <f t="shared" si="90"/>
        <v>0</v>
      </c>
      <c r="V474" s="39">
        <f t="shared" si="90"/>
        <v>0</v>
      </c>
      <c r="W474" s="39">
        <f t="shared" si="90"/>
        <v>0.88800000000000001</v>
      </c>
      <c r="X474" s="39">
        <f t="shared" si="90"/>
        <v>0</v>
      </c>
      <c r="Y474" s="39">
        <f t="shared" si="90"/>
        <v>0</v>
      </c>
      <c r="Z474" s="39">
        <f t="shared" si="90"/>
        <v>0.19600000000000001</v>
      </c>
      <c r="AA474" s="39">
        <f t="shared" si="90"/>
        <v>0</v>
      </c>
      <c r="AB474" s="39">
        <f t="shared" si="90"/>
        <v>0</v>
      </c>
      <c r="AC474" s="39">
        <f t="shared" si="90"/>
        <v>2.9940000000000002</v>
      </c>
      <c r="AD474" s="39">
        <v>0</v>
      </c>
      <c r="AE474" s="39">
        <f>SUM(AE462:AE472)</f>
        <v>0</v>
      </c>
      <c r="AF474" s="39">
        <f>SUM(AF462:AF472)</f>
        <v>0</v>
      </c>
      <c r="AG474" s="39">
        <f>SUM(AG462:AG472)</f>
        <v>0</v>
      </c>
      <c r="AH474" s="32">
        <f>SUM(AH462:AH472)</f>
        <v>7.4779999999999998</v>
      </c>
    </row>
    <row r="475" spans="1:36" ht="15">
      <c r="A475" s="1682"/>
      <c r="B475" s="1685"/>
      <c r="C475" s="1686"/>
      <c r="D475" s="1686"/>
      <c r="E475" s="1686"/>
      <c r="F475" s="1686"/>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13"/>
    </row>
    <row r="476" spans="1:36" ht="15">
      <c r="A476" s="3821" t="s">
        <v>578</v>
      </c>
      <c r="B476" s="3822"/>
      <c r="C476" s="3822"/>
      <c r="D476" s="3822"/>
      <c r="E476" s="3822"/>
      <c r="F476" s="3822"/>
      <c r="G476" s="3822"/>
      <c r="H476" s="3823"/>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row>
    <row r="477" spans="1:36" ht="15">
      <c r="A477" s="5" t="s">
        <v>70</v>
      </c>
      <c r="B477" s="5" t="s">
        <v>71</v>
      </c>
      <c r="C477" s="1054">
        <v>1</v>
      </c>
      <c r="D477" s="21">
        <v>2</v>
      </c>
      <c r="E477" s="21">
        <v>3</v>
      </c>
      <c r="F477" s="21">
        <v>4</v>
      </c>
      <c r="G477" s="21">
        <v>5</v>
      </c>
      <c r="H477" s="21">
        <v>6</v>
      </c>
      <c r="I477" s="21">
        <v>7</v>
      </c>
      <c r="J477" s="21">
        <v>8</v>
      </c>
      <c r="K477" s="21">
        <v>9</v>
      </c>
      <c r="L477" s="21">
        <v>10</v>
      </c>
      <c r="M477" s="21">
        <v>11</v>
      </c>
      <c r="N477" s="21">
        <v>12</v>
      </c>
      <c r="O477" s="21">
        <v>13</v>
      </c>
      <c r="P477" s="21">
        <v>14</v>
      </c>
      <c r="Q477" s="21">
        <v>15</v>
      </c>
      <c r="R477" s="21">
        <v>16</v>
      </c>
      <c r="S477" s="21">
        <v>17</v>
      </c>
      <c r="T477" s="21">
        <v>18</v>
      </c>
      <c r="U477" s="21">
        <v>19</v>
      </c>
      <c r="V477" s="21">
        <v>20</v>
      </c>
      <c r="W477" s="21">
        <v>21</v>
      </c>
      <c r="X477" s="21">
        <v>22</v>
      </c>
      <c r="Y477" s="21">
        <v>23</v>
      </c>
      <c r="Z477" s="21">
        <v>24</v>
      </c>
      <c r="AA477" s="21">
        <v>25</v>
      </c>
      <c r="AB477" s="21">
        <v>26</v>
      </c>
      <c r="AC477" s="21">
        <v>27</v>
      </c>
      <c r="AD477" s="21">
        <v>28</v>
      </c>
      <c r="AE477" s="21">
        <v>29</v>
      </c>
      <c r="AF477" s="21">
        <v>30</v>
      </c>
      <c r="AG477" s="21">
        <v>31</v>
      </c>
      <c r="AH477" s="25" t="s">
        <v>72</v>
      </c>
      <c r="AI477" s="2266" t="s">
        <v>1345</v>
      </c>
      <c r="AJ477" s="66">
        <f>(B490/COUNTIF($C$478:$AG$489,"&gt;0"))</f>
        <v>2.562125</v>
      </c>
    </row>
    <row r="478" spans="1:36" ht="15">
      <c r="A478" s="21" t="s">
        <v>73</v>
      </c>
      <c r="B478" s="95">
        <f t="shared" ref="B478:B480" si="91">+AH478</f>
        <v>0</v>
      </c>
      <c r="C478" s="1689"/>
      <c r="D478" s="1689"/>
      <c r="E478" s="1689"/>
      <c r="F478" s="1689"/>
      <c r="G478" s="1689"/>
      <c r="H478" s="1689"/>
      <c r="I478" s="1689"/>
      <c r="J478" s="1689"/>
      <c r="K478" s="1689"/>
      <c r="L478" s="1689"/>
      <c r="M478" s="1689"/>
      <c r="N478" s="1689"/>
      <c r="O478" s="1689"/>
      <c r="P478" s="1689"/>
      <c r="Q478" s="1689"/>
      <c r="R478" s="1689"/>
      <c r="S478" s="1689"/>
      <c r="T478" s="1689"/>
      <c r="U478" s="1689"/>
      <c r="V478" s="1689"/>
      <c r="W478" s="1689"/>
      <c r="X478" s="1689"/>
      <c r="Y478" s="1689"/>
      <c r="Z478" s="1689"/>
      <c r="AA478" s="1689"/>
      <c r="AB478" s="1091"/>
      <c r="AC478" s="1689"/>
      <c r="AD478" s="1689"/>
      <c r="AE478" s="1689"/>
      <c r="AF478" s="1689"/>
      <c r="AG478" s="1689"/>
      <c r="AH478" s="39">
        <f t="shared" ref="AH478:AH479" si="92">SUM(C478:AG478)</f>
        <v>0</v>
      </c>
      <c r="AJ478" s="2157">
        <f>+'Resumen RAE Anchoveta'!G276</f>
        <v>100.601</v>
      </c>
    </row>
    <row r="479" spans="1:36" ht="15">
      <c r="A479" s="21" t="s">
        <v>74</v>
      </c>
      <c r="B479" s="95">
        <f t="shared" si="91"/>
        <v>1.792</v>
      </c>
      <c r="C479" s="1689"/>
      <c r="D479" s="1689"/>
      <c r="E479" s="1689"/>
      <c r="F479" s="1689"/>
      <c r="G479" s="1689"/>
      <c r="H479" s="1689"/>
      <c r="I479" s="1689"/>
      <c r="J479" s="1689"/>
      <c r="K479" s="1689"/>
      <c r="L479" s="1689"/>
      <c r="M479" s="1689"/>
      <c r="N479" s="1689"/>
      <c r="O479" s="1689"/>
      <c r="P479" s="1689"/>
      <c r="Q479" s="1689"/>
      <c r="R479" s="1689"/>
      <c r="S479" s="1689"/>
      <c r="T479" s="1689"/>
      <c r="U479" s="1689"/>
      <c r="V479" s="1689"/>
      <c r="W479" s="1689"/>
      <c r="X479" s="1689"/>
      <c r="Y479" s="1689"/>
      <c r="Z479" s="1689"/>
      <c r="AA479" s="1689"/>
      <c r="AB479" s="1689">
        <v>1.117</v>
      </c>
      <c r="AC479" s="1689">
        <v>0.54</v>
      </c>
      <c r="AD479" s="1689">
        <v>0.13500000000000001</v>
      </c>
      <c r="AE479" s="1689"/>
      <c r="AF479" s="1689"/>
      <c r="AG479" s="1689"/>
      <c r="AH479" s="39">
        <f t="shared" si="92"/>
        <v>1.792</v>
      </c>
      <c r="AJ479" s="1093">
        <f>+AJ478/AJ477</f>
        <v>39.264672878957896</v>
      </c>
    </row>
    <row r="480" spans="1:36" ht="15">
      <c r="A480" s="21" t="s">
        <v>75</v>
      </c>
      <c r="B480" s="95">
        <f t="shared" si="91"/>
        <v>0.8660000000000001</v>
      </c>
      <c r="C480" s="1689">
        <v>0.67400000000000004</v>
      </c>
      <c r="D480" s="1689"/>
      <c r="E480" s="1689">
        <v>0.192</v>
      </c>
      <c r="F480" s="1689"/>
      <c r="G480" s="1689"/>
      <c r="H480" s="1091"/>
      <c r="I480" s="1091"/>
      <c r="J480" s="1091"/>
      <c r="K480" s="1091"/>
      <c r="L480" s="1091"/>
      <c r="M480" s="1091"/>
      <c r="N480" s="1091"/>
      <c r="O480" s="1091"/>
      <c r="P480" s="1091"/>
      <c r="Q480" s="1084"/>
      <c r="R480" s="1084"/>
      <c r="S480" s="1084"/>
      <c r="T480" s="1084"/>
      <c r="U480" s="1084"/>
      <c r="V480" s="1084"/>
      <c r="W480" s="1084"/>
      <c r="X480" s="1084"/>
      <c r="Y480" s="1084"/>
      <c r="Z480" s="1084"/>
      <c r="AA480" s="1084"/>
      <c r="AB480" s="1084"/>
      <c r="AC480" s="1084"/>
      <c r="AD480" s="1084"/>
      <c r="AE480" s="1084"/>
      <c r="AF480" s="1084"/>
      <c r="AG480" s="1084"/>
      <c r="AH480" s="39">
        <f>SUM(C480:AG480)</f>
        <v>0.8660000000000001</v>
      </c>
    </row>
    <row r="481" spans="1:36" ht="15">
      <c r="A481" s="21" t="s">
        <v>76</v>
      </c>
      <c r="B481" s="95">
        <f>+AH481</f>
        <v>0</v>
      </c>
      <c r="C481" s="1084"/>
      <c r="D481" s="1084"/>
      <c r="E481" s="1084"/>
      <c r="F481" s="1084"/>
      <c r="G481" s="1084"/>
      <c r="H481" s="1084"/>
      <c r="I481" s="1084"/>
      <c r="J481" s="1084"/>
      <c r="K481" s="1084"/>
      <c r="L481" s="1084"/>
      <c r="M481" s="1084"/>
      <c r="N481" s="1084"/>
      <c r="O481" s="1084"/>
      <c r="P481" s="1084"/>
      <c r="Q481" s="1084"/>
      <c r="R481" s="1084"/>
      <c r="S481" s="1084"/>
      <c r="T481" s="1084"/>
      <c r="U481" s="1084"/>
      <c r="V481" s="1084"/>
      <c r="W481" s="1084"/>
      <c r="X481" s="1084"/>
      <c r="Y481" s="1084"/>
      <c r="Z481" s="1084"/>
      <c r="AA481" s="1084"/>
      <c r="AB481" s="1084"/>
      <c r="AC481" s="1084"/>
      <c r="AD481" s="1084"/>
      <c r="AE481" s="1084"/>
      <c r="AF481" s="1084" t="s">
        <v>110</v>
      </c>
      <c r="AG481" s="1084" t="s">
        <v>110</v>
      </c>
      <c r="AH481" s="39">
        <f t="shared" ref="AH481:AH489" si="93">SUM(C481:AG481)</f>
        <v>0</v>
      </c>
    </row>
    <row r="482" spans="1:36" ht="15">
      <c r="A482" s="21" t="s">
        <v>77</v>
      </c>
      <c r="B482" s="95">
        <f>+AH482</f>
        <v>15.843999999999999</v>
      </c>
      <c r="C482" s="1084" t="s">
        <v>110</v>
      </c>
      <c r="D482" s="1084" t="s">
        <v>110</v>
      </c>
      <c r="E482" s="1084" t="s">
        <v>110</v>
      </c>
      <c r="F482" s="1084" t="s">
        <v>110</v>
      </c>
      <c r="G482" s="1084" t="s">
        <v>110</v>
      </c>
      <c r="H482" s="1084" t="s">
        <v>110</v>
      </c>
      <c r="I482" s="1084" t="s">
        <v>110</v>
      </c>
      <c r="J482" s="1084" t="s">
        <v>110</v>
      </c>
      <c r="K482" s="1084" t="s">
        <v>110</v>
      </c>
      <c r="L482" s="1084" t="s">
        <v>110</v>
      </c>
      <c r="M482" s="1084" t="s">
        <v>110</v>
      </c>
      <c r="N482" s="1084" t="s">
        <v>110</v>
      </c>
      <c r="O482" s="1084" t="s">
        <v>110</v>
      </c>
      <c r="P482" s="1084" t="s">
        <v>110</v>
      </c>
      <c r="Q482" s="1084" t="s">
        <v>110</v>
      </c>
      <c r="R482" s="2165"/>
      <c r="S482" s="2165">
        <v>3.7490000000000001</v>
      </c>
      <c r="T482" s="2165"/>
      <c r="U482" s="2165"/>
      <c r="V482" s="2165"/>
      <c r="W482" s="2165">
        <v>2.524</v>
      </c>
      <c r="X482" s="2165">
        <v>2.2879999999999998</v>
      </c>
      <c r="Y482" s="2165">
        <v>0.75700000000000001</v>
      </c>
      <c r="Z482" s="2165"/>
      <c r="AA482" s="2165"/>
      <c r="AB482" s="2165"/>
      <c r="AC482" s="2165"/>
      <c r="AD482" s="2165">
        <v>6.5259999999999998</v>
      </c>
      <c r="AE482" s="2165"/>
      <c r="AF482" s="2165"/>
      <c r="AG482" s="2165"/>
      <c r="AH482" s="39">
        <f t="shared" si="93"/>
        <v>15.843999999999999</v>
      </c>
    </row>
    <row r="483" spans="1:36" ht="15">
      <c r="A483" s="21" t="s">
        <v>78</v>
      </c>
      <c r="B483" s="95">
        <f t="shared" ref="B483:B489" si="94">+AH483</f>
        <v>1.532</v>
      </c>
      <c r="C483" s="35"/>
      <c r="D483" s="15"/>
      <c r="E483" s="15"/>
      <c r="F483" s="15"/>
      <c r="G483" s="15">
        <v>0</v>
      </c>
      <c r="H483" s="15"/>
      <c r="I483" s="15"/>
      <c r="J483" s="15"/>
      <c r="K483" s="15"/>
      <c r="L483" s="15"/>
      <c r="M483" s="15"/>
      <c r="N483" s="15">
        <v>1.532</v>
      </c>
      <c r="O483" s="15"/>
      <c r="P483" s="15"/>
      <c r="Q483" s="15"/>
      <c r="R483" s="15"/>
      <c r="S483" s="15"/>
      <c r="T483" s="15"/>
      <c r="U483" s="15"/>
      <c r="V483" s="15"/>
      <c r="W483" s="15"/>
      <c r="X483" s="15"/>
      <c r="Y483" s="15"/>
      <c r="Z483" s="15"/>
      <c r="AA483" s="15"/>
      <c r="AB483" s="15"/>
      <c r="AC483" s="15"/>
      <c r="AD483" s="15"/>
      <c r="AE483" s="15"/>
      <c r="AF483" s="15"/>
      <c r="AG483" s="15"/>
      <c r="AH483" s="39">
        <f t="shared" si="93"/>
        <v>1.532</v>
      </c>
    </row>
    <row r="484" spans="1:36" ht="15">
      <c r="A484" s="21" t="s">
        <v>79</v>
      </c>
      <c r="B484" s="1091">
        <f t="shared" si="94"/>
        <v>0</v>
      </c>
      <c r="C484" s="35"/>
      <c r="D484" s="39"/>
      <c r="E484" s="39"/>
      <c r="F484" s="39"/>
      <c r="G484" s="15"/>
      <c r="H484" s="15"/>
      <c r="I484" s="15"/>
      <c r="J484" s="43"/>
      <c r="K484" s="43"/>
      <c r="L484" s="39"/>
      <c r="M484" s="39"/>
      <c r="N484" s="39"/>
      <c r="O484" s="39"/>
      <c r="P484" s="39"/>
      <c r="Q484" s="39"/>
      <c r="R484" s="39"/>
      <c r="S484" s="39"/>
      <c r="T484" s="39"/>
      <c r="U484" s="39"/>
      <c r="V484" s="39"/>
      <c r="W484" s="897" t="s">
        <v>110</v>
      </c>
      <c r="X484" s="897" t="s">
        <v>110</v>
      </c>
      <c r="Y484" s="897" t="s">
        <v>110</v>
      </c>
      <c r="Z484" s="897" t="s">
        <v>110</v>
      </c>
      <c r="AA484" s="897" t="s">
        <v>110</v>
      </c>
      <c r="AB484" s="897" t="s">
        <v>110</v>
      </c>
      <c r="AC484" s="897" t="s">
        <v>110</v>
      </c>
      <c r="AD484" s="897" t="s">
        <v>110</v>
      </c>
      <c r="AE484" s="897" t="s">
        <v>110</v>
      </c>
      <c r="AF484" s="897" t="s">
        <v>110</v>
      </c>
      <c r="AG484" s="897" t="s">
        <v>110</v>
      </c>
      <c r="AH484" s="39">
        <f t="shared" si="93"/>
        <v>0</v>
      </c>
    </row>
    <row r="485" spans="1:36" ht="15">
      <c r="A485" s="21" t="s">
        <v>80</v>
      </c>
      <c r="B485" s="1091">
        <f t="shared" si="94"/>
        <v>3.9130000000000003</v>
      </c>
      <c r="C485" s="897" t="s">
        <v>110</v>
      </c>
      <c r="D485" s="897" t="s">
        <v>110</v>
      </c>
      <c r="E485" s="897" t="s">
        <v>110</v>
      </c>
      <c r="F485" s="897" t="s">
        <v>110</v>
      </c>
      <c r="G485" s="897" t="s">
        <v>110</v>
      </c>
      <c r="H485" s="897" t="s">
        <v>110</v>
      </c>
      <c r="I485" s="897" t="s">
        <v>110</v>
      </c>
      <c r="J485" s="897" t="s">
        <v>110</v>
      </c>
      <c r="K485" s="897" t="s">
        <v>110</v>
      </c>
      <c r="L485" s="897" t="s">
        <v>110</v>
      </c>
      <c r="M485" s="897" t="s">
        <v>110</v>
      </c>
      <c r="N485" s="897" t="s">
        <v>110</v>
      </c>
      <c r="O485" s="897" t="s">
        <v>110</v>
      </c>
      <c r="P485" s="897" t="s">
        <v>110</v>
      </c>
      <c r="Q485" s="897" t="s">
        <v>110</v>
      </c>
      <c r="R485" s="897" t="s">
        <v>110</v>
      </c>
      <c r="S485" s="897" t="s">
        <v>110</v>
      </c>
      <c r="T485" s="897" t="s">
        <v>110</v>
      </c>
      <c r="U485" s="897" t="s">
        <v>110</v>
      </c>
      <c r="V485" s="897" t="s">
        <v>110</v>
      </c>
      <c r="W485" s="897" t="s">
        <v>110</v>
      </c>
      <c r="X485" s="897" t="s">
        <v>110</v>
      </c>
      <c r="Y485" s="897" t="s">
        <v>110</v>
      </c>
      <c r="Z485" s="2173"/>
      <c r="AA485" s="897" t="s">
        <v>110</v>
      </c>
      <c r="AB485" s="897">
        <v>3.0750000000000002</v>
      </c>
      <c r="AC485" s="897" t="s">
        <v>110</v>
      </c>
      <c r="AD485" s="897">
        <v>0.83799999999999997</v>
      </c>
      <c r="AE485" s="897" t="s">
        <v>110</v>
      </c>
      <c r="AF485" s="897" t="s">
        <v>110</v>
      </c>
      <c r="AG485" s="897" t="s">
        <v>110</v>
      </c>
      <c r="AH485" s="39">
        <f t="shared" si="93"/>
        <v>3.9130000000000003</v>
      </c>
    </row>
    <row r="486" spans="1:36" ht="15">
      <c r="A486" s="21" t="s">
        <v>81</v>
      </c>
      <c r="B486" s="1091">
        <f t="shared" si="94"/>
        <v>0</v>
      </c>
      <c r="C486" s="32"/>
      <c r="D486" s="39"/>
      <c r="E486" s="39"/>
      <c r="F486" s="39"/>
      <c r="G486" s="39"/>
      <c r="H486" s="39"/>
      <c r="I486" s="39"/>
      <c r="J486" s="43"/>
      <c r="K486" s="43"/>
      <c r="L486" s="15"/>
      <c r="M486" s="15"/>
      <c r="N486" s="15"/>
      <c r="O486" s="15"/>
      <c r="P486" s="15"/>
      <c r="Q486" s="897" t="s">
        <v>110</v>
      </c>
      <c r="R486" s="897" t="s">
        <v>110</v>
      </c>
      <c r="S486" s="897" t="s">
        <v>110</v>
      </c>
      <c r="T486" s="897" t="s">
        <v>110</v>
      </c>
      <c r="U486" s="897" t="s">
        <v>110</v>
      </c>
      <c r="V486" s="897" t="s">
        <v>110</v>
      </c>
      <c r="W486" s="897" t="s">
        <v>110</v>
      </c>
      <c r="X486" s="897" t="s">
        <v>110</v>
      </c>
      <c r="Y486" s="897" t="s">
        <v>110</v>
      </c>
      <c r="Z486" s="897" t="s">
        <v>110</v>
      </c>
      <c r="AA486" s="897" t="s">
        <v>110</v>
      </c>
      <c r="AB486" s="897" t="s">
        <v>110</v>
      </c>
      <c r="AC486" s="897" t="s">
        <v>110</v>
      </c>
      <c r="AD486" s="897" t="s">
        <v>110</v>
      </c>
      <c r="AE486" s="897" t="s">
        <v>110</v>
      </c>
      <c r="AF486" s="897" t="s">
        <v>110</v>
      </c>
      <c r="AG486" s="897" t="s">
        <v>110</v>
      </c>
      <c r="AH486" s="39">
        <f t="shared" si="93"/>
        <v>0</v>
      </c>
    </row>
    <row r="487" spans="1:36" ht="15">
      <c r="A487" s="21" t="s">
        <v>82</v>
      </c>
      <c r="B487" s="1091">
        <f t="shared" si="94"/>
        <v>0</v>
      </c>
      <c r="C487" s="35"/>
      <c r="D487" s="897" t="s">
        <v>110</v>
      </c>
      <c r="E487" s="897" t="s">
        <v>110</v>
      </c>
      <c r="F487" s="897" t="s">
        <v>110</v>
      </c>
      <c r="G487" s="897" t="s">
        <v>110</v>
      </c>
      <c r="H487" s="897" t="s">
        <v>110</v>
      </c>
      <c r="I487" s="897" t="s">
        <v>110</v>
      </c>
      <c r="J487" s="897" t="s">
        <v>110</v>
      </c>
      <c r="K487" s="897" t="s">
        <v>110</v>
      </c>
      <c r="L487" s="897" t="s">
        <v>110</v>
      </c>
      <c r="M487" s="897" t="s">
        <v>110</v>
      </c>
      <c r="N487" s="897" t="s">
        <v>110</v>
      </c>
      <c r="O487" s="897" t="s">
        <v>110</v>
      </c>
      <c r="P487" s="897" t="s">
        <v>110</v>
      </c>
      <c r="Q487" s="897" t="s">
        <v>110</v>
      </c>
      <c r="R487" s="897" t="s">
        <v>110</v>
      </c>
      <c r="S487" s="897" t="s">
        <v>110</v>
      </c>
      <c r="T487" s="897" t="s">
        <v>110</v>
      </c>
      <c r="U487" s="897" t="s">
        <v>110</v>
      </c>
      <c r="V487" s="897" t="s">
        <v>110</v>
      </c>
      <c r="W487" s="897" t="s">
        <v>110</v>
      </c>
      <c r="X487" s="897" t="s">
        <v>110</v>
      </c>
      <c r="Y487" s="897" t="s">
        <v>110</v>
      </c>
      <c r="Z487" s="897" t="s">
        <v>110</v>
      </c>
      <c r="AA487" s="897" t="s">
        <v>110</v>
      </c>
      <c r="AB487" s="897" t="s">
        <v>110</v>
      </c>
      <c r="AC487" s="897" t="s">
        <v>110</v>
      </c>
      <c r="AD487" s="897" t="s">
        <v>110</v>
      </c>
      <c r="AE487" s="897" t="s">
        <v>110</v>
      </c>
      <c r="AF487" s="897" t="s">
        <v>110</v>
      </c>
      <c r="AG487" s="897" t="s">
        <v>110</v>
      </c>
      <c r="AH487" s="39">
        <f t="shared" si="93"/>
        <v>0</v>
      </c>
    </row>
    <row r="488" spans="1:36" ht="15">
      <c r="A488" s="21" t="s">
        <v>83</v>
      </c>
      <c r="B488" s="1091">
        <f t="shared" si="94"/>
        <v>4.1360000000000001</v>
      </c>
      <c r="C488" s="65" t="s">
        <v>110</v>
      </c>
      <c r="D488" s="65" t="s">
        <v>110</v>
      </c>
      <c r="E488" s="65" t="s">
        <v>110</v>
      </c>
      <c r="F488" s="65" t="s">
        <v>110</v>
      </c>
      <c r="G488" s="65" t="s">
        <v>110</v>
      </c>
      <c r="H488" s="65" t="s">
        <v>110</v>
      </c>
      <c r="I488" s="65" t="s">
        <v>110</v>
      </c>
      <c r="J488" s="65" t="s">
        <v>110</v>
      </c>
      <c r="K488" s="65" t="s">
        <v>110</v>
      </c>
      <c r="L488" s="65" t="s">
        <v>110</v>
      </c>
      <c r="M488" s="65" t="s">
        <v>110</v>
      </c>
      <c r="N488" s="65" t="s">
        <v>110</v>
      </c>
      <c r="O488" s="65" t="s">
        <v>110</v>
      </c>
      <c r="P488" s="65" t="s">
        <v>110</v>
      </c>
      <c r="Q488" s="65" t="s">
        <v>110</v>
      </c>
      <c r="R488" s="15"/>
      <c r="S488" s="15"/>
      <c r="T488" s="15"/>
      <c r="U488" s="15"/>
      <c r="V488" s="15"/>
      <c r="W488" s="15"/>
      <c r="X488" s="15"/>
      <c r="Y488" s="11"/>
      <c r="Z488" s="15"/>
      <c r="AA488" s="15"/>
      <c r="AB488" s="15">
        <v>4.1360000000000001</v>
      </c>
      <c r="AC488" s="15"/>
      <c r="AD488" s="15"/>
      <c r="AE488" s="39"/>
      <c r="AF488" s="15"/>
      <c r="AG488" s="39"/>
      <c r="AH488" s="39">
        <f t="shared" si="93"/>
        <v>4.1360000000000001</v>
      </c>
    </row>
    <row r="489" spans="1:36" ht="15">
      <c r="A489" s="21" t="s">
        <v>84</v>
      </c>
      <c r="B489" s="1091">
        <f t="shared" si="94"/>
        <v>12.911</v>
      </c>
      <c r="C489" s="35"/>
      <c r="D489" s="15">
        <v>0.27600000000000002</v>
      </c>
      <c r="E489" s="15"/>
      <c r="F489" s="15"/>
      <c r="G489" s="15"/>
      <c r="H489" s="15"/>
      <c r="I489" s="15"/>
      <c r="J489" s="15"/>
      <c r="K489" s="15"/>
      <c r="L489" s="15"/>
      <c r="M489" s="15"/>
      <c r="N489" s="15"/>
      <c r="O489" s="15"/>
      <c r="P489" s="15"/>
      <c r="Q489" s="15">
        <v>12.635</v>
      </c>
      <c r="R489" s="15"/>
      <c r="S489" s="15"/>
      <c r="T489" s="15"/>
      <c r="U489" s="15"/>
      <c r="V489" s="15"/>
      <c r="W489" s="15"/>
      <c r="X489" s="15"/>
      <c r="Y489" s="15"/>
      <c r="Z489" s="15"/>
      <c r="AA489" s="15"/>
      <c r="AB489" s="15"/>
      <c r="AC489" s="15"/>
      <c r="AD489" s="15"/>
      <c r="AE489" s="39"/>
      <c r="AF489" s="15"/>
      <c r="AG489" s="39"/>
      <c r="AH489" s="39">
        <f t="shared" si="93"/>
        <v>12.911</v>
      </c>
    </row>
    <row r="490" spans="1:36" ht="15">
      <c r="A490" s="71" t="s">
        <v>72</v>
      </c>
      <c r="B490" s="75">
        <f>SUM(B478:B489)</f>
        <v>40.994</v>
      </c>
      <c r="C490" s="32">
        <f>SUM(C478:C488)</f>
        <v>0.67400000000000004</v>
      </c>
      <c r="D490" s="39">
        <f>SUM(D478:D488)</f>
        <v>0</v>
      </c>
      <c r="E490" s="39">
        <v>0</v>
      </c>
      <c r="F490" s="39">
        <f t="shared" ref="F490:AC490" si="95">SUM(F478:F488)</f>
        <v>0</v>
      </c>
      <c r="G490" s="39">
        <f t="shared" si="95"/>
        <v>0</v>
      </c>
      <c r="H490" s="39">
        <f t="shared" si="95"/>
        <v>0</v>
      </c>
      <c r="I490" s="39">
        <f t="shared" si="95"/>
        <v>0</v>
      </c>
      <c r="J490" s="39">
        <f t="shared" si="95"/>
        <v>0</v>
      </c>
      <c r="K490" s="39">
        <f t="shared" si="95"/>
        <v>0</v>
      </c>
      <c r="L490" s="39">
        <f t="shared" si="95"/>
        <v>0</v>
      </c>
      <c r="M490" s="39">
        <f t="shared" si="95"/>
        <v>0</v>
      </c>
      <c r="N490" s="39">
        <f t="shared" si="95"/>
        <v>1.532</v>
      </c>
      <c r="O490" s="39">
        <f t="shared" si="95"/>
        <v>0</v>
      </c>
      <c r="P490" s="39">
        <f t="shared" si="95"/>
        <v>0</v>
      </c>
      <c r="Q490" s="39">
        <f t="shared" si="95"/>
        <v>0</v>
      </c>
      <c r="R490" s="39">
        <f t="shared" si="95"/>
        <v>0</v>
      </c>
      <c r="S490" s="39">
        <f t="shared" si="95"/>
        <v>3.7490000000000001</v>
      </c>
      <c r="T490" s="39">
        <f t="shared" si="95"/>
        <v>0</v>
      </c>
      <c r="U490" s="39">
        <f t="shared" si="95"/>
        <v>0</v>
      </c>
      <c r="V490" s="39">
        <f t="shared" si="95"/>
        <v>0</v>
      </c>
      <c r="W490" s="39">
        <f t="shared" si="95"/>
        <v>2.524</v>
      </c>
      <c r="X490" s="39">
        <f t="shared" si="95"/>
        <v>2.2879999999999998</v>
      </c>
      <c r="Y490" s="39">
        <f t="shared" si="95"/>
        <v>0.75700000000000001</v>
      </c>
      <c r="Z490" s="39">
        <f t="shared" si="95"/>
        <v>0</v>
      </c>
      <c r="AA490" s="39">
        <f t="shared" si="95"/>
        <v>0</v>
      </c>
      <c r="AB490" s="39">
        <f t="shared" si="95"/>
        <v>8.3279999999999994</v>
      </c>
      <c r="AC490" s="39">
        <f t="shared" si="95"/>
        <v>0.54</v>
      </c>
      <c r="AD490" s="39">
        <v>0</v>
      </c>
      <c r="AE490" s="39">
        <f>SUM(AE478:AE488)</f>
        <v>0</v>
      </c>
      <c r="AF490" s="39">
        <f>SUM(AF478:AF488)</f>
        <v>0</v>
      </c>
      <c r="AG490" s="39">
        <f>SUM(AG478:AG488)</f>
        <v>0</v>
      </c>
      <c r="AH490" s="32">
        <f>SUM(AH478:AH488)</f>
        <v>28.082999999999998</v>
      </c>
    </row>
    <row r="491" spans="1:36" ht="15">
      <c r="A491" s="1682"/>
      <c r="B491" s="1685"/>
      <c r="C491" s="1686"/>
      <c r="D491" s="1686"/>
      <c r="E491" s="1686"/>
      <c r="F491" s="1686"/>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13"/>
    </row>
    <row r="492" spans="1:36" ht="15">
      <c r="A492" s="3821" t="s">
        <v>61</v>
      </c>
      <c r="B492" s="3822"/>
      <c r="C492" s="3822"/>
      <c r="D492" s="3822"/>
      <c r="E492" s="3822"/>
      <c r="F492" s="3822"/>
      <c r="G492" s="3822"/>
      <c r="H492" s="3823"/>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row>
    <row r="493" spans="1:36" ht="15">
      <c r="A493" s="5" t="s">
        <v>70</v>
      </c>
      <c r="B493" s="5" t="s">
        <v>71</v>
      </c>
      <c r="C493" s="2166">
        <v>1</v>
      </c>
      <c r="D493" s="21">
        <v>2</v>
      </c>
      <c r="E493" s="21">
        <v>3</v>
      </c>
      <c r="F493" s="21">
        <v>4</v>
      </c>
      <c r="G493" s="21">
        <v>5</v>
      </c>
      <c r="H493" s="21">
        <v>6</v>
      </c>
      <c r="I493" s="21">
        <v>7</v>
      </c>
      <c r="J493" s="21">
        <v>8</v>
      </c>
      <c r="K493" s="21">
        <v>9</v>
      </c>
      <c r="L493" s="21">
        <v>10</v>
      </c>
      <c r="M493" s="21">
        <v>11</v>
      </c>
      <c r="N493" s="21">
        <v>12</v>
      </c>
      <c r="O493" s="21">
        <v>13</v>
      </c>
      <c r="P493" s="21">
        <v>14</v>
      </c>
      <c r="Q493" s="21">
        <v>15</v>
      </c>
      <c r="R493" s="21">
        <v>16</v>
      </c>
      <c r="S493" s="21">
        <v>17</v>
      </c>
      <c r="T493" s="21">
        <v>18</v>
      </c>
      <c r="U493" s="21">
        <v>19</v>
      </c>
      <c r="V493" s="21">
        <v>20</v>
      </c>
      <c r="W493" s="21">
        <v>21</v>
      </c>
      <c r="X493" s="21">
        <v>22</v>
      </c>
      <c r="Y493" s="21">
        <v>23</v>
      </c>
      <c r="Z493" s="21">
        <v>24</v>
      </c>
      <c r="AA493" s="21">
        <v>25</v>
      </c>
      <c r="AB493" s="21">
        <v>26</v>
      </c>
      <c r="AC493" s="21">
        <v>27</v>
      </c>
      <c r="AD493" s="21">
        <v>28</v>
      </c>
      <c r="AE493" s="21">
        <v>29</v>
      </c>
      <c r="AF493" s="21">
        <v>30</v>
      </c>
      <c r="AG493" s="21">
        <v>31</v>
      </c>
      <c r="AH493" s="25" t="s">
        <v>72</v>
      </c>
      <c r="AI493" s="2266" t="s">
        <v>1345</v>
      </c>
      <c r="AJ493" s="66">
        <f>(B506/COUNTIF($C$494:$AG$505,"&gt;0"))</f>
        <v>3.2145999999999999</v>
      </c>
    </row>
    <row r="494" spans="1:36" ht="15">
      <c r="A494" s="21" t="s">
        <v>73</v>
      </c>
      <c r="B494" s="95">
        <f t="shared" ref="B494:B505" si="96">+AH494</f>
        <v>0</v>
      </c>
      <c r="C494" s="1689"/>
      <c r="D494" s="1689"/>
      <c r="E494" s="1689"/>
      <c r="F494" s="1689"/>
      <c r="G494" s="1689"/>
      <c r="H494" s="1689"/>
      <c r="I494" s="1689"/>
      <c r="J494" s="1689"/>
      <c r="K494" s="1689"/>
      <c r="L494" s="1689"/>
      <c r="M494" s="1689"/>
      <c r="N494" s="1689"/>
      <c r="O494" s="1689"/>
      <c r="P494" s="1689"/>
      <c r="Q494" s="1689"/>
      <c r="R494" s="1689"/>
      <c r="S494" s="1689"/>
      <c r="T494" s="1689"/>
      <c r="U494" s="1689"/>
      <c r="V494" s="1689"/>
      <c r="W494" s="1689"/>
      <c r="X494" s="1689"/>
      <c r="Y494" s="1689"/>
      <c r="Z494" s="1689"/>
      <c r="AA494" s="1689"/>
      <c r="AB494" s="1091"/>
      <c r="AC494" s="1689"/>
      <c r="AD494" s="1689"/>
      <c r="AE494" s="1689"/>
      <c r="AF494" s="1689"/>
      <c r="AG494" s="1689"/>
      <c r="AH494" s="39">
        <f>SUM(C494:AG494)</f>
        <v>0</v>
      </c>
      <c r="AJ494" s="2157">
        <f>+'Resumen RAE Anchoveta'!G277</f>
        <v>27.002000000000002</v>
      </c>
    </row>
    <row r="495" spans="1:36" ht="15">
      <c r="A495" s="21" t="s">
        <v>74</v>
      </c>
      <c r="B495" s="95">
        <f t="shared" si="96"/>
        <v>0</v>
      </c>
      <c r="C495" s="1689"/>
      <c r="D495" s="1689"/>
      <c r="E495" s="1689"/>
      <c r="F495" s="1689"/>
      <c r="G495" s="1689"/>
      <c r="H495" s="1689"/>
      <c r="I495" s="1689"/>
      <c r="J495" s="1689"/>
      <c r="K495" s="1689"/>
      <c r="L495" s="1689"/>
      <c r="M495" s="1591"/>
      <c r="N495" s="1689"/>
      <c r="O495" s="1689"/>
      <c r="P495" s="1689"/>
      <c r="Q495" s="1689"/>
      <c r="R495" s="1689"/>
      <c r="S495" s="1689"/>
      <c r="T495" s="1689"/>
      <c r="U495" s="1689"/>
      <c r="V495" s="1689"/>
      <c r="W495" s="1689"/>
      <c r="X495" s="1689"/>
      <c r="Y495" s="1689"/>
      <c r="Z495" s="1689"/>
      <c r="AA495" s="1689"/>
      <c r="AB495" s="1689"/>
      <c r="AC495" s="1689"/>
      <c r="AD495" s="1689"/>
      <c r="AE495" s="1689"/>
      <c r="AF495" s="1689"/>
      <c r="AG495" s="1689"/>
      <c r="AH495" s="39">
        <f t="shared" ref="AH495:AH505" si="97">SUM(C495:AG495)</f>
        <v>0</v>
      </c>
      <c r="AJ495" s="1093">
        <f>+AJ494/AJ493</f>
        <v>8.399800908355628</v>
      </c>
    </row>
    <row r="496" spans="1:36" ht="15">
      <c r="A496" s="21" t="s">
        <v>75</v>
      </c>
      <c r="B496" s="95">
        <f t="shared" si="96"/>
        <v>0</v>
      </c>
      <c r="C496" s="1689"/>
      <c r="D496" s="1689"/>
      <c r="E496" s="1689"/>
      <c r="F496" s="1689"/>
      <c r="G496" s="1689"/>
      <c r="H496" s="1091"/>
      <c r="I496" s="1091"/>
      <c r="J496" s="1091"/>
      <c r="K496" s="1091"/>
      <c r="L496" s="1091"/>
      <c r="M496" s="1091"/>
      <c r="N496" s="1091"/>
      <c r="O496" s="1091"/>
      <c r="P496" s="1091"/>
      <c r="Q496" s="1084"/>
      <c r="R496" s="1084"/>
      <c r="S496" s="1084"/>
      <c r="T496" s="1084"/>
      <c r="U496" s="1084"/>
      <c r="V496" s="1084"/>
      <c r="W496" s="1084"/>
      <c r="X496" s="1084"/>
      <c r="Y496" s="1084"/>
      <c r="Z496" s="1084"/>
      <c r="AA496" s="1084"/>
      <c r="AB496" s="1084"/>
      <c r="AC496" s="1084"/>
      <c r="AD496" s="1084"/>
      <c r="AE496" s="1084"/>
      <c r="AF496" s="1084"/>
      <c r="AG496" s="1084"/>
      <c r="AH496" s="39">
        <f t="shared" si="97"/>
        <v>0</v>
      </c>
    </row>
    <row r="497" spans="1:36" ht="15">
      <c r="A497" s="21" t="s">
        <v>76</v>
      </c>
      <c r="B497" s="204">
        <f t="shared" si="96"/>
        <v>0.72399999999999998</v>
      </c>
      <c r="C497" s="1084">
        <v>0.72399999999999998</v>
      </c>
      <c r="D497" s="1084"/>
      <c r="E497" s="1084"/>
      <c r="F497" s="1084"/>
      <c r="G497" s="1084"/>
      <c r="H497" s="1084"/>
      <c r="I497" s="1084"/>
      <c r="J497" s="1084"/>
      <c r="K497" s="1084"/>
      <c r="L497" s="1084"/>
      <c r="M497" s="1084"/>
      <c r="N497" s="1084"/>
      <c r="O497" s="1084"/>
      <c r="P497" s="1084"/>
      <c r="Q497" s="1084"/>
      <c r="R497" s="1084"/>
      <c r="S497" s="1084"/>
      <c r="T497" s="1084"/>
      <c r="U497" s="1084"/>
      <c r="V497" s="1084"/>
      <c r="W497" s="1084"/>
      <c r="X497" s="1084"/>
      <c r="Y497" s="1084"/>
      <c r="Z497" s="1084"/>
      <c r="AA497" s="1084"/>
      <c r="AB497" s="1084"/>
      <c r="AC497" s="1084"/>
      <c r="AD497" s="1084"/>
      <c r="AE497" s="1084"/>
      <c r="AF497" s="1084" t="s">
        <v>110</v>
      </c>
      <c r="AG497" s="1084" t="s">
        <v>110</v>
      </c>
      <c r="AH497" s="104">
        <f t="shared" si="97"/>
        <v>0.72399999999999998</v>
      </c>
    </row>
    <row r="498" spans="1:36" ht="15">
      <c r="A498" s="21" t="s">
        <v>77</v>
      </c>
      <c r="B498" s="204">
        <f t="shared" si="96"/>
        <v>4.6779999999999999</v>
      </c>
      <c r="C498" s="1084" t="s">
        <v>110</v>
      </c>
      <c r="D498" s="1084" t="s">
        <v>110</v>
      </c>
      <c r="E498" s="1084" t="s">
        <v>110</v>
      </c>
      <c r="F498" s="1084" t="s">
        <v>110</v>
      </c>
      <c r="G498" s="1084" t="s">
        <v>110</v>
      </c>
      <c r="H498" s="1084" t="s">
        <v>110</v>
      </c>
      <c r="I498" s="1084" t="s">
        <v>110</v>
      </c>
      <c r="J498" s="1084" t="s">
        <v>110</v>
      </c>
      <c r="K498" s="1084" t="s">
        <v>110</v>
      </c>
      <c r="L498" s="1084" t="s">
        <v>110</v>
      </c>
      <c r="M498" s="1084" t="s">
        <v>110</v>
      </c>
      <c r="N498" s="1084" t="s">
        <v>110</v>
      </c>
      <c r="O498" s="1084" t="s">
        <v>110</v>
      </c>
      <c r="P498" s="1084" t="s">
        <v>110</v>
      </c>
      <c r="Q498" s="1084" t="s">
        <v>110</v>
      </c>
      <c r="R498" s="2165"/>
      <c r="S498" s="2165"/>
      <c r="T498" s="2165"/>
      <c r="U498" s="2165"/>
      <c r="V498" s="2165"/>
      <c r="W498" s="2165">
        <v>4.6779999999999999</v>
      </c>
      <c r="X498" s="2165"/>
      <c r="Y498" s="2165"/>
      <c r="Z498" s="2165"/>
      <c r="AA498" s="2165"/>
      <c r="AB498" s="2165"/>
      <c r="AC498" s="2165"/>
      <c r="AD498" s="2165"/>
      <c r="AE498" s="2165"/>
      <c r="AF498" s="2165"/>
      <c r="AG498" s="2165"/>
      <c r="AH498" s="39">
        <f t="shared" si="97"/>
        <v>4.6779999999999999</v>
      </c>
    </row>
    <row r="499" spans="1:36" ht="15">
      <c r="A499" s="21" t="s">
        <v>78</v>
      </c>
      <c r="B499" s="204">
        <f t="shared" si="96"/>
        <v>0</v>
      </c>
      <c r="C499" s="3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39">
        <f t="shared" si="97"/>
        <v>0</v>
      </c>
    </row>
    <row r="500" spans="1:36" ht="15">
      <c r="A500" s="21" t="s">
        <v>79</v>
      </c>
      <c r="B500" s="105">
        <f t="shared" si="96"/>
        <v>0</v>
      </c>
      <c r="C500" s="35"/>
      <c r="D500" s="39"/>
      <c r="E500" s="39"/>
      <c r="F500" s="39"/>
      <c r="G500" s="15"/>
      <c r="H500" s="15"/>
      <c r="I500" s="15"/>
      <c r="J500" s="43"/>
      <c r="K500" s="43"/>
      <c r="L500" s="39"/>
      <c r="M500" s="39"/>
      <c r="N500" s="39"/>
      <c r="O500" s="39"/>
      <c r="P500" s="39"/>
      <c r="Q500" s="39"/>
      <c r="R500" s="39"/>
      <c r="S500" s="39"/>
      <c r="T500" s="39"/>
      <c r="U500" s="39"/>
      <c r="V500" s="39"/>
      <c r="W500" s="897" t="s">
        <v>110</v>
      </c>
      <c r="X500" s="897" t="s">
        <v>110</v>
      </c>
      <c r="Y500" s="897" t="s">
        <v>110</v>
      </c>
      <c r="Z500" s="897" t="s">
        <v>110</v>
      </c>
      <c r="AA500" s="897" t="s">
        <v>110</v>
      </c>
      <c r="AB500" s="897" t="s">
        <v>110</v>
      </c>
      <c r="AC500" s="897" t="s">
        <v>110</v>
      </c>
      <c r="AD500" s="897" t="s">
        <v>110</v>
      </c>
      <c r="AE500" s="897" t="s">
        <v>110</v>
      </c>
      <c r="AF500" s="897" t="s">
        <v>110</v>
      </c>
      <c r="AG500" s="897" t="s">
        <v>110</v>
      </c>
      <c r="AH500" s="39">
        <f t="shared" si="97"/>
        <v>0</v>
      </c>
    </row>
    <row r="501" spans="1:36" ht="15">
      <c r="A501" s="21" t="s">
        <v>80</v>
      </c>
      <c r="B501" s="105">
        <f t="shared" si="96"/>
        <v>0</v>
      </c>
      <c r="C501" s="897" t="s">
        <v>110</v>
      </c>
      <c r="D501" s="897" t="s">
        <v>110</v>
      </c>
      <c r="E501" s="897" t="s">
        <v>110</v>
      </c>
      <c r="F501" s="897" t="s">
        <v>110</v>
      </c>
      <c r="G501" s="897" t="s">
        <v>110</v>
      </c>
      <c r="H501" s="897" t="s">
        <v>110</v>
      </c>
      <c r="I501" s="897" t="s">
        <v>110</v>
      </c>
      <c r="J501" s="897" t="s">
        <v>110</v>
      </c>
      <c r="K501" s="897" t="s">
        <v>110</v>
      </c>
      <c r="L501" s="897" t="s">
        <v>110</v>
      </c>
      <c r="M501" s="897" t="s">
        <v>110</v>
      </c>
      <c r="N501" s="897" t="s">
        <v>110</v>
      </c>
      <c r="O501" s="897" t="s">
        <v>110</v>
      </c>
      <c r="P501" s="897" t="s">
        <v>110</v>
      </c>
      <c r="Q501" s="897" t="s">
        <v>110</v>
      </c>
      <c r="R501" s="897" t="s">
        <v>110</v>
      </c>
      <c r="S501" s="897" t="s">
        <v>110</v>
      </c>
      <c r="T501" s="897" t="s">
        <v>110</v>
      </c>
      <c r="U501" s="897" t="s">
        <v>110</v>
      </c>
      <c r="V501" s="897" t="s">
        <v>110</v>
      </c>
      <c r="W501" s="897" t="s">
        <v>110</v>
      </c>
      <c r="X501" s="897" t="s">
        <v>110</v>
      </c>
      <c r="Y501" s="897" t="s">
        <v>110</v>
      </c>
      <c r="Z501" s="897" t="s">
        <v>110</v>
      </c>
      <c r="AA501" s="897" t="s">
        <v>110</v>
      </c>
      <c r="AB501" s="897" t="s">
        <v>110</v>
      </c>
      <c r="AC501" s="897" t="s">
        <v>110</v>
      </c>
      <c r="AD501" s="897" t="s">
        <v>110</v>
      </c>
      <c r="AE501" s="897" t="s">
        <v>110</v>
      </c>
      <c r="AF501" s="897" t="s">
        <v>110</v>
      </c>
      <c r="AG501" s="897" t="s">
        <v>110</v>
      </c>
      <c r="AH501" s="39">
        <f t="shared" si="97"/>
        <v>0</v>
      </c>
    </row>
    <row r="502" spans="1:36" ht="15">
      <c r="A502" s="21" t="s">
        <v>81</v>
      </c>
      <c r="B502" s="105">
        <f t="shared" si="96"/>
        <v>0</v>
      </c>
      <c r="C502" s="32"/>
      <c r="D502" s="39"/>
      <c r="E502" s="39"/>
      <c r="F502" s="39"/>
      <c r="G502" s="39"/>
      <c r="H502" s="39"/>
      <c r="I502" s="39"/>
      <c r="J502" s="43"/>
      <c r="K502" s="43"/>
      <c r="L502" s="15"/>
      <c r="M502" s="15"/>
      <c r="N502" s="15"/>
      <c r="O502" s="15"/>
      <c r="P502" s="15"/>
      <c r="Q502" s="897" t="s">
        <v>110</v>
      </c>
      <c r="R502" s="897" t="s">
        <v>110</v>
      </c>
      <c r="S502" s="897" t="s">
        <v>110</v>
      </c>
      <c r="T502" s="897" t="s">
        <v>110</v>
      </c>
      <c r="U502" s="897" t="s">
        <v>110</v>
      </c>
      <c r="V502" s="897" t="s">
        <v>110</v>
      </c>
      <c r="W502" s="897" t="s">
        <v>110</v>
      </c>
      <c r="X502" s="897" t="s">
        <v>110</v>
      </c>
      <c r="Y502" s="897" t="s">
        <v>110</v>
      </c>
      <c r="Z502" s="897" t="s">
        <v>110</v>
      </c>
      <c r="AA502" s="897" t="s">
        <v>110</v>
      </c>
      <c r="AB502" s="897" t="s">
        <v>110</v>
      </c>
      <c r="AC502" s="897" t="s">
        <v>110</v>
      </c>
      <c r="AD502" s="897" t="s">
        <v>110</v>
      </c>
      <c r="AE502" s="897" t="s">
        <v>110</v>
      </c>
      <c r="AF502" s="897" t="s">
        <v>110</v>
      </c>
      <c r="AG502" s="897" t="s">
        <v>110</v>
      </c>
      <c r="AH502" s="39">
        <f t="shared" si="97"/>
        <v>0</v>
      </c>
    </row>
    <row r="503" spans="1:36" ht="15">
      <c r="A503" s="21" t="s">
        <v>82</v>
      </c>
      <c r="B503" s="105">
        <f t="shared" si="96"/>
        <v>0</v>
      </c>
      <c r="C503" s="35"/>
      <c r="D503" s="897" t="s">
        <v>110</v>
      </c>
      <c r="E503" s="897" t="s">
        <v>110</v>
      </c>
      <c r="F503" s="897" t="s">
        <v>110</v>
      </c>
      <c r="G503" s="897" t="s">
        <v>110</v>
      </c>
      <c r="H503" s="897" t="s">
        <v>110</v>
      </c>
      <c r="I503" s="897" t="s">
        <v>110</v>
      </c>
      <c r="J503" s="897" t="s">
        <v>110</v>
      </c>
      <c r="K503" s="897" t="s">
        <v>110</v>
      </c>
      <c r="L503" s="897" t="s">
        <v>110</v>
      </c>
      <c r="M503" s="897" t="s">
        <v>110</v>
      </c>
      <c r="N503" s="897" t="s">
        <v>110</v>
      </c>
      <c r="O503" s="897" t="s">
        <v>110</v>
      </c>
      <c r="P503" s="897" t="s">
        <v>110</v>
      </c>
      <c r="Q503" s="897" t="s">
        <v>110</v>
      </c>
      <c r="R503" s="897" t="s">
        <v>110</v>
      </c>
      <c r="S503" s="897" t="s">
        <v>110</v>
      </c>
      <c r="T503" s="897" t="s">
        <v>110</v>
      </c>
      <c r="U503" s="897" t="s">
        <v>110</v>
      </c>
      <c r="V503" s="897" t="s">
        <v>110</v>
      </c>
      <c r="W503" s="897" t="s">
        <v>110</v>
      </c>
      <c r="X503" s="897" t="s">
        <v>110</v>
      </c>
      <c r="Y503" s="897" t="s">
        <v>110</v>
      </c>
      <c r="Z503" s="897" t="s">
        <v>110</v>
      </c>
      <c r="AA503" s="897" t="s">
        <v>110</v>
      </c>
      <c r="AB503" s="897" t="s">
        <v>110</v>
      </c>
      <c r="AC503" s="897" t="s">
        <v>110</v>
      </c>
      <c r="AD503" s="897" t="s">
        <v>110</v>
      </c>
      <c r="AE503" s="897" t="s">
        <v>110</v>
      </c>
      <c r="AF503" s="897" t="s">
        <v>110</v>
      </c>
      <c r="AG503" s="897" t="s">
        <v>110</v>
      </c>
      <c r="AH503" s="39">
        <f t="shared" si="97"/>
        <v>0</v>
      </c>
    </row>
    <row r="504" spans="1:36" ht="15">
      <c r="A504" s="21" t="s">
        <v>83</v>
      </c>
      <c r="B504" s="105">
        <f t="shared" si="96"/>
        <v>0</v>
      </c>
      <c r="C504" s="65" t="s">
        <v>110</v>
      </c>
      <c r="D504" s="65" t="s">
        <v>110</v>
      </c>
      <c r="E504" s="65" t="s">
        <v>110</v>
      </c>
      <c r="F504" s="65" t="s">
        <v>110</v>
      </c>
      <c r="G504" s="65" t="s">
        <v>110</v>
      </c>
      <c r="H504" s="65" t="s">
        <v>110</v>
      </c>
      <c r="I504" s="65" t="s">
        <v>110</v>
      </c>
      <c r="J504" s="65" t="s">
        <v>110</v>
      </c>
      <c r="K504" s="65" t="s">
        <v>110</v>
      </c>
      <c r="L504" s="65" t="s">
        <v>110</v>
      </c>
      <c r="M504" s="65" t="s">
        <v>110</v>
      </c>
      <c r="N504" s="65" t="s">
        <v>110</v>
      </c>
      <c r="O504" s="65" t="s">
        <v>110</v>
      </c>
      <c r="P504" s="65" t="s">
        <v>110</v>
      </c>
      <c r="Q504" s="65" t="s">
        <v>110</v>
      </c>
      <c r="R504" s="15"/>
      <c r="S504" s="15"/>
      <c r="T504" s="15"/>
      <c r="U504" s="15"/>
      <c r="V504" s="15"/>
      <c r="W504" s="15"/>
      <c r="X504" s="15"/>
      <c r="Y504" s="11"/>
      <c r="Z504" s="15"/>
      <c r="AA504" s="15"/>
      <c r="AB504" s="15"/>
      <c r="AC504" s="15"/>
      <c r="AD504" s="15"/>
      <c r="AE504" s="39"/>
      <c r="AF504" s="15"/>
      <c r="AG504" s="39"/>
      <c r="AH504" s="39">
        <f t="shared" si="97"/>
        <v>0</v>
      </c>
    </row>
    <row r="505" spans="1:36" ht="15">
      <c r="A505" s="21" t="s">
        <v>84</v>
      </c>
      <c r="B505" s="105">
        <f t="shared" si="96"/>
        <v>10.670999999999999</v>
      </c>
      <c r="C505" s="35"/>
      <c r="D505" s="15"/>
      <c r="E505" s="15"/>
      <c r="F505" s="15"/>
      <c r="G505" s="15"/>
      <c r="H505" s="15"/>
      <c r="I505" s="15"/>
      <c r="J505" s="15"/>
      <c r="K505" s="15"/>
      <c r="L505" s="15"/>
      <c r="M505" s="15"/>
      <c r="N505" s="15"/>
      <c r="O505" s="15">
        <v>3.3170000000000002</v>
      </c>
      <c r="P505" s="15"/>
      <c r="Q505" s="15"/>
      <c r="R505" s="15"/>
      <c r="S505" s="15"/>
      <c r="T505" s="15"/>
      <c r="U505" s="15"/>
      <c r="V505" s="15">
        <v>2.0960000000000001</v>
      </c>
      <c r="W505" s="15"/>
      <c r="X505" s="15">
        <v>5.258</v>
      </c>
      <c r="Y505" s="15"/>
      <c r="Z505" s="15"/>
      <c r="AA505" s="15"/>
      <c r="AB505" s="15"/>
      <c r="AC505" s="15"/>
      <c r="AD505" s="15"/>
      <c r="AE505" s="39"/>
      <c r="AF505" s="15"/>
      <c r="AG505" s="39"/>
      <c r="AH505" s="39">
        <f t="shared" si="97"/>
        <v>10.670999999999999</v>
      </c>
    </row>
    <row r="506" spans="1:36" ht="15">
      <c r="A506" s="71" t="s">
        <v>72</v>
      </c>
      <c r="B506" s="75">
        <f>SUM(B494:B505)</f>
        <v>16.073</v>
      </c>
      <c r="C506" s="32">
        <f>SUM(C494:C504)</f>
        <v>0.72399999999999998</v>
      </c>
      <c r="D506" s="39">
        <f>SUM(D494:D504)</f>
        <v>0</v>
      </c>
      <c r="E506" s="39">
        <v>0</v>
      </c>
      <c r="F506" s="39">
        <f t="shared" ref="F506:AC506" si="98">SUM(F494:F504)</f>
        <v>0</v>
      </c>
      <c r="G506" s="39">
        <f t="shared" si="98"/>
        <v>0</v>
      </c>
      <c r="H506" s="39">
        <f>SUM(H494:H505)</f>
        <v>0</v>
      </c>
      <c r="I506" s="39">
        <f t="shared" si="98"/>
        <v>0</v>
      </c>
      <c r="J506" s="39">
        <f t="shared" si="98"/>
        <v>0</v>
      </c>
      <c r="K506" s="39">
        <f t="shared" si="98"/>
        <v>0</v>
      </c>
      <c r="L506" s="39">
        <f t="shared" si="98"/>
        <v>0</v>
      </c>
      <c r="M506" s="39">
        <f t="shared" si="98"/>
        <v>0</v>
      </c>
      <c r="N506" s="39">
        <f t="shared" si="98"/>
        <v>0</v>
      </c>
      <c r="O506" s="39">
        <f t="shared" si="98"/>
        <v>0</v>
      </c>
      <c r="P506" s="39">
        <f t="shared" si="98"/>
        <v>0</v>
      </c>
      <c r="Q506" s="39">
        <f t="shared" si="98"/>
        <v>0</v>
      </c>
      <c r="R506" s="39">
        <f t="shared" si="98"/>
        <v>0</v>
      </c>
      <c r="S506" s="39">
        <f t="shared" si="98"/>
        <v>0</v>
      </c>
      <c r="T506" s="39">
        <f t="shared" si="98"/>
        <v>0</v>
      </c>
      <c r="U506" s="39">
        <f t="shared" si="98"/>
        <v>0</v>
      </c>
      <c r="V506" s="39">
        <f t="shared" si="98"/>
        <v>0</v>
      </c>
      <c r="W506" s="39">
        <f t="shared" si="98"/>
        <v>4.6779999999999999</v>
      </c>
      <c r="X506" s="39">
        <f t="shared" si="98"/>
        <v>0</v>
      </c>
      <c r="Y506" s="39">
        <f t="shared" si="98"/>
        <v>0</v>
      </c>
      <c r="Z506" s="39">
        <f t="shared" si="98"/>
        <v>0</v>
      </c>
      <c r="AA506" s="39">
        <f t="shared" si="98"/>
        <v>0</v>
      </c>
      <c r="AB506" s="39">
        <f t="shared" si="98"/>
        <v>0</v>
      </c>
      <c r="AC506" s="39">
        <f t="shared" si="98"/>
        <v>0</v>
      </c>
      <c r="AD506" s="39">
        <v>0</v>
      </c>
      <c r="AE506" s="39">
        <f>SUM(AE494:AE504)</f>
        <v>0</v>
      </c>
      <c r="AF506" s="39">
        <f>SUM(AF494:AF504)</f>
        <v>0</v>
      </c>
      <c r="AG506" s="39">
        <f>SUM(AG494:AG504)</f>
        <v>0</v>
      </c>
      <c r="AH506" s="32">
        <f>SUM(AH494:AH504)</f>
        <v>5.4020000000000001</v>
      </c>
    </row>
    <row r="507" spans="1:36" ht="5.0999999999999996" customHeight="1">
      <c r="A507" s="14"/>
      <c r="B507" s="14"/>
      <c r="C507" s="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
    </row>
    <row r="508" spans="1:36" ht="15">
      <c r="A508" s="3815" t="s">
        <v>62</v>
      </c>
      <c r="B508" s="3816"/>
      <c r="C508" s="3816"/>
      <c r="D508" s="3816"/>
      <c r="E508" s="3816"/>
      <c r="F508" s="3816"/>
      <c r="G508" s="3816"/>
      <c r="H508" s="3817"/>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spans="1:36" ht="15">
      <c r="A509" s="5" t="s">
        <v>70</v>
      </c>
      <c r="B509" s="5" t="s">
        <v>71</v>
      </c>
      <c r="C509" s="2166">
        <v>1</v>
      </c>
      <c r="D509" s="21">
        <v>2</v>
      </c>
      <c r="E509" s="21">
        <v>3</v>
      </c>
      <c r="F509" s="21">
        <v>4</v>
      </c>
      <c r="G509" s="21">
        <v>5</v>
      </c>
      <c r="H509" s="21">
        <v>6</v>
      </c>
      <c r="I509" s="21">
        <v>7</v>
      </c>
      <c r="J509" s="21">
        <v>8</v>
      </c>
      <c r="K509" s="21">
        <v>9</v>
      </c>
      <c r="L509" s="21">
        <v>10</v>
      </c>
      <c r="M509" s="21">
        <v>11</v>
      </c>
      <c r="N509" s="21">
        <v>12</v>
      </c>
      <c r="O509" s="21">
        <v>13</v>
      </c>
      <c r="P509" s="21">
        <v>14</v>
      </c>
      <c r="Q509" s="21">
        <v>15</v>
      </c>
      <c r="R509" s="21">
        <v>16</v>
      </c>
      <c r="S509" s="21">
        <v>17</v>
      </c>
      <c r="T509" s="21">
        <v>18</v>
      </c>
      <c r="U509" s="21">
        <v>19</v>
      </c>
      <c r="V509" s="21">
        <v>20</v>
      </c>
      <c r="W509" s="21">
        <v>21</v>
      </c>
      <c r="X509" s="21">
        <v>22</v>
      </c>
      <c r="Y509" s="21">
        <v>23</v>
      </c>
      <c r="Z509" s="21">
        <v>24</v>
      </c>
      <c r="AA509" s="21">
        <v>25</v>
      </c>
      <c r="AB509" s="21">
        <v>26</v>
      </c>
      <c r="AC509" s="21">
        <v>27</v>
      </c>
      <c r="AD509" s="21">
        <v>28</v>
      </c>
      <c r="AE509" s="21">
        <v>29</v>
      </c>
      <c r="AF509" s="21">
        <v>30</v>
      </c>
      <c r="AG509" s="21">
        <v>31</v>
      </c>
      <c r="AH509" s="25" t="s">
        <v>72</v>
      </c>
      <c r="AI509" s="2266" t="s">
        <v>1345</v>
      </c>
      <c r="AJ509" s="66" t="e">
        <f>(B522/COUNTIF($C$510:$AG$521,"&gt;0"))</f>
        <v>#DIV/0!</v>
      </c>
    </row>
    <row r="510" spans="1:36" ht="15">
      <c r="A510" s="21" t="s">
        <v>73</v>
      </c>
      <c r="B510" s="95">
        <f t="shared" ref="B510:B521" si="99">+AH510</f>
        <v>0</v>
      </c>
      <c r="C510" s="1689"/>
      <c r="D510" s="1689"/>
      <c r="E510" s="1689"/>
      <c r="F510" s="1689"/>
      <c r="G510" s="1689"/>
      <c r="H510" s="1689"/>
      <c r="I510" s="1689"/>
      <c r="J510" s="1689"/>
      <c r="K510" s="1689"/>
      <c r="L510" s="1689"/>
      <c r="M510" s="1689"/>
      <c r="N510" s="1689"/>
      <c r="O510" s="1689"/>
      <c r="P510" s="1689"/>
      <c r="Q510" s="1689"/>
      <c r="R510" s="1689"/>
      <c r="S510" s="1689"/>
      <c r="T510" s="1689"/>
      <c r="U510" s="1689"/>
      <c r="V510" s="1689"/>
      <c r="W510" s="1689"/>
      <c r="X510" s="1689"/>
      <c r="Y510" s="1689"/>
      <c r="Z510" s="1689"/>
      <c r="AA510" s="1689"/>
      <c r="AB510" s="1091"/>
      <c r="AC510" s="1689"/>
      <c r="AD510" s="1689"/>
      <c r="AE510" s="1689"/>
      <c r="AF510" s="1689"/>
      <c r="AG510" s="1689"/>
      <c r="AH510" s="39">
        <f t="shared" ref="AH510:AH521" si="100">SUM(C510:AG510)</f>
        <v>0</v>
      </c>
    </row>
    <row r="511" spans="1:36" ht="15">
      <c r="A511" s="21" t="s">
        <v>74</v>
      </c>
      <c r="B511" s="95">
        <f t="shared" si="99"/>
        <v>0</v>
      </c>
      <c r="C511" s="1689"/>
      <c r="D511" s="1689"/>
      <c r="E511" s="1689"/>
      <c r="F511" s="1689"/>
      <c r="G511" s="1689"/>
      <c r="H511" s="1689"/>
      <c r="I511" s="1689"/>
      <c r="J511" s="1689"/>
      <c r="K511" s="1689"/>
      <c r="L511" s="1689"/>
      <c r="M511" s="1689"/>
      <c r="N511" s="1689"/>
      <c r="O511" s="1689"/>
      <c r="P511" s="1689"/>
      <c r="Q511" s="1689"/>
      <c r="R511" s="1689"/>
      <c r="S511" s="1689"/>
      <c r="T511" s="1689"/>
      <c r="U511" s="1689"/>
      <c r="V511" s="1689"/>
      <c r="W511" s="1689"/>
      <c r="X511" s="1689"/>
      <c r="Y511" s="1689"/>
      <c r="Z511" s="1689"/>
      <c r="AA511" s="1689"/>
      <c r="AB511" s="1689"/>
      <c r="AC511" s="1689"/>
      <c r="AD511" s="1689"/>
      <c r="AE511" s="1689"/>
      <c r="AF511" s="1689"/>
      <c r="AG511" s="1689"/>
      <c r="AH511" s="39">
        <f t="shared" si="100"/>
        <v>0</v>
      </c>
    </row>
    <row r="512" spans="1:36" s="67" customFormat="1" ht="15">
      <c r="A512" s="21" t="s">
        <v>75</v>
      </c>
      <c r="B512" s="95">
        <f t="shared" si="99"/>
        <v>0</v>
      </c>
      <c r="C512" s="1689"/>
      <c r="D512" s="1689"/>
      <c r="E512" s="1689"/>
      <c r="F512" s="1689"/>
      <c r="G512" s="1689"/>
      <c r="H512" s="1091"/>
      <c r="I512" s="1091"/>
      <c r="J512" s="1091"/>
      <c r="K512" s="1091"/>
      <c r="L512" s="1091"/>
      <c r="M512" s="1091"/>
      <c r="N512" s="1091"/>
      <c r="O512" s="1091"/>
      <c r="P512" s="1091"/>
      <c r="Q512" s="1084"/>
      <c r="R512" s="1084"/>
      <c r="S512" s="1084"/>
      <c r="T512" s="1084"/>
      <c r="U512" s="1084"/>
      <c r="V512" s="1084"/>
      <c r="W512" s="1084"/>
      <c r="X512" s="1084"/>
      <c r="Y512" s="1084"/>
      <c r="Z512" s="1084"/>
      <c r="AA512" s="1084"/>
      <c r="AB512" s="1084"/>
      <c r="AC512" s="1084"/>
      <c r="AD512" s="1084"/>
      <c r="AE512" s="1084"/>
      <c r="AF512" s="1084"/>
      <c r="AG512" s="1084"/>
      <c r="AH512" s="39">
        <f t="shared" si="100"/>
        <v>0</v>
      </c>
    </row>
    <row r="513" spans="1:36" s="205" customFormat="1" ht="15">
      <c r="A513" s="52" t="s">
        <v>76</v>
      </c>
      <c r="B513" s="204">
        <f t="shared" si="99"/>
        <v>0</v>
      </c>
      <c r="C513" s="1084"/>
      <c r="D513" s="1084"/>
      <c r="E513" s="1084"/>
      <c r="F513" s="1084"/>
      <c r="G513" s="1084"/>
      <c r="H513" s="1084"/>
      <c r="I513" s="1084"/>
      <c r="J513" s="1084"/>
      <c r="K513" s="1084"/>
      <c r="L513" s="1084"/>
      <c r="M513" s="1084"/>
      <c r="N513" s="1084"/>
      <c r="O513" s="1084"/>
      <c r="P513" s="1084"/>
      <c r="Q513" s="1084"/>
      <c r="R513" s="1084"/>
      <c r="S513" s="1084"/>
      <c r="T513" s="1084"/>
      <c r="U513" s="1084"/>
      <c r="V513" s="1084"/>
      <c r="W513" s="1084"/>
      <c r="X513" s="1084"/>
      <c r="Y513" s="1084"/>
      <c r="Z513" s="1084"/>
      <c r="AA513" s="1084"/>
      <c r="AB513" s="1084"/>
      <c r="AC513" s="1084"/>
      <c r="AD513" s="1084"/>
      <c r="AE513" s="1084"/>
      <c r="AF513" s="1084" t="s">
        <v>110</v>
      </c>
      <c r="AG513" s="1084" t="s">
        <v>110</v>
      </c>
      <c r="AH513" s="104">
        <f t="shared" si="100"/>
        <v>0</v>
      </c>
    </row>
    <row r="514" spans="1:36" ht="15">
      <c r="A514" s="21" t="s">
        <v>77</v>
      </c>
      <c r="B514" s="95">
        <f t="shared" si="99"/>
        <v>0</v>
      </c>
      <c r="C514" s="1084" t="s">
        <v>110</v>
      </c>
      <c r="D514" s="1084" t="s">
        <v>110</v>
      </c>
      <c r="E514" s="1084" t="s">
        <v>110</v>
      </c>
      <c r="F514" s="1084" t="s">
        <v>110</v>
      </c>
      <c r="G514" s="1084" t="s">
        <v>110</v>
      </c>
      <c r="H514" s="1084" t="s">
        <v>110</v>
      </c>
      <c r="I514" s="1084" t="s">
        <v>110</v>
      </c>
      <c r="J514" s="1084" t="s">
        <v>110</v>
      </c>
      <c r="K514" s="1084" t="s">
        <v>110</v>
      </c>
      <c r="L514" s="1084" t="s">
        <v>110</v>
      </c>
      <c r="M514" s="1084" t="s">
        <v>110</v>
      </c>
      <c r="N514" s="1084" t="s">
        <v>110</v>
      </c>
      <c r="O514" s="1084" t="s">
        <v>110</v>
      </c>
      <c r="P514" s="1084" t="s">
        <v>110</v>
      </c>
      <c r="Q514" s="1084" t="s">
        <v>110</v>
      </c>
      <c r="R514" s="2165"/>
      <c r="S514" s="2165"/>
      <c r="T514" s="2165"/>
      <c r="U514" s="2165"/>
      <c r="V514" s="2165"/>
      <c r="W514" s="2165"/>
      <c r="X514" s="2165"/>
      <c r="Y514" s="2165"/>
      <c r="Z514" s="2165"/>
      <c r="AA514" s="2165"/>
      <c r="AB514" s="2165"/>
      <c r="AC514" s="2165"/>
      <c r="AD514" s="2165"/>
      <c r="AE514" s="2165"/>
      <c r="AF514" s="2165"/>
      <c r="AG514" s="2165"/>
      <c r="AH514" s="39">
        <f t="shared" si="100"/>
        <v>0</v>
      </c>
    </row>
    <row r="515" spans="1:36" ht="15">
      <c r="A515" s="21" t="s">
        <v>78</v>
      </c>
      <c r="B515" s="95">
        <f t="shared" si="99"/>
        <v>0</v>
      </c>
      <c r="C515" s="3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39">
        <f t="shared" si="100"/>
        <v>0</v>
      </c>
    </row>
    <row r="516" spans="1:36" s="67" customFormat="1" ht="15">
      <c r="A516" s="21" t="s">
        <v>79</v>
      </c>
      <c r="B516" s="94">
        <f t="shared" si="99"/>
        <v>0</v>
      </c>
      <c r="C516" s="35"/>
      <c r="D516" s="39"/>
      <c r="E516" s="39"/>
      <c r="F516" s="39"/>
      <c r="G516" s="15"/>
      <c r="H516" s="15"/>
      <c r="I516" s="15"/>
      <c r="J516" s="43"/>
      <c r="K516" s="43"/>
      <c r="L516" s="39"/>
      <c r="M516" s="39"/>
      <c r="N516" s="39"/>
      <c r="O516" s="39"/>
      <c r="P516" s="39"/>
      <c r="Q516" s="39"/>
      <c r="R516" s="39"/>
      <c r="S516" s="39"/>
      <c r="T516" s="39"/>
      <c r="U516" s="39"/>
      <c r="V516" s="39"/>
      <c r="W516" s="897" t="s">
        <v>110</v>
      </c>
      <c r="X516" s="897" t="s">
        <v>110</v>
      </c>
      <c r="Y516" s="897" t="s">
        <v>110</v>
      </c>
      <c r="Z516" s="897" t="s">
        <v>110</v>
      </c>
      <c r="AA516" s="897" t="s">
        <v>110</v>
      </c>
      <c r="AB516" s="897" t="s">
        <v>110</v>
      </c>
      <c r="AC516" s="897" t="s">
        <v>110</v>
      </c>
      <c r="AD516" s="897" t="s">
        <v>110</v>
      </c>
      <c r="AE516" s="897" t="s">
        <v>110</v>
      </c>
      <c r="AF516" s="897" t="s">
        <v>110</v>
      </c>
      <c r="AG516" s="897" t="s">
        <v>110</v>
      </c>
      <c r="AH516" s="39">
        <f t="shared" si="100"/>
        <v>0</v>
      </c>
    </row>
    <row r="517" spans="1:36" ht="15">
      <c r="A517" s="21" t="s">
        <v>80</v>
      </c>
      <c r="B517" s="94">
        <f t="shared" si="99"/>
        <v>0</v>
      </c>
      <c r="C517" s="897" t="s">
        <v>110</v>
      </c>
      <c r="D517" s="897" t="s">
        <v>110</v>
      </c>
      <c r="E517" s="897" t="s">
        <v>110</v>
      </c>
      <c r="F517" s="897" t="s">
        <v>110</v>
      </c>
      <c r="G517" s="897" t="s">
        <v>110</v>
      </c>
      <c r="H517" s="897" t="s">
        <v>110</v>
      </c>
      <c r="I517" s="897" t="s">
        <v>110</v>
      </c>
      <c r="J517" s="897" t="s">
        <v>110</v>
      </c>
      <c r="K517" s="897" t="s">
        <v>110</v>
      </c>
      <c r="L517" s="897" t="s">
        <v>110</v>
      </c>
      <c r="M517" s="897" t="s">
        <v>110</v>
      </c>
      <c r="N517" s="897" t="s">
        <v>110</v>
      </c>
      <c r="O517" s="897" t="s">
        <v>110</v>
      </c>
      <c r="P517" s="897" t="s">
        <v>110</v>
      </c>
      <c r="Q517" s="897" t="s">
        <v>110</v>
      </c>
      <c r="R517" s="897" t="s">
        <v>110</v>
      </c>
      <c r="S517" s="897" t="s">
        <v>110</v>
      </c>
      <c r="T517" s="897" t="s">
        <v>110</v>
      </c>
      <c r="U517" s="897" t="s">
        <v>110</v>
      </c>
      <c r="V517" s="897" t="s">
        <v>110</v>
      </c>
      <c r="W517" s="897" t="s">
        <v>110</v>
      </c>
      <c r="X517" s="897" t="s">
        <v>110</v>
      </c>
      <c r="Y517" s="897" t="s">
        <v>110</v>
      </c>
      <c r="Z517" s="897" t="s">
        <v>110</v>
      </c>
      <c r="AA517" s="897" t="s">
        <v>110</v>
      </c>
      <c r="AB517" s="897" t="s">
        <v>110</v>
      </c>
      <c r="AC517" s="897" t="s">
        <v>110</v>
      </c>
      <c r="AD517" s="897" t="s">
        <v>110</v>
      </c>
      <c r="AE517" s="897" t="s">
        <v>110</v>
      </c>
      <c r="AF517" s="897" t="s">
        <v>110</v>
      </c>
      <c r="AG517" s="897" t="s">
        <v>110</v>
      </c>
      <c r="AH517" s="39">
        <f t="shared" si="100"/>
        <v>0</v>
      </c>
    </row>
    <row r="518" spans="1:36" ht="15">
      <c r="A518" s="21" t="s">
        <v>81</v>
      </c>
      <c r="B518" s="94">
        <f t="shared" si="99"/>
        <v>0</v>
      </c>
      <c r="C518" s="32"/>
      <c r="D518" s="39"/>
      <c r="E518" s="39"/>
      <c r="F518" s="39"/>
      <c r="G518" s="39"/>
      <c r="H518" s="39"/>
      <c r="I518" s="39"/>
      <c r="J518" s="43"/>
      <c r="K518" s="43"/>
      <c r="L518" s="15"/>
      <c r="M518" s="15"/>
      <c r="N518" s="15"/>
      <c r="O518" s="15"/>
      <c r="P518" s="15"/>
      <c r="Q518" s="897" t="s">
        <v>110</v>
      </c>
      <c r="R518" s="897" t="s">
        <v>110</v>
      </c>
      <c r="S518" s="897" t="s">
        <v>110</v>
      </c>
      <c r="T518" s="897" t="s">
        <v>110</v>
      </c>
      <c r="U518" s="897" t="s">
        <v>110</v>
      </c>
      <c r="V518" s="897" t="s">
        <v>110</v>
      </c>
      <c r="W518" s="897" t="s">
        <v>110</v>
      </c>
      <c r="X518" s="897" t="s">
        <v>110</v>
      </c>
      <c r="Y518" s="897" t="s">
        <v>110</v>
      </c>
      <c r="Z518" s="897" t="s">
        <v>110</v>
      </c>
      <c r="AA518" s="897" t="s">
        <v>110</v>
      </c>
      <c r="AB518" s="897" t="s">
        <v>110</v>
      </c>
      <c r="AC518" s="897" t="s">
        <v>110</v>
      </c>
      <c r="AD518" s="897" t="s">
        <v>110</v>
      </c>
      <c r="AE518" s="897" t="s">
        <v>110</v>
      </c>
      <c r="AF518" s="897" t="s">
        <v>110</v>
      </c>
      <c r="AG518" s="897" t="s">
        <v>110</v>
      </c>
      <c r="AH518" s="39">
        <f t="shared" si="100"/>
        <v>0</v>
      </c>
    </row>
    <row r="519" spans="1:36" ht="15">
      <c r="A519" s="21" t="s">
        <v>82</v>
      </c>
      <c r="B519" s="15">
        <f t="shared" si="99"/>
        <v>0</v>
      </c>
      <c r="C519" s="35"/>
      <c r="D519" s="897" t="s">
        <v>110</v>
      </c>
      <c r="E519" s="897" t="s">
        <v>110</v>
      </c>
      <c r="F519" s="897" t="s">
        <v>110</v>
      </c>
      <c r="G519" s="897" t="s">
        <v>110</v>
      </c>
      <c r="H519" s="897" t="s">
        <v>110</v>
      </c>
      <c r="I519" s="2173"/>
      <c r="J519" s="897" t="s">
        <v>110</v>
      </c>
      <c r="K519" s="897" t="s">
        <v>110</v>
      </c>
      <c r="L519" s="897" t="s">
        <v>110</v>
      </c>
      <c r="M519" s="2173"/>
      <c r="N519" s="897" t="s">
        <v>110</v>
      </c>
      <c r="O519" s="897" t="s">
        <v>110</v>
      </c>
      <c r="P519" s="897" t="s">
        <v>110</v>
      </c>
      <c r="Q519" s="897" t="s">
        <v>110</v>
      </c>
      <c r="R519" s="897" t="s">
        <v>110</v>
      </c>
      <c r="S519" s="897"/>
      <c r="T519" s="897" t="s">
        <v>110</v>
      </c>
      <c r="U519" s="897" t="s">
        <v>110</v>
      </c>
      <c r="V519" s="897" t="s">
        <v>110</v>
      </c>
      <c r="W519" s="897" t="s">
        <v>110</v>
      </c>
      <c r="X519" s="897" t="s">
        <v>110</v>
      </c>
      <c r="Y519" s="897" t="s">
        <v>110</v>
      </c>
      <c r="Z519" s="897" t="s">
        <v>110</v>
      </c>
      <c r="AA519" s="897" t="s">
        <v>110</v>
      </c>
      <c r="AB519" s="897" t="s">
        <v>110</v>
      </c>
      <c r="AC519" s="897" t="s">
        <v>110</v>
      </c>
      <c r="AD519" s="897" t="s">
        <v>110</v>
      </c>
      <c r="AE519" s="897" t="s">
        <v>110</v>
      </c>
      <c r="AF519" s="897" t="s">
        <v>110</v>
      </c>
      <c r="AG519" s="897" t="s">
        <v>110</v>
      </c>
      <c r="AH519" s="39">
        <f t="shared" si="100"/>
        <v>0</v>
      </c>
    </row>
    <row r="520" spans="1:36" ht="15">
      <c r="A520" s="21" t="s">
        <v>83</v>
      </c>
      <c r="B520" s="15">
        <f t="shared" si="99"/>
        <v>0</v>
      </c>
      <c r="C520" s="65" t="s">
        <v>110</v>
      </c>
      <c r="D520" s="65" t="s">
        <v>110</v>
      </c>
      <c r="E520" s="65" t="s">
        <v>110</v>
      </c>
      <c r="F520" s="65" t="s">
        <v>110</v>
      </c>
      <c r="G520" s="65" t="s">
        <v>110</v>
      </c>
      <c r="H520" s="65" t="s">
        <v>110</v>
      </c>
      <c r="I520" s="65" t="s">
        <v>110</v>
      </c>
      <c r="J520" s="65" t="s">
        <v>110</v>
      </c>
      <c r="K520" s="65" t="s">
        <v>110</v>
      </c>
      <c r="L520" s="65" t="s">
        <v>110</v>
      </c>
      <c r="M520" s="65" t="s">
        <v>110</v>
      </c>
      <c r="N520" s="65" t="s">
        <v>110</v>
      </c>
      <c r="O520" s="65" t="s">
        <v>110</v>
      </c>
      <c r="P520" s="65" t="s">
        <v>110</v>
      </c>
      <c r="Q520" s="65" t="s">
        <v>110</v>
      </c>
      <c r="R520" s="15"/>
      <c r="S520" s="15"/>
      <c r="T520" s="15"/>
      <c r="U520" s="15"/>
      <c r="V520" s="15"/>
      <c r="W520" s="15"/>
      <c r="X520" s="15"/>
      <c r="Y520" s="11"/>
      <c r="Z520" s="15"/>
      <c r="AA520" s="15"/>
      <c r="AB520" s="15"/>
      <c r="AC520" s="15"/>
      <c r="AD520" s="15"/>
      <c r="AE520" s="39"/>
      <c r="AF520" s="15"/>
      <c r="AG520" s="39"/>
      <c r="AH520" s="39">
        <f t="shared" si="100"/>
        <v>0</v>
      </c>
    </row>
    <row r="521" spans="1:36" ht="15">
      <c r="A521" s="21" t="s">
        <v>84</v>
      </c>
      <c r="B521" s="15">
        <f t="shared" si="99"/>
        <v>0</v>
      </c>
      <c r="C521" s="3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39"/>
      <c r="AF521" s="15"/>
      <c r="AG521" s="39"/>
      <c r="AH521" s="39">
        <f t="shared" si="100"/>
        <v>0</v>
      </c>
    </row>
    <row r="522" spans="1:36" ht="15">
      <c r="A522" s="71" t="s">
        <v>72</v>
      </c>
      <c r="B522" s="75">
        <f>SUM(B510:B521)</f>
        <v>0</v>
      </c>
      <c r="C522" s="32">
        <f>SUM(C510:C520)</f>
        <v>0</v>
      </c>
      <c r="D522" s="39">
        <f>SUM(D510:D520)</f>
        <v>0</v>
      </c>
      <c r="E522" s="39">
        <v>0</v>
      </c>
      <c r="F522" s="39">
        <f t="shared" ref="F522:AC522" si="101">SUM(F510:F520)</f>
        <v>0</v>
      </c>
      <c r="G522" s="39">
        <f t="shared" si="101"/>
        <v>0</v>
      </c>
      <c r="H522" s="39">
        <f t="shared" si="101"/>
        <v>0</v>
      </c>
      <c r="I522" s="39">
        <f t="shared" si="101"/>
        <v>0</v>
      </c>
      <c r="J522" s="39">
        <f t="shared" si="101"/>
        <v>0</v>
      </c>
      <c r="K522" s="39">
        <f t="shared" si="101"/>
        <v>0</v>
      </c>
      <c r="L522" s="39">
        <f t="shared" si="101"/>
        <v>0</v>
      </c>
      <c r="M522" s="39">
        <f t="shared" si="101"/>
        <v>0</v>
      </c>
      <c r="N522" s="39">
        <f t="shared" si="101"/>
        <v>0</v>
      </c>
      <c r="O522" s="39">
        <f t="shared" si="101"/>
        <v>0</v>
      </c>
      <c r="P522" s="39">
        <f t="shared" si="101"/>
        <v>0</v>
      </c>
      <c r="Q522" s="39">
        <f t="shared" si="101"/>
        <v>0</v>
      </c>
      <c r="R522" s="39">
        <f t="shared" si="101"/>
        <v>0</v>
      </c>
      <c r="S522" s="39">
        <f t="shared" si="101"/>
        <v>0</v>
      </c>
      <c r="T522" s="39">
        <f t="shared" si="101"/>
        <v>0</v>
      </c>
      <c r="U522" s="39">
        <f t="shared" si="101"/>
        <v>0</v>
      </c>
      <c r="V522" s="39">
        <f t="shared" si="101"/>
        <v>0</v>
      </c>
      <c r="W522" s="39">
        <f t="shared" si="101"/>
        <v>0</v>
      </c>
      <c r="X522" s="39">
        <f t="shared" si="101"/>
        <v>0</v>
      </c>
      <c r="Y522" s="39">
        <f t="shared" si="101"/>
        <v>0</v>
      </c>
      <c r="Z522" s="39">
        <f t="shared" si="101"/>
        <v>0</v>
      </c>
      <c r="AA522" s="39">
        <f t="shared" si="101"/>
        <v>0</v>
      </c>
      <c r="AB522" s="39">
        <f t="shared" si="101"/>
        <v>0</v>
      </c>
      <c r="AC522" s="39">
        <f t="shared" si="101"/>
        <v>0</v>
      </c>
      <c r="AD522" s="39">
        <v>0</v>
      </c>
      <c r="AE522" s="39">
        <f>SUM(AE510:AE520)</f>
        <v>0</v>
      </c>
      <c r="AF522" s="39">
        <f>SUM(AF510:AF520)</f>
        <v>0</v>
      </c>
      <c r="AG522" s="39">
        <f>SUM(AG510:AG520)</f>
        <v>0</v>
      </c>
      <c r="AH522" s="32">
        <f>SUM(AH510:AH520)</f>
        <v>0</v>
      </c>
    </row>
    <row r="523" spans="1:36" ht="5.0999999999999996" customHeight="1">
      <c r="A523" s="14"/>
      <c r="B523" s="14"/>
      <c r="C523" s="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
    </row>
    <row r="524" spans="1:36" ht="16.8">
      <c r="A524" s="3824" t="s">
        <v>63</v>
      </c>
      <c r="B524" s="3825"/>
      <c r="C524" s="3825"/>
      <c r="D524" s="3825"/>
      <c r="E524" s="3825"/>
      <c r="F524" s="3825"/>
      <c r="G524" s="3825"/>
      <c r="H524" s="3826"/>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row>
    <row r="525" spans="1:36" ht="15">
      <c r="A525" s="5" t="s">
        <v>70</v>
      </c>
      <c r="B525" s="5" t="s">
        <v>71</v>
      </c>
      <c r="C525" s="2166">
        <v>1</v>
      </c>
      <c r="D525" s="21">
        <v>2</v>
      </c>
      <c r="E525" s="21">
        <v>3</v>
      </c>
      <c r="F525" s="21">
        <v>4</v>
      </c>
      <c r="G525" s="21">
        <v>5</v>
      </c>
      <c r="H525" s="21">
        <v>6</v>
      </c>
      <c r="I525" s="21">
        <v>7</v>
      </c>
      <c r="J525" s="21">
        <v>8</v>
      </c>
      <c r="K525" s="21">
        <v>9</v>
      </c>
      <c r="L525" s="21">
        <v>10</v>
      </c>
      <c r="M525" s="21">
        <v>11</v>
      </c>
      <c r="N525" s="21">
        <v>12</v>
      </c>
      <c r="O525" s="21">
        <v>13</v>
      </c>
      <c r="P525" s="21">
        <v>14</v>
      </c>
      <c r="Q525" s="21">
        <v>15</v>
      </c>
      <c r="R525" s="21">
        <v>16</v>
      </c>
      <c r="S525" s="21">
        <v>17</v>
      </c>
      <c r="T525" s="21">
        <v>18</v>
      </c>
      <c r="U525" s="21">
        <v>19</v>
      </c>
      <c r="V525" s="21">
        <v>20</v>
      </c>
      <c r="W525" s="21">
        <v>21</v>
      </c>
      <c r="X525" s="21">
        <v>22</v>
      </c>
      <c r="Y525" s="21">
        <v>23</v>
      </c>
      <c r="Z525" s="21">
        <v>24</v>
      </c>
      <c r="AA525" s="21">
        <v>25</v>
      </c>
      <c r="AB525" s="21">
        <v>26</v>
      </c>
      <c r="AC525" s="21">
        <v>27</v>
      </c>
      <c r="AD525" s="21">
        <v>28</v>
      </c>
      <c r="AE525" s="21">
        <v>29</v>
      </c>
      <c r="AF525" s="21">
        <v>30</v>
      </c>
      <c r="AG525" s="21">
        <v>31</v>
      </c>
      <c r="AH525" s="25" t="s">
        <v>72</v>
      </c>
      <c r="AI525" s="2266" t="s">
        <v>1345</v>
      </c>
      <c r="AJ525" s="66" t="e">
        <f>(B538/COUNTIF($C$526:$AG$537,"&gt;0"))</f>
        <v>#DIV/0!</v>
      </c>
    </row>
    <row r="526" spans="1:36" ht="15">
      <c r="A526" s="21" t="s">
        <v>73</v>
      </c>
      <c r="B526" s="95">
        <f t="shared" ref="B526:B537" si="102">+AH526</f>
        <v>0</v>
      </c>
      <c r="C526" s="1689"/>
      <c r="D526" s="1689"/>
      <c r="E526" s="1689"/>
      <c r="F526" s="1689"/>
      <c r="G526" s="1689"/>
      <c r="H526" s="1689"/>
      <c r="I526" s="1689"/>
      <c r="J526" s="1689"/>
      <c r="K526" s="1689"/>
      <c r="L526" s="1689"/>
      <c r="M526" s="1689"/>
      <c r="N526" s="1689"/>
      <c r="O526" s="1689"/>
      <c r="P526" s="1689"/>
      <c r="Q526" s="1689"/>
      <c r="R526" s="1689"/>
      <c r="S526" s="1689"/>
      <c r="T526" s="1689"/>
      <c r="U526" s="1689"/>
      <c r="V526" s="1689"/>
      <c r="W526" s="1689"/>
      <c r="X526" s="1689"/>
      <c r="Y526" s="1689"/>
      <c r="Z526" s="1689"/>
      <c r="AA526" s="1689"/>
      <c r="AB526" s="1091"/>
      <c r="AC526" s="1689"/>
      <c r="AD526" s="1689"/>
      <c r="AE526" s="1689"/>
      <c r="AF526" s="1689"/>
      <c r="AG526" s="1689"/>
      <c r="AH526" s="39">
        <f>SUM(C526:AG526)</f>
        <v>0</v>
      </c>
    </row>
    <row r="527" spans="1:36" ht="15">
      <c r="A527" s="21" t="s">
        <v>74</v>
      </c>
      <c r="B527" s="95">
        <f t="shared" si="102"/>
        <v>0</v>
      </c>
      <c r="C527" s="1689"/>
      <c r="D527" s="1689"/>
      <c r="E527" s="1689"/>
      <c r="F527" s="1689"/>
      <c r="G527" s="1689"/>
      <c r="H527" s="1689"/>
      <c r="I527" s="1689"/>
      <c r="J527" s="1689"/>
      <c r="K527" s="1689"/>
      <c r="L527" s="1689"/>
      <c r="M527" s="1689"/>
      <c r="N527" s="1689"/>
      <c r="O527" s="1689"/>
      <c r="P527" s="1689"/>
      <c r="Q527" s="1689"/>
      <c r="R527" s="1689"/>
      <c r="S527" s="1689"/>
      <c r="T527" s="1689"/>
      <c r="U527" s="1689"/>
      <c r="V527" s="1689"/>
      <c r="W527" s="1689"/>
      <c r="X527" s="1689"/>
      <c r="Y527" s="1689"/>
      <c r="Z527" s="1689"/>
      <c r="AA527" s="1689"/>
      <c r="AB527" s="1689"/>
      <c r="AC527" s="1689"/>
      <c r="AD527" s="1689"/>
      <c r="AE527" s="1689"/>
      <c r="AF527" s="1689"/>
      <c r="AG527" s="1689"/>
      <c r="AH527" s="39">
        <f t="shared" ref="AH527:AH537" si="103">SUM(C527:AG527)</f>
        <v>0</v>
      </c>
    </row>
    <row r="528" spans="1:36" ht="15">
      <c r="A528" s="21" t="s">
        <v>75</v>
      </c>
      <c r="B528" s="95">
        <f t="shared" si="102"/>
        <v>0</v>
      </c>
      <c r="C528" s="1689"/>
      <c r="D528" s="1689"/>
      <c r="E528" s="1689"/>
      <c r="F528" s="1689"/>
      <c r="G528" s="1689"/>
      <c r="H528" s="1091"/>
      <c r="I528" s="1091"/>
      <c r="J528" s="1091"/>
      <c r="K528" s="1091"/>
      <c r="L528" s="1091"/>
      <c r="M528" s="1091"/>
      <c r="N528" s="1091"/>
      <c r="O528" s="1091"/>
      <c r="P528" s="1091"/>
      <c r="Q528" s="1084"/>
      <c r="R528" s="1084"/>
      <c r="S528" s="1084"/>
      <c r="T528" s="1084"/>
      <c r="U528" s="1084"/>
      <c r="V528" s="1084"/>
      <c r="W528" s="1084"/>
      <c r="X528" s="1084"/>
      <c r="Y528" s="1084"/>
      <c r="Z528" s="1084"/>
      <c r="AA528" s="1084"/>
      <c r="AB528" s="1084"/>
      <c r="AC528" s="1084"/>
      <c r="AD528" s="1084"/>
      <c r="AE528" s="1084"/>
      <c r="AF528" s="1084"/>
      <c r="AG528" s="1084"/>
      <c r="AH528" s="39">
        <f t="shared" si="103"/>
        <v>0</v>
      </c>
    </row>
    <row r="529" spans="1:36" ht="15">
      <c r="A529" s="21" t="s">
        <v>76</v>
      </c>
      <c r="B529" s="95">
        <f t="shared" si="102"/>
        <v>0</v>
      </c>
      <c r="C529" s="1084"/>
      <c r="D529" s="1084"/>
      <c r="E529" s="1084"/>
      <c r="F529" s="1084"/>
      <c r="G529" s="1084"/>
      <c r="H529" s="1084"/>
      <c r="I529" s="1084"/>
      <c r="J529" s="1084"/>
      <c r="K529" s="1084"/>
      <c r="L529" s="1084"/>
      <c r="M529" s="1084"/>
      <c r="N529" s="1084"/>
      <c r="O529" s="1084"/>
      <c r="P529" s="1084"/>
      <c r="Q529" s="1084"/>
      <c r="R529" s="1084"/>
      <c r="S529" s="1084"/>
      <c r="T529" s="1084"/>
      <c r="U529" s="1084"/>
      <c r="V529" s="1084"/>
      <c r="W529" s="1084"/>
      <c r="X529" s="1084"/>
      <c r="Y529" s="1084"/>
      <c r="Z529" s="1084"/>
      <c r="AA529" s="1084"/>
      <c r="AB529" s="1084"/>
      <c r="AC529" s="1084"/>
      <c r="AD529" s="1084"/>
      <c r="AE529" s="1084"/>
      <c r="AF529" s="1084" t="s">
        <v>110</v>
      </c>
      <c r="AG529" s="1084" t="s">
        <v>110</v>
      </c>
      <c r="AH529" s="39">
        <f t="shared" si="103"/>
        <v>0</v>
      </c>
    </row>
    <row r="530" spans="1:36" ht="15">
      <c r="A530" s="21" t="s">
        <v>77</v>
      </c>
      <c r="B530" s="95">
        <f t="shared" si="102"/>
        <v>0</v>
      </c>
      <c r="C530" s="1084" t="s">
        <v>110</v>
      </c>
      <c r="D530" s="1084" t="s">
        <v>110</v>
      </c>
      <c r="E530" s="1084" t="s">
        <v>110</v>
      </c>
      <c r="F530" s="1084" t="s">
        <v>110</v>
      </c>
      <c r="G530" s="1084" t="s">
        <v>110</v>
      </c>
      <c r="H530" s="1084" t="s">
        <v>110</v>
      </c>
      <c r="I530" s="1084" t="s">
        <v>110</v>
      </c>
      <c r="J530" s="1084" t="s">
        <v>110</v>
      </c>
      <c r="K530" s="1084" t="s">
        <v>110</v>
      </c>
      <c r="L530" s="1084" t="s">
        <v>110</v>
      </c>
      <c r="M530" s="1084" t="s">
        <v>110</v>
      </c>
      <c r="N530" s="1084" t="s">
        <v>110</v>
      </c>
      <c r="O530" s="1084" t="s">
        <v>110</v>
      </c>
      <c r="P530" s="1084" t="s">
        <v>110</v>
      </c>
      <c r="Q530" s="1084" t="s">
        <v>110</v>
      </c>
      <c r="R530" s="2165"/>
      <c r="S530" s="2165"/>
      <c r="T530" s="2165"/>
      <c r="U530" s="2165"/>
      <c r="V530" s="2165"/>
      <c r="W530" s="2165"/>
      <c r="X530" s="2165"/>
      <c r="Y530" s="2165"/>
      <c r="Z530" s="2165"/>
      <c r="AA530" s="2165"/>
      <c r="AB530" s="2165"/>
      <c r="AC530" s="2165"/>
      <c r="AD530" s="2165"/>
      <c r="AE530" s="2165"/>
      <c r="AF530" s="2165"/>
      <c r="AG530" s="2165"/>
      <c r="AH530" s="39">
        <f t="shared" si="103"/>
        <v>0</v>
      </c>
    </row>
    <row r="531" spans="1:36" ht="15">
      <c r="A531" s="21" t="s">
        <v>78</v>
      </c>
      <c r="B531" s="95">
        <f t="shared" si="102"/>
        <v>0</v>
      </c>
      <c r="C531" s="3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39">
        <f t="shared" si="103"/>
        <v>0</v>
      </c>
    </row>
    <row r="532" spans="1:36" ht="15">
      <c r="A532" s="21" t="s">
        <v>79</v>
      </c>
      <c r="B532" s="94">
        <f t="shared" si="102"/>
        <v>0</v>
      </c>
      <c r="C532" s="35"/>
      <c r="D532" s="39"/>
      <c r="E532" s="39"/>
      <c r="F532" s="39"/>
      <c r="G532" s="15"/>
      <c r="H532" s="15"/>
      <c r="I532" s="15"/>
      <c r="J532" s="43"/>
      <c r="K532" s="43"/>
      <c r="L532" s="39"/>
      <c r="M532" s="39"/>
      <c r="N532" s="39"/>
      <c r="O532" s="39"/>
      <c r="P532" s="39"/>
      <c r="Q532" s="39"/>
      <c r="R532" s="39"/>
      <c r="S532" s="39"/>
      <c r="T532" s="39"/>
      <c r="U532" s="39"/>
      <c r="V532" s="39"/>
      <c r="W532" s="897" t="s">
        <v>110</v>
      </c>
      <c r="X532" s="897" t="s">
        <v>110</v>
      </c>
      <c r="Y532" s="897" t="s">
        <v>110</v>
      </c>
      <c r="Z532" s="897" t="s">
        <v>110</v>
      </c>
      <c r="AA532" s="897" t="s">
        <v>110</v>
      </c>
      <c r="AB532" s="897" t="s">
        <v>110</v>
      </c>
      <c r="AC532" s="897" t="s">
        <v>110</v>
      </c>
      <c r="AD532" s="897" t="s">
        <v>110</v>
      </c>
      <c r="AE532" s="897" t="s">
        <v>110</v>
      </c>
      <c r="AF532" s="897" t="s">
        <v>110</v>
      </c>
      <c r="AG532" s="897" t="s">
        <v>110</v>
      </c>
      <c r="AH532" s="39">
        <f t="shared" si="103"/>
        <v>0</v>
      </c>
    </row>
    <row r="533" spans="1:36" ht="15">
      <c r="A533" s="21" t="s">
        <v>80</v>
      </c>
      <c r="B533" s="94">
        <f t="shared" si="102"/>
        <v>0</v>
      </c>
      <c r="C533" s="897" t="s">
        <v>110</v>
      </c>
      <c r="D533" s="897" t="s">
        <v>110</v>
      </c>
      <c r="E533" s="897" t="s">
        <v>110</v>
      </c>
      <c r="F533" s="897" t="s">
        <v>110</v>
      </c>
      <c r="G533" s="897" t="s">
        <v>110</v>
      </c>
      <c r="H533" s="897" t="s">
        <v>110</v>
      </c>
      <c r="I533" s="897" t="s">
        <v>110</v>
      </c>
      <c r="J533" s="897" t="s">
        <v>110</v>
      </c>
      <c r="K533" s="897" t="s">
        <v>110</v>
      </c>
      <c r="L533" s="897" t="s">
        <v>110</v>
      </c>
      <c r="M533" s="897" t="s">
        <v>110</v>
      </c>
      <c r="N533" s="897" t="s">
        <v>110</v>
      </c>
      <c r="O533" s="897" t="s">
        <v>110</v>
      </c>
      <c r="P533" s="897" t="s">
        <v>110</v>
      </c>
      <c r="Q533" s="897" t="s">
        <v>110</v>
      </c>
      <c r="R533" s="897" t="s">
        <v>110</v>
      </c>
      <c r="S533" s="897" t="s">
        <v>110</v>
      </c>
      <c r="T533" s="897" t="s">
        <v>110</v>
      </c>
      <c r="U533" s="897" t="s">
        <v>110</v>
      </c>
      <c r="V533" s="897" t="s">
        <v>110</v>
      </c>
      <c r="W533" s="897" t="s">
        <v>110</v>
      </c>
      <c r="X533" s="897" t="s">
        <v>110</v>
      </c>
      <c r="Y533" s="897" t="s">
        <v>110</v>
      </c>
      <c r="Z533" s="897" t="s">
        <v>110</v>
      </c>
      <c r="AA533" s="897" t="s">
        <v>110</v>
      </c>
      <c r="AB533" s="897" t="s">
        <v>110</v>
      </c>
      <c r="AC533" s="897" t="s">
        <v>110</v>
      </c>
      <c r="AD533" s="897" t="s">
        <v>110</v>
      </c>
      <c r="AE533" s="897" t="s">
        <v>110</v>
      </c>
      <c r="AF533" s="897" t="s">
        <v>110</v>
      </c>
      <c r="AG533" s="897" t="s">
        <v>110</v>
      </c>
      <c r="AH533" s="39">
        <f t="shared" si="103"/>
        <v>0</v>
      </c>
    </row>
    <row r="534" spans="1:36" ht="15">
      <c r="A534" s="21" t="s">
        <v>81</v>
      </c>
      <c r="B534" s="15">
        <f t="shared" si="102"/>
        <v>0</v>
      </c>
      <c r="C534" s="32"/>
      <c r="D534" s="39"/>
      <c r="E534" s="39"/>
      <c r="F534" s="39"/>
      <c r="G534" s="39"/>
      <c r="H534" s="39"/>
      <c r="I534" s="39"/>
      <c r="J534" s="43"/>
      <c r="K534" s="43"/>
      <c r="L534" s="15"/>
      <c r="M534" s="15"/>
      <c r="N534" s="15"/>
      <c r="O534" s="15"/>
      <c r="P534" s="15"/>
      <c r="Q534" s="897" t="s">
        <v>110</v>
      </c>
      <c r="R534" s="897" t="s">
        <v>110</v>
      </c>
      <c r="S534" s="897" t="s">
        <v>110</v>
      </c>
      <c r="T534" s="897" t="s">
        <v>110</v>
      </c>
      <c r="U534" s="897" t="s">
        <v>110</v>
      </c>
      <c r="V534" s="897" t="s">
        <v>110</v>
      </c>
      <c r="W534" s="897" t="s">
        <v>110</v>
      </c>
      <c r="X534" s="897" t="s">
        <v>110</v>
      </c>
      <c r="Y534" s="897" t="s">
        <v>110</v>
      </c>
      <c r="Z534" s="897" t="s">
        <v>110</v>
      </c>
      <c r="AA534" s="897" t="s">
        <v>110</v>
      </c>
      <c r="AB534" s="897" t="s">
        <v>110</v>
      </c>
      <c r="AC534" s="897" t="s">
        <v>110</v>
      </c>
      <c r="AD534" s="897" t="s">
        <v>110</v>
      </c>
      <c r="AE534" s="897" t="s">
        <v>110</v>
      </c>
      <c r="AF534" s="897" t="s">
        <v>110</v>
      </c>
      <c r="AG534" s="897" t="s">
        <v>110</v>
      </c>
      <c r="AH534" s="39">
        <f t="shared" si="103"/>
        <v>0</v>
      </c>
    </row>
    <row r="535" spans="1:36" ht="15">
      <c r="A535" s="21" t="s">
        <v>82</v>
      </c>
      <c r="B535" s="15">
        <f t="shared" si="102"/>
        <v>0</v>
      </c>
      <c r="C535" s="35"/>
      <c r="D535" s="897" t="s">
        <v>110</v>
      </c>
      <c r="E535" s="897" t="s">
        <v>110</v>
      </c>
      <c r="F535" s="897" t="s">
        <v>110</v>
      </c>
      <c r="G535" s="897" t="s">
        <v>110</v>
      </c>
      <c r="H535" s="897" t="s">
        <v>110</v>
      </c>
      <c r="I535" s="897" t="s">
        <v>110</v>
      </c>
      <c r="J535" s="897" t="s">
        <v>110</v>
      </c>
      <c r="K535" s="897" t="s">
        <v>110</v>
      </c>
      <c r="L535" s="897" t="s">
        <v>110</v>
      </c>
      <c r="M535" s="897" t="s">
        <v>110</v>
      </c>
      <c r="N535" s="897" t="s">
        <v>110</v>
      </c>
      <c r="O535" s="897" t="s">
        <v>110</v>
      </c>
      <c r="P535" s="897" t="s">
        <v>110</v>
      </c>
      <c r="Q535" s="897" t="s">
        <v>110</v>
      </c>
      <c r="R535" s="897" t="s">
        <v>110</v>
      </c>
      <c r="S535" s="897" t="s">
        <v>110</v>
      </c>
      <c r="T535" s="897" t="s">
        <v>110</v>
      </c>
      <c r="U535" s="897" t="s">
        <v>110</v>
      </c>
      <c r="V535" s="897" t="s">
        <v>110</v>
      </c>
      <c r="W535" s="897" t="s">
        <v>110</v>
      </c>
      <c r="X535" s="897" t="s">
        <v>110</v>
      </c>
      <c r="Y535" s="897" t="s">
        <v>110</v>
      </c>
      <c r="Z535" s="897" t="s">
        <v>110</v>
      </c>
      <c r="AA535" s="897" t="s">
        <v>110</v>
      </c>
      <c r="AB535" s="897" t="s">
        <v>110</v>
      </c>
      <c r="AC535" s="897" t="s">
        <v>110</v>
      </c>
      <c r="AD535" s="897" t="s">
        <v>110</v>
      </c>
      <c r="AE535" s="897" t="s">
        <v>110</v>
      </c>
      <c r="AF535" s="897" t="s">
        <v>110</v>
      </c>
      <c r="AG535" s="897" t="s">
        <v>110</v>
      </c>
      <c r="AH535" s="39">
        <f t="shared" si="103"/>
        <v>0</v>
      </c>
    </row>
    <row r="536" spans="1:36" ht="15">
      <c r="A536" s="21" t="s">
        <v>83</v>
      </c>
      <c r="B536" s="15">
        <f t="shared" si="102"/>
        <v>0</v>
      </c>
      <c r="C536" s="65" t="s">
        <v>110</v>
      </c>
      <c r="D536" s="65" t="s">
        <v>110</v>
      </c>
      <c r="E536" s="65" t="s">
        <v>110</v>
      </c>
      <c r="F536" s="65" t="s">
        <v>110</v>
      </c>
      <c r="G536" s="65" t="s">
        <v>110</v>
      </c>
      <c r="H536" s="65" t="s">
        <v>110</v>
      </c>
      <c r="I536" s="65" t="s">
        <v>110</v>
      </c>
      <c r="J536" s="65" t="s">
        <v>110</v>
      </c>
      <c r="K536" s="65" t="s">
        <v>110</v>
      </c>
      <c r="L536" s="65" t="s">
        <v>110</v>
      </c>
      <c r="M536" s="65" t="s">
        <v>110</v>
      </c>
      <c r="N536" s="65" t="s">
        <v>110</v>
      </c>
      <c r="O536" s="65" t="s">
        <v>110</v>
      </c>
      <c r="P536" s="65" t="s">
        <v>110</v>
      </c>
      <c r="Q536" s="65" t="s">
        <v>110</v>
      </c>
      <c r="R536" s="15"/>
      <c r="S536" s="15"/>
      <c r="T536" s="15"/>
      <c r="U536" s="15"/>
      <c r="V536" s="15"/>
      <c r="W536" s="15"/>
      <c r="X536" s="15"/>
      <c r="Y536" s="11"/>
      <c r="Z536" s="15"/>
      <c r="AA536" s="15"/>
      <c r="AB536" s="15"/>
      <c r="AC536" s="15"/>
      <c r="AD536" s="15"/>
      <c r="AE536" s="39"/>
      <c r="AF536" s="15"/>
      <c r="AG536" s="39"/>
      <c r="AH536" s="39">
        <f t="shared" si="103"/>
        <v>0</v>
      </c>
    </row>
    <row r="537" spans="1:36" ht="15">
      <c r="A537" s="21" t="s">
        <v>84</v>
      </c>
      <c r="B537" s="15">
        <f t="shared" si="102"/>
        <v>0</v>
      </c>
      <c r="C537" s="3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39"/>
      <c r="AF537" s="15"/>
      <c r="AG537" s="39"/>
      <c r="AH537" s="39">
        <f t="shared" si="103"/>
        <v>0</v>
      </c>
    </row>
    <row r="538" spans="1:36" ht="15">
      <c r="A538" s="71" t="s">
        <v>72</v>
      </c>
      <c r="B538" s="72">
        <f>SUM(B526:B537)</f>
        <v>0</v>
      </c>
      <c r="C538" s="32">
        <f>SUM(C526:C536)</f>
        <v>0</v>
      </c>
      <c r="D538" s="39">
        <f>SUM(D526:D536)</f>
        <v>0</v>
      </c>
      <c r="E538" s="39">
        <v>0</v>
      </c>
      <c r="F538" s="39">
        <f t="shared" ref="F538:AC538" si="104">SUM(F526:F536)</f>
        <v>0</v>
      </c>
      <c r="G538" s="39">
        <f t="shared" si="104"/>
        <v>0</v>
      </c>
      <c r="H538" s="39">
        <f t="shared" si="104"/>
        <v>0</v>
      </c>
      <c r="I538" s="39">
        <f t="shared" si="104"/>
        <v>0</v>
      </c>
      <c r="J538" s="39">
        <f t="shared" si="104"/>
        <v>0</v>
      </c>
      <c r="K538" s="39">
        <f t="shared" si="104"/>
        <v>0</v>
      </c>
      <c r="L538" s="39">
        <f t="shared" si="104"/>
        <v>0</v>
      </c>
      <c r="M538" s="39">
        <f t="shared" si="104"/>
        <v>0</v>
      </c>
      <c r="N538" s="39">
        <f t="shared" si="104"/>
        <v>0</v>
      </c>
      <c r="O538" s="39">
        <f t="shared" si="104"/>
        <v>0</v>
      </c>
      <c r="P538" s="39">
        <f t="shared" si="104"/>
        <v>0</v>
      </c>
      <c r="Q538" s="39">
        <f t="shared" si="104"/>
        <v>0</v>
      </c>
      <c r="R538" s="39">
        <f t="shared" si="104"/>
        <v>0</v>
      </c>
      <c r="S538" s="39">
        <f t="shared" si="104"/>
        <v>0</v>
      </c>
      <c r="T538" s="39">
        <f t="shared" si="104"/>
        <v>0</v>
      </c>
      <c r="U538" s="39">
        <f t="shared" si="104"/>
        <v>0</v>
      </c>
      <c r="V538" s="39">
        <f t="shared" si="104"/>
        <v>0</v>
      </c>
      <c r="W538" s="39">
        <f t="shared" si="104"/>
        <v>0</v>
      </c>
      <c r="X538" s="39">
        <f t="shared" si="104"/>
        <v>0</v>
      </c>
      <c r="Y538" s="39">
        <f t="shared" si="104"/>
        <v>0</v>
      </c>
      <c r="Z538" s="39">
        <f t="shared" si="104"/>
        <v>0</v>
      </c>
      <c r="AA538" s="39">
        <f t="shared" si="104"/>
        <v>0</v>
      </c>
      <c r="AB538" s="39">
        <f t="shared" si="104"/>
        <v>0</v>
      </c>
      <c r="AC538" s="39">
        <f t="shared" si="104"/>
        <v>0</v>
      </c>
      <c r="AD538" s="39">
        <v>0</v>
      </c>
      <c r="AE538" s="39">
        <f>SUM(AE526:AE536)</f>
        <v>0</v>
      </c>
      <c r="AF538" s="39">
        <f>SUM(AF526:AF536)</f>
        <v>0</v>
      </c>
      <c r="AG538" s="39">
        <f>SUM(AG526:AG536)</f>
        <v>0</v>
      </c>
      <c r="AH538" s="32">
        <f>SUM(AH526:AH536)</f>
        <v>0</v>
      </c>
    </row>
    <row r="539" spans="1:36" ht="5.0999999999999996" customHeight="1">
      <c r="A539" s="14"/>
      <c r="B539" s="14"/>
      <c r="C539" s="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
    </row>
    <row r="540" spans="1:36" ht="16.8">
      <c r="A540" s="3824" t="s">
        <v>527</v>
      </c>
      <c r="B540" s="3825"/>
      <c r="C540" s="3827"/>
      <c r="D540" s="3825"/>
      <c r="E540" s="3825"/>
      <c r="F540" s="3825"/>
      <c r="G540" s="3825"/>
      <c r="H540" s="3826"/>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row>
    <row r="541" spans="1:36" ht="15">
      <c r="A541" s="5" t="s">
        <v>70</v>
      </c>
      <c r="B541" s="794" t="s">
        <v>71</v>
      </c>
      <c r="C541" s="2166">
        <v>1</v>
      </c>
      <c r="D541" s="795">
        <v>2</v>
      </c>
      <c r="E541" s="21">
        <v>3</v>
      </c>
      <c r="F541" s="21">
        <v>4</v>
      </c>
      <c r="G541" s="21">
        <v>5</v>
      </c>
      <c r="H541" s="21">
        <v>6</v>
      </c>
      <c r="I541" s="21">
        <v>7</v>
      </c>
      <c r="J541" s="21">
        <v>8</v>
      </c>
      <c r="K541" s="21">
        <v>9</v>
      </c>
      <c r="L541" s="21">
        <v>10</v>
      </c>
      <c r="M541" s="21">
        <v>11</v>
      </c>
      <c r="N541" s="21">
        <v>12</v>
      </c>
      <c r="O541" s="21">
        <v>13</v>
      </c>
      <c r="P541" s="21">
        <v>14</v>
      </c>
      <c r="Q541" s="21">
        <v>15</v>
      </c>
      <c r="R541" s="21">
        <v>16</v>
      </c>
      <c r="S541" s="21">
        <v>17</v>
      </c>
      <c r="T541" s="21">
        <v>18</v>
      </c>
      <c r="U541" s="21">
        <v>19</v>
      </c>
      <c r="V541" s="21">
        <v>20</v>
      </c>
      <c r="W541" s="21">
        <v>21</v>
      </c>
      <c r="X541" s="21">
        <v>22</v>
      </c>
      <c r="Y541" s="21">
        <v>23</v>
      </c>
      <c r="Z541" s="21">
        <v>24</v>
      </c>
      <c r="AA541" s="21">
        <v>25</v>
      </c>
      <c r="AB541" s="21">
        <v>26</v>
      </c>
      <c r="AC541" s="21">
        <v>27</v>
      </c>
      <c r="AD541" s="21">
        <v>28</v>
      </c>
      <c r="AE541" s="21">
        <v>29</v>
      </c>
      <c r="AF541" s="21">
        <v>30</v>
      </c>
      <c r="AG541" s="21">
        <v>31</v>
      </c>
      <c r="AH541" s="25" t="s">
        <v>72</v>
      </c>
      <c r="AI541" s="2266" t="s">
        <v>1345</v>
      </c>
      <c r="AJ541" s="66" t="e">
        <f>(B554/COUNTIF($C$542:$AG$553,"&gt;0"))</f>
        <v>#DIV/0!</v>
      </c>
    </row>
    <row r="542" spans="1:36" ht="15">
      <c r="A542" s="21" t="s">
        <v>73</v>
      </c>
      <c r="B542" s="95">
        <f t="shared" ref="B542:B553" si="105">+AH542</f>
        <v>0</v>
      </c>
      <c r="C542" s="1689"/>
      <c r="D542" s="1689"/>
      <c r="E542" s="1689"/>
      <c r="F542" s="1689"/>
      <c r="G542" s="1689"/>
      <c r="H542" s="1689"/>
      <c r="I542" s="1689"/>
      <c r="J542" s="1689"/>
      <c r="K542" s="1689"/>
      <c r="L542" s="1689"/>
      <c r="M542" s="1689"/>
      <c r="N542" s="1689"/>
      <c r="O542" s="1689"/>
      <c r="P542" s="1689"/>
      <c r="Q542" s="1689"/>
      <c r="R542" s="1689"/>
      <c r="S542" s="1689"/>
      <c r="T542" s="1689"/>
      <c r="U542" s="1689"/>
      <c r="V542" s="1689"/>
      <c r="W542" s="1689"/>
      <c r="X542" s="1689"/>
      <c r="Y542" s="1689"/>
      <c r="Z542" s="1689"/>
      <c r="AA542" s="1689"/>
      <c r="AB542" s="1091"/>
      <c r="AC542" s="1689"/>
      <c r="AD542" s="1689"/>
      <c r="AE542" s="1689"/>
      <c r="AF542" s="1689"/>
      <c r="AG542" s="1689"/>
      <c r="AH542" s="39">
        <f>SUM(C542:AG542)</f>
        <v>0</v>
      </c>
    </row>
    <row r="543" spans="1:36" ht="15">
      <c r="A543" s="21" t="s">
        <v>74</v>
      </c>
      <c r="B543" s="95">
        <f t="shared" si="105"/>
        <v>0</v>
      </c>
      <c r="C543" s="1689"/>
      <c r="D543" s="1689"/>
      <c r="E543" s="1689"/>
      <c r="F543" s="1689"/>
      <c r="G543" s="1689"/>
      <c r="H543" s="1689"/>
      <c r="I543" s="1689"/>
      <c r="J543" s="1689"/>
      <c r="K543" s="1689"/>
      <c r="L543" s="1689"/>
      <c r="M543" s="1689"/>
      <c r="N543" s="1689"/>
      <c r="O543" s="1689"/>
      <c r="P543" s="1689"/>
      <c r="Q543" s="1689"/>
      <c r="R543" s="1689"/>
      <c r="S543" s="1689"/>
      <c r="T543" s="1689"/>
      <c r="U543" s="1689"/>
      <c r="V543" s="1689"/>
      <c r="W543" s="1689"/>
      <c r="X543" s="1689"/>
      <c r="Y543" s="1689"/>
      <c r="Z543" s="1689"/>
      <c r="AA543" s="1689"/>
      <c r="AB543" s="1689"/>
      <c r="AC543" s="1689"/>
      <c r="AD543" s="1689"/>
      <c r="AE543" s="1689"/>
      <c r="AF543" s="1689"/>
      <c r="AG543" s="1689"/>
      <c r="AH543" s="39">
        <f t="shared" ref="AH543:AH553" si="106">SUM(C543:AG543)</f>
        <v>0</v>
      </c>
    </row>
    <row r="544" spans="1:36" ht="15">
      <c r="A544" s="21" t="s">
        <v>75</v>
      </c>
      <c r="B544" s="95">
        <f t="shared" si="105"/>
        <v>0</v>
      </c>
      <c r="C544" s="1689"/>
      <c r="D544" s="1689"/>
      <c r="E544" s="1689"/>
      <c r="F544" s="1689"/>
      <c r="G544" s="1689"/>
      <c r="H544" s="1091"/>
      <c r="I544" s="1091"/>
      <c r="J544" s="1091"/>
      <c r="K544" s="1091"/>
      <c r="L544" s="1091"/>
      <c r="M544" s="1091"/>
      <c r="N544" s="1091"/>
      <c r="O544" s="1091"/>
      <c r="P544" s="1091"/>
      <c r="Q544" s="1084"/>
      <c r="R544" s="1084"/>
      <c r="S544" s="1084"/>
      <c r="T544" s="1084"/>
      <c r="U544" s="1084"/>
      <c r="V544" s="1084"/>
      <c r="W544" s="1084"/>
      <c r="X544" s="1084"/>
      <c r="Y544" s="1084"/>
      <c r="Z544" s="1084"/>
      <c r="AA544" s="1084"/>
      <c r="AB544" s="1084"/>
      <c r="AC544" s="1084"/>
      <c r="AD544" s="1084"/>
      <c r="AE544" s="1084"/>
      <c r="AF544" s="1084"/>
      <c r="AG544" s="1084"/>
      <c r="AH544" s="39">
        <f t="shared" si="106"/>
        <v>0</v>
      </c>
    </row>
    <row r="545" spans="1:36" ht="15">
      <c r="A545" s="21" t="s">
        <v>76</v>
      </c>
      <c r="B545" s="95">
        <f t="shared" si="105"/>
        <v>0</v>
      </c>
      <c r="C545" s="1084"/>
      <c r="D545" s="1084"/>
      <c r="E545" s="1084"/>
      <c r="F545" s="1084"/>
      <c r="G545" s="1084"/>
      <c r="H545" s="1084"/>
      <c r="I545" s="1084"/>
      <c r="J545" s="1084"/>
      <c r="K545" s="1084"/>
      <c r="L545" s="1084"/>
      <c r="M545" s="1084"/>
      <c r="N545" s="1084"/>
      <c r="O545" s="1084"/>
      <c r="P545" s="1084"/>
      <c r="Q545" s="1084"/>
      <c r="R545" s="1084"/>
      <c r="S545" s="1084"/>
      <c r="T545" s="1084"/>
      <c r="U545" s="1084"/>
      <c r="V545" s="1084"/>
      <c r="W545" s="1084"/>
      <c r="X545" s="1084"/>
      <c r="Y545" s="1084"/>
      <c r="Z545" s="1084"/>
      <c r="AA545" s="1084"/>
      <c r="AB545" s="1084"/>
      <c r="AC545" s="1084"/>
      <c r="AD545" s="1084"/>
      <c r="AE545" s="1084"/>
      <c r="AF545" s="1084" t="s">
        <v>110</v>
      </c>
      <c r="AG545" s="1084" t="s">
        <v>110</v>
      </c>
      <c r="AH545" s="39">
        <f t="shared" si="106"/>
        <v>0</v>
      </c>
    </row>
    <row r="546" spans="1:36" ht="15">
      <c r="A546" s="21" t="s">
        <v>77</v>
      </c>
      <c r="B546" s="95">
        <f t="shared" si="105"/>
        <v>0</v>
      </c>
      <c r="C546" s="1084" t="s">
        <v>110</v>
      </c>
      <c r="D546" s="1084" t="s">
        <v>110</v>
      </c>
      <c r="E546" s="1084" t="s">
        <v>110</v>
      </c>
      <c r="F546" s="1084" t="s">
        <v>110</v>
      </c>
      <c r="G546" s="1084" t="s">
        <v>110</v>
      </c>
      <c r="H546" s="1084" t="s">
        <v>110</v>
      </c>
      <c r="I546" s="1084" t="s">
        <v>110</v>
      </c>
      <c r="J546" s="1084" t="s">
        <v>110</v>
      </c>
      <c r="K546" s="1084" t="s">
        <v>110</v>
      </c>
      <c r="L546" s="1084" t="s">
        <v>110</v>
      </c>
      <c r="M546" s="1084" t="s">
        <v>110</v>
      </c>
      <c r="N546" s="1084" t="s">
        <v>110</v>
      </c>
      <c r="O546" s="1084" t="s">
        <v>110</v>
      </c>
      <c r="P546" s="1084" t="s">
        <v>110</v>
      </c>
      <c r="Q546" s="1084" t="s">
        <v>110</v>
      </c>
      <c r="R546" s="2165"/>
      <c r="S546" s="2165"/>
      <c r="T546" s="2165"/>
      <c r="U546" s="2165"/>
      <c r="V546" s="2165"/>
      <c r="W546" s="2165"/>
      <c r="X546" s="2165"/>
      <c r="Y546" s="2165"/>
      <c r="Z546" s="2165"/>
      <c r="AA546" s="2165"/>
      <c r="AB546" s="2165"/>
      <c r="AC546" s="2165"/>
      <c r="AD546" s="2165"/>
      <c r="AE546" s="2165"/>
      <c r="AF546" s="2165"/>
      <c r="AG546" s="2165"/>
      <c r="AH546" s="39">
        <f t="shared" si="106"/>
        <v>0</v>
      </c>
    </row>
    <row r="547" spans="1:36" ht="15">
      <c r="A547" s="21" t="s">
        <v>78</v>
      </c>
      <c r="B547" s="95">
        <f t="shared" si="105"/>
        <v>0</v>
      </c>
      <c r="C547" s="3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39">
        <f t="shared" si="106"/>
        <v>0</v>
      </c>
    </row>
    <row r="548" spans="1:36" ht="15">
      <c r="A548" s="21" t="s">
        <v>79</v>
      </c>
      <c r="B548" s="94">
        <f t="shared" si="105"/>
        <v>0</v>
      </c>
      <c r="C548" s="35"/>
      <c r="D548" s="39"/>
      <c r="E548" s="39"/>
      <c r="F548" s="39"/>
      <c r="G548" s="15"/>
      <c r="H548" s="15"/>
      <c r="I548" s="15"/>
      <c r="J548" s="43"/>
      <c r="K548" s="43"/>
      <c r="L548" s="39"/>
      <c r="M548" s="39"/>
      <c r="N548" s="39"/>
      <c r="O548" s="39"/>
      <c r="P548" s="39"/>
      <c r="Q548" s="39"/>
      <c r="R548" s="39"/>
      <c r="S548" s="39"/>
      <c r="T548" s="39"/>
      <c r="U548" s="39"/>
      <c r="V548" s="39"/>
      <c r="W548" s="897" t="s">
        <v>110</v>
      </c>
      <c r="X548" s="897" t="s">
        <v>110</v>
      </c>
      <c r="Y548" s="897" t="s">
        <v>110</v>
      </c>
      <c r="Z548" s="897" t="s">
        <v>110</v>
      </c>
      <c r="AA548" s="897" t="s">
        <v>110</v>
      </c>
      <c r="AB548" s="897" t="s">
        <v>110</v>
      </c>
      <c r="AC548" s="897" t="s">
        <v>110</v>
      </c>
      <c r="AD548" s="897" t="s">
        <v>110</v>
      </c>
      <c r="AE548" s="897" t="s">
        <v>110</v>
      </c>
      <c r="AF548" s="897" t="s">
        <v>110</v>
      </c>
      <c r="AG548" s="897" t="s">
        <v>110</v>
      </c>
      <c r="AH548" s="39">
        <f t="shared" si="106"/>
        <v>0</v>
      </c>
    </row>
    <row r="549" spans="1:36" ht="15">
      <c r="A549" s="21" t="s">
        <v>80</v>
      </c>
      <c r="B549" s="94">
        <f t="shared" si="105"/>
        <v>0</v>
      </c>
      <c r="C549" s="897" t="s">
        <v>110</v>
      </c>
      <c r="D549" s="897" t="s">
        <v>110</v>
      </c>
      <c r="E549" s="897" t="s">
        <v>110</v>
      </c>
      <c r="F549" s="897" t="s">
        <v>110</v>
      </c>
      <c r="G549" s="897" t="s">
        <v>110</v>
      </c>
      <c r="H549" s="897" t="s">
        <v>110</v>
      </c>
      <c r="I549" s="897" t="s">
        <v>110</v>
      </c>
      <c r="J549" s="897" t="s">
        <v>110</v>
      </c>
      <c r="K549" s="897" t="s">
        <v>110</v>
      </c>
      <c r="L549" s="897" t="s">
        <v>110</v>
      </c>
      <c r="M549" s="897" t="s">
        <v>110</v>
      </c>
      <c r="N549" s="897" t="s">
        <v>110</v>
      </c>
      <c r="O549" s="897" t="s">
        <v>110</v>
      </c>
      <c r="P549" s="897" t="s">
        <v>110</v>
      </c>
      <c r="Q549" s="897" t="s">
        <v>110</v>
      </c>
      <c r="R549" s="897" t="s">
        <v>110</v>
      </c>
      <c r="S549" s="897" t="s">
        <v>110</v>
      </c>
      <c r="T549" s="897" t="s">
        <v>110</v>
      </c>
      <c r="U549" s="897" t="s">
        <v>110</v>
      </c>
      <c r="V549" s="897" t="s">
        <v>110</v>
      </c>
      <c r="W549" s="897" t="s">
        <v>110</v>
      </c>
      <c r="X549" s="897" t="s">
        <v>110</v>
      </c>
      <c r="Y549" s="897" t="s">
        <v>110</v>
      </c>
      <c r="Z549" s="897" t="s">
        <v>110</v>
      </c>
      <c r="AA549" s="897" t="s">
        <v>110</v>
      </c>
      <c r="AB549" s="897" t="s">
        <v>110</v>
      </c>
      <c r="AC549" s="897" t="s">
        <v>110</v>
      </c>
      <c r="AD549" s="897" t="s">
        <v>110</v>
      </c>
      <c r="AE549" s="897" t="s">
        <v>110</v>
      </c>
      <c r="AF549" s="897" t="s">
        <v>110</v>
      </c>
      <c r="AG549" s="897" t="s">
        <v>110</v>
      </c>
      <c r="AH549" s="39">
        <f t="shared" si="106"/>
        <v>0</v>
      </c>
    </row>
    <row r="550" spans="1:36" ht="15">
      <c r="A550" s="21" t="s">
        <v>81</v>
      </c>
      <c r="B550" s="94">
        <f t="shared" si="105"/>
        <v>0</v>
      </c>
      <c r="C550" s="32"/>
      <c r="D550" s="39"/>
      <c r="E550" s="39"/>
      <c r="F550" s="39"/>
      <c r="G550" s="39"/>
      <c r="H550" s="39"/>
      <c r="I550" s="39"/>
      <c r="J550" s="43"/>
      <c r="K550" s="43"/>
      <c r="L550" s="15"/>
      <c r="M550" s="15"/>
      <c r="N550" s="15"/>
      <c r="O550" s="15"/>
      <c r="P550" s="15"/>
      <c r="Q550" s="897" t="s">
        <v>110</v>
      </c>
      <c r="R550" s="897" t="s">
        <v>110</v>
      </c>
      <c r="S550" s="897" t="s">
        <v>110</v>
      </c>
      <c r="T550" s="897" t="s">
        <v>110</v>
      </c>
      <c r="U550" s="897" t="s">
        <v>110</v>
      </c>
      <c r="V550" s="897" t="s">
        <v>110</v>
      </c>
      <c r="W550" s="897" t="s">
        <v>110</v>
      </c>
      <c r="X550" s="897" t="s">
        <v>110</v>
      </c>
      <c r="Y550" s="897" t="s">
        <v>110</v>
      </c>
      <c r="Z550" s="897" t="s">
        <v>110</v>
      </c>
      <c r="AA550" s="897" t="s">
        <v>110</v>
      </c>
      <c r="AB550" s="897" t="s">
        <v>110</v>
      </c>
      <c r="AC550" s="897" t="s">
        <v>110</v>
      </c>
      <c r="AD550" s="897" t="s">
        <v>110</v>
      </c>
      <c r="AE550" s="897" t="s">
        <v>110</v>
      </c>
      <c r="AF550" s="897" t="s">
        <v>110</v>
      </c>
      <c r="AG550" s="897" t="s">
        <v>110</v>
      </c>
      <c r="AH550" s="39">
        <f t="shared" si="106"/>
        <v>0</v>
      </c>
    </row>
    <row r="551" spans="1:36" ht="15">
      <c r="A551" s="21" t="s">
        <v>82</v>
      </c>
      <c r="B551" s="15">
        <f t="shared" si="105"/>
        <v>0</v>
      </c>
      <c r="C551" s="35"/>
      <c r="D551" s="897" t="s">
        <v>110</v>
      </c>
      <c r="E551" s="897" t="s">
        <v>110</v>
      </c>
      <c r="F551" s="897" t="s">
        <v>110</v>
      </c>
      <c r="G551" s="897" t="s">
        <v>110</v>
      </c>
      <c r="H551" s="897" t="s">
        <v>110</v>
      </c>
      <c r="I551" s="897" t="s">
        <v>110</v>
      </c>
      <c r="J551" s="897" t="s">
        <v>110</v>
      </c>
      <c r="K551" s="897" t="s">
        <v>110</v>
      </c>
      <c r="L551" s="897" t="s">
        <v>110</v>
      </c>
      <c r="M551" s="897" t="s">
        <v>110</v>
      </c>
      <c r="N551" s="897" t="s">
        <v>110</v>
      </c>
      <c r="O551" s="897" t="s">
        <v>110</v>
      </c>
      <c r="P551" s="897" t="s">
        <v>110</v>
      </c>
      <c r="Q551" s="897" t="s">
        <v>110</v>
      </c>
      <c r="R551" s="897" t="s">
        <v>110</v>
      </c>
      <c r="S551" s="897" t="s">
        <v>110</v>
      </c>
      <c r="T551" s="897" t="s">
        <v>110</v>
      </c>
      <c r="U551" s="897" t="s">
        <v>110</v>
      </c>
      <c r="V551" s="897" t="s">
        <v>110</v>
      </c>
      <c r="W551" s="897" t="s">
        <v>110</v>
      </c>
      <c r="X551" s="897" t="s">
        <v>110</v>
      </c>
      <c r="Y551" s="897" t="s">
        <v>110</v>
      </c>
      <c r="Z551" s="897" t="s">
        <v>110</v>
      </c>
      <c r="AA551" s="897" t="s">
        <v>110</v>
      </c>
      <c r="AB551" s="897" t="s">
        <v>110</v>
      </c>
      <c r="AC551" s="897" t="s">
        <v>110</v>
      </c>
      <c r="AD551" s="897" t="s">
        <v>110</v>
      </c>
      <c r="AE551" s="897" t="s">
        <v>110</v>
      </c>
      <c r="AF551" s="897" t="s">
        <v>110</v>
      </c>
      <c r="AG551" s="897" t="s">
        <v>110</v>
      </c>
      <c r="AH551" s="39">
        <f t="shared" si="106"/>
        <v>0</v>
      </c>
    </row>
    <row r="552" spans="1:36" ht="15">
      <c r="A552" s="21" t="s">
        <v>83</v>
      </c>
      <c r="B552" s="15">
        <f t="shared" si="105"/>
        <v>0</v>
      </c>
      <c r="C552" s="65" t="s">
        <v>110</v>
      </c>
      <c r="D552" s="65" t="s">
        <v>110</v>
      </c>
      <c r="E552" s="65" t="s">
        <v>110</v>
      </c>
      <c r="F552" s="65" t="s">
        <v>110</v>
      </c>
      <c r="G552" s="65" t="s">
        <v>110</v>
      </c>
      <c r="H552" s="65" t="s">
        <v>110</v>
      </c>
      <c r="I552" s="65" t="s">
        <v>110</v>
      </c>
      <c r="J552" s="65" t="s">
        <v>110</v>
      </c>
      <c r="K552" s="65" t="s">
        <v>110</v>
      </c>
      <c r="L552" s="65" t="s">
        <v>110</v>
      </c>
      <c r="M552" s="65" t="s">
        <v>110</v>
      </c>
      <c r="N552" s="65" t="s">
        <v>110</v>
      </c>
      <c r="O552" s="65" t="s">
        <v>110</v>
      </c>
      <c r="P552" s="65" t="s">
        <v>110</v>
      </c>
      <c r="Q552" s="65" t="s">
        <v>110</v>
      </c>
      <c r="R552" s="15"/>
      <c r="S552" s="15"/>
      <c r="T552" s="15"/>
      <c r="U552" s="15"/>
      <c r="V552" s="15"/>
      <c r="W552" s="15"/>
      <c r="X552" s="15"/>
      <c r="Y552" s="11"/>
      <c r="Z552" s="15"/>
      <c r="AA552" s="15"/>
      <c r="AB552" s="15"/>
      <c r="AC552" s="15"/>
      <c r="AD552" s="15"/>
      <c r="AE552" s="39"/>
      <c r="AF552" s="15"/>
      <c r="AG552" s="39"/>
      <c r="AH552" s="39">
        <f t="shared" si="106"/>
        <v>0</v>
      </c>
    </row>
    <row r="553" spans="1:36" ht="15">
      <c r="A553" s="21" t="s">
        <v>84</v>
      </c>
      <c r="B553" s="15">
        <f t="shared" si="105"/>
        <v>0</v>
      </c>
      <c r="C553" s="3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39"/>
      <c r="AF553" s="15"/>
      <c r="AG553" s="39"/>
      <c r="AH553" s="39">
        <f t="shared" si="106"/>
        <v>0</v>
      </c>
    </row>
    <row r="554" spans="1:36" ht="15">
      <c r="A554" s="71" t="s">
        <v>72</v>
      </c>
      <c r="B554" s="72">
        <f>SUM(B542:B553)</f>
        <v>0</v>
      </c>
      <c r="C554" s="32">
        <f>SUM(C542:C552)</f>
        <v>0</v>
      </c>
      <c r="D554" s="39">
        <f>SUM(D542:D552)</f>
        <v>0</v>
      </c>
      <c r="E554" s="39">
        <v>0</v>
      </c>
      <c r="F554" s="39">
        <f t="shared" ref="F554:AC554" si="107">SUM(F542:F552)</f>
        <v>0</v>
      </c>
      <c r="G554" s="39">
        <f t="shared" si="107"/>
        <v>0</v>
      </c>
      <c r="H554" s="39">
        <f t="shared" si="107"/>
        <v>0</v>
      </c>
      <c r="I554" s="39">
        <f t="shared" si="107"/>
        <v>0</v>
      </c>
      <c r="J554" s="39">
        <f t="shared" si="107"/>
        <v>0</v>
      </c>
      <c r="K554" s="39">
        <f t="shared" si="107"/>
        <v>0</v>
      </c>
      <c r="L554" s="39">
        <f t="shared" si="107"/>
        <v>0</v>
      </c>
      <c r="M554" s="39">
        <f t="shared" si="107"/>
        <v>0</v>
      </c>
      <c r="N554" s="39">
        <f t="shared" si="107"/>
        <v>0</v>
      </c>
      <c r="O554" s="39">
        <f t="shared" si="107"/>
        <v>0</v>
      </c>
      <c r="P554" s="39">
        <f t="shared" si="107"/>
        <v>0</v>
      </c>
      <c r="Q554" s="39">
        <f t="shared" si="107"/>
        <v>0</v>
      </c>
      <c r="R554" s="39">
        <f t="shared" si="107"/>
        <v>0</v>
      </c>
      <c r="S554" s="39">
        <f t="shared" si="107"/>
        <v>0</v>
      </c>
      <c r="T554" s="39">
        <f t="shared" si="107"/>
        <v>0</v>
      </c>
      <c r="U554" s="39">
        <f t="shared" si="107"/>
        <v>0</v>
      </c>
      <c r="V554" s="39">
        <f t="shared" si="107"/>
        <v>0</v>
      </c>
      <c r="W554" s="39">
        <f t="shared" si="107"/>
        <v>0</v>
      </c>
      <c r="X554" s="39">
        <f t="shared" si="107"/>
        <v>0</v>
      </c>
      <c r="Y554" s="39">
        <f t="shared" si="107"/>
        <v>0</v>
      </c>
      <c r="Z554" s="39">
        <f t="shared" si="107"/>
        <v>0</v>
      </c>
      <c r="AA554" s="39">
        <f t="shared" si="107"/>
        <v>0</v>
      </c>
      <c r="AB554" s="39">
        <f t="shared" si="107"/>
        <v>0</v>
      </c>
      <c r="AC554" s="39">
        <f t="shared" si="107"/>
        <v>0</v>
      </c>
      <c r="AD554" s="39">
        <v>0</v>
      </c>
      <c r="AE554" s="39">
        <f>SUM(AE542:AE552)</f>
        <v>0</v>
      </c>
      <c r="AF554" s="39">
        <f>SUM(AF542:AF552)</f>
        <v>0</v>
      </c>
      <c r="AG554" s="39">
        <f>SUM(AG542:AG552)</f>
        <v>0</v>
      </c>
      <c r="AH554" s="32">
        <f>SUM(AH542:AH552)</f>
        <v>0</v>
      </c>
    </row>
    <row r="555" spans="1:36" ht="5.0999999999999996" customHeight="1">
      <c r="A555" s="14"/>
      <c r="B555" s="14"/>
      <c r="C555" s="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
    </row>
    <row r="556" spans="1:36" ht="16.8">
      <c r="A556" s="3824" t="s">
        <v>58</v>
      </c>
      <c r="B556" s="3825"/>
      <c r="C556" s="3825"/>
      <c r="D556" s="3825"/>
      <c r="E556" s="3825"/>
      <c r="F556" s="3825"/>
      <c r="G556" s="3825"/>
      <c r="H556" s="3826"/>
      <c r="I556" s="11"/>
      <c r="J556" s="1970" t="s">
        <v>716</v>
      </c>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row>
    <row r="557" spans="1:36" ht="15">
      <c r="A557" s="5" t="s">
        <v>70</v>
      </c>
      <c r="B557" s="5" t="s">
        <v>71</v>
      </c>
      <c r="C557" s="2166">
        <v>1</v>
      </c>
      <c r="D557" s="21">
        <v>2</v>
      </c>
      <c r="E557" s="21">
        <v>3</v>
      </c>
      <c r="F557" s="21">
        <v>4</v>
      </c>
      <c r="G557" s="21">
        <v>5</v>
      </c>
      <c r="H557" s="21">
        <v>6</v>
      </c>
      <c r="I557" s="21">
        <v>7</v>
      </c>
      <c r="J557" s="21">
        <v>8</v>
      </c>
      <c r="K557" s="21">
        <v>9</v>
      </c>
      <c r="L557" s="21">
        <v>10</v>
      </c>
      <c r="M557" s="21">
        <v>11</v>
      </c>
      <c r="N557" s="21">
        <v>12</v>
      </c>
      <c r="O557" s="21">
        <v>13</v>
      </c>
      <c r="P557" s="21">
        <v>14</v>
      </c>
      <c r="Q557" s="21">
        <v>15</v>
      </c>
      <c r="R557" s="21">
        <v>16</v>
      </c>
      <c r="S557" s="21">
        <v>17</v>
      </c>
      <c r="T557" s="21">
        <v>18</v>
      </c>
      <c r="U557" s="21">
        <v>19</v>
      </c>
      <c r="V557" s="21">
        <v>20</v>
      </c>
      <c r="W557" s="21">
        <v>21</v>
      </c>
      <c r="X557" s="21">
        <v>22</v>
      </c>
      <c r="Y557" s="21">
        <v>23</v>
      </c>
      <c r="Z557" s="21">
        <v>24</v>
      </c>
      <c r="AA557" s="21">
        <v>25</v>
      </c>
      <c r="AB557" s="21">
        <v>26</v>
      </c>
      <c r="AC557" s="21">
        <v>27</v>
      </c>
      <c r="AD557" s="21">
        <v>28</v>
      </c>
      <c r="AE557" s="21">
        <v>29</v>
      </c>
      <c r="AF557" s="21">
        <v>30</v>
      </c>
      <c r="AG557" s="21">
        <v>31</v>
      </c>
      <c r="AH557" s="25" t="s">
        <v>72</v>
      </c>
      <c r="AI557" s="2266" t="s">
        <v>1345</v>
      </c>
      <c r="AJ557" s="66">
        <f>(B570/COUNTIF($C$558:$AG$569,"&gt;0"))</f>
        <v>1.25125</v>
      </c>
    </row>
    <row r="558" spans="1:36" ht="15">
      <c r="A558" s="21" t="s">
        <v>73</v>
      </c>
      <c r="B558" s="95">
        <f t="shared" ref="B558:B569" si="108">+AH558</f>
        <v>4.9000000000000002E-2</v>
      </c>
      <c r="C558" s="1689"/>
      <c r="D558" s="1689"/>
      <c r="E558" s="1689"/>
      <c r="F558" s="1689"/>
      <c r="G558" s="1689"/>
      <c r="H558" s="1689"/>
      <c r="I558" s="1689"/>
      <c r="J558" s="1689"/>
      <c r="K558" s="1689"/>
      <c r="L558" s="1689"/>
      <c r="M558" s="1689"/>
      <c r="N558" s="1689"/>
      <c r="O558" s="1689"/>
      <c r="P558" s="1689"/>
      <c r="Q558" s="1689"/>
      <c r="R558" s="1689"/>
      <c r="S558" s="1689"/>
      <c r="T558" s="1689"/>
      <c r="U558" s="1689"/>
      <c r="V558" s="1689"/>
      <c r="W558" s="1689" t="s">
        <v>816</v>
      </c>
      <c r="X558" s="1689"/>
      <c r="Y558" s="1689"/>
      <c r="Z558" s="1689">
        <v>4.9000000000000002E-2</v>
      </c>
      <c r="AA558" s="1689"/>
      <c r="AB558" s="1091"/>
      <c r="AC558" s="1689"/>
      <c r="AD558" s="1689"/>
      <c r="AE558" s="1689"/>
      <c r="AF558" s="1689"/>
      <c r="AG558" s="1689"/>
      <c r="AH558" s="39">
        <f>SUM(C558:AG558)</f>
        <v>4.9000000000000002E-2</v>
      </c>
      <c r="AJ558" s="2157">
        <f>+'Resumen RAE Anchoveta'!G284</f>
        <v>4.5790000000000006</v>
      </c>
    </row>
    <row r="559" spans="1:36" ht="15">
      <c r="A559" s="21" t="s">
        <v>74</v>
      </c>
      <c r="B559" s="95">
        <f t="shared" si="108"/>
        <v>9.1780000000000008</v>
      </c>
      <c r="C559" s="1689">
        <v>2.1000000000000001E-2</v>
      </c>
      <c r="D559" s="1689" t="s">
        <v>127</v>
      </c>
      <c r="E559" s="1689" t="s">
        <v>127</v>
      </c>
      <c r="F559" s="1689" t="s">
        <v>127</v>
      </c>
      <c r="G559" s="1689" t="s">
        <v>127</v>
      </c>
      <c r="H559" s="1689" t="s">
        <v>127</v>
      </c>
      <c r="I559" s="1689" t="s">
        <v>127</v>
      </c>
      <c r="J559" s="1689" t="s">
        <v>127</v>
      </c>
      <c r="K559" s="1689" t="s">
        <v>127</v>
      </c>
      <c r="L559" s="1689" t="s">
        <v>127</v>
      </c>
      <c r="M559" s="1689" t="s">
        <v>127</v>
      </c>
      <c r="N559" s="1689" t="s">
        <v>127</v>
      </c>
      <c r="O559" s="1689" t="s">
        <v>127</v>
      </c>
      <c r="P559" s="1689" t="s">
        <v>127</v>
      </c>
      <c r="Q559" s="1689" t="s">
        <v>127</v>
      </c>
      <c r="R559" s="1689" t="s">
        <v>127</v>
      </c>
      <c r="S559" s="1689" t="s">
        <v>127</v>
      </c>
      <c r="T559" s="1689" t="s">
        <v>127</v>
      </c>
      <c r="U559" s="1689" t="s">
        <v>127</v>
      </c>
      <c r="V559" s="1689" t="s">
        <v>127</v>
      </c>
      <c r="W559" s="1689" t="s">
        <v>127</v>
      </c>
      <c r="X559" s="1689" t="s">
        <v>127</v>
      </c>
      <c r="Y559" s="1689" t="s">
        <v>127</v>
      </c>
      <c r="Z559" s="1689" t="s">
        <v>127</v>
      </c>
      <c r="AA559" s="1689" t="s">
        <v>127</v>
      </c>
      <c r="AB559" s="1689">
        <v>9.157</v>
      </c>
      <c r="AC559" s="1689"/>
      <c r="AD559" s="1689"/>
      <c r="AE559" s="1689"/>
      <c r="AF559" s="1689"/>
      <c r="AG559" s="1689"/>
      <c r="AH559" s="39">
        <f t="shared" ref="AH559:AH569" si="109">SUM(C559:AG559)</f>
        <v>9.1780000000000008</v>
      </c>
      <c r="AJ559" s="1093">
        <f>+AJ558/AJ557</f>
        <v>3.6595404595404601</v>
      </c>
    </row>
    <row r="560" spans="1:36" ht="15">
      <c r="A560" s="21" t="s">
        <v>75</v>
      </c>
      <c r="B560" s="95">
        <f t="shared" si="108"/>
        <v>0.46899999999999997</v>
      </c>
      <c r="C560" s="1689"/>
      <c r="D560" s="1689"/>
      <c r="E560" s="1689"/>
      <c r="F560" s="1689"/>
      <c r="G560" s="1689"/>
      <c r="H560" s="1091"/>
      <c r="I560" s="1091"/>
      <c r="J560" s="1091"/>
      <c r="K560" s="1091"/>
      <c r="L560" s="1091"/>
      <c r="M560" s="1091"/>
      <c r="N560" s="1091">
        <v>0.219</v>
      </c>
      <c r="O560" s="1091"/>
      <c r="P560" s="1091"/>
      <c r="Q560" s="1084" t="s">
        <v>110</v>
      </c>
      <c r="R560" s="1084" t="s">
        <v>110</v>
      </c>
      <c r="S560" s="1084" t="s">
        <v>110</v>
      </c>
      <c r="T560" s="1084" t="s">
        <v>110</v>
      </c>
      <c r="U560" s="1084" t="s">
        <v>110</v>
      </c>
      <c r="V560" s="1084">
        <v>0.25</v>
      </c>
      <c r="W560" s="1084" t="s">
        <v>110</v>
      </c>
      <c r="X560" s="1084" t="s">
        <v>110</v>
      </c>
      <c r="Y560" s="1084" t="s">
        <v>110</v>
      </c>
      <c r="Z560" s="1084" t="s">
        <v>110</v>
      </c>
      <c r="AA560" s="1084" t="s">
        <v>110</v>
      </c>
      <c r="AB560" s="1084" t="s">
        <v>110</v>
      </c>
      <c r="AC560" s="1084" t="s">
        <v>110</v>
      </c>
      <c r="AD560" s="1084" t="s">
        <v>110</v>
      </c>
      <c r="AE560" s="1084" t="s">
        <v>110</v>
      </c>
      <c r="AF560" s="1084" t="s">
        <v>110</v>
      </c>
      <c r="AG560" s="1084" t="s">
        <v>110</v>
      </c>
      <c r="AH560" s="39">
        <f t="shared" si="109"/>
        <v>0.46899999999999997</v>
      </c>
    </row>
    <row r="561" spans="1:36" ht="15">
      <c r="A561" s="21" t="s">
        <v>76</v>
      </c>
      <c r="B561" s="95">
        <f t="shared" si="108"/>
        <v>0</v>
      </c>
      <c r="C561" s="1084" t="s">
        <v>110</v>
      </c>
      <c r="D561" s="1084" t="s">
        <v>110</v>
      </c>
      <c r="E561" s="1084" t="s">
        <v>110</v>
      </c>
      <c r="F561" s="1084" t="s">
        <v>110</v>
      </c>
      <c r="G561" s="1084" t="s">
        <v>110</v>
      </c>
      <c r="H561" s="1084" t="s">
        <v>110</v>
      </c>
      <c r="I561" s="1084" t="s">
        <v>110</v>
      </c>
      <c r="J561" s="1084" t="s">
        <v>110</v>
      </c>
      <c r="K561" s="1084" t="s">
        <v>110</v>
      </c>
      <c r="L561" s="1084" t="s">
        <v>110</v>
      </c>
      <c r="M561" s="1084" t="s">
        <v>110</v>
      </c>
      <c r="N561" s="1084" t="s">
        <v>110</v>
      </c>
      <c r="O561" s="1084" t="s">
        <v>110</v>
      </c>
      <c r="P561" s="1084" t="s">
        <v>110</v>
      </c>
      <c r="Q561" s="1084" t="s">
        <v>110</v>
      </c>
      <c r="R561" s="1084" t="s">
        <v>110</v>
      </c>
      <c r="S561" s="1084" t="s">
        <v>110</v>
      </c>
      <c r="T561" s="1084" t="s">
        <v>110</v>
      </c>
      <c r="U561" s="1084" t="s">
        <v>110</v>
      </c>
      <c r="V561" s="1084" t="s">
        <v>110</v>
      </c>
      <c r="W561" s="1084" t="s">
        <v>110</v>
      </c>
      <c r="X561" s="1084" t="s">
        <v>110</v>
      </c>
      <c r="Y561" s="1084" t="s">
        <v>110</v>
      </c>
      <c r="Z561" s="1084" t="s">
        <v>110</v>
      </c>
      <c r="AA561" s="1084" t="s">
        <v>110</v>
      </c>
      <c r="AB561" s="1084" t="s">
        <v>110</v>
      </c>
      <c r="AC561" s="1084" t="s">
        <v>110</v>
      </c>
      <c r="AD561" s="1084" t="s">
        <v>110</v>
      </c>
      <c r="AE561" s="1084" t="s">
        <v>110</v>
      </c>
      <c r="AF561" s="1084" t="s">
        <v>110</v>
      </c>
      <c r="AG561" s="1084" t="s">
        <v>110</v>
      </c>
      <c r="AH561" s="39">
        <f t="shared" si="109"/>
        <v>0</v>
      </c>
    </row>
    <row r="562" spans="1:36" ht="15">
      <c r="A562" s="21" t="s">
        <v>77</v>
      </c>
      <c r="B562" s="95">
        <f t="shared" si="108"/>
        <v>0.28200000000000003</v>
      </c>
      <c r="C562" s="1084" t="s">
        <v>110</v>
      </c>
      <c r="D562" s="1084" t="s">
        <v>110</v>
      </c>
      <c r="E562" s="1084" t="s">
        <v>110</v>
      </c>
      <c r="F562" s="1084" t="s">
        <v>110</v>
      </c>
      <c r="G562" s="1084" t="s">
        <v>110</v>
      </c>
      <c r="H562" s="1084" t="s">
        <v>110</v>
      </c>
      <c r="I562" s="1084" t="s">
        <v>110</v>
      </c>
      <c r="J562" s="1084" t="s">
        <v>110</v>
      </c>
      <c r="K562" s="1084" t="s">
        <v>110</v>
      </c>
      <c r="L562" s="1084" t="s">
        <v>110</v>
      </c>
      <c r="M562" s="1084" t="s">
        <v>110</v>
      </c>
      <c r="N562" s="1084" t="s">
        <v>110</v>
      </c>
      <c r="O562" s="1084" t="s">
        <v>110</v>
      </c>
      <c r="P562" s="1084" t="s">
        <v>110</v>
      </c>
      <c r="Q562" s="1084" t="s">
        <v>110</v>
      </c>
      <c r="R562" s="2165"/>
      <c r="S562" s="2165"/>
      <c r="T562" s="2165"/>
      <c r="U562" s="2165">
        <v>0.16500000000000001</v>
      </c>
      <c r="V562" s="2165">
        <v>0.11700000000000001</v>
      </c>
      <c r="W562" s="2165"/>
      <c r="X562" s="2165"/>
      <c r="Y562" s="2165"/>
      <c r="Z562" s="2165"/>
      <c r="AA562" s="2165"/>
      <c r="AB562" s="2165"/>
      <c r="AC562" s="2165"/>
      <c r="AD562" s="2165"/>
      <c r="AE562" s="2165"/>
      <c r="AF562" s="2165"/>
      <c r="AG562" s="2165"/>
      <c r="AH562" s="39">
        <f t="shared" si="109"/>
        <v>0.28200000000000003</v>
      </c>
    </row>
    <row r="563" spans="1:36" ht="15">
      <c r="A563" s="21" t="s">
        <v>78</v>
      </c>
      <c r="B563" s="95">
        <f t="shared" si="108"/>
        <v>0</v>
      </c>
      <c r="C563" s="3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39">
        <f t="shared" si="109"/>
        <v>0</v>
      </c>
    </row>
    <row r="564" spans="1:36" ht="15">
      <c r="A564" s="21" t="s">
        <v>79</v>
      </c>
      <c r="B564" s="94">
        <f t="shared" si="108"/>
        <v>0</v>
      </c>
      <c r="C564" s="35"/>
      <c r="D564" s="39"/>
      <c r="E564" s="39"/>
      <c r="F564" s="39"/>
      <c r="G564" s="15"/>
      <c r="H564" s="15"/>
      <c r="I564" s="15"/>
      <c r="J564" s="43"/>
      <c r="K564" s="43"/>
      <c r="L564" s="39"/>
      <c r="M564" s="39"/>
      <c r="N564" s="39"/>
      <c r="O564" s="39"/>
      <c r="P564" s="39"/>
      <c r="Q564" s="39"/>
      <c r="R564" s="39"/>
      <c r="S564" s="39"/>
      <c r="T564" s="39"/>
      <c r="U564" s="39"/>
      <c r="V564" s="39"/>
      <c r="W564" s="897" t="s">
        <v>110</v>
      </c>
      <c r="X564" s="897" t="s">
        <v>110</v>
      </c>
      <c r="Y564" s="897" t="s">
        <v>110</v>
      </c>
      <c r="Z564" s="2173"/>
      <c r="AA564" s="897" t="s">
        <v>110</v>
      </c>
      <c r="AB564" s="897" t="s">
        <v>110</v>
      </c>
      <c r="AC564" s="897" t="s">
        <v>110</v>
      </c>
      <c r="AD564" s="897" t="s">
        <v>110</v>
      </c>
      <c r="AE564" s="897" t="s">
        <v>110</v>
      </c>
      <c r="AF564" s="897" t="s">
        <v>110</v>
      </c>
      <c r="AG564" s="897" t="s">
        <v>110</v>
      </c>
      <c r="AH564" s="39">
        <f t="shared" si="109"/>
        <v>0</v>
      </c>
    </row>
    <row r="565" spans="1:36" ht="15">
      <c r="A565" s="21" t="s">
        <v>80</v>
      </c>
      <c r="B565" s="94">
        <f t="shared" si="108"/>
        <v>0</v>
      </c>
      <c r="C565" s="897" t="s">
        <v>110</v>
      </c>
      <c r="D565" s="897" t="s">
        <v>110</v>
      </c>
      <c r="E565" s="897" t="s">
        <v>110</v>
      </c>
      <c r="F565" s="897" t="s">
        <v>110</v>
      </c>
      <c r="G565" s="897" t="s">
        <v>110</v>
      </c>
      <c r="H565" s="897" t="s">
        <v>110</v>
      </c>
      <c r="I565" s="897" t="s">
        <v>110</v>
      </c>
      <c r="J565" s="897" t="s">
        <v>110</v>
      </c>
      <c r="K565" s="897" t="s">
        <v>110</v>
      </c>
      <c r="L565" s="897" t="s">
        <v>110</v>
      </c>
      <c r="M565" s="897" t="s">
        <v>110</v>
      </c>
      <c r="N565" s="897" t="s">
        <v>110</v>
      </c>
      <c r="O565" s="897" t="s">
        <v>110</v>
      </c>
      <c r="P565" s="897" t="s">
        <v>110</v>
      </c>
      <c r="Q565" s="897" t="s">
        <v>110</v>
      </c>
      <c r="R565" s="897" t="s">
        <v>110</v>
      </c>
      <c r="S565" s="897" t="s">
        <v>110</v>
      </c>
      <c r="T565" s="897" t="s">
        <v>110</v>
      </c>
      <c r="U565" s="897" t="s">
        <v>110</v>
      </c>
      <c r="V565" s="897" t="s">
        <v>110</v>
      </c>
      <c r="W565" s="897" t="s">
        <v>110</v>
      </c>
      <c r="X565" s="897" t="s">
        <v>110</v>
      </c>
      <c r="Y565" s="2173"/>
      <c r="Z565" s="897" t="s">
        <v>110</v>
      </c>
      <c r="AA565" s="897" t="s">
        <v>110</v>
      </c>
      <c r="AB565" s="897" t="s">
        <v>110</v>
      </c>
      <c r="AC565" s="897" t="s">
        <v>110</v>
      </c>
      <c r="AD565" s="897" t="s">
        <v>110</v>
      </c>
      <c r="AE565" s="897" t="s">
        <v>110</v>
      </c>
      <c r="AF565" s="897" t="s">
        <v>110</v>
      </c>
      <c r="AG565" s="897" t="s">
        <v>110</v>
      </c>
      <c r="AH565" s="39">
        <f t="shared" si="109"/>
        <v>0</v>
      </c>
    </row>
    <row r="566" spans="1:36" ht="15">
      <c r="A566" s="21" t="s">
        <v>81</v>
      </c>
      <c r="B566" s="94">
        <f t="shared" si="108"/>
        <v>0</v>
      </c>
      <c r="C566" s="32"/>
      <c r="D566" s="39"/>
      <c r="E566" s="39"/>
      <c r="F566" s="39"/>
      <c r="G566" s="39"/>
      <c r="H566" s="39"/>
      <c r="I566" s="39"/>
      <c r="J566" s="43"/>
      <c r="K566" s="43"/>
      <c r="L566" s="15"/>
      <c r="M566" s="15"/>
      <c r="N566" s="15"/>
      <c r="O566" s="15"/>
      <c r="P566" s="15"/>
      <c r="Q566" s="897" t="s">
        <v>110</v>
      </c>
      <c r="R566" s="897" t="s">
        <v>110</v>
      </c>
      <c r="S566" s="897" t="s">
        <v>110</v>
      </c>
      <c r="T566" s="897" t="s">
        <v>110</v>
      </c>
      <c r="U566" s="897" t="s">
        <v>110</v>
      </c>
      <c r="V566" s="897" t="s">
        <v>110</v>
      </c>
      <c r="W566" s="897" t="s">
        <v>110</v>
      </c>
      <c r="X566" s="897" t="s">
        <v>110</v>
      </c>
      <c r="Y566" s="897" t="s">
        <v>110</v>
      </c>
      <c r="Z566" s="897" t="s">
        <v>110</v>
      </c>
      <c r="AA566" s="897" t="s">
        <v>110</v>
      </c>
      <c r="AB566" s="897" t="s">
        <v>110</v>
      </c>
      <c r="AC566" s="897" t="s">
        <v>110</v>
      </c>
      <c r="AD566" s="897" t="s">
        <v>110</v>
      </c>
      <c r="AE566" s="897" t="s">
        <v>110</v>
      </c>
      <c r="AF566" s="897" t="s">
        <v>110</v>
      </c>
      <c r="AG566" s="897" t="s">
        <v>110</v>
      </c>
      <c r="AH566" s="39">
        <f t="shared" si="109"/>
        <v>0</v>
      </c>
    </row>
    <row r="567" spans="1:36" ht="15">
      <c r="A567" s="21" t="s">
        <v>82</v>
      </c>
      <c r="B567" s="94">
        <f t="shared" si="108"/>
        <v>0</v>
      </c>
      <c r="C567" s="35"/>
      <c r="D567" s="897" t="s">
        <v>110</v>
      </c>
      <c r="E567" s="897" t="s">
        <v>110</v>
      </c>
      <c r="F567" s="897" t="s">
        <v>110</v>
      </c>
      <c r="G567" s="897" t="s">
        <v>110</v>
      </c>
      <c r="H567" s="897" t="s">
        <v>110</v>
      </c>
      <c r="I567" s="897" t="s">
        <v>110</v>
      </c>
      <c r="J567" s="897" t="s">
        <v>110</v>
      </c>
      <c r="K567" s="897" t="s">
        <v>110</v>
      </c>
      <c r="L567" s="897" t="s">
        <v>110</v>
      </c>
      <c r="M567" s="897" t="s">
        <v>110</v>
      </c>
      <c r="N567" s="897" t="s">
        <v>110</v>
      </c>
      <c r="O567" s="897" t="s">
        <v>110</v>
      </c>
      <c r="P567" s="897" t="s">
        <v>110</v>
      </c>
      <c r="Q567" s="897" t="s">
        <v>110</v>
      </c>
      <c r="R567" s="897" t="s">
        <v>110</v>
      </c>
      <c r="S567" s="897" t="s">
        <v>110</v>
      </c>
      <c r="T567" s="897" t="s">
        <v>110</v>
      </c>
      <c r="U567" s="897" t="s">
        <v>110</v>
      </c>
      <c r="V567" s="897" t="s">
        <v>110</v>
      </c>
      <c r="W567" s="897" t="s">
        <v>110</v>
      </c>
      <c r="X567" s="897" t="s">
        <v>110</v>
      </c>
      <c r="Y567" s="897" t="s">
        <v>110</v>
      </c>
      <c r="Z567" s="897" t="s">
        <v>110</v>
      </c>
      <c r="AA567" s="897" t="s">
        <v>110</v>
      </c>
      <c r="AB567" s="897" t="s">
        <v>110</v>
      </c>
      <c r="AC567" s="897" t="s">
        <v>110</v>
      </c>
      <c r="AD567" s="897" t="s">
        <v>110</v>
      </c>
      <c r="AE567" s="897" t="s">
        <v>110</v>
      </c>
      <c r="AF567" s="897"/>
      <c r="AG567" s="897" t="s">
        <v>110</v>
      </c>
      <c r="AH567" s="39">
        <f t="shared" si="109"/>
        <v>0</v>
      </c>
    </row>
    <row r="568" spans="1:36" ht="15">
      <c r="A568" s="21" t="s">
        <v>83</v>
      </c>
      <c r="B568" s="94">
        <f t="shared" si="108"/>
        <v>3.2000000000000001E-2</v>
      </c>
      <c r="C568" s="65" t="s">
        <v>110</v>
      </c>
      <c r="D568" s="65" t="s">
        <v>110</v>
      </c>
      <c r="E568" s="65" t="s">
        <v>110</v>
      </c>
      <c r="F568" s="65" t="s">
        <v>110</v>
      </c>
      <c r="G568" s="65" t="s">
        <v>110</v>
      </c>
      <c r="H568" s="65" t="s">
        <v>110</v>
      </c>
      <c r="I568" s="65" t="s">
        <v>110</v>
      </c>
      <c r="J568" s="65" t="s">
        <v>110</v>
      </c>
      <c r="K568" s="65" t="s">
        <v>110</v>
      </c>
      <c r="L568" s="65" t="s">
        <v>110</v>
      </c>
      <c r="M568" s="65" t="s">
        <v>110</v>
      </c>
      <c r="N568" s="65" t="s">
        <v>110</v>
      </c>
      <c r="O568" s="65" t="s">
        <v>110</v>
      </c>
      <c r="P568" s="65" t="s">
        <v>110</v>
      </c>
      <c r="Q568" s="65" t="s">
        <v>110</v>
      </c>
      <c r="R568" s="15"/>
      <c r="S568" s="15"/>
      <c r="T568" s="15"/>
      <c r="U568" s="15">
        <v>3.2000000000000001E-2</v>
      </c>
      <c r="V568" s="15"/>
      <c r="W568" s="15"/>
      <c r="X568" s="15"/>
      <c r="Y568" s="11"/>
      <c r="Z568" s="15"/>
      <c r="AA568" s="15"/>
      <c r="AB568" s="15"/>
      <c r="AC568" s="15"/>
      <c r="AD568" s="15"/>
      <c r="AE568" s="39"/>
      <c r="AF568" s="15"/>
      <c r="AG568" s="39"/>
      <c r="AH568" s="39">
        <f t="shared" si="109"/>
        <v>3.2000000000000001E-2</v>
      </c>
    </row>
    <row r="569" spans="1:36" ht="15">
      <c r="A569" s="21" t="s">
        <v>84</v>
      </c>
      <c r="B569" s="15">
        <f t="shared" si="108"/>
        <v>0</v>
      </c>
      <c r="C569" s="3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39"/>
      <c r="AF569" s="15"/>
      <c r="AG569" s="39"/>
      <c r="AH569" s="39">
        <f t="shared" si="109"/>
        <v>0</v>
      </c>
    </row>
    <row r="570" spans="1:36" ht="15">
      <c r="A570" s="71" t="s">
        <v>72</v>
      </c>
      <c r="B570" s="75">
        <f>SUM(B558:B569)</f>
        <v>10.01</v>
      </c>
      <c r="C570" s="32">
        <f>SUM(C558:C568)</f>
        <v>2.1000000000000001E-2</v>
      </c>
      <c r="D570" s="39">
        <f>SUM(D558:D568)</f>
        <v>0</v>
      </c>
      <c r="E570" s="39">
        <v>0</v>
      </c>
      <c r="F570" s="39">
        <f t="shared" ref="F570:AC570" si="110">SUM(F558:F568)</f>
        <v>0</v>
      </c>
      <c r="G570" s="39">
        <f t="shared" si="110"/>
        <v>0</v>
      </c>
      <c r="H570" s="39">
        <f t="shared" si="110"/>
        <v>0</v>
      </c>
      <c r="I570" s="39">
        <f t="shared" si="110"/>
        <v>0</v>
      </c>
      <c r="J570" s="39">
        <f t="shared" si="110"/>
        <v>0</v>
      </c>
      <c r="K570" s="39">
        <f t="shared" si="110"/>
        <v>0</v>
      </c>
      <c r="L570" s="39">
        <f t="shared" si="110"/>
        <v>0</v>
      </c>
      <c r="M570" s="39">
        <f t="shared" si="110"/>
        <v>0</v>
      </c>
      <c r="N570" s="39">
        <f t="shared" si="110"/>
        <v>0.219</v>
      </c>
      <c r="O570" s="39">
        <f t="shared" si="110"/>
        <v>0</v>
      </c>
      <c r="P570" s="39">
        <f t="shared" si="110"/>
        <v>0</v>
      </c>
      <c r="Q570" s="39">
        <f t="shared" si="110"/>
        <v>0</v>
      </c>
      <c r="R570" s="39">
        <f t="shared" si="110"/>
        <v>0</v>
      </c>
      <c r="S570" s="39">
        <f t="shared" si="110"/>
        <v>0</v>
      </c>
      <c r="T570" s="39">
        <f t="shared" si="110"/>
        <v>0</v>
      </c>
      <c r="U570" s="39">
        <f t="shared" si="110"/>
        <v>0.19700000000000001</v>
      </c>
      <c r="V570" s="39">
        <f t="shared" si="110"/>
        <v>0.36699999999999999</v>
      </c>
      <c r="W570" s="39">
        <f t="shared" si="110"/>
        <v>0</v>
      </c>
      <c r="X570" s="39">
        <f t="shared" si="110"/>
        <v>0</v>
      </c>
      <c r="Y570" s="39">
        <f t="shared" si="110"/>
        <v>0</v>
      </c>
      <c r="Z570" s="39">
        <f t="shared" si="110"/>
        <v>4.9000000000000002E-2</v>
      </c>
      <c r="AA570" s="39">
        <f t="shared" si="110"/>
        <v>0</v>
      </c>
      <c r="AB570" s="39">
        <f t="shared" si="110"/>
        <v>9.157</v>
      </c>
      <c r="AC570" s="39">
        <f t="shared" si="110"/>
        <v>0</v>
      </c>
      <c r="AD570" s="39">
        <v>0</v>
      </c>
      <c r="AE570" s="39">
        <f>SUM(AE558:AE568)</f>
        <v>0</v>
      </c>
      <c r="AF570" s="39">
        <f>SUM(AF558:AF568)</f>
        <v>0</v>
      </c>
      <c r="AG570" s="39">
        <f>SUM(AG558:AG568)</f>
        <v>0</v>
      </c>
      <c r="AH570" s="32">
        <f>SUM(AH558:AH568)</f>
        <v>10.01</v>
      </c>
    </row>
    <row r="571" spans="1:36" ht="5.0999999999999996" customHeight="1">
      <c r="A571" s="14"/>
      <c r="B571" s="14"/>
      <c r="C571" s="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
    </row>
    <row r="572" spans="1:36" ht="15">
      <c r="A572" s="3815" t="s">
        <v>97</v>
      </c>
      <c r="B572" s="3816"/>
      <c r="C572" s="3816"/>
      <c r="D572" s="3816"/>
      <c r="E572" s="3816"/>
      <c r="F572" s="3816"/>
      <c r="G572" s="3816"/>
      <c r="H572" s="3817"/>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row>
    <row r="573" spans="1:36" ht="15">
      <c r="A573" s="5" t="s">
        <v>70</v>
      </c>
      <c r="B573" s="5" t="s">
        <v>71</v>
      </c>
      <c r="C573" s="2166">
        <v>1</v>
      </c>
      <c r="D573" s="21">
        <v>2</v>
      </c>
      <c r="E573" s="21">
        <v>3</v>
      </c>
      <c r="F573" s="21">
        <v>4</v>
      </c>
      <c r="G573" s="21">
        <v>5</v>
      </c>
      <c r="H573" s="21">
        <v>6</v>
      </c>
      <c r="I573" s="21">
        <v>7</v>
      </c>
      <c r="J573" s="21">
        <v>8</v>
      </c>
      <c r="K573" s="21">
        <v>9</v>
      </c>
      <c r="L573" s="21">
        <v>10</v>
      </c>
      <c r="M573" s="21">
        <v>11</v>
      </c>
      <c r="N573" s="21">
        <v>12</v>
      </c>
      <c r="O573" s="21">
        <v>13</v>
      </c>
      <c r="P573" s="21">
        <v>14</v>
      </c>
      <c r="Q573" s="21">
        <v>15</v>
      </c>
      <c r="R573" s="21">
        <v>16</v>
      </c>
      <c r="S573" s="21">
        <v>17</v>
      </c>
      <c r="T573" s="21">
        <v>18</v>
      </c>
      <c r="U573" s="21">
        <v>19</v>
      </c>
      <c r="V573" s="21">
        <v>20</v>
      </c>
      <c r="W573" s="21">
        <v>21</v>
      </c>
      <c r="X573" s="21">
        <v>22</v>
      </c>
      <c r="Y573" s="21">
        <v>23</v>
      </c>
      <c r="Z573" s="21">
        <v>24</v>
      </c>
      <c r="AA573" s="21">
        <v>25</v>
      </c>
      <c r="AB573" s="21">
        <v>26</v>
      </c>
      <c r="AC573" s="21">
        <v>27</v>
      </c>
      <c r="AD573" s="21">
        <v>28</v>
      </c>
      <c r="AE573" s="21">
        <v>29</v>
      </c>
      <c r="AF573" s="21">
        <v>30</v>
      </c>
      <c r="AG573" s="21">
        <v>31</v>
      </c>
      <c r="AH573" s="25" t="s">
        <v>72</v>
      </c>
      <c r="AI573" s="2266" t="s">
        <v>1345</v>
      </c>
      <c r="AJ573" s="66" t="e">
        <f>(B586/COUNTIF($C$574:$AG$585,"&gt;0"))</f>
        <v>#DIV/0!</v>
      </c>
    </row>
    <row r="574" spans="1:36" ht="15">
      <c r="A574" s="21" t="s">
        <v>73</v>
      </c>
      <c r="B574" s="95">
        <f t="shared" ref="B574:B585" si="111">+AH574</f>
        <v>0</v>
      </c>
      <c r="C574" s="1689"/>
      <c r="D574" s="1689"/>
      <c r="E574" s="1689"/>
      <c r="F574" s="1689"/>
      <c r="G574" s="1689"/>
      <c r="H574" s="1689"/>
      <c r="I574" s="1689"/>
      <c r="J574" s="1689"/>
      <c r="K574" s="1689"/>
      <c r="L574" s="1689"/>
      <c r="M574" s="1689"/>
      <c r="N574" s="1689"/>
      <c r="O574" s="1689"/>
      <c r="P574" s="1689"/>
      <c r="Q574" s="1689"/>
      <c r="R574" s="1689"/>
      <c r="S574" s="1689"/>
      <c r="T574" s="1689"/>
      <c r="U574" s="1689"/>
      <c r="V574" s="1689"/>
      <c r="W574" s="1689"/>
      <c r="X574" s="1689"/>
      <c r="Y574" s="1689"/>
      <c r="Z574" s="1689"/>
      <c r="AA574" s="1689"/>
      <c r="AB574" s="1091"/>
      <c r="AC574" s="1689"/>
      <c r="AD574" s="1689"/>
      <c r="AE574" s="1689"/>
      <c r="AF574" s="1689"/>
      <c r="AG574" s="1689"/>
      <c r="AH574" s="39">
        <f>SUM(C574:AG574)</f>
        <v>0</v>
      </c>
    </row>
    <row r="575" spans="1:36" ht="15">
      <c r="A575" s="21" t="s">
        <v>74</v>
      </c>
      <c r="B575" s="95">
        <f t="shared" si="111"/>
        <v>0</v>
      </c>
      <c r="C575" s="1689"/>
      <c r="D575" s="1689"/>
      <c r="E575" s="1689"/>
      <c r="F575" s="1689"/>
      <c r="G575" s="1689"/>
      <c r="H575" s="1689"/>
      <c r="I575" s="1689"/>
      <c r="J575" s="1689"/>
      <c r="K575" s="1689"/>
      <c r="L575" s="1689"/>
      <c r="M575" s="1689"/>
      <c r="N575" s="1689"/>
      <c r="O575" s="1689"/>
      <c r="P575" s="1689"/>
      <c r="Q575" s="1689"/>
      <c r="R575" s="1689"/>
      <c r="S575" s="1689"/>
      <c r="T575" s="1689"/>
      <c r="U575" s="1689"/>
      <c r="V575" s="1689"/>
      <c r="W575" s="1689"/>
      <c r="X575" s="1689"/>
      <c r="Y575" s="1689"/>
      <c r="Z575" s="1689"/>
      <c r="AA575" s="1689"/>
      <c r="AB575" s="1689"/>
      <c r="AC575" s="1689"/>
      <c r="AD575" s="1689"/>
      <c r="AE575" s="1689"/>
      <c r="AF575" s="1689"/>
      <c r="AG575" s="1689"/>
      <c r="AH575" s="39">
        <f t="shared" ref="AH575:AH585" si="112">SUM(C575:AG575)</f>
        <v>0</v>
      </c>
    </row>
    <row r="576" spans="1:36" ht="15">
      <c r="A576" s="21" t="s">
        <v>75</v>
      </c>
      <c r="B576" s="95">
        <f t="shared" si="111"/>
        <v>0</v>
      </c>
      <c r="C576" s="1689"/>
      <c r="D576" s="1689"/>
      <c r="E576" s="1689"/>
      <c r="F576" s="1689"/>
      <c r="G576" s="1689"/>
      <c r="H576" s="1091"/>
      <c r="I576" s="1091"/>
      <c r="J576" s="1091"/>
      <c r="K576" s="1091"/>
      <c r="L576" s="1091"/>
      <c r="M576" s="1091"/>
      <c r="N576" s="1091"/>
      <c r="O576" s="1091"/>
      <c r="P576" s="1091"/>
      <c r="Q576" s="1084"/>
      <c r="R576" s="1084"/>
      <c r="S576" s="1084"/>
      <c r="T576" s="1084"/>
      <c r="U576" s="1084"/>
      <c r="V576" s="1084"/>
      <c r="W576" s="1084"/>
      <c r="X576" s="1084"/>
      <c r="Y576" s="1084"/>
      <c r="Z576" s="1084"/>
      <c r="AA576" s="1084"/>
      <c r="AB576" s="1084"/>
      <c r="AC576" s="1084"/>
      <c r="AD576" s="1084"/>
      <c r="AE576" s="1084"/>
      <c r="AF576" s="1084"/>
      <c r="AG576" s="1084"/>
      <c r="AH576" s="39">
        <f t="shared" si="112"/>
        <v>0</v>
      </c>
    </row>
    <row r="577" spans="1:37" ht="15">
      <c r="A577" s="21" t="s">
        <v>76</v>
      </c>
      <c r="B577" s="95">
        <f t="shared" si="111"/>
        <v>0</v>
      </c>
      <c r="C577" s="1084"/>
      <c r="D577" s="1084"/>
      <c r="E577" s="1084"/>
      <c r="F577" s="1084"/>
      <c r="G577" s="1084"/>
      <c r="H577" s="1084"/>
      <c r="I577" s="1084"/>
      <c r="J577" s="1084"/>
      <c r="K577" s="1084"/>
      <c r="L577" s="1084"/>
      <c r="M577" s="1084"/>
      <c r="N577" s="1084"/>
      <c r="O577" s="1084"/>
      <c r="P577" s="1084"/>
      <c r="Q577" s="1084"/>
      <c r="R577" s="1084"/>
      <c r="S577" s="1084"/>
      <c r="T577" s="1084"/>
      <c r="U577" s="1084"/>
      <c r="V577" s="1084"/>
      <c r="W577" s="1084"/>
      <c r="X577" s="1084"/>
      <c r="Y577" s="1084"/>
      <c r="Z577" s="1084"/>
      <c r="AA577" s="1084"/>
      <c r="AB577" s="1084"/>
      <c r="AC577" s="1084"/>
      <c r="AD577" s="1084"/>
      <c r="AE577" s="1084"/>
      <c r="AF577" s="1084" t="s">
        <v>110</v>
      </c>
      <c r="AG577" s="1084" t="s">
        <v>110</v>
      </c>
      <c r="AH577" s="39">
        <f t="shared" si="112"/>
        <v>0</v>
      </c>
    </row>
    <row r="578" spans="1:37" ht="15">
      <c r="A578" s="21" t="s">
        <v>77</v>
      </c>
      <c r="B578" s="95">
        <f t="shared" si="111"/>
        <v>0</v>
      </c>
      <c r="C578" s="1084" t="s">
        <v>110</v>
      </c>
      <c r="D578" s="1084" t="s">
        <v>110</v>
      </c>
      <c r="E578" s="1084" t="s">
        <v>110</v>
      </c>
      <c r="F578" s="1084" t="s">
        <v>110</v>
      </c>
      <c r="G578" s="1084" t="s">
        <v>110</v>
      </c>
      <c r="H578" s="1084" t="s">
        <v>110</v>
      </c>
      <c r="I578" s="1084" t="s">
        <v>110</v>
      </c>
      <c r="J578" s="1084" t="s">
        <v>110</v>
      </c>
      <c r="K578" s="1084" t="s">
        <v>110</v>
      </c>
      <c r="L578" s="1084" t="s">
        <v>110</v>
      </c>
      <c r="M578" s="1084" t="s">
        <v>110</v>
      </c>
      <c r="N578" s="1084" t="s">
        <v>110</v>
      </c>
      <c r="O578" s="1084" t="s">
        <v>110</v>
      </c>
      <c r="P578" s="1084" t="s">
        <v>110</v>
      </c>
      <c r="Q578" s="1084" t="s">
        <v>110</v>
      </c>
      <c r="R578" s="2165"/>
      <c r="S578" s="2165"/>
      <c r="T578" s="2165"/>
      <c r="U578" s="2165"/>
      <c r="V578" s="2165"/>
      <c r="W578" s="2165"/>
      <c r="X578" s="2165"/>
      <c r="Y578" s="2165"/>
      <c r="Z578" s="2165"/>
      <c r="AA578" s="2165"/>
      <c r="AB578" s="2165"/>
      <c r="AC578" s="2165"/>
      <c r="AD578" s="2165"/>
      <c r="AE578" s="2165"/>
      <c r="AF578" s="2165"/>
      <c r="AG578" s="2165"/>
      <c r="AH578" s="39">
        <f t="shared" si="112"/>
        <v>0</v>
      </c>
      <c r="AK578" s="2157"/>
    </row>
    <row r="579" spans="1:37" ht="15">
      <c r="A579" s="21" t="s">
        <v>78</v>
      </c>
      <c r="B579" s="95">
        <f t="shared" si="111"/>
        <v>0</v>
      </c>
      <c r="C579" s="3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39">
        <f t="shared" si="112"/>
        <v>0</v>
      </c>
    </row>
    <row r="580" spans="1:37" ht="15">
      <c r="A580" s="21" t="s">
        <v>79</v>
      </c>
      <c r="B580" s="94">
        <f t="shared" si="111"/>
        <v>0</v>
      </c>
      <c r="C580" s="35"/>
      <c r="D580" s="39"/>
      <c r="E580" s="39"/>
      <c r="F580" s="39"/>
      <c r="G580" s="15"/>
      <c r="H580" s="15"/>
      <c r="I580" s="15"/>
      <c r="J580" s="43"/>
      <c r="K580" s="43"/>
      <c r="L580" s="39"/>
      <c r="M580" s="39"/>
      <c r="N580" s="39"/>
      <c r="O580" s="39"/>
      <c r="P580" s="39"/>
      <c r="Q580" s="39"/>
      <c r="R580" s="39"/>
      <c r="S580" s="39"/>
      <c r="T580" s="39"/>
      <c r="U580" s="39"/>
      <c r="V580" s="39"/>
      <c r="W580" s="897" t="s">
        <v>110</v>
      </c>
      <c r="X580" s="897" t="s">
        <v>110</v>
      </c>
      <c r="Y580" s="897" t="s">
        <v>110</v>
      </c>
      <c r="Z580" s="897" t="s">
        <v>110</v>
      </c>
      <c r="AA580" s="897" t="s">
        <v>110</v>
      </c>
      <c r="AB580" s="897" t="s">
        <v>110</v>
      </c>
      <c r="AC580" s="897" t="s">
        <v>110</v>
      </c>
      <c r="AD580" s="897" t="s">
        <v>110</v>
      </c>
      <c r="AE580" s="897" t="s">
        <v>110</v>
      </c>
      <c r="AF580" s="897" t="s">
        <v>110</v>
      </c>
      <c r="AG580" s="897" t="s">
        <v>110</v>
      </c>
      <c r="AH580" s="39">
        <f t="shared" si="112"/>
        <v>0</v>
      </c>
    </row>
    <row r="581" spans="1:37" ht="15">
      <c r="A581" s="21" t="s">
        <v>80</v>
      </c>
      <c r="B581" s="94">
        <f t="shared" si="111"/>
        <v>0</v>
      </c>
      <c r="C581" s="897" t="s">
        <v>110</v>
      </c>
      <c r="D581" s="897" t="s">
        <v>110</v>
      </c>
      <c r="E581" s="897" t="s">
        <v>110</v>
      </c>
      <c r="F581" s="897" t="s">
        <v>110</v>
      </c>
      <c r="G581" s="897" t="s">
        <v>110</v>
      </c>
      <c r="H581" s="897" t="s">
        <v>110</v>
      </c>
      <c r="I581" s="897" t="s">
        <v>110</v>
      </c>
      <c r="J581" s="897" t="s">
        <v>110</v>
      </c>
      <c r="K581" s="897" t="s">
        <v>110</v>
      </c>
      <c r="L581" s="897" t="s">
        <v>110</v>
      </c>
      <c r="M581" s="897" t="s">
        <v>110</v>
      </c>
      <c r="N581" s="897" t="s">
        <v>110</v>
      </c>
      <c r="O581" s="897" t="s">
        <v>110</v>
      </c>
      <c r="P581" s="897" t="s">
        <v>110</v>
      </c>
      <c r="Q581" s="897" t="s">
        <v>110</v>
      </c>
      <c r="R581" s="897" t="s">
        <v>110</v>
      </c>
      <c r="S581" s="897" t="s">
        <v>110</v>
      </c>
      <c r="T581" s="897" t="s">
        <v>110</v>
      </c>
      <c r="U581" s="897" t="s">
        <v>110</v>
      </c>
      <c r="V581" s="897" t="s">
        <v>110</v>
      </c>
      <c r="W581" s="897" t="s">
        <v>110</v>
      </c>
      <c r="X581" s="897" t="s">
        <v>110</v>
      </c>
      <c r="Y581" s="897" t="s">
        <v>110</v>
      </c>
      <c r="Z581" s="897" t="s">
        <v>110</v>
      </c>
      <c r="AA581" s="897" t="s">
        <v>110</v>
      </c>
      <c r="AB581" s="897" t="s">
        <v>110</v>
      </c>
      <c r="AC581" s="897" t="s">
        <v>110</v>
      </c>
      <c r="AD581" s="897" t="s">
        <v>110</v>
      </c>
      <c r="AE581" s="897" t="s">
        <v>110</v>
      </c>
      <c r="AF581" s="897" t="s">
        <v>110</v>
      </c>
      <c r="AG581" s="897" t="s">
        <v>110</v>
      </c>
      <c r="AH581" s="39">
        <f t="shared" si="112"/>
        <v>0</v>
      </c>
    </row>
    <row r="582" spans="1:37" ht="15">
      <c r="A582" s="21" t="s">
        <v>81</v>
      </c>
      <c r="B582" s="94">
        <f t="shared" si="111"/>
        <v>0</v>
      </c>
      <c r="C582" s="32"/>
      <c r="D582" s="39"/>
      <c r="E582" s="39"/>
      <c r="F582" s="39"/>
      <c r="G582" s="39"/>
      <c r="H582" s="39"/>
      <c r="I582" s="39"/>
      <c r="J582" s="43"/>
      <c r="K582" s="43"/>
      <c r="L582" s="15"/>
      <c r="M582" s="15"/>
      <c r="N582" s="15"/>
      <c r="O582" s="15"/>
      <c r="P582" s="15"/>
      <c r="Q582" s="897" t="s">
        <v>110</v>
      </c>
      <c r="R582" s="897" t="s">
        <v>110</v>
      </c>
      <c r="S582" s="897" t="s">
        <v>110</v>
      </c>
      <c r="T582" s="897" t="s">
        <v>110</v>
      </c>
      <c r="U582" s="897" t="s">
        <v>110</v>
      </c>
      <c r="V582" s="897" t="s">
        <v>110</v>
      </c>
      <c r="W582" s="897" t="s">
        <v>110</v>
      </c>
      <c r="X582" s="897" t="s">
        <v>110</v>
      </c>
      <c r="Y582" s="897" t="s">
        <v>110</v>
      </c>
      <c r="Z582" s="897" t="s">
        <v>110</v>
      </c>
      <c r="AA582" s="897" t="s">
        <v>110</v>
      </c>
      <c r="AB582" s="897" t="s">
        <v>110</v>
      </c>
      <c r="AC582" s="897" t="s">
        <v>110</v>
      </c>
      <c r="AD582" s="897" t="s">
        <v>110</v>
      </c>
      <c r="AE582" s="897" t="s">
        <v>110</v>
      </c>
      <c r="AF582" s="897" t="s">
        <v>110</v>
      </c>
      <c r="AG582" s="897" t="s">
        <v>110</v>
      </c>
      <c r="AH582" s="39">
        <f t="shared" si="112"/>
        <v>0</v>
      </c>
    </row>
    <row r="583" spans="1:37" ht="15">
      <c r="A583" s="21" t="s">
        <v>82</v>
      </c>
      <c r="B583" s="94">
        <f t="shared" si="111"/>
        <v>0</v>
      </c>
      <c r="C583" s="35"/>
      <c r="D583" s="897" t="s">
        <v>110</v>
      </c>
      <c r="E583" s="897" t="s">
        <v>110</v>
      </c>
      <c r="F583" s="897" t="s">
        <v>110</v>
      </c>
      <c r="G583" s="897" t="s">
        <v>110</v>
      </c>
      <c r="H583" s="897" t="s">
        <v>110</v>
      </c>
      <c r="I583" s="897" t="s">
        <v>110</v>
      </c>
      <c r="J583" s="897" t="s">
        <v>110</v>
      </c>
      <c r="K583" s="897" t="s">
        <v>110</v>
      </c>
      <c r="L583" s="897" t="s">
        <v>110</v>
      </c>
      <c r="M583" s="897" t="s">
        <v>110</v>
      </c>
      <c r="N583" s="897" t="s">
        <v>110</v>
      </c>
      <c r="O583" s="897" t="s">
        <v>110</v>
      </c>
      <c r="P583" s="897" t="s">
        <v>110</v>
      </c>
      <c r="Q583" s="897" t="s">
        <v>110</v>
      </c>
      <c r="R583" s="897" t="s">
        <v>110</v>
      </c>
      <c r="S583" s="897" t="s">
        <v>110</v>
      </c>
      <c r="T583" s="897" t="s">
        <v>110</v>
      </c>
      <c r="U583" s="897" t="s">
        <v>110</v>
      </c>
      <c r="V583" s="897" t="s">
        <v>110</v>
      </c>
      <c r="W583" s="897" t="s">
        <v>110</v>
      </c>
      <c r="X583" s="897" t="s">
        <v>110</v>
      </c>
      <c r="Y583" s="897" t="s">
        <v>110</v>
      </c>
      <c r="Z583" s="897" t="s">
        <v>110</v>
      </c>
      <c r="AA583" s="897" t="s">
        <v>110</v>
      </c>
      <c r="AB583" s="897" t="s">
        <v>110</v>
      </c>
      <c r="AC583" s="897" t="s">
        <v>110</v>
      </c>
      <c r="AD583" s="897" t="s">
        <v>110</v>
      </c>
      <c r="AE583" s="897" t="s">
        <v>110</v>
      </c>
      <c r="AF583" s="897" t="s">
        <v>110</v>
      </c>
      <c r="AG583" s="897" t="s">
        <v>110</v>
      </c>
      <c r="AH583" s="39">
        <f t="shared" si="112"/>
        <v>0</v>
      </c>
    </row>
    <row r="584" spans="1:37" ht="15">
      <c r="A584" s="21" t="s">
        <v>83</v>
      </c>
      <c r="B584" s="94">
        <f t="shared" si="111"/>
        <v>0</v>
      </c>
      <c r="C584" s="65" t="s">
        <v>110</v>
      </c>
      <c r="D584" s="65" t="s">
        <v>110</v>
      </c>
      <c r="E584" s="65" t="s">
        <v>110</v>
      </c>
      <c r="F584" s="65" t="s">
        <v>110</v>
      </c>
      <c r="G584" s="65" t="s">
        <v>110</v>
      </c>
      <c r="H584" s="65" t="s">
        <v>110</v>
      </c>
      <c r="I584" s="65" t="s">
        <v>110</v>
      </c>
      <c r="J584" s="65" t="s">
        <v>110</v>
      </c>
      <c r="K584" s="65" t="s">
        <v>110</v>
      </c>
      <c r="L584" s="65" t="s">
        <v>110</v>
      </c>
      <c r="M584" s="65" t="s">
        <v>110</v>
      </c>
      <c r="N584" s="65" t="s">
        <v>110</v>
      </c>
      <c r="O584" s="65" t="s">
        <v>110</v>
      </c>
      <c r="P584" s="65" t="s">
        <v>110</v>
      </c>
      <c r="Q584" s="65" t="s">
        <v>110</v>
      </c>
      <c r="R584" s="15"/>
      <c r="S584" s="15"/>
      <c r="T584" s="15"/>
      <c r="U584" s="15"/>
      <c r="V584" s="15"/>
      <c r="W584" s="15"/>
      <c r="X584" s="15"/>
      <c r="Y584" s="11"/>
      <c r="Z584" s="15"/>
      <c r="AA584" s="15"/>
      <c r="AB584" s="15"/>
      <c r="AC584" s="15"/>
      <c r="AD584" s="15"/>
      <c r="AE584" s="39"/>
      <c r="AF584" s="15"/>
      <c r="AG584" s="39"/>
      <c r="AH584" s="39">
        <f t="shared" si="112"/>
        <v>0</v>
      </c>
    </row>
    <row r="585" spans="1:37" ht="15">
      <c r="A585" s="21" t="s">
        <v>84</v>
      </c>
      <c r="B585" s="15">
        <f t="shared" si="111"/>
        <v>0</v>
      </c>
      <c r="C585" s="3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39"/>
      <c r="AF585" s="15"/>
      <c r="AG585" s="39"/>
      <c r="AH585" s="39">
        <f t="shared" si="112"/>
        <v>0</v>
      </c>
    </row>
    <row r="586" spans="1:37" ht="15">
      <c r="A586" s="71" t="s">
        <v>72</v>
      </c>
      <c r="B586" s="72">
        <f>SUM(B574:B585)</f>
        <v>0</v>
      </c>
      <c r="C586" s="32">
        <f>SUM(C574:C584)</f>
        <v>0</v>
      </c>
      <c r="D586" s="39">
        <f>SUM(D574:D584)</f>
        <v>0</v>
      </c>
      <c r="E586" s="39">
        <v>0</v>
      </c>
      <c r="F586" s="39">
        <f t="shared" ref="F586:AC586" si="113">SUM(F574:F584)</f>
        <v>0</v>
      </c>
      <c r="G586" s="39">
        <f t="shared" si="113"/>
        <v>0</v>
      </c>
      <c r="H586" s="39">
        <f t="shared" si="113"/>
        <v>0</v>
      </c>
      <c r="I586" s="39">
        <f t="shared" si="113"/>
        <v>0</v>
      </c>
      <c r="J586" s="39">
        <f t="shared" si="113"/>
        <v>0</v>
      </c>
      <c r="K586" s="39">
        <f t="shared" si="113"/>
        <v>0</v>
      </c>
      <c r="L586" s="39">
        <f t="shared" si="113"/>
        <v>0</v>
      </c>
      <c r="M586" s="39">
        <f t="shared" si="113"/>
        <v>0</v>
      </c>
      <c r="N586" s="39">
        <f t="shared" si="113"/>
        <v>0</v>
      </c>
      <c r="O586" s="39">
        <f t="shared" si="113"/>
        <v>0</v>
      </c>
      <c r="P586" s="39">
        <f t="shared" si="113"/>
        <v>0</v>
      </c>
      <c r="Q586" s="39">
        <f t="shared" si="113"/>
        <v>0</v>
      </c>
      <c r="R586" s="39">
        <f t="shared" si="113"/>
        <v>0</v>
      </c>
      <c r="S586" s="39">
        <f t="shared" si="113"/>
        <v>0</v>
      </c>
      <c r="T586" s="39">
        <f t="shared" si="113"/>
        <v>0</v>
      </c>
      <c r="U586" s="39">
        <f t="shared" si="113"/>
        <v>0</v>
      </c>
      <c r="V586" s="39">
        <f t="shared" si="113"/>
        <v>0</v>
      </c>
      <c r="W586" s="39">
        <f t="shared" si="113"/>
        <v>0</v>
      </c>
      <c r="X586" s="39">
        <f t="shared" si="113"/>
        <v>0</v>
      </c>
      <c r="Y586" s="39">
        <f t="shared" si="113"/>
        <v>0</v>
      </c>
      <c r="Z586" s="39">
        <f t="shared" si="113"/>
        <v>0</v>
      </c>
      <c r="AA586" s="39">
        <f t="shared" si="113"/>
        <v>0</v>
      </c>
      <c r="AB586" s="39">
        <f t="shared" si="113"/>
        <v>0</v>
      </c>
      <c r="AC586" s="39">
        <f t="shared" si="113"/>
        <v>0</v>
      </c>
      <c r="AD586" s="39">
        <v>0</v>
      </c>
      <c r="AE586" s="39">
        <f>SUM(AE574:AE584)</f>
        <v>0</v>
      </c>
      <c r="AF586" s="39">
        <f>SUM(AF574:AF584)</f>
        <v>0</v>
      </c>
      <c r="AG586" s="39">
        <f>SUM(AG574:AG584)</f>
        <v>0</v>
      </c>
      <c r="AH586" s="32">
        <f>SUM(AH574:AH584)</f>
        <v>0</v>
      </c>
    </row>
    <row r="587" spans="1:37" ht="5.0999999999999996" customHeight="1">
      <c r="A587" s="14"/>
      <c r="B587" s="14"/>
      <c r="C587" s="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
    </row>
    <row r="588" spans="1:37" ht="15">
      <c r="A588" s="3815" t="s">
        <v>98</v>
      </c>
      <c r="B588" s="3816"/>
      <c r="C588" s="3816"/>
      <c r="D588" s="3816"/>
      <c r="E588" s="3816"/>
      <c r="F588" s="3816"/>
      <c r="G588" s="3816"/>
      <c r="H588" s="3817"/>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row>
    <row r="589" spans="1:37" ht="15">
      <c r="A589" s="5" t="s">
        <v>70</v>
      </c>
      <c r="B589" s="5" t="s">
        <v>71</v>
      </c>
      <c r="C589" s="2166">
        <v>1</v>
      </c>
      <c r="D589" s="21">
        <v>2</v>
      </c>
      <c r="E589" s="21">
        <v>3</v>
      </c>
      <c r="F589" s="21">
        <v>4</v>
      </c>
      <c r="G589" s="21">
        <v>5</v>
      </c>
      <c r="H589" s="21">
        <v>6</v>
      </c>
      <c r="I589" s="21">
        <v>7</v>
      </c>
      <c r="J589" s="21">
        <v>8</v>
      </c>
      <c r="K589" s="21">
        <v>9</v>
      </c>
      <c r="L589" s="21">
        <v>10</v>
      </c>
      <c r="M589" s="21">
        <v>11</v>
      </c>
      <c r="N589" s="21">
        <v>12</v>
      </c>
      <c r="O589" s="21">
        <v>13</v>
      </c>
      <c r="P589" s="21">
        <v>14</v>
      </c>
      <c r="Q589" s="21">
        <v>15</v>
      </c>
      <c r="R589" s="21">
        <v>16</v>
      </c>
      <c r="S589" s="21">
        <v>17</v>
      </c>
      <c r="T589" s="21">
        <v>18</v>
      </c>
      <c r="U589" s="21">
        <v>19</v>
      </c>
      <c r="V589" s="21">
        <v>20</v>
      </c>
      <c r="W589" s="21">
        <v>21</v>
      </c>
      <c r="X589" s="21">
        <v>22</v>
      </c>
      <c r="Y589" s="21">
        <v>23</v>
      </c>
      <c r="Z589" s="21">
        <v>24</v>
      </c>
      <c r="AA589" s="21">
        <v>25</v>
      </c>
      <c r="AB589" s="21">
        <v>26</v>
      </c>
      <c r="AC589" s="21">
        <v>27</v>
      </c>
      <c r="AD589" s="21">
        <v>28</v>
      </c>
      <c r="AE589" s="21">
        <v>29</v>
      </c>
      <c r="AF589" s="21">
        <v>30</v>
      </c>
      <c r="AG589" s="21">
        <v>31</v>
      </c>
      <c r="AH589" s="25" t="s">
        <v>72</v>
      </c>
      <c r="AI589" s="2266" t="s">
        <v>1345</v>
      </c>
      <c r="AJ589" s="66" t="e">
        <f>(B602/COUNTIF($C$590:$AG$601,"&gt;0"))</f>
        <v>#DIV/0!</v>
      </c>
    </row>
    <row r="590" spans="1:37" ht="15">
      <c r="A590" s="21" t="s">
        <v>73</v>
      </c>
      <c r="B590" s="95">
        <f t="shared" ref="B590:B601" si="114">+AH590</f>
        <v>0</v>
      </c>
      <c r="C590" s="1689"/>
      <c r="D590" s="1689"/>
      <c r="E590" s="1689"/>
      <c r="F590" s="1689"/>
      <c r="G590" s="1689"/>
      <c r="H590" s="1689"/>
      <c r="I590" s="1689"/>
      <c r="J590" s="1689"/>
      <c r="K590" s="1689"/>
      <c r="L590" s="1689"/>
      <c r="M590" s="1689"/>
      <c r="N590" s="1689"/>
      <c r="O590" s="1689"/>
      <c r="P590" s="1689"/>
      <c r="Q590" s="1689"/>
      <c r="R590" s="1689"/>
      <c r="S590" s="1689"/>
      <c r="T590" s="1689"/>
      <c r="U590" s="1689"/>
      <c r="V590" s="1689"/>
      <c r="W590" s="1689"/>
      <c r="X590" s="1689"/>
      <c r="Y590" s="1689"/>
      <c r="Z590" s="1689"/>
      <c r="AA590" s="1689"/>
      <c r="AB590" s="1091"/>
      <c r="AC590" s="1689"/>
      <c r="AD590" s="1689"/>
      <c r="AE590" s="1689"/>
      <c r="AF590" s="1689"/>
      <c r="AG590" s="1689"/>
      <c r="AH590" s="39">
        <f>SUM(C590:AG590)</f>
        <v>0</v>
      </c>
    </row>
    <row r="591" spans="1:37" ht="15">
      <c r="A591" s="21" t="s">
        <v>74</v>
      </c>
      <c r="B591" s="95">
        <f t="shared" si="114"/>
        <v>0</v>
      </c>
      <c r="C591" s="1689"/>
      <c r="D591" s="1689"/>
      <c r="E591" s="1689"/>
      <c r="F591" s="1689"/>
      <c r="G591" s="1689"/>
      <c r="H591" s="1689"/>
      <c r="I591" s="1689"/>
      <c r="J591" s="1689"/>
      <c r="K591" s="1689"/>
      <c r="L591" s="1689"/>
      <c r="M591" s="1689"/>
      <c r="N591" s="1689"/>
      <c r="O591" s="1689"/>
      <c r="P591" s="1689"/>
      <c r="Q591" s="1689"/>
      <c r="R591" s="1689"/>
      <c r="S591" s="1689"/>
      <c r="T591" s="1689"/>
      <c r="U591" s="1689"/>
      <c r="V591" s="1689"/>
      <c r="W591" s="1689"/>
      <c r="X591" s="1689"/>
      <c r="Y591" s="1689"/>
      <c r="Z591" s="1689"/>
      <c r="AA591" s="1689"/>
      <c r="AB591" s="1689"/>
      <c r="AC591" s="1689"/>
      <c r="AD591" s="1689"/>
      <c r="AE591" s="1689"/>
      <c r="AF591" s="1689"/>
      <c r="AG591" s="1689"/>
      <c r="AH591" s="39">
        <f t="shared" ref="AH591:AH601" si="115">SUM(C591:AG591)</f>
        <v>0</v>
      </c>
    </row>
    <row r="592" spans="1:37" ht="15">
      <c r="A592" s="21" t="s">
        <v>75</v>
      </c>
      <c r="B592" s="95">
        <f t="shared" si="114"/>
        <v>0</v>
      </c>
      <c r="C592" s="1689"/>
      <c r="D592" s="1689"/>
      <c r="E592" s="1689"/>
      <c r="F592" s="1689"/>
      <c r="G592" s="1689"/>
      <c r="H592" s="1091"/>
      <c r="I592" s="1091"/>
      <c r="J592" s="1091"/>
      <c r="K592" s="1091"/>
      <c r="L592" s="1091"/>
      <c r="M592" s="1091"/>
      <c r="N592" s="1091"/>
      <c r="O592" s="1091"/>
      <c r="P592" s="1091"/>
      <c r="Q592" s="1084"/>
      <c r="R592" s="1084"/>
      <c r="S592" s="1084"/>
      <c r="T592" s="1084"/>
      <c r="U592" s="1084"/>
      <c r="V592" s="1084"/>
      <c r="W592" s="1084"/>
      <c r="X592" s="1084"/>
      <c r="Y592" s="1084"/>
      <c r="Z592" s="1084"/>
      <c r="AA592" s="1084"/>
      <c r="AB592" s="1084"/>
      <c r="AC592" s="1084"/>
      <c r="AD592" s="1084"/>
      <c r="AE592" s="1084"/>
      <c r="AF592" s="1084"/>
      <c r="AG592" s="1084"/>
      <c r="AH592" s="39">
        <f t="shared" si="115"/>
        <v>0</v>
      </c>
    </row>
    <row r="593" spans="1:36" ht="15">
      <c r="A593" s="21" t="s">
        <v>76</v>
      </c>
      <c r="B593" s="95">
        <f t="shared" si="114"/>
        <v>0</v>
      </c>
      <c r="C593" s="1084"/>
      <c r="D593" s="1084"/>
      <c r="E593" s="1084"/>
      <c r="F593" s="1084"/>
      <c r="G593" s="1084"/>
      <c r="H593" s="1084"/>
      <c r="I593" s="1084"/>
      <c r="J593" s="1084"/>
      <c r="K593" s="1084"/>
      <c r="L593" s="1084"/>
      <c r="M593" s="1084"/>
      <c r="N593" s="1084"/>
      <c r="O593" s="1084"/>
      <c r="P593" s="1084"/>
      <c r="Q593" s="1084"/>
      <c r="R593" s="1084"/>
      <c r="S593" s="1084"/>
      <c r="T593" s="1084"/>
      <c r="U593" s="1084"/>
      <c r="V593" s="1084"/>
      <c r="W593" s="1084"/>
      <c r="X593" s="1084"/>
      <c r="Y593" s="1084"/>
      <c r="Z593" s="1084"/>
      <c r="AA593" s="1084"/>
      <c r="AB593" s="1084"/>
      <c r="AC593" s="1084"/>
      <c r="AD593" s="1084"/>
      <c r="AE593" s="1084"/>
      <c r="AF593" s="1084" t="s">
        <v>110</v>
      </c>
      <c r="AG593" s="1084" t="s">
        <v>110</v>
      </c>
      <c r="AH593" s="39">
        <f t="shared" si="115"/>
        <v>0</v>
      </c>
    </row>
    <row r="594" spans="1:36" ht="15">
      <c r="A594" s="21" t="s">
        <v>77</v>
      </c>
      <c r="B594" s="95">
        <f t="shared" si="114"/>
        <v>0</v>
      </c>
      <c r="C594" s="1084" t="s">
        <v>110</v>
      </c>
      <c r="D594" s="1084" t="s">
        <v>110</v>
      </c>
      <c r="E594" s="1084" t="s">
        <v>110</v>
      </c>
      <c r="F594" s="1084" t="s">
        <v>110</v>
      </c>
      <c r="G594" s="1084" t="s">
        <v>110</v>
      </c>
      <c r="H594" s="1084" t="s">
        <v>110</v>
      </c>
      <c r="I594" s="1084" t="s">
        <v>110</v>
      </c>
      <c r="J594" s="1084" t="s">
        <v>110</v>
      </c>
      <c r="K594" s="1084" t="s">
        <v>110</v>
      </c>
      <c r="L594" s="1084" t="s">
        <v>110</v>
      </c>
      <c r="M594" s="1084" t="s">
        <v>110</v>
      </c>
      <c r="N594" s="1084" t="s">
        <v>110</v>
      </c>
      <c r="O594" s="1084" t="s">
        <v>110</v>
      </c>
      <c r="P594" s="1084" t="s">
        <v>110</v>
      </c>
      <c r="Q594" s="1084" t="s">
        <v>110</v>
      </c>
      <c r="R594" s="2165"/>
      <c r="S594" s="2165"/>
      <c r="T594" s="2165"/>
      <c r="U594" s="2165"/>
      <c r="V594" s="2165"/>
      <c r="W594" s="2165"/>
      <c r="X594" s="2165"/>
      <c r="Y594" s="2165"/>
      <c r="Z594" s="2165"/>
      <c r="AA594" s="2165"/>
      <c r="AB594" s="2165"/>
      <c r="AC594" s="2165"/>
      <c r="AD594" s="2165"/>
      <c r="AE594" s="2165"/>
      <c r="AF594" s="2165"/>
      <c r="AG594" s="2165"/>
      <c r="AH594" s="39">
        <f t="shared" si="115"/>
        <v>0</v>
      </c>
    </row>
    <row r="595" spans="1:36" ht="15">
      <c r="A595" s="21" t="s">
        <v>78</v>
      </c>
      <c r="B595" s="95">
        <f t="shared" si="114"/>
        <v>0</v>
      </c>
      <c r="C595" s="3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39">
        <f t="shared" si="115"/>
        <v>0</v>
      </c>
    </row>
    <row r="596" spans="1:36" ht="15">
      <c r="A596" s="21" t="s">
        <v>79</v>
      </c>
      <c r="B596" s="94">
        <f t="shared" si="114"/>
        <v>0</v>
      </c>
      <c r="C596" s="35"/>
      <c r="D596" s="39"/>
      <c r="E596" s="39"/>
      <c r="F596" s="39"/>
      <c r="G596" s="15"/>
      <c r="H596" s="15"/>
      <c r="I596" s="15"/>
      <c r="J596" s="43"/>
      <c r="K596" s="43"/>
      <c r="L596" s="39"/>
      <c r="M596" s="39"/>
      <c r="N596" s="39"/>
      <c r="O596" s="39"/>
      <c r="P596" s="39"/>
      <c r="Q596" s="39"/>
      <c r="R596" s="39"/>
      <c r="S596" s="39"/>
      <c r="T596" s="39"/>
      <c r="U596" s="39"/>
      <c r="V596" s="39"/>
      <c r="W596" s="897" t="s">
        <v>110</v>
      </c>
      <c r="X596" s="897" t="s">
        <v>110</v>
      </c>
      <c r="Y596" s="897" t="s">
        <v>110</v>
      </c>
      <c r="Z596" s="897" t="s">
        <v>110</v>
      </c>
      <c r="AA596" s="897" t="s">
        <v>110</v>
      </c>
      <c r="AB596" s="897" t="s">
        <v>110</v>
      </c>
      <c r="AC596" s="897" t="s">
        <v>110</v>
      </c>
      <c r="AD596" s="897" t="s">
        <v>110</v>
      </c>
      <c r="AE596" s="897" t="s">
        <v>110</v>
      </c>
      <c r="AF596" s="897" t="s">
        <v>110</v>
      </c>
      <c r="AG596" s="897" t="s">
        <v>110</v>
      </c>
      <c r="AH596" s="39">
        <f t="shared" si="115"/>
        <v>0</v>
      </c>
    </row>
    <row r="597" spans="1:36" ht="15">
      <c r="A597" s="21" t="s">
        <v>80</v>
      </c>
      <c r="B597" s="94">
        <f t="shared" si="114"/>
        <v>0</v>
      </c>
      <c r="C597" s="897" t="s">
        <v>110</v>
      </c>
      <c r="D597" s="897" t="s">
        <v>110</v>
      </c>
      <c r="E597" s="897" t="s">
        <v>110</v>
      </c>
      <c r="F597" s="897" t="s">
        <v>110</v>
      </c>
      <c r="G597" s="897" t="s">
        <v>110</v>
      </c>
      <c r="H597" s="897" t="s">
        <v>110</v>
      </c>
      <c r="I597" s="897" t="s">
        <v>110</v>
      </c>
      <c r="J597" s="897" t="s">
        <v>110</v>
      </c>
      <c r="K597" s="897" t="s">
        <v>110</v>
      </c>
      <c r="L597" s="897" t="s">
        <v>110</v>
      </c>
      <c r="M597" s="897" t="s">
        <v>110</v>
      </c>
      <c r="N597" s="897" t="s">
        <v>110</v>
      </c>
      <c r="O597" s="897" t="s">
        <v>110</v>
      </c>
      <c r="P597" s="897" t="s">
        <v>110</v>
      </c>
      <c r="Q597" s="897" t="s">
        <v>110</v>
      </c>
      <c r="R597" s="897" t="s">
        <v>110</v>
      </c>
      <c r="S597" s="897" t="s">
        <v>110</v>
      </c>
      <c r="T597" s="897" t="s">
        <v>110</v>
      </c>
      <c r="U597" s="897" t="s">
        <v>110</v>
      </c>
      <c r="V597" s="897" t="s">
        <v>110</v>
      </c>
      <c r="W597" s="897" t="s">
        <v>110</v>
      </c>
      <c r="X597" s="897" t="s">
        <v>110</v>
      </c>
      <c r="Y597" s="897" t="s">
        <v>110</v>
      </c>
      <c r="Z597" s="897" t="s">
        <v>110</v>
      </c>
      <c r="AA597" s="897" t="s">
        <v>110</v>
      </c>
      <c r="AB597" s="897" t="s">
        <v>110</v>
      </c>
      <c r="AC597" s="897" t="s">
        <v>110</v>
      </c>
      <c r="AD597" s="897" t="s">
        <v>110</v>
      </c>
      <c r="AE597" s="897" t="s">
        <v>110</v>
      </c>
      <c r="AF597" s="897" t="s">
        <v>110</v>
      </c>
      <c r="AG597" s="897" t="s">
        <v>110</v>
      </c>
      <c r="AH597" s="39">
        <f t="shared" si="115"/>
        <v>0</v>
      </c>
    </row>
    <row r="598" spans="1:36" ht="15">
      <c r="A598" s="21" t="s">
        <v>81</v>
      </c>
      <c r="B598" s="94">
        <f t="shared" si="114"/>
        <v>0</v>
      </c>
      <c r="C598" s="32"/>
      <c r="D598" s="39"/>
      <c r="E598" s="39"/>
      <c r="F598" s="39"/>
      <c r="G598" s="39"/>
      <c r="H598" s="39"/>
      <c r="I598" s="39"/>
      <c r="J598" s="43"/>
      <c r="K598" s="43"/>
      <c r="L598" s="15"/>
      <c r="M598" s="15"/>
      <c r="N598" s="15"/>
      <c r="O598" s="15"/>
      <c r="P598" s="15"/>
      <c r="Q598" s="897" t="s">
        <v>110</v>
      </c>
      <c r="R598" s="897" t="s">
        <v>110</v>
      </c>
      <c r="S598" s="897" t="s">
        <v>110</v>
      </c>
      <c r="T598" s="897" t="s">
        <v>110</v>
      </c>
      <c r="U598" s="897" t="s">
        <v>110</v>
      </c>
      <c r="V598" s="897" t="s">
        <v>110</v>
      </c>
      <c r="W598" s="897" t="s">
        <v>110</v>
      </c>
      <c r="X598" s="897" t="s">
        <v>110</v>
      </c>
      <c r="Y598" s="897" t="s">
        <v>110</v>
      </c>
      <c r="Z598" s="897" t="s">
        <v>110</v>
      </c>
      <c r="AA598" s="897" t="s">
        <v>110</v>
      </c>
      <c r="AB598" s="897" t="s">
        <v>110</v>
      </c>
      <c r="AC598" s="897" t="s">
        <v>110</v>
      </c>
      <c r="AD598" s="897" t="s">
        <v>110</v>
      </c>
      <c r="AE598" s="897" t="s">
        <v>110</v>
      </c>
      <c r="AF598" s="897" t="s">
        <v>110</v>
      </c>
      <c r="AG598" s="897" t="s">
        <v>110</v>
      </c>
      <c r="AH598" s="39">
        <f t="shared" si="115"/>
        <v>0</v>
      </c>
    </row>
    <row r="599" spans="1:36" ht="15">
      <c r="A599" s="21" t="s">
        <v>82</v>
      </c>
      <c r="B599" s="94">
        <f t="shared" si="114"/>
        <v>0</v>
      </c>
      <c r="C599" s="35"/>
      <c r="D599" s="897" t="s">
        <v>110</v>
      </c>
      <c r="E599" s="897" t="s">
        <v>110</v>
      </c>
      <c r="F599" s="897" t="s">
        <v>110</v>
      </c>
      <c r="G599" s="897" t="s">
        <v>110</v>
      </c>
      <c r="H599" s="897" t="s">
        <v>110</v>
      </c>
      <c r="I599" s="897" t="s">
        <v>110</v>
      </c>
      <c r="J599" s="897" t="s">
        <v>110</v>
      </c>
      <c r="K599" s="897" t="s">
        <v>110</v>
      </c>
      <c r="L599" s="897" t="s">
        <v>110</v>
      </c>
      <c r="M599" s="897" t="s">
        <v>110</v>
      </c>
      <c r="N599" s="897" t="s">
        <v>110</v>
      </c>
      <c r="O599" s="897" t="s">
        <v>110</v>
      </c>
      <c r="P599" s="897" t="s">
        <v>110</v>
      </c>
      <c r="Q599" s="897" t="s">
        <v>110</v>
      </c>
      <c r="R599" s="897" t="s">
        <v>110</v>
      </c>
      <c r="S599" s="897" t="s">
        <v>110</v>
      </c>
      <c r="T599" s="897" t="s">
        <v>110</v>
      </c>
      <c r="U599" s="897" t="s">
        <v>110</v>
      </c>
      <c r="V599" s="897" t="s">
        <v>110</v>
      </c>
      <c r="W599" s="897" t="s">
        <v>110</v>
      </c>
      <c r="X599" s="897" t="s">
        <v>110</v>
      </c>
      <c r="Y599" s="897" t="s">
        <v>110</v>
      </c>
      <c r="Z599" s="897" t="s">
        <v>110</v>
      </c>
      <c r="AA599" s="897" t="s">
        <v>110</v>
      </c>
      <c r="AB599" s="897" t="s">
        <v>110</v>
      </c>
      <c r="AC599" s="897" t="s">
        <v>110</v>
      </c>
      <c r="AD599" s="897" t="s">
        <v>110</v>
      </c>
      <c r="AE599" s="897" t="s">
        <v>110</v>
      </c>
      <c r="AF599" s="897" t="s">
        <v>110</v>
      </c>
      <c r="AG599" s="897" t="s">
        <v>110</v>
      </c>
      <c r="AH599" s="39">
        <f t="shared" si="115"/>
        <v>0</v>
      </c>
    </row>
    <row r="600" spans="1:36" ht="15">
      <c r="A600" s="21" t="s">
        <v>83</v>
      </c>
      <c r="B600" s="94">
        <f t="shared" si="114"/>
        <v>0</v>
      </c>
      <c r="C600" s="65" t="s">
        <v>110</v>
      </c>
      <c r="D600" s="65" t="s">
        <v>110</v>
      </c>
      <c r="E600" s="65" t="s">
        <v>110</v>
      </c>
      <c r="F600" s="65" t="s">
        <v>110</v>
      </c>
      <c r="G600" s="65" t="s">
        <v>110</v>
      </c>
      <c r="H600" s="65" t="s">
        <v>110</v>
      </c>
      <c r="I600" s="65" t="s">
        <v>110</v>
      </c>
      <c r="J600" s="65" t="s">
        <v>110</v>
      </c>
      <c r="K600" s="65" t="s">
        <v>110</v>
      </c>
      <c r="L600" s="65" t="s">
        <v>110</v>
      </c>
      <c r="M600" s="65" t="s">
        <v>110</v>
      </c>
      <c r="N600" s="65" t="s">
        <v>110</v>
      </c>
      <c r="O600" s="65" t="s">
        <v>110</v>
      </c>
      <c r="P600" s="65" t="s">
        <v>110</v>
      </c>
      <c r="Q600" s="65" t="s">
        <v>110</v>
      </c>
      <c r="R600" s="15"/>
      <c r="S600" s="15"/>
      <c r="T600" s="15"/>
      <c r="U600" s="15"/>
      <c r="V600" s="15"/>
      <c r="W600" s="15"/>
      <c r="X600" s="15"/>
      <c r="Y600" s="11"/>
      <c r="Z600" s="15"/>
      <c r="AA600" s="15"/>
      <c r="AB600" s="15"/>
      <c r="AC600" s="15"/>
      <c r="AD600" s="15"/>
      <c r="AE600" s="39"/>
      <c r="AF600" s="15"/>
      <c r="AG600" s="39"/>
      <c r="AH600" s="39">
        <f t="shared" si="115"/>
        <v>0</v>
      </c>
    </row>
    <row r="601" spans="1:36" ht="15">
      <c r="A601" s="21" t="s">
        <v>84</v>
      </c>
      <c r="B601" s="15">
        <f t="shared" si="114"/>
        <v>0</v>
      </c>
      <c r="C601" s="3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39"/>
      <c r="AF601" s="15"/>
      <c r="AG601" s="39"/>
      <c r="AH601" s="39">
        <f t="shared" si="115"/>
        <v>0</v>
      </c>
    </row>
    <row r="602" spans="1:36" ht="15">
      <c r="A602" s="71" t="s">
        <v>72</v>
      </c>
      <c r="B602" s="72">
        <f>SUM(B590:B601)</f>
        <v>0</v>
      </c>
      <c r="C602" s="32">
        <f>SUM(C590:C600)</f>
        <v>0</v>
      </c>
      <c r="D602" s="39">
        <f>SUM(D590:D600)</f>
        <v>0</v>
      </c>
      <c r="E602" s="39">
        <v>0</v>
      </c>
      <c r="F602" s="39">
        <f t="shared" ref="F602:AC602" si="116">SUM(F590:F600)</f>
        <v>0</v>
      </c>
      <c r="G602" s="39">
        <f t="shared" si="116"/>
        <v>0</v>
      </c>
      <c r="H602" s="39">
        <f t="shared" si="116"/>
        <v>0</v>
      </c>
      <c r="I602" s="39">
        <f t="shared" si="116"/>
        <v>0</v>
      </c>
      <c r="J602" s="39">
        <f t="shared" si="116"/>
        <v>0</v>
      </c>
      <c r="K602" s="39">
        <f t="shared" si="116"/>
        <v>0</v>
      </c>
      <c r="L602" s="39">
        <f t="shared" si="116"/>
        <v>0</v>
      </c>
      <c r="M602" s="39">
        <f t="shared" si="116"/>
        <v>0</v>
      </c>
      <c r="N602" s="39">
        <f t="shared" si="116"/>
        <v>0</v>
      </c>
      <c r="O602" s="39">
        <f t="shared" si="116"/>
        <v>0</v>
      </c>
      <c r="P602" s="39">
        <f t="shared" si="116"/>
        <v>0</v>
      </c>
      <c r="Q602" s="39">
        <f t="shared" si="116"/>
        <v>0</v>
      </c>
      <c r="R602" s="39">
        <f t="shared" si="116"/>
        <v>0</v>
      </c>
      <c r="S602" s="39">
        <f t="shared" si="116"/>
        <v>0</v>
      </c>
      <c r="T602" s="39">
        <f t="shared" si="116"/>
        <v>0</v>
      </c>
      <c r="U602" s="39">
        <f t="shared" si="116"/>
        <v>0</v>
      </c>
      <c r="V602" s="39">
        <f t="shared" si="116"/>
        <v>0</v>
      </c>
      <c r="W602" s="39">
        <f t="shared" si="116"/>
        <v>0</v>
      </c>
      <c r="X602" s="39">
        <f t="shared" si="116"/>
        <v>0</v>
      </c>
      <c r="Y602" s="39">
        <f t="shared" si="116"/>
        <v>0</v>
      </c>
      <c r="Z602" s="39">
        <f t="shared" si="116"/>
        <v>0</v>
      </c>
      <c r="AA602" s="39">
        <f t="shared" si="116"/>
        <v>0</v>
      </c>
      <c r="AB602" s="39">
        <f t="shared" si="116"/>
        <v>0</v>
      </c>
      <c r="AC602" s="39">
        <f t="shared" si="116"/>
        <v>0</v>
      </c>
      <c r="AD602" s="39">
        <v>0</v>
      </c>
      <c r="AE602" s="39">
        <f>SUM(AE590:AE600)</f>
        <v>0</v>
      </c>
      <c r="AF602" s="39">
        <f>SUM(AF590:AF600)</f>
        <v>0</v>
      </c>
      <c r="AG602" s="39">
        <f>SUM(AG590:AG600)</f>
        <v>0</v>
      </c>
      <c r="AH602" s="32">
        <f>SUM(AH590:AH600)</f>
        <v>0</v>
      </c>
    </row>
    <row r="604" spans="1:36" ht="15">
      <c r="A604" s="3815" t="s">
        <v>121</v>
      </c>
      <c r="B604" s="3816"/>
      <c r="C604" s="3816"/>
      <c r="D604" s="3816"/>
      <c r="E604" s="3816"/>
      <c r="F604" s="3816"/>
      <c r="G604" s="3816"/>
      <c r="H604" s="3817"/>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row>
    <row r="605" spans="1:36" ht="15">
      <c r="A605" s="5" t="s">
        <v>70</v>
      </c>
      <c r="B605" s="5" t="s">
        <v>71</v>
      </c>
      <c r="C605" s="2166">
        <v>1</v>
      </c>
      <c r="D605" s="21">
        <v>2</v>
      </c>
      <c r="E605" s="21">
        <v>3</v>
      </c>
      <c r="F605" s="21">
        <v>4</v>
      </c>
      <c r="G605" s="21">
        <v>5</v>
      </c>
      <c r="H605" s="21">
        <v>6</v>
      </c>
      <c r="I605" s="21">
        <v>7</v>
      </c>
      <c r="J605" s="21">
        <v>8</v>
      </c>
      <c r="K605" s="21">
        <v>9</v>
      </c>
      <c r="L605" s="21">
        <v>10</v>
      </c>
      <c r="M605" s="21">
        <v>11</v>
      </c>
      <c r="N605" s="21">
        <v>12</v>
      </c>
      <c r="O605" s="21">
        <v>13</v>
      </c>
      <c r="P605" s="21">
        <v>14</v>
      </c>
      <c r="Q605" s="21">
        <v>15</v>
      </c>
      <c r="R605" s="21">
        <v>16</v>
      </c>
      <c r="S605" s="21">
        <v>17</v>
      </c>
      <c r="T605" s="21">
        <v>18</v>
      </c>
      <c r="U605" s="21">
        <v>19</v>
      </c>
      <c r="V605" s="21">
        <v>20</v>
      </c>
      <c r="W605" s="21">
        <v>21</v>
      </c>
      <c r="X605" s="21">
        <v>22</v>
      </c>
      <c r="Y605" s="21">
        <v>23</v>
      </c>
      <c r="Z605" s="21">
        <v>24</v>
      </c>
      <c r="AA605" s="21">
        <v>25</v>
      </c>
      <c r="AB605" s="21">
        <v>26</v>
      </c>
      <c r="AC605" s="21">
        <v>27</v>
      </c>
      <c r="AD605" s="21">
        <v>28</v>
      </c>
      <c r="AE605" s="21">
        <v>29</v>
      </c>
      <c r="AF605" s="21">
        <v>30</v>
      </c>
      <c r="AG605" s="21">
        <v>31</v>
      </c>
      <c r="AH605" s="25" t="s">
        <v>72</v>
      </c>
      <c r="AI605" s="2266" t="s">
        <v>1345</v>
      </c>
      <c r="AJ605" s="66">
        <f>(B618/COUNTIF($C$606:$AG$617,"&gt;0"))</f>
        <v>1.8330000000000002</v>
      </c>
    </row>
    <row r="606" spans="1:36" ht="15">
      <c r="A606" s="21" t="s">
        <v>73</v>
      </c>
      <c r="B606" s="95">
        <f t="shared" ref="B606:B617" si="117">+AH606</f>
        <v>1.766</v>
      </c>
      <c r="C606" s="1689"/>
      <c r="D606" s="1689"/>
      <c r="E606" s="1689"/>
      <c r="F606" s="1689"/>
      <c r="G606" s="1689"/>
      <c r="H606" s="1689"/>
      <c r="I606" s="1689"/>
      <c r="J606" s="1689"/>
      <c r="K606" s="1689"/>
      <c r="L606" s="1689"/>
      <c r="M606" s="1689"/>
      <c r="N606" s="1689"/>
      <c r="O606" s="1689"/>
      <c r="P606" s="1689"/>
      <c r="Q606" s="1689"/>
      <c r="R606" s="1689"/>
      <c r="S606" s="1689"/>
      <c r="T606" s="1689"/>
      <c r="U606" s="1689"/>
      <c r="V606" s="1689"/>
      <c r="W606" s="1689"/>
      <c r="X606" s="1689"/>
      <c r="Y606" s="1689"/>
      <c r="Z606" s="1689"/>
      <c r="AA606" s="1689"/>
      <c r="AB606" s="1091"/>
      <c r="AC606" s="1689"/>
      <c r="AD606" s="3330">
        <v>1.766</v>
      </c>
      <c r="AE606" s="1689"/>
      <c r="AF606" s="1689"/>
      <c r="AG606" s="1689"/>
      <c r="AH606" s="39">
        <f>SUM(C606:AG606)</f>
        <v>1.766</v>
      </c>
      <c r="AJ606" s="2157">
        <f>+'Resumen RAE Anchoveta'!G283</f>
        <v>233.988</v>
      </c>
    </row>
    <row r="607" spans="1:36" ht="15">
      <c r="A607" s="21" t="s">
        <v>74</v>
      </c>
      <c r="B607" s="95">
        <f t="shared" si="117"/>
        <v>0.96399999999999997</v>
      </c>
      <c r="C607" s="1689" t="s">
        <v>127</v>
      </c>
      <c r="D607" s="1689" t="s">
        <v>127</v>
      </c>
      <c r="E607" s="1689" t="s">
        <v>127</v>
      </c>
      <c r="F607" s="1689" t="s">
        <v>127</v>
      </c>
      <c r="G607" s="1689" t="s">
        <v>127</v>
      </c>
      <c r="H607" s="1689" t="s">
        <v>127</v>
      </c>
      <c r="I607" s="1689" t="s">
        <v>127</v>
      </c>
      <c r="J607" s="1689" t="s">
        <v>127</v>
      </c>
      <c r="K607" s="1689" t="s">
        <v>127</v>
      </c>
      <c r="L607" s="1689" t="s">
        <v>127</v>
      </c>
      <c r="M607" s="1689" t="s">
        <v>127</v>
      </c>
      <c r="N607" s="1689" t="s">
        <v>127</v>
      </c>
      <c r="O607" s="1689">
        <v>0.70899999999999996</v>
      </c>
      <c r="P607" s="1689" t="s">
        <v>127</v>
      </c>
      <c r="Q607" s="1689" t="s">
        <v>127</v>
      </c>
      <c r="R607" s="1689" t="s">
        <v>127</v>
      </c>
      <c r="S607" s="1689" t="s">
        <v>127</v>
      </c>
      <c r="T607" s="1689" t="s">
        <v>127</v>
      </c>
      <c r="U607" s="1689" t="s">
        <v>127</v>
      </c>
      <c r="V607" s="1689" t="s">
        <v>127</v>
      </c>
      <c r="W607" s="1689" t="s">
        <v>127</v>
      </c>
      <c r="X607" s="1689" t="s">
        <v>127</v>
      </c>
      <c r="Y607" s="1689" t="s">
        <v>127</v>
      </c>
      <c r="Z607" s="1689" t="s">
        <v>127</v>
      </c>
      <c r="AA607" s="1689" t="s">
        <v>127</v>
      </c>
      <c r="AB607" s="1689" t="s">
        <v>127</v>
      </c>
      <c r="AC607" s="1689">
        <v>0.255</v>
      </c>
      <c r="AD607" s="1689"/>
      <c r="AE607" s="1689"/>
      <c r="AF607" s="1689"/>
      <c r="AG607" s="1689"/>
      <c r="AH607" s="39">
        <f t="shared" ref="AH607:AH617" si="118">SUM(C607:AG607)</f>
        <v>0.96399999999999997</v>
      </c>
      <c r="AJ607" s="1093">
        <f>+AJ606/AJ605</f>
        <v>127.65302782324058</v>
      </c>
    </row>
    <row r="608" spans="1:36" ht="15">
      <c r="A608" s="21" t="s">
        <v>75</v>
      </c>
      <c r="B608" s="95">
        <f t="shared" si="117"/>
        <v>2.2410000000000001</v>
      </c>
      <c r="C608" s="1689"/>
      <c r="D608" s="1689"/>
      <c r="E608" s="1689"/>
      <c r="F608" s="1689"/>
      <c r="G608" s="1689"/>
      <c r="H608" s="1091"/>
      <c r="I608" s="1091"/>
      <c r="J608" s="1091"/>
      <c r="K608" s="1091"/>
      <c r="L608" s="1091"/>
      <c r="M608" s="1091"/>
      <c r="N608" s="1091"/>
      <c r="O608" s="1091"/>
      <c r="P608" s="1091"/>
      <c r="Q608" s="1084"/>
      <c r="R608" s="1084"/>
      <c r="S608" s="1084"/>
      <c r="T608" s="1084"/>
      <c r="U608" s="1084"/>
      <c r="V608" s="1084"/>
      <c r="W608" s="1084"/>
      <c r="X608" s="1084"/>
      <c r="Y608" s="1084"/>
      <c r="Z608" s="1084"/>
      <c r="AA608" s="1084"/>
      <c r="AB608" s="1084"/>
      <c r="AC608" s="1084"/>
      <c r="AD608" s="1084"/>
      <c r="AE608" s="1084">
        <v>2.2410000000000001</v>
      </c>
      <c r="AF608" s="1084"/>
      <c r="AG608" s="1084"/>
      <c r="AH608" s="39">
        <f t="shared" si="118"/>
        <v>2.2410000000000001</v>
      </c>
    </row>
    <row r="609" spans="1:34" ht="15">
      <c r="A609" s="21" t="s">
        <v>76</v>
      </c>
      <c r="B609" s="95">
        <f t="shared" si="117"/>
        <v>0</v>
      </c>
      <c r="C609" s="1084"/>
      <c r="D609" s="1084"/>
      <c r="E609" s="1084"/>
      <c r="F609" s="1084"/>
      <c r="G609" s="1084"/>
      <c r="H609" s="1084"/>
      <c r="I609" s="1084"/>
      <c r="J609" s="1084"/>
      <c r="K609" s="1084"/>
      <c r="L609" s="1084"/>
      <c r="M609" s="1084"/>
      <c r="N609" s="1084"/>
      <c r="O609" s="1084"/>
      <c r="P609" s="1084"/>
      <c r="Q609" s="1084"/>
      <c r="R609" s="1084"/>
      <c r="S609" s="1084"/>
      <c r="T609" s="1084"/>
      <c r="U609" s="1084"/>
      <c r="V609" s="1084"/>
      <c r="W609" s="1084"/>
      <c r="X609" s="1084"/>
      <c r="Y609" s="1084"/>
      <c r="Z609" s="1084"/>
      <c r="AA609" s="1084"/>
      <c r="AB609" s="1084"/>
      <c r="AC609" s="1084"/>
      <c r="AD609" s="1084"/>
      <c r="AE609" s="1084"/>
      <c r="AF609" s="1084" t="s">
        <v>110</v>
      </c>
      <c r="AG609" s="1084" t="s">
        <v>110</v>
      </c>
      <c r="AH609" s="39">
        <f t="shared" si="118"/>
        <v>0</v>
      </c>
    </row>
    <row r="610" spans="1:34" ht="15">
      <c r="A610" s="21" t="s">
        <v>77</v>
      </c>
      <c r="B610" s="95">
        <f t="shared" si="117"/>
        <v>0</v>
      </c>
      <c r="C610" s="1084" t="s">
        <v>110</v>
      </c>
      <c r="D610" s="1084" t="s">
        <v>110</v>
      </c>
      <c r="E610" s="1084" t="s">
        <v>110</v>
      </c>
      <c r="F610" s="1084" t="s">
        <v>110</v>
      </c>
      <c r="G610" s="1084" t="s">
        <v>110</v>
      </c>
      <c r="H610" s="1084" t="s">
        <v>110</v>
      </c>
      <c r="I610" s="1084" t="s">
        <v>110</v>
      </c>
      <c r="J610" s="1084" t="s">
        <v>110</v>
      </c>
      <c r="K610" s="1084" t="s">
        <v>110</v>
      </c>
      <c r="L610" s="1084" t="s">
        <v>110</v>
      </c>
      <c r="M610" s="1084" t="s">
        <v>110</v>
      </c>
      <c r="N610" s="1084" t="s">
        <v>110</v>
      </c>
      <c r="O610" s="1084" t="s">
        <v>110</v>
      </c>
      <c r="P610" s="1084" t="s">
        <v>110</v>
      </c>
      <c r="Q610" s="1084" t="s">
        <v>110</v>
      </c>
      <c r="R610" s="2165"/>
      <c r="S610" s="2165"/>
      <c r="T610" s="2165"/>
      <c r="U610" s="2165"/>
      <c r="V610" s="2165"/>
      <c r="W610" s="2165"/>
      <c r="X610" s="2165"/>
      <c r="Y610" s="2165"/>
      <c r="Z610" s="2165"/>
      <c r="AA610" s="2165"/>
      <c r="AB610" s="2165"/>
      <c r="AC610" s="2165"/>
      <c r="AD610" s="2165"/>
      <c r="AE610" s="2165"/>
      <c r="AF610" s="2165"/>
      <c r="AG610" s="2165"/>
      <c r="AH610" s="39">
        <f t="shared" si="118"/>
        <v>0</v>
      </c>
    </row>
    <row r="611" spans="1:34" ht="15">
      <c r="A611" s="21" t="s">
        <v>78</v>
      </c>
      <c r="B611" s="95">
        <f t="shared" si="117"/>
        <v>5.44</v>
      </c>
      <c r="C611" s="3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v>5.44</v>
      </c>
      <c r="AB611" s="15"/>
      <c r="AC611" s="15"/>
      <c r="AD611" s="15"/>
      <c r="AE611" s="15"/>
      <c r="AF611" s="15"/>
      <c r="AG611" s="15"/>
      <c r="AH611" s="39">
        <f t="shared" si="118"/>
        <v>5.44</v>
      </c>
    </row>
    <row r="612" spans="1:34" ht="15">
      <c r="A612" s="21" t="s">
        <v>79</v>
      </c>
      <c r="B612" s="94">
        <f t="shared" si="117"/>
        <v>0</v>
      </c>
      <c r="C612" s="35"/>
      <c r="D612" s="39"/>
      <c r="E612" s="39"/>
      <c r="F612" s="39"/>
      <c r="G612" s="15"/>
      <c r="H612" s="15"/>
      <c r="I612" s="15"/>
      <c r="J612" s="43"/>
      <c r="K612" s="43"/>
      <c r="L612" s="39"/>
      <c r="M612" s="39"/>
      <c r="N612" s="39"/>
      <c r="O612" s="39"/>
      <c r="P612" s="39"/>
      <c r="Q612" s="39"/>
      <c r="R612" s="39"/>
      <c r="S612" s="39"/>
      <c r="T612" s="39"/>
      <c r="U612" s="39"/>
      <c r="V612" s="39"/>
      <c r="W612" s="897" t="s">
        <v>110</v>
      </c>
      <c r="X612" s="897" t="s">
        <v>110</v>
      </c>
      <c r="Y612" s="897" t="s">
        <v>110</v>
      </c>
      <c r="Z612" s="897" t="s">
        <v>110</v>
      </c>
      <c r="AA612" s="897" t="s">
        <v>110</v>
      </c>
      <c r="AB612" s="897" t="s">
        <v>110</v>
      </c>
      <c r="AC612" s="897" t="s">
        <v>110</v>
      </c>
      <c r="AD612" s="897" t="s">
        <v>110</v>
      </c>
      <c r="AE612" s="897" t="s">
        <v>110</v>
      </c>
      <c r="AF612" s="897" t="s">
        <v>110</v>
      </c>
      <c r="AG612" s="897" t="s">
        <v>110</v>
      </c>
      <c r="AH612" s="39">
        <f t="shared" si="118"/>
        <v>0</v>
      </c>
    </row>
    <row r="613" spans="1:34" ht="15">
      <c r="A613" s="21" t="s">
        <v>80</v>
      </c>
      <c r="B613" s="94">
        <f t="shared" si="117"/>
        <v>0.58699999999999997</v>
      </c>
      <c r="C613" s="897" t="s">
        <v>110</v>
      </c>
      <c r="D613" s="897" t="s">
        <v>110</v>
      </c>
      <c r="E613" s="897" t="s">
        <v>110</v>
      </c>
      <c r="F613" s="897" t="s">
        <v>110</v>
      </c>
      <c r="G613" s="897" t="s">
        <v>110</v>
      </c>
      <c r="H613" s="897" t="s">
        <v>110</v>
      </c>
      <c r="I613" s="897" t="s">
        <v>110</v>
      </c>
      <c r="J613" s="897" t="s">
        <v>110</v>
      </c>
      <c r="K613" s="897" t="s">
        <v>110</v>
      </c>
      <c r="L613" s="897" t="s">
        <v>110</v>
      </c>
      <c r="M613" s="897" t="s">
        <v>110</v>
      </c>
      <c r="N613" s="897" t="s">
        <v>110</v>
      </c>
      <c r="O613" s="897" t="s">
        <v>110</v>
      </c>
      <c r="P613" s="897" t="s">
        <v>110</v>
      </c>
      <c r="Q613" s="897" t="s">
        <v>110</v>
      </c>
      <c r="R613" s="897" t="s">
        <v>110</v>
      </c>
      <c r="S613" s="897" t="s">
        <v>110</v>
      </c>
      <c r="T613" s="897" t="s">
        <v>110</v>
      </c>
      <c r="U613" s="897" t="s">
        <v>110</v>
      </c>
      <c r="V613" s="897" t="s">
        <v>110</v>
      </c>
      <c r="W613" s="897" t="s">
        <v>110</v>
      </c>
      <c r="X613" s="897" t="s">
        <v>110</v>
      </c>
      <c r="Y613" s="897" t="s">
        <v>110</v>
      </c>
      <c r="Z613" s="897" t="s">
        <v>110</v>
      </c>
      <c r="AA613" s="897" t="s">
        <v>110</v>
      </c>
      <c r="AB613" s="897" t="s">
        <v>110</v>
      </c>
      <c r="AC613" s="897" t="s">
        <v>110</v>
      </c>
      <c r="AD613" s="3393">
        <v>0.58699999999999997</v>
      </c>
      <c r="AE613" s="897" t="s">
        <v>110</v>
      </c>
      <c r="AF613" s="897" t="s">
        <v>110</v>
      </c>
      <c r="AG613" s="897" t="s">
        <v>110</v>
      </c>
      <c r="AH613" s="39">
        <f t="shared" si="118"/>
        <v>0.58699999999999997</v>
      </c>
    </row>
    <row r="614" spans="1:34" ht="15">
      <c r="A614" s="21" t="s">
        <v>81</v>
      </c>
      <c r="B614" s="94">
        <f t="shared" si="117"/>
        <v>0</v>
      </c>
      <c r="C614" s="32"/>
      <c r="D614" s="39"/>
      <c r="E614" s="39"/>
      <c r="F614" s="39"/>
      <c r="G614" s="39"/>
      <c r="H614" s="39"/>
      <c r="I614" s="39"/>
      <c r="J614" s="43"/>
      <c r="K614" s="43"/>
      <c r="L614" s="15"/>
      <c r="M614" s="15"/>
      <c r="N614" s="15"/>
      <c r="O614" s="15"/>
      <c r="P614" s="15"/>
      <c r="Q614" s="897" t="s">
        <v>110</v>
      </c>
      <c r="R614" s="897" t="s">
        <v>110</v>
      </c>
      <c r="S614" s="897" t="s">
        <v>110</v>
      </c>
      <c r="T614" s="897" t="s">
        <v>110</v>
      </c>
      <c r="U614" s="897" t="s">
        <v>110</v>
      </c>
      <c r="V614" s="897" t="s">
        <v>110</v>
      </c>
      <c r="W614" s="897" t="s">
        <v>110</v>
      </c>
      <c r="X614" s="897" t="s">
        <v>110</v>
      </c>
      <c r="Y614" s="897" t="s">
        <v>110</v>
      </c>
      <c r="Z614" s="897" t="s">
        <v>110</v>
      </c>
      <c r="AA614" s="897" t="s">
        <v>110</v>
      </c>
      <c r="AB614" s="897" t="s">
        <v>110</v>
      </c>
      <c r="AC614" s="897" t="s">
        <v>110</v>
      </c>
      <c r="AD614" s="897" t="s">
        <v>110</v>
      </c>
      <c r="AE614" s="897" t="s">
        <v>110</v>
      </c>
      <c r="AF614" s="897" t="s">
        <v>110</v>
      </c>
      <c r="AG614" s="897" t="s">
        <v>110</v>
      </c>
      <c r="AH614" s="39">
        <f t="shared" si="118"/>
        <v>0</v>
      </c>
    </row>
    <row r="615" spans="1:34" ht="15">
      <c r="A615" s="21" t="s">
        <v>82</v>
      </c>
      <c r="B615" s="94">
        <f t="shared" si="117"/>
        <v>0</v>
      </c>
      <c r="C615" s="35"/>
      <c r="D615" s="897" t="s">
        <v>110</v>
      </c>
      <c r="E615" s="897" t="s">
        <v>110</v>
      </c>
      <c r="F615" s="897" t="s">
        <v>110</v>
      </c>
      <c r="G615" s="897" t="s">
        <v>110</v>
      </c>
      <c r="H615" s="897" t="s">
        <v>110</v>
      </c>
      <c r="I615" s="897" t="s">
        <v>110</v>
      </c>
      <c r="J615" s="897" t="s">
        <v>110</v>
      </c>
      <c r="K615" s="897" t="s">
        <v>110</v>
      </c>
      <c r="L615" s="897" t="s">
        <v>110</v>
      </c>
      <c r="M615" s="897" t="s">
        <v>110</v>
      </c>
      <c r="N615" s="897" t="s">
        <v>110</v>
      </c>
      <c r="O615" s="897" t="s">
        <v>110</v>
      </c>
      <c r="P615" s="897" t="s">
        <v>110</v>
      </c>
      <c r="Q615" s="897" t="s">
        <v>110</v>
      </c>
      <c r="R615" s="897" t="s">
        <v>110</v>
      </c>
      <c r="S615" s="897" t="s">
        <v>110</v>
      </c>
      <c r="T615" s="897" t="s">
        <v>110</v>
      </c>
      <c r="U615" s="897" t="s">
        <v>110</v>
      </c>
      <c r="V615" s="897" t="s">
        <v>110</v>
      </c>
      <c r="W615" s="897" t="s">
        <v>110</v>
      </c>
      <c r="X615" s="897" t="s">
        <v>110</v>
      </c>
      <c r="Y615" s="897" t="s">
        <v>110</v>
      </c>
      <c r="Z615" s="897" t="s">
        <v>110</v>
      </c>
      <c r="AA615" s="897" t="s">
        <v>110</v>
      </c>
      <c r="AB615" s="897" t="s">
        <v>110</v>
      </c>
      <c r="AC615" s="897" t="s">
        <v>110</v>
      </c>
      <c r="AD615" s="897" t="s">
        <v>110</v>
      </c>
      <c r="AE615" s="897" t="s">
        <v>110</v>
      </c>
      <c r="AF615" s="897" t="s">
        <v>110</v>
      </c>
      <c r="AG615" s="897" t="s">
        <v>110</v>
      </c>
      <c r="AH615" s="39">
        <f t="shared" si="118"/>
        <v>0</v>
      </c>
    </row>
    <row r="616" spans="1:34" ht="15">
      <c r="A616" s="21" t="s">
        <v>83</v>
      </c>
      <c r="B616" s="15">
        <f t="shared" si="117"/>
        <v>0</v>
      </c>
      <c r="C616" s="65" t="s">
        <v>110</v>
      </c>
      <c r="D616" s="65" t="s">
        <v>110</v>
      </c>
      <c r="E616" s="65" t="s">
        <v>110</v>
      </c>
      <c r="F616" s="65" t="s">
        <v>110</v>
      </c>
      <c r="G616" s="65" t="s">
        <v>110</v>
      </c>
      <c r="H616" s="65" t="s">
        <v>110</v>
      </c>
      <c r="I616" s="65" t="s">
        <v>110</v>
      </c>
      <c r="J616" s="65" t="s">
        <v>110</v>
      </c>
      <c r="K616" s="65" t="s">
        <v>110</v>
      </c>
      <c r="L616" s="65" t="s">
        <v>110</v>
      </c>
      <c r="M616" s="65" t="s">
        <v>110</v>
      </c>
      <c r="N616" s="65" t="s">
        <v>110</v>
      </c>
      <c r="O616" s="65" t="s">
        <v>110</v>
      </c>
      <c r="P616" s="65" t="s">
        <v>110</v>
      </c>
      <c r="Q616" s="65" t="s">
        <v>110</v>
      </c>
      <c r="R616" s="15"/>
      <c r="S616" s="15"/>
      <c r="T616" s="15"/>
      <c r="U616" s="15"/>
      <c r="V616" s="15"/>
      <c r="W616" s="15"/>
      <c r="X616" s="15"/>
      <c r="Y616" s="11"/>
      <c r="Z616" s="15"/>
      <c r="AA616" s="15"/>
      <c r="AB616" s="15"/>
      <c r="AC616" s="15"/>
      <c r="AD616" s="15"/>
      <c r="AE616" s="39"/>
      <c r="AF616" s="15"/>
      <c r="AG616" s="39"/>
      <c r="AH616" s="39">
        <f t="shared" si="118"/>
        <v>0</v>
      </c>
    </row>
    <row r="617" spans="1:34" ht="15">
      <c r="A617" s="21" t="s">
        <v>84</v>
      </c>
      <c r="B617" s="15">
        <f t="shared" si="117"/>
        <v>0</v>
      </c>
      <c r="C617" s="3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39"/>
      <c r="AF617" s="15"/>
      <c r="AG617" s="39"/>
      <c r="AH617" s="39">
        <f t="shared" si="118"/>
        <v>0</v>
      </c>
    </row>
    <row r="618" spans="1:34" ht="15">
      <c r="A618" s="71" t="s">
        <v>72</v>
      </c>
      <c r="B618" s="72">
        <f>SUM(B606:B617)</f>
        <v>10.998000000000001</v>
      </c>
      <c r="C618" s="32">
        <f>SUM(C606:C616)</f>
        <v>0</v>
      </c>
      <c r="D618" s="39">
        <f>SUM(D606:D616)</f>
        <v>0</v>
      </c>
      <c r="E618" s="39">
        <v>0</v>
      </c>
      <c r="F618" s="39">
        <f t="shared" ref="F618:AC618" si="119">SUM(F606:F616)</f>
        <v>0</v>
      </c>
      <c r="G618" s="39">
        <f t="shared" si="119"/>
        <v>0</v>
      </c>
      <c r="H618" s="39">
        <f t="shared" si="119"/>
        <v>0</v>
      </c>
      <c r="I618" s="39">
        <f t="shared" si="119"/>
        <v>0</v>
      </c>
      <c r="J618" s="39">
        <f t="shared" si="119"/>
        <v>0</v>
      </c>
      <c r="K618" s="39">
        <f t="shared" si="119"/>
        <v>0</v>
      </c>
      <c r="L618" s="39">
        <f t="shared" si="119"/>
        <v>0</v>
      </c>
      <c r="M618" s="39">
        <f t="shared" si="119"/>
        <v>0</v>
      </c>
      <c r="N618" s="39">
        <f t="shared" si="119"/>
        <v>0</v>
      </c>
      <c r="O618" s="39">
        <f t="shared" si="119"/>
        <v>0.70899999999999996</v>
      </c>
      <c r="P618" s="39">
        <f t="shared" si="119"/>
        <v>0</v>
      </c>
      <c r="Q618" s="39">
        <f t="shared" si="119"/>
        <v>0</v>
      </c>
      <c r="R618" s="39">
        <f t="shared" si="119"/>
        <v>0</v>
      </c>
      <c r="S618" s="39">
        <f t="shared" si="119"/>
        <v>0</v>
      </c>
      <c r="T618" s="39">
        <f t="shared" si="119"/>
        <v>0</v>
      </c>
      <c r="U618" s="39">
        <f t="shared" si="119"/>
        <v>0</v>
      </c>
      <c r="V618" s="39">
        <f t="shared" si="119"/>
        <v>0</v>
      </c>
      <c r="W618" s="39">
        <f t="shared" si="119"/>
        <v>0</v>
      </c>
      <c r="X618" s="39">
        <f t="shared" si="119"/>
        <v>0</v>
      </c>
      <c r="Y618" s="39">
        <f t="shared" si="119"/>
        <v>0</v>
      </c>
      <c r="Z618" s="39">
        <f t="shared" si="119"/>
        <v>0</v>
      </c>
      <c r="AA618" s="39">
        <f t="shared" si="119"/>
        <v>5.44</v>
      </c>
      <c r="AB618" s="39">
        <f t="shared" si="119"/>
        <v>0</v>
      </c>
      <c r="AC618" s="39">
        <f t="shared" si="119"/>
        <v>0.255</v>
      </c>
      <c r="AD618" s="39">
        <v>0</v>
      </c>
      <c r="AE618" s="39">
        <f>SUM(AE606:AE616)</f>
        <v>2.2410000000000001</v>
      </c>
      <c r="AF618" s="39">
        <f>SUM(AF606:AF616)</f>
        <v>0</v>
      </c>
      <c r="AG618" s="39">
        <f>SUM(AG606:AG616)</f>
        <v>0</v>
      </c>
      <c r="AH618" s="32">
        <f>SUM(AH606:AH616)</f>
        <v>10.998000000000001</v>
      </c>
    </row>
  </sheetData>
  <mergeCells count="52">
    <mergeCell ref="AL54:BC54"/>
    <mergeCell ref="AL56:AS56"/>
    <mergeCell ref="A2:T2"/>
    <mergeCell ref="A137:R137"/>
    <mergeCell ref="A72:H72"/>
    <mergeCell ref="A56:H56"/>
    <mergeCell ref="A54:R54"/>
    <mergeCell ref="A6:H6"/>
    <mergeCell ref="A22:H22"/>
    <mergeCell ref="A38:H38"/>
    <mergeCell ref="A4:R4"/>
    <mergeCell ref="A89:I89"/>
    <mergeCell ref="A121:C121"/>
    <mergeCell ref="A105:I105"/>
    <mergeCell ref="V3:AC3"/>
    <mergeCell ref="A88:R88"/>
    <mergeCell ref="A604:H604"/>
    <mergeCell ref="A411:R411"/>
    <mergeCell ref="A428:H428"/>
    <mergeCell ref="A444:H444"/>
    <mergeCell ref="A476:H476"/>
    <mergeCell ref="A412:H412"/>
    <mergeCell ref="A588:H588"/>
    <mergeCell ref="A572:H572"/>
    <mergeCell ref="A556:H556"/>
    <mergeCell ref="A540:H540"/>
    <mergeCell ref="A524:H524"/>
    <mergeCell ref="A508:H508"/>
    <mergeCell ref="A492:H492"/>
    <mergeCell ref="A460:H460"/>
    <mergeCell ref="A315:H315"/>
    <mergeCell ref="A331:H331"/>
    <mergeCell ref="AL325:AR325"/>
    <mergeCell ref="AL316:AR316"/>
    <mergeCell ref="AL319:AR319"/>
    <mergeCell ref="A395:H395"/>
    <mergeCell ref="A363:H363"/>
    <mergeCell ref="A379:H379"/>
    <mergeCell ref="A347:H347"/>
    <mergeCell ref="AL330:AR330"/>
    <mergeCell ref="AL331:AR331"/>
    <mergeCell ref="A139:H139"/>
    <mergeCell ref="A235:H235"/>
    <mergeCell ref="A283:H283"/>
    <mergeCell ref="A299:H299"/>
    <mergeCell ref="A155:H155"/>
    <mergeCell ref="A187:H187"/>
    <mergeCell ref="A203:H203"/>
    <mergeCell ref="A171:H171"/>
    <mergeCell ref="A251:H251"/>
    <mergeCell ref="A219:H219"/>
    <mergeCell ref="A267:H267"/>
  </mergeCells>
  <phoneticPr fontId="0" type="noConversion"/>
  <pageMargins left="0.75" right="0.75" top="1" bottom="1" header="0" footer="0"/>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sheetPr>
    <tabColor theme="8" tint="-0.249977111117893"/>
  </sheetPr>
  <dimension ref="A2:IX183"/>
  <sheetViews>
    <sheetView zoomScale="80" zoomScaleNormal="80" workbookViewId="0">
      <selection activeCell="A16" sqref="A16"/>
    </sheetView>
  </sheetViews>
  <sheetFormatPr baseColWidth="10" defaultColWidth="11.44140625" defaultRowHeight="13.2"/>
  <cols>
    <col min="1" max="1" width="11.44140625" style="2266"/>
    <col min="2" max="2" width="11.5546875" style="2414" bestFit="1" customWidth="1"/>
    <col min="3" max="3" width="13.88671875" style="2358" customWidth="1"/>
    <col min="4" max="4" width="9" style="2358" customWidth="1"/>
    <col min="5" max="5" width="8.88671875" style="2358" bestFit="1" customWidth="1"/>
    <col min="6" max="6" width="10" style="2358" customWidth="1"/>
    <col min="7" max="8" width="8.109375" style="2358" bestFit="1" customWidth="1"/>
    <col min="9" max="9" width="8.6640625" style="2358" customWidth="1"/>
    <col min="10" max="10" width="8.109375" style="2358" bestFit="1" customWidth="1"/>
    <col min="11" max="11" width="8.5546875" style="2358" bestFit="1" customWidth="1"/>
    <col min="12" max="12" width="8.109375" style="2358" bestFit="1" customWidth="1"/>
    <col min="13" max="13" width="8.44140625" style="2358" customWidth="1"/>
    <col min="14" max="14" width="10" style="2358" customWidth="1"/>
    <col min="15" max="15" width="10.33203125" style="2358" customWidth="1"/>
    <col min="16" max="16" width="8.6640625" style="2358" customWidth="1"/>
    <col min="17" max="17" width="7.109375" style="2358" bestFit="1" customWidth="1"/>
    <col min="18" max="18" width="6.5546875" style="2358" customWidth="1"/>
    <col min="19" max="19" width="8.33203125" style="2358" customWidth="1"/>
    <col min="20" max="20" width="7.88671875" style="2358" customWidth="1"/>
    <col min="21" max="21" width="7.44140625" style="2358" bestFit="1" customWidth="1"/>
    <col min="22" max="22" width="8.6640625" style="2358" bestFit="1" customWidth="1"/>
    <col min="23" max="24" width="7.109375" style="2358" bestFit="1" customWidth="1"/>
    <col min="25" max="25" width="8.109375" style="2358" customWidth="1"/>
    <col min="26" max="26" width="8.6640625" style="2358" customWidth="1"/>
    <col min="27" max="27" width="8.5546875" style="2358" bestFit="1" customWidth="1"/>
    <col min="28" max="28" width="9.44140625" style="2358" customWidth="1"/>
    <col min="29" max="29" width="8.5546875" style="2358" bestFit="1" customWidth="1"/>
    <col min="30" max="30" width="8.5546875" style="2358" customWidth="1"/>
    <col min="31" max="31" width="7.88671875" style="2358" bestFit="1" customWidth="1"/>
    <col min="32" max="32" width="9.109375" style="2358" customWidth="1"/>
    <col min="33" max="33" width="8.109375" style="2358" customWidth="1"/>
    <col min="34" max="34" width="9.88671875" style="2358" bestFit="1" customWidth="1"/>
    <col min="35" max="35" width="15.33203125" style="2358" customWidth="1"/>
    <col min="36" max="36" width="9.88671875" style="2358" customWidth="1"/>
    <col min="37" max="37" width="5.88671875" style="2358" customWidth="1"/>
    <col min="38" max="38" width="25.44140625" style="2358" customWidth="1"/>
    <col min="39" max="39" width="3.109375" style="591" customWidth="1"/>
    <col min="40" max="40" width="25.88671875" style="591" customWidth="1"/>
    <col min="41" max="41" width="21.44140625" style="591" bestFit="1" customWidth="1"/>
    <col min="42" max="44" width="6.5546875" style="591" bestFit="1" customWidth="1"/>
    <col min="45" max="45" width="6.6640625" style="591" bestFit="1" customWidth="1"/>
    <col min="46" max="46" width="5.6640625" style="591" bestFit="1" customWidth="1"/>
    <col min="47" max="47" width="6.6640625" style="591" bestFit="1" customWidth="1"/>
    <col min="48" max="52" width="5.6640625" style="591" bestFit="1" customWidth="1"/>
    <col min="53" max="62" width="5.109375" style="591" bestFit="1" customWidth="1"/>
    <col min="63" max="63" width="6.6640625" style="591" bestFit="1" customWidth="1"/>
    <col min="64" max="64" width="7.88671875" style="591" bestFit="1" customWidth="1"/>
    <col min="65" max="65" width="6.88671875" style="591" bestFit="1" customWidth="1"/>
    <col min="66" max="66" width="7.5546875" style="591" bestFit="1" customWidth="1"/>
    <col min="67" max="67" width="6.6640625" style="591" bestFit="1" customWidth="1"/>
    <col min="68" max="68" width="5.6640625" style="591" bestFit="1" customWidth="1"/>
    <col min="69" max="69" width="7.5546875" style="591" bestFit="1" customWidth="1"/>
    <col min="70" max="70" width="6.6640625" style="591" bestFit="1" customWidth="1"/>
    <col min="71" max="71" width="5.6640625" style="591" bestFit="1" customWidth="1"/>
    <col min="72" max="72" width="5.109375" style="591" bestFit="1" customWidth="1"/>
    <col min="73" max="73" width="7.88671875" style="591" bestFit="1" customWidth="1"/>
    <col min="74" max="239" width="11.44140625" style="591"/>
    <col min="240" max="258" width="11.44140625" style="286"/>
    <col min="259" max="16384" width="11.44140625" style="137"/>
  </cols>
  <sheetData>
    <row r="2" spans="1:258" ht="15">
      <c r="A2" s="3811" t="s">
        <v>737</v>
      </c>
      <c r="B2" s="3812"/>
      <c r="C2" s="3812"/>
      <c r="D2" s="3812"/>
      <c r="E2" s="3812"/>
      <c r="F2" s="3812"/>
      <c r="G2" s="3812"/>
      <c r="H2" s="3812"/>
      <c r="I2" s="3812"/>
      <c r="J2" s="3812"/>
      <c r="K2" s="3812"/>
      <c r="L2" s="3812"/>
      <c r="M2" s="3812"/>
      <c r="N2" s="3812"/>
      <c r="O2" s="3812"/>
      <c r="P2" s="3812"/>
      <c r="Q2" s="3812"/>
      <c r="R2" s="3812"/>
      <c r="S2" s="3812"/>
      <c r="T2" s="3813"/>
      <c r="U2" s="22"/>
      <c r="V2" s="22"/>
      <c r="W2" s="22"/>
      <c r="X2" s="22"/>
      <c r="Y2" s="22"/>
      <c r="Z2" s="22"/>
      <c r="AA2" s="22"/>
      <c r="AB2" s="22"/>
      <c r="AC2" s="22"/>
      <c r="AD2" s="22"/>
      <c r="AE2" s="22"/>
      <c r="AF2" s="22"/>
      <c r="AG2" s="22"/>
      <c r="AH2" s="55"/>
      <c r="AI2" s="55"/>
      <c r="AJ2" s="55"/>
      <c r="AK2" s="55"/>
      <c r="AL2" s="55"/>
    </row>
    <row r="3" spans="1:258" s="596" customFormat="1" ht="15">
      <c r="A3" s="36"/>
      <c r="B3" s="58"/>
      <c r="C3" s="58"/>
      <c r="D3" s="58"/>
      <c r="E3" s="58"/>
      <c r="F3" s="58"/>
      <c r="G3" s="58"/>
      <c r="H3" s="58"/>
      <c r="I3" s="58"/>
      <c r="J3" s="58"/>
      <c r="K3" s="58"/>
      <c r="L3" s="58"/>
      <c r="M3" s="58"/>
      <c r="N3" s="58"/>
      <c r="O3" s="58"/>
      <c r="P3" s="58"/>
      <c r="Q3" s="58"/>
      <c r="R3" s="58"/>
      <c r="S3" s="58"/>
      <c r="T3" s="58"/>
      <c r="U3" s="22"/>
      <c r="V3" s="22"/>
      <c r="W3" s="22"/>
      <c r="X3" s="22"/>
      <c r="Y3" s="22"/>
      <c r="Z3" s="22"/>
      <c r="AA3" s="22"/>
      <c r="AB3" s="22"/>
      <c r="AC3" s="22"/>
      <c r="AD3" s="22"/>
      <c r="AE3" s="22"/>
      <c r="AF3" s="22"/>
      <c r="AG3" s="22"/>
      <c r="AH3" s="22"/>
      <c r="AI3" s="2266" t="s">
        <v>1346</v>
      </c>
      <c r="AJ3" s="66"/>
      <c r="AK3" s="22"/>
      <c r="AL3" s="22"/>
      <c r="AM3" s="594"/>
      <c r="AN3" s="594"/>
      <c r="AO3" s="594"/>
      <c r="AP3" s="594"/>
      <c r="AQ3" s="594"/>
      <c r="AR3" s="594"/>
      <c r="AS3" s="594"/>
      <c r="AT3" s="594"/>
      <c r="AU3" s="594"/>
      <c r="AV3" s="594"/>
      <c r="AW3" s="594"/>
      <c r="AX3" s="594"/>
      <c r="AY3" s="594"/>
      <c r="AZ3" s="594"/>
      <c r="BA3" s="594"/>
      <c r="BB3" s="594"/>
      <c r="BC3" s="594"/>
      <c r="BD3" s="594"/>
      <c r="BE3" s="594"/>
      <c r="BF3" s="594"/>
      <c r="BG3" s="594"/>
      <c r="BH3" s="594"/>
      <c r="BI3" s="594"/>
      <c r="BJ3" s="594"/>
      <c r="BK3" s="594"/>
      <c r="BL3" s="594"/>
      <c r="BM3" s="594"/>
      <c r="BN3" s="594"/>
      <c r="BO3" s="594"/>
      <c r="BP3" s="594"/>
      <c r="BQ3" s="594"/>
      <c r="BR3" s="594"/>
      <c r="BS3" s="594"/>
      <c r="BT3" s="594"/>
      <c r="BU3" s="594"/>
      <c r="BV3" s="594"/>
      <c r="BW3" s="594"/>
      <c r="BX3" s="594"/>
      <c r="BY3" s="594"/>
      <c r="BZ3" s="594"/>
      <c r="CA3" s="594"/>
      <c r="CB3" s="594"/>
      <c r="CC3" s="594"/>
      <c r="CD3" s="594"/>
      <c r="CE3" s="594"/>
      <c r="CF3" s="594"/>
      <c r="CG3" s="594"/>
      <c r="CH3" s="594"/>
      <c r="CI3" s="594"/>
      <c r="CJ3" s="594"/>
      <c r="CK3" s="594"/>
      <c r="CL3" s="594"/>
      <c r="CM3" s="594"/>
      <c r="CN3" s="594"/>
      <c r="CO3" s="594"/>
      <c r="CP3" s="594"/>
      <c r="CQ3" s="594"/>
      <c r="CR3" s="594"/>
      <c r="CS3" s="594"/>
      <c r="CT3" s="594"/>
      <c r="CU3" s="594"/>
      <c r="CV3" s="594"/>
      <c r="CW3" s="594"/>
      <c r="CX3" s="594"/>
      <c r="CY3" s="594"/>
      <c r="CZ3" s="594"/>
      <c r="DA3" s="594"/>
      <c r="DB3" s="594"/>
      <c r="DC3" s="594"/>
      <c r="DD3" s="594"/>
      <c r="DE3" s="594"/>
      <c r="DF3" s="594"/>
      <c r="DG3" s="594"/>
      <c r="DH3" s="594"/>
      <c r="DI3" s="594"/>
      <c r="DJ3" s="594"/>
      <c r="DK3" s="594"/>
      <c r="DL3" s="594"/>
      <c r="DM3" s="594"/>
      <c r="DN3" s="594"/>
      <c r="DO3" s="594"/>
      <c r="DP3" s="594"/>
      <c r="DQ3" s="594"/>
      <c r="DR3" s="594"/>
      <c r="DS3" s="594"/>
      <c r="DT3" s="594"/>
      <c r="DU3" s="594"/>
      <c r="DV3" s="594"/>
      <c r="DW3" s="594"/>
      <c r="DX3" s="594"/>
      <c r="DY3" s="594"/>
      <c r="DZ3" s="594"/>
      <c r="EA3" s="594"/>
      <c r="EB3" s="594"/>
      <c r="EC3" s="594"/>
      <c r="ED3" s="594"/>
      <c r="EE3" s="594"/>
      <c r="EF3" s="594"/>
      <c r="EG3" s="594"/>
      <c r="EH3" s="594"/>
      <c r="EI3" s="594"/>
      <c r="EJ3" s="594"/>
      <c r="EK3" s="594"/>
      <c r="EL3" s="594"/>
      <c r="EM3" s="594"/>
      <c r="EN3" s="594"/>
      <c r="EO3" s="594"/>
      <c r="EP3" s="594"/>
      <c r="EQ3" s="594"/>
      <c r="ER3" s="594"/>
      <c r="ES3" s="594"/>
      <c r="ET3" s="594"/>
      <c r="EU3" s="594"/>
      <c r="EV3" s="594"/>
      <c r="EW3" s="594"/>
      <c r="EX3" s="594"/>
      <c r="EY3" s="594"/>
      <c r="EZ3" s="594"/>
      <c r="FA3" s="594"/>
      <c r="FB3" s="594"/>
      <c r="FC3" s="594"/>
      <c r="FD3" s="594"/>
      <c r="FE3" s="594"/>
      <c r="FF3" s="594"/>
      <c r="FG3" s="594"/>
      <c r="FH3" s="594"/>
      <c r="FI3" s="594"/>
      <c r="FJ3" s="594"/>
      <c r="FK3" s="594"/>
      <c r="FL3" s="594"/>
      <c r="FM3" s="594"/>
      <c r="FN3" s="594"/>
      <c r="FO3" s="594"/>
      <c r="FP3" s="594"/>
      <c r="FQ3" s="594"/>
      <c r="FR3" s="594"/>
      <c r="FS3" s="594"/>
      <c r="FT3" s="594"/>
      <c r="FU3" s="594"/>
      <c r="FV3" s="594"/>
      <c r="FW3" s="594"/>
      <c r="FX3" s="594"/>
      <c r="FY3" s="594"/>
      <c r="FZ3" s="594"/>
      <c r="GA3" s="594"/>
      <c r="GB3" s="594"/>
      <c r="GC3" s="594"/>
      <c r="GD3" s="594"/>
      <c r="GE3" s="594"/>
      <c r="GF3" s="594"/>
      <c r="GG3" s="594"/>
      <c r="GH3" s="594"/>
      <c r="GI3" s="594"/>
      <c r="GJ3" s="594"/>
      <c r="GK3" s="594"/>
      <c r="GL3" s="594"/>
      <c r="GM3" s="594"/>
      <c r="GN3" s="594"/>
      <c r="GO3" s="594"/>
      <c r="GP3" s="594"/>
      <c r="GQ3" s="594"/>
      <c r="GR3" s="594"/>
      <c r="GS3" s="594"/>
      <c r="GT3" s="594"/>
      <c r="GU3" s="594"/>
      <c r="GV3" s="594"/>
      <c r="GW3" s="594"/>
      <c r="GX3" s="594"/>
      <c r="GY3" s="594"/>
      <c r="GZ3" s="594"/>
      <c r="HA3" s="594"/>
      <c r="HB3" s="594"/>
      <c r="HC3" s="594"/>
      <c r="HD3" s="594"/>
      <c r="HE3" s="594"/>
      <c r="HF3" s="594"/>
      <c r="HG3" s="594"/>
      <c r="HH3" s="594"/>
      <c r="HI3" s="594"/>
      <c r="HJ3" s="594"/>
      <c r="HK3" s="594"/>
      <c r="HL3" s="594"/>
      <c r="HM3" s="594"/>
      <c r="HN3" s="594"/>
      <c r="HO3" s="594"/>
      <c r="HP3" s="594"/>
      <c r="HQ3" s="594"/>
      <c r="HR3" s="594"/>
      <c r="HS3" s="594"/>
      <c r="HT3" s="594"/>
      <c r="HU3" s="594"/>
      <c r="HV3" s="594"/>
      <c r="HW3" s="594"/>
      <c r="HX3" s="594"/>
      <c r="HY3" s="594"/>
      <c r="HZ3" s="594"/>
      <c r="IA3" s="594"/>
      <c r="IB3" s="594"/>
      <c r="IC3" s="594"/>
      <c r="ID3" s="594"/>
      <c r="IE3" s="594"/>
      <c r="IF3" s="595"/>
      <c r="IG3" s="595"/>
      <c r="IH3" s="595"/>
      <c r="II3" s="595"/>
      <c r="IJ3" s="595"/>
      <c r="IK3" s="595"/>
      <c r="IL3" s="595"/>
      <c r="IM3" s="595"/>
      <c r="IN3" s="595"/>
      <c r="IO3" s="595"/>
      <c r="IP3" s="595"/>
      <c r="IQ3" s="595"/>
      <c r="IR3" s="595"/>
      <c r="IS3" s="595"/>
      <c r="IT3" s="595"/>
      <c r="IU3" s="595"/>
      <c r="IV3" s="595"/>
      <c r="IW3" s="595"/>
      <c r="IX3" s="595"/>
    </row>
    <row r="4" spans="1:258" ht="18">
      <c r="A4" s="1"/>
      <c r="B4" s="2357"/>
      <c r="C4" s="55"/>
      <c r="D4" s="22"/>
      <c r="E4" s="22"/>
      <c r="F4" s="22">
        <v>79301.990000000005</v>
      </c>
      <c r="G4" s="22"/>
      <c r="H4" s="22"/>
      <c r="I4" s="22"/>
      <c r="J4" s="22"/>
      <c r="L4" s="22"/>
      <c r="M4" s="22"/>
      <c r="N4" s="22"/>
      <c r="O4" s="22"/>
      <c r="P4" s="22"/>
      <c r="Q4" s="22"/>
      <c r="R4" s="22"/>
      <c r="S4" s="22"/>
      <c r="T4" s="22"/>
      <c r="U4" s="22"/>
      <c r="V4" s="22"/>
      <c r="W4" s="22"/>
      <c r="X4" s="22"/>
      <c r="Y4" s="22"/>
      <c r="Z4" s="22"/>
      <c r="AA4" s="22"/>
      <c r="AB4" s="22"/>
      <c r="AC4" s="22"/>
      <c r="AD4" s="22"/>
      <c r="AE4" s="22"/>
      <c r="AF4" s="22"/>
      <c r="AG4" s="22"/>
      <c r="AH4" s="55"/>
      <c r="AI4" s="66"/>
      <c r="AJ4" s="66"/>
      <c r="AK4" s="55"/>
      <c r="AL4" s="55"/>
      <c r="AN4" s="3360" t="s">
        <v>1386</v>
      </c>
      <c r="AO4" s="2179"/>
    </row>
    <row r="5" spans="1:258" ht="15.6" thickBot="1">
      <c r="A5" s="3811" t="s">
        <v>69</v>
      </c>
      <c r="B5" s="3812"/>
      <c r="C5" s="3813"/>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55"/>
      <c r="AI5" s="66"/>
      <c r="AJ5" s="66"/>
      <c r="AK5" s="55"/>
      <c r="AN5" s="3840" t="s">
        <v>712</v>
      </c>
      <c r="AO5" s="3841"/>
      <c r="AP5" s="3842"/>
      <c r="AQ5" s="160"/>
      <c r="AR5" s="160"/>
      <c r="AS5" s="160"/>
      <c r="AT5" s="160"/>
      <c r="AU5" s="160"/>
      <c r="AV5" s="160"/>
      <c r="AW5" s="160"/>
      <c r="AX5" s="160"/>
      <c r="AY5" s="160"/>
      <c r="AZ5" s="160"/>
      <c r="BA5" s="160"/>
      <c r="BB5" s="160"/>
      <c r="BC5" s="160"/>
      <c r="BD5" s="160"/>
      <c r="BE5" s="160"/>
      <c r="BF5" s="160"/>
      <c r="BG5" s="160"/>
      <c r="BH5" s="160"/>
      <c r="BI5" s="160"/>
      <c r="BJ5" s="160"/>
      <c r="BK5" s="160"/>
      <c r="BL5" s="160"/>
      <c r="BM5" s="160"/>
      <c r="BN5" s="160"/>
      <c r="BO5" s="160"/>
      <c r="BP5" s="160"/>
      <c r="BQ5" s="160"/>
      <c r="BR5" s="160"/>
      <c r="BS5" s="160"/>
      <c r="BT5" s="160"/>
      <c r="BU5" s="590"/>
    </row>
    <row r="6" spans="1:258" ht="15">
      <c r="A6" s="1039" t="s">
        <v>70</v>
      </c>
      <c r="B6" s="56" t="s">
        <v>71</v>
      </c>
      <c r="C6" s="57">
        <v>1</v>
      </c>
      <c r="D6" s="23">
        <v>2</v>
      </c>
      <c r="E6" s="23">
        <v>3</v>
      </c>
      <c r="F6" s="23">
        <v>4</v>
      </c>
      <c r="G6" s="23">
        <v>5</v>
      </c>
      <c r="H6" s="23">
        <v>6</v>
      </c>
      <c r="I6" s="23">
        <v>7</v>
      </c>
      <c r="J6" s="23">
        <v>8</v>
      </c>
      <c r="K6" s="23">
        <v>9</v>
      </c>
      <c r="L6" s="23">
        <v>10</v>
      </c>
      <c r="M6" s="23">
        <v>11</v>
      </c>
      <c r="N6" s="23">
        <v>12</v>
      </c>
      <c r="O6" s="23">
        <v>13</v>
      </c>
      <c r="P6" s="23">
        <v>14</v>
      </c>
      <c r="Q6" s="23">
        <v>15</v>
      </c>
      <c r="R6" s="23">
        <v>16</v>
      </c>
      <c r="S6" s="23">
        <v>17</v>
      </c>
      <c r="T6" s="23">
        <v>18</v>
      </c>
      <c r="U6" s="23">
        <v>19</v>
      </c>
      <c r="V6" s="23">
        <v>20</v>
      </c>
      <c r="W6" s="23">
        <v>21</v>
      </c>
      <c r="X6" s="23">
        <v>22</v>
      </c>
      <c r="Y6" s="23">
        <v>23</v>
      </c>
      <c r="Z6" s="23">
        <v>24</v>
      </c>
      <c r="AA6" s="23">
        <v>25</v>
      </c>
      <c r="AB6" s="23">
        <v>26</v>
      </c>
      <c r="AC6" s="23">
        <v>27</v>
      </c>
      <c r="AD6" s="23">
        <v>28</v>
      </c>
      <c r="AE6" s="23">
        <v>29</v>
      </c>
      <c r="AF6" s="23">
        <v>30</v>
      </c>
      <c r="AG6" s="23">
        <v>31</v>
      </c>
      <c r="AH6" s="56" t="s">
        <v>72</v>
      </c>
      <c r="AI6" s="2266" t="s">
        <v>1345</v>
      </c>
      <c r="AJ6" s="66">
        <f>(B19/COUNTIF($C$7:$AG$18,"&gt;0"))</f>
        <v>801.83299999999986</v>
      </c>
      <c r="AK6" s="59"/>
      <c r="AL6" s="3288" t="s">
        <v>713</v>
      </c>
      <c r="AN6" s="3438" t="s">
        <v>70</v>
      </c>
      <c r="AO6" s="2408" t="s">
        <v>71</v>
      </c>
      <c r="AP6" s="3439">
        <v>1</v>
      </c>
      <c r="AQ6" s="3440">
        <v>2</v>
      </c>
      <c r="AR6" s="3440">
        <v>3</v>
      </c>
      <c r="AS6" s="3440">
        <v>4</v>
      </c>
      <c r="AT6" s="3440">
        <v>5</v>
      </c>
      <c r="AU6" s="3440">
        <v>6</v>
      </c>
      <c r="AV6" s="3440">
        <v>7</v>
      </c>
      <c r="AW6" s="3440">
        <v>8</v>
      </c>
      <c r="AX6" s="3440">
        <v>9</v>
      </c>
      <c r="AY6" s="3440">
        <v>10</v>
      </c>
      <c r="AZ6" s="3440">
        <v>11</v>
      </c>
      <c r="BA6" s="3440">
        <v>12</v>
      </c>
      <c r="BB6" s="3440">
        <v>13</v>
      </c>
      <c r="BC6" s="3440">
        <v>14</v>
      </c>
      <c r="BD6" s="3440">
        <v>15</v>
      </c>
      <c r="BE6" s="3440">
        <v>16</v>
      </c>
      <c r="BF6" s="3440">
        <v>17</v>
      </c>
      <c r="BG6" s="3440">
        <v>18</v>
      </c>
      <c r="BH6" s="3440">
        <v>19</v>
      </c>
      <c r="BI6" s="3440">
        <v>20</v>
      </c>
      <c r="BJ6" s="3440">
        <v>21</v>
      </c>
      <c r="BK6" s="3440">
        <v>22</v>
      </c>
      <c r="BL6" s="3440">
        <v>23</v>
      </c>
      <c r="BM6" s="3440">
        <v>24</v>
      </c>
      <c r="BN6" s="3440">
        <v>25</v>
      </c>
      <c r="BO6" s="3440">
        <v>26</v>
      </c>
      <c r="BP6" s="3440">
        <v>27</v>
      </c>
      <c r="BQ6" s="3440">
        <v>28</v>
      </c>
      <c r="BR6" s="3440">
        <v>29</v>
      </c>
      <c r="BS6" s="3440">
        <v>30</v>
      </c>
      <c r="BT6" s="3440">
        <v>31</v>
      </c>
      <c r="BU6" s="2408" t="s">
        <v>72</v>
      </c>
    </row>
    <row r="7" spans="1:258" ht="15">
      <c r="A7" s="1607" t="s">
        <v>73</v>
      </c>
      <c r="B7" s="19">
        <f>+AH7</f>
        <v>0</v>
      </c>
      <c r="C7" s="2359">
        <v>0</v>
      </c>
      <c r="D7" s="2359">
        <v>0</v>
      </c>
      <c r="E7" s="2359">
        <v>0</v>
      </c>
      <c r="F7" s="2359">
        <v>0</v>
      </c>
      <c r="G7" s="2359">
        <v>0</v>
      </c>
      <c r="H7" s="2359">
        <v>0</v>
      </c>
      <c r="I7" s="2359">
        <v>0</v>
      </c>
      <c r="J7" s="2359">
        <v>0</v>
      </c>
      <c r="K7" s="2359">
        <v>0</v>
      </c>
      <c r="L7" s="2359">
        <v>0</v>
      </c>
      <c r="M7" s="2359">
        <v>0</v>
      </c>
      <c r="N7" s="2359">
        <v>0</v>
      </c>
      <c r="O7" s="2359">
        <v>0</v>
      </c>
      <c r="P7" s="2359">
        <v>0</v>
      </c>
      <c r="Q7" s="2359">
        <v>0</v>
      </c>
      <c r="R7" s="2359">
        <v>0</v>
      </c>
      <c r="S7" s="2359">
        <v>0</v>
      </c>
      <c r="T7" s="2359">
        <v>0</v>
      </c>
      <c r="U7" s="2359">
        <v>0</v>
      </c>
      <c r="V7" s="2359">
        <v>0</v>
      </c>
      <c r="W7" s="2359">
        <v>0</v>
      </c>
      <c r="X7" s="2359">
        <v>0</v>
      </c>
      <c r="Y7" s="2359">
        <v>0</v>
      </c>
      <c r="Z7" s="2359">
        <v>0</v>
      </c>
      <c r="AA7" s="2359">
        <v>0</v>
      </c>
      <c r="AB7" s="2359">
        <v>0</v>
      </c>
      <c r="AC7" s="2359">
        <v>0</v>
      </c>
      <c r="AD7" s="2359">
        <v>0</v>
      </c>
      <c r="AE7" s="2359">
        <v>0</v>
      </c>
      <c r="AF7" s="2359">
        <v>0</v>
      </c>
      <c r="AG7" s="2359">
        <v>0</v>
      </c>
      <c r="AH7" s="56">
        <f>SUM(C7:AG7)</f>
        <v>0</v>
      </c>
      <c r="AI7" s="59"/>
      <c r="AJ7" s="59">
        <f>+'Res. Global'!J7</f>
        <v>41.322000000014668</v>
      </c>
      <c r="AK7" s="59"/>
      <c r="AL7" s="3289">
        <f t="shared" ref="AL7:AL19" si="0">+B7+AO7</f>
        <v>0</v>
      </c>
      <c r="AN7" s="3441" t="s">
        <v>73</v>
      </c>
      <c r="AO7" s="3442">
        <f>+BU7</f>
        <v>0</v>
      </c>
      <c r="AP7" s="2359"/>
      <c r="AQ7" s="2359"/>
      <c r="AR7" s="2359"/>
      <c r="AS7" s="2359"/>
      <c r="AT7" s="2359"/>
      <c r="AU7" s="2359"/>
      <c r="AV7" s="2359"/>
      <c r="AW7" s="2359"/>
      <c r="AX7" s="2359"/>
      <c r="AY7" s="2359"/>
      <c r="AZ7" s="2359"/>
      <c r="BA7" s="2359"/>
      <c r="BB7" s="2359"/>
      <c r="BC7" s="2359"/>
      <c r="BD7" s="2359"/>
      <c r="BE7" s="2359"/>
      <c r="BF7" s="2359"/>
      <c r="BG7" s="2359"/>
      <c r="BH7" s="2359"/>
      <c r="BI7" s="2359"/>
      <c r="BJ7" s="2359"/>
      <c r="BK7" s="2359"/>
      <c r="BL7" s="2359"/>
      <c r="BM7" s="2359"/>
      <c r="BN7" s="2359"/>
      <c r="BO7" s="2359"/>
      <c r="BP7" s="2359"/>
      <c r="BQ7" s="2359"/>
      <c r="BR7" s="2359"/>
      <c r="BS7" s="2359"/>
      <c r="BT7" s="2359"/>
      <c r="BU7" s="2408">
        <f>SUM(AP7:BT7)</f>
        <v>0</v>
      </c>
    </row>
    <row r="8" spans="1:258" ht="15">
      <c r="A8" s="1607" t="s">
        <v>74</v>
      </c>
      <c r="B8" s="19">
        <f t="shared" ref="B8:B18" si="1">+AH8</f>
        <v>5476.0569999999998</v>
      </c>
      <c r="C8" s="2359">
        <v>0</v>
      </c>
      <c r="D8" s="2359">
        <v>0</v>
      </c>
      <c r="E8" s="2359">
        <v>0</v>
      </c>
      <c r="F8" s="2359">
        <v>0</v>
      </c>
      <c r="G8" s="2359">
        <v>0</v>
      </c>
      <c r="H8" s="2359">
        <v>0</v>
      </c>
      <c r="I8" s="2359">
        <v>0</v>
      </c>
      <c r="J8" s="2359">
        <v>0</v>
      </c>
      <c r="K8" s="2359">
        <v>0</v>
      </c>
      <c r="L8" s="2359">
        <v>0</v>
      </c>
      <c r="M8" s="2359">
        <v>865.35</v>
      </c>
      <c r="N8" s="2359">
        <v>1669.385</v>
      </c>
      <c r="O8" s="2359">
        <v>1803.79</v>
      </c>
      <c r="P8" s="2359">
        <v>1024.0920000000001</v>
      </c>
      <c r="Q8" s="2359">
        <v>113.44</v>
      </c>
      <c r="R8" s="2359">
        <v>0</v>
      </c>
      <c r="S8" s="2359">
        <v>0</v>
      </c>
      <c r="T8" s="2359">
        <v>0</v>
      </c>
      <c r="U8" s="2359">
        <v>0</v>
      </c>
      <c r="V8" s="2359">
        <v>0</v>
      </c>
      <c r="W8" s="2359">
        <v>0</v>
      </c>
      <c r="X8" s="2359">
        <v>0</v>
      </c>
      <c r="Y8" s="2359">
        <v>0</v>
      </c>
      <c r="Z8" s="2359">
        <v>0</v>
      </c>
      <c r="AA8" s="2359">
        <v>0</v>
      </c>
      <c r="AB8" s="2359">
        <v>0</v>
      </c>
      <c r="AC8" s="2359">
        <v>0</v>
      </c>
      <c r="AD8" s="2359">
        <v>0</v>
      </c>
      <c r="AE8" s="2359" t="s">
        <v>1347</v>
      </c>
      <c r="AF8" s="2359" t="s">
        <v>1347</v>
      </c>
      <c r="AG8" s="2359" t="s">
        <v>1347</v>
      </c>
      <c r="AH8" s="56">
        <f t="shared" ref="AH8:AH18" si="2">SUM(C8:AG8)</f>
        <v>5476.0569999999998</v>
      </c>
      <c r="AI8" s="59"/>
      <c r="AJ8" s="3211">
        <f>+AJ7/AJ6</f>
        <v>5.153442175616952E-2</v>
      </c>
      <c r="AK8" s="59"/>
      <c r="AL8" s="3289">
        <f t="shared" si="0"/>
        <v>5476.0569999999998</v>
      </c>
      <c r="AN8" s="3441" t="s">
        <v>74</v>
      </c>
      <c r="AO8" s="3442">
        <f t="shared" ref="AO8:AO18" si="3">+BU8</f>
        <v>0</v>
      </c>
      <c r="AP8" s="2359"/>
      <c r="AQ8" s="2359"/>
      <c r="AR8" s="2359"/>
      <c r="AS8" s="2359"/>
      <c r="AT8" s="2359"/>
      <c r="AU8" s="2359"/>
      <c r="AV8" s="2359"/>
      <c r="AW8" s="2359"/>
      <c r="AX8" s="2359"/>
      <c r="AY8" s="2359"/>
      <c r="AZ8" s="2359"/>
      <c r="BA8" s="2359"/>
      <c r="BB8" s="2359"/>
      <c r="BC8" s="2359"/>
      <c r="BD8" s="2359"/>
      <c r="BE8" s="2359"/>
      <c r="BF8" s="2359"/>
      <c r="BG8" s="2359"/>
      <c r="BH8" s="2359"/>
      <c r="BI8" s="2359"/>
      <c r="BJ8" s="2359"/>
      <c r="BK8" s="2359"/>
      <c r="BL8" s="2359"/>
      <c r="BM8" s="2359"/>
      <c r="BN8" s="2359"/>
      <c r="BO8" s="2359"/>
      <c r="BP8" s="2359"/>
      <c r="BQ8" s="2359"/>
      <c r="BR8" s="2359"/>
      <c r="BS8" s="2359"/>
      <c r="BT8" s="2359"/>
      <c r="BU8" s="2408">
        <f t="shared" ref="BU8:BU18" si="4">SUM(AP8:BT8)</f>
        <v>0</v>
      </c>
    </row>
    <row r="9" spans="1:258" ht="15">
      <c r="A9" s="1607" t="s">
        <v>75</v>
      </c>
      <c r="B9" s="19">
        <f t="shared" si="1"/>
        <v>23235.609999999993</v>
      </c>
      <c r="C9" s="2359">
        <v>0</v>
      </c>
      <c r="D9" s="2359">
        <v>0</v>
      </c>
      <c r="E9" s="2359">
        <v>683.72500000000002</v>
      </c>
      <c r="F9" s="2359">
        <v>2110.3470000000002</v>
      </c>
      <c r="G9" s="2359">
        <v>1522.345</v>
      </c>
      <c r="H9" s="2359">
        <v>1388.355</v>
      </c>
      <c r="I9" s="2359">
        <v>540.66499999999996</v>
      </c>
      <c r="J9" s="2359">
        <v>1070.354</v>
      </c>
      <c r="K9" s="2359">
        <v>0</v>
      </c>
      <c r="L9" s="2359">
        <v>2065.1509999999998</v>
      </c>
      <c r="M9" s="2359">
        <v>997.19600000000003</v>
      </c>
      <c r="N9" s="2359">
        <v>1407.9110000000001</v>
      </c>
      <c r="O9" s="2359">
        <v>1606.53</v>
      </c>
      <c r="P9" s="2359">
        <v>1004.979</v>
      </c>
      <c r="Q9" s="2359">
        <v>488.58</v>
      </c>
      <c r="R9" s="2359">
        <v>0</v>
      </c>
      <c r="S9" s="2359">
        <v>0</v>
      </c>
      <c r="T9" s="2359">
        <v>43.356999999999999</v>
      </c>
      <c r="U9" s="2359">
        <v>386.73399999999998</v>
      </c>
      <c r="V9" s="2359">
        <v>497.53899999999999</v>
      </c>
      <c r="W9" s="2359">
        <v>203.31200000000001</v>
      </c>
      <c r="X9" s="2359">
        <v>979.98</v>
      </c>
      <c r="Y9" s="2359">
        <v>0</v>
      </c>
      <c r="Z9" s="2359">
        <v>1001.331</v>
      </c>
      <c r="AA9" s="2359">
        <v>1358.9559999999999</v>
      </c>
      <c r="AB9" s="2359">
        <v>1628.798</v>
      </c>
      <c r="AC9" s="2359">
        <v>327.01100000000002</v>
      </c>
      <c r="AD9" s="2359">
        <v>1039.6590000000001</v>
      </c>
      <c r="AE9" s="2359">
        <v>671.33199999999999</v>
      </c>
      <c r="AF9" s="2359">
        <v>0</v>
      </c>
      <c r="AG9" s="2359">
        <v>211.46299999999999</v>
      </c>
      <c r="AH9" s="56">
        <f t="shared" si="2"/>
        <v>23235.609999999993</v>
      </c>
      <c r="AI9" s="59"/>
      <c r="AJ9" s="59"/>
      <c r="AK9" s="59"/>
      <c r="AL9" s="3289">
        <f t="shared" si="0"/>
        <v>23235.609999999993</v>
      </c>
      <c r="AN9" s="3441" t="s">
        <v>75</v>
      </c>
      <c r="AO9" s="3442">
        <f t="shared" si="3"/>
        <v>0</v>
      </c>
      <c r="AP9" s="2359"/>
      <c r="AQ9" s="2359"/>
      <c r="AR9" s="2359"/>
      <c r="AS9" s="2359"/>
      <c r="AT9" s="2359"/>
      <c r="AU9" s="2359"/>
      <c r="AV9" s="2359"/>
      <c r="AW9" s="2359"/>
      <c r="AX9" s="2359"/>
      <c r="AY9" s="2359"/>
      <c r="AZ9" s="2359"/>
      <c r="BA9" s="2359"/>
      <c r="BB9" s="2359"/>
      <c r="BC9" s="2359"/>
      <c r="BD9" s="2359"/>
      <c r="BE9" s="2359"/>
      <c r="BF9" s="2359"/>
      <c r="BG9" s="2359"/>
      <c r="BH9" s="2359"/>
      <c r="BI9" s="2359"/>
      <c r="BJ9" s="2359"/>
      <c r="BK9" s="2359"/>
      <c r="BL9" s="2359"/>
      <c r="BM9" s="2359"/>
      <c r="BN9" s="2359"/>
      <c r="BO9" s="2359"/>
      <c r="BP9" s="2359"/>
      <c r="BQ9" s="2359"/>
      <c r="BR9" s="2359"/>
      <c r="BS9" s="2359"/>
      <c r="BT9" s="2359"/>
      <c r="BU9" s="2408">
        <f t="shared" si="4"/>
        <v>0</v>
      </c>
    </row>
    <row r="10" spans="1:258" ht="15">
      <c r="A10" s="1607" t="s">
        <v>76</v>
      </c>
      <c r="B10" s="19">
        <f t="shared" si="1"/>
        <v>13636.962999999998</v>
      </c>
      <c r="C10" s="2359">
        <v>0</v>
      </c>
      <c r="D10" s="2359">
        <v>0</v>
      </c>
      <c r="E10" s="2359">
        <v>0</v>
      </c>
      <c r="F10" s="2359">
        <v>0</v>
      </c>
      <c r="G10" s="2359">
        <v>0</v>
      </c>
      <c r="H10" s="2359">
        <v>0</v>
      </c>
      <c r="I10" s="2359">
        <v>0</v>
      </c>
      <c r="J10" s="2359">
        <v>0</v>
      </c>
      <c r="K10" s="2359">
        <v>962.84500000000003</v>
      </c>
      <c r="L10" s="2359">
        <v>66.415000000000006</v>
      </c>
      <c r="M10" s="2359">
        <v>0</v>
      </c>
      <c r="N10" s="2359">
        <v>0</v>
      </c>
      <c r="O10" s="2359">
        <v>0</v>
      </c>
      <c r="P10" s="2359">
        <v>1506.7280000000001</v>
      </c>
      <c r="Q10" s="2359">
        <v>1146.2449999999999</v>
      </c>
      <c r="R10" s="2359">
        <v>901.50900000000001</v>
      </c>
      <c r="S10" s="2359">
        <v>345.53300000000002</v>
      </c>
      <c r="T10" s="2359">
        <v>0</v>
      </c>
      <c r="U10" s="2359">
        <v>0</v>
      </c>
      <c r="V10" s="2359">
        <v>0</v>
      </c>
      <c r="W10" s="2359">
        <v>1133.422</v>
      </c>
      <c r="X10" s="2359">
        <v>296.77800000000002</v>
      </c>
      <c r="Y10" s="2359">
        <v>729.21199999999999</v>
      </c>
      <c r="Z10" s="2359">
        <v>1416.4179999999999</v>
      </c>
      <c r="AA10" s="2359">
        <v>1368.25</v>
      </c>
      <c r="AB10" s="2359">
        <v>0</v>
      </c>
      <c r="AC10" s="2359">
        <v>0</v>
      </c>
      <c r="AD10" s="2359">
        <v>212.86199999999999</v>
      </c>
      <c r="AE10" s="2359">
        <v>1942.49</v>
      </c>
      <c r="AF10" s="2359">
        <v>1608.2560000000001</v>
      </c>
      <c r="AG10" s="2359" t="s">
        <v>1347</v>
      </c>
      <c r="AH10" s="56">
        <f t="shared" si="2"/>
        <v>13636.962999999998</v>
      </c>
      <c r="AI10" s="59"/>
      <c r="AJ10" s="59"/>
      <c r="AK10" s="59"/>
      <c r="AL10" s="3289">
        <f t="shared" si="0"/>
        <v>13636.962999999998</v>
      </c>
      <c r="AN10" s="3441" t="s">
        <v>76</v>
      </c>
      <c r="AO10" s="3442">
        <f t="shared" si="3"/>
        <v>0</v>
      </c>
      <c r="AP10" s="2359"/>
      <c r="AQ10" s="2359"/>
      <c r="AR10" s="2359"/>
      <c r="AS10" s="2359"/>
      <c r="AT10" s="2359"/>
      <c r="AU10" s="2359"/>
      <c r="AV10" s="2359"/>
      <c r="AW10" s="2359"/>
      <c r="AX10" s="2359"/>
      <c r="AY10" s="2359"/>
      <c r="AZ10" s="2359"/>
      <c r="BA10" s="2359"/>
      <c r="BB10" s="2359"/>
      <c r="BC10" s="2359"/>
      <c r="BD10" s="2359"/>
      <c r="BE10" s="2359"/>
      <c r="BF10" s="2359"/>
      <c r="BG10" s="2359"/>
      <c r="BH10" s="2359"/>
      <c r="BI10" s="2359"/>
      <c r="BJ10" s="2359"/>
      <c r="BK10" s="2359"/>
      <c r="BL10" s="2359"/>
      <c r="BM10" s="2359"/>
      <c r="BN10" s="2359"/>
      <c r="BO10" s="2359"/>
      <c r="BP10" s="2359"/>
      <c r="BQ10" s="2359"/>
      <c r="BR10" s="2359"/>
      <c r="BS10" s="2359"/>
      <c r="BT10" s="2359"/>
      <c r="BU10" s="2408">
        <f t="shared" si="4"/>
        <v>0</v>
      </c>
    </row>
    <row r="11" spans="1:258" ht="15">
      <c r="A11" s="1607" t="s">
        <v>77</v>
      </c>
      <c r="B11" s="19">
        <f>+AH11</f>
        <v>20336.373</v>
      </c>
      <c r="C11" s="2359">
        <v>0</v>
      </c>
      <c r="D11" s="2359">
        <v>1727.028</v>
      </c>
      <c r="E11" s="2359">
        <v>1437.48</v>
      </c>
      <c r="F11" s="2359">
        <v>127.22499999999999</v>
      </c>
      <c r="G11" s="2359">
        <v>305.33</v>
      </c>
      <c r="H11" s="2359">
        <v>0</v>
      </c>
      <c r="I11" s="2359">
        <v>0</v>
      </c>
      <c r="J11" s="2359">
        <v>0</v>
      </c>
      <c r="K11" s="2359">
        <v>0</v>
      </c>
      <c r="L11" s="2360">
        <v>850.48900000000003</v>
      </c>
      <c r="M11" s="2359">
        <v>32.715000000000003</v>
      </c>
      <c r="N11" s="2359">
        <v>1575.6420000000001</v>
      </c>
      <c r="O11" s="2359">
        <v>579.98</v>
      </c>
      <c r="P11" s="2359">
        <v>528.13699999999994</v>
      </c>
      <c r="Q11" s="2359">
        <v>29.72</v>
      </c>
      <c r="R11" s="2359">
        <v>208.61699999999999</v>
      </c>
      <c r="S11" s="2359">
        <v>1172.0219999999999</v>
      </c>
      <c r="T11" s="2359">
        <v>13.98</v>
      </c>
      <c r="U11" s="2359">
        <v>1723.5229999999999</v>
      </c>
      <c r="V11" s="2359">
        <v>1845.9760000000001</v>
      </c>
      <c r="W11" s="2359">
        <v>834.85</v>
      </c>
      <c r="X11" s="2359">
        <v>1470.222</v>
      </c>
      <c r="Y11" s="2359">
        <v>745.596</v>
      </c>
      <c r="Z11" s="2359">
        <v>872.05</v>
      </c>
      <c r="AA11" s="2359">
        <v>0</v>
      </c>
      <c r="AB11" s="2359">
        <v>1553.87</v>
      </c>
      <c r="AC11" s="2359">
        <v>211.95500000000001</v>
      </c>
      <c r="AD11" s="2359">
        <v>736.03899999999999</v>
      </c>
      <c r="AE11" s="2359">
        <v>512.73199999999997</v>
      </c>
      <c r="AF11" s="2359">
        <v>623.78499999999997</v>
      </c>
      <c r="AG11" s="2359">
        <v>617.41</v>
      </c>
      <c r="AH11" s="56">
        <f>SUM(C11:AG11)</f>
        <v>20336.373</v>
      </c>
      <c r="AI11" s="59"/>
      <c r="AJ11" s="59"/>
      <c r="AK11" s="59"/>
      <c r="AL11" s="3289">
        <f t="shared" si="0"/>
        <v>20336.373</v>
      </c>
      <c r="AN11" s="3441" t="s">
        <v>77</v>
      </c>
      <c r="AO11" s="3442">
        <f t="shared" si="3"/>
        <v>0</v>
      </c>
      <c r="AP11" s="2359"/>
      <c r="AQ11" s="2359"/>
      <c r="AR11" s="2359"/>
      <c r="AS11" s="2359"/>
      <c r="AT11" s="2359"/>
      <c r="AU11" s="2359"/>
      <c r="AV11" s="2359"/>
      <c r="AW11" s="2359"/>
      <c r="AX11" s="2359"/>
      <c r="AY11" s="2360"/>
      <c r="AZ11" s="2359"/>
      <c r="BA11" s="2359"/>
      <c r="BB11" s="2359"/>
      <c r="BC11" s="2359"/>
      <c r="BD11" s="2359"/>
      <c r="BE11" s="2359"/>
      <c r="BF11" s="2359"/>
      <c r="BG11" s="2359"/>
      <c r="BH11" s="2359"/>
      <c r="BI11" s="2359"/>
      <c r="BJ11" s="2359"/>
      <c r="BK11" s="2359"/>
      <c r="BL11" s="2359"/>
      <c r="BM11" s="2359"/>
      <c r="BN11" s="2359"/>
      <c r="BO11" s="2359"/>
      <c r="BP11" s="2359"/>
      <c r="BQ11" s="2359"/>
      <c r="BR11" s="2359"/>
      <c r="BS11" s="2359"/>
      <c r="BT11" s="2359"/>
      <c r="BU11" s="2408">
        <f t="shared" si="4"/>
        <v>0</v>
      </c>
    </row>
    <row r="12" spans="1:258" ht="15">
      <c r="A12" s="1607" t="s">
        <v>78</v>
      </c>
      <c r="B12" s="19">
        <f t="shared" si="1"/>
        <v>15204.677</v>
      </c>
      <c r="C12" s="2361">
        <v>0</v>
      </c>
      <c r="D12" s="2361">
        <v>198.68299999999999</v>
      </c>
      <c r="E12" s="2361">
        <v>1037.9480000000001</v>
      </c>
      <c r="F12" s="2361">
        <v>901.20399999999995</v>
      </c>
      <c r="G12" s="2361">
        <v>1240.481</v>
      </c>
      <c r="H12" s="2361">
        <v>134.50899999999999</v>
      </c>
      <c r="I12" s="2361">
        <v>0</v>
      </c>
      <c r="J12" s="2361">
        <v>0</v>
      </c>
      <c r="K12" s="2361">
        <v>949.72400000000005</v>
      </c>
      <c r="L12" s="2361">
        <v>872.07</v>
      </c>
      <c r="M12" s="2361">
        <v>1059.9649999999999</v>
      </c>
      <c r="N12" s="2361">
        <v>701.71500000000003</v>
      </c>
      <c r="O12" s="2361">
        <v>0</v>
      </c>
      <c r="P12" s="2361">
        <v>330.46</v>
      </c>
      <c r="Q12" s="2361">
        <v>46.22</v>
      </c>
      <c r="R12" s="2361">
        <v>617.11900000000003</v>
      </c>
      <c r="S12" s="2361">
        <v>275.74700000000001</v>
      </c>
      <c r="T12" s="2361">
        <v>337.78100000000001</v>
      </c>
      <c r="U12" s="2361">
        <v>543.18499999999995</v>
      </c>
      <c r="V12" s="3389">
        <v>506.46</v>
      </c>
      <c r="W12" s="2361">
        <v>42.215000000000003</v>
      </c>
      <c r="X12" s="2361">
        <v>0</v>
      </c>
      <c r="Y12" s="2361">
        <v>920.45299999999997</v>
      </c>
      <c r="Z12" s="2361">
        <v>1181.518</v>
      </c>
      <c r="AA12" s="2361">
        <v>893.68</v>
      </c>
      <c r="AB12" s="2361">
        <v>1586.645</v>
      </c>
      <c r="AC12" s="2361">
        <v>826.89499999999998</v>
      </c>
      <c r="AD12" s="2361">
        <v>0</v>
      </c>
      <c r="AE12" s="2361">
        <v>0</v>
      </c>
      <c r="AF12" s="2361">
        <v>0</v>
      </c>
      <c r="AG12" s="2361" t="s">
        <v>1347</v>
      </c>
      <c r="AH12" s="56">
        <f t="shared" si="2"/>
        <v>15204.677</v>
      </c>
      <c r="AI12" s="59"/>
      <c r="AJ12" s="59"/>
      <c r="AK12" s="59"/>
      <c r="AL12" s="3289">
        <f t="shared" si="0"/>
        <v>15204.677</v>
      </c>
      <c r="AN12" s="3441" t="s">
        <v>78</v>
      </c>
      <c r="AO12" s="3442">
        <f t="shared" si="3"/>
        <v>0</v>
      </c>
      <c r="AP12" s="2361"/>
      <c r="AQ12" s="2361"/>
      <c r="AR12" s="2361"/>
      <c r="AS12" s="2361"/>
      <c r="AT12" s="2361"/>
      <c r="AU12" s="2361"/>
      <c r="AV12" s="2361"/>
      <c r="AW12" s="2361"/>
      <c r="AX12" s="2361"/>
      <c r="AY12" s="2361"/>
      <c r="AZ12" s="2361"/>
      <c r="BA12" s="2361"/>
      <c r="BB12" s="2361"/>
      <c r="BC12" s="2361"/>
      <c r="BD12" s="2361"/>
      <c r="BE12" s="2361"/>
      <c r="BF12" s="2361"/>
      <c r="BG12" s="2361"/>
      <c r="BH12" s="2361"/>
      <c r="BI12" s="2361"/>
      <c r="BJ12" s="2361"/>
      <c r="BK12" s="2361"/>
      <c r="BL12" s="2361"/>
      <c r="BM12" s="2361"/>
      <c r="BN12" s="2361"/>
      <c r="BO12" s="2361"/>
      <c r="BP12" s="2361"/>
      <c r="BQ12" s="2361"/>
      <c r="BR12" s="2361"/>
      <c r="BS12" s="2361"/>
      <c r="BT12" s="2361"/>
      <c r="BU12" s="2408">
        <f t="shared" si="4"/>
        <v>0</v>
      </c>
    </row>
    <row r="13" spans="1:258" ht="15">
      <c r="A13" s="1522" t="s">
        <v>79</v>
      </c>
      <c r="B13" s="19">
        <f t="shared" si="1"/>
        <v>3897.2860000000001</v>
      </c>
      <c r="C13" s="2362">
        <v>365.69400000000002</v>
      </c>
      <c r="D13" s="2362">
        <v>600.68499999999995</v>
      </c>
      <c r="E13" s="2362">
        <v>573.86</v>
      </c>
      <c r="F13" s="2362">
        <v>0</v>
      </c>
      <c r="G13" s="2362">
        <v>0</v>
      </c>
      <c r="H13" s="2362">
        <v>0</v>
      </c>
      <c r="I13" s="2362">
        <v>0</v>
      </c>
      <c r="J13" s="2362">
        <v>337.58300000000003</v>
      </c>
      <c r="K13" s="2362">
        <v>353.49099999999999</v>
      </c>
      <c r="L13" s="2362">
        <v>37.569000000000003</v>
      </c>
      <c r="M13" s="2362">
        <v>35.991</v>
      </c>
      <c r="N13" s="2362">
        <v>21.29</v>
      </c>
      <c r="O13" s="2362">
        <v>0</v>
      </c>
      <c r="P13" s="2362">
        <v>63.61</v>
      </c>
      <c r="Q13" s="2362">
        <v>231.375</v>
      </c>
      <c r="R13" s="2362">
        <v>0</v>
      </c>
      <c r="S13" s="2362">
        <v>252.96700000000001</v>
      </c>
      <c r="T13" s="2362">
        <v>1023.171</v>
      </c>
      <c r="U13" s="2362">
        <v>0</v>
      </c>
      <c r="V13" s="2362">
        <v>0</v>
      </c>
      <c r="W13" s="2362">
        <v>0</v>
      </c>
      <c r="X13" s="2362">
        <v>0</v>
      </c>
      <c r="Y13" s="2362">
        <v>0</v>
      </c>
      <c r="Z13" s="2362">
        <v>0</v>
      </c>
      <c r="AA13" s="2362">
        <v>0</v>
      </c>
      <c r="AB13" s="2362">
        <v>0</v>
      </c>
      <c r="AC13" s="2362">
        <v>0</v>
      </c>
      <c r="AD13" s="2362">
        <v>0</v>
      </c>
      <c r="AE13" s="2362">
        <v>0</v>
      </c>
      <c r="AF13" s="2362">
        <v>0</v>
      </c>
      <c r="AG13" s="2362">
        <v>0</v>
      </c>
      <c r="AH13" s="56">
        <f t="shared" si="2"/>
        <v>3897.2860000000001</v>
      </c>
      <c r="AI13" s="3211" t="s">
        <v>1473</v>
      </c>
      <c r="AJ13" s="59"/>
      <c r="AK13" s="59"/>
      <c r="AL13" s="3289">
        <f t="shared" si="0"/>
        <v>4766.3289999999997</v>
      </c>
      <c r="AN13" s="3443" t="s">
        <v>79</v>
      </c>
      <c r="AO13" s="3442">
        <f t="shared" si="3"/>
        <v>869.04300000000001</v>
      </c>
      <c r="AP13" s="2362"/>
      <c r="AQ13" s="2362"/>
      <c r="AR13" s="2362"/>
      <c r="AS13" s="2362"/>
      <c r="AT13" s="2362"/>
      <c r="AU13" s="2362"/>
      <c r="AV13" s="2362"/>
      <c r="AW13" s="2362"/>
      <c r="AX13" s="2362"/>
      <c r="AY13" s="2362"/>
      <c r="AZ13" s="2362"/>
      <c r="BA13" s="2362"/>
      <c r="BB13" s="2362"/>
      <c r="BC13" s="2362"/>
      <c r="BD13" s="2362"/>
      <c r="BE13" s="2362"/>
      <c r="BF13" s="2362"/>
      <c r="BG13" s="2362"/>
      <c r="BH13" s="2362"/>
      <c r="BI13" s="2362"/>
      <c r="BJ13" s="2362"/>
      <c r="BK13" s="2362">
        <v>0</v>
      </c>
      <c r="BL13" s="2362">
        <v>443.78500000000003</v>
      </c>
      <c r="BM13" s="2362">
        <v>96.625</v>
      </c>
      <c r="BN13" s="2362">
        <v>153.21799999999999</v>
      </c>
      <c r="BO13" s="2362">
        <v>0</v>
      </c>
      <c r="BP13" s="2362">
        <v>0</v>
      </c>
      <c r="BQ13" s="2362">
        <v>169.745</v>
      </c>
      <c r="BR13" s="2362">
        <v>0</v>
      </c>
      <c r="BS13" s="2362">
        <v>3.76</v>
      </c>
      <c r="BT13" s="2362">
        <v>1.91</v>
      </c>
      <c r="BU13" s="2408">
        <f t="shared" si="4"/>
        <v>869.04300000000001</v>
      </c>
    </row>
    <row r="14" spans="1:258" ht="15">
      <c r="A14" s="1522" t="s">
        <v>80</v>
      </c>
      <c r="B14" s="19">
        <f t="shared" si="1"/>
        <v>0</v>
      </c>
      <c r="C14" s="2363">
        <v>0</v>
      </c>
      <c r="D14" s="2363">
        <v>0</v>
      </c>
      <c r="E14" s="2363">
        <v>0</v>
      </c>
      <c r="F14" s="107">
        <v>0</v>
      </c>
      <c r="G14" s="107">
        <v>0</v>
      </c>
      <c r="H14" s="107">
        <v>0</v>
      </c>
      <c r="I14" s="107">
        <v>0</v>
      </c>
      <c r="J14" s="107">
        <v>0</v>
      </c>
      <c r="K14" s="107">
        <v>0</v>
      </c>
      <c r="L14" s="107">
        <v>0</v>
      </c>
      <c r="M14" s="107">
        <v>0</v>
      </c>
      <c r="N14" s="107">
        <v>0</v>
      </c>
      <c r="O14" s="107">
        <v>0</v>
      </c>
      <c r="P14" s="107">
        <v>0</v>
      </c>
      <c r="Q14" s="107">
        <v>0</v>
      </c>
      <c r="R14" s="107">
        <v>0</v>
      </c>
      <c r="S14" s="107">
        <v>0</v>
      </c>
      <c r="T14" s="107">
        <v>0</v>
      </c>
      <c r="U14" s="107">
        <v>0</v>
      </c>
      <c r="V14" s="107">
        <v>0</v>
      </c>
      <c r="W14" s="107">
        <v>0</v>
      </c>
      <c r="X14" s="107">
        <v>0</v>
      </c>
      <c r="Y14" s="107">
        <v>0</v>
      </c>
      <c r="Z14" s="107">
        <v>0</v>
      </c>
      <c r="AA14" s="107">
        <v>0</v>
      </c>
      <c r="AB14" s="107">
        <v>0</v>
      </c>
      <c r="AC14" s="107">
        <v>0</v>
      </c>
      <c r="AD14" s="107">
        <v>0</v>
      </c>
      <c r="AE14" s="107">
        <v>0</v>
      </c>
      <c r="AF14" s="107">
        <v>0</v>
      </c>
      <c r="AG14" s="107">
        <v>0</v>
      </c>
      <c r="AH14" s="56">
        <f t="shared" si="2"/>
        <v>0</v>
      </c>
      <c r="AI14" s="59"/>
      <c r="AJ14" s="59"/>
      <c r="AK14" s="59"/>
      <c r="AL14" s="3289">
        <f>+B14+AO14</f>
        <v>2048.0949999999998</v>
      </c>
      <c r="AM14" s="1263"/>
      <c r="AN14" s="3443" t="s">
        <v>80</v>
      </c>
      <c r="AO14" s="3442">
        <f t="shared" si="3"/>
        <v>2048.0949999999998</v>
      </c>
      <c r="AP14" s="2363">
        <v>0</v>
      </c>
      <c r="AQ14" s="2363">
        <v>0</v>
      </c>
      <c r="AR14" s="2363">
        <v>0</v>
      </c>
      <c r="AS14" s="3444">
        <v>1182.229</v>
      </c>
      <c r="AT14" s="3444">
        <v>236.92699999999999</v>
      </c>
      <c r="AU14" s="3444">
        <v>628.93899999999996</v>
      </c>
      <c r="AV14" s="3444">
        <v>0</v>
      </c>
      <c r="AW14" s="3444">
        <v>0</v>
      </c>
      <c r="AX14" s="3444">
        <v>0</v>
      </c>
      <c r="AY14" s="3444">
        <v>0</v>
      </c>
      <c r="AZ14" s="3444"/>
      <c r="BA14" s="3444"/>
      <c r="BB14" s="3444"/>
      <c r="BC14" s="3444"/>
      <c r="BD14" s="3444"/>
      <c r="BE14" s="3444"/>
      <c r="BF14" s="3444"/>
      <c r="BG14" s="3444"/>
      <c r="BH14" s="3444"/>
      <c r="BI14" s="3444"/>
      <c r="BJ14" s="3444"/>
      <c r="BK14" s="3444"/>
      <c r="BL14" s="3444"/>
      <c r="BM14" s="3444"/>
      <c r="BN14" s="3444"/>
      <c r="BO14" s="3444"/>
      <c r="BP14" s="3444"/>
      <c r="BQ14" s="3444"/>
      <c r="BR14" s="3444"/>
      <c r="BS14" s="3444"/>
      <c r="BT14" s="3444"/>
      <c r="BU14" s="2408">
        <f t="shared" si="4"/>
        <v>2048.0949999999998</v>
      </c>
    </row>
    <row r="15" spans="1:258" ht="15">
      <c r="A15" s="1522" t="s">
        <v>81</v>
      </c>
      <c r="B15" s="19">
        <f t="shared" si="1"/>
        <v>0</v>
      </c>
      <c r="C15" s="107">
        <v>0</v>
      </c>
      <c r="D15" s="107">
        <v>0</v>
      </c>
      <c r="E15" s="107">
        <v>0</v>
      </c>
      <c r="F15" s="107">
        <v>0</v>
      </c>
      <c r="G15" s="107">
        <v>0</v>
      </c>
      <c r="H15" s="107">
        <v>0</v>
      </c>
      <c r="I15" s="2358">
        <v>0</v>
      </c>
      <c r="J15" s="107">
        <v>0</v>
      </c>
      <c r="K15" s="107">
        <v>0</v>
      </c>
      <c r="L15" s="107">
        <v>0</v>
      </c>
      <c r="M15" s="107">
        <v>0</v>
      </c>
      <c r="N15" s="107">
        <v>0</v>
      </c>
      <c r="O15" s="107">
        <v>0</v>
      </c>
      <c r="P15" s="107">
        <v>0</v>
      </c>
      <c r="Q15" s="107">
        <v>0</v>
      </c>
      <c r="R15" s="107">
        <v>0</v>
      </c>
      <c r="S15" s="107">
        <v>0</v>
      </c>
      <c r="T15" s="107">
        <v>0</v>
      </c>
      <c r="U15" s="107">
        <v>0</v>
      </c>
      <c r="V15" s="107">
        <v>0</v>
      </c>
      <c r="W15" s="107">
        <v>0</v>
      </c>
      <c r="X15" s="107">
        <v>0</v>
      </c>
      <c r="Y15" s="107">
        <v>0</v>
      </c>
      <c r="Z15" s="107">
        <v>0</v>
      </c>
      <c r="AA15" s="107">
        <v>0</v>
      </c>
      <c r="AB15" s="107">
        <v>0</v>
      </c>
      <c r="AC15" s="107">
        <v>0</v>
      </c>
      <c r="AD15" s="107">
        <v>0</v>
      </c>
      <c r="AE15" s="107">
        <v>0</v>
      </c>
      <c r="AF15" s="107">
        <v>0</v>
      </c>
      <c r="AG15" s="107" t="s">
        <v>1347</v>
      </c>
      <c r="AH15" s="56">
        <f t="shared" si="2"/>
        <v>0</v>
      </c>
      <c r="AI15" s="59"/>
      <c r="AJ15" s="59"/>
      <c r="AK15" s="59"/>
      <c r="AL15" s="3289">
        <f t="shared" si="0"/>
        <v>2613.8510000000001</v>
      </c>
      <c r="AM15" s="1263"/>
      <c r="AN15" s="3443" t="s">
        <v>81</v>
      </c>
      <c r="AO15" s="3442">
        <f t="shared" si="3"/>
        <v>2613.8510000000001</v>
      </c>
      <c r="AP15" s="3444">
        <v>0</v>
      </c>
      <c r="AQ15" s="3444">
        <v>0</v>
      </c>
      <c r="AR15" s="3444">
        <v>0</v>
      </c>
      <c r="AS15" s="3444">
        <v>0</v>
      </c>
      <c r="AT15" s="3444">
        <v>0</v>
      </c>
      <c r="AU15" s="3444">
        <v>0</v>
      </c>
      <c r="AV15" s="3444">
        <v>0</v>
      </c>
      <c r="AW15" s="3444">
        <v>0</v>
      </c>
      <c r="AX15" s="3444">
        <v>0</v>
      </c>
      <c r="AY15" s="3444">
        <v>0</v>
      </c>
      <c r="AZ15" s="3444">
        <v>0</v>
      </c>
      <c r="BA15" s="3444">
        <v>0</v>
      </c>
      <c r="BB15" s="3444">
        <v>0</v>
      </c>
      <c r="BC15" s="3444">
        <v>0</v>
      </c>
      <c r="BD15" s="3444">
        <v>0</v>
      </c>
      <c r="BE15" s="3444">
        <v>0</v>
      </c>
      <c r="BF15" s="3444">
        <v>0</v>
      </c>
      <c r="BG15" s="3444">
        <v>0</v>
      </c>
      <c r="BH15" s="3444">
        <v>0</v>
      </c>
      <c r="BI15" s="3444">
        <v>0</v>
      </c>
      <c r="BJ15" s="3444">
        <v>0</v>
      </c>
      <c r="BK15" s="3444">
        <v>0</v>
      </c>
      <c r="BL15" s="3444">
        <v>0</v>
      </c>
      <c r="BM15" s="3444">
        <v>0</v>
      </c>
      <c r="BN15" s="3444">
        <v>1238.7550000000001</v>
      </c>
      <c r="BO15" s="3444">
        <v>1275.386</v>
      </c>
      <c r="BP15" s="3444">
        <v>99.71</v>
      </c>
      <c r="BQ15" s="3444">
        <v>0</v>
      </c>
      <c r="BR15" s="3444"/>
      <c r="BS15" s="3444"/>
      <c r="BT15" s="3444"/>
      <c r="BU15" s="2408">
        <f t="shared" si="4"/>
        <v>2613.8510000000001</v>
      </c>
    </row>
    <row r="16" spans="1:258" ht="15">
      <c r="A16" s="1522" t="s">
        <v>82</v>
      </c>
      <c r="B16" s="19">
        <f t="shared" si="1"/>
        <v>0</v>
      </c>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56">
        <f t="shared" si="2"/>
        <v>0</v>
      </c>
      <c r="AI16" s="59"/>
      <c r="AJ16" s="59"/>
      <c r="AK16" s="59"/>
      <c r="AL16" s="3289">
        <f t="shared" si="0"/>
        <v>1882.723</v>
      </c>
      <c r="AM16" s="1263"/>
      <c r="AN16" s="3443" t="s">
        <v>82</v>
      </c>
      <c r="AO16" s="3442">
        <f t="shared" si="3"/>
        <v>1882.723</v>
      </c>
      <c r="AP16" s="3444">
        <v>0</v>
      </c>
      <c r="AQ16" s="3444">
        <v>0</v>
      </c>
      <c r="AR16" s="3444">
        <v>0</v>
      </c>
      <c r="AS16" s="3444">
        <v>0</v>
      </c>
      <c r="AT16" s="3444">
        <v>0</v>
      </c>
      <c r="AU16" s="3444">
        <v>0</v>
      </c>
      <c r="AV16" s="3444">
        <v>701.59500000000003</v>
      </c>
      <c r="AW16" s="3444">
        <v>907.14499999999998</v>
      </c>
      <c r="AX16" s="3445">
        <v>175.36799999999999</v>
      </c>
      <c r="AY16" s="3444">
        <v>0</v>
      </c>
      <c r="AZ16" s="3444">
        <v>98.614999999999995</v>
      </c>
      <c r="BA16" s="3444"/>
      <c r="BB16" s="3444"/>
      <c r="BC16" s="3444"/>
      <c r="BD16" s="3444"/>
      <c r="BE16" s="3444"/>
      <c r="BF16" s="3444"/>
      <c r="BG16" s="3444"/>
      <c r="BH16" s="3444"/>
      <c r="BI16" s="3444"/>
      <c r="BJ16" s="3444"/>
      <c r="BK16" s="3444"/>
      <c r="BL16" s="3444"/>
      <c r="BM16" s="3444"/>
      <c r="BN16" s="3444"/>
      <c r="BO16" s="3444"/>
      <c r="BP16" s="3444"/>
      <c r="BQ16" s="3444"/>
      <c r="BR16" s="3444"/>
      <c r="BS16" s="3444"/>
      <c r="BT16" s="3444"/>
      <c r="BU16" s="2408">
        <f t="shared" si="4"/>
        <v>1882.723</v>
      </c>
    </row>
    <row r="17" spans="1:73" ht="15">
      <c r="A17" s="1522" t="s">
        <v>83</v>
      </c>
      <c r="B17" s="19">
        <f t="shared" si="1"/>
        <v>0</v>
      </c>
      <c r="C17" s="107" t="s">
        <v>109</v>
      </c>
      <c r="D17" s="107" t="s">
        <v>109</v>
      </c>
      <c r="E17" s="107" t="s">
        <v>109</v>
      </c>
      <c r="F17" s="107" t="s">
        <v>109</v>
      </c>
      <c r="G17" s="107" t="s">
        <v>109</v>
      </c>
      <c r="H17" s="107" t="s">
        <v>109</v>
      </c>
      <c r="I17" s="107" t="s">
        <v>109</v>
      </c>
      <c r="J17" s="107" t="s">
        <v>109</v>
      </c>
      <c r="K17" s="107" t="s">
        <v>109</v>
      </c>
      <c r="L17" s="107" t="s">
        <v>109</v>
      </c>
      <c r="M17" s="107" t="s">
        <v>109</v>
      </c>
      <c r="N17" s="107" t="s">
        <v>109</v>
      </c>
      <c r="O17" s="107" t="s">
        <v>109</v>
      </c>
      <c r="P17" s="107" t="s">
        <v>109</v>
      </c>
      <c r="Q17" s="107" t="s">
        <v>109</v>
      </c>
      <c r="R17" s="107" t="s">
        <v>109</v>
      </c>
      <c r="S17" s="107" t="s">
        <v>109</v>
      </c>
      <c r="T17" s="107" t="s">
        <v>109</v>
      </c>
      <c r="U17" s="107" t="s">
        <v>109</v>
      </c>
      <c r="V17" s="107" t="s">
        <v>109</v>
      </c>
      <c r="W17" s="107" t="s">
        <v>109</v>
      </c>
      <c r="X17" s="107" t="s">
        <v>109</v>
      </c>
      <c r="Y17" s="107" t="s">
        <v>109</v>
      </c>
      <c r="Z17" s="107" t="s">
        <v>109</v>
      </c>
      <c r="AA17" s="107" t="s">
        <v>109</v>
      </c>
      <c r="AB17" s="107" t="s">
        <v>109</v>
      </c>
      <c r="AC17" s="107" t="s">
        <v>109</v>
      </c>
      <c r="AD17" s="107" t="s">
        <v>109</v>
      </c>
      <c r="AE17" s="107" t="s">
        <v>109</v>
      </c>
      <c r="AF17" s="107"/>
      <c r="AG17" s="107" t="s">
        <v>109</v>
      </c>
      <c r="AH17" s="56">
        <f t="shared" si="2"/>
        <v>0</v>
      </c>
      <c r="AI17" s="59"/>
      <c r="AJ17" s="59"/>
      <c r="AK17" s="59"/>
      <c r="AL17" s="3289">
        <f t="shared" si="0"/>
        <v>0</v>
      </c>
      <c r="AM17" s="1263"/>
      <c r="AN17" s="3443" t="s">
        <v>83</v>
      </c>
      <c r="AO17" s="3442">
        <f t="shared" si="3"/>
        <v>0</v>
      </c>
      <c r="AP17" s="3444" t="s">
        <v>109</v>
      </c>
      <c r="AQ17" s="3444" t="s">
        <v>109</v>
      </c>
      <c r="AR17" s="3444" t="s">
        <v>109</v>
      </c>
      <c r="AS17" s="3444" t="s">
        <v>109</v>
      </c>
      <c r="AT17" s="3444" t="s">
        <v>109</v>
      </c>
      <c r="AU17" s="3444" t="s">
        <v>109</v>
      </c>
      <c r="AV17" s="3444" t="s">
        <v>109</v>
      </c>
      <c r="AW17" s="3444" t="s">
        <v>109</v>
      </c>
      <c r="AX17" s="3444" t="s">
        <v>109</v>
      </c>
      <c r="AY17" s="3444" t="s">
        <v>109</v>
      </c>
      <c r="AZ17" s="3444" t="s">
        <v>109</v>
      </c>
      <c r="BA17" s="3444" t="s">
        <v>109</v>
      </c>
      <c r="BB17" s="3444" t="s">
        <v>109</v>
      </c>
      <c r="BC17" s="3444" t="s">
        <v>109</v>
      </c>
      <c r="BD17" s="3444" t="s">
        <v>109</v>
      </c>
      <c r="BE17" s="3444" t="s">
        <v>109</v>
      </c>
      <c r="BF17" s="3444" t="s">
        <v>109</v>
      </c>
      <c r="BG17" s="3444" t="s">
        <v>109</v>
      </c>
      <c r="BH17" s="3444" t="s">
        <v>109</v>
      </c>
      <c r="BI17" s="3444" t="s">
        <v>109</v>
      </c>
      <c r="BJ17" s="3444" t="s">
        <v>109</v>
      </c>
      <c r="BK17" s="3444" t="s">
        <v>109</v>
      </c>
      <c r="BL17" s="3444" t="s">
        <v>109</v>
      </c>
      <c r="BM17" s="3444" t="s">
        <v>109</v>
      </c>
      <c r="BN17" s="3444" t="s">
        <v>109</v>
      </c>
      <c r="BO17" s="3444" t="s">
        <v>109</v>
      </c>
      <c r="BP17" s="3444" t="s">
        <v>109</v>
      </c>
      <c r="BQ17" s="3444" t="s">
        <v>109</v>
      </c>
      <c r="BR17" s="3444" t="s">
        <v>109</v>
      </c>
      <c r="BS17" s="3444" t="s">
        <v>109</v>
      </c>
      <c r="BT17" s="3444" t="s">
        <v>109</v>
      </c>
      <c r="BU17" s="2408">
        <f t="shared" si="4"/>
        <v>0</v>
      </c>
    </row>
    <row r="18" spans="1:73" ht="15">
      <c r="A18" s="1522" t="s">
        <v>84</v>
      </c>
      <c r="B18" s="19">
        <f t="shared" si="1"/>
        <v>0</v>
      </c>
      <c r="C18" s="107" t="s">
        <v>109</v>
      </c>
      <c r="D18" s="107"/>
      <c r="E18" s="107"/>
      <c r="F18" s="107" t="s">
        <v>109</v>
      </c>
      <c r="G18" s="107" t="s">
        <v>109</v>
      </c>
      <c r="H18" s="107" t="s">
        <v>109</v>
      </c>
      <c r="I18" s="107" t="s">
        <v>109</v>
      </c>
      <c r="J18" s="107" t="s">
        <v>109</v>
      </c>
      <c r="K18" s="107" t="s">
        <v>109</v>
      </c>
      <c r="L18" s="107" t="s">
        <v>109</v>
      </c>
      <c r="M18" s="107" t="s">
        <v>109</v>
      </c>
      <c r="N18" s="107" t="s">
        <v>109</v>
      </c>
      <c r="O18" s="107" t="s">
        <v>109</v>
      </c>
      <c r="P18" s="107" t="s">
        <v>109</v>
      </c>
      <c r="Q18" s="107" t="s">
        <v>109</v>
      </c>
      <c r="R18" s="107" t="s">
        <v>109</v>
      </c>
      <c r="S18" s="107" t="s">
        <v>109</v>
      </c>
      <c r="T18" s="107" t="s">
        <v>109</v>
      </c>
      <c r="U18" s="107" t="s">
        <v>109</v>
      </c>
      <c r="V18" s="107" t="s">
        <v>109</v>
      </c>
      <c r="W18" s="107" t="s">
        <v>109</v>
      </c>
      <c r="X18" s="107" t="s">
        <v>109</v>
      </c>
      <c r="Y18" s="107" t="s">
        <v>109</v>
      </c>
      <c r="Z18" s="107" t="s">
        <v>109</v>
      </c>
      <c r="AA18" s="107" t="s">
        <v>109</v>
      </c>
      <c r="AB18" s="107" t="s">
        <v>109</v>
      </c>
      <c r="AC18" s="107" t="s">
        <v>109</v>
      </c>
      <c r="AD18" s="107" t="s">
        <v>109</v>
      </c>
      <c r="AE18" s="107" t="s">
        <v>109</v>
      </c>
      <c r="AF18" s="107" t="s">
        <v>109</v>
      </c>
      <c r="AG18" s="107" t="s">
        <v>109</v>
      </c>
      <c r="AH18" s="56">
        <f t="shared" si="2"/>
        <v>0</v>
      </c>
      <c r="AI18" s="59"/>
      <c r="AJ18" s="59"/>
      <c r="AK18" s="59"/>
      <c r="AL18" s="3289">
        <f t="shared" si="0"/>
        <v>0</v>
      </c>
      <c r="AM18" s="1263"/>
      <c r="AN18" s="3443" t="s">
        <v>84</v>
      </c>
      <c r="AO18" s="3442">
        <f t="shared" si="3"/>
        <v>0</v>
      </c>
      <c r="AP18" s="3444" t="s">
        <v>109</v>
      </c>
      <c r="AQ18" s="3444" t="s">
        <v>109</v>
      </c>
      <c r="AR18" s="3444" t="s">
        <v>109</v>
      </c>
      <c r="AS18" s="3444" t="s">
        <v>109</v>
      </c>
      <c r="AT18" s="3444" t="s">
        <v>109</v>
      </c>
      <c r="AU18" s="3444" t="s">
        <v>109</v>
      </c>
      <c r="AV18" s="3444" t="s">
        <v>109</v>
      </c>
      <c r="AW18" s="3444" t="s">
        <v>109</v>
      </c>
      <c r="AX18" s="3444" t="s">
        <v>109</v>
      </c>
      <c r="AY18" s="3444" t="s">
        <v>109</v>
      </c>
      <c r="AZ18" s="3444" t="s">
        <v>109</v>
      </c>
      <c r="BA18" s="3444" t="s">
        <v>109</v>
      </c>
      <c r="BB18" s="3444" t="s">
        <v>109</v>
      </c>
      <c r="BC18" s="3444" t="s">
        <v>109</v>
      </c>
      <c r="BD18" s="3444" t="s">
        <v>109</v>
      </c>
      <c r="BE18" s="3444" t="s">
        <v>109</v>
      </c>
      <c r="BF18" s="3444" t="s">
        <v>109</v>
      </c>
      <c r="BG18" s="3444" t="s">
        <v>109</v>
      </c>
      <c r="BH18" s="3444" t="s">
        <v>109</v>
      </c>
      <c r="BI18" s="3444" t="s">
        <v>109</v>
      </c>
      <c r="BJ18" s="3444" t="s">
        <v>109</v>
      </c>
      <c r="BK18" s="3444" t="s">
        <v>109</v>
      </c>
      <c r="BL18" s="3444" t="s">
        <v>109</v>
      </c>
      <c r="BM18" s="3444" t="s">
        <v>109</v>
      </c>
      <c r="BN18" s="3444" t="s">
        <v>109</v>
      </c>
      <c r="BO18" s="3444" t="s">
        <v>109</v>
      </c>
      <c r="BP18" s="3444" t="s">
        <v>109</v>
      </c>
      <c r="BQ18" s="3444" t="s">
        <v>109</v>
      </c>
      <c r="BR18" s="3444" t="s">
        <v>109</v>
      </c>
      <c r="BS18" s="3444" t="s">
        <v>109</v>
      </c>
      <c r="BT18" s="3444" t="s">
        <v>109</v>
      </c>
      <c r="BU18" s="2408">
        <f t="shared" si="4"/>
        <v>0</v>
      </c>
    </row>
    <row r="19" spans="1:73" ht="15.6" thickBot="1">
      <c r="A19" s="71" t="s">
        <v>72</v>
      </c>
      <c r="B19" s="73">
        <f>SUM(B7:B18)</f>
        <v>81786.965999999986</v>
      </c>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f>SUM(AH7:AH18)</f>
        <v>81786.965999999986</v>
      </c>
      <c r="AI19" s="59"/>
      <c r="AJ19" s="59"/>
      <c r="AK19" s="59"/>
      <c r="AL19" s="3290">
        <f t="shared" si="0"/>
        <v>89200.677999999985</v>
      </c>
      <c r="AM19" s="1263"/>
      <c r="AN19" s="3437" t="s">
        <v>72</v>
      </c>
      <c r="AO19" s="3446">
        <f>SUM(AO7:AO18)</f>
        <v>7413.7119999999995</v>
      </c>
      <c r="AP19" s="2408"/>
      <c r="AQ19" s="2408"/>
      <c r="AR19" s="2408"/>
      <c r="AS19" s="2408"/>
      <c r="AT19" s="2408"/>
      <c r="AU19" s="2408"/>
      <c r="AV19" s="2408"/>
      <c r="AW19" s="2408"/>
      <c r="AX19" s="2408"/>
      <c r="AY19" s="2408"/>
      <c r="AZ19" s="2408"/>
      <c r="BA19" s="2408"/>
      <c r="BB19" s="2408"/>
      <c r="BC19" s="2408"/>
      <c r="BD19" s="2408"/>
      <c r="BE19" s="2408"/>
      <c r="BF19" s="2408"/>
      <c r="BG19" s="2408"/>
      <c r="BH19" s="2408"/>
      <c r="BI19" s="2408"/>
      <c r="BJ19" s="2408"/>
      <c r="BK19" s="2408"/>
      <c r="BL19" s="2408"/>
      <c r="BM19" s="2408"/>
      <c r="BN19" s="2408"/>
      <c r="BO19" s="2408"/>
      <c r="BP19" s="2408"/>
      <c r="BQ19" s="2408"/>
      <c r="BR19" s="2408"/>
      <c r="BS19" s="2408"/>
      <c r="BT19" s="2408"/>
      <c r="BU19" s="2408">
        <f>SUM(BU7:BU18)</f>
        <v>7413.7119999999995</v>
      </c>
    </row>
    <row r="20" spans="1:73" ht="22.8">
      <c r="A20" s="1"/>
      <c r="B20" s="2357"/>
      <c r="C20" s="55"/>
      <c r="D20" s="22"/>
      <c r="E20" s="22"/>
      <c r="F20" s="22">
        <v>89242</v>
      </c>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55"/>
      <c r="AI20" s="55"/>
      <c r="AJ20" s="55"/>
      <c r="AK20" s="55"/>
      <c r="AL20" s="55"/>
      <c r="AM20" s="1264"/>
      <c r="AN20" s="3185" t="s">
        <v>714</v>
      </c>
      <c r="AO20" s="3185">
        <v>7500</v>
      </c>
      <c r="AP20" s="3185" t="s">
        <v>1370</v>
      </c>
      <c r="AQ20" s="3185"/>
      <c r="AR20" s="3185"/>
      <c r="AS20" s="3185"/>
      <c r="AT20" s="3185"/>
      <c r="AU20" s="3185"/>
      <c r="AV20" s="3185"/>
      <c r="AW20" s="3185"/>
      <c r="AX20" s="3185"/>
      <c r="AY20" s="3185"/>
      <c r="AZ20" s="1264"/>
      <c r="BA20" s="1264"/>
      <c r="BB20" s="1264"/>
      <c r="BC20" s="1265"/>
    </row>
    <row r="21" spans="1:73" ht="22.8">
      <c r="A21" s="3811" t="s">
        <v>85</v>
      </c>
      <c r="B21" s="3812"/>
      <c r="C21" s="3813"/>
      <c r="D21" s="22"/>
      <c r="E21" s="22"/>
      <c r="F21" s="22"/>
      <c r="G21" s="22"/>
      <c r="H21" s="22"/>
      <c r="I21" s="1688"/>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55"/>
      <c r="AI21" s="55"/>
      <c r="AJ21" s="55"/>
      <c r="AK21" s="55"/>
      <c r="AL21" s="55"/>
      <c r="AN21" s="3186" t="s">
        <v>475</v>
      </c>
      <c r="AO21" s="3186">
        <f>+AO20-AO19</f>
        <v>86.288000000000466</v>
      </c>
      <c r="AP21" s="3186"/>
      <c r="AQ21" s="3187"/>
      <c r="AR21" s="3187"/>
      <c r="AS21" s="3187"/>
      <c r="AT21" s="3187"/>
      <c r="AU21" s="3187"/>
      <c r="AV21" s="3187"/>
      <c r="AW21" s="3187"/>
      <c r="AX21" s="3187"/>
      <c r="AY21" s="3187"/>
    </row>
    <row r="22" spans="1:73" ht="15">
      <c r="A22" s="5" t="s">
        <v>70</v>
      </c>
      <c r="B22" s="19" t="s">
        <v>71</v>
      </c>
      <c r="C22" s="57">
        <v>1</v>
      </c>
      <c r="D22" s="23">
        <v>2</v>
      </c>
      <c r="E22" s="57">
        <v>3</v>
      </c>
      <c r="F22" s="23">
        <v>4</v>
      </c>
      <c r="G22" s="57">
        <v>5</v>
      </c>
      <c r="H22" s="23">
        <v>6</v>
      </c>
      <c r="I22" s="57">
        <v>7</v>
      </c>
      <c r="J22" s="23">
        <v>8</v>
      </c>
      <c r="K22" s="57">
        <v>9</v>
      </c>
      <c r="L22" s="23">
        <v>10</v>
      </c>
      <c r="M22" s="57">
        <v>11</v>
      </c>
      <c r="N22" s="23">
        <v>12</v>
      </c>
      <c r="O22" s="57">
        <v>13</v>
      </c>
      <c r="P22" s="23">
        <v>14</v>
      </c>
      <c r="Q22" s="57">
        <v>15</v>
      </c>
      <c r="R22" s="23">
        <v>16</v>
      </c>
      <c r="S22" s="57">
        <v>17</v>
      </c>
      <c r="T22" s="23">
        <v>18</v>
      </c>
      <c r="U22" s="57">
        <v>19</v>
      </c>
      <c r="V22" s="23">
        <v>20</v>
      </c>
      <c r="W22" s="57">
        <v>21</v>
      </c>
      <c r="X22" s="23">
        <v>22</v>
      </c>
      <c r="Y22" s="57">
        <v>23</v>
      </c>
      <c r="Z22" s="23">
        <v>24</v>
      </c>
      <c r="AA22" s="57">
        <v>25</v>
      </c>
      <c r="AB22" s="23">
        <v>26</v>
      </c>
      <c r="AC22" s="57">
        <v>27</v>
      </c>
      <c r="AD22" s="23">
        <v>28</v>
      </c>
      <c r="AE22" s="57">
        <v>29</v>
      </c>
      <c r="AF22" s="23">
        <v>30</v>
      </c>
      <c r="AG22" s="57">
        <v>31</v>
      </c>
      <c r="AH22" s="56" t="s">
        <v>72</v>
      </c>
      <c r="AI22" s="2266" t="s">
        <v>1345</v>
      </c>
      <c r="AJ22" s="2157">
        <f>(B36/COUNTIF($C$23:$AG$34,"&gt;0"))</f>
        <v>218.35040000000001</v>
      </c>
      <c r="AK22" s="59"/>
      <c r="AL22" s="59"/>
    </row>
    <row r="23" spans="1:73" ht="15">
      <c r="A23" s="1607"/>
      <c r="B23" s="19"/>
      <c r="C23" s="2364"/>
      <c r="D23" s="2364"/>
      <c r="E23" s="3150"/>
      <c r="F23" s="2364"/>
      <c r="G23" s="2364"/>
      <c r="H23" s="3150"/>
      <c r="I23" s="2364"/>
      <c r="J23" s="2364"/>
      <c r="K23" s="2364"/>
      <c r="L23" s="2364"/>
      <c r="M23" s="2364"/>
      <c r="N23" s="2364"/>
      <c r="O23" s="2364"/>
      <c r="P23" s="2364"/>
      <c r="Q23" s="2364"/>
      <c r="R23" s="2364"/>
      <c r="S23" s="2364"/>
      <c r="T23" s="2364"/>
      <c r="U23" s="2364"/>
      <c r="V23" s="2365"/>
      <c r="W23" s="2364"/>
      <c r="X23" s="2364"/>
      <c r="Y23" s="2364"/>
      <c r="Z23" s="2364"/>
      <c r="AA23" s="2364"/>
      <c r="AB23" s="2364"/>
      <c r="AC23" s="2364"/>
      <c r="AD23" s="2364"/>
      <c r="AE23" s="2364"/>
      <c r="AF23" s="1055"/>
      <c r="AG23" s="2366">
        <v>0.69000000000000006</v>
      </c>
      <c r="AH23" s="56">
        <f t="shared" ref="AH23:AH28" si="5">SUM(C23:AG23)</f>
        <v>0.69000000000000006</v>
      </c>
      <c r="AI23" s="59"/>
      <c r="AJ23" s="59">
        <f>+'Res. Global'!J9</f>
        <v>6685.4559999999983</v>
      </c>
    </row>
    <row r="24" spans="1:73" ht="15">
      <c r="A24" s="1607" t="s">
        <v>73</v>
      </c>
      <c r="B24" s="19">
        <f t="shared" ref="B24:B35" si="6">SUM(AH24)</f>
        <v>0.69000000000000006</v>
      </c>
      <c r="C24" s="2367"/>
      <c r="D24" s="3148"/>
      <c r="E24" s="2367"/>
      <c r="F24" s="3149"/>
      <c r="G24" s="3151"/>
      <c r="H24" s="1771"/>
      <c r="I24" s="3149"/>
      <c r="J24" s="2368"/>
      <c r="K24" s="2368"/>
      <c r="L24" s="2368"/>
      <c r="M24" s="2368"/>
      <c r="N24" s="2373"/>
      <c r="O24" s="2368"/>
      <c r="P24" s="2366"/>
      <c r="Q24" s="2366"/>
      <c r="R24" s="2370"/>
      <c r="S24" s="2370"/>
      <c r="T24" s="2370"/>
      <c r="U24" s="2370"/>
      <c r="V24" s="2370"/>
      <c r="W24" s="2370"/>
      <c r="X24" s="2370"/>
      <c r="Y24" s="2370"/>
      <c r="Z24" s="2370"/>
      <c r="AA24" s="2370"/>
      <c r="AB24" s="2370"/>
      <c r="AC24" s="2370"/>
      <c r="AD24" s="2370"/>
      <c r="AE24" s="2374"/>
      <c r="AF24" s="2374"/>
      <c r="AG24" s="2374">
        <v>0.69000000000000006</v>
      </c>
      <c r="AH24" s="56">
        <f t="shared" si="5"/>
        <v>0.69000000000000006</v>
      </c>
      <c r="AI24" s="59"/>
      <c r="AJ24" s="3211">
        <f>+AJ23/+AJ22</f>
        <v>30.618015813115058</v>
      </c>
    </row>
    <row r="25" spans="1:73" ht="15">
      <c r="A25" s="1607" t="s">
        <v>74</v>
      </c>
      <c r="B25" s="19">
        <f t="shared" si="6"/>
        <v>0.39</v>
      </c>
      <c r="C25" s="2367"/>
      <c r="D25" s="2368"/>
      <c r="E25" s="2369"/>
      <c r="F25" s="2370"/>
      <c r="G25" s="2371"/>
      <c r="H25" s="3152"/>
      <c r="I25" s="2370"/>
      <c r="J25" s="2368"/>
      <c r="K25" s="2368"/>
      <c r="L25" s="2368"/>
      <c r="M25" s="2368"/>
      <c r="N25" s="2373"/>
      <c r="O25" s="2368"/>
      <c r="P25" s="2366"/>
      <c r="Q25" s="2366"/>
      <c r="R25" s="2370"/>
      <c r="S25" s="2370">
        <v>0.02</v>
      </c>
      <c r="T25" s="2370"/>
      <c r="U25" s="2370"/>
      <c r="V25" s="2370"/>
      <c r="W25" s="2370"/>
      <c r="X25" s="2370"/>
      <c r="Y25" s="2370"/>
      <c r="Z25" s="2370"/>
      <c r="AA25" s="2370"/>
      <c r="AB25" s="2370"/>
      <c r="AC25" s="2370"/>
      <c r="AD25" s="2370">
        <v>0.37</v>
      </c>
      <c r="AE25" s="2374"/>
      <c r="AF25" s="2374"/>
      <c r="AG25" s="2374"/>
      <c r="AH25" s="56">
        <f t="shared" si="5"/>
        <v>0.39</v>
      </c>
      <c r="AI25" s="59"/>
      <c r="AJ25" s="59"/>
    </row>
    <row r="26" spans="1:73" ht="15">
      <c r="A26" s="1607" t="s">
        <v>75</v>
      </c>
      <c r="B26" s="19">
        <f t="shared" si="6"/>
        <v>3331.8130000000001</v>
      </c>
      <c r="C26" s="2375"/>
      <c r="D26" s="2376"/>
      <c r="E26" s="2376">
        <v>219.24</v>
      </c>
      <c r="F26" s="2376">
        <v>303.19500000000005</v>
      </c>
      <c r="G26" s="2377">
        <v>75.45</v>
      </c>
      <c r="H26" s="2376">
        <v>322.86399999999998</v>
      </c>
      <c r="I26" s="2376">
        <v>281.39299999999997</v>
      </c>
      <c r="J26" s="2366">
        <v>357.04599999999999</v>
      </c>
      <c r="K26" s="2366"/>
      <c r="L26" s="2366">
        <v>54.434999999999995</v>
      </c>
      <c r="M26" s="2366"/>
      <c r="N26" s="2367"/>
      <c r="O26" s="2367"/>
      <c r="P26" s="2378"/>
      <c r="Q26" s="2378"/>
      <c r="R26" s="2379"/>
      <c r="S26" s="2378"/>
      <c r="T26" s="2378">
        <v>60.730000000000004</v>
      </c>
      <c r="U26" s="2378"/>
      <c r="V26" s="2376"/>
      <c r="W26" s="2378">
        <v>0.3</v>
      </c>
      <c r="X26" s="2378"/>
      <c r="Y26" s="2378"/>
      <c r="Z26" s="2378">
        <v>75</v>
      </c>
      <c r="AA26" s="2378">
        <v>340.58499999999998</v>
      </c>
      <c r="AB26" s="2376">
        <v>248.20499999999998</v>
      </c>
      <c r="AC26" s="2376">
        <v>164.9</v>
      </c>
      <c r="AD26" s="2368">
        <v>345.96499999999997</v>
      </c>
      <c r="AE26" s="2376">
        <v>266.55</v>
      </c>
      <c r="AF26" s="2380">
        <v>144.26499999999999</v>
      </c>
      <c r="AG26" s="2380">
        <v>71.69</v>
      </c>
      <c r="AH26" s="56">
        <f t="shared" si="5"/>
        <v>3331.8130000000001</v>
      </c>
      <c r="AI26" s="59"/>
      <c r="AJ26" s="59"/>
    </row>
    <row r="27" spans="1:73" ht="15">
      <c r="A27" s="1607" t="s">
        <v>76</v>
      </c>
      <c r="B27" s="19">
        <f t="shared" si="6"/>
        <v>2053.37</v>
      </c>
      <c r="C27" s="2373"/>
      <c r="D27" s="2266"/>
      <c r="E27" s="2381"/>
      <c r="F27" s="2372"/>
      <c r="G27" s="2376"/>
      <c r="H27" s="2381"/>
      <c r="I27" s="2381">
        <v>306.685</v>
      </c>
      <c r="J27" s="2376">
        <v>190.07499999999999</v>
      </c>
      <c r="K27" s="2376">
        <v>269.69</v>
      </c>
      <c r="L27" s="2368">
        <v>234.80699999999999</v>
      </c>
      <c r="M27" s="2380">
        <v>0.05</v>
      </c>
      <c r="N27" s="2381">
        <v>256.19499999999999</v>
      </c>
      <c r="O27" s="2381"/>
      <c r="P27" s="2381"/>
      <c r="Q27" s="2381"/>
      <c r="R27" s="2376"/>
      <c r="S27" s="2376"/>
      <c r="T27" s="2376"/>
      <c r="U27" s="2367"/>
      <c r="V27" s="2382"/>
      <c r="W27" s="2376"/>
      <c r="X27" s="2376"/>
      <c r="Y27" s="2376">
        <v>5.2850000000000001</v>
      </c>
      <c r="Z27" s="2376">
        <v>40.86</v>
      </c>
      <c r="AA27" s="2368">
        <v>223.70499999999998</v>
      </c>
      <c r="AB27" s="2376">
        <v>49.491999999999997</v>
      </c>
      <c r="AC27" s="2381">
        <v>232.166</v>
      </c>
      <c r="AD27" s="2381">
        <v>79.905000000000001</v>
      </c>
      <c r="AE27" s="2376">
        <v>144.80500000000001</v>
      </c>
      <c r="AF27" s="2380">
        <v>19.650000000000002</v>
      </c>
      <c r="AG27" s="2380"/>
      <c r="AH27" s="56">
        <f t="shared" si="5"/>
        <v>2053.37</v>
      </c>
      <c r="AI27" s="59"/>
      <c r="AJ27" s="59"/>
      <c r="AK27" s="59"/>
      <c r="AL27" s="59"/>
    </row>
    <row r="28" spans="1:73" ht="15">
      <c r="A28" s="1607" t="s">
        <v>77</v>
      </c>
      <c r="B28" s="19">
        <f t="shared" si="6"/>
        <v>1762.2619999999999</v>
      </c>
      <c r="C28" s="2367"/>
      <c r="D28" s="2380"/>
      <c r="E28" s="2381">
        <v>0.03</v>
      </c>
      <c r="F28" s="2376">
        <v>24.195</v>
      </c>
      <c r="G28" s="2381">
        <v>115.11000000000001</v>
      </c>
      <c r="H28" s="2381">
        <v>205.49699999999999</v>
      </c>
      <c r="I28" s="2376">
        <v>74.944999999999993</v>
      </c>
      <c r="J28" s="2381"/>
      <c r="K28" s="2381">
        <v>210.69800000000001</v>
      </c>
      <c r="L28" s="2381"/>
      <c r="M28" s="2376"/>
      <c r="N28" s="2376"/>
      <c r="O28" s="2381"/>
      <c r="P28" s="2368"/>
      <c r="Q28" s="2380"/>
      <c r="R28" s="2376"/>
      <c r="S28" s="2376">
        <v>0.02</v>
      </c>
      <c r="T28" s="2381"/>
      <c r="U28" s="2368"/>
      <c r="V28" s="2368"/>
      <c r="W28" s="2368"/>
      <c r="X28" s="2368"/>
      <c r="Y28" s="2368">
        <v>574.29999999999995</v>
      </c>
      <c r="Z28" s="2381"/>
      <c r="AA28" s="2381">
        <v>107.922</v>
      </c>
      <c r="AB28" s="2381"/>
      <c r="AC28" s="2381">
        <v>67.305000000000007</v>
      </c>
      <c r="AD28" s="2376"/>
      <c r="AE28" s="2381">
        <v>290.505</v>
      </c>
      <c r="AF28" s="2376"/>
      <c r="AG28" s="2367">
        <v>91.734999999999999</v>
      </c>
      <c r="AH28" s="56">
        <f t="shared" si="5"/>
        <v>1762.2619999999999</v>
      </c>
      <c r="AI28" s="59"/>
      <c r="AJ28" s="59"/>
      <c r="AK28" s="59"/>
      <c r="AL28" s="59"/>
      <c r="AQ28" s="591" t="s">
        <v>1415</v>
      </c>
    </row>
    <row r="29" spans="1:73" ht="15">
      <c r="A29" s="1607" t="s">
        <v>78</v>
      </c>
      <c r="B29" s="19">
        <f t="shared" si="6"/>
        <v>355.37199999999996</v>
      </c>
      <c r="C29" s="2368"/>
      <c r="D29" s="2376"/>
      <c r="E29" s="2381"/>
      <c r="F29" s="2376">
        <v>32.664999999999999</v>
      </c>
      <c r="G29" s="2381">
        <v>15.31</v>
      </c>
      <c r="H29" s="2381"/>
      <c r="I29" s="2383"/>
      <c r="J29" s="2367"/>
      <c r="K29" s="2368"/>
      <c r="L29" s="2368">
        <v>7.4219999999999997</v>
      </c>
      <c r="M29" s="2381"/>
      <c r="N29" s="2381">
        <v>56.295000000000002</v>
      </c>
      <c r="O29" s="2381"/>
      <c r="P29" s="2381"/>
      <c r="Q29" s="2381"/>
      <c r="R29" s="2381"/>
      <c r="S29" s="2381"/>
      <c r="T29" s="2381"/>
      <c r="U29" s="2381">
        <v>43.25</v>
      </c>
      <c r="V29" s="2381"/>
      <c r="W29" s="2381">
        <v>69.995000000000005</v>
      </c>
      <c r="X29" s="2381"/>
      <c r="Y29" s="2381">
        <v>45.085000000000001</v>
      </c>
      <c r="Z29" s="2381">
        <v>85.35</v>
      </c>
      <c r="AA29" s="2381"/>
      <c r="AB29" s="2381"/>
      <c r="AC29" s="2381"/>
      <c r="AD29" s="2381"/>
      <c r="AE29" s="2381"/>
      <c r="AF29" s="2381"/>
      <c r="AG29" s="2367"/>
      <c r="AH29" s="56">
        <f t="shared" ref="AH29:AH35" si="7">SUM(C29:AG29)</f>
        <v>355.37199999999996</v>
      </c>
      <c r="AI29" s="59"/>
      <c r="AJ29" s="59"/>
      <c r="AK29" s="59"/>
      <c r="AL29" s="59"/>
    </row>
    <row r="30" spans="1:73" ht="15">
      <c r="A30" s="1522" t="s">
        <v>79</v>
      </c>
      <c r="B30" s="19">
        <f t="shared" si="6"/>
        <v>283.02099999999996</v>
      </c>
      <c r="C30" s="1925"/>
      <c r="D30" s="2384"/>
      <c r="E30" s="1925"/>
      <c r="F30" s="2385"/>
      <c r="G30" s="1925"/>
      <c r="H30" s="1925"/>
      <c r="I30" s="1925"/>
      <c r="J30" s="2386"/>
      <c r="K30" s="1925"/>
      <c r="L30" s="1925"/>
      <c r="M30" s="1925"/>
      <c r="N30" s="1917"/>
      <c r="O30" s="1925"/>
      <c r="P30" s="1925"/>
      <c r="Q30" s="1925"/>
      <c r="R30" s="1925"/>
      <c r="S30" s="1931"/>
      <c r="T30" s="1931">
        <v>1.4390000000000001</v>
      </c>
      <c r="U30" s="1931">
        <v>104.49</v>
      </c>
      <c r="V30" s="1931"/>
      <c r="W30" s="1925">
        <v>159.68199999999999</v>
      </c>
      <c r="X30" s="1925"/>
      <c r="Y30" s="1925"/>
      <c r="Z30" s="1925"/>
      <c r="AA30" s="2387"/>
      <c r="AB30" s="2387"/>
      <c r="AC30" s="2387">
        <v>0.08</v>
      </c>
      <c r="AD30" s="2387"/>
      <c r="AE30" s="2387"/>
      <c r="AF30" s="2387"/>
      <c r="AG30" s="2387">
        <v>17.330000000000002</v>
      </c>
      <c r="AH30" s="56">
        <f t="shared" si="7"/>
        <v>283.02099999999996</v>
      </c>
      <c r="AI30" s="59"/>
      <c r="AJ30" s="59"/>
      <c r="AK30" s="59"/>
      <c r="AL30" s="59"/>
    </row>
    <row r="31" spans="1:73" ht="15">
      <c r="A31" s="1522" t="s">
        <v>80</v>
      </c>
      <c r="B31" s="19">
        <f t="shared" si="6"/>
        <v>0.02</v>
      </c>
      <c r="C31" s="107"/>
      <c r="D31" s="107"/>
      <c r="E31" s="107"/>
      <c r="F31" s="107"/>
      <c r="G31" s="107"/>
      <c r="H31" s="107"/>
      <c r="I31" s="107"/>
      <c r="J31" s="107"/>
      <c r="K31" s="2044"/>
      <c r="L31" s="107"/>
      <c r="M31" s="107"/>
      <c r="N31" s="107"/>
      <c r="O31" s="107"/>
      <c r="P31" s="107"/>
      <c r="Q31" s="107"/>
      <c r="R31" s="107"/>
      <c r="S31" s="107"/>
      <c r="T31" s="107"/>
      <c r="U31" s="107"/>
      <c r="V31" s="107">
        <v>0.02</v>
      </c>
      <c r="W31" s="107"/>
      <c r="X31" s="107"/>
      <c r="Y31" s="107"/>
      <c r="Z31" s="107"/>
      <c r="AA31" s="107"/>
      <c r="AB31" s="107"/>
      <c r="AC31" s="107"/>
      <c r="AD31" s="107"/>
      <c r="AE31" s="107"/>
      <c r="AF31" s="107"/>
      <c r="AG31" s="107"/>
      <c r="AH31" s="56">
        <f t="shared" si="7"/>
        <v>0.02</v>
      </c>
      <c r="AI31" s="59"/>
      <c r="AJ31" s="59"/>
      <c r="AK31" s="59"/>
      <c r="AL31" s="59"/>
    </row>
    <row r="32" spans="1:73" ht="15">
      <c r="A32" s="1522" t="s">
        <v>81</v>
      </c>
      <c r="B32" s="19">
        <f t="shared" si="6"/>
        <v>28.1</v>
      </c>
      <c r="C32" s="107"/>
      <c r="D32" s="107"/>
      <c r="E32" s="107"/>
      <c r="F32" s="107"/>
      <c r="G32" s="107">
        <v>0.01</v>
      </c>
      <c r="H32" s="107"/>
      <c r="I32" s="107"/>
      <c r="J32" s="107"/>
      <c r="K32" s="2388"/>
      <c r="L32" s="107"/>
      <c r="M32" s="107"/>
      <c r="N32" s="2389"/>
      <c r="O32" s="107"/>
      <c r="P32" s="107"/>
      <c r="Q32" s="107"/>
      <c r="R32" s="107"/>
      <c r="S32" s="107"/>
      <c r="T32" s="107"/>
      <c r="U32" s="107"/>
      <c r="V32" s="107"/>
      <c r="W32" s="107"/>
      <c r="X32" s="107"/>
      <c r="Y32" s="107"/>
      <c r="Z32" s="107"/>
      <c r="AA32" s="107"/>
      <c r="AB32" s="107">
        <v>24.635000000000002</v>
      </c>
      <c r="AC32" s="107">
        <v>3.0550000000000002</v>
      </c>
      <c r="AD32" s="107"/>
      <c r="AE32" s="107"/>
      <c r="AF32" s="107">
        <v>0.4</v>
      </c>
      <c r="AG32" s="107"/>
      <c r="AH32" s="56">
        <f t="shared" si="7"/>
        <v>28.1</v>
      </c>
      <c r="AI32" s="59"/>
      <c r="AJ32" s="59"/>
      <c r="AK32" s="59"/>
      <c r="AL32" s="59"/>
    </row>
    <row r="33" spans="1:55" ht="15">
      <c r="A33" s="1522" t="s">
        <v>82</v>
      </c>
      <c r="B33" s="19">
        <f t="shared" si="6"/>
        <v>6174.9749999999995</v>
      </c>
      <c r="C33" s="107"/>
      <c r="D33" s="107"/>
      <c r="E33" s="107"/>
      <c r="F33" s="107"/>
      <c r="G33" s="107"/>
      <c r="H33" s="107">
        <v>368.61</v>
      </c>
      <c r="I33" s="107">
        <v>354.20500000000004</v>
      </c>
      <c r="J33" s="107">
        <v>298.15999999999997</v>
      </c>
      <c r="K33" s="107">
        <v>249.7</v>
      </c>
      <c r="L33" s="107">
        <v>271.62</v>
      </c>
      <c r="M33" s="107">
        <v>256.83000000000004</v>
      </c>
      <c r="N33" s="107"/>
      <c r="O33" s="107"/>
      <c r="P33" s="107"/>
      <c r="Q33" s="107">
        <v>273.64999999999998</v>
      </c>
      <c r="R33" s="107">
        <v>497.55500000000001</v>
      </c>
      <c r="S33" s="107">
        <v>374.96500000000003</v>
      </c>
      <c r="T33" s="107">
        <v>350.8</v>
      </c>
      <c r="U33" s="107">
        <v>468.54700000000003</v>
      </c>
      <c r="V33" s="107"/>
      <c r="W33" s="107"/>
      <c r="X33" s="107"/>
      <c r="Y33" s="107"/>
      <c r="Z33" s="107"/>
      <c r="AA33" s="107">
        <v>0.04</v>
      </c>
      <c r="AB33" s="107"/>
      <c r="AC33" s="107">
        <v>507.26999999999992</v>
      </c>
      <c r="AD33" s="107">
        <v>540.83300000000008</v>
      </c>
      <c r="AE33" s="107">
        <v>395.25</v>
      </c>
      <c r="AF33" s="107">
        <v>403.48999999999995</v>
      </c>
      <c r="AG33" s="107">
        <v>563.45000000000005</v>
      </c>
      <c r="AH33" s="56">
        <f t="shared" si="7"/>
        <v>6174.9749999999995</v>
      </c>
      <c r="AI33" s="59"/>
      <c r="AJ33" s="59"/>
      <c r="AK33" s="59"/>
      <c r="AL33" s="59"/>
    </row>
    <row r="34" spans="1:55" ht="15">
      <c r="A34" s="1522" t="s">
        <v>83</v>
      </c>
      <c r="B34" s="19">
        <f t="shared" si="6"/>
        <v>6845.26</v>
      </c>
      <c r="C34" s="107">
        <v>343.80999999999995</v>
      </c>
      <c r="D34" s="107">
        <v>310.17500000000007</v>
      </c>
      <c r="E34" s="107">
        <v>507.79499999999996</v>
      </c>
      <c r="F34" s="107">
        <v>37.76</v>
      </c>
      <c r="G34" s="107">
        <v>274.95</v>
      </c>
      <c r="H34" s="107">
        <v>274.33499999999998</v>
      </c>
      <c r="I34" s="107">
        <v>140.58499999999998</v>
      </c>
      <c r="J34" s="107"/>
      <c r="K34" s="107"/>
      <c r="L34" s="107">
        <v>16.754999999999999</v>
      </c>
      <c r="M34" s="107">
        <v>160.095</v>
      </c>
      <c r="N34" s="107">
        <v>380.78500000000003</v>
      </c>
      <c r="O34" s="107">
        <v>459.80999999999995</v>
      </c>
      <c r="P34" s="107">
        <v>408.29999999999995</v>
      </c>
      <c r="Q34" s="107">
        <v>384.78000000000003</v>
      </c>
      <c r="R34" s="107">
        <v>104.85</v>
      </c>
      <c r="S34" s="107">
        <v>228.40500000000003</v>
      </c>
      <c r="T34" s="107">
        <v>303.10499999999996</v>
      </c>
      <c r="U34" s="107">
        <v>313.97999999999996</v>
      </c>
      <c r="V34" s="107">
        <v>127.69000000000003</v>
      </c>
      <c r="W34" s="107">
        <v>314.66500000000008</v>
      </c>
      <c r="X34" s="107">
        <v>92.22</v>
      </c>
      <c r="Y34" s="107">
        <v>88.660000000000011</v>
      </c>
      <c r="Z34" s="107">
        <v>113.72499999999999</v>
      </c>
      <c r="AA34" s="107">
        <v>355.76499999999999</v>
      </c>
      <c r="AB34" s="107">
        <v>221.18</v>
      </c>
      <c r="AC34" s="107">
        <v>514.83000000000004</v>
      </c>
      <c r="AD34" s="107">
        <v>166.41000000000003</v>
      </c>
      <c r="AE34" s="107">
        <v>69.834999999999994</v>
      </c>
      <c r="AF34" s="107">
        <v>130.005</v>
      </c>
      <c r="AG34" s="107"/>
      <c r="AH34" s="56">
        <f t="shared" si="7"/>
        <v>6845.26</v>
      </c>
      <c r="AI34" s="59"/>
      <c r="AJ34" s="59"/>
      <c r="AK34" s="59"/>
      <c r="AL34" s="59"/>
    </row>
    <row r="35" spans="1:55" ht="15">
      <c r="A35" s="1522" t="s">
        <v>84</v>
      </c>
      <c r="B35" s="19">
        <f t="shared" si="6"/>
        <v>3183.2710000000006</v>
      </c>
      <c r="C35" s="107">
        <v>186.01999999999998</v>
      </c>
      <c r="D35" s="107">
        <v>37.524999999999999</v>
      </c>
      <c r="E35" s="107">
        <v>259.20999999999998</v>
      </c>
      <c r="F35" s="107">
        <v>548.22800000000007</v>
      </c>
      <c r="G35" s="107">
        <v>313.57700000000006</v>
      </c>
      <c r="H35" s="107"/>
      <c r="I35" s="107">
        <v>71.63</v>
      </c>
      <c r="J35" s="107">
        <v>294.63099999999997</v>
      </c>
      <c r="K35" s="107">
        <v>351.2</v>
      </c>
      <c r="L35" s="107">
        <v>129.79000000000002</v>
      </c>
      <c r="M35" s="107">
        <v>0.03</v>
      </c>
      <c r="N35" s="107">
        <v>37.405000000000001</v>
      </c>
      <c r="O35" s="107"/>
      <c r="P35" s="107">
        <v>295.07</v>
      </c>
      <c r="Q35" s="107">
        <v>195.57</v>
      </c>
      <c r="R35" s="107">
        <v>215.44499999999999</v>
      </c>
      <c r="S35" s="107">
        <v>215.89999999999998</v>
      </c>
      <c r="T35" s="107">
        <v>6.585</v>
      </c>
      <c r="U35" s="107">
        <v>25.454999999999998</v>
      </c>
      <c r="V35" s="107"/>
      <c r="W35" s="107"/>
      <c r="X35" s="107"/>
      <c r="Y35" s="107"/>
      <c r="Z35" s="107"/>
      <c r="AA35" s="107"/>
      <c r="AB35" s="107"/>
      <c r="AC35" s="107"/>
      <c r="AD35" s="107"/>
      <c r="AE35" s="107"/>
      <c r="AF35" s="107"/>
      <c r="AG35" s="107"/>
      <c r="AH35" s="56">
        <f t="shared" si="7"/>
        <v>3183.2710000000006</v>
      </c>
      <c r="AI35" s="59"/>
      <c r="AJ35" s="59"/>
      <c r="AK35" s="59"/>
      <c r="AL35" s="59"/>
    </row>
    <row r="36" spans="1:55" ht="15">
      <c r="A36" s="71" t="s">
        <v>72</v>
      </c>
      <c r="B36" s="73">
        <f>SUM(B23:B35)</f>
        <v>24018.544000000002</v>
      </c>
      <c r="C36" s="56">
        <v>0</v>
      </c>
      <c r="D36" s="56">
        <v>0</v>
      </c>
      <c r="E36" s="56">
        <v>0</v>
      </c>
      <c r="F36" s="56">
        <v>0</v>
      </c>
      <c r="G36" s="56">
        <v>0</v>
      </c>
      <c r="H36" s="56">
        <v>0</v>
      </c>
      <c r="I36" s="56">
        <v>0</v>
      </c>
      <c r="J36" s="56">
        <v>0</v>
      </c>
      <c r="K36" s="56">
        <v>0</v>
      </c>
      <c r="L36" s="56">
        <v>0</v>
      </c>
      <c r="M36" s="56">
        <v>0</v>
      </c>
      <c r="N36" s="56">
        <v>0</v>
      </c>
      <c r="O36" s="56">
        <v>0</v>
      </c>
      <c r="P36" s="56">
        <v>0</v>
      </c>
      <c r="Q36" s="56">
        <v>0</v>
      </c>
      <c r="R36" s="56">
        <v>0</v>
      </c>
      <c r="S36" s="56">
        <v>0</v>
      </c>
      <c r="T36" s="56">
        <v>0</v>
      </c>
      <c r="U36" s="56">
        <v>0</v>
      </c>
      <c r="V36" s="56">
        <v>0</v>
      </c>
      <c r="W36" s="56">
        <v>0</v>
      </c>
      <c r="X36" s="56">
        <v>0</v>
      </c>
      <c r="Y36" s="56">
        <v>0</v>
      </c>
      <c r="Z36" s="56">
        <v>0</v>
      </c>
      <c r="AA36" s="56">
        <v>0</v>
      </c>
      <c r="AB36" s="56">
        <v>0</v>
      </c>
      <c r="AC36" s="56">
        <v>0</v>
      </c>
      <c r="AD36" s="56">
        <v>0</v>
      </c>
      <c r="AE36" s="56">
        <v>0</v>
      </c>
      <c r="AF36" s="56">
        <v>0</v>
      </c>
      <c r="AG36" s="56">
        <v>0</v>
      </c>
      <c r="AH36" s="56">
        <f>SUM(AH24:AH35)</f>
        <v>24018.544000000002</v>
      </c>
      <c r="AI36" s="59"/>
      <c r="AJ36" s="59"/>
      <c r="AK36" s="59"/>
      <c r="AL36" s="59"/>
      <c r="AM36" s="1263"/>
      <c r="AN36" s="1264"/>
      <c r="AO36" s="1264"/>
      <c r="AP36" s="1264"/>
      <c r="AQ36" s="1264"/>
      <c r="AR36" s="1264"/>
      <c r="AS36" s="1264"/>
      <c r="AT36" s="1264"/>
      <c r="AU36" s="1264"/>
      <c r="AV36" s="1264"/>
      <c r="AW36" s="1264"/>
      <c r="AX36" s="1264"/>
      <c r="AY36" s="1264"/>
      <c r="AZ36" s="1264"/>
      <c r="BA36" s="1264"/>
      <c r="BB36" s="1264"/>
      <c r="BC36" s="1265"/>
    </row>
    <row r="37" spans="1:55" ht="15">
      <c r="A37" s="13"/>
      <c r="B37" s="2390"/>
      <c r="C37" s="55"/>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55"/>
      <c r="AI37" s="55"/>
      <c r="AJ37" s="55"/>
      <c r="AK37" s="55"/>
      <c r="AL37" s="55"/>
    </row>
    <row r="38" spans="1:55" ht="15">
      <c r="A38" s="3811" t="s">
        <v>86</v>
      </c>
      <c r="B38" s="3812"/>
      <c r="C38" s="3813"/>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55"/>
      <c r="AI38" s="55"/>
      <c r="AJ38" s="55"/>
      <c r="AK38" s="55"/>
      <c r="AL38" s="55"/>
    </row>
    <row r="39" spans="1:55" ht="15">
      <c r="A39" s="5" t="s">
        <v>70</v>
      </c>
      <c r="B39" s="19" t="s">
        <v>71</v>
      </c>
      <c r="C39" s="2391">
        <v>1</v>
      </c>
      <c r="D39" s="23">
        <v>2</v>
      </c>
      <c r="E39" s="23">
        <v>3</v>
      </c>
      <c r="F39" s="23">
        <v>4</v>
      </c>
      <c r="G39" s="23">
        <v>5</v>
      </c>
      <c r="H39" s="23">
        <v>6</v>
      </c>
      <c r="I39" s="23">
        <v>7</v>
      </c>
      <c r="J39" s="23">
        <v>8</v>
      </c>
      <c r="K39" s="23">
        <v>9</v>
      </c>
      <c r="L39" s="23">
        <v>10</v>
      </c>
      <c r="M39" s="23">
        <v>11</v>
      </c>
      <c r="N39" s="23">
        <v>12</v>
      </c>
      <c r="O39" s="23">
        <v>13</v>
      </c>
      <c r="P39" s="23">
        <v>14</v>
      </c>
      <c r="Q39" s="23">
        <v>15</v>
      </c>
      <c r="R39" s="23">
        <v>16</v>
      </c>
      <c r="S39" s="23">
        <v>17</v>
      </c>
      <c r="T39" s="23">
        <v>18</v>
      </c>
      <c r="U39" s="23">
        <v>19</v>
      </c>
      <c r="V39" s="23">
        <v>20</v>
      </c>
      <c r="W39" s="23">
        <v>21</v>
      </c>
      <c r="X39" s="23">
        <v>22</v>
      </c>
      <c r="Y39" s="23">
        <v>23</v>
      </c>
      <c r="Z39" s="23">
        <v>24</v>
      </c>
      <c r="AA39" s="23">
        <v>25</v>
      </c>
      <c r="AB39" s="23">
        <v>26</v>
      </c>
      <c r="AC39" s="23">
        <v>27</v>
      </c>
      <c r="AD39" s="23">
        <v>28</v>
      </c>
      <c r="AE39" s="23">
        <v>29</v>
      </c>
      <c r="AF39" s="23">
        <v>30</v>
      </c>
      <c r="AG39" s="23">
        <v>31</v>
      </c>
      <c r="AH39" s="56" t="s">
        <v>72</v>
      </c>
      <c r="AI39" s="2266" t="s">
        <v>1345</v>
      </c>
      <c r="AJ39" s="66">
        <f>(B52/COUNTIF($C$40:$AG$51,"&gt;0"))</f>
        <v>111.4972962962963</v>
      </c>
      <c r="AK39" s="59"/>
      <c r="AL39" s="59"/>
    </row>
    <row r="40" spans="1:55" ht="15">
      <c r="A40" s="1607" t="s">
        <v>73</v>
      </c>
      <c r="B40" s="19">
        <f t="shared" ref="B40:B51" si="8">+AH40</f>
        <v>258.60599999999999</v>
      </c>
      <c r="C40" s="56">
        <v>0</v>
      </c>
      <c r="D40" s="19">
        <v>0</v>
      </c>
      <c r="E40" s="2392">
        <v>0</v>
      </c>
      <c r="F40" s="2392">
        <v>0</v>
      </c>
      <c r="G40" s="2392">
        <v>0</v>
      </c>
      <c r="H40" s="2392">
        <v>0</v>
      </c>
      <c r="I40" s="2392">
        <v>0</v>
      </c>
      <c r="J40" s="2392">
        <v>0</v>
      </c>
      <c r="K40" s="2392">
        <v>0</v>
      </c>
      <c r="L40" s="2392">
        <v>0</v>
      </c>
      <c r="M40" s="2392">
        <v>0</v>
      </c>
      <c r="N40" s="2392">
        <v>0</v>
      </c>
      <c r="O40" s="2392">
        <v>0</v>
      </c>
      <c r="P40" s="2392">
        <v>0</v>
      </c>
      <c r="Q40" s="2392">
        <v>0</v>
      </c>
      <c r="R40" s="2392">
        <v>0</v>
      </c>
      <c r="S40" s="2392">
        <v>0</v>
      </c>
      <c r="T40" s="2392">
        <v>0</v>
      </c>
      <c r="U40" s="2392">
        <v>0</v>
      </c>
      <c r="V40" s="2392">
        <v>0</v>
      </c>
      <c r="W40" s="2392">
        <v>0</v>
      </c>
      <c r="X40" s="2392">
        <v>0</v>
      </c>
      <c r="Y40" s="2392">
        <v>22.381</v>
      </c>
      <c r="Z40" s="2392">
        <v>25.365000000000002</v>
      </c>
      <c r="AA40" s="2392">
        <v>0</v>
      </c>
      <c r="AB40" s="2392">
        <v>0</v>
      </c>
      <c r="AC40" s="2392">
        <v>0</v>
      </c>
      <c r="AD40" s="2392">
        <v>0</v>
      </c>
      <c r="AE40" s="2392">
        <v>0</v>
      </c>
      <c r="AF40" s="2392">
        <v>14</v>
      </c>
      <c r="AG40" s="2392">
        <v>196.85999999999999</v>
      </c>
      <c r="AH40" s="56">
        <f>SUM(C40:AG40)</f>
        <v>258.60599999999999</v>
      </c>
      <c r="AI40" s="59"/>
      <c r="AJ40" s="59">
        <f>+'Res. Global'!J11</f>
        <v>5660.2919999999995</v>
      </c>
      <c r="AK40" s="59"/>
      <c r="AL40" s="59"/>
    </row>
    <row r="41" spans="1:55" ht="15">
      <c r="A41" s="1607" t="s">
        <v>74</v>
      </c>
      <c r="B41" s="19">
        <f t="shared" si="8"/>
        <v>695.36000000000013</v>
      </c>
      <c r="C41" s="2392">
        <v>7.7650000000000006</v>
      </c>
      <c r="D41" s="2392">
        <v>16.8</v>
      </c>
      <c r="E41" s="2392">
        <v>0</v>
      </c>
      <c r="F41" s="2392">
        <v>14.244</v>
      </c>
      <c r="G41" s="2392">
        <v>0</v>
      </c>
      <c r="H41" s="2392">
        <v>0</v>
      </c>
      <c r="I41" s="2392">
        <v>0</v>
      </c>
      <c r="J41" s="2392">
        <v>0</v>
      </c>
      <c r="K41" s="2392">
        <v>0</v>
      </c>
      <c r="L41" s="2392">
        <v>0</v>
      </c>
      <c r="M41" s="2392">
        <v>0</v>
      </c>
      <c r="N41" s="2392">
        <v>0</v>
      </c>
      <c r="O41" s="2392">
        <v>0</v>
      </c>
      <c r="P41" s="2392">
        <v>0</v>
      </c>
      <c r="Q41" s="2392">
        <v>0</v>
      </c>
      <c r="R41" s="2392">
        <v>0</v>
      </c>
      <c r="S41" s="2392">
        <v>0</v>
      </c>
      <c r="T41" s="2392">
        <v>0</v>
      </c>
      <c r="U41" s="2392">
        <v>0</v>
      </c>
      <c r="V41" s="2392">
        <v>0</v>
      </c>
      <c r="W41" s="2392">
        <v>0</v>
      </c>
      <c r="X41" s="2392">
        <v>0</v>
      </c>
      <c r="Y41" s="2392">
        <v>74.13</v>
      </c>
      <c r="Z41" s="2392">
        <v>233.10600000000002</v>
      </c>
      <c r="AA41" s="2392">
        <v>210.285</v>
      </c>
      <c r="AB41" s="2392">
        <v>0</v>
      </c>
      <c r="AC41" s="2392">
        <v>94.08</v>
      </c>
      <c r="AD41" s="2392">
        <v>44.95</v>
      </c>
      <c r="AE41" s="2392"/>
      <c r="AF41" s="2392"/>
      <c r="AG41" s="2392"/>
      <c r="AH41" s="1755">
        <f t="shared" ref="AH41:AH51" si="9">SUM(C41:AG41)</f>
        <v>695.36000000000013</v>
      </c>
      <c r="AI41" s="59"/>
      <c r="AJ41" s="3211">
        <f>+AJ40/AJ39</f>
        <v>50.766181674559782</v>
      </c>
      <c r="AK41" s="59"/>
      <c r="AL41" s="59"/>
    </row>
    <row r="42" spans="1:55" ht="15">
      <c r="A42" s="1607" t="s">
        <v>75</v>
      </c>
      <c r="B42" s="19">
        <f t="shared" si="8"/>
        <v>4278.6019999999999</v>
      </c>
      <c r="C42" s="2392">
        <v>240.81</v>
      </c>
      <c r="D42" s="2392">
        <v>136.70000000000002</v>
      </c>
      <c r="E42" s="2392">
        <v>146.74299999999999</v>
      </c>
      <c r="F42" s="2392">
        <v>0</v>
      </c>
      <c r="G42" s="2392">
        <v>0</v>
      </c>
      <c r="H42" s="2392">
        <v>7.9459999999999997</v>
      </c>
      <c r="I42" s="2392">
        <v>0</v>
      </c>
      <c r="J42" s="2392">
        <v>99.725999999999999</v>
      </c>
      <c r="K42" s="2392">
        <v>551.98099999999999</v>
      </c>
      <c r="L42" s="2392">
        <v>82.14</v>
      </c>
      <c r="M42" s="2392">
        <v>0</v>
      </c>
      <c r="N42" s="2392">
        <v>66.465000000000003</v>
      </c>
      <c r="O42" s="2392">
        <v>175.506</v>
      </c>
      <c r="P42" s="2392">
        <v>297.39500000000004</v>
      </c>
      <c r="Q42" s="2392">
        <v>208.03100000000001</v>
      </c>
      <c r="R42" s="2392">
        <v>0</v>
      </c>
      <c r="S42" s="2392">
        <v>156.06</v>
      </c>
      <c r="T42" s="2392">
        <v>148.30699999999999</v>
      </c>
      <c r="U42" s="2392">
        <v>258.81500000000005</v>
      </c>
      <c r="V42" s="2392">
        <v>13.744999999999999</v>
      </c>
      <c r="W42" s="2392">
        <v>59.383000000000003</v>
      </c>
      <c r="X42" s="2392">
        <v>33.36</v>
      </c>
      <c r="Y42" s="2392">
        <v>5.04</v>
      </c>
      <c r="Z42" s="2392">
        <v>0</v>
      </c>
      <c r="AA42" s="2392">
        <v>39.765000000000001</v>
      </c>
      <c r="AB42" s="2392">
        <v>30.975000000000001</v>
      </c>
      <c r="AC42" s="2392">
        <v>640.43499999999995</v>
      </c>
      <c r="AD42" s="2392">
        <v>538.79499999999985</v>
      </c>
      <c r="AE42" s="2392">
        <v>204.95400000000004</v>
      </c>
      <c r="AF42" s="2392">
        <v>50.35</v>
      </c>
      <c r="AG42" s="2392">
        <v>85.174999999999997</v>
      </c>
      <c r="AH42" s="1755">
        <f t="shared" si="9"/>
        <v>4278.6019999999999</v>
      </c>
      <c r="AI42" s="59"/>
      <c r="AJ42" s="59"/>
      <c r="AK42" s="59"/>
      <c r="AL42" s="59"/>
    </row>
    <row r="43" spans="1:55" ht="15">
      <c r="A43" s="1607" t="s">
        <v>76</v>
      </c>
      <c r="B43" s="19">
        <f t="shared" si="8"/>
        <v>892.87099999999998</v>
      </c>
      <c r="C43" s="2392">
        <v>16.09</v>
      </c>
      <c r="D43" s="2392">
        <v>31.89</v>
      </c>
      <c r="E43" s="2392">
        <v>0</v>
      </c>
      <c r="F43" s="2392">
        <v>0</v>
      </c>
      <c r="G43" s="2392">
        <v>0</v>
      </c>
      <c r="H43" s="2392">
        <v>0</v>
      </c>
      <c r="I43" s="2392">
        <v>0</v>
      </c>
      <c r="J43" s="2392">
        <v>0</v>
      </c>
      <c r="K43" s="2392">
        <v>0</v>
      </c>
      <c r="L43" s="2392">
        <v>0</v>
      </c>
      <c r="M43" s="2392">
        <v>0</v>
      </c>
      <c r="N43" s="2392">
        <v>0</v>
      </c>
      <c r="O43" s="2392">
        <v>0</v>
      </c>
      <c r="P43" s="2392">
        <v>0</v>
      </c>
      <c r="Q43" s="2392">
        <v>0</v>
      </c>
      <c r="R43" s="2392">
        <v>0</v>
      </c>
      <c r="S43" s="2392">
        <v>0</v>
      </c>
      <c r="T43" s="2392">
        <v>0</v>
      </c>
      <c r="U43" s="2392">
        <v>0</v>
      </c>
      <c r="V43" s="2392">
        <v>0</v>
      </c>
      <c r="W43" s="2392">
        <v>0</v>
      </c>
      <c r="X43" s="2392">
        <v>62.445</v>
      </c>
      <c r="Y43" s="2392">
        <v>343.36</v>
      </c>
      <c r="Z43" s="2392">
        <v>69.204999999999998</v>
      </c>
      <c r="AA43" s="2392">
        <v>25.795999999999999</v>
      </c>
      <c r="AB43" s="2392">
        <v>17.310000000000002</v>
      </c>
      <c r="AC43" s="2392">
        <v>0</v>
      </c>
      <c r="AD43" s="2392">
        <v>72.415000000000006</v>
      </c>
      <c r="AE43" s="2392">
        <v>172.10499999999999</v>
      </c>
      <c r="AF43" s="2392">
        <v>82.254999999999995</v>
      </c>
      <c r="AG43" s="2392"/>
      <c r="AH43" s="1755">
        <f t="shared" si="9"/>
        <v>892.87099999999998</v>
      </c>
      <c r="AI43" s="59"/>
      <c r="AJ43" s="59"/>
      <c r="AK43" s="59"/>
      <c r="AL43" s="59"/>
    </row>
    <row r="44" spans="1:55" ht="15">
      <c r="A44" s="1607" t="s">
        <v>77</v>
      </c>
      <c r="B44" s="19">
        <f t="shared" si="8"/>
        <v>3206.9760000000001</v>
      </c>
      <c r="C44" s="2392">
        <v>0</v>
      </c>
      <c r="D44" s="2392">
        <v>0</v>
      </c>
      <c r="E44" s="2392">
        <v>3.9849999999999999</v>
      </c>
      <c r="F44" s="2392">
        <v>117.94</v>
      </c>
      <c r="G44" s="2392">
        <v>82.59</v>
      </c>
      <c r="H44" s="2392">
        <v>91.793999999999997</v>
      </c>
      <c r="I44" s="2392">
        <v>112.59</v>
      </c>
      <c r="J44" s="2392">
        <v>70.334000000000003</v>
      </c>
      <c r="K44" s="2392">
        <v>146.02099999999999</v>
      </c>
      <c r="L44" s="2392">
        <v>383.31199999999995</v>
      </c>
      <c r="M44" s="2392">
        <v>0</v>
      </c>
      <c r="N44" s="2392">
        <v>26.29</v>
      </c>
      <c r="O44" s="2392">
        <v>142.1</v>
      </c>
      <c r="P44" s="2392">
        <v>0</v>
      </c>
      <c r="Q44" s="2392">
        <v>85.08</v>
      </c>
      <c r="R44" s="2392">
        <v>90.674999999999997</v>
      </c>
      <c r="S44" s="2392">
        <v>165.35499999999999</v>
      </c>
      <c r="T44" s="2392">
        <v>0</v>
      </c>
      <c r="U44" s="2392">
        <v>0</v>
      </c>
      <c r="V44" s="2392">
        <v>146.55799999999999</v>
      </c>
      <c r="W44" s="2392">
        <v>130.845</v>
      </c>
      <c r="X44" s="2392">
        <v>134.905</v>
      </c>
      <c r="Y44" s="2392">
        <v>215.91300000000001</v>
      </c>
      <c r="Z44" s="2392">
        <v>369.85199999999998</v>
      </c>
      <c r="AA44" s="2392">
        <v>17.53</v>
      </c>
      <c r="AB44" s="2392">
        <v>0</v>
      </c>
      <c r="AC44" s="2392">
        <v>239.595</v>
      </c>
      <c r="AD44" s="2392">
        <v>9.5500000000000007</v>
      </c>
      <c r="AE44" s="2392">
        <v>186.68700000000001</v>
      </c>
      <c r="AF44" s="2392">
        <v>141.905</v>
      </c>
      <c r="AG44" s="2392">
        <v>95.570000000000007</v>
      </c>
      <c r="AH44" s="1755">
        <f t="shared" si="9"/>
        <v>3206.9760000000001</v>
      </c>
      <c r="AI44" s="59"/>
      <c r="AJ44" s="59"/>
      <c r="AK44" s="59"/>
      <c r="AL44" s="59"/>
    </row>
    <row r="45" spans="1:55" ht="15">
      <c r="A45" s="1607" t="s">
        <v>78</v>
      </c>
      <c r="B45" s="19">
        <f t="shared" si="8"/>
        <v>2087.6150000000002</v>
      </c>
      <c r="C45" s="2393">
        <v>0</v>
      </c>
      <c r="D45" s="2394">
        <v>0</v>
      </c>
      <c r="E45" s="2394">
        <v>184.80200000000002</v>
      </c>
      <c r="F45" s="2394">
        <v>181.035</v>
      </c>
      <c r="G45" s="2394">
        <v>43.755000000000003</v>
      </c>
      <c r="H45" s="2394">
        <v>122.095</v>
      </c>
      <c r="I45" s="2394">
        <v>0</v>
      </c>
      <c r="J45" s="2394">
        <v>0</v>
      </c>
      <c r="K45" s="2394">
        <v>0</v>
      </c>
      <c r="L45" s="2394">
        <v>221.34999999999997</v>
      </c>
      <c r="M45" s="2394">
        <v>104.84</v>
      </c>
      <c r="N45" s="2394">
        <v>280.81</v>
      </c>
      <c r="O45" s="2394">
        <v>14.063000000000001</v>
      </c>
      <c r="P45" s="2394">
        <v>0</v>
      </c>
      <c r="Q45" s="2394">
        <v>0</v>
      </c>
      <c r="R45" s="2394">
        <v>146.61500000000001</v>
      </c>
      <c r="S45" s="2394">
        <v>67.131</v>
      </c>
      <c r="T45" s="2394">
        <v>179.64500000000001</v>
      </c>
      <c r="U45" s="2394">
        <v>32.78</v>
      </c>
      <c r="V45" s="2394">
        <v>75.38</v>
      </c>
      <c r="W45" s="2394">
        <v>82.602000000000004</v>
      </c>
      <c r="X45" s="2394">
        <v>0</v>
      </c>
      <c r="Y45" s="2394">
        <v>54.64</v>
      </c>
      <c r="Z45" s="2394">
        <v>0</v>
      </c>
      <c r="AA45" s="2394">
        <v>64.31</v>
      </c>
      <c r="AB45" s="2394">
        <v>98.636999999999986</v>
      </c>
      <c r="AC45" s="2394">
        <v>90.300000000000011</v>
      </c>
      <c r="AD45" s="2394">
        <v>42.825000000000003</v>
      </c>
      <c r="AE45" s="2394">
        <v>0</v>
      </c>
      <c r="AF45" s="2394">
        <v>0</v>
      </c>
      <c r="AG45" s="2394">
        <v>0</v>
      </c>
      <c r="AH45" s="1755">
        <f t="shared" si="9"/>
        <v>2087.6150000000002</v>
      </c>
      <c r="AI45" s="59"/>
      <c r="AJ45" s="59"/>
      <c r="AK45" s="59"/>
      <c r="AL45" s="59"/>
    </row>
    <row r="46" spans="1:55" ht="15">
      <c r="A46" s="1607" t="s">
        <v>79</v>
      </c>
      <c r="B46" s="19">
        <f t="shared" si="8"/>
        <v>580.35899999999992</v>
      </c>
      <c r="C46" s="56">
        <v>0</v>
      </c>
      <c r="D46" s="56">
        <v>17.565000000000001</v>
      </c>
      <c r="E46" s="56">
        <v>0</v>
      </c>
      <c r="F46" s="56">
        <v>61.14</v>
      </c>
      <c r="G46" s="56">
        <v>112</v>
      </c>
      <c r="H46" s="19">
        <v>0</v>
      </c>
      <c r="I46" s="19">
        <v>161.67000000000002</v>
      </c>
      <c r="J46" s="19">
        <v>77.075000000000003</v>
      </c>
      <c r="K46" s="19">
        <v>9.1140000000000008</v>
      </c>
      <c r="L46" s="19">
        <v>0</v>
      </c>
      <c r="M46" s="19">
        <v>0</v>
      </c>
      <c r="N46" s="19">
        <v>0</v>
      </c>
      <c r="O46" s="19">
        <v>16.14</v>
      </c>
      <c r="P46" s="19">
        <v>10.505000000000001</v>
      </c>
      <c r="Q46" s="19">
        <v>0</v>
      </c>
      <c r="R46" s="19">
        <v>0</v>
      </c>
      <c r="S46" s="19">
        <v>0</v>
      </c>
      <c r="T46" s="19">
        <v>0</v>
      </c>
      <c r="U46" s="19">
        <v>0</v>
      </c>
      <c r="V46" s="19">
        <v>0</v>
      </c>
      <c r="W46" s="19">
        <v>0</v>
      </c>
      <c r="X46" s="19">
        <v>0</v>
      </c>
      <c r="Y46" s="19">
        <v>0</v>
      </c>
      <c r="Z46" s="19">
        <v>0</v>
      </c>
      <c r="AA46" s="19">
        <v>0</v>
      </c>
      <c r="AB46" s="19">
        <v>0</v>
      </c>
      <c r="AC46" s="19">
        <v>42.69</v>
      </c>
      <c r="AD46" s="19">
        <v>0</v>
      </c>
      <c r="AE46" s="19">
        <v>49.225000000000001</v>
      </c>
      <c r="AF46" s="19">
        <v>7.65</v>
      </c>
      <c r="AG46" s="19">
        <v>15.585000000000001</v>
      </c>
      <c r="AH46" s="56">
        <f t="shared" si="9"/>
        <v>580.35899999999992</v>
      </c>
      <c r="AI46" s="59"/>
      <c r="AJ46" s="59"/>
      <c r="AK46" s="59"/>
      <c r="AL46" s="59"/>
    </row>
    <row r="47" spans="1:55" ht="15">
      <c r="A47" s="1607" t="s">
        <v>80</v>
      </c>
      <c r="B47" s="19">
        <f t="shared" si="8"/>
        <v>0</v>
      </c>
      <c r="C47" s="1055"/>
      <c r="D47" s="1055"/>
      <c r="E47" s="1055"/>
      <c r="F47" s="1055"/>
      <c r="G47" s="1055"/>
      <c r="H47" s="1055"/>
      <c r="I47" s="1055"/>
      <c r="J47" s="1055"/>
      <c r="K47" s="1055"/>
      <c r="L47" s="1055"/>
      <c r="M47" s="1055"/>
      <c r="N47" s="1055"/>
      <c r="O47" s="1055"/>
      <c r="P47" s="1055"/>
      <c r="Q47" s="1055"/>
      <c r="R47" s="1055"/>
      <c r="S47" s="1055"/>
      <c r="T47" s="1055"/>
      <c r="U47" s="1055"/>
      <c r="V47" s="1055"/>
      <c r="W47" s="1055"/>
      <c r="X47" s="1055"/>
      <c r="Y47" s="1055"/>
      <c r="Z47" s="1055"/>
      <c r="AA47" s="1055"/>
      <c r="AB47" s="1055"/>
      <c r="AC47" s="1055"/>
      <c r="AD47" s="1055"/>
      <c r="AE47" s="1055"/>
      <c r="AF47" s="1055"/>
      <c r="AG47" s="1055"/>
      <c r="AH47" s="56">
        <f t="shared" si="9"/>
        <v>0</v>
      </c>
      <c r="AI47" s="59"/>
      <c r="AJ47" s="59"/>
      <c r="AK47" s="59"/>
      <c r="AL47" s="59"/>
    </row>
    <row r="48" spans="1:55" ht="15">
      <c r="A48" s="1607" t="s">
        <v>81</v>
      </c>
      <c r="B48" s="19">
        <f t="shared" si="8"/>
        <v>0</v>
      </c>
      <c r="C48" s="1055"/>
      <c r="D48" s="1055"/>
      <c r="E48" s="1055"/>
      <c r="F48" s="1055"/>
      <c r="G48" s="1055"/>
      <c r="H48" s="1055"/>
      <c r="I48" s="1055"/>
      <c r="J48" s="1055"/>
      <c r="K48" s="1055"/>
      <c r="L48" s="1055"/>
      <c r="M48" s="1055"/>
      <c r="N48" s="1055"/>
      <c r="O48" s="1055"/>
      <c r="P48" s="1055"/>
      <c r="Q48" s="1055"/>
      <c r="R48" s="1055"/>
      <c r="S48" s="1055"/>
      <c r="T48" s="1055"/>
      <c r="U48" s="1055"/>
      <c r="V48" s="1055"/>
      <c r="W48" s="1055"/>
      <c r="X48" s="1055"/>
      <c r="Y48" s="1055"/>
      <c r="Z48" s="1055"/>
      <c r="AA48" s="1055"/>
      <c r="AB48" s="1055"/>
      <c r="AC48" s="1055"/>
      <c r="AD48" s="1055"/>
      <c r="AE48" s="1055"/>
      <c r="AF48" s="1055"/>
      <c r="AG48" s="1055"/>
      <c r="AH48" s="56">
        <f t="shared" si="9"/>
        <v>0</v>
      </c>
      <c r="AI48" s="59"/>
      <c r="AJ48" s="59"/>
      <c r="AK48" s="59"/>
      <c r="AL48" s="59"/>
    </row>
    <row r="49" spans="1:38" ht="15">
      <c r="A49" s="1607" t="s">
        <v>82</v>
      </c>
      <c r="B49" s="19">
        <f t="shared" si="8"/>
        <v>35.108999999999995</v>
      </c>
      <c r="C49" s="56">
        <v>0</v>
      </c>
      <c r="D49" s="19">
        <v>0</v>
      </c>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15.98</v>
      </c>
      <c r="AC49" s="19">
        <v>6.17</v>
      </c>
      <c r="AD49" s="19">
        <v>0.15</v>
      </c>
      <c r="AE49" s="19">
        <v>2.9000000000000001E-2</v>
      </c>
      <c r="AF49" s="19">
        <v>12.78</v>
      </c>
      <c r="AG49" s="19">
        <v>0</v>
      </c>
      <c r="AH49" s="56">
        <f t="shared" si="9"/>
        <v>35.108999999999995</v>
      </c>
      <c r="AI49" s="59"/>
      <c r="AJ49" s="59"/>
      <c r="AK49" s="59"/>
      <c r="AL49" s="59"/>
    </row>
    <row r="50" spans="1:38" ht="15">
      <c r="A50" s="1522" t="s">
        <v>83</v>
      </c>
      <c r="B50" s="19">
        <f t="shared" si="8"/>
        <v>6.21</v>
      </c>
      <c r="C50" s="56">
        <v>0</v>
      </c>
      <c r="D50" s="19">
        <v>0</v>
      </c>
      <c r="E50" s="19">
        <v>0</v>
      </c>
      <c r="F50" s="19">
        <v>6.21</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56">
        <f t="shared" si="9"/>
        <v>6.21</v>
      </c>
      <c r="AI50" s="59"/>
      <c r="AJ50" s="59"/>
      <c r="AK50" s="59"/>
      <c r="AL50" s="59"/>
    </row>
    <row r="51" spans="1:38" ht="15">
      <c r="A51" s="1522" t="s">
        <v>84</v>
      </c>
      <c r="B51" s="19">
        <f t="shared" si="8"/>
        <v>0</v>
      </c>
      <c r="C51" s="56"/>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56">
        <f t="shared" si="9"/>
        <v>0</v>
      </c>
      <c r="AI51" s="59"/>
      <c r="AJ51" s="59"/>
      <c r="AK51" s="59"/>
      <c r="AL51" s="59"/>
    </row>
    <row r="52" spans="1:38" ht="15">
      <c r="A52" s="71" t="s">
        <v>72</v>
      </c>
      <c r="B52" s="73">
        <f>SUM(B40:B51)</f>
        <v>12041.708000000001</v>
      </c>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9"/>
      <c r="AJ52" s="59"/>
      <c r="AK52" s="59"/>
      <c r="AL52" s="59"/>
    </row>
    <row r="53" spans="1:38" ht="15">
      <c r="A53" s="1"/>
      <c r="B53" s="2357"/>
      <c r="C53" s="55"/>
      <c r="D53" s="22"/>
      <c r="E53" s="22"/>
      <c r="F53" s="2395"/>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55"/>
      <c r="AI53" s="55"/>
      <c r="AJ53" s="55"/>
      <c r="AK53" s="55"/>
      <c r="AL53" s="55"/>
    </row>
    <row r="54" spans="1:38" ht="15" hidden="1">
      <c r="A54" s="3811" t="s">
        <v>547</v>
      </c>
      <c r="B54" s="3812"/>
      <c r="C54" s="3813"/>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55"/>
      <c r="AI54" s="55"/>
      <c r="AJ54" s="55"/>
      <c r="AK54" s="55"/>
      <c r="AL54" s="55"/>
    </row>
    <row r="55" spans="1:38" ht="15" hidden="1">
      <c r="A55" s="5" t="s">
        <v>70</v>
      </c>
      <c r="B55" s="19" t="s">
        <v>71</v>
      </c>
      <c r="C55" s="2391">
        <v>1</v>
      </c>
      <c r="D55" s="23">
        <v>2</v>
      </c>
      <c r="E55" s="23">
        <v>3</v>
      </c>
      <c r="F55" s="23">
        <v>4</v>
      </c>
      <c r="G55" s="23">
        <v>5</v>
      </c>
      <c r="H55" s="23">
        <v>6</v>
      </c>
      <c r="I55" s="23">
        <v>7</v>
      </c>
      <c r="J55" s="23">
        <v>8</v>
      </c>
      <c r="K55" s="23">
        <v>9</v>
      </c>
      <c r="L55" s="23">
        <v>10</v>
      </c>
      <c r="M55" s="23">
        <v>11</v>
      </c>
      <c r="N55" s="23">
        <v>12</v>
      </c>
      <c r="O55" s="23">
        <v>13</v>
      </c>
      <c r="P55" s="23">
        <v>14</v>
      </c>
      <c r="Q55" s="23">
        <v>15</v>
      </c>
      <c r="R55" s="23">
        <v>16</v>
      </c>
      <c r="S55" s="23">
        <v>17</v>
      </c>
      <c r="T55" s="23">
        <v>18</v>
      </c>
      <c r="U55" s="23">
        <v>19</v>
      </c>
      <c r="V55" s="23">
        <v>20</v>
      </c>
      <c r="W55" s="23">
        <v>21</v>
      </c>
      <c r="X55" s="23">
        <v>22</v>
      </c>
      <c r="Y55" s="23">
        <v>23</v>
      </c>
      <c r="Z55" s="23">
        <v>24</v>
      </c>
      <c r="AA55" s="23">
        <v>25</v>
      </c>
      <c r="AB55" s="23">
        <v>26</v>
      </c>
      <c r="AC55" s="23">
        <v>27</v>
      </c>
      <c r="AD55" s="23">
        <v>28</v>
      </c>
      <c r="AE55" s="23">
        <v>29</v>
      </c>
      <c r="AF55" s="23">
        <v>30</v>
      </c>
      <c r="AG55" s="23">
        <v>31</v>
      </c>
      <c r="AH55" s="56" t="s">
        <v>72</v>
      </c>
      <c r="AI55" s="59"/>
      <c r="AJ55" s="59"/>
      <c r="AK55" s="59"/>
      <c r="AL55" s="59"/>
    </row>
    <row r="56" spans="1:38" ht="15" hidden="1">
      <c r="A56" s="1039" t="s">
        <v>73</v>
      </c>
      <c r="B56" s="19">
        <f t="shared" ref="B56:B67" si="10">+AH56</f>
        <v>0</v>
      </c>
      <c r="C56" s="56"/>
      <c r="D56" s="19"/>
      <c r="G56" s="19"/>
      <c r="H56" s="19"/>
      <c r="I56" s="19"/>
      <c r="J56" s="19"/>
      <c r="K56" s="19"/>
      <c r="L56" s="19"/>
      <c r="M56" s="19"/>
      <c r="N56" s="2392"/>
      <c r="O56" s="2392"/>
      <c r="P56" s="2392"/>
      <c r="Q56" s="2392"/>
      <c r="R56" s="2392"/>
      <c r="S56" s="2396"/>
      <c r="T56" s="19"/>
      <c r="U56" s="19"/>
      <c r="V56" s="19"/>
      <c r="W56" s="19"/>
      <c r="X56" s="2397"/>
      <c r="Y56" s="19"/>
      <c r="Z56" s="19"/>
      <c r="AA56" s="19"/>
      <c r="AB56" s="19"/>
      <c r="AC56" s="19"/>
      <c r="AD56" s="19"/>
      <c r="AE56" s="19"/>
      <c r="AF56" s="19"/>
      <c r="AG56" s="19"/>
      <c r="AH56" s="56">
        <f>SUM(C56:AG56)</f>
        <v>0</v>
      </c>
      <c r="AI56" s="59"/>
      <c r="AJ56" s="59"/>
      <c r="AK56" s="59"/>
      <c r="AL56" s="59"/>
    </row>
    <row r="57" spans="1:38" ht="15" hidden="1">
      <c r="A57" s="1039" t="s">
        <v>74</v>
      </c>
      <c r="B57" s="19">
        <f t="shared" si="10"/>
        <v>0</v>
      </c>
      <c r="C57" s="2392"/>
      <c r="D57" s="2392"/>
      <c r="E57" s="2392"/>
      <c r="F57" s="2392"/>
      <c r="G57" s="2392"/>
      <c r="H57" s="2392"/>
      <c r="I57" s="2392"/>
      <c r="J57" s="2392"/>
      <c r="K57" s="2392"/>
      <c r="L57" s="2392"/>
      <c r="M57" s="2392"/>
      <c r="N57" s="2392"/>
      <c r="O57" s="2392"/>
      <c r="P57" s="2392"/>
      <c r="Q57" s="2392"/>
      <c r="R57" s="2392"/>
      <c r="S57" s="2392"/>
      <c r="T57" s="2392"/>
      <c r="U57" s="2392"/>
      <c r="V57" s="2392"/>
      <c r="W57" s="2392"/>
      <c r="X57" s="2392"/>
      <c r="Y57" s="2392"/>
      <c r="Z57" s="2392"/>
      <c r="AA57" s="2392"/>
      <c r="AB57" s="2392"/>
      <c r="AC57" s="2392"/>
      <c r="AD57" s="2392"/>
      <c r="AE57" s="2392"/>
      <c r="AF57" s="2392"/>
      <c r="AG57" s="2392"/>
      <c r="AH57" s="1755">
        <f t="shared" ref="AH57:AH67" si="11">SUM(C57:AG57)</f>
        <v>0</v>
      </c>
      <c r="AI57" s="59"/>
      <c r="AJ57" s="59"/>
      <c r="AK57" s="59"/>
      <c r="AL57" s="59"/>
    </row>
    <row r="58" spans="1:38" ht="15" hidden="1">
      <c r="A58" s="1039" t="s">
        <v>75</v>
      </c>
      <c r="B58" s="19">
        <f t="shared" si="10"/>
        <v>0</v>
      </c>
      <c r="C58" s="2392"/>
      <c r="D58" s="2392"/>
      <c r="E58" s="2392"/>
      <c r="F58" s="2392"/>
      <c r="G58" s="2392"/>
      <c r="H58" s="2392"/>
      <c r="I58" s="2392"/>
      <c r="J58" s="2392"/>
      <c r="K58" s="2392"/>
      <c r="L58" s="2392"/>
      <c r="M58" s="2392"/>
      <c r="N58" s="2392"/>
      <c r="O58" s="2392"/>
      <c r="P58" s="2392"/>
      <c r="Q58" s="2392"/>
      <c r="R58" s="2392"/>
      <c r="S58" s="2392"/>
      <c r="T58" s="2392"/>
      <c r="U58" s="2392"/>
      <c r="V58" s="2392"/>
      <c r="W58" s="2392"/>
      <c r="X58" s="2392"/>
      <c r="Y58" s="2392"/>
      <c r="Z58" s="2392"/>
      <c r="AA58" s="2392"/>
      <c r="AB58" s="2392"/>
      <c r="AC58" s="2392"/>
      <c r="AD58" s="2392"/>
      <c r="AE58" s="2392"/>
      <c r="AF58" s="2392"/>
      <c r="AG58" s="2392"/>
      <c r="AH58" s="1755">
        <f t="shared" si="11"/>
        <v>0</v>
      </c>
      <c r="AI58" s="59"/>
      <c r="AJ58" s="59"/>
      <c r="AK58" s="59"/>
      <c r="AL58" s="59"/>
    </row>
    <row r="59" spans="1:38" ht="15" hidden="1">
      <c r="A59" s="1523" t="s">
        <v>76</v>
      </c>
      <c r="B59" s="19">
        <f t="shared" si="10"/>
        <v>0</v>
      </c>
      <c r="C59" s="2392"/>
      <c r="D59" s="2392"/>
      <c r="E59" s="2392"/>
      <c r="F59" s="2392"/>
      <c r="G59" s="2392"/>
      <c r="H59" s="2392"/>
      <c r="I59" s="2392"/>
      <c r="J59" s="2392"/>
      <c r="K59" s="2392"/>
      <c r="L59" s="2392"/>
      <c r="M59" s="2392"/>
      <c r="N59" s="2392"/>
      <c r="O59" s="2392"/>
      <c r="P59" s="2392"/>
      <c r="Q59" s="2392"/>
      <c r="R59" s="2392"/>
      <c r="S59" s="2392"/>
      <c r="T59" s="2392"/>
      <c r="U59" s="2392"/>
      <c r="V59" s="2392"/>
      <c r="W59" s="2392"/>
      <c r="X59" s="2392"/>
      <c r="Y59" s="2392"/>
      <c r="Z59" s="2392"/>
      <c r="AA59" s="2392"/>
      <c r="AB59" s="2392"/>
      <c r="AC59" s="2392"/>
      <c r="AD59" s="2392"/>
      <c r="AE59" s="2392"/>
      <c r="AF59" s="2392"/>
      <c r="AG59" s="2392"/>
      <c r="AH59" s="1755">
        <f t="shared" si="11"/>
        <v>0</v>
      </c>
      <c r="AI59" s="59"/>
      <c r="AJ59" s="59"/>
      <c r="AK59" s="59"/>
      <c r="AL59" s="59"/>
    </row>
    <row r="60" spans="1:38" ht="15" hidden="1">
      <c r="A60" s="1523" t="s">
        <v>77</v>
      </c>
      <c r="B60" s="19">
        <f t="shared" si="10"/>
        <v>0</v>
      </c>
      <c r="C60" s="2392"/>
      <c r="D60" s="2392"/>
      <c r="E60" s="2392"/>
      <c r="F60" s="2392"/>
      <c r="G60" s="2392"/>
      <c r="H60" s="2392"/>
      <c r="I60" s="2392"/>
      <c r="J60" s="2392"/>
      <c r="K60" s="2392"/>
      <c r="L60" s="2392"/>
      <c r="M60" s="2392"/>
      <c r="N60" s="2392"/>
      <c r="O60" s="2392"/>
      <c r="P60" s="2392"/>
      <c r="Q60" s="2392"/>
      <c r="R60" s="2392"/>
      <c r="S60" s="2392"/>
      <c r="T60" s="2392"/>
      <c r="U60" s="2392"/>
      <c r="V60" s="2392"/>
      <c r="W60" s="2392"/>
      <c r="X60" s="2392"/>
      <c r="Y60" s="2392"/>
      <c r="Z60" s="2392"/>
      <c r="AA60" s="2392"/>
      <c r="AB60" s="2392"/>
      <c r="AC60" s="2392"/>
      <c r="AD60" s="2392"/>
      <c r="AE60" s="2392"/>
      <c r="AF60" s="2392"/>
      <c r="AG60" s="2392"/>
      <c r="AH60" s="1755">
        <f t="shared" si="11"/>
        <v>0</v>
      </c>
      <c r="AI60" s="59"/>
      <c r="AJ60" s="59"/>
      <c r="AK60" s="59"/>
      <c r="AL60" s="59"/>
    </row>
    <row r="61" spans="1:38" ht="15" hidden="1">
      <c r="A61" s="1523" t="s">
        <v>78</v>
      </c>
      <c r="B61" s="19">
        <f t="shared" si="10"/>
        <v>0</v>
      </c>
      <c r="C61" s="2393"/>
      <c r="D61" s="2394"/>
      <c r="E61" s="2394"/>
      <c r="F61" s="2394"/>
      <c r="G61" s="2394"/>
      <c r="H61" s="2394"/>
      <c r="I61" s="2394"/>
      <c r="J61" s="2394"/>
      <c r="K61" s="2394"/>
      <c r="L61" s="2394"/>
      <c r="M61" s="2394"/>
      <c r="N61" s="2394"/>
      <c r="O61" s="2394"/>
      <c r="P61" s="2394"/>
      <c r="Q61" s="2394"/>
      <c r="R61" s="2394"/>
      <c r="S61" s="2394"/>
      <c r="T61" s="2394"/>
      <c r="U61" s="2394"/>
      <c r="V61" s="2394"/>
      <c r="W61" s="2394"/>
      <c r="X61" s="2394"/>
      <c r="Y61" s="2394"/>
      <c r="Z61" s="2394"/>
      <c r="AA61" s="2394"/>
      <c r="AB61" s="2394"/>
      <c r="AC61" s="2394"/>
      <c r="AD61" s="2394"/>
      <c r="AE61" s="2394"/>
      <c r="AF61" s="2394"/>
      <c r="AG61" s="2394"/>
      <c r="AH61" s="1755">
        <f t="shared" si="11"/>
        <v>0</v>
      </c>
      <c r="AI61" s="59"/>
      <c r="AJ61" s="59"/>
      <c r="AK61" s="59"/>
      <c r="AL61" s="59"/>
    </row>
    <row r="62" spans="1:38" ht="15" hidden="1">
      <c r="A62" s="1523" t="s">
        <v>79</v>
      </c>
      <c r="B62" s="19">
        <f t="shared" si="10"/>
        <v>0</v>
      </c>
      <c r="C62" s="56"/>
      <c r="D62" s="56"/>
      <c r="E62" s="56"/>
      <c r="F62" s="56"/>
      <c r="G62" s="56"/>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56">
        <f t="shared" si="11"/>
        <v>0</v>
      </c>
      <c r="AI62" s="59"/>
      <c r="AJ62" s="59"/>
      <c r="AK62" s="59"/>
      <c r="AL62" s="59"/>
    </row>
    <row r="63" spans="1:38" ht="15" hidden="1">
      <c r="A63" s="1523" t="s">
        <v>80</v>
      </c>
      <c r="B63" s="19">
        <f t="shared" si="10"/>
        <v>0</v>
      </c>
      <c r="C63" s="56"/>
      <c r="D63" s="19"/>
      <c r="E63" s="19"/>
      <c r="F63" s="19"/>
      <c r="G63" s="19"/>
      <c r="H63" s="19"/>
      <c r="I63" s="19"/>
      <c r="J63" s="19"/>
      <c r="K63" s="19"/>
      <c r="L63" s="19"/>
      <c r="M63" s="19"/>
      <c r="N63" s="19"/>
      <c r="O63" s="19"/>
      <c r="P63" s="19"/>
      <c r="Q63" s="19"/>
      <c r="R63" s="19"/>
      <c r="S63" s="19"/>
      <c r="T63" s="19"/>
      <c r="U63" s="19"/>
      <c r="V63" s="19"/>
      <c r="W63" s="19"/>
      <c r="X63" s="19"/>
      <c r="Y63" s="19"/>
      <c r="Z63" s="19"/>
      <c r="AA63" s="2398" t="s">
        <v>110</v>
      </c>
      <c r="AB63" s="2398" t="s">
        <v>110</v>
      </c>
      <c r="AC63" s="2398" t="s">
        <v>110</v>
      </c>
      <c r="AD63" s="2398" t="s">
        <v>110</v>
      </c>
      <c r="AE63" s="2398" t="s">
        <v>110</v>
      </c>
      <c r="AF63" s="2398" t="s">
        <v>110</v>
      </c>
      <c r="AG63" s="2398" t="s">
        <v>110</v>
      </c>
      <c r="AH63" s="56">
        <f t="shared" si="11"/>
        <v>0</v>
      </c>
      <c r="AI63" s="59"/>
      <c r="AJ63" s="59"/>
      <c r="AK63" s="59"/>
      <c r="AL63" s="59"/>
    </row>
    <row r="64" spans="1:38" ht="15" hidden="1">
      <c r="A64" s="1523" t="s">
        <v>81</v>
      </c>
      <c r="B64" s="19">
        <f t="shared" si="10"/>
        <v>0</v>
      </c>
      <c r="C64" s="2398" t="s">
        <v>110</v>
      </c>
      <c r="D64" s="2398" t="s">
        <v>110</v>
      </c>
      <c r="E64" s="2398" t="s">
        <v>110</v>
      </c>
      <c r="F64" s="2398" t="s">
        <v>110</v>
      </c>
      <c r="G64" s="2398" t="s">
        <v>110</v>
      </c>
      <c r="H64" s="2398" t="s">
        <v>110</v>
      </c>
      <c r="I64" s="2398" t="s">
        <v>110</v>
      </c>
      <c r="J64" s="2398" t="s">
        <v>110</v>
      </c>
      <c r="K64" s="2398" t="s">
        <v>110</v>
      </c>
      <c r="L64" s="2398" t="s">
        <v>110</v>
      </c>
      <c r="M64" s="2398" t="s">
        <v>110</v>
      </c>
      <c r="N64" s="2398" t="s">
        <v>110</v>
      </c>
      <c r="O64" s="2398" t="s">
        <v>110</v>
      </c>
      <c r="P64" s="2398" t="s">
        <v>110</v>
      </c>
      <c r="Q64" s="2398" t="s">
        <v>110</v>
      </c>
      <c r="R64" s="2398" t="s">
        <v>110</v>
      </c>
      <c r="S64" s="2398" t="s">
        <v>110</v>
      </c>
      <c r="T64" s="2398" t="s">
        <v>110</v>
      </c>
      <c r="U64" s="2398" t="s">
        <v>110</v>
      </c>
      <c r="V64" s="2398" t="s">
        <v>110</v>
      </c>
      <c r="W64" s="2398" t="s">
        <v>110</v>
      </c>
      <c r="X64" s="2398" t="s">
        <v>110</v>
      </c>
      <c r="Y64" s="2398" t="s">
        <v>110</v>
      </c>
      <c r="Z64" s="19"/>
      <c r="AA64" s="19"/>
      <c r="AB64" s="19"/>
      <c r="AC64" s="19"/>
      <c r="AD64" s="19"/>
      <c r="AE64" s="19"/>
      <c r="AF64" s="19"/>
      <c r="AG64" s="19"/>
      <c r="AH64" s="56">
        <f t="shared" si="11"/>
        <v>0</v>
      </c>
      <c r="AI64" s="59"/>
      <c r="AJ64" s="59"/>
      <c r="AK64" s="59"/>
      <c r="AL64" s="59"/>
    </row>
    <row r="65" spans="1:38" ht="15" hidden="1">
      <c r="A65" s="1523" t="s">
        <v>82</v>
      </c>
      <c r="B65" s="19">
        <f t="shared" si="10"/>
        <v>0</v>
      </c>
      <c r="C65" s="56"/>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56">
        <f t="shared" si="11"/>
        <v>0</v>
      </c>
      <c r="AI65" s="59"/>
      <c r="AJ65" s="59"/>
      <c r="AK65" s="59"/>
      <c r="AL65" s="59"/>
    </row>
    <row r="66" spans="1:38" ht="15" hidden="1">
      <c r="A66" s="1522" t="s">
        <v>83</v>
      </c>
      <c r="B66" s="19">
        <f t="shared" si="10"/>
        <v>0</v>
      </c>
      <c r="C66" s="56"/>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56">
        <f t="shared" si="11"/>
        <v>0</v>
      </c>
      <c r="AI66" s="59"/>
      <c r="AJ66" s="59"/>
      <c r="AK66" s="59"/>
      <c r="AL66" s="59"/>
    </row>
    <row r="67" spans="1:38" ht="15" hidden="1">
      <c r="A67" s="1522" t="s">
        <v>84</v>
      </c>
      <c r="B67" s="19">
        <f t="shared" si="10"/>
        <v>0</v>
      </c>
      <c r="C67" s="56"/>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56">
        <f t="shared" si="11"/>
        <v>0</v>
      </c>
      <c r="AI67" s="59"/>
      <c r="AJ67" s="59"/>
      <c r="AK67" s="59"/>
      <c r="AL67" s="59"/>
    </row>
    <row r="68" spans="1:38" ht="15" hidden="1">
      <c r="A68" s="71" t="s">
        <v>72</v>
      </c>
      <c r="B68" s="73">
        <f>SUM(B56:B67)</f>
        <v>0</v>
      </c>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9"/>
      <c r="AJ68" s="59"/>
      <c r="AK68" s="59"/>
      <c r="AL68" s="59"/>
    </row>
    <row r="69" spans="1:38" ht="15">
      <c r="A69" s="1"/>
      <c r="B69" s="2357"/>
      <c r="C69" s="55"/>
      <c r="D69" s="22"/>
      <c r="E69" s="22"/>
      <c r="F69" s="2395"/>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55"/>
      <c r="AI69" s="55"/>
      <c r="AJ69" s="55"/>
      <c r="AK69" s="55"/>
      <c r="AL69" s="55"/>
    </row>
    <row r="70" spans="1:38" ht="15" hidden="1">
      <c r="A70" s="3811" t="s">
        <v>548</v>
      </c>
      <c r="B70" s="3812"/>
      <c r="C70" s="3813"/>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55"/>
      <c r="AI70" s="55"/>
      <c r="AJ70" s="55"/>
      <c r="AK70" s="55"/>
      <c r="AL70" s="55"/>
    </row>
    <row r="71" spans="1:38" ht="15" hidden="1">
      <c r="A71" s="5" t="s">
        <v>70</v>
      </c>
      <c r="B71" s="19" t="s">
        <v>71</v>
      </c>
      <c r="C71" s="2391">
        <v>1</v>
      </c>
      <c r="D71" s="23">
        <v>2</v>
      </c>
      <c r="E71" s="23">
        <v>3</v>
      </c>
      <c r="F71" s="23">
        <v>4</v>
      </c>
      <c r="G71" s="23">
        <v>5</v>
      </c>
      <c r="H71" s="23">
        <v>6</v>
      </c>
      <c r="I71" s="23">
        <v>7</v>
      </c>
      <c r="J71" s="23">
        <v>8</v>
      </c>
      <c r="K71" s="23">
        <v>9</v>
      </c>
      <c r="L71" s="23">
        <v>10</v>
      </c>
      <c r="M71" s="23">
        <v>11</v>
      </c>
      <c r="N71" s="23">
        <v>12</v>
      </c>
      <c r="O71" s="23">
        <v>13</v>
      </c>
      <c r="P71" s="23">
        <v>14</v>
      </c>
      <c r="Q71" s="23">
        <v>15</v>
      </c>
      <c r="R71" s="23">
        <v>16</v>
      </c>
      <c r="S71" s="23">
        <v>17</v>
      </c>
      <c r="T71" s="23">
        <v>18</v>
      </c>
      <c r="U71" s="23">
        <v>19</v>
      </c>
      <c r="V71" s="23">
        <v>20</v>
      </c>
      <c r="W71" s="23">
        <v>21</v>
      </c>
      <c r="X71" s="23">
        <v>22</v>
      </c>
      <c r="Y71" s="23">
        <v>23</v>
      </c>
      <c r="Z71" s="23">
        <v>24</v>
      </c>
      <c r="AA71" s="23">
        <v>25</v>
      </c>
      <c r="AB71" s="23">
        <v>26</v>
      </c>
      <c r="AC71" s="23">
        <v>27</v>
      </c>
      <c r="AD71" s="23">
        <v>28</v>
      </c>
      <c r="AE71" s="23">
        <v>29</v>
      </c>
      <c r="AF71" s="23">
        <v>30</v>
      </c>
      <c r="AG71" s="23">
        <v>31</v>
      </c>
      <c r="AH71" s="56" t="s">
        <v>72</v>
      </c>
      <c r="AI71" s="59"/>
      <c r="AJ71" s="59"/>
      <c r="AK71" s="59"/>
      <c r="AL71" s="59"/>
    </row>
    <row r="72" spans="1:38" ht="15" hidden="1">
      <c r="A72" s="1039" t="s">
        <v>73</v>
      </c>
      <c r="B72" s="19">
        <f t="shared" ref="B72:B83" si="12">+AH72</f>
        <v>0</v>
      </c>
      <c r="C72" s="56"/>
      <c r="D72" s="19"/>
      <c r="E72" s="19"/>
      <c r="F72" s="19"/>
      <c r="G72" s="19"/>
      <c r="H72" s="19"/>
      <c r="I72" s="19"/>
      <c r="J72" s="19"/>
      <c r="K72" s="19"/>
      <c r="L72" s="19"/>
      <c r="M72" s="19"/>
      <c r="N72" s="2392"/>
      <c r="O72" s="2392"/>
      <c r="P72" s="2392"/>
      <c r="Q72" s="2392"/>
      <c r="R72" s="2392"/>
      <c r="S72" s="2396"/>
      <c r="T72" s="19"/>
      <c r="U72" s="19"/>
      <c r="V72" s="19"/>
      <c r="W72" s="19"/>
      <c r="X72" s="2397"/>
      <c r="Y72" s="19"/>
      <c r="Z72" s="19"/>
      <c r="AA72" s="19"/>
      <c r="AB72" s="19"/>
      <c r="AC72" s="19"/>
      <c r="AD72" s="19"/>
      <c r="AE72" s="19"/>
      <c r="AF72" s="19"/>
      <c r="AG72" s="19"/>
      <c r="AH72" s="56">
        <f>SUM(C72:AG72)</f>
        <v>0</v>
      </c>
      <c r="AI72" s="59"/>
      <c r="AJ72" s="59"/>
      <c r="AK72" s="59"/>
      <c r="AL72" s="59"/>
    </row>
    <row r="73" spans="1:38" ht="15" hidden="1">
      <c r="A73" s="1039" t="s">
        <v>74</v>
      </c>
      <c r="B73" s="19">
        <f t="shared" si="12"/>
        <v>0</v>
      </c>
      <c r="C73" s="2392"/>
      <c r="D73" s="2392"/>
      <c r="E73" s="2392"/>
      <c r="F73" s="2392"/>
      <c r="G73" s="2392"/>
      <c r="H73" s="2392"/>
      <c r="I73" s="2392"/>
      <c r="J73" s="2392"/>
      <c r="K73" s="2392"/>
      <c r="L73" s="2392"/>
      <c r="M73" s="2392"/>
      <c r="N73" s="2392"/>
      <c r="O73" s="2392"/>
      <c r="P73" s="2392"/>
      <c r="Q73" s="2392"/>
      <c r="R73" s="2392"/>
      <c r="S73" s="2392"/>
      <c r="T73" s="2392"/>
      <c r="U73" s="2392"/>
      <c r="V73" s="2392"/>
      <c r="W73" s="2392"/>
      <c r="X73" s="2392"/>
      <c r="Y73" s="2392"/>
      <c r="Z73" s="2392"/>
      <c r="AA73" s="2392"/>
      <c r="AB73" s="2392"/>
      <c r="AC73" s="2392"/>
      <c r="AD73" s="2392"/>
      <c r="AE73" s="2392"/>
      <c r="AF73" s="2392"/>
      <c r="AG73" s="2392"/>
      <c r="AH73" s="1755">
        <f t="shared" ref="AH73:AH83" si="13">SUM(C73:AG73)</f>
        <v>0</v>
      </c>
      <c r="AI73" s="59"/>
      <c r="AJ73" s="59"/>
      <c r="AK73" s="59"/>
      <c r="AL73" s="59"/>
    </row>
    <row r="74" spans="1:38" ht="15" hidden="1">
      <c r="A74" s="1039" t="s">
        <v>75</v>
      </c>
      <c r="B74" s="19">
        <f t="shared" si="12"/>
        <v>0</v>
      </c>
      <c r="C74" s="2392"/>
      <c r="D74" s="2392"/>
      <c r="E74" s="2392"/>
      <c r="F74" s="2392"/>
      <c r="G74" s="2392"/>
      <c r="H74" s="2392"/>
      <c r="I74" s="2392"/>
      <c r="J74" s="2392"/>
      <c r="K74" s="2392"/>
      <c r="L74" s="2392"/>
      <c r="M74" s="2392"/>
      <c r="N74" s="2392"/>
      <c r="O74" s="2392"/>
      <c r="P74" s="2392"/>
      <c r="Q74" s="2392"/>
      <c r="R74" s="2392"/>
      <c r="S74" s="2392"/>
      <c r="T74" s="2392"/>
      <c r="U74" s="2392"/>
      <c r="V74" s="2392"/>
      <c r="W74" s="2392"/>
      <c r="X74" s="2392"/>
      <c r="Y74" s="2392"/>
      <c r="Z74" s="2392"/>
      <c r="AA74" s="2392"/>
      <c r="AB74" s="2392"/>
      <c r="AC74" s="2392"/>
      <c r="AD74" s="2392"/>
      <c r="AE74" s="2392"/>
      <c r="AF74" s="2392"/>
      <c r="AG74" s="2392"/>
      <c r="AH74" s="1755">
        <f t="shared" si="13"/>
        <v>0</v>
      </c>
      <c r="AI74" s="59"/>
      <c r="AJ74" s="59"/>
      <c r="AK74" s="59"/>
      <c r="AL74" s="59"/>
    </row>
    <row r="75" spans="1:38" ht="15" hidden="1">
      <c r="A75" s="1039" t="s">
        <v>76</v>
      </c>
      <c r="B75" s="19">
        <f t="shared" si="12"/>
        <v>0</v>
      </c>
      <c r="C75" s="2392"/>
      <c r="D75" s="2392"/>
      <c r="E75" s="2392"/>
      <c r="F75" s="2392"/>
      <c r="G75" s="2392"/>
      <c r="H75" s="2392"/>
      <c r="I75" s="2392"/>
      <c r="J75" s="2392"/>
      <c r="K75" s="2392"/>
      <c r="L75" s="2392"/>
      <c r="M75" s="2392"/>
      <c r="N75" s="2392"/>
      <c r="O75" s="2392"/>
      <c r="P75" s="2392"/>
      <c r="Q75" s="2392"/>
      <c r="R75" s="2392"/>
      <c r="S75" s="2392"/>
      <c r="T75" s="2392"/>
      <c r="U75" s="2392"/>
      <c r="V75" s="2392"/>
      <c r="W75" s="2392"/>
      <c r="X75" s="2392"/>
      <c r="Y75" s="2392"/>
      <c r="Z75" s="2392"/>
      <c r="AA75" s="2392"/>
      <c r="AB75" s="2392"/>
      <c r="AC75" s="2392"/>
      <c r="AD75" s="2392"/>
      <c r="AE75" s="2392"/>
      <c r="AF75" s="2392"/>
      <c r="AG75" s="2392"/>
      <c r="AH75" s="1755">
        <f t="shared" si="13"/>
        <v>0</v>
      </c>
      <c r="AI75" s="59"/>
      <c r="AJ75" s="59"/>
      <c r="AK75" s="59"/>
      <c r="AL75" s="59"/>
    </row>
    <row r="76" spans="1:38" ht="15" hidden="1">
      <c r="A76" s="1523" t="s">
        <v>77</v>
      </c>
      <c r="B76" s="19">
        <f t="shared" si="12"/>
        <v>0</v>
      </c>
      <c r="C76" s="2392"/>
      <c r="D76" s="2392"/>
      <c r="E76" s="2392"/>
      <c r="F76" s="2392"/>
      <c r="G76" s="2392"/>
      <c r="H76" s="2392"/>
      <c r="I76" s="2392"/>
      <c r="J76" s="2392"/>
      <c r="K76" s="2392"/>
      <c r="L76" s="2392"/>
      <c r="M76" s="2392"/>
      <c r="N76" s="2392"/>
      <c r="O76" s="2392"/>
      <c r="P76" s="2392"/>
      <c r="Q76" s="2392"/>
      <c r="R76" s="2392"/>
      <c r="S76" s="2392"/>
      <c r="T76" s="2392"/>
      <c r="U76" s="2392"/>
      <c r="V76" s="2392"/>
      <c r="W76" s="2392"/>
      <c r="X76" s="2392"/>
      <c r="Y76" s="2392"/>
      <c r="Z76" s="2392"/>
      <c r="AA76" s="2392"/>
      <c r="AB76" s="2392"/>
      <c r="AC76" s="2392"/>
      <c r="AD76" s="2392"/>
      <c r="AE76" s="2392"/>
      <c r="AF76" s="2392"/>
      <c r="AG76" s="2392"/>
      <c r="AH76" s="1755">
        <f t="shared" si="13"/>
        <v>0</v>
      </c>
      <c r="AI76" s="59"/>
      <c r="AJ76" s="59"/>
      <c r="AK76" s="59"/>
      <c r="AL76" s="59"/>
    </row>
    <row r="77" spans="1:38" ht="15" hidden="1">
      <c r="A77" s="1523" t="s">
        <v>78</v>
      </c>
      <c r="B77" s="19">
        <f t="shared" si="12"/>
        <v>0</v>
      </c>
      <c r="C77" s="2393"/>
      <c r="D77" s="2394"/>
      <c r="E77" s="2394"/>
      <c r="F77" s="2394"/>
      <c r="G77" s="2394"/>
      <c r="H77" s="2394"/>
      <c r="I77" s="2394"/>
      <c r="J77" s="2394"/>
      <c r="K77" s="2394"/>
      <c r="L77" s="2394"/>
      <c r="M77" s="2394"/>
      <c r="N77" s="2394"/>
      <c r="O77" s="2394"/>
      <c r="P77" s="2394"/>
      <c r="Q77" s="2394"/>
      <c r="R77" s="2394"/>
      <c r="S77" s="2394"/>
      <c r="T77" s="2394"/>
      <c r="U77" s="2394"/>
      <c r="V77" s="2394"/>
      <c r="W77" s="2394"/>
      <c r="X77" s="2394"/>
      <c r="Y77" s="2394"/>
      <c r="Z77" s="2394"/>
      <c r="AA77" s="2394"/>
      <c r="AB77" s="2394"/>
      <c r="AC77" s="2394"/>
      <c r="AD77" s="2394"/>
      <c r="AE77" s="2394"/>
      <c r="AF77" s="2394"/>
      <c r="AG77" s="2394"/>
      <c r="AH77" s="1755">
        <f t="shared" si="13"/>
        <v>0</v>
      </c>
      <c r="AI77" s="59"/>
      <c r="AJ77" s="59"/>
      <c r="AK77" s="59"/>
      <c r="AL77" s="59"/>
    </row>
    <row r="78" spans="1:38" ht="15" hidden="1">
      <c r="A78" s="1523" t="s">
        <v>79</v>
      </c>
      <c r="B78" s="19">
        <f t="shared" si="12"/>
        <v>0</v>
      </c>
      <c r="C78" s="56"/>
      <c r="D78" s="56"/>
      <c r="E78" s="56"/>
      <c r="F78" s="56"/>
      <c r="G78" s="56"/>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56">
        <f t="shared" si="13"/>
        <v>0</v>
      </c>
      <c r="AI78" s="59"/>
      <c r="AJ78" s="59"/>
      <c r="AK78" s="59"/>
      <c r="AL78" s="59"/>
    </row>
    <row r="79" spans="1:38" ht="15" hidden="1">
      <c r="A79" s="1523" t="s">
        <v>80</v>
      </c>
      <c r="B79" s="19">
        <f t="shared" si="12"/>
        <v>0</v>
      </c>
      <c r="C79" s="56"/>
      <c r="D79" s="19"/>
      <c r="E79" s="19"/>
      <c r="F79" s="19"/>
      <c r="G79" s="19"/>
      <c r="H79" s="19"/>
      <c r="I79" s="19"/>
      <c r="J79" s="19"/>
      <c r="K79" s="19"/>
      <c r="L79" s="19"/>
      <c r="M79" s="19"/>
      <c r="N79" s="19"/>
      <c r="O79" s="19"/>
      <c r="P79" s="19"/>
      <c r="Q79" s="19"/>
      <c r="R79" s="19"/>
      <c r="S79" s="19"/>
      <c r="T79" s="19"/>
      <c r="U79" s="19"/>
      <c r="V79" s="19"/>
      <c r="W79" s="19"/>
      <c r="X79" s="19"/>
      <c r="Y79" s="19"/>
      <c r="Z79" s="19"/>
      <c r="AA79" s="2398" t="s">
        <v>110</v>
      </c>
      <c r="AB79" s="2398" t="s">
        <v>110</v>
      </c>
      <c r="AC79" s="2398" t="s">
        <v>110</v>
      </c>
      <c r="AD79" s="2398" t="s">
        <v>110</v>
      </c>
      <c r="AE79" s="2398" t="s">
        <v>110</v>
      </c>
      <c r="AF79" s="2398" t="s">
        <v>110</v>
      </c>
      <c r="AG79" s="2398" t="s">
        <v>110</v>
      </c>
      <c r="AH79" s="56">
        <f t="shared" si="13"/>
        <v>0</v>
      </c>
      <c r="AI79" s="59"/>
      <c r="AJ79" s="59"/>
      <c r="AK79" s="59"/>
      <c r="AL79" s="59"/>
    </row>
    <row r="80" spans="1:38" ht="15" hidden="1">
      <c r="A80" s="1522" t="s">
        <v>81</v>
      </c>
      <c r="B80" s="19">
        <f t="shared" si="12"/>
        <v>0</v>
      </c>
      <c r="C80" s="2398" t="s">
        <v>110</v>
      </c>
      <c r="D80" s="2398" t="s">
        <v>110</v>
      </c>
      <c r="E80" s="2398" t="s">
        <v>110</v>
      </c>
      <c r="F80" s="2398" t="s">
        <v>110</v>
      </c>
      <c r="G80" s="2398" t="s">
        <v>110</v>
      </c>
      <c r="H80" s="2398" t="s">
        <v>110</v>
      </c>
      <c r="I80" s="2398" t="s">
        <v>110</v>
      </c>
      <c r="J80" s="2398" t="s">
        <v>110</v>
      </c>
      <c r="K80" s="2398" t="s">
        <v>110</v>
      </c>
      <c r="L80" s="2398" t="s">
        <v>110</v>
      </c>
      <c r="M80" s="2398" t="s">
        <v>110</v>
      </c>
      <c r="N80" s="2398" t="s">
        <v>110</v>
      </c>
      <c r="O80" s="2398" t="s">
        <v>110</v>
      </c>
      <c r="P80" s="2398" t="s">
        <v>110</v>
      </c>
      <c r="Q80" s="2398" t="s">
        <v>110</v>
      </c>
      <c r="R80" s="2398" t="s">
        <v>110</v>
      </c>
      <c r="S80" s="2398" t="s">
        <v>110</v>
      </c>
      <c r="T80" s="2398" t="s">
        <v>110</v>
      </c>
      <c r="U80" s="2398" t="s">
        <v>110</v>
      </c>
      <c r="V80" s="2398" t="s">
        <v>110</v>
      </c>
      <c r="W80" s="2398" t="s">
        <v>110</v>
      </c>
      <c r="X80" s="2398" t="s">
        <v>110</v>
      </c>
      <c r="Y80" s="2398" t="s">
        <v>110</v>
      </c>
      <c r="Z80" s="19"/>
      <c r="AA80" s="19"/>
      <c r="AB80" s="19"/>
      <c r="AC80" s="19"/>
      <c r="AD80" s="19"/>
      <c r="AE80" s="19"/>
      <c r="AF80" s="19"/>
      <c r="AG80" s="19"/>
      <c r="AH80" s="56">
        <f t="shared" si="13"/>
        <v>0</v>
      </c>
      <c r="AI80" s="59"/>
      <c r="AJ80" s="59"/>
      <c r="AK80" s="59"/>
      <c r="AL80" s="59"/>
    </row>
    <row r="81" spans="1:38" ht="15" hidden="1">
      <c r="A81" s="1522" t="s">
        <v>82</v>
      </c>
      <c r="B81" s="19">
        <f t="shared" si="12"/>
        <v>0</v>
      </c>
      <c r="C81" s="56"/>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56">
        <f t="shared" si="13"/>
        <v>0</v>
      </c>
      <c r="AI81" s="59"/>
      <c r="AJ81" s="59"/>
      <c r="AK81" s="59"/>
      <c r="AL81" s="59"/>
    </row>
    <row r="82" spans="1:38" ht="15" hidden="1">
      <c r="A82" s="1522" t="s">
        <v>83</v>
      </c>
      <c r="B82" s="19">
        <f t="shared" si="12"/>
        <v>0</v>
      </c>
      <c r="C82" s="56"/>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56">
        <f t="shared" si="13"/>
        <v>0</v>
      </c>
      <c r="AI82" s="59"/>
      <c r="AJ82" s="59"/>
      <c r="AK82" s="59"/>
      <c r="AL82" s="59"/>
    </row>
    <row r="83" spans="1:38" ht="15" hidden="1">
      <c r="A83" s="1522" t="s">
        <v>84</v>
      </c>
      <c r="B83" s="19">
        <f t="shared" si="12"/>
        <v>0</v>
      </c>
      <c r="C83" s="56"/>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56">
        <f t="shared" si="13"/>
        <v>0</v>
      </c>
      <c r="AI83" s="59"/>
      <c r="AJ83" s="59"/>
      <c r="AK83" s="59"/>
      <c r="AL83" s="59"/>
    </row>
    <row r="84" spans="1:38" ht="15" hidden="1">
      <c r="A84" s="71" t="s">
        <v>72</v>
      </c>
      <c r="B84" s="73">
        <f>SUM(B72:B83)</f>
        <v>0</v>
      </c>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9"/>
      <c r="AJ84" s="59"/>
      <c r="AK84" s="59"/>
      <c r="AL84" s="59"/>
    </row>
    <row r="85" spans="1:38" ht="15">
      <c r="A85" s="1"/>
      <c r="B85" s="2357"/>
      <c r="C85" s="55"/>
      <c r="D85" s="22"/>
      <c r="E85" s="22"/>
      <c r="F85" s="2395"/>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55"/>
      <c r="AI85" s="55"/>
      <c r="AJ85" s="55"/>
      <c r="AK85" s="55"/>
      <c r="AL85" s="55"/>
    </row>
    <row r="86" spans="1:38" ht="15">
      <c r="A86" s="1"/>
      <c r="B86" s="2357"/>
      <c r="C86" s="55"/>
      <c r="D86" s="22"/>
      <c r="E86" s="22"/>
      <c r="F86" s="2395"/>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55"/>
      <c r="AI86" s="55"/>
      <c r="AJ86" s="55"/>
      <c r="AK86" s="55"/>
      <c r="AL86" s="55"/>
    </row>
    <row r="87" spans="1:38" ht="15">
      <c r="A87" s="3811" t="s">
        <v>67</v>
      </c>
      <c r="B87" s="3812"/>
      <c r="C87" s="3813"/>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55"/>
      <c r="AI87" s="55"/>
      <c r="AJ87" s="55"/>
      <c r="AK87" s="55"/>
      <c r="AL87" s="55"/>
    </row>
    <row r="88" spans="1:38" ht="15">
      <c r="A88" s="5" t="s">
        <v>70</v>
      </c>
      <c r="B88" s="19" t="s">
        <v>71</v>
      </c>
      <c r="C88" s="57">
        <v>1</v>
      </c>
      <c r="D88" s="23">
        <v>2</v>
      </c>
      <c r="E88" s="23">
        <v>3</v>
      </c>
      <c r="F88" s="23">
        <v>4</v>
      </c>
      <c r="G88" s="23">
        <v>5</v>
      </c>
      <c r="H88" s="23">
        <v>6</v>
      </c>
      <c r="I88" s="23">
        <v>7</v>
      </c>
      <c r="J88" s="23">
        <v>8</v>
      </c>
      <c r="K88" s="23">
        <v>9</v>
      </c>
      <c r="L88" s="23">
        <v>10</v>
      </c>
      <c r="M88" s="23">
        <v>11</v>
      </c>
      <c r="N88" s="23">
        <v>12</v>
      </c>
      <c r="O88" s="23">
        <v>13</v>
      </c>
      <c r="P88" s="23">
        <v>14</v>
      </c>
      <c r="Q88" s="23">
        <v>15</v>
      </c>
      <c r="R88" s="23">
        <v>16</v>
      </c>
      <c r="S88" s="23">
        <v>17</v>
      </c>
      <c r="T88" s="23">
        <v>18</v>
      </c>
      <c r="U88" s="23">
        <v>19</v>
      </c>
      <c r="V88" s="23">
        <v>20</v>
      </c>
      <c r="W88" s="23">
        <v>21</v>
      </c>
      <c r="X88" s="23">
        <v>22</v>
      </c>
      <c r="Y88" s="23">
        <v>23</v>
      </c>
      <c r="Z88" s="23">
        <v>24</v>
      </c>
      <c r="AA88" s="23">
        <v>25</v>
      </c>
      <c r="AB88" s="23">
        <v>26</v>
      </c>
      <c r="AC88" s="23">
        <v>27</v>
      </c>
      <c r="AD88" s="23">
        <v>28</v>
      </c>
      <c r="AE88" s="23">
        <v>29</v>
      </c>
      <c r="AF88" s="23">
        <v>30</v>
      </c>
      <c r="AG88" s="23">
        <v>31</v>
      </c>
      <c r="AH88" s="56" t="s">
        <v>72</v>
      </c>
      <c r="AI88" s="2266" t="s">
        <v>1345</v>
      </c>
      <c r="AJ88" s="66" t="e">
        <f>(B101/COUNTIF($C$89:$AG$100,"&gt;0"))</f>
        <v>#DIV/0!</v>
      </c>
      <c r="AK88" s="59"/>
      <c r="AL88" s="59"/>
    </row>
    <row r="89" spans="1:38" ht="15">
      <c r="A89" s="1607" t="s">
        <v>73</v>
      </c>
      <c r="B89" s="19">
        <f t="shared" ref="B89:B100" si="14">+AH89</f>
        <v>0</v>
      </c>
      <c r="C89" s="107" t="s">
        <v>109</v>
      </c>
      <c r="D89" s="107" t="s">
        <v>109</v>
      </c>
      <c r="E89" s="107" t="s">
        <v>109</v>
      </c>
      <c r="F89" s="107" t="s">
        <v>109</v>
      </c>
      <c r="G89" s="107" t="s">
        <v>109</v>
      </c>
      <c r="H89" s="107" t="s">
        <v>109</v>
      </c>
      <c r="I89" s="107" t="s">
        <v>109</v>
      </c>
      <c r="J89" s="107" t="s">
        <v>109</v>
      </c>
      <c r="K89" s="107" t="s">
        <v>109</v>
      </c>
      <c r="L89" s="107" t="s">
        <v>109</v>
      </c>
      <c r="M89" s="107" t="s">
        <v>109</v>
      </c>
      <c r="N89" s="107" t="s">
        <v>109</v>
      </c>
      <c r="O89" s="107" t="s">
        <v>109</v>
      </c>
      <c r="P89" s="107" t="s">
        <v>109</v>
      </c>
      <c r="Q89" s="107" t="s">
        <v>109</v>
      </c>
      <c r="R89" s="107" t="s">
        <v>109</v>
      </c>
      <c r="S89" s="107" t="s">
        <v>109</v>
      </c>
      <c r="T89" s="107" t="s">
        <v>109</v>
      </c>
      <c r="U89" s="107" t="s">
        <v>109</v>
      </c>
      <c r="V89" s="107" t="s">
        <v>109</v>
      </c>
      <c r="W89" s="107" t="s">
        <v>109</v>
      </c>
      <c r="X89" s="107" t="s">
        <v>109</v>
      </c>
      <c r="Y89" s="107" t="s">
        <v>109</v>
      </c>
      <c r="Z89" s="107" t="s">
        <v>109</v>
      </c>
      <c r="AA89" s="107" t="s">
        <v>109</v>
      </c>
      <c r="AB89" s="107" t="s">
        <v>109</v>
      </c>
      <c r="AC89" s="107" t="s">
        <v>109</v>
      </c>
      <c r="AD89" s="107" t="s">
        <v>109</v>
      </c>
      <c r="AE89" s="107" t="s">
        <v>109</v>
      </c>
      <c r="AF89" s="107" t="s">
        <v>109</v>
      </c>
      <c r="AG89" s="107" t="s">
        <v>109</v>
      </c>
      <c r="AH89" s="56">
        <f>SUM(C89:AG89)</f>
        <v>0</v>
      </c>
      <c r="AI89" s="59"/>
      <c r="AJ89" s="59"/>
      <c r="AK89" s="59"/>
      <c r="AL89" s="59"/>
    </row>
    <row r="90" spans="1:38" ht="15">
      <c r="A90" s="1607" t="s">
        <v>74</v>
      </c>
      <c r="B90" s="19">
        <f t="shared" si="14"/>
        <v>0</v>
      </c>
      <c r="C90" s="107" t="s">
        <v>109</v>
      </c>
      <c r="D90" s="107" t="s">
        <v>109</v>
      </c>
      <c r="E90" s="107" t="s">
        <v>109</v>
      </c>
      <c r="F90" s="107" t="s">
        <v>109</v>
      </c>
      <c r="G90" s="107" t="s">
        <v>109</v>
      </c>
      <c r="H90" s="107" t="s">
        <v>109</v>
      </c>
      <c r="I90" s="107" t="s">
        <v>109</v>
      </c>
      <c r="J90" s="107" t="s">
        <v>109</v>
      </c>
      <c r="K90" s="107" t="s">
        <v>109</v>
      </c>
      <c r="L90" s="107" t="s">
        <v>109</v>
      </c>
      <c r="M90" s="107" t="s">
        <v>109</v>
      </c>
      <c r="N90" s="107" t="s">
        <v>109</v>
      </c>
      <c r="O90" s="107" t="s">
        <v>109</v>
      </c>
      <c r="P90" s="107" t="s">
        <v>109</v>
      </c>
      <c r="Q90" s="107" t="s">
        <v>109</v>
      </c>
      <c r="R90" s="107" t="s">
        <v>109</v>
      </c>
      <c r="S90" s="107" t="s">
        <v>109</v>
      </c>
      <c r="T90" s="107" t="s">
        <v>109</v>
      </c>
      <c r="U90" s="107" t="s">
        <v>109</v>
      </c>
      <c r="V90" s="107" t="s">
        <v>109</v>
      </c>
      <c r="W90" s="107" t="s">
        <v>109</v>
      </c>
      <c r="X90" s="107" t="s">
        <v>109</v>
      </c>
      <c r="Y90" s="107" t="s">
        <v>109</v>
      </c>
      <c r="Z90" s="107" t="s">
        <v>109</v>
      </c>
      <c r="AA90" s="107" t="s">
        <v>109</v>
      </c>
      <c r="AB90" s="107" t="s">
        <v>109</v>
      </c>
      <c r="AC90" s="107" t="s">
        <v>109</v>
      </c>
      <c r="AD90" s="107" t="s">
        <v>109</v>
      </c>
      <c r="AE90" s="107" t="s">
        <v>109</v>
      </c>
      <c r="AF90" s="107" t="s">
        <v>109</v>
      </c>
      <c r="AG90" s="107" t="s">
        <v>109</v>
      </c>
      <c r="AH90" s="56">
        <f t="shared" ref="AH90:AH100" si="15">SUM(C90:AG90)</f>
        <v>0</v>
      </c>
      <c r="AI90" s="59"/>
      <c r="AJ90" s="59"/>
      <c r="AK90" s="59"/>
      <c r="AL90" s="59"/>
    </row>
    <row r="91" spans="1:38" ht="15">
      <c r="A91" s="1607" t="s">
        <v>75</v>
      </c>
      <c r="B91" s="19">
        <f t="shared" si="14"/>
        <v>0</v>
      </c>
      <c r="C91" s="107" t="s">
        <v>109</v>
      </c>
      <c r="D91" s="107" t="s">
        <v>109</v>
      </c>
      <c r="E91" s="107" t="s">
        <v>109</v>
      </c>
      <c r="F91" s="107" t="s">
        <v>109</v>
      </c>
      <c r="G91" s="107" t="s">
        <v>109</v>
      </c>
      <c r="H91" s="1091"/>
      <c r="I91" s="1091"/>
      <c r="J91" s="1091"/>
      <c r="K91" s="1091"/>
      <c r="L91" s="1091"/>
      <c r="M91" s="1091"/>
      <c r="N91" s="1091"/>
      <c r="O91" s="1091"/>
      <c r="P91" s="1091"/>
      <c r="Q91" s="1091"/>
      <c r="R91" s="1091"/>
      <c r="S91" s="1091"/>
      <c r="T91" s="1091"/>
      <c r="U91" s="1591"/>
      <c r="V91" s="1091"/>
      <c r="W91" s="1091"/>
      <c r="X91" s="1091"/>
      <c r="Y91" s="1091"/>
      <c r="Z91" s="1091"/>
      <c r="AA91" s="1091"/>
      <c r="AB91" s="1091"/>
      <c r="AC91" s="1689"/>
      <c r="AD91" s="1689"/>
      <c r="AE91" s="1689"/>
      <c r="AF91" s="1689"/>
      <c r="AG91" s="1689"/>
      <c r="AH91" s="56">
        <f t="shared" si="15"/>
        <v>0</v>
      </c>
      <c r="AI91" s="59"/>
      <c r="AJ91" s="59"/>
      <c r="AK91" s="59"/>
      <c r="AL91" s="59"/>
    </row>
    <row r="92" spans="1:38" ht="15">
      <c r="A92" s="1607" t="s">
        <v>76</v>
      </c>
      <c r="B92" s="19">
        <f t="shared" si="14"/>
        <v>0</v>
      </c>
      <c r="C92" s="2152"/>
      <c r="D92" s="2152"/>
      <c r="E92" s="2152"/>
      <c r="F92" s="2152"/>
      <c r="G92" s="2152"/>
      <c r="H92" s="2152"/>
      <c r="I92" s="2152"/>
      <c r="J92" s="2152"/>
      <c r="K92" s="2152"/>
      <c r="L92" s="15"/>
      <c r="M92" s="15"/>
      <c r="N92" s="15"/>
      <c r="O92" s="15"/>
      <c r="P92" s="15"/>
      <c r="Q92" s="227"/>
      <c r="R92" s="227"/>
      <c r="S92" s="125"/>
      <c r="T92" s="125"/>
      <c r="U92" s="125"/>
      <c r="V92" s="125"/>
      <c r="W92" s="125"/>
      <c r="X92" s="125"/>
      <c r="Y92" s="125"/>
      <c r="Z92" s="125"/>
      <c r="AA92" s="125"/>
      <c r="AB92" s="125"/>
      <c r="AC92" s="125"/>
      <c r="AD92" s="125"/>
      <c r="AE92" s="125"/>
      <c r="AF92" s="125"/>
      <c r="AG92" s="125"/>
      <c r="AH92" s="56">
        <f t="shared" si="15"/>
        <v>0</v>
      </c>
      <c r="AI92" s="59"/>
      <c r="AJ92" s="59"/>
      <c r="AK92" s="59"/>
      <c r="AL92" s="59"/>
    </row>
    <row r="93" spans="1:38" ht="15">
      <c r="A93" s="1607" t="s">
        <v>77</v>
      </c>
      <c r="B93" s="19">
        <f t="shared" si="14"/>
        <v>0</v>
      </c>
      <c r="C93" s="2067"/>
      <c r="D93" s="2067"/>
      <c r="E93" s="2067"/>
      <c r="F93" s="2067"/>
      <c r="G93" s="2067"/>
      <c r="H93" s="1091"/>
      <c r="I93" s="1091"/>
      <c r="J93" s="1091"/>
      <c r="K93" s="1091"/>
      <c r="L93" s="1091"/>
      <c r="M93" s="1091"/>
      <c r="N93" s="1091"/>
      <c r="O93" s="1091"/>
      <c r="P93" s="1091"/>
      <c r="Q93" s="1091"/>
      <c r="R93" s="1091"/>
      <c r="S93" s="1091"/>
      <c r="T93" s="1091"/>
      <c r="U93" s="1091"/>
      <c r="V93" s="1091"/>
      <c r="W93" s="1091"/>
      <c r="X93" s="1091"/>
      <c r="Y93" s="1091"/>
      <c r="Z93" s="1091"/>
      <c r="AA93" s="1091"/>
      <c r="AB93" s="1091"/>
      <c r="AC93" s="1091"/>
      <c r="AD93" s="1091"/>
      <c r="AE93" s="1091"/>
      <c r="AF93" s="1091"/>
      <c r="AG93" s="1091"/>
      <c r="AH93" s="56">
        <f t="shared" si="15"/>
        <v>0</v>
      </c>
      <c r="AI93" s="59"/>
      <c r="AJ93" s="59"/>
      <c r="AK93" s="59"/>
      <c r="AL93" s="59"/>
    </row>
    <row r="94" spans="1:38" ht="15">
      <c r="A94" s="1607" t="s">
        <v>78</v>
      </c>
      <c r="B94" s="19">
        <f t="shared" si="14"/>
        <v>0</v>
      </c>
      <c r="C94" s="1091"/>
      <c r="D94" s="1091"/>
      <c r="E94" s="1091"/>
      <c r="F94" s="1091"/>
      <c r="G94" s="1091"/>
      <c r="H94" s="1091"/>
      <c r="I94" s="1091"/>
      <c r="J94" s="1091"/>
      <c r="K94" s="1091"/>
      <c r="L94" s="1091"/>
      <c r="M94" s="1091"/>
      <c r="N94" s="1091"/>
      <c r="O94" s="1091"/>
      <c r="P94" s="1091"/>
      <c r="Q94" s="1091"/>
      <c r="R94" s="1091"/>
      <c r="S94" s="1091"/>
      <c r="T94" s="1091"/>
      <c r="U94" s="1091"/>
      <c r="V94" s="1091"/>
      <c r="W94" s="1091"/>
      <c r="X94" s="1091"/>
      <c r="Y94" s="1091"/>
      <c r="Z94" s="1091"/>
      <c r="AA94" s="1091"/>
      <c r="AB94" s="1091"/>
      <c r="AC94" s="1091"/>
      <c r="AD94" s="1091"/>
      <c r="AE94" s="1091"/>
      <c r="AF94" s="1091"/>
      <c r="AG94" s="1091"/>
      <c r="AH94" s="56">
        <f t="shared" si="15"/>
        <v>0</v>
      </c>
      <c r="AI94" s="59"/>
      <c r="AJ94" s="59"/>
      <c r="AK94" s="59"/>
      <c r="AL94" s="59"/>
    </row>
    <row r="95" spans="1:38" ht="15">
      <c r="A95" s="1607" t="s">
        <v>79</v>
      </c>
      <c r="B95" s="19">
        <f t="shared" si="14"/>
        <v>0</v>
      </c>
      <c r="C95" s="1091"/>
      <c r="D95" s="1268"/>
      <c r="E95" s="1268"/>
      <c r="F95" s="1268"/>
      <c r="G95" s="1091"/>
      <c r="H95" s="1091"/>
      <c r="I95" s="1091"/>
      <c r="J95" s="2068"/>
      <c r="K95" s="2068"/>
      <c r="L95" s="1268"/>
      <c r="M95" s="1268"/>
      <c r="N95" s="1268"/>
      <c r="O95" s="1268"/>
      <c r="P95" s="1268"/>
      <c r="Q95" s="1268"/>
      <c r="R95" s="1268"/>
      <c r="S95" s="1268"/>
      <c r="T95" s="1268"/>
      <c r="U95" s="1268"/>
      <c r="V95" s="1268"/>
      <c r="W95" s="107"/>
      <c r="X95" s="107"/>
      <c r="Y95" s="107"/>
      <c r="Z95" s="107"/>
      <c r="AA95" s="107"/>
      <c r="AB95" s="107"/>
      <c r="AC95" s="107"/>
      <c r="AD95" s="107"/>
      <c r="AE95" s="107"/>
      <c r="AF95" s="107" t="s">
        <v>109</v>
      </c>
      <c r="AG95" s="107" t="s">
        <v>109</v>
      </c>
      <c r="AH95" s="56">
        <f t="shared" si="15"/>
        <v>0</v>
      </c>
      <c r="AI95" s="59"/>
      <c r="AJ95" s="59"/>
      <c r="AK95" s="59"/>
      <c r="AL95" s="59"/>
    </row>
    <row r="96" spans="1:38" ht="15">
      <c r="A96" s="1607" t="s">
        <v>80</v>
      </c>
      <c r="B96" s="19">
        <f t="shared" si="14"/>
        <v>0</v>
      </c>
      <c r="C96" s="107" t="s">
        <v>109</v>
      </c>
      <c r="D96" s="107" t="s">
        <v>109</v>
      </c>
      <c r="E96" s="107" t="s">
        <v>109</v>
      </c>
      <c r="F96" s="107" t="s">
        <v>109</v>
      </c>
      <c r="G96" s="107" t="s">
        <v>109</v>
      </c>
      <c r="H96" s="107" t="s">
        <v>109</v>
      </c>
      <c r="I96" s="107" t="s">
        <v>109</v>
      </c>
      <c r="J96" s="107" t="s">
        <v>109</v>
      </c>
      <c r="K96" s="107" t="s">
        <v>109</v>
      </c>
      <c r="L96" s="107" t="s">
        <v>109</v>
      </c>
      <c r="M96" s="107" t="s">
        <v>109</v>
      </c>
      <c r="N96" s="107" t="s">
        <v>109</v>
      </c>
      <c r="O96" s="107" t="s">
        <v>109</v>
      </c>
      <c r="P96" s="107" t="s">
        <v>109</v>
      </c>
      <c r="Q96" s="107" t="s">
        <v>109</v>
      </c>
      <c r="R96" s="107" t="s">
        <v>109</v>
      </c>
      <c r="S96" s="107" t="s">
        <v>109</v>
      </c>
      <c r="T96" s="107" t="s">
        <v>109</v>
      </c>
      <c r="U96" s="107" t="s">
        <v>109</v>
      </c>
      <c r="V96" s="107" t="s">
        <v>109</v>
      </c>
      <c r="W96" s="107" t="s">
        <v>109</v>
      </c>
      <c r="X96" s="107" t="s">
        <v>109</v>
      </c>
      <c r="Y96" s="107" t="s">
        <v>109</v>
      </c>
      <c r="Z96" s="107" t="s">
        <v>109</v>
      </c>
      <c r="AA96" s="107" t="s">
        <v>109</v>
      </c>
      <c r="AB96" s="107" t="s">
        <v>109</v>
      </c>
      <c r="AC96" s="107" t="s">
        <v>109</v>
      </c>
      <c r="AD96" s="107" t="s">
        <v>109</v>
      </c>
      <c r="AE96" s="107" t="s">
        <v>109</v>
      </c>
      <c r="AF96" s="107" t="s">
        <v>109</v>
      </c>
      <c r="AG96" s="107" t="s">
        <v>109</v>
      </c>
      <c r="AH96" s="56">
        <f t="shared" si="15"/>
        <v>0</v>
      </c>
      <c r="AI96" s="59"/>
      <c r="AJ96" s="59"/>
      <c r="AK96" s="59"/>
      <c r="AL96" s="59"/>
    </row>
    <row r="97" spans="1:38" ht="15">
      <c r="A97" s="1607" t="s">
        <v>81</v>
      </c>
      <c r="B97" s="19">
        <f t="shared" si="14"/>
        <v>0</v>
      </c>
      <c r="C97" s="107" t="s">
        <v>109</v>
      </c>
      <c r="D97" s="107" t="s">
        <v>109</v>
      </c>
      <c r="E97" s="107" t="s">
        <v>109</v>
      </c>
      <c r="F97" s="107" t="s">
        <v>109</v>
      </c>
      <c r="G97" s="107" t="s">
        <v>109</v>
      </c>
      <c r="H97" s="107" t="s">
        <v>109</v>
      </c>
      <c r="I97" s="107" t="s">
        <v>109</v>
      </c>
      <c r="J97" s="107" t="s">
        <v>109</v>
      </c>
      <c r="K97" s="107" t="s">
        <v>109</v>
      </c>
      <c r="L97" s="107" t="s">
        <v>109</v>
      </c>
      <c r="M97" s="107" t="s">
        <v>109</v>
      </c>
      <c r="N97" s="107" t="s">
        <v>109</v>
      </c>
      <c r="O97" s="107" t="s">
        <v>109</v>
      </c>
      <c r="P97" s="107" t="s">
        <v>109</v>
      </c>
      <c r="Q97" s="107" t="s">
        <v>109</v>
      </c>
      <c r="R97" s="107" t="s">
        <v>109</v>
      </c>
      <c r="S97" s="107" t="s">
        <v>109</v>
      </c>
      <c r="T97" s="107" t="s">
        <v>109</v>
      </c>
      <c r="U97" s="107" t="s">
        <v>109</v>
      </c>
      <c r="V97" s="107" t="s">
        <v>109</v>
      </c>
      <c r="W97" s="107" t="s">
        <v>109</v>
      </c>
      <c r="X97" s="107" t="s">
        <v>109</v>
      </c>
      <c r="Y97" s="107" t="s">
        <v>109</v>
      </c>
      <c r="Z97" s="107" t="s">
        <v>109</v>
      </c>
      <c r="AA97" s="107" t="s">
        <v>109</v>
      </c>
      <c r="AB97" s="107" t="s">
        <v>109</v>
      </c>
      <c r="AC97" s="107" t="s">
        <v>109</v>
      </c>
      <c r="AD97" s="107" t="s">
        <v>109</v>
      </c>
      <c r="AE97" s="107" t="s">
        <v>109</v>
      </c>
      <c r="AF97" s="107" t="s">
        <v>109</v>
      </c>
      <c r="AG97" s="107" t="s">
        <v>109</v>
      </c>
      <c r="AH97" s="56">
        <f t="shared" si="15"/>
        <v>0</v>
      </c>
      <c r="AI97" s="59"/>
      <c r="AJ97" s="59"/>
      <c r="AK97" s="59"/>
      <c r="AL97" s="59"/>
    </row>
    <row r="98" spans="1:38" ht="15">
      <c r="A98" s="1607" t="s">
        <v>82</v>
      </c>
      <c r="B98" s="19">
        <f t="shared" si="14"/>
        <v>0</v>
      </c>
      <c r="C98" s="107" t="s">
        <v>109</v>
      </c>
      <c r="D98" s="107" t="s">
        <v>109</v>
      </c>
      <c r="E98" s="107" t="s">
        <v>109</v>
      </c>
      <c r="F98" s="107" t="s">
        <v>109</v>
      </c>
      <c r="G98" s="107" t="s">
        <v>109</v>
      </c>
      <c r="H98" s="107" t="s">
        <v>109</v>
      </c>
      <c r="I98" s="107" t="s">
        <v>109</v>
      </c>
      <c r="J98" s="107" t="s">
        <v>109</v>
      </c>
      <c r="K98" s="107" t="s">
        <v>109</v>
      </c>
      <c r="L98" s="107" t="s">
        <v>109</v>
      </c>
      <c r="M98" s="107" t="s">
        <v>109</v>
      </c>
      <c r="N98" s="107" t="s">
        <v>109</v>
      </c>
      <c r="O98" s="107" t="s">
        <v>109</v>
      </c>
      <c r="P98" s="107" t="s">
        <v>109</v>
      </c>
      <c r="Q98" s="107" t="s">
        <v>109</v>
      </c>
      <c r="R98" s="107" t="s">
        <v>109</v>
      </c>
      <c r="S98" s="107" t="s">
        <v>109</v>
      </c>
      <c r="T98" s="107" t="s">
        <v>109</v>
      </c>
      <c r="U98" s="107" t="s">
        <v>109</v>
      </c>
      <c r="V98" s="107" t="s">
        <v>109</v>
      </c>
      <c r="W98" s="107" t="s">
        <v>109</v>
      </c>
      <c r="X98" s="1091"/>
      <c r="Y98" s="1091"/>
      <c r="Z98" s="1091"/>
      <c r="AA98" s="1091"/>
      <c r="AB98" s="1091"/>
      <c r="AC98" s="1091"/>
      <c r="AD98" s="1091"/>
      <c r="AE98" s="1268"/>
      <c r="AF98" s="1091"/>
      <c r="AG98" s="1268"/>
      <c r="AH98" s="56">
        <f t="shared" si="15"/>
        <v>0</v>
      </c>
      <c r="AI98" s="59"/>
      <c r="AJ98" s="59"/>
      <c r="AK98" s="59"/>
      <c r="AL98" s="59"/>
    </row>
    <row r="99" spans="1:38" ht="15">
      <c r="A99" s="1522" t="s">
        <v>83</v>
      </c>
      <c r="B99" s="19">
        <f t="shared" si="14"/>
        <v>0</v>
      </c>
      <c r="C99" s="35"/>
      <c r="D99" s="15"/>
      <c r="E99" s="15"/>
      <c r="F99" s="15"/>
      <c r="G99" s="11"/>
      <c r="H99" s="15"/>
      <c r="I99" s="15"/>
      <c r="J99" s="15"/>
      <c r="K99" s="15"/>
      <c r="L99" s="15"/>
      <c r="M99" s="15"/>
      <c r="N99" s="15"/>
      <c r="O99" s="15"/>
      <c r="P99" s="15"/>
      <c r="Q99" s="15"/>
      <c r="R99" s="15"/>
      <c r="S99" s="15"/>
      <c r="T99" s="15"/>
      <c r="U99" s="15"/>
      <c r="V99" s="15"/>
      <c r="W99" s="15"/>
      <c r="X99" s="15"/>
      <c r="Y99" s="11"/>
      <c r="Z99" s="15"/>
      <c r="AA99" s="15"/>
      <c r="AB99" s="15"/>
      <c r="AC99" s="15"/>
      <c r="AD99" s="15"/>
      <c r="AE99" s="39"/>
      <c r="AF99" s="15"/>
      <c r="AG99" s="39"/>
      <c r="AH99" s="56">
        <f>SUM(C99:AG99)</f>
        <v>0</v>
      </c>
      <c r="AI99" s="59"/>
      <c r="AJ99" s="59"/>
      <c r="AK99" s="59"/>
      <c r="AL99" s="59"/>
    </row>
    <row r="100" spans="1:38" ht="15">
      <c r="A100" s="1522" t="s">
        <v>84</v>
      </c>
      <c r="B100" s="19">
        <f t="shared" si="14"/>
        <v>0</v>
      </c>
      <c r="C100" s="35"/>
      <c r="D100" s="15"/>
      <c r="E100" s="15"/>
      <c r="F100" s="15"/>
      <c r="G100" s="15"/>
      <c r="H100" s="15"/>
      <c r="I100" s="15"/>
      <c r="J100" s="15"/>
      <c r="K100" s="15"/>
      <c r="L100" s="1084" t="s">
        <v>109</v>
      </c>
      <c r="M100" s="1084" t="s">
        <v>109</v>
      </c>
      <c r="N100" s="1084" t="s">
        <v>109</v>
      </c>
      <c r="O100" s="1084" t="s">
        <v>109</v>
      </c>
      <c r="P100" s="1084" t="s">
        <v>109</v>
      </c>
      <c r="Q100" s="1084" t="s">
        <v>109</v>
      </c>
      <c r="R100" s="1084" t="s">
        <v>109</v>
      </c>
      <c r="S100" s="1084" t="s">
        <v>109</v>
      </c>
      <c r="T100" s="1084" t="s">
        <v>109</v>
      </c>
      <c r="U100" s="1084" t="s">
        <v>109</v>
      </c>
      <c r="V100" s="1084" t="s">
        <v>109</v>
      </c>
      <c r="W100" s="1084" t="s">
        <v>109</v>
      </c>
      <c r="X100" s="1084" t="s">
        <v>109</v>
      </c>
      <c r="Y100" s="1084" t="s">
        <v>109</v>
      </c>
      <c r="Z100" s="1084" t="s">
        <v>109</v>
      </c>
      <c r="AA100" s="1084" t="s">
        <v>109</v>
      </c>
      <c r="AB100" s="1084" t="s">
        <v>109</v>
      </c>
      <c r="AC100" s="1084" t="s">
        <v>109</v>
      </c>
      <c r="AD100" s="1084" t="s">
        <v>109</v>
      </c>
      <c r="AE100" s="1084" t="s">
        <v>109</v>
      </c>
      <c r="AF100" s="1084" t="s">
        <v>109</v>
      </c>
      <c r="AG100" s="1084" t="s">
        <v>109</v>
      </c>
      <c r="AH100" s="56">
        <f t="shared" si="15"/>
        <v>0</v>
      </c>
      <c r="AI100" s="59"/>
      <c r="AJ100" s="59"/>
      <c r="AK100" s="59"/>
      <c r="AL100" s="59"/>
    </row>
    <row r="101" spans="1:38" ht="15">
      <c r="A101" s="71" t="s">
        <v>72</v>
      </c>
      <c r="B101" s="73">
        <f t="shared" ref="B101:AH101" si="16">SUM(B89:B100)</f>
        <v>0</v>
      </c>
      <c r="C101" s="56">
        <f t="shared" si="16"/>
        <v>0</v>
      </c>
      <c r="D101" s="56">
        <f t="shared" si="16"/>
        <v>0</v>
      </c>
      <c r="E101" s="56">
        <f t="shared" si="16"/>
        <v>0</v>
      </c>
      <c r="F101" s="56">
        <f t="shared" si="16"/>
        <v>0</v>
      </c>
      <c r="G101" s="56">
        <f t="shared" si="16"/>
        <v>0</v>
      </c>
      <c r="H101" s="56">
        <f t="shared" si="16"/>
        <v>0</v>
      </c>
      <c r="I101" s="56">
        <f t="shared" si="16"/>
        <v>0</v>
      </c>
      <c r="J101" s="56">
        <f t="shared" si="16"/>
        <v>0</v>
      </c>
      <c r="K101" s="56">
        <f t="shared" si="16"/>
        <v>0</v>
      </c>
      <c r="L101" s="56">
        <f t="shared" si="16"/>
        <v>0</v>
      </c>
      <c r="M101" s="56">
        <f t="shared" si="16"/>
        <v>0</v>
      </c>
      <c r="N101" s="56">
        <f t="shared" si="16"/>
        <v>0</v>
      </c>
      <c r="O101" s="56">
        <f t="shared" si="16"/>
        <v>0</v>
      </c>
      <c r="P101" s="56">
        <f t="shared" ref="P101:AG101" si="17">SUM(P89:P100)</f>
        <v>0</v>
      </c>
      <c r="Q101" s="56">
        <f t="shared" si="17"/>
        <v>0</v>
      </c>
      <c r="R101" s="56">
        <f t="shared" si="17"/>
        <v>0</v>
      </c>
      <c r="S101" s="56">
        <f t="shared" si="17"/>
        <v>0</v>
      </c>
      <c r="T101" s="56">
        <f t="shared" si="17"/>
        <v>0</v>
      </c>
      <c r="U101" s="56">
        <f t="shared" si="17"/>
        <v>0</v>
      </c>
      <c r="V101" s="56">
        <f t="shared" si="17"/>
        <v>0</v>
      </c>
      <c r="W101" s="56">
        <f t="shared" si="17"/>
        <v>0</v>
      </c>
      <c r="X101" s="56">
        <f t="shared" si="17"/>
        <v>0</v>
      </c>
      <c r="Y101" s="56">
        <f t="shared" si="17"/>
        <v>0</v>
      </c>
      <c r="Z101" s="56">
        <f t="shared" si="17"/>
        <v>0</v>
      </c>
      <c r="AA101" s="56">
        <f t="shared" si="17"/>
        <v>0</v>
      </c>
      <c r="AB101" s="56">
        <f t="shared" si="17"/>
        <v>0</v>
      </c>
      <c r="AC101" s="56">
        <f t="shared" si="17"/>
        <v>0</v>
      </c>
      <c r="AD101" s="56">
        <f t="shared" si="17"/>
        <v>0</v>
      </c>
      <c r="AE101" s="56">
        <f t="shared" si="17"/>
        <v>0</v>
      </c>
      <c r="AF101" s="56">
        <f t="shared" si="17"/>
        <v>0</v>
      </c>
      <c r="AG101" s="56">
        <f t="shared" si="17"/>
        <v>0</v>
      </c>
      <c r="AH101" s="56">
        <f t="shared" si="16"/>
        <v>0</v>
      </c>
      <c r="AI101" s="59"/>
      <c r="AJ101" s="59"/>
      <c r="AK101" s="59"/>
      <c r="AL101" s="59"/>
    </row>
    <row r="102" spans="1:38" ht="15">
      <c r="A102" s="114"/>
      <c r="B102" s="18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row>
    <row r="103" spans="1:38" ht="15" hidden="1">
      <c r="A103" s="3811" t="s">
        <v>549</v>
      </c>
      <c r="B103" s="3812"/>
      <c r="C103" s="3813"/>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55"/>
      <c r="AI103" s="55"/>
      <c r="AJ103" s="55"/>
      <c r="AK103" s="55"/>
      <c r="AL103" s="55"/>
    </row>
    <row r="104" spans="1:38" ht="15" hidden="1">
      <c r="A104" s="5" t="s">
        <v>70</v>
      </c>
      <c r="B104" s="19" t="s">
        <v>71</v>
      </c>
      <c r="C104" s="57">
        <v>1</v>
      </c>
      <c r="D104" s="23">
        <v>2</v>
      </c>
      <c r="E104" s="23">
        <v>3</v>
      </c>
      <c r="F104" s="23">
        <v>4</v>
      </c>
      <c r="G104" s="23">
        <v>5</v>
      </c>
      <c r="H104" s="23">
        <v>6</v>
      </c>
      <c r="I104" s="23">
        <v>7</v>
      </c>
      <c r="J104" s="23">
        <v>8</v>
      </c>
      <c r="K104" s="23">
        <v>9</v>
      </c>
      <c r="L104" s="23">
        <v>10</v>
      </c>
      <c r="M104" s="23">
        <v>11</v>
      </c>
      <c r="N104" s="23">
        <v>12</v>
      </c>
      <c r="O104" s="23">
        <v>13</v>
      </c>
      <c r="P104" s="23">
        <v>14</v>
      </c>
      <c r="Q104" s="23">
        <v>15</v>
      </c>
      <c r="R104" s="23">
        <v>16</v>
      </c>
      <c r="S104" s="23">
        <v>17</v>
      </c>
      <c r="T104" s="23">
        <v>18</v>
      </c>
      <c r="U104" s="23">
        <v>19</v>
      </c>
      <c r="V104" s="23">
        <v>20</v>
      </c>
      <c r="W104" s="23">
        <v>21</v>
      </c>
      <c r="X104" s="23">
        <v>22</v>
      </c>
      <c r="Y104" s="23">
        <v>23</v>
      </c>
      <c r="Z104" s="23">
        <v>24</v>
      </c>
      <c r="AA104" s="23">
        <v>25</v>
      </c>
      <c r="AB104" s="23">
        <v>26</v>
      </c>
      <c r="AC104" s="23">
        <v>27</v>
      </c>
      <c r="AD104" s="23">
        <v>28</v>
      </c>
      <c r="AE104" s="23">
        <v>29</v>
      </c>
      <c r="AF104" s="23">
        <v>30</v>
      </c>
      <c r="AG104" s="23">
        <v>31</v>
      </c>
      <c r="AH104" s="56" t="s">
        <v>72</v>
      </c>
      <c r="AI104" s="59"/>
      <c r="AJ104" s="59"/>
      <c r="AK104" s="59"/>
      <c r="AL104" s="59"/>
    </row>
    <row r="105" spans="1:38" ht="15" hidden="1">
      <c r="A105" s="1039" t="s">
        <v>73</v>
      </c>
      <c r="B105" s="19">
        <f t="shared" ref="B105:B116" si="18">+AH105</f>
        <v>0</v>
      </c>
      <c r="C105" s="107" t="s">
        <v>109</v>
      </c>
      <c r="D105" s="107" t="s">
        <v>109</v>
      </c>
      <c r="E105" s="107" t="s">
        <v>109</v>
      </c>
      <c r="F105" s="107" t="s">
        <v>109</v>
      </c>
      <c r="G105" s="107" t="s">
        <v>109</v>
      </c>
      <c r="H105" s="107" t="s">
        <v>109</v>
      </c>
      <c r="I105" s="107" t="s">
        <v>109</v>
      </c>
      <c r="J105" s="107" t="s">
        <v>109</v>
      </c>
      <c r="K105" s="107" t="s">
        <v>109</v>
      </c>
      <c r="L105" s="107" t="s">
        <v>109</v>
      </c>
      <c r="M105" s="107" t="s">
        <v>109</v>
      </c>
      <c r="N105" s="107" t="s">
        <v>109</v>
      </c>
      <c r="O105" s="107" t="s">
        <v>109</v>
      </c>
      <c r="P105" s="107" t="s">
        <v>109</v>
      </c>
      <c r="Q105" s="107" t="s">
        <v>109</v>
      </c>
      <c r="R105" s="107" t="s">
        <v>109</v>
      </c>
      <c r="S105" s="107" t="s">
        <v>109</v>
      </c>
      <c r="T105" s="107" t="s">
        <v>109</v>
      </c>
      <c r="U105" s="107" t="s">
        <v>109</v>
      </c>
      <c r="V105" s="107" t="s">
        <v>109</v>
      </c>
      <c r="W105" s="107" t="s">
        <v>109</v>
      </c>
      <c r="X105" s="107" t="s">
        <v>109</v>
      </c>
      <c r="Y105" s="107" t="s">
        <v>109</v>
      </c>
      <c r="Z105" s="107" t="s">
        <v>109</v>
      </c>
      <c r="AA105" s="107" t="s">
        <v>109</v>
      </c>
      <c r="AB105" s="107" t="s">
        <v>109</v>
      </c>
      <c r="AC105" s="107" t="s">
        <v>109</v>
      </c>
      <c r="AD105" s="107" t="s">
        <v>109</v>
      </c>
      <c r="AE105" s="107" t="s">
        <v>109</v>
      </c>
      <c r="AF105" s="107" t="s">
        <v>109</v>
      </c>
      <c r="AG105" s="107" t="s">
        <v>109</v>
      </c>
      <c r="AH105" s="56">
        <f>SUM(C105:AG105)</f>
        <v>0</v>
      </c>
      <c r="AI105" s="59"/>
      <c r="AJ105" s="59"/>
      <c r="AK105" s="59"/>
      <c r="AL105" s="59"/>
    </row>
    <row r="106" spans="1:38" ht="15" hidden="1">
      <c r="A106" s="1039" t="s">
        <v>74</v>
      </c>
      <c r="B106" s="19">
        <f t="shared" si="18"/>
        <v>0</v>
      </c>
      <c r="C106" s="107" t="s">
        <v>109</v>
      </c>
      <c r="D106" s="107" t="s">
        <v>109</v>
      </c>
      <c r="E106" s="107" t="s">
        <v>109</v>
      </c>
      <c r="F106" s="107" t="s">
        <v>109</v>
      </c>
      <c r="G106" s="107" t="s">
        <v>109</v>
      </c>
      <c r="H106" s="107" t="s">
        <v>109</v>
      </c>
      <c r="I106" s="107" t="s">
        <v>109</v>
      </c>
      <c r="J106" s="107" t="s">
        <v>109</v>
      </c>
      <c r="K106" s="107" t="s">
        <v>109</v>
      </c>
      <c r="L106" s="107" t="s">
        <v>109</v>
      </c>
      <c r="M106" s="107" t="s">
        <v>109</v>
      </c>
      <c r="N106" s="107" t="s">
        <v>109</v>
      </c>
      <c r="O106" s="107" t="s">
        <v>109</v>
      </c>
      <c r="P106" s="107" t="s">
        <v>109</v>
      </c>
      <c r="Q106" s="107" t="s">
        <v>109</v>
      </c>
      <c r="R106" s="107" t="s">
        <v>109</v>
      </c>
      <c r="S106" s="107" t="s">
        <v>109</v>
      </c>
      <c r="T106" s="107" t="s">
        <v>109</v>
      </c>
      <c r="U106" s="107" t="s">
        <v>109</v>
      </c>
      <c r="V106" s="107" t="s">
        <v>109</v>
      </c>
      <c r="W106" s="107" t="s">
        <v>109</v>
      </c>
      <c r="X106" s="107" t="s">
        <v>109</v>
      </c>
      <c r="Y106" s="107" t="s">
        <v>109</v>
      </c>
      <c r="Z106" s="107" t="s">
        <v>109</v>
      </c>
      <c r="AA106" s="107" t="s">
        <v>109</v>
      </c>
      <c r="AB106" s="107" t="s">
        <v>109</v>
      </c>
      <c r="AC106" s="107" t="s">
        <v>109</v>
      </c>
      <c r="AD106" s="107" t="s">
        <v>109</v>
      </c>
      <c r="AE106" s="107" t="s">
        <v>109</v>
      </c>
      <c r="AF106" s="107" t="s">
        <v>109</v>
      </c>
      <c r="AG106" s="107" t="s">
        <v>109</v>
      </c>
      <c r="AH106" s="56">
        <f t="shared" ref="AH106:AH114" si="19">SUM(C106:AG106)</f>
        <v>0</v>
      </c>
      <c r="AI106" s="59"/>
      <c r="AJ106" s="59"/>
      <c r="AK106" s="59"/>
      <c r="AL106" s="59"/>
    </row>
    <row r="107" spans="1:38" ht="15" hidden="1">
      <c r="A107" s="1039" t="s">
        <v>75</v>
      </c>
      <c r="B107" s="19">
        <f t="shared" si="18"/>
        <v>0</v>
      </c>
      <c r="C107" s="107" t="s">
        <v>109</v>
      </c>
      <c r="D107" s="107" t="s">
        <v>109</v>
      </c>
      <c r="E107" s="107" t="s">
        <v>109</v>
      </c>
      <c r="F107" s="107" t="s">
        <v>109</v>
      </c>
      <c r="G107" s="107" t="s">
        <v>109</v>
      </c>
      <c r="H107" s="15"/>
      <c r="I107" s="15"/>
      <c r="J107" s="15"/>
      <c r="K107" s="15"/>
      <c r="L107" s="15"/>
      <c r="M107" s="15"/>
      <c r="N107" s="15"/>
      <c r="O107" s="15"/>
      <c r="P107" s="15"/>
      <c r="Q107" s="15"/>
      <c r="R107" s="15"/>
      <c r="S107" s="15"/>
      <c r="T107" s="15"/>
      <c r="U107" s="15"/>
      <c r="V107" s="15"/>
      <c r="W107" s="15"/>
      <c r="X107" s="15"/>
      <c r="Y107" s="15"/>
      <c r="Z107" s="15"/>
      <c r="AA107" s="15"/>
      <c r="AB107" s="15"/>
      <c r="AC107" s="107" t="s">
        <v>109</v>
      </c>
      <c r="AD107" s="107" t="s">
        <v>109</v>
      </c>
      <c r="AE107" s="107" t="s">
        <v>109</v>
      </c>
      <c r="AF107" s="107" t="s">
        <v>109</v>
      </c>
      <c r="AG107" s="107" t="s">
        <v>109</v>
      </c>
      <c r="AH107" s="56">
        <f t="shared" si="19"/>
        <v>0</v>
      </c>
      <c r="AI107" s="59"/>
      <c r="AJ107" s="59"/>
      <c r="AK107" s="59"/>
      <c r="AL107" s="59"/>
    </row>
    <row r="108" spans="1:38" ht="15" hidden="1">
      <c r="A108" s="1039" t="s">
        <v>76</v>
      </c>
      <c r="B108" s="19">
        <f t="shared" si="18"/>
        <v>0</v>
      </c>
      <c r="C108" s="107" t="s">
        <v>109</v>
      </c>
      <c r="D108" s="107" t="s">
        <v>109</v>
      </c>
      <c r="E108" s="107" t="s">
        <v>109</v>
      </c>
      <c r="F108" s="107" t="s">
        <v>109</v>
      </c>
      <c r="G108" s="107" t="s">
        <v>109</v>
      </c>
      <c r="H108" s="107" t="s">
        <v>109</v>
      </c>
      <c r="I108" s="107" t="s">
        <v>109</v>
      </c>
      <c r="J108" s="107" t="s">
        <v>109</v>
      </c>
      <c r="K108" s="107" t="s">
        <v>109</v>
      </c>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56">
        <f t="shared" si="19"/>
        <v>0</v>
      </c>
      <c r="AI108" s="59"/>
      <c r="AJ108" s="59"/>
      <c r="AK108" s="59"/>
      <c r="AL108" s="59"/>
    </row>
    <row r="109" spans="1:38" ht="15" hidden="1">
      <c r="A109" s="1523" t="s">
        <v>77</v>
      </c>
      <c r="B109" s="19">
        <f t="shared" si="18"/>
        <v>0</v>
      </c>
      <c r="C109" s="3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56">
        <f t="shared" si="19"/>
        <v>0</v>
      </c>
      <c r="AI109" s="59"/>
      <c r="AJ109" s="59"/>
      <c r="AK109" s="59"/>
      <c r="AL109" s="59"/>
    </row>
    <row r="110" spans="1:38" ht="15" hidden="1">
      <c r="A110" s="1523" t="s">
        <v>78</v>
      </c>
      <c r="B110" s="19">
        <f t="shared" si="18"/>
        <v>0</v>
      </c>
      <c r="C110" s="35"/>
      <c r="D110" s="15"/>
      <c r="E110" s="15"/>
      <c r="F110" s="15"/>
      <c r="G110" s="15"/>
      <c r="H110" s="65" t="s">
        <v>110</v>
      </c>
      <c r="I110" s="65" t="s">
        <v>110</v>
      </c>
      <c r="J110" s="65" t="s">
        <v>110</v>
      </c>
      <c r="K110" s="65" t="s">
        <v>110</v>
      </c>
      <c r="L110" s="65" t="s">
        <v>110</v>
      </c>
      <c r="M110" s="65" t="s">
        <v>110</v>
      </c>
      <c r="N110" s="65" t="s">
        <v>110</v>
      </c>
      <c r="O110" s="65" t="s">
        <v>110</v>
      </c>
      <c r="P110" s="65" t="s">
        <v>110</v>
      </c>
      <c r="Q110" s="65" t="s">
        <v>110</v>
      </c>
      <c r="R110" s="65" t="s">
        <v>110</v>
      </c>
      <c r="S110" s="65" t="s">
        <v>110</v>
      </c>
      <c r="T110" s="65" t="s">
        <v>110</v>
      </c>
      <c r="U110" s="65" t="s">
        <v>110</v>
      </c>
      <c r="V110" s="65" t="s">
        <v>110</v>
      </c>
      <c r="W110" s="65" t="s">
        <v>110</v>
      </c>
      <c r="X110" s="65" t="s">
        <v>110</v>
      </c>
      <c r="Y110" s="15"/>
      <c r="Z110" s="15"/>
      <c r="AA110" s="15"/>
      <c r="AB110" s="15"/>
      <c r="AC110" s="15"/>
      <c r="AD110" s="15"/>
      <c r="AE110" s="15"/>
      <c r="AF110" s="15"/>
      <c r="AG110" s="15"/>
      <c r="AH110" s="56">
        <f t="shared" si="19"/>
        <v>0</v>
      </c>
      <c r="AI110" s="59"/>
      <c r="AJ110" s="59"/>
      <c r="AK110" s="59"/>
      <c r="AL110" s="59"/>
    </row>
    <row r="111" spans="1:38" ht="15" hidden="1">
      <c r="A111" s="1523" t="s">
        <v>79</v>
      </c>
      <c r="B111" s="19">
        <f t="shared" si="18"/>
        <v>0</v>
      </c>
      <c r="C111" s="35"/>
      <c r="D111" s="39"/>
      <c r="E111" s="39"/>
      <c r="F111" s="39"/>
      <c r="G111" s="15"/>
      <c r="H111" s="15"/>
      <c r="I111" s="15"/>
      <c r="J111" s="43"/>
      <c r="K111" s="43"/>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56">
        <f t="shared" si="19"/>
        <v>0</v>
      </c>
      <c r="AI111" s="59"/>
      <c r="AJ111" s="59"/>
      <c r="AK111" s="59"/>
      <c r="AL111" s="59"/>
    </row>
    <row r="112" spans="1:38" ht="15" hidden="1">
      <c r="A112" s="1523" t="s">
        <v>80</v>
      </c>
      <c r="B112" s="19">
        <f t="shared" si="18"/>
        <v>0</v>
      </c>
      <c r="C112" s="35"/>
      <c r="D112" s="15"/>
      <c r="E112" s="15"/>
      <c r="F112" s="15"/>
      <c r="G112" s="15"/>
      <c r="H112" s="15"/>
      <c r="I112" s="15"/>
      <c r="J112" s="2399" t="s">
        <v>110</v>
      </c>
      <c r="K112" s="2399" t="s">
        <v>110</v>
      </c>
      <c r="L112" s="2399" t="s">
        <v>110</v>
      </c>
      <c r="M112" s="2399" t="s">
        <v>110</v>
      </c>
      <c r="N112" s="2399" t="s">
        <v>110</v>
      </c>
      <c r="O112" s="2399" t="s">
        <v>110</v>
      </c>
      <c r="P112" s="2399" t="s">
        <v>110</v>
      </c>
      <c r="Q112" s="2399" t="s">
        <v>110</v>
      </c>
      <c r="R112" s="2399" t="s">
        <v>110</v>
      </c>
      <c r="S112" s="2399" t="s">
        <v>110</v>
      </c>
      <c r="T112" s="2399" t="s">
        <v>110</v>
      </c>
      <c r="U112" s="2399" t="s">
        <v>110</v>
      </c>
      <c r="V112" s="2399" t="s">
        <v>110</v>
      </c>
      <c r="W112" s="2399" t="s">
        <v>110</v>
      </c>
      <c r="X112" s="2399" t="s">
        <v>110</v>
      </c>
      <c r="Y112" s="2399" t="s">
        <v>110</v>
      </c>
      <c r="Z112" s="2399" t="s">
        <v>110</v>
      </c>
      <c r="AA112" s="2399" t="s">
        <v>110</v>
      </c>
      <c r="AB112" s="2399" t="s">
        <v>110</v>
      </c>
      <c r="AC112" s="2399" t="s">
        <v>110</v>
      </c>
      <c r="AD112" s="2399" t="s">
        <v>110</v>
      </c>
      <c r="AE112" s="2399" t="s">
        <v>110</v>
      </c>
      <c r="AF112" s="2399" t="s">
        <v>110</v>
      </c>
      <c r="AG112" s="2399" t="s">
        <v>110</v>
      </c>
      <c r="AH112" s="56">
        <f t="shared" si="19"/>
        <v>0</v>
      </c>
      <c r="AI112" s="59"/>
      <c r="AJ112" s="59"/>
      <c r="AK112" s="59"/>
      <c r="AL112" s="59"/>
    </row>
    <row r="113" spans="1:38" ht="15" hidden="1">
      <c r="A113" s="1522" t="s">
        <v>81</v>
      </c>
      <c r="B113" s="19">
        <f t="shared" si="18"/>
        <v>0</v>
      </c>
      <c r="C113" s="2399" t="s">
        <v>110</v>
      </c>
      <c r="D113" s="2399" t="s">
        <v>110</v>
      </c>
      <c r="E113" s="2399" t="s">
        <v>110</v>
      </c>
      <c r="F113" s="2399" t="s">
        <v>110</v>
      </c>
      <c r="G113" s="2399" t="s">
        <v>110</v>
      </c>
      <c r="H113" s="2399" t="s">
        <v>110</v>
      </c>
      <c r="I113" s="2399" t="s">
        <v>110</v>
      </c>
      <c r="J113" s="2399" t="s">
        <v>110</v>
      </c>
      <c r="K113" s="2399" t="s">
        <v>110</v>
      </c>
      <c r="L113" s="2399" t="s">
        <v>110</v>
      </c>
      <c r="M113" s="2399" t="s">
        <v>110</v>
      </c>
      <c r="N113" s="2399" t="s">
        <v>110</v>
      </c>
      <c r="O113" s="2399" t="s">
        <v>110</v>
      </c>
      <c r="P113" s="2399" t="s">
        <v>110</v>
      </c>
      <c r="Q113" s="2399" t="s">
        <v>110</v>
      </c>
      <c r="R113" s="2399" t="s">
        <v>110</v>
      </c>
      <c r="S113" s="2399" t="s">
        <v>110</v>
      </c>
      <c r="T113" s="2399" t="s">
        <v>110</v>
      </c>
      <c r="U113" s="2399" t="s">
        <v>110</v>
      </c>
      <c r="V113" s="2399" t="s">
        <v>110</v>
      </c>
      <c r="W113" s="2399" t="s">
        <v>110</v>
      </c>
      <c r="X113" s="2399" t="s">
        <v>110</v>
      </c>
      <c r="Y113" s="2399" t="s">
        <v>110</v>
      </c>
      <c r="Z113" s="2399" t="s">
        <v>110</v>
      </c>
      <c r="AA113" s="2399" t="s">
        <v>110</v>
      </c>
      <c r="AB113" s="2399" t="s">
        <v>110</v>
      </c>
      <c r="AC113" s="2399" t="s">
        <v>110</v>
      </c>
      <c r="AD113" s="2399" t="s">
        <v>110</v>
      </c>
      <c r="AE113" s="2399" t="s">
        <v>110</v>
      </c>
      <c r="AF113" s="2399" t="s">
        <v>110</v>
      </c>
      <c r="AG113" s="2399" t="s">
        <v>110</v>
      </c>
      <c r="AH113" s="56">
        <f t="shared" si="19"/>
        <v>0</v>
      </c>
      <c r="AI113" s="59"/>
      <c r="AJ113" s="59"/>
      <c r="AK113" s="59"/>
      <c r="AL113" s="59"/>
    </row>
    <row r="114" spans="1:38" ht="15" hidden="1">
      <c r="A114" s="1522" t="s">
        <v>82</v>
      </c>
      <c r="B114" s="19">
        <f t="shared" si="18"/>
        <v>0</v>
      </c>
      <c r="C114" s="2399" t="s">
        <v>110</v>
      </c>
      <c r="D114" s="2399" t="s">
        <v>110</v>
      </c>
      <c r="E114" s="2399" t="s">
        <v>110</v>
      </c>
      <c r="F114" s="2399" t="s">
        <v>110</v>
      </c>
      <c r="G114" s="2399" t="s">
        <v>110</v>
      </c>
      <c r="H114" s="2399" t="s">
        <v>110</v>
      </c>
      <c r="I114" s="2399" t="s">
        <v>110</v>
      </c>
      <c r="J114" s="2399" t="s">
        <v>110</v>
      </c>
      <c r="K114" s="2399" t="s">
        <v>110</v>
      </c>
      <c r="L114" s="2399" t="s">
        <v>110</v>
      </c>
      <c r="M114" s="2399" t="s">
        <v>110</v>
      </c>
      <c r="N114" s="2399" t="s">
        <v>110</v>
      </c>
      <c r="O114" s="2399" t="s">
        <v>110</v>
      </c>
      <c r="P114" s="2399" t="s">
        <v>110</v>
      </c>
      <c r="Q114" s="2399" t="s">
        <v>110</v>
      </c>
      <c r="R114" s="2399" t="s">
        <v>110</v>
      </c>
      <c r="S114" s="2399" t="s">
        <v>110</v>
      </c>
      <c r="T114" s="2399" t="s">
        <v>110</v>
      </c>
      <c r="U114" s="2399" t="s">
        <v>110</v>
      </c>
      <c r="V114" s="2399" t="s">
        <v>110</v>
      </c>
      <c r="W114" s="2399" t="s">
        <v>110</v>
      </c>
      <c r="X114" s="15"/>
      <c r="Y114" s="15"/>
      <c r="Z114" s="15"/>
      <c r="AA114" s="15"/>
      <c r="AB114" s="15"/>
      <c r="AC114" s="15"/>
      <c r="AD114" s="15"/>
      <c r="AE114" s="39"/>
      <c r="AF114" s="15"/>
      <c r="AG114" s="39"/>
      <c r="AH114" s="56">
        <f t="shared" si="19"/>
        <v>0</v>
      </c>
      <c r="AI114" s="59"/>
      <c r="AJ114" s="59"/>
      <c r="AK114" s="59"/>
      <c r="AL114" s="59"/>
    </row>
    <row r="115" spans="1:38" ht="15" hidden="1">
      <c r="A115" s="1522" t="s">
        <v>83</v>
      </c>
      <c r="B115" s="19">
        <f t="shared" si="18"/>
        <v>0</v>
      </c>
      <c r="C115" s="35"/>
      <c r="D115" s="15"/>
      <c r="E115" s="15"/>
      <c r="F115" s="15"/>
      <c r="G115" s="11"/>
      <c r="H115" s="15"/>
      <c r="I115" s="15"/>
      <c r="J115" s="15"/>
      <c r="K115" s="15"/>
      <c r="L115" s="15"/>
      <c r="M115" s="15"/>
      <c r="N115" s="15"/>
      <c r="O115" s="15"/>
      <c r="P115" s="15"/>
      <c r="Q115" s="15"/>
      <c r="R115" s="15"/>
      <c r="S115" s="15"/>
      <c r="T115" s="15"/>
      <c r="U115" s="15"/>
      <c r="V115" s="15"/>
      <c r="W115" s="15"/>
      <c r="X115" s="15"/>
      <c r="Y115" s="11"/>
      <c r="Z115" s="15"/>
      <c r="AA115" s="15"/>
      <c r="AB115" s="15"/>
      <c r="AC115" s="15"/>
      <c r="AD115" s="15"/>
      <c r="AE115" s="39"/>
      <c r="AF115" s="15"/>
      <c r="AG115" s="39"/>
      <c r="AH115" s="56">
        <f>SUM(C115:AG115)</f>
        <v>0</v>
      </c>
      <c r="AI115" s="59"/>
      <c r="AJ115" s="59"/>
      <c r="AK115" s="59"/>
      <c r="AL115" s="59"/>
    </row>
    <row r="116" spans="1:38" ht="15" hidden="1">
      <c r="A116" s="1522" t="s">
        <v>84</v>
      </c>
      <c r="B116" s="19">
        <f t="shared" si="18"/>
        <v>0</v>
      </c>
      <c r="C116" s="35"/>
      <c r="D116" s="15"/>
      <c r="E116" s="15"/>
      <c r="F116" s="15"/>
      <c r="G116" s="15"/>
      <c r="H116" s="15"/>
      <c r="I116" s="15"/>
      <c r="J116" s="15"/>
      <c r="K116" s="15"/>
      <c r="L116" s="15"/>
      <c r="M116" s="15"/>
      <c r="N116" s="15"/>
      <c r="O116" s="15"/>
      <c r="P116" s="1084" t="s">
        <v>109</v>
      </c>
      <c r="Q116" s="1084" t="s">
        <v>109</v>
      </c>
      <c r="R116" s="1084" t="s">
        <v>109</v>
      </c>
      <c r="S116" s="1084" t="s">
        <v>109</v>
      </c>
      <c r="T116" s="1084" t="s">
        <v>109</v>
      </c>
      <c r="U116" s="1084" t="s">
        <v>109</v>
      </c>
      <c r="V116" s="1084" t="s">
        <v>109</v>
      </c>
      <c r="W116" s="1084" t="s">
        <v>109</v>
      </c>
      <c r="X116" s="1084" t="s">
        <v>109</v>
      </c>
      <c r="Y116" s="1084" t="s">
        <v>109</v>
      </c>
      <c r="Z116" s="1084" t="s">
        <v>109</v>
      </c>
      <c r="AA116" s="1084" t="s">
        <v>109</v>
      </c>
      <c r="AB116" s="1084" t="s">
        <v>109</v>
      </c>
      <c r="AC116" s="1084" t="s">
        <v>109</v>
      </c>
      <c r="AD116" s="1084" t="s">
        <v>109</v>
      </c>
      <c r="AE116" s="1084" t="s">
        <v>109</v>
      </c>
      <c r="AF116" s="1084" t="s">
        <v>109</v>
      </c>
      <c r="AG116" s="1084" t="s">
        <v>109</v>
      </c>
      <c r="AH116" s="56">
        <f t="shared" ref="AH116" si="20">SUM(C116:AG116)</f>
        <v>0</v>
      </c>
      <c r="AI116" s="59"/>
      <c r="AJ116" s="59"/>
      <c r="AK116" s="59"/>
      <c r="AL116" s="59"/>
    </row>
    <row r="117" spans="1:38" ht="15" hidden="1">
      <c r="A117" s="71" t="s">
        <v>72</v>
      </c>
      <c r="B117" s="73">
        <f t="shared" ref="B117:AH117" si="21">SUM(B105:B116)</f>
        <v>0</v>
      </c>
      <c r="C117" s="56">
        <f t="shared" si="21"/>
        <v>0</v>
      </c>
      <c r="D117" s="56">
        <f t="shared" si="21"/>
        <v>0</v>
      </c>
      <c r="E117" s="56">
        <f t="shared" si="21"/>
        <v>0</v>
      </c>
      <c r="F117" s="56">
        <f t="shared" si="21"/>
        <v>0</v>
      </c>
      <c r="G117" s="56">
        <f t="shared" si="21"/>
        <v>0</v>
      </c>
      <c r="H117" s="56">
        <f t="shared" si="21"/>
        <v>0</v>
      </c>
      <c r="I117" s="56">
        <f t="shared" si="21"/>
        <v>0</v>
      </c>
      <c r="J117" s="56">
        <f t="shared" si="21"/>
        <v>0</v>
      </c>
      <c r="K117" s="56">
        <f t="shared" si="21"/>
        <v>0</v>
      </c>
      <c r="L117" s="56">
        <f t="shared" si="21"/>
        <v>0</v>
      </c>
      <c r="M117" s="56">
        <f t="shared" si="21"/>
        <v>0</v>
      </c>
      <c r="N117" s="56">
        <f t="shared" si="21"/>
        <v>0</v>
      </c>
      <c r="O117" s="56">
        <f t="shared" si="21"/>
        <v>0</v>
      </c>
      <c r="P117" s="56">
        <f t="shared" si="21"/>
        <v>0</v>
      </c>
      <c r="Q117" s="56">
        <f t="shared" si="21"/>
        <v>0</v>
      </c>
      <c r="R117" s="56">
        <f t="shared" si="21"/>
        <v>0</v>
      </c>
      <c r="S117" s="56">
        <f t="shared" si="21"/>
        <v>0</v>
      </c>
      <c r="T117" s="56">
        <f t="shared" si="21"/>
        <v>0</v>
      </c>
      <c r="U117" s="56">
        <f t="shared" si="21"/>
        <v>0</v>
      </c>
      <c r="V117" s="56">
        <f t="shared" si="21"/>
        <v>0</v>
      </c>
      <c r="W117" s="56">
        <f t="shared" si="21"/>
        <v>0</v>
      </c>
      <c r="X117" s="56">
        <f t="shared" si="21"/>
        <v>0</v>
      </c>
      <c r="Y117" s="56">
        <f t="shared" si="21"/>
        <v>0</v>
      </c>
      <c r="Z117" s="56">
        <f t="shared" si="21"/>
        <v>0</v>
      </c>
      <c r="AA117" s="56">
        <f t="shared" si="21"/>
        <v>0</v>
      </c>
      <c r="AB117" s="56">
        <f t="shared" si="21"/>
        <v>0</v>
      </c>
      <c r="AC117" s="56">
        <f t="shared" si="21"/>
        <v>0</v>
      </c>
      <c r="AD117" s="56">
        <f t="shared" si="21"/>
        <v>0</v>
      </c>
      <c r="AE117" s="56">
        <f t="shared" si="21"/>
        <v>0</v>
      </c>
      <c r="AF117" s="56">
        <f t="shared" si="21"/>
        <v>0</v>
      </c>
      <c r="AG117" s="56">
        <f t="shared" si="21"/>
        <v>0</v>
      </c>
      <c r="AH117" s="56">
        <f t="shared" si="21"/>
        <v>0</v>
      </c>
      <c r="AI117" s="59"/>
      <c r="AJ117" s="59"/>
      <c r="AK117" s="59"/>
      <c r="AL117" s="59"/>
    </row>
    <row r="118" spans="1:38" ht="15">
      <c r="A118" s="114"/>
      <c r="B118" s="18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row>
    <row r="119" spans="1:38" ht="15" hidden="1">
      <c r="A119" s="3811" t="s">
        <v>550</v>
      </c>
      <c r="B119" s="3812"/>
      <c r="C119" s="3813"/>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55"/>
      <c r="AI119" s="55"/>
      <c r="AJ119" s="55"/>
      <c r="AK119" s="55"/>
      <c r="AL119" s="55"/>
    </row>
    <row r="120" spans="1:38" ht="15" hidden="1">
      <c r="A120" s="5" t="s">
        <v>70</v>
      </c>
      <c r="B120" s="19" t="s">
        <v>71</v>
      </c>
      <c r="C120" s="57">
        <v>1</v>
      </c>
      <c r="D120" s="23">
        <v>2</v>
      </c>
      <c r="E120" s="23">
        <v>3</v>
      </c>
      <c r="F120" s="23">
        <v>4</v>
      </c>
      <c r="G120" s="23">
        <v>5</v>
      </c>
      <c r="H120" s="23">
        <v>6</v>
      </c>
      <c r="I120" s="23">
        <v>7</v>
      </c>
      <c r="J120" s="23">
        <v>8</v>
      </c>
      <c r="K120" s="23">
        <v>9</v>
      </c>
      <c r="L120" s="23">
        <v>10</v>
      </c>
      <c r="M120" s="23">
        <v>11</v>
      </c>
      <c r="N120" s="23">
        <v>12</v>
      </c>
      <c r="O120" s="23">
        <v>13</v>
      </c>
      <c r="P120" s="23">
        <v>14</v>
      </c>
      <c r="Q120" s="23">
        <v>15</v>
      </c>
      <c r="R120" s="23">
        <v>16</v>
      </c>
      <c r="S120" s="23">
        <v>17</v>
      </c>
      <c r="T120" s="23">
        <v>18</v>
      </c>
      <c r="U120" s="23">
        <v>19</v>
      </c>
      <c r="V120" s="23">
        <v>20</v>
      </c>
      <c r="W120" s="23">
        <v>21</v>
      </c>
      <c r="X120" s="23">
        <v>22</v>
      </c>
      <c r="Y120" s="23">
        <v>23</v>
      </c>
      <c r="Z120" s="23">
        <v>24</v>
      </c>
      <c r="AA120" s="23">
        <v>25</v>
      </c>
      <c r="AB120" s="23">
        <v>26</v>
      </c>
      <c r="AC120" s="23">
        <v>27</v>
      </c>
      <c r="AD120" s="23">
        <v>28</v>
      </c>
      <c r="AE120" s="23">
        <v>29</v>
      </c>
      <c r="AF120" s="23">
        <v>30</v>
      </c>
      <c r="AG120" s="23">
        <v>31</v>
      </c>
      <c r="AH120" s="56" t="s">
        <v>72</v>
      </c>
      <c r="AI120" s="59"/>
      <c r="AJ120" s="59"/>
      <c r="AK120" s="59"/>
      <c r="AL120" s="59"/>
    </row>
    <row r="121" spans="1:38" ht="15" hidden="1">
      <c r="A121" s="1039" t="s">
        <v>73</v>
      </c>
      <c r="B121" s="19">
        <f t="shared" ref="B121:B132" si="22">+AH121</f>
        <v>0</v>
      </c>
      <c r="C121" s="107" t="s">
        <v>109</v>
      </c>
      <c r="D121" s="107" t="s">
        <v>109</v>
      </c>
      <c r="E121" s="107" t="s">
        <v>109</v>
      </c>
      <c r="F121" s="107" t="s">
        <v>109</v>
      </c>
      <c r="G121" s="107" t="s">
        <v>109</v>
      </c>
      <c r="H121" s="107" t="s">
        <v>109</v>
      </c>
      <c r="I121" s="107" t="s">
        <v>109</v>
      </c>
      <c r="J121" s="107" t="s">
        <v>109</v>
      </c>
      <c r="K121" s="107" t="s">
        <v>109</v>
      </c>
      <c r="L121" s="107" t="s">
        <v>109</v>
      </c>
      <c r="M121" s="107" t="s">
        <v>109</v>
      </c>
      <c r="N121" s="107" t="s">
        <v>109</v>
      </c>
      <c r="O121" s="107" t="s">
        <v>109</v>
      </c>
      <c r="P121" s="107" t="s">
        <v>109</v>
      </c>
      <c r="Q121" s="107" t="s">
        <v>109</v>
      </c>
      <c r="R121" s="107" t="s">
        <v>109</v>
      </c>
      <c r="S121" s="107" t="s">
        <v>109</v>
      </c>
      <c r="T121" s="107" t="s">
        <v>109</v>
      </c>
      <c r="U121" s="107" t="s">
        <v>109</v>
      </c>
      <c r="V121" s="107" t="s">
        <v>109</v>
      </c>
      <c r="W121" s="107" t="s">
        <v>109</v>
      </c>
      <c r="X121" s="107" t="s">
        <v>109</v>
      </c>
      <c r="Y121" s="107" t="s">
        <v>109</v>
      </c>
      <c r="Z121" s="107" t="s">
        <v>109</v>
      </c>
      <c r="AA121" s="107" t="s">
        <v>109</v>
      </c>
      <c r="AB121" s="107" t="s">
        <v>109</v>
      </c>
      <c r="AC121" s="107" t="s">
        <v>109</v>
      </c>
      <c r="AD121" s="107" t="s">
        <v>109</v>
      </c>
      <c r="AE121" s="107" t="s">
        <v>109</v>
      </c>
      <c r="AF121" s="107" t="s">
        <v>109</v>
      </c>
      <c r="AG121" s="107" t="s">
        <v>109</v>
      </c>
      <c r="AH121" s="56">
        <f>SUM(C121:AG121)</f>
        <v>0</v>
      </c>
      <c r="AI121" s="59"/>
      <c r="AJ121" s="59"/>
      <c r="AK121" s="59"/>
      <c r="AL121" s="59"/>
    </row>
    <row r="122" spans="1:38" ht="15" hidden="1">
      <c r="A122" s="1039" t="s">
        <v>74</v>
      </c>
      <c r="B122" s="19">
        <f t="shared" si="22"/>
        <v>0</v>
      </c>
      <c r="C122" s="107" t="s">
        <v>109</v>
      </c>
      <c r="D122" s="107" t="s">
        <v>109</v>
      </c>
      <c r="E122" s="107" t="s">
        <v>109</v>
      </c>
      <c r="F122" s="107" t="s">
        <v>109</v>
      </c>
      <c r="G122" s="107" t="s">
        <v>109</v>
      </c>
      <c r="H122" s="107" t="s">
        <v>109</v>
      </c>
      <c r="I122" s="107" t="s">
        <v>109</v>
      </c>
      <c r="J122" s="107" t="s">
        <v>109</v>
      </c>
      <c r="K122" s="107" t="s">
        <v>109</v>
      </c>
      <c r="L122" s="107" t="s">
        <v>109</v>
      </c>
      <c r="M122" s="107" t="s">
        <v>109</v>
      </c>
      <c r="N122" s="107" t="s">
        <v>109</v>
      </c>
      <c r="O122" s="107" t="s">
        <v>109</v>
      </c>
      <c r="P122" s="107" t="s">
        <v>109</v>
      </c>
      <c r="Q122" s="107" t="s">
        <v>109</v>
      </c>
      <c r="R122" s="107" t="s">
        <v>109</v>
      </c>
      <c r="S122" s="107" t="s">
        <v>109</v>
      </c>
      <c r="T122" s="107" t="s">
        <v>109</v>
      </c>
      <c r="U122" s="107" t="s">
        <v>109</v>
      </c>
      <c r="V122" s="107" t="s">
        <v>109</v>
      </c>
      <c r="W122" s="107" t="s">
        <v>109</v>
      </c>
      <c r="X122" s="107" t="s">
        <v>109</v>
      </c>
      <c r="Y122" s="107" t="s">
        <v>109</v>
      </c>
      <c r="Z122" s="107" t="s">
        <v>109</v>
      </c>
      <c r="AA122" s="107" t="s">
        <v>109</v>
      </c>
      <c r="AB122" s="107" t="s">
        <v>109</v>
      </c>
      <c r="AC122" s="107" t="s">
        <v>109</v>
      </c>
      <c r="AD122" s="107" t="s">
        <v>109</v>
      </c>
      <c r="AE122" s="107" t="s">
        <v>109</v>
      </c>
      <c r="AF122" s="107" t="s">
        <v>109</v>
      </c>
      <c r="AG122" s="107" t="s">
        <v>109</v>
      </c>
      <c r="AH122" s="56">
        <f t="shared" ref="AH122:AH130" si="23">SUM(C122:AG122)</f>
        <v>0</v>
      </c>
      <c r="AI122" s="59"/>
      <c r="AJ122" s="59"/>
      <c r="AK122" s="59"/>
      <c r="AL122" s="59"/>
    </row>
    <row r="123" spans="1:38" ht="15" hidden="1">
      <c r="A123" s="1039" t="s">
        <v>75</v>
      </c>
      <c r="B123" s="19">
        <f t="shared" si="22"/>
        <v>0</v>
      </c>
      <c r="C123" s="107" t="s">
        <v>109</v>
      </c>
      <c r="D123" s="107" t="s">
        <v>109</v>
      </c>
      <c r="E123" s="107" t="s">
        <v>109</v>
      </c>
      <c r="F123" s="107" t="s">
        <v>109</v>
      </c>
      <c r="G123" s="107" t="s">
        <v>109</v>
      </c>
      <c r="H123" s="15"/>
      <c r="I123" s="15"/>
      <c r="J123" s="15"/>
      <c r="K123" s="15"/>
      <c r="L123" s="15"/>
      <c r="M123" s="15"/>
      <c r="N123" s="15"/>
      <c r="O123" s="15"/>
      <c r="P123" s="15"/>
      <c r="Q123" s="15"/>
      <c r="R123" s="15"/>
      <c r="S123" s="15"/>
      <c r="T123" s="15"/>
      <c r="U123" s="15"/>
      <c r="V123" s="15"/>
      <c r="W123" s="15"/>
      <c r="X123" s="15"/>
      <c r="Y123" s="15"/>
      <c r="Z123" s="15"/>
      <c r="AA123" s="15"/>
      <c r="AB123" s="15"/>
      <c r="AC123" s="107" t="s">
        <v>109</v>
      </c>
      <c r="AD123" s="107" t="s">
        <v>109</v>
      </c>
      <c r="AE123" s="107" t="s">
        <v>109</v>
      </c>
      <c r="AF123" s="107" t="s">
        <v>109</v>
      </c>
      <c r="AG123" s="107" t="s">
        <v>109</v>
      </c>
      <c r="AH123" s="56">
        <f t="shared" si="23"/>
        <v>0</v>
      </c>
      <c r="AI123" s="59"/>
      <c r="AJ123" s="59"/>
      <c r="AK123" s="59"/>
      <c r="AL123" s="59"/>
    </row>
    <row r="124" spans="1:38" ht="15" hidden="1">
      <c r="A124" s="1039" t="s">
        <v>76</v>
      </c>
      <c r="B124" s="19">
        <f t="shared" si="22"/>
        <v>0</v>
      </c>
      <c r="C124" s="107" t="s">
        <v>109</v>
      </c>
      <c r="D124" s="107" t="s">
        <v>109</v>
      </c>
      <c r="E124" s="107" t="s">
        <v>109</v>
      </c>
      <c r="F124" s="107" t="s">
        <v>109</v>
      </c>
      <c r="G124" s="107" t="s">
        <v>109</v>
      </c>
      <c r="H124" s="107" t="s">
        <v>109</v>
      </c>
      <c r="I124" s="107" t="s">
        <v>109</v>
      </c>
      <c r="J124" s="107" t="s">
        <v>109</v>
      </c>
      <c r="K124" s="107" t="s">
        <v>109</v>
      </c>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56">
        <f t="shared" si="23"/>
        <v>0</v>
      </c>
      <c r="AI124" s="59"/>
      <c r="AJ124" s="59"/>
      <c r="AK124" s="59"/>
      <c r="AL124" s="59"/>
    </row>
    <row r="125" spans="1:38" ht="15" hidden="1">
      <c r="A125" s="1039" t="s">
        <v>77</v>
      </c>
      <c r="B125" s="19">
        <f t="shared" si="22"/>
        <v>0</v>
      </c>
      <c r="C125" s="3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56">
        <f t="shared" si="23"/>
        <v>0</v>
      </c>
      <c r="AI125" s="59"/>
      <c r="AJ125" s="59"/>
      <c r="AK125" s="59"/>
      <c r="AL125" s="59"/>
    </row>
    <row r="126" spans="1:38" ht="15" hidden="1">
      <c r="A126" s="1039" t="s">
        <v>78</v>
      </c>
      <c r="B126" s="19">
        <f t="shared" si="22"/>
        <v>0</v>
      </c>
      <c r="C126" s="35"/>
      <c r="D126" s="15"/>
      <c r="E126" s="15"/>
      <c r="F126" s="15"/>
      <c r="G126" s="15"/>
      <c r="H126" s="65" t="s">
        <v>110</v>
      </c>
      <c r="I126" s="65" t="s">
        <v>110</v>
      </c>
      <c r="J126" s="65" t="s">
        <v>110</v>
      </c>
      <c r="K126" s="65" t="s">
        <v>110</v>
      </c>
      <c r="L126" s="65" t="s">
        <v>110</v>
      </c>
      <c r="M126" s="65" t="s">
        <v>110</v>
      </c>
      <c r="N126" s="65" t="s">
        <v>110</v>
      </c>
      <c r="O126" s="65" t="s">
        <v>110</v>
      </c>
      <c r="P126" s="65" t="s">
        <v>110</v>
      </c>
      <c r="Q126" s="65" t="s">
        <v>110</v>
      </c>
      <c r="R126" s="65" t="s">
        <v>110</v>
      </c>
      <c r="S126" s="65" t="s">
        <v>110</v>
      </c>
      <c r="T126" s="65" t="s">
        <v>110</v>
      </c>
      <c r="U126" s="65" t="s">
        <v>110</v>
      </c>
      <c r="V126" s="65" t="s">
        <v>110</v>
      </c>
      <c r="W126" s="65" t="s">
        <v>110</v>
      </c>
      <c r="X126" s="65" t="s">
        <v>110</v>
      </c>
      <c r="Y126" s="15"/>
      <c r="Z126" s="15"/>
      <c r="AA126" s="15"/>
      <c r="AB126" s="15"/>
      <c r="AC126" s="15"/>
      <c r="AD126" s="15"/>
      <c r="AE126" s="15"/>
      <c r="AF126" s="15"/>
      <c r="AG126" s="15"/>
      <c r="AH126" s="56">
        <f t="shared" si="23"/>
        <v>0</v>
      </c>
      <c r="AI126" s="59"/>
      <c r="AJ126" s="59"/>
      <c r="AK126" s="59"/>
      <c r="AL126" s="59"/>
    </row>
    <row r="127" spans="1:38" ht="15" hidden="1">
      <c r="A127" s="1039" t="s">
        <v>79</v>
      </c>
      <c r="B127" s="19">
        <f t="shared" si="22"/>
        <v>0</v>
      </c>
      <c r="C127" s="35"/>
      <c r="D127" s="39"/>
      <c r="E127" s="39"/>
      <c r="F127" s="39"/>
      <c r="G127" s="15"/>
      <c r="H127" s="15"/>
      <c r="I127" s="15"/>
      <c r="J127" s="43"/>
      <c r="K127" s="43"/>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56">
        <f t="shared" si="23"/>
        <v>0</v>
      </c>
      <c r="AI127" s="59"/>
      <c r="AJ127" s="59"/>
      <c r="AK127" s="59"/>
      <c r="AL127" s="59"/>
    </row>
    <row r="128" spans="1:38" ht="15" hidden="1">
      <c r="A128" s="1039" t="s">
        <v>80</v>
      </c>
      <c r="B128" s="19">
        <f t="shared" si="22"/>
        <v>0</v>
      </c>
      <c r="C128" s="35"/>
      <c r="D128" s="15"/>
      <c r="E128" s="15"/>
      <c r="F128" s="15"/>
      <c r="G128" s="15"/>
      <c r="H128" s="15"/>
      <c r="I128" s="15"/>
      <c r="J128" s="2399" t="s">
        <v>110</v>
      </c>
      <c r="K128" s="2399" t="s">
        <v>110</v>
      </c>
      <c r="L128" s="2399" t="s">
        <v>110</v>
      </c>
      <c r="M128" s="2399" t="s">
        <v>110</v>
      </c>
      <c r="N128" s="2399" t="s">
        <v>110</v>
      </c>
      <c r="O128" s="2399" t="s">
        <v>110</v>
      </c>
      <c r="P128" s="2399" t="s">
        <v>110</v>
      </c>
      <c r="Q128" s="2399" t="s">
        <v>110</v>
      </c>
      <c r="R128" s="2399" t="s">
        <v>110</v>
      </c>
      <c r="S128" s="2399" t="s">
        <v>110</v>
      </c>
      <c r="T128" s="2399" t="s">
        <v>110</v>
      </c>
      <c r="U128" s="2399" t="s">
        <v>110</v>
      </c>
      <c r="V128" s="2399" t="s">
        <v>110</v>
      </c>
      <c r="W128" s="2399" t="s">
        <v>110</v>
      </c>
      <c r="X128" s="2399" t="s">
        <v>110</v>
      </c>
      <c r="Y128" s="2399" t="s">
        <v>110</v>
      </c>
      <c r="Z128" s="2399" t="s">
        <v>110</v>
      </c>
      <c r="AA128" s="2399" t="s">
        <v>110</v>
      </c>
      <c r="AB128" s="2399" t="s">
        <v>110</v>
      </c>
      <c r="AC128" s="2399" t="s">
        <v>110</v>
      </c>
      <c r="AD128" s="2399" t="s">
        <v>110</v>
      </c>
      <c r="AE128" s="2399" t="s">
        <v>110</v>
      </c>
      <c r="AF128" s="2399" t="s">
        <v>110</v>
      </c>
      <c r="AG128" s="2399" t="s">
        <v>110</v>
      </c>
      <c r="AH128" s="56">
        <f t="shared" si="23"/>
        <v>0</v>
      </c>
      <c r="AI128" s="59"/>
      <c r="AJ128" s="59"/>
      <c r="AK128" s="59"/>
      <c r="AL128" s="59"/>
    </row>
    <row r="129" spans="1:38" ht="15" hidden="1">
      <c r="A129" s="1522" t="s">
        <v>81</v>
      </c>
      <c r="B129" s="19">
        <f t="shared" si="22"/>
        <v>0</v>
      </c>
      <c r="C129" s="2399" t="s">
        <v>110</v>
      </c>
      <c r="D129" s="2399" t="s">
        <v>110</v>
      </c>
      <c r="E129" s="2399" t="s">
        <v>110</v>
      </c>
      <c r="F129" s="2399" t="s">
        <v>110</v>
      </c>
      <c r="G129" s="2399" t="s">
        <v>110</v>
      </c>
      <c r="H129" s="2399" t="s">
        <v>110</v>
      </c>
      <c r="I129" s="2399" t="s">
        <v>110</v>
      </c>
      <c r="J129" s="2399" t="s">
        <v>110</v>
      </c>
      <c r="K129" s="2399" t="s">
        <v>110</v>
      </c>
      <c r="L129" s="2399" t="s">
        <v>110</v>
      </c>
      <c r="M129" s="2399" t="s">
        <v>110</v>
      </c>
      <c r="N129" s="2399" t="s">
        <v>110</v>
      </c>
      <c r="O129" s="2399" t="s">
        <v>110</v>
      </c>
      <c r="P129" s="2399" t="s">
        <v>110</v>
      </c>
      <c r="Q129" s="2399" t="s">
        <v>110</v>
      </c>
      <c r="R129" s="2399" t="s">
        <v>110</v>
      </c>
      <c r="S129" s="2399" t="s">
        <v>110</v>
      </c>
      <c r="T129" s="2399" t="s">
        <v>110</v>
      </c>
      <c r="U129" s="2399" t="s">
        <v>110</v>
      </c>
      <c r="V129" s="2399" t="s">
        <v>110</v>
      </c>
      <c r="W129" s="2399" t="s">
        <v>110</v>
      </c>
      <c r="X129" s="2399" t="s">
        <v>110</v>
      </c>
      <c r="Y129" s="2399" t="s">
        <v>110</v>
      </c>
      <c r="Z129" s="2399" t="s">
        <v>110</v>
      </c>
      <c r="AA129" s="2399" t="s">
        <v>110</v>
      </c>
      <c r="AB129" s="2399" t="s">
        <v>110</v>
      </c>
      <c r="AC129" s="2399" t="s">
        <v>110</v>
      </c>
      <c r="AD129" s="2399" t="s">
        <v>110</v>
      </c>
      <c r="AE129" s="2399" t="s">
        <v>110</v>
      </c>
      <c r="AF129" s="2399" t="s">
        <v>110</v>
      </c>
      <c r="AG129" s="2399" t="s">
        <v>110</v>
      </c>
      <c r="AH129" s="56">
        <f t="shared" si="23"/>
        <v>0</v>
      </c>
      <c r="AI129" s="59"/>
      <c r="AJ129" s="59"/>
      <c r="AK129" s="59"/>
      <c r="AL129" s="59"/>
    </row>
    <row r="130" spans="1:38" ht="15" hidden="1">
      <c r="A130" s="1522" t="s">
        <v>82</v>
      </c>
      <c r="B130" s="19">
        <f t="shared" si="22"/>
        <v>0</v>
      </c>
      <c r="C130" s="2399" t="s">
        <v>110</v>
      </c>
      <c r="D130" s="2399" t="s">
        <v>110</v>
      </c>
      <c r="E130" s="2399" t="s">
        <v>110</v>
      </c>
      <c r="F130" s="2399" t="s">
        <v>110</v>
      </c>
      <c r="G130" s="2399" t="s">
        <v>110</v>
      </c>
      <c r="H130" s="2399" t="s">
        <v>110</v>
      </c>
      <c r="I130" s="2399" t="s">
        <v>110</v>
      </c>
      <c r="J130" s="2399" t="s">
        <v>110</v>
      </c>
      <c r="K130" s="2399" t="s">
        <v>110</v>
      </c>
      <c r="L130" s="2399" t="s">
        <v>110</v>
      </c>
      <c r="M130" s="2399" t="s">
        <v>110</v>
      </c>
      <c r="N130" s="2399" t="s">
        <v>110</v>
      </c>
      <c r="O130" s="2399" t="s">
        <v>110</v>
      </c>
      <c r="P130" s="2399" t="s">
        <v>110</v>
      </c>
      <c r="Q130" s="2399" t="s">
        <v>110</v>
      </c>
      <c r="R130" s="2399" t="s">
        <v>110</v>
      </c>
      <c r="S130" s="2399" t="s">
        <v>110</v>
      </c>
      <c r="T130" s="2399" t="s">
        <v>110</v>
      </c>
      <c r="U130" s="2399" t="s">
        <v>110</v>
      </c>
      <c r="V130" s="2399" t="s">
        <v>110</v>
      </c>
      <c r="W130" s="2399" t="s">
        <v>110</v>
      </c>
      <c r="X130" s="15"/>
      <c r="Y130" s="15"/>
      <c r="Z130" s="15"/>
      <c r="AA130" s="15"/>
      <c r="AB130" s="15"/>
      <c r="AC130" s="15"/>
      <c r="AD130" s="15"/>
      <c r="AE130" s="39"/>
      <c r="AF130" s="15"/>
      <c r="AG130" s="39"/>
      <c r="AH130" s="56">
        <f t="shared" si="23"/>
        <v>0</v>
      </c>
      <c r="AI130" s="59"/>
      <c r="AJ130" s="59"/>
      <c r="AK130" s="59"/>
      <c r="AL130" s="59"/>
    </row>
    <row r="131" spans="1:38" ht="15" hidden="1">
      <c r="A131" s="1522" t="s">
        <v>83</v>
      </c>
      <c r="B131" s="19">
        <f t="shared" si="22"/>
        <v>0</v>
      </c>
      <c r="C131" s="35"/>
      <c r="D131" s="15"/>
      <c r="E131" s="15"/>
      <c r="F131" s="15"/>
      <c r="G131" s="11"/>
      <c r="H131" s="15"/>
      <c r="I131" s="15"/>
      <c r="J131" s="15"/>
      <c r="K131" s="15"/>
      <c r="L131" s="15"/>
      <c r="M131" s="15"/>
      <c r="N131" s="15"/>
      <c r="O131" s="15"/>
      <c r="P131" s="15"/>
      <c r="Q131" s="15"/>
      <c r="R131" s="15"/>
      <c r="S131" s="15"/>
      <c r="T131" s="15"/>
      <c r="U131" s="15"/>
      <c r="V131" s="15"/>
      <c r="W131" s="15"/>
      <c r="X131" s="15"/>
      <c r="Y131" s="11"/>
      <c r="Z131" s="15"/>
      <c r="AA131" s="15"/>
      <c r="AB131" s="15"/>
      <c r="AC131" s="15"/>
      <c r="AD131" s="15"/>
      <c r="AE131" s="39"/>
      <c r="AF131" s="15"/>
      <c r="AG131" s="39"/>
      <c r="AH131" s="56">
        <f>SUM(C131:AG131)</f>
        <v>0</v>
      </c>
      <c r="AI131" s="59"/>
      <c r="AJ131" s="59"/>
      <c r="AK131" s="59"/>
      <c r="AL131" s="59"/>
    </row>
    <row r="132" spans="1:38" ht="15" hidden="1">
      <c r="A132" s="1522" t="s">
        <v>84</v>
      </c>
      <c r="B132" s="19">
        <f t="shared" si="22"/>
        <v>0</v>
      </c>
      <c r="C132" s="35"/>
      <c r="D132" s="15"/>
      <c r="E132" s="15"/>
      <c r="F132" s="15"/>
      <c r="G132" s="15"/>
      <c r="H132" s="15"/>
      <c r="I132" s="15"/>
      <c r="J132" s="15"/>
      <c r="K132" s="15"/>
      <c r="L132" s="15"/>
      <c r="M132" s="15"/>
      <c r="N132" s="15"/>
      <c r="O132" s="15"/>
      <c r="P132" s="1084" t="s">
        <v>109</v>
      </c>
      <c r="Q132" s="1084" t="s">
        <v>109</v>
      </c>
      <c r="R132" s="1084" t="s">
        <v>109</v>
      </c>
      <c r="S132" s="1084" t="s">
        <v>109</v>
      </c>
      <c r="T132" s="1084" t="s">
        <v>109</v>
      </c>
      <c r="U132" s="1084" t="s">
        <v>109</v>
      </c>
      <c r="V132" s="1084" t="s">
        <v>109</v>
      </c>
      <c r="W132" s="1084" t="s">
        <v>109</v>
      </c>
      <c r="X132" s="1084" t="s">
        <v>109</v>
      </c>
      <c r="Y132" s="1084" t="s">
        <v>109</v>
      </c>
      <c r="Z132" s="1084" t="s">
        <v>109</v>
      </c>
      <c r="AA132" s="1084" t="s">
        <v>109</v>
      </c>
      <c r="AB132" s="1084" t="s">
        <v>109</v>
      </c>
      <c r="AC132" s="1084" t="s">
        <v>109</v>
      </c>
      <c r="AD132" s="1084" t="s">
        <v>109</v>
      </c>
      <c r="AE132" s="1084" t="s">
        <v>109</v>
      </c>
      <c r="AF132" s="1084" t="s">
        <v>109</v>
      </c>
      <c r="AG132" s="1084" t="s">
        <v>109</v>
      </c>
      <c r="AH132" s="56">
        <f t="shared" ref="AH132" si="24">SUM(C132:AG132)</f>
        <v>0</v>
      </c>
      <c r="AI132" s="59"/>
      <c r="AJ132" s="59"/>
      <c r="AK132" s="59"/>
      <c r="AL132" s="59"/>
    </row>
    <row r="133" spans="1:38" ht="15" hidden="1">
      <c r="A133" s="71" t="s">
        <v>72</v>
      </c>
      <c r="B133" s="73">
        <f t="shared" ref="B133:AH133" si="25">SUM(B121:B132)</f>
        <v>0</v>
      </c>
      <c r="C133" s="56">
        <f t="shared" si="25"/>
        <v>0</v>
      </c>
      <c r="D133" s="56">
        <f t="shared" si="25"/>
        <v>0</v>
      </c>
      <c r="E133" s="56">
        <f t="shared" si="25"/>
        <v>0</v>
      </c>
      <c r="F133" s="56">
        <f t="shared" si="25"/>
        <v>0</v>
      </c>
      <c r="G133" s="56">
        <f t="shared" si="25"/>
        <v>0</v>
      </c>
      <c r="H133" s="56">
        <f t="shared" si="25"/>
        <v>0</v>
      </c>
      <c r="I133" s="56">
        <f t="shared" si="25"/>
        <v>0</v>
      </c>
      <c r="J133" s="56">
        <f t="shared" si="25"/>
        <v>0</v>
      </c>
      <c r="K133" s="56">
        <f t="shared" si="25"/>
        <v>0</v>
      </c>
      <c r="L133" s="56">
        <f t="shared" si="25"/>
        <v>0</v>
      </c>
      <c r="M133" s="56">
        <f t="shared" si="25"/>
        <v>0</v>
      </c>
      <c r="N133" s="56">
        <f t="shared" si="25"/>
        <v>0</v>
      </c>
      <c r="O133" s="56">
        <f t="shared" si="25"/>
        <v>0</v>
      </c>
      <c r="P133" s="56">
        <f t="shared" si="25"/>
        <v>0</v>
      </c>
      <c r="Q133" s="56">
        <f t="shared" si="25"/>
        <v>0</v>
      </c>
      <c r="R133" s="56">
        <f t="shared" si="25"/>
        <v>0</v>
      </c>
      <c r="S133" s="56">
        <f t="shared" si="25"/>
        <v>0</v>
      </c>
      <c r="T133" s="56">
        <f t="shared" si="25"/>
        <v>0</v>
      </c>
      <c r="U133" s="56">
        <f t="shared" si="25"/>
        <v>0</v>
      </c>
      <c r="V133" s="56">
        <f t="shared" si="25"/>
        <v>0</v>
      </c>
      <c r="W133" s="56">
        <f t="shared" si="25"/>
        <v>0</v>
      </c>
      <c r="X133" s="56">
        <f t="shared" si="25"/>
        <v>0</v>
      </c>
      <c r="Y133" s="56">
        <f t="shared" si="25"/>
        <v>0</v>
      </c>
      <c r="Z133" s="56">
        <f t="shared" si="25"/>
        <v>0</v>
      </c>
      <c r="AA133" s="56">
        <f t="shared" si="25"/>
        <v>0</v>
      </c>
      <c r="AB133" s="56">
        <f t="shared" si="25"/>
        <v>0</v>
      </c>
      <c r="AC133" s="56">
        <f t="shared" si="25"/>
        <v>0</v>
      </c>
      <c r="AD133" s="56">
        <f t="shared" si="25"/>
        <v>0</v>
      </c>
      <c r="AE133" s="56">
        <f t="shared" si="25"/>
        <v>0</v>
      </c>
      <c r="AF133" s="56">
        <f t="shared" si="25"/>
        <v>0</v>
      </c>
      <c r="AG133" s="56">
        <f t="shared" si="25"/>
        <v>0</v>
      </c>
      <c r="AH133" s="56">
        <f t="shared" si="25"/>
        <v>0</v>
      </c>
      <c r="AI133" s="59"/>
      <c r="AJ133" s="59"/>
      <c r="AK133" s="59"/>
      <c r="AL133" s="59"/>
    </row>
    <row r="134" spans="1:38" ht="15" hidden="1">
      <c r="A134" s="114"/>
      <c r="B134" s="18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row>
    <row r="135" spans="1:38" ht="15">
      <c r="A135" s="114"/>
      <c r="B135" s="18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row>
    <row r="136" spans="1:38" ht="15">
      <c r="A136" s="3811" t="s">
        <v>87</v>
      </c>
      <c r="B136" s="3812"/>
      <c r="C136" s="3813"/>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55"/>
      <c r="AI136" s="55"/>
      <c r="AJ136" s="55"/>
      <c r="AK136" s="55"/>
      <c r="AL136" s="55"/>
    </row>
    <row r="137" spans="1:38" ht="15">
      <c r="A137" s="5" t="s">
        <v>70</v>
      </c>
      <c r="B137" s="19" t="s">
        <v>71</v>
      </c>
      <c r="C137" s="2400">
        <v>1</v>
      </c>
      <c r="D137" s="23">
        <v>2</v>
      </c>
      <c r="E137" s="23">
        <v>3</v>
      </c>
      <c r="F137" s="23">
        <v>4</v>
      </c>
      <c r="G137" s="23">
        <v>5</v>
      </c>
      <c r="H137" s="23">
        <v>6</v>
      </c>
      <c r="I137" s="23">
        <v>7</v>
      </c>
      <c r="J137" s="23">
        <v>8</v>
      </c>
      <c r="K137" s="23">
        <v>9</v>
      </c>
      <c r="L137" s="23">
        <v>10</v>
      </c>
      <c r="M137" s="23">
        <v>11</v>
      </c>
      <c r="N137" s="23">
        <v>12</v>
      </c>
      <c r="O137" s="23">
        <v>13</v>
      </c>
      <c r="P137" s="23">
        <v>14</v>
      </c>
      <c r="Q137" s="23">
        <v>15</v>
      </c>
      <c r="R137" s="23">
        <v>16</v>
      </c>
      <c r="S137" s="23">
        <v>17</v>
      </c>
      <c r="T137" s="23">
        <v>18</v>
      </c>
      <c r="U137" s="23">
        <v>19</v>
      </c>
      <c r="V137" s="23">
        <v>20</v>
      </c>
      <c r="W137" s="23">
        <v>21</v>
      </c>
      <c r="X137" s="23">
        <v>22</v>
      </c>
      <c r="Y137" s="23">
        <v>23</v>
      </c>
      <c r="Z137" s="23">
        <v>24</v>
      </c>
      <c r="AA137" s="23">
        <v>25</v>
      </c>
      <c r="AB137" s="23">
        <v>26</v>
      </c>
      <c r="AC137" s="23">
        <v>27</v>
      </c>
      <c r="AD137" s="23">
        <v>28</v>
      </c>
      <c r="AE137" s="23">
        <v>29</v>
      </c>
      <c r="AF137" s="23">
        <v>30</v>
      </c>
      <c r="AG137" s="23">
        <v>31</v>
      </c>
      <c r="AH137" s="56" t="s">
        <v>72</v>
      </c>
      <c r="AI137" s="2266" t="s">
        <v>1345</v>
      </c>
      <c r="AJ137" s="66">
        <f>(B150/COUNTIF($C$138:$AG$149,"&gt;0"))</f>
        <v>7.2576315789473691</v>
      </c>
      <c r="AK137" s="59"/>
      <c r="AL137" s="59"/>
    </row>
    <row r="138" spans="1:38" ht="15">
      <c r="A138" s="1039" t="s">
        <v>73</v>
      </c>
      <c r="B138" s="19">
        <f t="shared" ref="B138:B149" si="26">+AH138</f>
        <v>0</v>
      </c>
      <c r="C138" s="107" t="s">
        <v>109</v>
      </c>
      <c r="D138" s="107" t="s">
        <v>109</v>
      </c>
      <c r="E138" s="107" t="s">
        <v>109</v>
      </c>
      <c r="F138" s="107" t="s">
        <v>109</v>
      </c>
      <c r="G138" s="107" t="s">
        <v>109</v>
      </c>
      <c r="H138" s="107" t="s">
        <v>109</v>
      </c>
      <c r="I138" s="107" t="s">
        <v>109</v>
      </c>
      <c r="J138" s="107" t="s">
        <v>109</v>
      </c>
      <c r="K138" s="107" t="s">
        <v>109</v>
      </c>
      <c r="L138" s="107" t="s">
        <v>109</v>
      </c>
      <c r="M138" s="107" t="s">
        <v>109</v>
      </c>
      <c r="N138" s="107" t="s">
        <v>109</v>
      </c>
      <c r="O138" s="107" t="s">
        <v>109</v>
      </c>
      <c r="P138" s="107" t="s">
        <v>109</v>
      </c>
      <c r="Q138" s="107" t="s">
        <v>109</v>
      </c>
      <c r="R138" s="107" t="s">
        <v>109</v>
      </c>
      <c r="S138" s="107" t="s">
        <v>109</v>
      </c>
      <c r="T138" s="107" t="s">
        <v>109</v>
      </c>
      <c r="U138" s="107" t="s">
        <v>109</v>
      </c>
      <c r="V138" s="107" t="s">
        <v>109</v>
      </c>
      <c r="W138" s="107" t="s">
        <v>109</v>
      </c>
      <c r="X138" s="107" t="s">
        <v>109</v>
      </c>
      <c r="Y138" s="107" t="s">
        <v>109</v>
      </c>
      <c r="Z138" s="107" t="s">
        <v>109</v>
      </c>
      <c r="AA138" s="107" t="s">
        <v>109</v>
      </c>
      <c r="AB138" s="107" t="s">
        <v>109</v>
      </c>
      <c r="AC138" s="107" t="s">
        <v>109</v>
      </c>
      <c r="AD138" s="107" t="s">
        <v>109</v>
      </c>
      <c r="AE138" s="107" t="s">
        <v>109</v>
      </c>
      <c r="AF138" s="107" t="s">
        <v>109</v>
      </c>
      <c r="AG138" s="107" t="s">
        <v>109</v>
      </c>
      <c r="AH138" s="56">
        <f>SUM(C138:AG138)</f>
        <v>0</v>
      </c>
      <c r="AI138" s="59"/>
      <c r="AJ138" s="59">
        <f>+'Res. Global'!J26</f>
        <v>262.10500000000002</v>
      </c>
      <c r="AK138" s="59"/>
      <c r="AL138" s="59"/>
    </row>
    <row r="139" spans="1:38" ht="15">
      <c r="A139" s="1039" t="s">
        <v>74</v>
      </c>
      <c r="B139" s="19">
        <f t="shared" si="26"/>
        <v>0</v>
      </c>
      <c r="C139" s="107" t="s">
        <v>109</v>
      </c>
      <c r="D139" s="107" t="s">
        <v>109</v>
      </c>
      <c r="E139" s="107" t="s">
        <v>109</v>
      </c>
      <c r="F139" s="107" t="s">
        <v>109</v>
      </c>
      <c r="G139" s="107" t="s">
        <v>109</v>
      </c>
      <c r="H139" s="107" t="s">
        <v>109</v>
      </c>
      <c r="I139" s="107" t="s">
        <v>109</v>
      </c>
      <c r="J139" s="107" t="s">
        <v>109</v>
      </c>
      <c r="K139" s="107" t="s">
        <v>109</v>
      </c>
      <c r="L139" s="107" t="s">
        <v>109</v>
      </c>
      <c r="M139" s="107" t="s">
        <v>109</v>
      </c>
      <c r="N139" s="107" t="s">
        <v>109</v>
      </c>
      <c r="O139" s="107" t="s">
        <v>109</v>
      </c>
      <c r="P139" s="107" t="s">
        <v>109</v>
      </c>
      <c r="Q139" s="107" t="s">
        <v>109</v>
      </c>
      <c r="R139" s="107" t="s">
        <v>109</v>
      </c>
      <c r="S139" s="107" t="s">
        <v>109</v>
      </c>
      <c r="T139" s="107" t="s">
        <v>109</v>
      </c>
      <c r="U139" s="107" t="s">
        <v>109</v>
      </c>
      <c r="V139" s="107" t="s">
        <v>109</v>
      </c>
      <c r="W139" s="107" t="s">
        <v>109</v>
      </c>
      <c r="X139" s="107" t="s">
        <v>109</v>
      </c>
      <c r="Y139" s="107" t="s">
        <v>109</v>
      </c>
      <c r="Z139" s="107" t="s">
        <v>109</v>
      </c>
      <c r="AA139" s="107" t="s">
        <v>109</v>
      </c>
      <c r="AB139" s="107" t="s">
        <v>109</v>
      </c>
      <c r="AC139" s="107" t="s">
        <v>109</v>
      </c>
      <c r="AD139" s="107" t="s">
        <v>109</v>
      </c>
      <c r="AE139" s="107" t="s">
        <v>109</v>
      </c>
      <c r="AF139" s="107" t="s">
        <v>109</v>
      </c>
      <c r="AG139" s="107" t="s">
        <v>109</v>
      </c>
      <c r="AH139" s="56">
        <f t="shared" ref="AH139:AH149" si="27">SUM(C139:AG139)</f>
        <v>0</v>
      </c>
      <c r="AI139" s="59"/>
      <c r="AJ139" s="3211">
        <f>+AJ138/AJ137</f>
        <v>36.11439863664382</v>
      </c>
      <c r="AK139" s="59"/>
      <c r="AL139" s="59"/>
    </row>
    <row r="140" spans="1:38" ht="15">
      <c r="A140" s="1039" t="s">
        <v>75</v>
      </c>
      <c r="B140" s="19">
        <f t="shared" si="26"/>
        <v>77.722000000000008</v>
      </c>
      <c r="C140" s="107" t="s">
        <v>109</v>
      </c>
      <c r="D140" s="107" t="s">
        <v>109</v>
      </c>
      <c r="E140" s="107" t="s">
        <v>109</v>
      </c>
      <c r="F140" s="107" t="s">
        <v>109</v>
      </c>
      <c r="G140" s="107" t="s">
        <v>109</v>
      </c>
      <c r="H140" s="2401">
        <v>15.425000000000001</v>
      </c>
      <c r="I140" s="2401">
        <v>18.071000000000002</v>
      </c>
      <c r="J140" s="2401">
        <v>8.1859999999999999</v>
      </c>
      <c r="K140" s="2401"/>
      <c r="L140" s="2401"/>
      <c r="M140" s="2401"/>
      <c r="N140" s="2401"/>
      <c r="O140" s="2401"/>
      <c r="P140" s="2401">
        <v>2.02</v>
      </c>
      <c r="Q140" s="2401">
        <v>8.11</v>
      </c>
      <c r="R140" s="2401"/>
      <c r="S140" s="2401"/>
      <c r="T140" s="2401">
        <v>14.893000000000001</v>
      </c>
      <c r="U140" s="2401"/>
      <c r="V140" s="2402">
        <v>6.45</v>
      </c>
      <c r="W140" s="2401"/>
      <c r="X140" s="2401"/>
      <c r="Y140" s="2401"/>
      <c r="Z140" s="2401"/>
      <c r="AA140" s="2401"/>
      <c r="AB140" s="2401"/>
      <c r="AC140" s="2401">
        <v>4.5670000000000002</v>
      </c>
      <c r="AD140" s="2401"/>
      <c r="AE140" s="2401"/>
      <c r="AF140" s="2401"/>
      <c r="AG140" s="2403"/>
      <c r="AH140" s="56">
        <f t="shared" si="27"/>
        <v>77.722000000000008</v>
      </c>
      <c r="AI140" s="59"/>
      <c r="AJ140" s="59"/>
      <c r="AK140" s="59"/>
      <c r="AL140" s="59"/>
    </row>
    <row r="141" spans="1:38" ht="15">
      <c r="A141" s="1039" t="s">
        <v>76</v>
      </c>
      <c r="B141" s="19">
        <f t="shared" si="26"/>
        <v>27.759999999999998</v>
      </c>
      <c r="C141" s="1689"/>
      <c r="D141" s="1689"/>
      <c r="E141" s="1689"/>
      <c r="F141" s="1689">
        <v>10.848000000000001</v>
      </c>
      <c r="G141" s="1689">
        <v>0.82699999999999996</v>
      </c>
      <c r="H141" s="2404">
        <v>4.9930000000000003</v>
      </c>
      <c r="I141" s="2404">
        <v>6.0289999999999999</v>
      </c>
      <c r="J141" s="2404"/>
      <c r="K141" s="2404">
        <v>0.255</v>
      </c>
      <c r="L141" s="2405"/>
      <c r="M141" s="2405">
        <v>4.8079999999999998</v>
      </c>
      <c r="N141" s="2405"/>
      <c r="O141" s="2405"/>
      <c r="P141" s="2405"/>
      <c r="Q141" s="2405"/>
      <c r="R141" s="2405"/>
      <c r="S141" s="2405"/>
      <c r="T141" s="2405"/>
      <c r="U141" s="2405"/>
      <c r="V141" s="2405"/>
      <c r="W141" s="2405"/>
      <c r="X141" s="2405"/>
      <c r="Y141" s="2405"/>
      <c r="Z141" s="2405"/>
      <c r="AA141" s="2405"/>
      <c r="AB141" s="2405"/>
      <c r="AC141" s="2405"/>
      <c r="AD141" s="2405"/>
      <c r="AE141" s="2405"/>
      <c r="AF141" s="2405"/>
      <c r="AG141" s="2405"/>
      <c r="AH141" s="2406">
        <f t="shared" si="27"/>
        <v>27.759999999999998</v>
      </c>
      <c r="AI141" s="2407"/>
      <c r="AJ141" s="2407"/>
      <c r="AK141" s="2407"/>
      <c r="AL141" s="2407"/>
    </row>
    <row r="142" spans="1:38" ht="15">
      <c r="A142" s="1523" t="s">
        <v>77</v>
      </c>
      <c r="B142" s="19">
        <f t="shared" si="26"/>
        <v>18.488999999999997</v>
      </c>
      <c r="C142" s="2408"/>
      <c r="D142" s="2408"/>
      <c r="E142" s="2408"/>
      <c r="F142" s="2408"/>
      <c r="G142" s="2408"/>
      <c r="H142" s="2408"/>
      <c r="I142" s="2408"/>
      <c r="J142" s="2408"/>
      <c r="K142" s="2408"/>
      <c r="L142" s="2408">
        <v>4.3899999999999997</v>
      </c>
      <c r="M142" s="2408"/>
      <c r="N142" s="2408"/>
      <c r="O142" s="2408"/>
      <c r="P142" s="2408"/>
      <c r="Q142" s="2408"/>
      <c r="R142" s="2408"/>
      <c r="S142" s="2408"/>
      <c r="T142" s="2408"/>
      <c r="U142" s="1091"/>
      <c r="V142" s="1091"/>
      <c r="W142" s="1091">
        <v>11.089</v>
      </c>
      <c r="X142" s="1091"/>
      <c r="Y142" s="1091">
        <v>3.01</v>
      </c>
      <c r="Z142" s="1091"/>
      <c r="AA142" s="1091"/>
      <c r="AB142" s="1091"/>
      <c r="AC142" s="1091"/>
      <c r="AD142" s="1091"/>
      <c r="AE142" s="1091"/>
      <c r="AF142" s="1091"/>
      <c r="AG142" s="1091"/>
      <c r="AH142" s="2406">
        <f t="shared" si="27"/>
        <v>18.488999999999997</v>
      </c>
      <c r="AI142" s="2407"/>
      <c r="AJ142" s="2407"/>
      <c r="AK142" s="2407"/>
      <c r="AL142" s="2407"/>
    </row>
    <row r="143" spans="1:38" ht="15">
      <c r="A143" s="1523" t="s">
        <v>78</v>
      </c>
      <c r="B143" s="19">
        <f t="shared" si="26"/>
        <v>13.923999999999999</v>
      </c>
      <c r="C143" s="1091"/>
      <c r="D143" s="1091"/>
      <c r="E143" s="1091"/>
      <c r="F143" s="1091"/>
      <c r="G143" s="1091"/>
      <c r="H143" s="1091"/>
      <c r="I143" s="1091"/>
      <c r="J143" s="1091"/>
      <c r="K143" s="1091"/>
      <c r="L143" s="1091"/>
      <c r="M143" s="1091"/>
      <c r="N143" s="1091"/>
      <c r="O143" s="1091"/>
      <c r="P143" s="1091"/>
      <c r="Q143" s="1091"/>
      <c r="R143" s="1091"/>
      <c r="S143" s="1091"/>
      <c r="T143" s="1091">
        <v>6.0579999999999998</v>
      </c>
      <c r="U143" s="1091">
        <v>7.8659999999999997</v>
      </c>
      <c r="V143" s="1091"/>
      <c r="W143" s="1091"/>
      <c r="X143" s="1091"/>
      <c r="Y143" s="1091"/>
      <c r="Z143" s="1091"/>
      <c r="AA143" s="1091"/>
      <c r="AB143" s="1091"/>
      <c r="AC143" s="1091"/>
      <c r="AD143" s="1091"/>
      <c r="AE143" s="1091"/>
      <c r="AF143" s="1091"/>
      <c r="AG143" s="1091"/>
      <c r="AH143" s="2406">
        <f t="shared" si="27"/>
        <v>13.923999999999999</v>
      </c>
      <c r="AI143" s="2407"/>
      <c r="AJ143" s="2407"/>
      <c r="AK143" s="2407"/>
      <c r="AL143" s="2407"/>
    </row>
    <row r="144" spans="1:38" ht="15">
      <c r="A144" s="1523" t="s">
        <v>79</v>
      </c>
      <c r="B144" s="19">
        <f t="shared" si="26"/>
        <v>0</v>
      </c>
      <c r="C144" s="1091"/>
      <c r="D144" s="1268"/>
      <c r="E144" s="1268"/>
      <c r="F144" s="1268"/>
      <c r="G144" s="1091"/>
      <c r="H144" s="1091"/>
      <c r="I144" s="1091"/>
      <c r="J144" s="2068"/>
      <c r="K144" s="2068"/>
      <c r="L144" s="1268"/>
      <c r="M144" s="1268"/>
      <c r="N144" s="1268"/>
      <c r="O144" s="1268"/>
      <c r="P144" s="1268"/>
      <c r="Q144" s="1268"/>
      <c r="R144" s="1268"/>
      <c r="S144" s="1268"/>
      <c r="T144" s="1268"/>
      <c r="U144" s="1268"/>
      <c r="V144" s="1268"/>
      <c r="W144" s="107"/>
      <c r="X144" s="107"/>
      <c r="Y144" s="107"/>
      <c r="Z144" s="107"/>
      <c r="AA144" s="107"/>
      <c r="AB144" s="107"/>
      <c r="AC144" s="107"/>
      <c r="AD144" s="107"/>
      <c r="AE144" s="107"/>
      <c r="AF144" s="107" t="s">
        <v>109</v>
      </c>
      <c r="AG144" s="107" t="s">
        <v>109</v>
      </c>
      <c r="AH144" s="2406">
        <f t="shared" si="27"/>
        <v>0</v>
      </c>
      <c r="AI144" s="2407"/>
      <c r="AJ144" s="2407"/>
      <c r="AK144" s="2407"/>
      <c r="AL144" s="2407"/>
    </row>
    <row r="145" spans="1:38" ht="15">
      <c r="A145" s="1523" t="s">
        <v>80</v>
      </c>
      <c r="B145" s="19">
        <f t="shared" si="26"/>
        <v>0</v>
      </c>
      <c r="C145" s="107" t="s">
        <v>109</v>
      </c>
      <c r="D145" s="107" t="s">
        <v>109</v>
      </c>
      <c r="E145" s="107" t="s">
        <v>109</v>
      </c>
      <c r="F145" s="107" t="s">
        <v>109</v>
      </c>
      <c r="G145" s="107" t="s">
        <v>109</v>
      </c>
      <c r="H145" s="107" t="s">
        <v>109</v>
      </c>
      <c r="I145" s="107" t="s">
        <v>109</v>
      </c>
      <c r="J145" s="107" t="s">
        <v>109</v>
      </c>
      <c r="K145" s="107" t="s">
        <v>109</v>
      </c>
      <c r="L145" s="107" t="s">
        <v>109</v>
      </c>
      <c r="M145" s="107" t="s">
        <v>109</v>
      </c>
      <c r="N145" s="107" t="s">
        <v>109</v>
      </c>
      <c r="O145" s="107" t="s">
        <v>109</v>
      </c>
      <c r="P145" s="107" t="s">
        <v>109</v>
      </c>
      <c r="Q145" s="107" t="s">
        <v>109</v>
      </c>
      <c r="R145" s="107" t="s">
        <v>109</v>
      </c>
      <c r="S145" s="107" t="s">
        <v>109</v>
      </c>
      <c r="T145" s="107" t="s">
        <v>109</v>
      </c>
      <c r="U145" s="107" t="s">
        <v>109</v>
      </c>
      <c r="V145" s="107" t="s">
        <v>109</v>
      </c>
      <c r="W145" s="107" t="s">
        <v>109</v>
      </c>
      <c r="X145" s="107" t="s">
        <v>109</v>
      </c>
      <c r="Y145" s="107" t="s">
        <v>109</v>
      </c>
      <c r="Z145" s="107" t="s">
        <v>109</v>
      </c>
      <c r="AA145" s="107" t="s">
        <v>109</v>
      </c>
      <c r="AB145" s="107" t="s">
        <v>109</v>
      </c>
      <c r="AC145" s="107" t="s">
        <v>109</v>
      </c>
      <c r="AD145" s="107" t="s">
        <v>109</v>
      </c>
      <c r="AE145" s="107" t="s">
        <v>109</v>
      </c>
      <c r="AF145" s="107" t="s">
        <v>109</v>
      </c>
      <c r="AG145" s="107" t="s">
        <v>109</v>
      </c>
      <c r="AH145" s="56">
        <f t="shared" si="27"/>
        <v>0</v>
      </c>
      <c r="AI145" s="59"/>
      <c r="AJ145" s="59"/>
      <c r="AK145" s="59"/>
      <c r="AL145" s="59"/>
    </row>
    <row r="146" spans="1:38" ht="15">
      <c r="A146" s="1522" t="s">
        <v>81</v>
      </c>
      <c r="B146" s="19">
        <f t="shared" si="26"/>
        <v>0</v>
      </c>
      <c r="C146" s="107" t="s">
        <v>109</v>
      </c>
      <c r="D146" s="107" t="s">
        <v>109</v>
      </c>
      <c r="E146" s="107" t="s">
        <v>109</v>
      </c>
      <c r="F146" s="107" t="s">
        <v>109</v>
      </c>
      <c r="G146" s="107" t="s">
        <v>109</v>
      </c>
      <c r="H146" s="107" t="s">
        <v>109</v>
      </c>
      <c r="I146" s="107" t="s">
        <v>109</v>
      </c>
      <c r="J146" s="107" t="s">
        <v>109</v>
      </c>
      <c r="K146" s="107" t="s">
        <v>109</v>
      </c>
      <c r="L146" s="107" t="s">
        <v>109</v>
      </c>
      <c r="M146" s="107" t="s">
        <v>109</v>
      </c>
      <c r="N146" s="107" t="s">
        <v>109</v>
      </c>
      <c r="O146" s="107" t="s">
        <v>109</v>
      </c>
      <c r="P146" s="107" t="s">
        <v>109</v>
      </c>
      <c r="Q146" s="107" t="s">
        <v>109</v>
      </c>
      <c r="R146" s="107" t="s">
        <v>109</v>
      </c>
      <c r="S146" s="107" t="s">
        <v>109</v>
      </c>
      <c r="T146" s="107" t="s">
        <v>109</v>
      </c>
      <c r="U146" s="107" t="s">
        <v>109</v>
      </c>
      <c r="V146" s="107" t="s">
        <v>109</v>
      </c>
      <c r="W146" s="107" t="s">
        <v>109</v>
      </c>
      <c r="X146" s="107" t="s">
        <v>109</v>
      </c>
      <c r="Y146" s="107" t="s">
        <v>109</v>
      </c>
      <c r="Z146" s="107" t="s">
        <v>109</v>
      </c>
      <c r="AA146" s="107" t="s">
        <v>109</v>
      </c>
      <c r="AB146" s="107" t="s">
        <v>109</v>
      </c>
      <c r="AC146" s="107" t="s">
        <v>109</v>
      </c>
      <c r="AD146" s="107" t="s">
        <v>109</v>
      </c>
      <c r="AE146" s="107" t="s">
        <v>109</v>
      </c>
      <c r="AF146" s="107" t="s">
        <v>109</v>
      </c>
      <c r="AG146" s="107" t="s">
        <v>109</v>
      </c>
      <c r="AH146" s="56">
        <f t="shared" si="27"/>
        <v>0</v>
      </c>
      <c r="AI146" s="59"/>
      <c r="AJ146" s="59"/>
      <c r="AK146" s="59"/>
      <c r="AL146" s="59"/>
    </row>
    <row r="147" spans="1:38" ht="15">
      <c r="A147" s="1522" t="s">
        <v>82</v>
      </c>
      <c r="B147" s="19">
        <f t="shared" si="26"/>
        <v>0</v>
      </c>
      <c r="C147" s="107" t="s">
        <v>109</v>
      </c>
      <c r="D147" s="107" t="s">
        <v>109</v>
      </c>
      <c r="E147" s="107" t="s">
        <v>109</v>
      </c>
      <c r="F147" s="107" t="s">
        <v>109</v>
      </c>
      <c r="G147" s="107" t="s">
        <v>109</v>
      </c>
      <c r="H147" s="107" t="s">
        <v>109</v>
      </c>
      <c r="I147" s="107" t="s">
        <v>109</v>
      </c>
      <c r="J147" s="107" t="s">
        <v>109</v>
      </c>
      <c r="K147" s="107" t="s">
        <v>109</v>
      </c>
      <c r="L147" s="107" t="s">
        <v>109</v>
      </c>
      <c r="M147" s="107" t="s">
        <v>109</v>
      </c>
      <c r="N147" s="107" t="s">
        <v>109</v>
      </c>
      <c r="O147" s="107" t="s">
        <v>109</v>
      </c>
      <c r="P147" s="107" t="s">
        <v>109</v>
      </c>
      <c r="Q147" s="107" t="s">
        <v>109</v>
      </c>
      <c r="R147" s="107" t="s">
        <v>109</v>
      </c>
      <c r="S147" s="107" t="s">
        <v>109</v>
      </c>
      <c r="T147" s="107" t="s">
        <v>109</v>
      </c>
      <c r="U147" s="107" t="s">
        <v>109</v>
      </c>
      <c r="V147" s="107" t="s">
        <v>109</v>
      </c>
      <c r="W147" s="107" t="s">
        <v>109</v>
      </c>
      <c r="X147" s="1091"/>
      <c r="Y147" s="1091"/>
      <c r="Z147" s="1091"/>
      <c r="AA147" s="1091"/>
      <c r="AB147" s="1091"/>
      <c r="AC147" s="1091"/>
      <c r="AD147" s="1091"/>
      <c r="AE147" s="1268"/>
      <c r="AF147" s="1091"/>
      <c r="AG147" s="1268"/>
      <c r="AH147" s="56">
        <f t="shared" si="27"/>
        <v>0</v>
      </c>
      <c r="AI147" s="59"/>
      <c r="AJ147" s="59"/>
      <c r="AK147" s="59"/>
      <c r="AL147" s="59"/>
    </row>
    <row r="148" spans="1:38" ht="15">
      <c r="A148" s="1522" t="s">
        <v>83</v>
      </c>
      <c r="B148" s="19">
        <f t="shared" si="26"/>
        <v>0</v>
      </c>
      <c r="C148" s="35"/>
      <c r="D148" s="15"/>
      <c r="E148" s="15"/>
      <c r="F148" s="15"/>
      <c r="G148" s="11"/>
      <c r="H148" s="15"/>
      <c r="I148" s="15"/>
      <c r="J148" s="15"/>
      <c r="K148" s="15"/>
      <c r="L148" s="15"/>
      <c r="M148" s="15"/>
      <c r="N148" s="15"/>
      <c r="O148" s="15"/>
      <c r="P148" s="15"/>
      <c r="Q148" s="15"/>
      <c r="R148" s="15"/>
      <c r="S148" s="15"/>
      <c r="T148" s="15"/>
      <c r="U148" s="15"/>
      <c r="V148" s="15"/>
      <c r="W148" s="15"/>
      <c r="X148" s="15"/>
      <c r="Y148" s="11"/>
      <c r="Z148" s="15"/>
      <c r="AA148" s="15"/>
      <c r="AB148" s="15"/>
      <c r="AC148" s="15"/>
      <c r="AD148" s="15"/>
      <c r="AE148" s="39"/>
      <c r="AF148" s="15"/>
      <c r="AG148" s="39"/>
      <c r="AH148" s="56">
        <f t="shared" si="27"/>
        <v>0</v>
      </c>
      <c r="AI148" s="59"/>
      <c r="AJ148" s="59"/>
      <c r="AK148" s="59"/>
      <c r="AL148" s="59"/>
    </row>
    <row r="149" spans="1:38" ht="15">
      <c r="A149" s="1522" t="s">
        <v>84</v>
      </c>
      <c r="B149" s="19">
        <f t="shared" si="26"/>
        <v>0</v>
      </c>
      <c r="C149" s="35"/>
      <c r="D149" s="15"/>
      <c r="E149" s="15"/>
      <c r="F149" s="15"/>
      <c r="G149" s="15"/>
      <c r="H149" s="15"/>
      <c r="I149" s="15"/>
      <c r="J149" s="15"/>
      <c r="K149" s="15"/>
      <c r="L149" s="1084" t="s">
        <v>109</v>
      </c>
      <c r="M149" s="1084" t="s">
        <v>109</v>
      </c>
      <c r="N149" s="1084" t="s">
        <v>109</v>
      </c>
      <c r="O149" s="1084" t="s">
        <v>109</v>
      </c>
      <c r="P149" s="1084" t="s">
        <v>109</v>
      </c>
      <c r="Q149" s="1084" t="s">
        <v>109</v>
      </c>
      <c r="R149" s="1084" t="s">
        <v>109</v>
      </c>
      <c r="S149" s="1084" t="s">
        <v>109</v>
      </c>
      <c r="T149" s="1084" t="s">
        <v>109</v>
      </c>
      <c r="U149" s="1084" t="s">
        <v>109</v>
      </c>
      <c r="V149" s="1084" t="s">
        <v>109</v>
      </c>
      <c r="W149" s="1084" t="s">
        <v>109</v>
      </c>
      <c r="X149" s="1084" t="s">
        <v>109</v>
      </c>
      <c r="Y149" s="1084" t="s">
        <v>109</v>
      </c>
      <c r="Z149" s="1084" t="s">
        <v>109</v>
      </c>
      <c r="AA149" s="1084" t="s">
        <v>109</v>
      </c>
      <c r="AB149" s="1084" t="s">
        <v>109</v>
      </c>
      <c r="AC149" s="1084" t="s">
        <v>109</v>
      </c>
      <c r="AD149" s="1084" t="s">
        <v>109</v>
      </c>
      <c r="AE149" s="1084" t="s">
        <v>109</v>
      </c>
      <c r="AF149" s="1084" t="s">
        <v>109</v>
      </c>
      <c r="AG149" s="1084" t="s">
        <v>109</v>
      </c>
      <c r="AH149" s="56">
        <f t="shared" si="27"/>
        <v>0</v>
      </c>
      <c r="AI149" s="59"/>
      <c r="AJ149" s="59"/>
      <c r="AK149" s="59"/>
      <c r="AL149" s="59"/>
    </row>
    <row r="150" spans="1:38" ht="15">
      <c r="A150" s="71" t="s">
        <v>72</v>
      </c>
      <c r="B150" s="73">
        <f t="shared" ref="B150:AH150" si="28">SUM(B138:B149)</f>
        <v>137.89500000000001</v>
      </c>
      <c r="C150" s="56">
        <f t="shared" si="28"/>
        <v>0</v>
      </c>
      <c r="D150" s="56">
        <f t="shared" si="28"/>
        <v>0</v>
      </c>
      <c r="E150" s="56">
        <f t="shared" si="28"/>
        <v>0</v>
      </c>
      <c r="F150" s="56">
        <f t="shared" si="28"/>
        <v>10.848000000000001</v>
      </c>
      <c r="G150" s="56">
        <f t="shared" si="28"/>
        <v>0.82699999999999996</v>
      </c>
      <c r="H150" s="56">
        <f t="shared" si="28"/>
        <v>20.417999999999999</v>
      </c>
      <c r="I150" s="56">
        <f t="shared" si="28"/>
        <v>24.1</v>
      </c>
      <c r="J150" s="56">
        <f t="shared" si="28"/>
        <v>8.1859999999999999</v>
      </c>
      <c r="K150" s="56">
        <f t="shared" si="28"/>
        <v>0.255</v>
      </c>
      <c r="L150" s="56">
        <f t="shared" si="28"/>
        <v>4.3899999999999997</v>
      </c>
      <c r="M150" s="56">
        <f t="shared" si="28"/>
        <v>4.8079999999999998</v>
      </c>
      <c r="N150" s="56">
        <f t="shared" si="28"/>
        <v>0</v>
      </c>
      <c r="O150" s="56">
        <f t="shared" si="28"/>
        <v>0</v>
      </c>
      <c r="P150" s="56">
        <f t="shared" si="28"/>
        <v>2.02</v>
      </c>
      <c r="Q150" s="56">
        <f t="shared" si="28"/>
        <v>8.11</v>
      </c>
      <c r="R150" s="56">
        <f t="shared" si="28"/>
        <v>0</v>
      </c>
      <c r="S150" s="56">
        <f t="shared" si="28"/>
        <v>0</v>
      </c>
      <c r="T150" s="56">
        <f t="shared" si="28"/>
        <v>20.951000000000001</v>
      </c>
      <c r="U150" s="56">
        <f t="shared" si="28"/>
        <v>7.8659999999999997</v>
      </c>
      <c r="V150" s="56">
        <f t="shared" si="28"/>
        <v>6.45</v>
      </c>
      <c r="W150" s="56">
        <f t="shared" si="28"/>
        <v>11.089</v>
      </c>
      <c r="X150" s="56">
        <f t="shared" si="28"/>
        <v>0</v>
      </c>
      <c r="Y150" s="56">
        <f t="shared" si="28"/>
        <v>3.01</v>
      </c>
      <c r="Z150" s="56">
        <f t="shared" si="28"/>
        <v>0</v>
      </c>
      <c r="AA150" s="56">
        <f t="shared" si="28"/>
        <v>0</v>
      </c>
      <c r="AB150" s="56">
        <f t="shared" si="28"/>
        <v>0</v>
      </c>
      <c r="AC150" s="56">
        <f t="shared" si="28"/>
        <v>4.5670000000000002</v>
      </c>
      <c r="AD150" s="56">
        <f t="shared" si="28"/>
        <v>0</v>
      </c>
      <c r="AE150" s="56">
        <f t="shared" si="28"/>
        <v>0</v>
      </c>
      <c r="AF150" s="56">
        <f t="shared" si="28"/>
        <v>0</v>
      </c>
      <c r="AG150" s="56">
        <f t="shared" si="28"/>
        <v>0</v>
      </c>
      <c r="AH150" s="56">
        <f t="shared" si="28"/>
        <v>137.89500000000001</v>
      </c>
      <c r="AI150" s="59"/>
      <c r="AJ150" s="59"/>
      <c r="AK150" s="59"/>
      <c r="AL150" s="59"/>
    </row>
    <row r="152" spans="1:38" ht="15" hidden="1">
      <c r="A152" s="3811" t="s">
        <v>545</v>
      </c>
      <c r="B152" s="3812"/>
      <c r="C152" s="3813"/>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55"/>
      <c r="AI152" s="55"/>
      <c r="AJ152" s="55"/>
      <c r="AK152" s="55"/>
      <c r="AL152" s="55"/>
    </row>
    <row r="153" spans="1:38" ht="15" hidden="1">
      <c r="A153" s="5" t="s">
        <v>70</v>
      </c>
      <c r="B153" s="19" t="s">
        <v>71</v>
      </c>
      <c r="C153" s="2400">
        <v>1</v>
      </c>
      <c r="D153" s="23">
        <v>2</v>
      </c>
      <c r="E153" s="23">
        <v>3</v>
      </c>
      <c r="F153" s="23">
        <v>4</v>
      </c>
      <c r="G153" s="23">
        <v>5</v>
      </c>
      <c r="H153" s="23">
        <v>6</v>
      </c>
      <c r="I153" s="23">
        <v>7</v>
      </c>
      <c r="J153" s="23">
        <v>8</v>
      </c>
      <c r="K153" s="23">
        <v>9</v>
      </c>
      <c r="L153" s="23">
        <v>10</v>
      </c>
      <c r="M153" s="23">
        <v>11</v>
      </c>
      <c r="N153" s="23">
        <v>12</v>
      </c>
      <c r="O153" s="23">
        <v>13</v>
      </c>
      <c r="P153" s="23">
        <v>14</v>
      </c>
      <c r="Q153" s="23">
        <v>15</v>
      </c>
      <c r="R153" s="23">
        <v>16</v>
      </c>
      <c r="S153" s="23">
        <v>17</v>
      </c>
      <c r="T153" s="23">
        <v>18</v>
      </c>
      <c r="U153" s="23">
        <v>19</v>
      </c>
      <c r="V153" s="23">
        <v>20</v>
      </c>
      <c r="W153" s="23">
        <v>21</v>
      </c>
      <c r="X153" s="23">
        <v>22</v>
      </c>
      <c r="Y153" s="23">
        <v>23</v>
      </c>
      <c r="Z153" s="23">
        <v>24</v>
      </c>
      <c r="AA153" s="23">
        <v>25</v>
      </c>
      <c r="AB153" s="23">
        <v>26</v>
      </c>
      <c r="AC153" s="23">
        <v>27</v>
      </c>
      <c r="AD153" s="23">
        <v>28</v>
      </c>
      <c r="AE153" s="23">
        <v>29</v>
      </c>
      <c r="AF153" s="23">
        <v>30</v>
      </c>
      <c r="AG153" s="23">
        <v>31</v>
      </c>
      <c r="AH153" s="56" t="s">
        <v>72</v>
      </c>
      <c r="AI153" s="59"/>
      <c r="AJ153" s="59"/>
      <c r="AK153" s="59"/>
      <c r="AL153" s="59"/>
    </row>
    <row r="154" spans="1:38" ht="15" hidden="1">
      <c r="A154" s="1039" t="s">
        <v>73</v>
      </c>
      <c r="B154" s="19">
        <f t="shared" ref="B154:B165" si="29">+AH154</f>
        <v>0</v>
      </c>
      <c r="C154" s="107" t="s">
        <v>109</v>
      </c>
      <c r="D154" s="107" t="s">
        <v>109</v>
      </c>
      <c r="E154" s="107" t="s">
        <v>109</v>
      </c>
      <c r="F154" s="107" t="s">
        <v>109</v>
      </c>
      <c r="G154" s="107" t="s">
        <v>109</v>
      </c>
      <c r="H154" s="107" t="s">
        <v>109</v>
      </c>
      <c r="I154" s="107" t="s">
        <v>109</v>
      </c>
      <c r="J154" s="107" t="s">
        <v>109</v>
      </c>
      <c r="K154" s="107" t="s">
        <v>109</v>
      </c>
      <c r="L154" s="107" t="s">
        <v>109</v>
      </c>
      <c r="M154" s="107" t="s">
        <v>109</v>
      </c>
      <c r="N154" s="107" t="s">
        <v>109</v>
      </c>
      <c r="O154" s="107" t="s">
        <v>109</v>
      </c>
      <c r="P154" s="107" t="s">
        <v>109</v>
      </c>
      <c r="Q154" s="107" t="s">
        <v>109</v>
      </c>
      <c r="R154" s="107" t="s">
        <v>109</v>
      </c>
      <c r="S154" s="107" t="s">
        <v>109</v>
      </c>
      <c r="T154" s="107" t="s">
        <v>109</v>
      </c>
      <c r="U154" s="107" t="s">
        <v>109</v>
      </c>
      <c r="V154" s="107" t="s">
        <v>109</v>
      </c>
      <c r="W154" s="107" t="s">
        <v>109</v>
      </c>
      <c r="X154" s="107" t="s">
        <v>109</v>
      </c>
      <c r="Y154" s="107" t="s">
        <v>109</v>
      </c>
      <c r="Z154" s="107" t="s">
        <v>109</v>
      </c>
      <c r="AA154" s="107" t="s">
        <v>109</v>
      </c>
      <c r="AB154" s="107" t="s">
        <v>109</v>
      </c>
      <c r="AC154" s="107" t="s">
        <v>109</v>
      </c>
      <c r="AD154" s="107" t="s">
        <v>109</v>
      </c>
      <c r="AE154" s="107" t="s">
        <v>109</v>
      </c>
      <c r="AF154" s="107" t="s">
        <v>109</v>
      </c>
      <c r="AG154" s="107" t="s">
        <v>109</v>
      </c>
      <c r="AH154" s="56">
        <f>SUM(C154:AG154)</f>
        <v>0</v>
      </c>
      <c r="AI154" s="59"/>
      <c r="AJ154" s="59"/>
      <c r="AK154" s="59"/>
      <c r="AL154" s="59"/>
    </row>
    <row r="155" spans="1:38" ht="15" hidden="1">
      <c r="A155" s="1039" t="s">
        <v>74</v>
      </c>
      <c r="B155" s="19">
        <f t="shared" si="29"/>
        <v>0</v>
      </c>
      <c r="C155" s="107" t="s">
        <v>109</v>
      </c>
      <c r="D155" s="107" t="s">
        <v>109</v>
      </c>
      <c r="E155" s="107" t="s">
        <v>109</v>
      </c>
      <c r="F155" s="107" t="s">
        <v>109</v>
      </c>
      <c r="G155" s="107" t="s">
        <v>109</v>
      </c>
      <c r="H155" s="107" t="s">
        <v>109</v>
      </c>
      <c r="I155" s="107" t="s">
        <v>109</v>
      </c>
      <c r="J155" s="107" t="s">
        <v>109</v>
      </c>
      <c r="K155" s="107" t="s">
        <v>109</v>
      </c>
      <c r="L155" s="107" t="s">
        <v>109</v>
      </c>
      <c r="M155" s="107" t="s">
        <v>109</v>
      </c>
      <c r="N155" s="107" t="s">
        <v>109</v>
      </c>
      <c r="O155" s="107" t="s">
        <v>109</v>
      </c>
      <c r="P155" s="107" t="s">
        <v>109</v>
      </c>
      <c r="Q155" s="107" t="s">
        <v>109</v>
      </c>
      <c r="R155" s="107" t="s">
        <v>109</v>
      </c>
      <c r="S155" s="107" t="s">
        <v>109</v>
      </c>
      <c r="T155" s="107" t="s">
        <v>109</v>
      </c>
      <c r="U155" s="107" t="s">
        <v>109</v>
      </c>
      <c r="V155" s="107" t="s">
        <v>109</v>
      </c>
      <c r="W155" s="107" t="s">
        <v>109</v>
      </c>
      <c r="X155" s="107" t="s">
        <v>109</v>
      </c>
      <c r="Y155" s="107" t="s">
        <v>109</v>
      </c>
      <c r="Z155" s="107" t="s">
        <v>109</v>
      </c>
      <c r="AA155" s="107" t="s">
        <v>109</v>
      </c>
      <c r="AB155" s="107" t="s">
        <v>109</v>
      </c>
      <c r="AC155" s="107" t="s">
        <v>109</v>
      </c>
      <c r="AD155" s="107" t="s">
        <v>109</v>
      </c>
      <c r="AE155" s="107" t="s">
        <v>109</v>
      </c>
      <c r="AF155" s="107" t="s">
        <v>109</v>
      </c>
      <c r="AG155" s="107" t="s">
        <v>109</v>
      </c>
      <c r="AH155" s="56">
        <f t="shared" ref="AH155:AH165" si="30">SUM(C155:AG155)</f>
        <v>0</v>
      </c>
      <c r="AI155" s="59"/>
      <c r="AJ155" s="59"/>
      <c r="AK155" s="59"/>
      <c r="AL155" s="59"/>
    </row>
    <row r="156" spans="1:38" ht="15" hidden="1">
      <c r="A156" s="1039" t="s">
        <v>75</v>
      </c>
      <c r="B156" s="19">
        <f t="shared" si="29"/>
        <v>0</v>
      </c>
      <c r="C156" s="107" t="s">
        <v>109</v>
      </c>
      <c r="D156" s="107" t="s">
        <v>109</v>
      </c>
      <c r="E156" s="107" t="s">
        <v>109</v>
      </c>
      <c r="F156" s="107" t="s">
        <v>109</v>
      </c>
      <c r="G156" s="107" t="s">
        <v>109</v>
      </c>
      <c r="H156" s="2409"/>
      <c r="I156" s="2410"/>
      <c r="J156" s="2410"/>
      <c r="K156" s="2410"/>
      <c r="L156" s="2410"/>
      <c r="M156" s="2410"/>
      <c r="N156" s="2411"/>
      <c r="O156" s="2411"/>
      <c r="P156" s="2411"/>
      <c r="Q156" s="2411"/>
      <c r="R156" s="2411"/>
      <c r="S156" s="2411"/>
      <c r="T156" s="2411"/>
      <c r="U156" s="2411"/>
      <c r="V156" s="2411"/>
      <c r="W156" s="2411"/>
      <c r="X156" s="2411"/>
      <c r="Y156" s="2411"/>
      <c r="Z156" s="2411"/>
      <c r="AA156" s="2411"/>
      <c r="AB156" s="2411"/>
      <c r="AC156" s="2411"/>
      <c r="AD156" s="2411"/>
      <c r="AE156" s="2411"/>
      <c r="AF156" s="2411"/>
      <c r="AG156" s="2411"/>
      <c r="AH156" s="56">
        <f t="shared" si="30"/>
        <v>0</v>
      </c>
      <c r="AI156" s="59"/>
      <c r="AJ156" s="59"/>
      <c r="AK156" s="59"/>
      <c r="AL156" s="59"/>
    </row>
    <row r="157" spans="1:38" ht="15" hidden="1">
      <c r="A157" s="1039" t="s">
        <v>76</v>
      </c>
      <c r="B157" s="19">
        <f t="shared" si="29"/>
        <v>0</v>
      </c>
      <c r="C157" s="107" t="s">
        <v>109</v>
      </c>
      <c r="D157" s="107" t="s">
        <v>109</v>
      </c>
      <c r="E157" s="107" t="s">
        <v>109</v>
      </c>
      <c r="F157" s="107" t="s">
        <v>109</v>
      </c>
      <c r="G157" s="107" t="s">
        <v>109</v>
      </c>
      <c r="H157" s="2412" t="s">
        <v>109</v>
      </c>
      <c r="I157" s="2412" t="s">
        <v>109</v>
      </c>
      <c r="J157" s="2412" t="s">
        <v>109</v>
      </c>
      <c r="K157" s="2412" t="s">
        <v>109</v>
      </c>
      <c r="L157" s="2413"/>
      <c r="M157" s="2413"/>
      <c r="N157" s="2413"/>
      <c r="O157" s="2413"/>
      <c r="P157" s="2413"/>
      <c r="Q157" s="2413"/>
      <c r="R157" s="2413"/>
      <c r="S157" s="2413"/>
      <c r="T157" s="2413"/>
      <c r="U157" s="2413"/>
      <c r="V157" s="2413"/>
      <c r="W157" s="2413"/>
      <c r="X157" s="2413"/>
      <c r="Y157" s="2413"/>
      <c r="Z157" s="2413"/>
      <c r="AA157" s="2413"/>
      <c r="AB157" s="2413"/>
      <c r="AC157" s="2413"/>
      <c r="AD157" s="2413"/>
      <c r="AE157" s="2413"/>
      <c r="AF157" s="2413"/>
      <c r="AG157" s="2413"/>
      <c r="AH157" s="2406">
        <f t="shared" si="30"/>
        <v>0</v>
      </c>
      <c r="AI157" s="2407"/>
      <c r="AJ157" s="2407"/>
      <c r="AK157" s="2407"/>
      <c r="AL157" s="2407"/>
    </row>
    <row r="158" spans="1:38" ht="15" hidden="1">
      <c r="A158" s="1523" t="s">
        <v>77</v>
      </c>
      <c r="B158" s="19">
        <f t="shared" si="29"/>
        <v>0</v>
      </c>
      <c r="C158" s="3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2406">
        <f t="shared" si="30"/>
        <v>0</v>
      </c>
      <c r="AI158" s="2407"/>
      <c r="AJ158" s="2407"/>
      <c r="AK158" s="2407"/>
      <c r="AL158" s="2407"/>
    </row>
    <row r="159" spans="1:38" ht="15" hidden="1">
      <c r="A159" s="1523" t="s">
        <v>78</v>
      </c>
      <c r="B159" s="19">
        <f t="shared" si="29"/>
        <v>0</v>
      </c>
      <c r="C159" s="35"/>
      <c r="D159" s="15"/>
      <c r="E159" s="15"/>
      <c r="F159" s="15"/>
      <c r="G159" s="15"/>
      <c r="H159" s="65" t="s">
        <v>110</v>
      </c>
      <c r="I159" s="65" t="s">
        <v>110</v>
      </c>
      <c r="J159" s="65" t="s">
        <v>110</v>
      </c>
      <c r="K159" s="65" t="s">
        <v>110</v>
      </c>
      <c r="L159" s="65" t="s">
        <v>110</v>
      </c>
      <c r="M159" s="65" t="s">
        <v>110</v>
      </c>
      <c r="N159" s="65" t="s">
        <v>110</v>
      </c>
      <c r="O159" s="65" t="s">
        <v>110</v>
      </c>
      <c r="P159" s="65" t="s">
        <v>110</v>
      </c>
      <c r="Q159" s="65" t="s">
        <v>110</v>
      </c>
      <c r="R159" s="65" t="s">
        <v>110</v>
      </c>
      <c r="S159" s="65" t="s">
        <v>110</v>
      </c>
      <c r="T159" s="65" t="s">
        <v>110</v>
      </c>
      <c r="U159" s="65" t="s">
        <v>110</v>
      </c>
      <c r="V159" s="65" t="s">
        <v>110</v>
      </c>
      <c r="W159" s="65" t="s">
        <v>110</v>
      </c>
      <c r="X159" s="65" t="s">
        <v>110</v>
      </c>
      <c r="Y159" s="15"/>
      <c r="Z159" s="15"/>
      <c r="AA159" s="15"/>
      <c r="AB159" s="15"/>
      <c r="AC159" s="15"/>
      <c r="AD159" s="15"/>
      <c r="AE159" s="15"/>
      <c r="AF159" s="15"/>
      <c r="AG159" s="15"/>
      <c r="AH159" s="2406">
        <f t="shared" si="30"/>
        <v>0</v>
      </c>
      <c r="AI159" s="2407"/>
      <c r="AJ159" s="2407"/>
      <c r="AK159" s="2407"/>
      <c r="AL159" s="2407"/>
    </row>
    <row r="160" spans="1:38" ht="15" hidden="1">
      <c r="A160" s="1523" t="s">
        <v>79</v>
      </c>
      <c r="B160" s="19">
        <f t="shared" si="29"/>
        <v>0</v>
      </c>
      <c r="C160" s="35"/>
      <c r="D160" s="39"/>
      <c r="E160" s="39"/>
      <c r="F160" s="39"/>
      <c r="G160" s="15"/>
      <c r="H160" s="15"/>
      <c r="I160" s="15"/>
      <c r="J160" s="43"/>
      <c r="K160" s="43"/>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2406">
        <f t="shared" si="30"/>
        <v>0</v>
      </c>
      <c r="AI160" s="2407"/>
      <c r="AJ160" s="2407"/>
      <c r="AK160" s="2407"/>
      <c r="AL160" s="2407"/>
    </row>
    <row r="161" spans="1:38" ht="15" hidden="1">
      <c r="A161" s="1523" t="s">
        <v>80</v>
      </c>
      <c r="B161" s="19">
        <f t="shared" si="29"/>
        <v>0</v>
      </c>
      <c r="C161" s="35"/>
      <c r="D161" s="15"/>
      <c r="E161" s="15"/>
      <c r="F161" s="15"/>
      <c r="G161" s="15"/>
      <c r="H161" s="15"/>
      <c r="I161" s="15"/>
      <c r="J161" s="2399" t="s">
        <v>110</v>
      </c>
      <c r="K161" s="2399" t="s">
        <v>110</v>
      </c>
      <c r="L161" s="2399" t="s">
        <v>110</v>
      </c>
      <c r="M161" s="2399" t="s">
        <v>110</v>
      </c>
      <c r="N161" s="2399" t="s">
        <v>110</v>
      </c>
      <c r="O161" s="2399" t="s">
        <v>110</v>
      </c>
      <c r="P161" s="2399" t="s">
        <v>110</v>
      </c>
      <c r="Q161" s="2399" t="s">
        <v>110</v>
      </c>
      <c r="R161" s="2399" t="s">
        <v>110</v>
      </c>
      <c r="S161" s="2399" t="s">
        <v>110</v>
      </c>
      <c r="T161" s="2399" t="s">
        <v>110</v>
      </c>
      <c r="U161" s="2399" t="s">
        <v>110</v>
      </c>
      <c r="V161" s="2399" t="s">
        <v>110</v>
      </c>
      <c r="W161" s="2399" t="s">
        <v>110</v>
      </c>
      <c r="X161" s="2399" t="s">
        <v>110</v>
      </c>
      <c r="Y161" s="2399" t="s">
        <v>110</v>
      </c>
      <c r="Z161" s="2399" t="s">
        <v>110</v>
      </c>
      <c r="AA161" s="2399" t="s">
        <v>110</v>
      </c>
      <c r="AB161" s="2399" t="s">
        <v>110</v>
      </c>
      <c r="AC161" s="2399" t="s">
        <v>110</v>
      </c>
      <c r="AD161" s="2399" t="s">
        <v>110</v>
      </c>
      <c r="AE161" s="2399" t="s">
        <v>110</v>
      </c>
      <c r="AF161" s="2399" t="s">
        <v>110</v>
      </c>
      <c r="AG161" s="2399" t="s">
        <v>110</v>
      </c>
      <c r="AH161" s="56">
        <f t="shared" si="30"/>
        <v>0</v>
      </c>
      <c r="AI161" s="59"/>
      <c r="AJ161" s="59"/>
      <c r="AK161" s="59"/>
      <c r="AL161" s="59"/>
    </row>
    <row r="162" spans="1:38" ht="15" hidden="1">
      <c r="A162" s="1522" t="s">
        <v>81</v>
      </c>
      <c r="B162" s="19">
        <f t="shared" si="29"/>
        <v>0</v>
      </c>
      <c r="C162" s="2399" t="s">
        <v>110</v>
      </c>
      <c r="D162" s="2399" t="s">
        <v>110</v>
      </c>
      <c r="E162" s="2399" t="s">
        <v>110</v>
      </c>
      <c r="F162" s="2399" t="s">
        <v>110</v>
      </c>
      <c r="G162" s="2399" t="s">
        <v>110</v>
      </c>
      <c r="H162" s="2399" t="s">
        <v>110</v>
      </c>
      <c r="I162" s="2399" t="s">
        <v>110</v>
      </c>
      <c r="J162" s="2399" t="s">
        <v>110</v>
      </c>
      <c r="K162" s="2399" t="s">
        <v>110</v>
      </c>
      <c r="L162" s="2399" t="s">
        <v>110</v>
      </c>
      <c r="M162" s="2399" t="s">
        <v>110</v>
      </c>
      <c r="N162" s="2399" t="s">
        <v>110</v>
      </c>
      <c r="O162" s="2399" t="s">
        <v>110</v>
      </c>
      <c r="P162" s="2399" t="s">
        <v>110</v>
      </c>
      <c r="Q162" s="2399" t="s">
        <v>110</v>
      </c>
      <c r="R162" s="2399" t="s">
        <v>110</v>
      </c>
      <c r="S162" s="2399" t="s">
        <v>110</v>
      </c>
      <c r="T162" s="2399" t="s">
        <v>110</v>
      </c>
      <c r="U162" s="2399" t="s">
        <v>110</v>
      </c>
      <c r="V162" s="2399" t="s">
        <v>110</v>
      </c>
      <c r="W162" s="2399" t="s">
        <v>110</v>
      </c>
      <c r="X162" s="2399" t="s">
        <v>110</v>
      </c>
      <c r="Y162" s="2399" t="s">
        <v>110</v>
      </c>
      <c r="Z162" s="2399" t="s">
        <v>110</v>
      </c>
      <c r="AA162" s="2399" t="s">
        <v>110</v>
      </c>
      <c r="AB162" s="2399" t="s">
        <v>110</v>
      </c>
      <c r="AC162" s="2399" t="s">
        <v>110</v>
      </c>
      <c r="AD162" s="2399" t="s">
        <v>110</v>
      </c>
      <c r="AE162" s="2399" t="s">
        <v>110</v>
      </c>
      <c r="AF162" s="2399" t="s">
        <v>110</v>
      </c>
      <c r="AG162" s="2399" t="s">
        <v>110</v>
      </c>
      <c r="AH162" s="56">
        <f t="shared" si="30"/>
        <v>0</v>
      </c>
      <c r="AI162" s="59"/>
      <c r="AJ162" s="59"/>
      <c r="AK162" s="59"/>
      <c r="AL162" s="59"/>
    </row>
    <row r="163" spans="1:38" ht="15" hidden="1">
      <c r="A163" s="1522" t="s">
        <v>82</v>
      </c>
      <c r="B163" s="19">
        <f t="shared" si="29"/>
        <v>0</v>
      </c>
      <c r="C163" s="2399" t="s">
        <v>110</v>
      </c>
      <c r="D163" s="2399" t="s">
        <v>110</v>
      </c>
      <c r="E163" s="2399" t="s">
        <v>110</v>
      </c>
      <c r="F163" s="2399" t="s">
        <v>110</v>
      </c>
      <c r="G163" s="2399" t="s">
        <v>110</v>
      </c>
      <c r="H163" s="2399" t="s">
        <v>110</v>
      </c>
      <c r="I163" s="2399" t="s">
        <v>110</v>
      </c>
      <c r="J163" s="2399" t="s">
        <v>110</v>
      </c>
      <c r="K163" s="2399" t="s">
        <v>110</v>
      </c>
      <c r="L163" s="2399" t="s">
        <v>110</v>
      </c>
      <c r="M163" s="2399" t="s">
        <v>110</v>
      </c>
      <c r="N163" s="2399" t="s">
        <v>110</v>
      </c>
      <c r="O163" s="2399" t="s">
        <v>110</v>
      </c>
      <c r="P163" s="2399" t="s">
        <v>110</v>
      </c>
      <c r="Q163" s="2399" t="s">
        <v>110</v>
      </c>
      <c r="R163" s="2399" t="s">
        <v>110</v>
      </c>
      <c r="S163" s="2399" t="s">
        <v>110</v>
      </c>
      <c r="T163" s="2399" t="s">
        <v>110</v>
      </c>
      <c r="U163" s="2399" t="s">
        <v>110</v>
      </c>
      <c r="V163" s="2399" t="s">
        <v>110</v>
      </c>
      <c r="W163" s="2399" t="s">
        <v>110</v>
      </c>
      <c r="X163" s="15"/>
      <c r="Y163" s="15"/>
      <c r="Z163" s="15"/>
      <c r="AA163" s="15"/>
      <c r="AB163" s="15"/>
      <c r="AC163" s="15"/>
      <c r="AD163" s="15"/>
      <c r="AE163" s="39"/>
      <c r="AF163" s="15"/>
      <c r="AG163" s="39"/>
      <c r="AH163" s="56">
        <f t="shared" si="30"/>
        <v>0</v>
      </c>
      <c r="AI163" s="59"/>
      <c r="AJ163" s="59"/>
      <c r="AK163" s="59"/>
      <c r="AL163" s="59"/>
    </row>
    <row r="164" spans="1:38" ht="15" hidden="1">
      <c r="A164" s="1522" t="s">
        <v>83</v>
      </c>
      <c r="B164" s="19">
        <f t="shared" si="29"/>
        <v>0</v>
      </c>
      <c r="C164" s="35"/>
      <c r="D164" s="15"/>
      <c r="E164" s="15"/>
      <c r="F164" s="15"/>
      <c r="G164" s="11"/>
      <c r="H164" s="15"/>
      <c r="I164" s="15"/>
      <c r="J164" s="15"/>
      <c r="K164" s="15"/>
      <c r="L164" s="15"/>
      <c r="M164" s="15"/>
      <c r="N164" s="15"/>
      <c r="O164" s="15"/>
      <c r="P164" s="15"/>
      <c r="Q164" s="15"/>
      <c r="R164" s="15"/>
      <c r="S164" s="15"/>
      <c r="T164" s="15"/>
      <c r="U164" s="15"/>
      <c r="V164" s="15"/>
      <c r="W164" s="15"/>
      <c r="X164" s="15"/>
      <c r="Y164" s="11"/>
      <c r="Z164" s="15"/>
      <c r="AA164" s="15"/>
      <c r="AB164" s="15"/>
      <c r="AC164" s="15"/>
      <c r="AD164" s="15"/>
      <c r="AE164" s="39"/>
      <c r="AF164" s="15"/>
      <c r="AG164" s="39"/>
      <c r="AH164" s="56">
        <f t="shared" si="30"/>
        <v>0</v>
      </c>
      <c r="AI164" s="59"/>
      <c r="AJ164" s="59"/>
      <c r="AK164" s="59"/>
      <c r="AL164" s="59"/>
    </row>
    <row r="165" spans="1:38" ht="15" hidden="1">
      <c r="A165" s="1522" t="s">
        <v>84</v>
      </c>
      <c r="B165" s="19">
        <f t="shared" si="29"/>
        <v>0</v>
      </c>
      <c r="C165" s="35"/>
      <c r="D165" s="15"/>
      <c r="E165" s="15"/>
      <c r="F165" s="15"/>
      <c r="G165" s="15"/>
      <c r="H165" s="15"/>
      <c r="I165" s="15"/>
      <c r="J165" s="15"/>
      <c r="K165" s="15"/>
      <c r="L165" s="15"/>
      <c r="M165" s="15"/>
      <c r="N165" s="15"/>
      <c r="O165" s="15"/>
      <c r="P165" s="1084" t="s">
        <v>109</v>
      </c>
      <c r="Q165" s="1084" t="s">
        <v>109</v>
      </c>
      <c r="R165" s="1084" t="s">
        <v>109</v>
      </c>
      <c r="S165" s="1084" t="s">
        <v>109</v>
      </c>
      <c r="T165" s="1084" t="s">
        <v>109</v>
      </c>
      <c r="U165" s="1084" t="s">
        <v>109</v>
      </c>
      <c r="V165" s="1084" t="s">
        <v>109</v>
      </c>
      <c r="W165" s="1084" t="s">
        <v>109</v>
      </c>
      <c r="X165" s="1084" t="s">
        <v>109</v>
      </c>
      <c r="Y165" s="1084" t="s">
        <v>109</v>
      </c>
      <c r="Z165" s="1084" t="s">
        <v>109</v>
      </c>
      <c r="AA165" s="1084" t="s">
        <v>109</v>
      </c>
      <c r="AB165" s="1084" t="s">
        <v>109</v>
      </c>
      <c r="AC165" s="1084" t="s">
        <v>109</v>
      </c>
      <c r="AD165" s="1084" t="s">
        <v>109</v>
      </c>
      <c r="AE165" s="1084" t="s">
        <v>109</v>
      </c>
      <c r="AF165" s="1084" t="s">
        <v>109</v>
      </c>
      <c r="AG165" s="1084" t="s">
        <v>109</v>
      </c>
      <c r="AH165" s="56">
        <f t="shared" si="30"/>
        <v>0</v>
      </c>
      <c r="AI165" s="59"/>
      <c r="AJ165" s="59"/>
      <c r="AK165" s="59"/>
      <c r="AL165" s="59"/>
    </row>
    <row r="166" spans="1:38" ht="15" hidden="1">
      <c r="A166" s="71" t="s">
        <v>72</v>
      </c>
      <c r="B166" s="73">
        <f t="shared" ref="B166:AH166" si="31">SUM(B154:B165)</f>
        <v>0</v>
      </c>
      <c r="C166" s="56">
        <f t="shared" si="31"/>
        <v>0</v>
      </c>
      <c r="D166" s="56">
        <f t="shared" si="31"/>
        <v>0</v>
      </c>
      <c r="E166" s="56">
        <f t="shared" si="31"/>
        <v>0</v>
      </c>
      <c r="F166" s="56">
        <f t="shared" si="31"/>
        <v>0</v>
      </c>
      <c r="G166" s="56">
        <f t="shared" si="31"/>
        <v>0</v>
      </c>
      <c r="H166" s="56">
        <f t="shared" si="31"/>
        <v>0</v>
      </c>
      <c r="I166" s="56">
        <f t="shared" si="31"/>
        <v>0</v>
      </c>
      <c r="J166" s="56">
        <f t="shared" si="31"/>
        <v>0</v>
      </c>
      <c r="K166" s="56">
        <f t="shared" si="31"/>
        <v>0</v>
      </c>
      <c r="L166" s="56">
        <f t="shared" si="31"/>
        <v>0</v>
      </c>
      <c r="M166" s="56">
        <f t="shared" si="31"/>
        <v>0</v>
      </c>
      <c r="N166" s="56">
        <f t="shared" si="31"/>
        <v>0</v>
      </c>
      <c r="O166" s="56">
        <f t="shared" si="31"/>
        <v>0</v>
      </c>
      <c r="P166" s="56">
        <f t="shared" si="31"/>
        <v>0</v>
      </c>
      <c r="Q166" s="56">
        <f t="shared" si="31"/>
        <v>0</v>
      </c>
      <c r="R166" s="56">
        <f t="shared" si="31"/>
        <v>0</v>
      </c>
      <c r="S166" s="56">
        <f t="shared" si="31"/>
        <v>0</v>
      </c>
      <c r="T166" s="56">
        <f t="shared" si="31"/>
        <v>0</v>
      </c>
      <c r="U166" s="56">
        <f t="shared" si="31"/>
        <v>0</v>
      </c>
      <c r="V166" s="56">
        <f t="shared" si="31"/>
        <v>0</v>
      </c>
      <c r="W166" s="56">
        <f t="shared" si="31"/>
        <v>0</v>
      </c>
      <c r="X166" s="56">
        <f t="shared" si="31"/>
        <v>0</v>
      </c>
      <c r="Y166" s="56">
        <f t="shared" si="31"/>
        <v>0</v>
      </c>
      <c r="Z166" s="56">
        <f t="shared" si="31"/>
        <v>0</v>
      </c>
      <c r="AA166" s="56">
        <f t="shared" si="31"/>
        <v>0</v>
      </c>
      <c r="AB166" s="56">
        <f t="shared" si="31"/>
        <v>0</v>
      </c>
      <c r="AC166" s="56">
        <f t="shared" si="31"/>
        <v>0</v>
      </c>
      <c r="AD166" s="56">
        <f t="shared" si="31"/>
        <v>0</v>
      </c>
      <c r="AE166" s="56">
        <f t="shared" si="31"/>
        <v>0</v>
      </c>
      <c r="AF166" s="56">
        <f t="shared" si="31"/>
        <v>0</v>
      </c>
      <c r="AG166" s="56">
        <f t="shared" si="31"/>
        <v>0</v>
      </c>
      <c r="AH166" s="56">
        <f t="shared" si="31"/>
        <v>0</v>
      </c>
      <c r="AI166" s="59"/>
      <c r="AJ166" s="59"/>
      <c r="AK166" s="59"/>
      <c r="AL166" s="59"/>
    </row>
    <row r="168" spans="1:38" ht="15" hidden="1">
      <c r="A168" s="3811" t="s">
        <v>551</v>
      </c>
      <c r="B168" s="3812"/>
      <c r="C168" s="3813"/>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55"/>
      <c r="AI168" s="55"/>
      <c r="AJ168" s="55"/>
      <c r="AK168" s="55"/>
      <c r="AL168" s="55"/>
    </row>
    <row r="169" spans="1:38" ht="15" hidden="1">
      <c r="A169" s="5" t="s">
        <v>70</v>
      </c>
      <c r="B169" s="19" t="s">
        <v>71</v>
      </c>
      <c r="C169" s="2400">
        <v>1</v>
      </c>
      <c r="D169" s="23">
        <v>2</v>
      </c>
      <c r="E169" s="23">
        <v>3</v>
      </c>
      <c r="F169" s="23">
        <v>4</v>
      </c>
      <c r="G169" s="23">
        <v>5</v>
      </c>
      <c r="H169" s="23">
        <v>6</v>
      </c>
      <c r="I169" s="23">
        <v>7</v>
      </c>
      <c r="J169" s="23">
        <v>8</v>
      </c>
      <c r="K169" s="23">
        <v>9</v>
      </c>
      <c r="L169" s="23">
        <v>10</v>
      </c>
      <c r="M169" s="23">
        <v>11</v>
      </c>
      <c r="N169" s="23">
        <v>12</v>
      </c>
      <c r="O169" s="23">
        <v>13</v>
      </c>
      <c r="P169" s="23">
        <v>14</v>
      </c>
      <c r="Q169" s="23">
        <v>15</v>
      </c>
      <c r="R169" s="23">
        <v>16</v>
      </c>
      <c r="S169" s="23">
        <v>17</v>
      </c>
      <c r="T169" s="23">
        <v>18</v>
      </c>
      <c r="U169" s="23">
        <v>19</v>
      </c>
      <c r="V169" s="23">
        <v>20</v>
      </c>
      <c r="W169" s="23">
        <v>21</v>
      </c>
      <c r="X169" s="23">
        <v>22</v>
      </c>
      <c r="Y169" s="23">
        <v>23</v>
      </c>
      <c r="Z169" s="23">
        <v>24</v>
      </c>
      <c r="AA169" s="23">
        <v>25</v>
      </c>
      <c r="AB169" s="23">
        <v>26</v>
      </c>
      <c r="AC169" s="23">
        <v>27</v>
      </c>
      <c r="AD169" s="23">
        <v>28</v>
      </c>
      <c r="AE169" s="23">
        <v>29</v>
      </c>
      <c r="AF169" s="23">
        <v>30</v>
      </c>
      <c r="AG169" s="23">
        <v>31</v>
      </c>
      <c r="AH169" s="56" t="s">
        <v>72</v>
      </c>
      <c r="AI169" s="59"/>
      <c r="AJ169" s="59"/>
      <c r="AK169" s="59"/>
      <c r="AL169" s="59"/>
    </row>
    <row r="170" spans="1:38" ht="15" hidden="1">
      <c r="A170" s="1039" t="s">
        <v>73</v>
      </c>
      <c r="B170" s="19">
        <f t="shared" ref="B170:B181" si="32">+AH170</f>
        <v>0</v>
      </c>
      <c r="C170" s="107" t="s">
        <v>109</v>
      </c>
      <c r="D170" s="107" t="s">
        <v>109</v>
      </c>
      <c r="E170" s="107" t="s">
        <v>109</v>
      </c>
      <c r="F170" s="107" t="s">
        <v>109</v>
      </c>
      <c r="G170" s="107" t="s">
        <v>109</v>
      </c>
      <c r="H170" s="107" t="s">
        <v>109</v>
      </c>
      <c r="I170" s="107" t="s">
        <v>109</v>
      </c>
      <c r="J170" s="107" t="s">
        <v>109</v>
      </c>
      <c r="K170" s="107" t="s">
        <v>109</v>
      </c>
      <c r="L170" s="107" t="s">
        <v>109</v>
      </c>
      <c r="M170" s="107" t="s">
        <v>109</v>
      </c>
      <c r="N170" s="107" t="s">
        <v>109</v>
      </c>
      <c r="O170" s="107" t="s">
        <v>109</v>
      </c>
      <c r="P170" s="107" t="s">
        <v>109</v>
      </c>
      <c r="Q170" s="107" t="s">
        <v>109</v>
      </c>
      <c r="R170" s="107" t="s">
        <v>109</v>
      </c>
      <c r="S170" s="107" t="s">
        <v>109</v>
      </c>
      <c r="T170" s="107" t="s">
        <v>109</v>
      </c>
      <c r="U170" s="107" t="s">
        <v>109</v>
      </c>
      <c r="V170" s="107" t="s">
        <v>109</v>
      </c>
      <c r="W170" s="107" t="s">
        <v>109</v>
      </c>
      <c r="X170" s="107" t="s">
        <v>109</v>
      </c>
      <c r="Y170" s="107" t="s">
        <v>109</v>
      </c>
      <c r="Z170" s="107" t="s">
        <v>109</v>
      </c>
      <c r="AA170" s="107" t="s">
        <v>109</v>
      </c>
      <c r="AB170" s="107" t="s">
        <v>109</v>
      </c>
      <c r="AC170" s="107" t="s">
        <v>109</v>
      </c>
      <c r="AD170" s="107" t="s">
        <v>109</v>
      </c>
      <c r="AE170" s="107" t="s">
        <v>109</v>
      </c>
      <c r="AF170" s="107" t="s">
        <v>109</v>
      </c>
      <c r="AG170" s="107" t="s">
        <v>109</v>
      </c>
      <c r="AH170" s="56">
        <f>SUM(C170:AG170)</f>
        <v>0</v>
      </c>
      <c r="AI170" s="59"/>
      <c r="AJ170" s="59"/>
      <c r="AK170" s="59"/>
      <c r="AL170" s="59"/>
    </row>
    <row r="171" spans="1:38" ht="15" hidden="1">
      <c r="A171" s="1039" t="s">
        <v>74</v>
      </c>
      <c r="B171" s="19">
        <f t="shared" si="32"/>
        <v>0</v>
      </c>
      <c r="C171" s="107" t="s">
        <v>109</v>
      </c>
      <c r="D171" s="107" t="s">
        <v>109</v>
      </c>
      <c r="E171" s="107" t="s">
        <v>109</v>
      </c>
      <c r="F171" s="107" t="s">
        <v>109</v>
      </c>
      <c r="G171" s="107" t="s">
        <v>109</v>
      </c>
      <c r="H171" s="107" t="s">
        <v>109</v>
      </c>
      <c r="I171" s="107" t="s">
        <v>109</v>
      </c>
      <c r="J171" s="107" t="s">
        <v>109</v>
      </c>
      <c r="K171" s="107" t="s">
        <v>109</v>
      </c>
      <c r="L171" s="107" t="s">
        <v>109</v>
      </c>
      <c r="M171" s="107" t="s">
        <v>109</v>
      </c>
      <c r="N171" s="107" t="s">
        <v>109</v>
      </c>
      <c r="O171" s="107" t="s">
        <v>109</v>
      </c>
      <c r="P171" s="107" t="s">
        <v>109</v>
      </c>
      <c r="Q171" s="107" t="s">
        <v>109</v>
      </c>
      <c r="R171" s="107" t="s">
        <v>109</v>
      </c>
      <c r="S171" s="107" t="s">
        <v>109</v>
      </c>
      <c r="T171" s="107" t="s">
        <v>109</v>
      </c>
      <c r="U171" s="107" t="s">
        <v>109</v>
      </c>
      <c r="V171" s="107" t="s">
        <v>109</v>
      </c>
      <c r="W171" s="107" t="s">
        <v>109</v>
      </c>
      <c r="X171" s="107" t="s">
        <v>109</v>
      </c>
      <c r="Y171" s="107" t="s">
        <v>109</v>
      </c>
      <c r="Z171" s="107" t="s">
        <v>109</v>
      </c>
      <c r="AA171" s="107" t="s">
        <v>109</v>
      </c>
      <c r="AB171" s="107" t="s">
        <v>109</v>
      </c>
      <c r="AC171" s="107" t="s">
        <v>109</v>
      </c>
      <c r="AD171" s="107" t="s">
        <v>109</v>
      </c>
      <c r="AE171" s="107" t="s">
        <v>109</v>
      </c>
      <c r="AF171" s="107" t="s">
        <v>109</v>
      </c>
      <c r="AG171" s="107" t="s">
        <v>109</v>
      </c>
      <c r="AH171" s="56">
        <f t="shared" ref="AH171:AH181" si="33">SUM(C171:AG171)</f>
        <v>0</v>
      </c>
      <c r="AI171" s="59"/>
      <c r="AJ171" s="59"/>
      <c r="AK171" s="59"/>
      <c r="AL171" s="59"/>
    </row>
    <row r="172" spans="1:38" ht="15" hidden="1">
      <c r="A172" s="1039" t="s">
        <v>75</v>
      </c>
      <c r="B172" s="19">
        <f t="shared" si="32"/>
        <v>0</v>
      </c>
      <c r="C172" s="107" t="s">
        <v>109</v>
      </c>
      <c r="D172" s="107" t="s">
        <v>109</v>
      </c>
      <c r="E172" s="107" t="s">
        <v>109</v>
      </c>
      <c r="F172" s="107" t="s">
        <v>109</v>
      </c>
      <c r="G172" s="107" t="s">
        <v>109</v>
      </c>
      <c r="H172" s="2409"/>
      <c r="I172" s="2410"/>
      <c r="J172" s="2410"/>
      <c r="K172" s="2410"/>
      <c r="L172" s="2410"/>
      <c r="M172" s="2410"/>
      <c r="N172" s="2411"/>
      <c r="O172" s="2411"/>
      <c r="P172" s="2411"/>
      <c r="Q172" s="2411"/>
      <c r="R172" s="2411"/>
      <c r="S172" s="2411"/>
      <c r="T172" s="2411"/>
      <c r="U172" s="2411"/>
      <c r="V172" s="2411"/>
      <c r="W172" s="2411"/>
      <c r="X172" s="2411"/>
      <c r="Y172" s="2411"/>
      <c r="Z172" s="2411"/>
      <c r="AA172" s="2411"/>
      <c r="AB172" s="2411"/>
      <c r="AC172" s="2411"/>
      <c r="AD172" s="2411"/>
      <c r="AE172" s="2411"/>
      <c r="AF172" s="2411"/>
      <c r="AG172" s="2411"/>
      <c r="AH172" s="56">
        <f t="shared" si="33"/>
        <v>0</v>
      </c>
      <c r="AI172" s="59"/>
      <c r="AJ172" s="59"/>
      <c r="AK172" s="59"/>
      <c r="AL172" s="59"/>
    </row>
    <row r="173" spans="1:38" ht="15" hidden="1">
      <c r="A173" s="1039" t="s">
        <v>76</v>
      </c>
      <c r="B173" s="19">
        <f t="shared" si="32"/>
        <v>0</v>
      </c>
      <c r="C173" s="107" t="s">
        <v>109</v>
      </c>
      <c r="D173" s="107" t="s">
        <v>109</v>
      </c>
      <c r="E173" s="107" t="s">
        <v>109</v>
      </c>
      <c r="F173" s="107" t="s">
        <v>109</v>
      </c>
      <c r="G173" s="107" t="s">
        <v>109</v>
      </c>
      <c r="H173" s="2412" t="s">
        <v>109</v>
      </c>
      <c r="I173" s="2412" t="s">
        <v>109</v>
      </c>
      <c r="J173" s="2412" t="s">
        <v>109</v>
      </c>
      <c r="K173" s="2412" t="s">
        <v>109</v>
      </c>
      <c r="L173" s="2413"/>
      <c r="M173" s="2413"/>
      <c r="N173" s="2413"/>
      <c r="O173" s="2413"/>
      <c r="P173" s="2413"/>
      <c r="Q173" s="2413"/>
      <c r="R173" s="2413"/>
      <c r="S173" s="2413"/>
      <c r="T173" s="2413"/>
      <c r="U173" s="2413"/>
      <c r="V173" s="2413"/>
      <c r="W173" s="2413"/>
      <c r="X173" s="2413"/>
      <c r="Y173" s="2413"/>
      <c r="Z173" s="2413"/>
      <c r="AA173" s="2413"/>
      <c r="AB173" s="2413"/>
      <c r="AC173" s="2413"/>
      <c r="AD173" s="2413"/>
      <c r="AE173" s="2413"/>
      <c r="AF173" s="2413"/>
      <c r="AG173" s="2413"/>
      <c r="AH173" s="2406">
        <f t="shared" si="33"/>
        <v>0</v>
      </c>
      <c r="AI173" s="2407"/>
      <c r="AJ173" s="2407"/>
      <c r="AK173" s="2407"/>
      <c r="AL173" s="2407"/>
    </row>
    <row r="174" spans="1:38" ht="15" hidden="1">
      <c r="A174" s="1039" t="s">
        <v>77</v>
      </c>
      <c r="B174" s="19">
        <f t="shared" si="32"/>
        <v>0</v>
      </c>
      <c r="C174" s="3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2406">
        <f t="shared" si="33"/>
        <v>0</v>
      </c>
      <c r="AI174" s="2407"/>
      <c r="AJ174" s="2407"/>
      <c r="AK174" s="2407"/>
      <c r="AL174" s="2407"/>
    </row>
    <row r="175" spans="1:38" ht="15" hidden="1">
      <c r="A175" s="1039" t="s">
        <v>78</v>
      </c>
      <c r="B175" s="19">
        <f t="shared" si="32"/>
        <v>0</v>
      </c>
      <c r="C175" s="35"/>
      <c r="D175" s="15"/>
      <c r="E175" s="15"/>
      <c r="F175" s="15"/>
      <c r="G175" s="15"/>
      <c r="H175" s="65" t="s">
        <v>110</v>
      </c>
      <c r="I175" s="65" t="s">
        <v>110</v>
      </c>
      <c r="J175" s="65" t="s">
        <v>110</v>
      </c>
      <c r="K175" s="65" t="s">
        <v>110</v>
      </c>
      <c r="L175" s="65" t="s">
        <v>110</v>
      </c>
      <c r="M175" s="65" t="s">
        <v>110</v>
      </c>
      <c r="N175" s="65" t="s">
        <v>110</v>
      </c>
      <c r="O175" s="65" t="s">
        <v>110</v>
      </c>
      <c r="P175" s="65" t="s">
        <v>110</v>
      </c>
      <c r="Q175" s="65" t="s">
        <v>110</v>
      </c>
      <c r="R175" s="65" t="s">
        <v>110</v>
      </c>
      <c r="S175" s="65" t="s">
        <v>110</v>
      </c>
      <c r="T175" s="65" t="s">
        <v>110</v>
      </c>
      <c r="U175" s="65" t="s">
        <v>110</v>
      </c>
      <c r="V175" s="65" t="s">
        <v>110</v>
      </c>
      <c r="W175" s="65" t="s">
        <v>110</v>
      </c>
      <c r="X175" s="65" t="s">
        <v>110</v>
      </c>
      <c r="Y175" s="15"/>
      <c r="Z175" s="15"/>
      <c r="AA175" s="15"/>
      <c r="AB175" s="15"/>
      <c r="AC175" s="15"/>
      <c r="AD175" s="15"/>
      <c r="AE175" s="15"/>
      <c r="AF175" s="15"/>
      <c r="AG175" s="15"/>
      <c r="AH175" s="2406">
        <f t="shared" si="33"/>
        <v>0</v>
      </c>
      <c r="AI175" s="2407"/>
      <c r="AJ175" s="2407"/>
      <c r="AK175" s="2407"/>
      <c r="AL175" s="2407"/>
    </row>
    <row r="176" spans="1:38" ht="15" hidden="1">
      <c r="A176" s="1522" t="s">
        <v>79</v>
      </c>
      <c r="B176" s="19">
        <f t="shared" si="32"/>
        <v>0</v>
      </c>
      <c r="C176" s="35"/>
      <c r="D176" s="39"/>
      <c r="E176" s="39"/>
      <c r="F176" s="39"/>
      <c r="G176" s="15"/>
      <c r="H176" s="15"/>
      <c r="I176" s="15"/>
      <c r="J176" s="43"/>
      <c r="K176" s="43"/>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2406">
        <f t="shared" si="33"/>
        <v>0</v>
      </c>
      <c r="AI176" s="2407"/>
      <c r="AJ176" s="2407"/>
      <c r="AK176" s="2407"/>
      <c r="AL176" s="2407"/>
    </row>
    <row r="177" spans="1:38" ht="15" hidden="1">
      <c r="A177" s="1522" t="s">
        <v>80</v>
      </c>
      <c r="B177" s="19">
        <f t="shared" si="32"/>
        <v>0</v>
      </c>
      <c r="C177" s="35"/>
      <c r="D177" s="15"/>
      <c r="E177" s="15"/>
      <c r="F177" s="15"/>
      <c r="G177" s="15"/>
      <c r="H177" s="15"/>
      <c r="I177" s="15"/>
      <c r="J177" s="2399" t="s">
        <v>110</v>
      </c>
      <c r="K177" s="2399" t="s">
        <v>110</v>
      </c>
      <c r="L177" s="2399" t="s">
        <v>110</v>
      </c>
      <c r="M177" s="2399" t="s">
        <v>110</v>
      </c>
      <c r="N177" s="2399" t="s">
        <v>110</v>
      </c>
      <c r="O177" s="2399" t="s">
        <v>110</v>
      </c>
      <c r="P177" s="2399" t="s">
        <v>110</v>
      </c>
      <c r="Q177" s="2399" t="s">
        <v>110</v>
      </c>
      <c r="R177" s="2399" t="s">
        <v>110</v>
      </c>
      <c r="S177" s="2399" t="s">
        <v>110</v>
      </c>
      <c r="T177" s="2399" t="s">
        <v>110</v>
      </c>
      <c r="U177" s="2399" t="s">
        <v>110</v>
      </c>
      <c r="V177" s="2399" t="s">
        <v>110</v>
      </c>
      <c r="W177" s="2399" t="s">
        <v>110</v>
      </c>
      <c r="X177" s="2399" t="s">
        <v>110</v>
      </c>
      <c r="Y177" s="2399" t="s">
        <v>110</v>
      </c>
      <c r="Z177" s="2399" t="s">
        <v>110</v>
      </c>
      <c r="AA177" s="2399" t="s">
        <v>110</v>
      </c>
      <c r="AB177" s="2399" t="s">
        <v>110</v>
      </c>
      <c r="AC177" s="2399" t="s">
        <v>110</v>
      </c>
      <c r="AD177" s="2399" t="s">
        <v>110</v>
      </c>
      <c r="AE177" s="2399" t="s">
        <v>110</v>
      </c>
      <c r="AF177" s="2399" t="s">
        <v>110</v>
      </c>
      <c r="AG177" s="2399" t="s">
        <v>110</v>
      </c>
      <c r="AH177" s="56">
        <f t="shared" si="33"/>
        <v>0</v>
      </c>
      <c r="AI177" s="59"/>
      <c r="AJ177" s="59"/>
      <c r="AK177" s="59"/>
      <c r="AL177" s="59"/>
    </row>
    <row r="178" spans="1:38" ht="15" hidden="1">
      <c r="A178" s="1522" t="s">
        <v>81</v>
      </c>
      <c r="B178" s="19">
        <f t="shared" si="32"/>
        <v>0</v>
      </c>
      <c r="C178" s="2399" t="s">
        <v>110</v>
      </c>
      <c r="D178" s="2399" t="s">
        <v>110</v>
      </c>
      <c r="E178" s="2399" t="s">
        <v>110</v>
      </c>
      <c r="F178" s="2399" t="s">
        <v>110</v>
      </c>
      <c r="G178" s="2399" t="s">
        <v>110</v>
      </c>
      <c r="H178" s="2399" t="s">
        <v>110</v>
      </c>
      <c r="I178" s="2399" t="s">
        <v>110</v>
      </c>
      <c r="J178" s="2399" t="s">
        <v>110</v>
      </c>
      <c r="K178" s="2399" t="s">
        <v>110</v>
      </c>
      <c r="L178" s="2399" t="s">
        <v>110</v>
      </c>
      <c r="M178" s="2399" t="s">
        <v>110</v>
      </c>
      <c r="N178" s="2399" t="s">
        <v>110</v>
      </c>
      <c r="O178" s="2399" t="s">
        <v>110</v>
      </c>
      <c r="P178" s="2399" t="s">
        <v>110</v>
      </c>
      <c r="Q178" s="2399" t="s">
        <v>110</v>
      </c>
      <c r="R178" s="2399" t="s">
        <v>110</v>
      </c>
      <c r="S178" s="2399" t="s">
        <v>110</v>
      </c>
      <c r="T178" s="2399" t="s">
        <v>110</v>
      </c>
      <c r="U178" s="2399" t="s">
        <v>110</v>
      </c>
      <c r="V178" s="2399" t="s">
        <v>110</v>
      </c>
      <c r="W178" s="2399" t="s">
        <v>110</v>
      </c>
      <c r="X178" s="2399" t="s">
        <v>110</v>
      </c>
      <c r="Y178" s="2399" t="s">
        <v>110</v>
      </c>
      <c r="Z178" s="2399" t="s">
        <v>110</v>
      </c>
      <c r="AA178" s="2399" t="s">
        <v>110</v>
      </c>
      <c r="AB178" s="2399" t="s">
        <v>110</v>
      </c>
      <c r="AC178" s="2399" t="s">
        <v>110</v>
      </c>
      <c r="AD178" s="2399" t="s">
        <v>110</v>
      </c>
      <c r="AE178" s="2399" t="s">
        <v>110</v>
      </c>
      <c r="AF178" s="2399" t="s">
        <v>110</v>
      </c>
      <c r="AG178" s="2399" t="s">
        <v>110</v>
      </c>
      <c r="AH178" s="56">
        <f t="shared" si="33"/>
        <v>0</v>
      </c>
      <c r="AI178" s="59"/>
      <c r="AJ178" s="59"/>
      <c r="AK178" s="59"/>
      <c r="AL178" s="59"/>
    </row>
    <row r="179" spans="1:38" ht="15" hidden="1">
      <c r="A179" s="1522" t="s">
        <v>82</v>
      </c>
      <c r="B179" s="19">
        <f t="shared" si="32"/>
        <v>0</v>
      </c>
      <c r="C179" s="2399" t="s">
        <v>110</v>
      </c>
      <c r="D179" s="2399" t="s">
        <v>110</v>
      </c>
      <c r="E179" s="2399" t="s">
        <v>110</v>
      </c>
      <c r="F179" s="2399" t="s">
        <v>110</v>
      </c>
      <c r="G179" s="2399" t="s">
        <v>110</v>
      </c>
      <c r="H179" s="2399" t="s">
        <v>110</v>
      </c>
      <c r="I179" s="2399" t="s">
        <v>110</v>
      </c>
      <c r="J179" s="2399" t="s">
        <v>110</v>
      </c>
      <c r="K179" s="2399" t="s">
        <v>110</v>
      </c>
      <c r="L179" s="2399" t="s">
        <v>110</v>
      </c>
      <c r="M179" s="2399" t="s">
        <v>110</v>
      </c>
      <c r="N179" s="2399" t="s">
        <v>110</v>
      </c>
      <c r="O179" s="2399" t="s">
        <v>110</v>
      </c>
      <c r="P179" s="2399" t="s">
        <v>110</v>
      </c>
      <c r="Q179" s="2399" t="s">
        <v>110</v>
      </c>
      <c r="R179" s="2399" t="s">
        <v>110</v>
      </c>
      <c r="S179" s="2399" t="s">
        <v>110</v>
      </c>
      <c r="T179" s="2399" t="s">
        <v>110</v>
      </c>
      <c r="U179" s="2399" t="s">
        <v>110</v>
      </c>
      <c r="V179" s="2399" t="s">
        <v>110</v>
      </c>
      <c r="W179" s="2399" t="s">
        <v>110</v>
      </c>
      <c r="X179" s="15"/>
      <c r="Y179" s="15"/>
      <c r="Z179" s="15"/>
      <c r="AA179" s="15"/>
      <c r="AB179" s="15"/>
      <c r="AC179" s="15"/>
      <c r="AD179" s="15"/>
      <c r="AE179" s="39"/>
      <c r="AF179" s="15"/>
      <c r="AG179" s="39"/>
      <c r="AH179" s="56">
        <f t="shared" si="33"/>
        <v>0</v>
      </c>
      <c r="AI179" s="59"/>
      <c r="AJ179" s="59"/>
      <c r="AK179" s="59"/>
      <c r="AL179" s="59"/>
    </row>
    <row r="180" spans="1:38" ht="15" hidden="1">
      <c r="A180" s="1522" t="s">
        <v>83</v>
      </c>
      <c r="B180" s="19">
        <f t="shared" si="32"/>
        <v>0</v>
      </c>
      <c r="C180" s="35"/>
      <c r="D180" s="15"/>
      <c r="E180" s="15"/>
      <c r="F180" s="15"/>
      <c r="G180" s="11"/>
      <c r="H180" s="15"/>
      <c r="I180" s="15"/>
      <c r="J180" s="15"/>
      <c r="K180" s="15"/>
      <c r="L180" s="15"/>
      <c r="M180" s="15"/>
      <c r="N180" s="15"/>
      <c r="O180" s="15"/>
      <c r="P180" s="15"/>
      <c r="Q180" s="15"/>
      <c r="R180" s="15"/>
      <c r="S180" s="15"/>
      <c r="T180" s="15"/>
      <c r="U180" s="15"/>
      <c r="V180" s="15"/>
      <c r="W180" s="15"/>
      <c r="X180" s="15"/>
      <c r="Y180" s="11"/>
      <c r="Z180" s="15"/>
      <c r="AA180" s="15"/>
      <c r="AB180" s="15"/>
      <c r="AC180" s="15"/>
      <c r="AD180" s="15"/>
      <c r="AE180" s="39"/>
      <c r="AF180" s="15"/>
      <c r="AG180" s="39"/>
      <c r="AH180" s="56">
        <f t="shared" si="33"/>
        <v>0</v>
      </c>
      <c r="AI180" s="59"/>
      <c r="AJ180" s="59"/>
      <c r="AK180" s="59"/>
      <c r="AL180" s="59"/>
    </row>
    <row r="181" spans="1:38" ht="15" hidden="1">
      <c r="A181" s="1522" t="s">
        <v>84</v>
      </c>
      <c r="B181" s="19">
        <f t="shared" si="32"/>
        <v>0</v>
      </c>
      <c r="C181" s="35"/>
      <c r="D181" s="15"/>
      <c r="E181" s="15"/>
      <c r="F181" s="15"/>
      <c r="G181" s="15"/>
      <c r="H181" s="15"/>
      <c r="I181" s="15"/>
      <c r="J181" s="15"/>
      <c r="K181" s="15"/>
      <c r="L181" s="15"/>
      <c r="M181" s="15"/>
      <c r="N181" s="15"/>
      <c r="O181" s="15"/>
      <c r="P181" s="1084" t="s">
        <v>109</v>
      </c>
      <c r="Q181" s="1084" t="s">
        <v>109</v>
      </c>
      <c r="R181" s="1084" t="s">
        <v>109</v>
      </c>
      <c r="S181" s="1084" t="s">
        <v>109</v>
      </c>
      <c r="T181" s="1084" t="s">
        <v>109</v>
      </c>
      <c r="U181" s="1084" t="s">
        <v>109</v>
      </c>
      <c r="V181" s="1084" t="s">
        <v>109</v>
      </c>
      <c r="W181" s="1084" t="s">
        <v>109</v>
      </c>
      <c r="X181" s="1084" t="s">
        <v>109</v>
      </c>
      <c r="Y181" s="1084" t="s">
        <v>109</v>
      </c>
      <c r="Z181" s="1084" t="s">
        <v>109</v>
      </c>
      <c r="AA181" s="1084" t="s">
        <v>109</v>
      </c>
      <c r="AB181" s="1084" t="s">
        <v>109</v>
      </c>
      <c r="AC181" s="1084" t="s">
        <v>109</v>
      </c>
      <c r="AD181" s="1084" t="s">
        <v>109</v>
      </c>
      <c r="AE181" s="1084" t="s">
        <v>109</v>
      </c>
      <c r="AF181" s="1084" t="s">
        <v>109</v>
      </c>
      <c r="AG181" s="1084" t="s">
        <v>109</v>
      </c>
      <c r="AH181" s="56">
        <f t="shared" si="33"/>
        <v>0</v>
      </c>
      <c r="AI181" s="59"/>
      <c r="AJ181" s="59"/>
      <c r="AK181" s="59"/>
      <c r="AL181" s="59"/>
    </row>
    <row r="182" spans="1:38" ht="15" hidden="1">
      <c r="A182" s="71" t="s">
        <v>72</v>
      </c>
      <c r="B182" s="73">
        <f t="shared" ref="B182:AH182" si="34">SUM(B170:B181)</f>
        <v>0</v>
      </c>
      <c r="C182" s="56">
        <f t="shared" si="34"/>
        <v>0</v>
      </c>
      <c r="D182" s="56">
        <f t="shared" si="34"/>
        <v>0</v>
      </c>
      <c r="E182" s="56">
        <f t="shared" si="34"/>
        <v>0</v>
      </c>
      <c r="F182" s="56">
        <f t="shared" si="34"/>
        <v>0</v>
      </c>
      <c r="G182" s="56">
        <f t="shared" si="34"/>
        <v>0</v>
      </c>
      <c r="H182" s="56">
        <f t="shared" si="34"/>
        <v>0</v>
      </c>
      <c r="I182" s="56">
        <f t="shared" si="34"/>
        <v>0</v>
      </c>
      <c r="J182" s="56">
        <f t="shared" si="34"/>
        <v>0</v>
      </c>
      <c r="K182" s="56">
        <f t="shared" si="34"/>
        <v>0</v>
      </c>
      <c r="L182" s="56">
        <f t="shared" si="34"/>
        <v>0</v>
      </c>
      <c r="M182" s="56">
        <f t="shared" si="34"/>
        <v>0</v>
      </c>
      <c r="N182" s="56">
        <f t="shared" si="34"/>
        <v>0</v>
      </c>
      <c r="O182" s="56">
        <f t="shared" si="34"/>
        <v>0</v>
      </c>
      <c r="P182" s="56">
        <f t="shared" si="34"/>
        <v>0</v>
      </c>
      <c r="Q182" s="56">
        <f t="shared" si="34"/>
        <v>0</v>
      </c>
      <c r="R182" s="56">
        <f t="shared" si="34"/>
        <v>0</v>
      </c>
      <c r="S182" s="56">
        <f t="shared" si="34"/>
        <v>0</v>
      </c>
      <c r="T182" s="56">
        <f t="shared" si="34"/>
        <v>0</v>
      </c>
      <c r="U182" s="56">
        <f t="shared" si="34"/>
        <v>0</v>
      </c>
      <c r="V182" s="56">
        <f t="shared" si="34"/>
        <v>0</v>
      </c>
      <c r="W182" s="56">
        <f t="shared" si="34"/>
        <v>0</v>
      </c>
      <c r="X182" s="56">
        <f t="shared" si="34"/>
        <v>0</v>
      </c>
      <c r="Y182" s="56">
        <f t="shared" si="34"/>
        <v>0</v>
      </c>
      <c r="Z182" s="56">
        <f t="shared" si="34"/>
        <v>0</v>
      </c>
      <c r="AA182" s="56">
        <f t="shared" si="34"/>
        <v>0</v>
      </c>
      <c r="AB182" s="56">
        <f t="shared" si="34"/>
        <v>0</v>
      </c>
      <c r="AC182" s="56">
        <f t="shared" si="34"/>
        <v>0</v>
      </c>
      <c r="AD182" s="56">
        <f t="shared" si="34"/>
        <v>0</v>
      </c>
      <c r="AE182" s="56">
        <f t="shared" si="34"/>
        <v>0</v>
      </c>
      <c r="AF182" s="56">
        <f t="shared" si="34"/>
        <v>0</v>
      </c>
      <c r="AG182" s="56">
        <f t="shared" si="34"/>
        <v>0</v>
      </c>
      <c r="AH182" s="56">
        <f t="shared" si="34"/>
        <v>0</v>
      </c>
      <c r="AI182" s="59"/>
      <c r="AJ182" s="59"/>
      <c r="AK182" s="59"/>
      <c r="AL182" s="59"/>
    </row>
    <row r="183" spans="1:38" hidden="1"/>
  </sheetData>
  <mergeCells count="13">
    <mergeCell ref="AN5:AP5"/>
    <mergeCell ref="A152:C152"/>
    <mergeCell ref="A168:C168"/>
    <mergeCell ref="A136:C136"/>
    <mergeCell ref="A2:T2"/>
    <mergeCell ref="A5:C5"/>
    <mergeCell ref="A21:C21"/>
    <mergeCell ref="A38:C38"/>
    <mergeCell ref="A87:C87"/>
    <mergeCell ref="A54:C54"/>
    <mergeCell ref="A70:C70"/>
    <mergeCell ref="A103:C103"/>
    <mergeCell ref="A119:C119"/>
  </mergeCells>
  <phoneticPr fontId="0" type="noConversion"/>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sheetPr>
    <tabColor rgb="FFFFFF00"/>
  </sheetPr>
  <dimension ref="A1:CU285"/>
  <sheetViews>
    <sheetView zoomScale="56" zoomScaleNormal="56" workbookViewId="0">
      <selection activeCell="T124" sqref="T124:T125"/>
    </sheetView>
  </sheetViews>
  <sheetFormatPr baseColWidth="10" defaultColWidth="11.44140625" defaultRowHeight="13.2"/>
  <cols>
    <col min="1" max="1" width="94.44140625" style="2267" customWidth="1"/>
    <col min="2" max="2" width="13.109375" style="2267" customWidth="1"/>
    <col min="3" max="3" width="18.5546875" style="2267" bestFit="1" customWidth="1"/>
    <col min="4" max="4" width="10.6640625" style="2267" customWidth="1"/>
    <col min="5" max="5" width="17.6640625" style="2267" bestFit="1" customWidth="1"/>
    <col min="6" max="6" width="17" style="2267" bestFit="1" customWidth="1"/>
    <col min="7" max="7" width="10.109375" style="2267" bestFit="1" customWidth="1"/>
    <col min="8" max="8" width="9.88671875" style="2267" customWidth="1"/>
    <col min="9" max="9" width="41.6640625" style="286" bestFit="1" customWidth="1"/>
    <col min="10" max="10" width="9.109375" style="2369" bestFit="1" customWidth="1"/>
    <col min="11" max="11" width="46" style="2266" customWidth="1"/>
    <col min="12" max="12" width="13" style="2266" bestFit="1" customWidth="1"/>
    <col min="13" max="13" width="11.5546875" style="2266" bestFit="1" customWidth="1"/>
    <col min="14" max="14" width="22.88671875" style="2266" customWidth="1"/>
    <col min="15" max="15" width="10" style="2266" bestFit="1" customWidth="1"/>
    <col min="16" max="16" width="12" style="2266" bestFit="1" customWidth="1"/>
    <col min="17" max="17" width="7.5546875" style="2266" bestFit="1" customWidth="1"/>
    <col min="18" max="19" width="6.88671875" style="2266" bestFit="1" customWidth="1"/>
    <col min="20" max="20" width="7.5546875" style="2266" bestFit="1" customWidth="1"/>
    <col min="21" max="22" width="8" style="2266" bestFit="1" customWidth="1"/>
    <col min="23" max="23" width="7" style="2266" bestFit="1" customWidth="1"/>
    <col min="24" max="24" width="8" style="2266" bestFit="1" customWidth="1"/>
    <col min="25" max="25" width="7" style="2266" bestFit="1" customWidth="1"/>
    <col min="26" max="28" width="8" style="2266" bestFit="1" customWidth="1"/>
    <col min="29" max="31" width="9" style="2266" bestFit="1" customWidth="1"/>
    <col min="32" max="32" width="8" style="2266" bestFit="1" customWidth="1"/>
    <col min="33" max="34" width="7" style="2266" bestFit="1" customWidth="1"/>
    <col min="35" max="35" width="4.88671875" style="2266" bestFit="1" customWidth="1"/>
    <col min="36" max="37" width="7.5546875" style="2266" bestFit="1" customWidth="1"/>
    <col min="38" max="38" width="6.88671875" style="2266" bestFit="1" customWidth="1"/>
    <col min="39" max="40" width="7.5546875" style="2266" bestFit="1" customWidth="1"/>
    <col min="41" max="43" width="4.88671875" style="2266" bestFit="1" customWidth="1"/>
    <col min="44" max="44" width="9.5546875" style="2266" bestFit="1" customWidth="1"/>
    <col min="45" max="16384" width="11.44140625" style="2266"/>
  </cols>
  <sheetData>
    <row r="1" spans="1:10">
      <c r="J1" s="175"/>
    </row>
    <row r="2" spans="1:10">
      <c r="A2" s="3845" t="s">
        <v>738</v>
      </c>
      <c r="B2" s="3846"/>
      <c r="C2" s="3846"/>
      <c r="D2" s="3846"/>
      <c r="E2" s="3846"/>
      <c r="F2" s="3846"/>
      <c r="G2" s="3846"/>
      <c r="H2" s="3846"/>
      <c r="I2" s="3847"/>
      <c r="J2" s="175"/>
    </row>
    <row r="3" spans="1:10" s="2712" customFormat="1">
      <c r="A3" s="2890"/>
      <c r="B3" s="2890"/>
      <c r="C3" s="2890"/>
      <c r="D3" s="2890"/>
      <c r="E3" s="2890"/>
      <c r="F3" s="2890"/>
      <c r="G3" s="2890"/>
      <c r="H3" s="2890"/>
      <c r="I3" s="2890"/>
      <c r="J3" s="176"/>
    </row>
    <row r="4" spans="1:10" ht="18.75" customHeight="1">
      <c r="A4" s="595"/>
      <c r="B4" s="595"/>
      <c r="C4" s="2891"/>
      <c r="D4" s="2891"/>
      <c r="E4" s="2891"/>
      <c r="F4" s="286"/>
      <c r="G4" s="286"/>
      <c r="J4" s="175"/>
    </row>
    <row r="5" spans="1:10">
      <c r="A5" s="3843" t="s">
        <v>44</v>
      </c>
      <c r="B5" s="3844"/>
      <c r="C5" s="2892"/>
      <c r="D5" s="2892"/>
      <c r="E5" s="2892"/>
      <c r="F5" s="595"/>
      <c r="G5" s="595"/>
      <c r="H5" s="596"/>
      <c r="J5" s="175"/>
    </row>
    <row r="6" spans="1:10">
      <c r="A6" s="596"/>
      <c r="B6" s="595"/>
      <c r="C6" s="2892"/>
      <c r="D6" s="2892"/>
      <c r="E6" s="2892"/>
      <c r="F6" s="595"/>
      <c r="G6" s="595"/>
      <c r="H6" s="596"/>
      <c r="J6" s="175"/>
    </row>
    <row r="7" spans="1:10">
      <c r="A7" s="2893" t="s">
        <v>45</v>
      </c>
      <c r="B7" s="2893" t="s">
        <v>46</v>
      </c>
      <c r="C7" s="2894" t="s">
        <v>47</v>
      </c>
      <c r="D7" s="2894" t="s">
        <v>181</v>
      </c>
      <c r="E7" s="2894" t="s">
        <v>48</v>
      </c>
      <c r="F7" s="2893" t="s">
        <v>19</v>
      </c>
      <c r="G7" s="2893" t="s">
        <v>20</v>
      </c>
      <c r="H7" s="2893" t="s">
        <v>193</v>
      </c>
      <c r="I7" s="2895" t="s">
        <v>22</v>
      </c>
      <c r="J7" s="175"/>
    </row>
    <row r="8" spans="1:10">
      <c r="A8" s="2896" t="s">
        <v>94</v>
      </c>
      <c r="B8" s="2897" t="s">
        <v>31</v>
      </c>
      <c r="C8" s="2898">
        <f>4445+1540</f>
        <v>5985</v>
      </c>
      <c r="D8" s="2898"/>
      <c r="E8" s="2898">
        <f>+C8+D8</f>
        <v>5985</v>
      </c>
      <c r="F8" s="551">
        <f>+SUM('RAE S.común'!B8:B11)</f>
        <v>6061.9109999999991</v>
      </c>
      <c r="G8" s="2899">
        <f>+E8-F8</f>
        <v>-76.910999999999149</v>
      </c>
      <c r="H8" s="2900">
        <f>+G8/E8</f>
        <v>-1.2850626566415897E-2</v>
      </c>
      <c r="I8" s="2901" t="s">
        <v>1260</v>
      </c>
      <c r="J8" s="2161"/>
    </row>
    <row r="9" spans="1:10">
      <c r="A9" s="2896" t="s">
        <v>95</v>
      </c>
      <c r="B9" s="2902" t="s">
        <v>31</v>
      </c>
      <c r="C9" s="2898">
        <v>1278</v>
      </c>
      <c r="D9" s="2898"/>
      <c r="E9" s="2898">
        <f>+C9+D9</f>
        <v>1278</v>
      </c>
      <c r="F9" s="551">
        <f>+SUM('RAE S.común'!B24:B27)</f>
        <v>1255.8410000000001</v>
      </c>
      <c r="G9" s="2898">
        <f>+E9-F9</f>
        <v>22.158999999999878</v>
      </c>
      <c r="H9" s="2903">
        <f>+G9/E9</f>
        <v>1.7338810641627449E-2</v>
      </c>
      <c r="I9" s="2904"/>
      <c r="J9" s="175"/>
    </row>
    <row r="10" spans="1:10">
      <c r="A10" s="2905" t="s">
        <v>50</v>
      </c>
      <c r="B10" s="2905" t="s">
        <v>31</v>
      </c>
      <c r="C10" s="2906">
        <f>SUM(C8:C9)</f>
        <v>7263</v>
      </c>
      <c r="D10" s="2906"/>
      <c r="E10" s="2906">
        <f>SUM(E8:E9)</f>
        <v>7263</v>
      </c>
      <c r="F10" s="2907">
        <f>SUM(F8:F9)</f>
        <v>7317.7519999999995</v>
      </c>
      <c r="G10" s="2906">
        <f>+E10-F10</f>
        <v>-54.751999999999498</v>
      </c>
      <c r="H10" s="595"/>
      <c r="J10" s="175"/>
    </row>
    <row r="11" spans="1:10">
      <c r="A11" s="2908"/>
      <c r="B11" s="595"/>
      <c r="C11" s="2909"/>
      <c r="D11" s="2909"/>
      <c r="E11" s="2909"/>
      <c r="F11" s="2910"/>
      <c r="G11" s="2910"/>
      <c r="H11" s="595"/>
      <c r="J11" s="175"/>
    </row>
    <row r="12" spans="1:10">
      <c r="A12" s="2893" t="s">
        <v>45</v>
      </c>
      <c r="B12" s="2893" t="s">
        <v>46</v>
      </c>
      <c r="C12" s="2894" t="s">
        <v>47</v>
      </c>
      <c r="D12" s="2894"/>
      <c r="E12" s="2894" t="s">
        <v>48</v>
      </c>
      <c r="F12" s="2893" t="s">
        <v>19</v>
      </c>
      <c r="G12" s="2893" t="s">
        <v>20</v>
      </c>
      <c r="H12" s="2893" t="s">
        <v>193</v>
      </c>
      <c r="I12" s="2895" t="s">
        <v>22</v>
      </c>
      <c r="J12" s="175"/>
    </row>
    <row r="13" spans="1:10">
      <c r="A13" s="2896" t="s">
        <v>94</v>
      </c>
      <c r="B13" s="2897" t="s">
        <v>32</v>
      </c>
      <c r="C13" s="2898">
        <f>165+821</f>
        <v>986</v>
      </c>
      <c r="D13" s="2898"/>
      <c r="E13" s="2898">
        <f>+C13+G8+D13</f>
        <v>909.08900000000085</v>
      </c>
      <c r="F13" s="551">
        <f>+SUM('RAE S.común'!B12:B15)</f>
        <v>633.83500000000004</v>
      </c>
      <c r="G13" s="2899">
        <f>+E13-F13</f>
        <v>275.25400000000081</v>
      </c>
      <c r="H13" s="2903">
        <f>+G13/E13</f>
        <v>0.30278003583807589</v>
      </c>
      <c r="I13" s="2911" t="s">
        <v>1484</v>
      </c>
      <c r="J13" s="2624" t="s">
        <v>1261</v>
      </c>
    </row>
    <row r="14" spans="1:10">
      <c r="A14" s="2896" t="s">
        <v>95</v>
      </c>
      <c r="B14" s="2902" t="s">
        <v>32</v>
      </c>
      <c r="C14" s="2898">
        <f>150+757</f>
        <v>907</v>
      </c>
      <c r="D14" s="2898"/>
      <c r="E14" s="2898">
        <f>+C14+G9+D14</f>
        <v>929.15899999999988</v>
      </c>
      <c r="F14" s="551">
        <f>+SUM('RAE S.común'!B28:B31)</f>
        <v>1807.8740000000003</v>
      </c>
      <c r="G14" s="2899">
        <f>+E14-F14</f>
        <v>-878.71500000000037</v>
      </c>
      <c r="H14" s="2903">
        <f>+G14/E14</f>
        <v>-0.9457100453205538</v>
      </c>
      <c r="I14" s="2912">
        <v>41771</v>
      </c>
      <c r="J14" s="175"/>
    </row>
    <row r="15" spans="1:10">
      <c r="A15" s="2905" t="s">
        <v>50</v>
      </c>
      <c r="B15" s="2913" t="s">
        <v>32</v>
      </c>
      <c r="C15" s="2906">
        <f>SUM(C13:C14)</f>
        <v>1893</v>
      </c>
      <c r="D15" s="2906"/>
      <c r="E15" s="2906">
        <f>+C15+G10</f>
        <v>1838.2480000000005</v>
      </c>
      <c r="F15" s="2914">
        <f>SUM(F13:F14)</f>
        <v>2441.7090000000003</v>
      </c>
      <c r="G15" s="2915">
        <f>+E15-F15</f>
        <v>-603.46099999999979</v>
      </c>
      <c r="H15" s="595"/>
      <c r="J15" s="175"/>
    </row>
    <row r="16" spans="1:10" ht="13.8" thickBot="1">
      <c r="A16" s="2916"/>
      <c r="B16" s="2917"/>
      <c r="C16" s="2909"/>
      <c r="D16" s="2909"/>
      <c r="E16" s="2909"/>
      <c r="F16" s="2909"/>
      <c r="G16" s="2910"/>
      <c r="H16" s="595"/>
      <c r="J16" s="175"/>
    </row>
    <row r="17" spans="1:11">
      <c r="A17" s="2893" t="s">
        <v>45</v>
      </c>
      <c r="B17" s="2893" t="s">
        <v>46</v>
      </c>
      <c r="C17" s="2894" t="s">
        <v>47</v>
      </c>
      <c r="D17" s="2894"/>
      <c r="E17" s="2894" t="s">
        <v>48</v>
      </c>
      <c r="F17" s="2893" t="s">
        <v>19</v>
      </c>
      <c r="G17" s="2893" t="s">
        <v>20</v>
      </c>
      <c r="H17" s="2893" t="s">
        <v>193</v>
      </c>
      <c r="I17" s="2918">
        <v>2</v>
      </c>
      <c r="J17" s="2616"/>
    </row>
    <row r="18" spans="1:11" ht="13.8" thickBot="1">
      <c r="A18" s="2896" t="s">
        <v>94</v>
      </c>
      <c r="B18" s="2897" t="s">
        <v>33</v>
      </c>
      <c r="C18" s="2898">
        <v>83</v>
      </c>
      <c r="D18" s="2898"/>
      <c r="E18" s="2898">
        <f>+C18+G13+D18</f>
        <v>358.25400000000081</v>
      </c>
      <c r="F18" s="551">
        <f>+SUM('RAE S.común'!B16:B19)</f>
        <v>293.55999999999995</v>
      </c>
      <c r="G18" s="2899">
        <f>+E18-F18</f>
        <v>64.694000000000869</v>
      </c>
      <c r="H18" s="2919">
        <f>+G18/E18</f>
        <v>0.18058137522540074</v>
      </c>
      <c r="I18" s="2920"/>
      <c r="J18" s="2617"/>
      <c r="K18" s="2369">
        <f>+J18-135</f>
        <v>-135</v>
      </c>
    </row>
    <row r="19" spans="1:11">
      <c r="A19" s="2896" t="s">
        <v>95</v>
      </c>
      <c r="B19" s="2902" t="s">
        <v>33</v>
      </c>
      <c r="C19" s="2898">
        <v>75</v>
      </c>
      <c r="D19" s="2898"/>
      <c r="E19" s="2898">
        <f>+C19+G14+D19</f>
        <v>-803.71500000000037</v>
      </c>
      <c r="F19" s="551">
        <f>+SUM('RAE S.común'!B32:B35)</f>
        <v>0</v>
      </c>
      <c r="G19" s="2899">
        <f>+E19-F19</f>
        <v>-803.71500000000037</v>
      </c>
      <c r="H19" s="2903">
        <f>+G19/E19</f>
        <v>1</v>
      </c>
      <c r="I19" s="2921"/>
      <c r="J19" s="175"/>
    </row>
    <row r="20" spans="1:11">
      <c r="A20" s="2905" t="s">
        <v>50</v>
      </c>
      <c r="B20" s="2913" t="s">
        <v>33</v>
      </c>
      <c r="C20" s="2906">
        <f>SUM(C18:C19)</f>
        <v>158</v>
      </c>
      <c r="D20" s="2906"/>
      <c r="E20" s="2906">
        <f>+C20+G15</f>
        <v>-445.46099999999979</v>
      </c>
      <c r="F20" s="2914">
        <f>SUM(F18:F19)</f>
        <v>293.55999999999995</v>
      </c>
      <c r="G20" s="2907">
        <f>+E20-F20</f>
        <v>-739.02099999999973</v>
      </c>
      <c r="H20" s="595"/>
      <c r="J20" s="175"/>
    </row>
    <row r="21" spans="1:11">
      <c r="A21" s="2922"/>
      <c r="B21" s="2923"/>
      <c r="C21" s="2924"/>
      <c r="D21" s="2924"/>
      <c r="E21" s="2924"/>
      <c r="F21" s="2925"/>
      <c r="G21" s="2926"/>
      <c r="H21" s="595"/>
      <c r="J21" s="175"/>
    </row>
    <row r="22" spans="1:11">
      <c r="A22" s="3843" t="s">
        <v>183</v>
      </c>
      <c r="B22" s="3844"/>
      <c r="C22" s="2892"/>
      <c r="D22" s="2892"/>
      <c r="E22" s="2892"/>
      <c r="F22" s="595"/>
      <c r="G22" s="595"/>
      <c r="H22" s="596"/>
      <c r="J22" s="175"/>
    </row>
    <row r="23" spans="1:11">
      <c r="A23" s="596"/>
      <c r="B23" s="595"/>
      <c r="C23" s="2892"/>
      <c r="D23" s="2892"/>
      <c r="E23" s="2892"/>
      <c r="F23" s="595"/>
      <c r="G23" s="595"/>
      <c r="H23" s="596"/>
      <c r="J23" s="175"/>
    </row>
    <row r="24" spans="1:11">
      <c r="A24" s="2893" t="s">
        <v>45</v>
      </c>
      <c r="B24" s="2893" t="s">
        <v>46</v>
      </c>
      <c r="C24" s="2894" t="s">
        <v>47</v>
      </c>
      <c r="D24" s="2894" t="s">
        <v>181</v>
      </c>
      <c r="E24" s="2894" t="s">
        <v>48</v>
      </c>
      <c r="F24" s="2893" t="s">
        <v>19</v>
      </c>
      <c r="G24" s="2893" t="s">
        <v>20</v>
      </c>
      <c r="H24" s="2893" t="s">
        <v>193</v>
      </c>
      <c r="I24" s="2895" t="s">
        <v>22</v>
      </c>
      <c r="J24" s="175"/>
    </row>
    <row r="25" spans="1:11" s="2935" customFormat="1">
      <c r="A25" s="2927" t="s">
        <v>184</v>
      </c>
      <c r="B25" s="2928" t="s">
        <v>31</v>
      </c>
      <c r="C25" s="2929">
        <v>1478.606</v>
      </c>
      <c r="D25" s="2930"/>
      <c r="E25" s="2931">
        <f>+C25+D25</f>
        <v>1478.606</v>
      </c>
      <c r="F25" s="2932">
        <f>+SUM('RAE S.común'!B41:B44)</f>
        <v>1039.1179999999999</v>
      </c>
      <c r="G25" s="2933">
        <f>+E25-F25</f>
        <v>439.48800000000006</v>
      </c>
      <c r="H25" s="2903">
        <f>+G25/E25</f>
        <v>0.29723131111330542</v>
      </c>
      <c r="I25" s="2934"/>
      <c r="J25" s="216"/>
    </row>
    <row r="26" spans="1:11" s="2935" customFormat="1">
      <c r="A26" s="2927" t="s">
        <v>589</v>
      </c>
      <c r="B26" s="2928" t="s">
        <v>31</v>
      </c>
      <c r="C26" s="2929">
        <v>17.143000000000001</v>
      </c>
      <c r="D26" s="2930"/>
      <c r="E26" s="2931">
        <f>+C26+D26</f>
        <v>17.143000000000001</v>
      </c>
      <c r="F26" s="2932">
        <f>+SUM('RAE S.común'!B57:B60)</f>
        <v>0</v>
      </c>
      <c r="G26" s="2933">
        <f>+E26-F26</f>
        <v>17.143000000000001</v>
      </c>
      <c r="H26" s="2903">
        <f>+G26/E26</f>
        <v>1</v>
      </c>
      <c r="I26" s="2934"/>
      <c r="J26" s="216"/>
    </row>
    <row r="27" spans="1:11" s="2935" customFormat="1">
      <c r="A27" s="2927" t="s">
        <v>91</v>
      </c>
      <c r="B27" s="2902" t="s">
        <v>31</v>
      </c>
      <c r="C27" s="2929">
        <v>91.251000000000005</v>
      </c>
      <c r="D27" s="2898"/>
      <c r="E27" s="2898">
        <f>+C27</f>
        <v>91.251000000000005</v>
      </c>
      <c r="F27" s="2932">
        <f>+SUM('RAE S.común'!B73:B76)</f>
        <v>0</v>
      </c>
      <c r="G27" s="2906">
        <f>+E27-F27</f>
        <v>91.251000000000005</v>
      </c>
      <c r="H27" s="2903">
        <f>G27/E27</f>
        <v>1</v>
      </c>
      <c r="I27" s="2936"/>
      <c r="J27" s="2119"/>
    </row>
    <row r="28" spans="1:11">
      <c r="A28" s="2905" t="s">
        <v>50</v>
      </c>
      <c r="B28" s="2905" t="s">
        <v>31</v>
      </c>
      <c r="C28" s="2906">
        <f>SUM(C25:C27)</f>
        <v>1587</v>
      </c>
      <c r="D28" s="2906"/>
      <c r="E28" s="2906">
        <f>SUM(E25:E27)</f>
        <v>1587</v>
      </c>
      <c r="F28" s="2907">
        <f>SUM(F25:F27)</f>
        <v>1039.1179999999999</v>
      </c>
      <c r="G28" s="2906">
        <f>+E28-F28</f>
        <v>547.88200000000006</v>
      </c>
      <c r="H28" s="595"/>
      <c r="I28" s="2937"/>
      <c r="J28" s="175"/>
    </row>
    <row r="29" spans="1:11">
      <c r="A29" s="2908"/>
      <c r="B29" s="595"/>
      <c r="C29" s="2909"/>
      <c r="D29" s="2909"/>
      <c r="E29" s="2909"/>
      <c r="F29" s="2910"/>
      <c r="G29" s="2910"/>
      <c r="H29" s="595"/>
      <c r="I29" s="2937"/>
      <c r="J29" s="175"/>
    </row>
    <row r="30" spans="1:11">
      <c r="A30" s="2893" t="s">
        <v>45</v>
      </c>
      <c r="B30" s="2893" t="s">
        <v>46</v>
      </c>
      <c r="C30" s="2894" t="s">
        <v>47</v>
      </c>
      <c r="D30" s="2894"/>
      <c r="E30" s="2894" t="s">
        <v>48</v>
      </c>
      <c r="F30" s="2893" t="s">
        <v>19</v>
      </c>
      <c r="G30" s="2893" t="s">
        <v>20</v>
      </c>
      <c r="H30" s="2893" t="s">
        <v>193</v>
      </c>
      <c r="I30" s="2938" t="s">
        <v>22</v>
      </c>
      <c r="J30" s="175"/>
    </row>
    <row r="31" spans="1:11" s="2935" customFormat="1">
      <c r="A31" s="2927" t="s">
        <v>184</v>
      </c>
      <c r="B31" s="2902" t="s">
        <v>32</v>
      </c>
      <c r="C31" s="2929">
        <v>211.25399999999999</v>
      </c>
      <c r="D31" s="2898"/>
      <c r="E31" s="2898">
        <f>+C31+G25</f>
        <v>650.74200000000008</v>
      </c>
      <c r="F31" s="2932">
        <f>+SUM('RAE S.común'!B45:B48)</f>
        <v>311.15299999999996</v>
      </c>
      <c r="G31" s="2933">
        <f>+E31-F31</f>
        <v>339.58900000000011</v>
      </c>
      <c r="H31" s="2903">
        <f>+G31/E31</f>
        <v>0.52184890478868751</v>
      </c>
      <c r="I31" s="2939"/>
      <c r="J31" s="216"/>
    </row>
    <row r="32" spans="1:11" s="2935" customFormat="1">
      <c r="A32" s="2927" t="s">
        <v>589</v>
      </c>
      <c r="B32" s="2902" t="s">
        <v>32</v>
      </c>
      <c r="C32" s="2929">
        <v>2.016</v>
      </c>
      <c r="D32" s="2898"/>
      <c r="E32" s="2898">
        <f t="shared" ref="E32:E33" si="0">+C32+G26</f>
        <v>19.158999999999999</v>
      </c>
      <c r="F32" s="2932">
        <f>+SUM('RAE S.común'!B61:B64)</f>
        <v>0</v>
      </c>
      <c r="G32" s="2933">
        <f t="shared" ref="G32:G33" si="1">+E32-F32</f>
        <v>19.158999999999999</v>
      </c>
      <c r="H32" s="2903">
        <f t="shared" ref="H32:H33" si="2">+G32/E32</f>
        <v>1</v>
      </c>
      <c r="I32" s="2939"/>
      <c r="J32" s="216"/>
    </row>
    <row r="33" spans="1:19">
      <c r="A33" s="2896" t="s">
        <v>91</v>
      </c>
      <c r="B33" s="2902" t="s">
        <v>32</v>
      </c>
      <c r="C33" s="2929">
        <v>10.73</v>
      </c>
      <c r="D33" s="2898"/>
      <c r="E33" s="2898">
        <f t="shared" si="0"/>
        <v>101.98100000000001</v>
      </c>
      <c r="F33" s="551">
        <f>+SUM('RAE S.común'!B77:B80)</f>
        <v>0</v>
      </c>
      <c r="G33" s="2933">
        <f t="shared" si="1"/>
        <v>101.98100000000001</v>
      </c>
      <c r="H33" s="2903">
        <f t="shared" si="2"/>
        <v>1</v>
      </c>
      <c r="I33" s="2936"/>
      <c r="J33" s="2119"/>
    </row>
    <row r="34" spans="1:19">
      <c r="A34" s="2905" t="s">
        <v>50</v>
      </c>
      <c r="B34" s="2913" t="s">
        <v>32</v>
      </c>
      <c r="C34" s="2906">
        <f>SUM(C31:C33)</f>
        <v>223.99999999999997</v>
      </c>
      <c r="D34" s="2906"/>
      <c r="E34" s="2906">
        <f>+C34+G28</f>
        <v>771.88200000000006</v>
      </c>
      <c r="F34" s="2914">
        <f>SUM(F31:F33)</f>
        <v>311.15299999999996</v>
      </c>
      <c r="G34" s="2915">
        <f>+E34-F34</f>
        <v>460.7290000000001</v>
      </c>
      <c r="H34" s="595"/>
      <c r="I34" s="2937"/>
      <c r="J34" s="175"/>
    </row>
    <row r="35" spans="1:19">
      <c r="A35" s="2916"/>
      <c r="B35" s="2917"/>
      <c r="C35" s="2909"/>
      <c r="D35" s="2909"/>
      <c r="E35" s="2909"/>
      <c r="F35" s="2909"/>
      <c r="G35" s="2910"/>
      <c r="H35" s="595"/>
      <c r="I35" s="2937"/>
      <c r="J35" s="175"/>
    </row>
    <row r="36" spans="1:19">
      <c r="A36" s="2893" t="s">
        <v>45</v>
      </c>
      <c r="B36" s="2893" t="s">
        <v>46</v>
      </c>
      <c r="C36" s="2894" t="s">
        <v>47</v>
      </c>
      <c r="D36" s="2894"/>
      <c r="E36" s="2894" t="s">
        <v>48</v>
      </c>
      <c r="F36" s="2893" t="s">
        <v>19</v>
      </c>
      <c r="G36" s="2893" t="s">
        <v>20</v>
      </c>
      <c r="H36" s="2893" t="s">
        <v>193</v>
      </c>
      <c r="I36" s="2938" t="s">
        <v>22</v>
      </c>
      <c r="J36" s="175"/>
    </row>
    <row r="37" spans="1:19">
      <c r="A37" s="2896" t="s">
        <v>184</v>
      </c>
      <c r="B37" s="2897" t="s">
        <v>33</v>
      </c>
      <c r="C37" s="2929">
        <v>105.627</v>
      </c>
      <c r="D37" s="2898"/>
      <c r="E37" s="2898">
        <f>+C37+G31</f>
        <v>445.21600000000012</v>
      </c>
      <c r="F37" s="2932">
        <f>+SUM('RAE S.común'!B49:B52)</f>
        <v>145.19800000000001</v>
      </c>
      <c r="G37" s="2933">
        <f>+E37-F37</f>
        <v>300.01800000000014</v>
      </c>
      <c r="H37" s="2903">
        <f>+G37/E37</f>
        <v>0.67387066053331435</v>
      </c>
      <c r="I37" s="2940"/>
      <c r="J37" s="175"/>
    </row>
    <row r="38" spans="1:19">
      <c r="A38" s="2896" t="s">
        <v>589</v>
      </c>
      <c r="B38" s="2897" t="s">
        <v>33</v>
      </c>
      <c r="C38" s="2929">
        <v>1.008</v>
      </c>
      <c r="D38" s="2898"/>
      <c r="E38" s="2898">
        <f t="shared" ref="E38:E39" si="3">+C38+G32</f>
        <v>20.166999999999998</v>
      </c>
      <c r="F38" s="2932">
        <f>+SUM('RAE S.común'!B65:B68)</f>
        <v>0</v>
      </c>
      <c r="G38" s="2933">
        <f t="shared" ref="G38:G39" si="4">+E38-F38</f>
        <v>20.166999999999998</v>
      </c>
      <c r="H38" s="2903">
        <f t="shared" ref="H38:H39" si="5">+G38/E38</f>
        <v>1</v>
      </c>
      <c r="I38" s="2940"/>
      <c r="J38" s="175"/>
    </row>
    <row r="39" spans="1:19">
      <c r="A39" s="2896" t="s">
        <v>91</v>
      </c>
      <c r="B39" s="2902" t="s">
        <v>33</v>
      </c>
      <c r="C39" s="2929">
        <v>5.3650000000000002</v>
      </c>
      <c r="D39" s="2898"/>
      <c r="E39" s="2898">
        <f t="shared" si="3"/>
        <v>107.346</v>
      </c>
      <c r="F39" s="551">
        <f>+SUM('RAE S.común'!B81:B84)</f>
        <v>207.63099999999997</v>
      </c>
      <c r="G39" s="2933">
        <f t="shared" si="4"/>
        <v>-100.28499999999997</v>
      </c>
      <c r="H39" s="2903">
        <f t="shared" si="5"/>
        <v>-0.93422204832969991</v>
      </c>
      <c r="I39" s="2936"/>
      <c r="J39" s="2119"/>
    </row>
    <row r="40" spans="1:19">
      <c r="A40" s="2905" t="s">
        <v>50</v>
      </c>
      <c r="B40" s="2913" t="s">
        <v>33</v>
      </c>
      <c r="C40" s="2906">
        <f>SUM(C37:C39)</f>
        <v>111.99999999999999</v>
      </c>
      <c r="D40" s="2906"/>
      <c r="E40" s="2906">
        <f>+C40+G34</f>
        <v>572.72900000000004</v>
      </c>
      <c r="F40" s="2914">
        <f>SUM(F37:F39)</f>
        <v>352.82899999999995</v>
      </c>
      <c r="G40" s="2907">
        <f>+E40-F40</f>
        <v>219.90000000000009</v>
      </c>
      <c r="H40" s="595"/>
      <c r="J40" s="175"/>
    </row>
    <row r="41" spans="1:19">
      <c r="C41" s="2909"/>
      <c r="D41" s="2909"/>
      <c r="E41" s="2909"/>
      <c r="F41" s="2909"/>
      <c r="G41" s="3849"/>
      <c r="H41" s="3850"/>
      <c r="J41" s="177"/>
      <c r="K41" s="2266" t="s">
        <v>1340</v>
      </c>
      <c r="N41" s="620"/>
    </row>
    <row r="42" spans="1:19" ht="15.75" customHeight="1">
      <c r="A42" s="3848" t="s">
        <v>51</v>
      </c>
      <c r="B42" s="3848"/>
      <c r="C42" s="2909"/>
      <c r="D42" s="2909"/>
      <c r="E42" s="2909"/>
      <c r="F42" s="2910"/>
      <c r="G42" s="2910"/>
      <c r="H42" s="596"/>
      <c r="J42" s="175"/>
      <c r="L42" s="1690" t="s">
        <v>678</v>
      </c>
      <c r="N42" s="1273"/>
      <c r="O42" s="1273"/>
      <c r="P42" s="1273"/>
      <c r="Q42" s="1273"/>
      <c r="R42" s="1273"/>
      <c r="S42" s="1190"/>
    </row>
    <row r="43" spans="1:19" ht="13.8" thickBot="1">
      <c r="A43" s="2893" t="s">
        <v>45</v>
      </c>
      <c r="B43" s="2893" t="s">
        <v>46</v>
      </c>
      <c r="C43" s="2894" t="s">
        <v>47</v>
      </c>
      <c r="D43" s="2894" t="s">
        <v>241</v>
      </c>
      <c r="E43" s="2894" t="s">
        <v>48</v>
      </c>
      <c r="F43" s="2893" t="s">
        <v>19</v>
      </c>
      <c r="G43" s="2893" t="s">
        <v>20</v>
      </c>
      <c r="H43" s="2893" t="s">
        <v>193</v>
      </c>
      <c r="I43" s="2895" t="s">
        <v>22</v>
      </c>
      <c r="J43" s="175"/>
      <c r="L43" s="1690" t="s">
        <v>679</v>
      </c>
    </row>
    <row r="44" spans="1:19">
      <c r="A44" s="2941" t="s">
        <v>617</v>
      </c>
      <c r="B44" s="2942" t="s">
        <v>52</v>
      </c>
      <c r="C44" s="2943">
        <v>793</v>
      </c>
      <c r="D44" s="2944"/>
      <c r="E44" s="2898">
        <f t="shared" ref="E44:E79" si="6">+C44+D44</f>
        <v>793</v>
      </c>
      <c r="F44" s="2945">
        <f>26.06+80.32+2.64+13.47+60.18+62.4+68.32+62.59-14.64+14.2+13.75+41.69+49.2+52.25+28.42+0.004+67.485+15.116+59.944</f>
        <v>703.399</v>
      </c>
      <c r="G44" s="2946">
        <f>+E44-F44</f>
        <v>89.600999999999999</v>
      </c>
      <c r="H44" s="2743">
        <f t="shared" ref="H44:H108" si="7">+G44/E44</f>
        <v>0.11298991172761665</v>
      </c>
      <c r="I44" s="2947"/>
      <c r="J44" s="2464">
        <v>1</v>
      </c>
      <c r="K44" s="2745">
        <f>+L44-F44</f>
        <v>0</v>
      </c>
      <c r="L44" s="2414">
        <v>703.399</v>
      </c>
    </row>
    <row r="45" spans="1:19">
      <c r="A45" s="2941" t="s">
        <v>1654</v>
      </c>
      <c r="B45" s="2942" t="s">
        <v>52</v>
      </c>
      <c r="C45" s="2943">
        <v>3232</v>
      </c>
      <c r="D45" s="2948"/>
      <c r="E45" s="2898">
        <f t="shared" si="6"/>
        <v>3232</v>
      </c>
      <c r="F45" s="2949">
        <f>66.7+132.89+139.53+317.27+131.42+124.59+217.06+165.52+118.91+41.5+125.44+16.1+44.52+61.28+56.93+33.78+17.1+14.14+33.63+70.19+58.16+37.35+33.83+0.005+17.18+76.635+50.13+81.701+62.726+19.671+27.16+37.561</f>
        <v>2430.6090000000004</v>
      </c>
      <c r="G45" s="2946">
        <f t="shared" ref="G45:G101" si="8">+E45-F45</f>
        <v>801.39099999999962</v>
      </c>
      <c r="H45" s="2743">
        <f>+G45/E45</f>
        <v>0.24795513613861375</v>
      </c>
      <c r="I45" s="2947"/>
      <c r="J45" s="2464">
        <v>2</v>
      </c>
      <c r="K45" s="2745">
        <f t="shared" ref="K45:K107" si="9">+L45-F45</f>
        <v>0</v>
      </c>
      <c r="L45" s="2745">
        <v>2430.6089999999999</v>
      </c>
    </row>
    <row r="46" spans="1:19" ht="34.5" customHeight="1">
      <c r="A46" s="2941" t="s">
        <v>619</v>
      </c>
      <c r="B46" s="2942" t="s">
        <v>52</v>
      </c>
      <c r="C46" s="2943">
        <v>3211</v>
      </c>
      <c r="D46" s="2948"/>
      <c r="E46" s="2898">
        <f t="shared" si="6"/>
        <v>3211</v>
      </c>
      <c r="F46" s="2950">
        <f>75.64+218.34+202+75.94+223.33+162.33+157.11+202.975+275.64+379.78+95.073+138.105+55.099+325.805+5.748+142.989+0.379-1015.993+79.555+94.191+59.899+4.333-224.423+63.395+185.77-262.72+55.967+137.515+42.334+80.024+58.545+75.33+52.45+73.89+46.163+12.33</f>
        <v>2354.8379999999997</v>
      </c>
      <c r="G46" s="2951">
        <f t="shared" si="8"/>
        <v>856.16200000000026</v>
      </c>
      <c r="H46" s="2743">
        <f t="shared" si="7"/>
        <v>0.26663407038305831</v>
      </c>
      <c r="I46" s="2947"/>
      <c r="J46" s="2464">
        <v>3</v>
      </c>
      <c r="K46" s="2745">
        <f t="shared" si="9"/>
        <v>0</v>
      </c>
      <c r="L46" s="2414">
        <v>2354.8380000000002</v>
      </c>
    </row>
    <row r="47" spans="1:19">
      <c r="A47" s="2941" t="s">
        <v>620</v>
      </c>
      <c r="B47" s="2942" t="s">
        <v>52</v>
      </c>
      <c r="C47" s="2943">
        <v>12788</v>
      </c>
      <c r="D47" s="2948"/>
      <c r="E47" s="2898">
        <f t="shared" si="6"/>
        <v>12788</v>
      </c>
      <c r="F47" s="2950">
        <f>549.765+380.877+1537.52+525.261+510.651+289.205+496.982+256.641+425.861+866.656+341.482+666.301+139.62+317.984+78.965+418.51+25.187+76.592+65.529+21.216+37.063+2.686+244.985+7.782+155.609+83.246+240.9+29.252+127.622+2.95+180.025+69.082+103.15+194.216+108.393+71.969+28.09+168.318+163.197+136.314+154.443+458.926+455.271+65.018+203.58+97.495+29.878</f>
        <v>11610.264999999999</v>
      </c>
      <c r="G47" s="2946">
        <f t="shared" si="8"/>
        <v>1177.7350000000006</v>
      </c>
      <c r="H47" s="2743">
        <f t="shared" si="7"/>
        <v>9.2096887707225572E-2</v>
      </c>
      <c r="I47" s="2744" t="s">
        <v>1474</v>
      </c>
      <c r="J47" s="2464">
        <v>4</v>
      </c>
      <c r="K47" s="2745">
        <f t="shared" si="9"/>
        <v>0</v>
      </c>
      <c r="L47" s="2414">
        <v>11610.264999999999</v>
      </c>
    </row>
    <row r="48" spans="1:19">
      <c r="A48" s="2941" t="s">
        <v>621</v>
      </c>
      <c r="B48" s="2942" t="s">
        <v>52</v>
      </c>
      <c r="C48" s="2943">
        <v>0</v>
      </c>
      <c r="D48" s="2948"/>
      <c r="E48" s="2898">
        <f t="shared" si="6"/>
        <v>0</v>
      </c>
      <c r="F48" s="2950"/>
      <c r="G48" s="2946">
        <f t="shared" si="8"/>
        <v>0</v>
      </c>
      <c r="H48" s="2743" t="e">
        <f t="shared" si="7"/>
        <v>#DIV/0!</v>
      </c>
      <c r="I48" s="2947"/>
      <c r="J48" s="2464">
        <v>5</v>
      </c>
      <c r="K48" s="2745">
        <f t="shared" si="9"/>
        <v>0</v>
      </c>
      <c r="L48" s="2414">
        <v>0</v>
      </c>
    </row>
    <row r="49" spans="1:12">
      <c r="A49" s="2941" t="s">
        <v>622</v>
      </c>
      <c r="B49" s="2942" t="s">
        <v>52</v>
      </c>
      <c r="C49" s="2943">
        <v>9563</v>
      </c>
      <c r="D49" s="2943"/>
      <c r="E49" s="2931">
        <f t="shared" si="6"/>
        <v>9563</v>
      </c>
      <c r="F49" s="2950">
        <f>533.136+193.789+1040.699+403.043+426.534+77.018+804.11+290.23+566.914+405.198+207.062+113.495+81.297+380.011+81.517+95.824+0.947+58.975+130.696+37.293+17.043+79.438+2.996+132.63+0.116+63.505+226.241+71.7+83.88+95.245+5.105+64.29+4.65+94.49+9.516+50.125+20.258+332.544+298.808+36.123+7.946+4.116+52.555</f>
        <v>7681.1079999999974</v>
      </c>
      <c r="G49" s="2946">
        <f t="shared" si="8"/>
        <v>1881.8920000000026</v>
      </c>
      <c r="H49" s="2743">
        <f t="shared" si="7"/>
        <v>0.19678887378437757</v>
      </c>
      <c r="I49" s="2947"/>
      <c r="J49" s="2464">
        <v>6</v>
      </c>
      <c r="K49" s="2745">
        <f t="shared" si="9"/>
        <v>0</v>
      </c>
      <c r="L49" s="2414">
        <v>7681.1080000000002</v>
      </c>
    </row>
    <row r="50" spans="1:12">
      <c r="A50" s="2941" t="s">
        <v>623</v>
      </c>
      <c r="B50" s="2942" t="s">
        <v>52</v>
      </c>
      <c r="C50" s="3347">
        <v>8995</v>
      </c>
      <c r="D50" s="3347"/>
      <c r="E50" s="3347">
        <f t="shared" si="6"/>
        <v>8995</v>
      </c>
      <c r="F50" s="2950">
        <f>207.324+463.102+4.267+84.782+325.155+348.317+1195.332+150.691+272.8+213.507+245.91+323.319+229.24+503.062+201.693+249.909+69.525+5.323+89.005+106.881+3.524+127.225+9.382+148.281+76.531+5.359+105.073+12.723+167.449+31.771+103.691+37.063+3.992+15.667+86.135+1.34+3.388+65.08+108.174+312.633+95.822+143.301+35.013+53.003+81.272+40.641+100.941+191.937+142.441+204.046-29.415+95.767+304.369+139.064+42.352+41.185</f>
        <v>8395.3639999999996</v>
      </c>
      <c r="G50" s="2946">
        <f t="shared" si="8"/>
        <v>599.63600000000042</v>
      </c>
      <c r="H50" s="2743">
        <f t="shared" si="7"/>
        <v>6.6663257365202941E-2</v>
      </c>
      <c r="I50" s="2947"/>
      <c r="J50" s="2464">
        <v>7</v>
      </c>
      <c r="K50" s="2745">
        <f t="shared" si="9"/>
        <v>0</v>
      </c>
      <c r="L50" s="2414">
        <v>8395.3639999999996</v>
      </c>
    </row>
    <row r="51" spans="1:12">
      <c r="A51" s="2941" t="s">
        <v>624</v>
      </c>
      <c r="B51" s="2942" t="s">
        <v>52</v>
      </c>
      <c r="C51" s="2943">
        <v>0</v>
      </c>
      <c r="D51" s="2943"/>
      <c r="E51" s="2931">
        <f t="shared" si="6"/>
        <v>0</v>
      </c>
      <c r="F51" s="2950"/>
      <c r="G51" s="2946">
        <f t="shared" si="8"/>
        <v>0</v>
      </c>
      <c r="H51" s="2743" t="e">
        <f>+G51/E51</f>
        <v>#DIV/0!</v>
      </c>
      <c r="I51" s="2947"/>
      <c r="J51" s="2464">
        <v>8</v>
      </c>
      <c r="K51" s="2745">
        <f t="shared" si="9"/>
        <v>0</v>
      </c>
      <c r="L51" s="2414">
        <v>0</v>
      </c>
    </row>
    <row r="52" spans="1:12">
      <c r="A52" s="2736" t="s">
        <v>625</v>
      </c>
      <c r="B52" s="2942" t="s">
        <v>52</v>
      </c>
      <c r="C52" s="3347">
        <v>2503.83</v>
      </c>
      <c r="D52" s="3347"/>
      <c r="E52" s="3347">
        <f t="shared" si="6"/>
        <v>2503.83</v>
      </c>
      <c r="F52" s="2950">
        <f>100.89+216.78+35.26+77.34+121.35+101.07+307.73+102.3+107.85+108.75+75.52+93.93+260.64+51.62+59.73+48.97+43.27+0.28+53.4+27.2+5.79+21.86+34.45+41.79+86.015+78.389+82.955+95.787+62.915</f>
        <v>2503.8309999999992</v>
      </c>
      <c r="G52" s="2946">
        <f t="shared" si="8"/>
        <v>-9.9999999929423211E-4</v>
      </c>
      <c r="H52" s="2743">
        <f t="shared" si="7"/>
        <v>-3.9938813709166844E-7</v>
      </c>
      <c r="I52" s="2947" t="s">
        <v>1469</v>
      </c>
      <c r="J52" s="2464">
        <v>9</v>
      </c>
      <c r="K52" s="2745">
        <f t="shared" si="9"/>
        <v>0</v>
      </c>
      <c r="L52" s="2414">
        <v>2503.8310000000001</v>
      </c>
    </row>
    <row r="53" spans="1:12" s="1190" customFormat="1">
      <c r="A53" s="2952" t="s">
        <v>626</v>
      </c>
      <c r="B53" s="2942" t="s">
        <v>52</v>
      </c>
      <c r="C53" s="2943">
        <v>0</v>
      </c>
      <c r="D53" s="2943"/>
      <c r="E53" s="2931">
        <f t="shared" si="6"/>
        <v>0</v>
      </c>
      <c r="F53" s="2953"/>
      <c r="G53" s="2954">
        <f t="shared" si="8"/>
        <v>0</v>
      </c>
      <c r="H53" s="2743" t="e">
        <f t="shared" si="7"/>
        <v>#DIV/0!</v>
      </c>
      <c r="I53" s="2947"/>
      <c r="J53" s="2464">
        <v>10</v>
      </c>
      <c r="K53" s="2745">
        <f t="shared" si="9"/>
        <v>0</v>
      </c>
      <c r="L53" s="2955">
        <v>0</v>
      </c>
    </row>
    <row r="54" spans="1:12">
      <c r="A54" s="2941" t="s">
        <v>627</v>
      </c>
      <c r="B54" s="2942" t="s">
        <v>52</v>
      </c>
      <c r="C54" s="2943">
        <v>27337</v>
      </c>
      <c r="D54" s="2943"/>
      <c r="E54" s="2931">
        <f t="shared" si="6"/>
        <v>27337</v>
      </c>
      <c r="F54" s="2950">
        <f>265.23+3038.435+112.947+835.228+1407.177+1102.776+2815.898+618.894+1084.194+1394.498+1455.944+514.579+762.995+1107.408+657.649+694.704+372.167+539.07+507.094+515.216+108.713+192.722+27.399+9.136+6.423+8.151+395.884+40.116+123.592+43.145+171.727+197.992+184.401+8.688+276.088+199.922+86.165+82.506+7.313+147.025+59.22+16.985+50.6565+238.571+121.934+524.462+383.543+61.295+151.771+116.27+50.643+75.597-53.137</f>
        <v>23917.02150000001</v>
      </c>
      <c r="G54" s="2946">
        <f t="shared" si="8"/>
        <v>3419.9784999999902</v>
      </c>
      <c r="H54" s="2743">
        <f t="shared" si="7"/>
        <v>0.12510438233895418</v>
      </c>
      <c r="I54" s="2947"/>
      <c r="J54" s="2464">
        <v>11</v>
      </c>
      <c r="K54" s="2745">
        <f t="shared" si="9"/>
        <v>4.9999999100691639E-4</v>
      </c>
      <c r="L54" s="2745">
        <v>23917.022000000001</v>
      </c>
    </row>
    <row r="55" spans="1:12">
      <c r="A55" s="2941" t="s">
        <v>628</v>
      </c>
      <c r="B55" s="2942" t="s">
        <v>52</v>
      </c>
      <c r="C55" s="2943">
        <v>1465</v>
      </c>
      <c r="D55" s="2943"/>
      <c r="E55" s="2931">
        <f t="shared" si="6"/>
        <v>1465</v>
      </c>
      <c r="F55" s="2953">
        <f>48.37+12.95+117.57+117.54+0.14+34.86+9.86+138.02+5.42+7.41+39.16+24.77+6.58+3.45+0.004+1.419</f>
        <v>567.52300000000014</v>
      </c>
      <c r="G55" s="2954">
        <f t="shared" si="8"/>
        <v>897.47699999999986</v>
      </c>
      <c r="H55" s="2743">
        <f t="shared" si="7"/>
        <v>0.61261228668941969</v>
      </c>
      <c r="I55" s="2947"/>
      <c r="J55" s="2464">
        <v>12</v>
      </c>
      <c r="K55" s="2745">
        <f t="shared" si="9"/>
        <v>0</v>
      </c>
      <c r="L55" s="2414">
        <v>567.52300000000002</v>
      </c>
    </row>
    <row r="56" spans="1:12">
      <c r="A56" s="2941" t="s">
        <v>629</v>
      </c>
      <c r="B56" s="2942" t="s">
        <v>52</v>
      </c>
      <c r="C56" s="3347">
        <v>4010</v>
      </c>
      <c r="D56" s="3173"/>
      <c r="E56" s="3347">
        <f t="shared" si="6"/>
        <v>4010</v>
      </c>
      <c r="F56" s="2953">
        <f>12.2+23.1+5.11+293.415+236.856+713.504+253.044+261.175+262.174+241.191+202.002+300.76+480.841+115.329+233.911+20.076+1.132+70.721+25.931+107.024+43.208+13.595+61.532-10.296</f>
        <v>3967.5350000000003</v>
      </c>
      <c r="G56" s="2954">
        <f>+E56-F56</f>
        <v>42.464999999999691</v>
      </c>
      <c r="H56" s="2743">
        <f t="shared" si="7"/>
        <v>1.058977556109718E-2</v>
      </c>
      <c r="I56" s="2947" t="s">
        <v>1472</v>
      </c>
      <c r="J56" s="2464">
        <v>13</v>
      </c>
      <c r="K56" s="2745">
        <f t="shared" si="9"/>
        <v>0</v>
      </c>
      <c r="L56" s="2414">
        <v>3967.5349999999999</v>
      </c>
    </row>
    <row r="57" spans="1:12">
      <c r="A57" s="2941" t="s">
        <v>630</v>
      </c>
      <c r="B57" s="2931" t="s">
        <v>52</v>
      </c>
      <c r="C57" s="2943">
        <v>0</v>
      </c>
      <c r="D57" s="2943"/>
      <c r="E57" s="2931">
        <f t="shared" si="6"/>
        <v>0</v>
      </c>
      <c r="F57" s="2953"/>
      <c r="G57" s="2954">
        <f>+E57-F57</f>
        <v>0</v>
      </c>
      <c r="H57" s="2743" t="e">
        <f t="shared" si="7"/>
        <v>#DIV/0!</v>
      </c>
      <c r="I57" s="2947"/>
      <c r="J57" s="2464">
        <v>14</v>
      </c>
      <c r="K57" s="2745">
        <f t="shared" si="9"/>
        <v>0</v>
      </c>
      <c r="L57" s="2414">
        <v>0</v>
      </c>
    </row>
    <row r="58" spans="1:12">
      <c r="A58" s="2941" t="s">
        <v>631</v>
      </c>
      <c r="B58" s="2942" t="s">
        <v>52</v>
      </c>
      <c r="C58" s="2943">
        <v>9428</v>
      </c>
      <c r="D58" s="2943"/>
      <c r="E58" s="2931">
        <f t="shared" si="6"/>
        <v>9428</v>
      </c>
      <c r="F58" s="2953">
        <f>469.131+116.88+1581.336+183.166+566.096+125.04+927.698+375.269+585.691+489.088+603.952+359.319+191.315+14.523+208.154+82.701+1.226+4.213+1.044+23.871+53.585+31.89+71.89+4.679+157.562+6.31+82.589+102.218-151.016+5.78+66.736+72.332+12.269+63.66+401.196-53.162-143.915-45.442</f>
        <v>7648.8739999999998</v>
      </c>
      <c r="G58" s="2954">
        <f t="shared" si="8"/>
        <v>1779.1260000000002</v>
      </c>
      <c r="H58" s="2743">
        <f t="shared" si="7"/>
        <v>0.18870661858294444</v>
      </c>
      <c r="I58" s="2947"/>
      <c r="J58" s="2464">
        <v>15</v>
      </c>
      <c r="K58" s="2745">
        <f t="shared" si="9"/>
        <v>45.442000000000007</v>
      </c>
      <c r="L58" s="2414">
        <v>7694.3159999999998</v>
      </c>
    </row>
    <row r="59" spans="1:12">
      <c r="A59" s="2941" t="s">
        <v>632</v>
      </c>
      <c r="B59" s="2931" t="s">
        <v>52</v>
      </c>
      <c r="C59" s="3347">
        <v>8729</v>
      </c>
      <c r="D59" s="3347"/>
      <c r="E59" s="3347">
        <f t="shared" si="6"/>
        <v>8729</v>
      </c>
      <c r="F59" s="2953">
        <f>48.44+229.7+22.64+26.27+343.01+193.64+769.58+3.97+282.58+368.61+226.73+240.545+233.61+321.393+148.353+139.552+615.469+803.614+1.653+109.191+16.443+64.243+9.788+24.453+5.391+1.245-1.653+106.758+109.889+169.853+46.561+96.05</f>
        <v>5777.5709999999999</v>
      </c>
      <c r="G59" s="2954">
        <f t="shared" si="8"/>
        <v>2951.4290000000001</v>
      </c>
      <c r="H59" s="2785">
        <f t="shared" si="7"/>
        <v>0.33811765379768588</v>
      </c>
      <c r="I59" s="2947"/>
      <c r="J59" s="2464">
        <v>16</v>
      </c>
      <c r="K59" s="2745">
        <f t="shared" si="9"/>
        <v>0</v>
      </c>
      <c r="L59" s="2414">
        <v>5777.5709999999999</v>
      </c>
    </row>
    <row r="60" spans="1:12">
      <c r="A60" s="2941" t="s">
        <v>633</v>
      </c>
      <c r="B60" s="2942" t="s">
        <v>52</v>
      </c>
      <c r="C60" s="2943">
        <v>13615</v>
      </c>
      <c r="D60" s="2943"/>
      <c r="E60" s="2931">
        <f t="shared" si="6"/>
        <v>13615</v>
      </c>
      <c r="F60" s="2953">
        <f>154.64+10.43+19.42+741.11+524.74+1020.49+249.07+664.81+585.51+660.51+141.23+924.26+541.66+296.2+478.01+453.73+200.86+347.78+197.4+79.26+63.63+53.73+18.75+59.94+78.02+70.75+1.85+85.58+0.081+68.826+79.15+74.43+33.049+99.839+26.705+166.059+66.965+122.569+344.205+316.149+16.206+24.92+30.861</f>
        <v>10193.383999999998</v>
      </c>
      <c r="G60" s="2954">
        <f t="shared" si="8"/>
        <v>3421.6160000000018</v>
      </c>
      <c r="H60" s="2743">
        <f t="shared" si="7"/>
        <v>0.25131222915901591</v>
      </c>
      <c r="I60" s="2947"/>
      <c r="J60" s="2464">
        <v>17</v>
      </c>
      <c r="K60" s="2745">
        <f t="shared" si="9"/>
        <v>0</v>
      </c>
      <c r="L60" s="2414">
        <v>10193.384</v>
      </c>
    </row>
    <row r="61" spans="1:12">
      <c r="A61" s="2941" t="s">
        <v>634</v>
      </c>
      <c r="B61" s="2942" t="s">
        <v>52</v>
      </c>
      <c r="C61" s="2943">
        <v>228</v>
      </c>
      <c r="D61" s="2943"/>
      <c r="E61" s="2931">
        <f t="shared" si="6"/>
        <v>228</v>
      </c>
      <c r="F61" s="2953">
        <f>14.93+115.31+15.76+28.75+13.2+40.48-0.003</f>
        <v>228.42699999999999</v>
      </c>
      <c r="G61" s="2954">
        <f t="shared" si="8"/>
        <v>-0.4269999999999925</v>
      </c>
      <c r="H61" s="2743">
        <f t="shared" si="7"/>
        <v>-1.8728070175438268E-3</v>
      </c>
      <c r="I61" s="2947" t="s">
        <v>1476</v>
      </c>
      <c r="J61" s="2464">
        <v>18</v>
      </c>
      <c r="K61" s="2745">
        <f t="shared" si="9"/>
        <v>0</v>
      </c>
      <c r="L61" s="2414">
        <v>228.42699999999999</v>
      </c>
    </row>
    <row r="62" spans="1:12">
      <c r="A62" s="2941" t="s">
        <v>635</v>
      </c>
      <c r="B62" s="2942" t="s">
        <v>52</v>
      </c>
      <c r="C62" s="2943">
        <v>5122</v>
      </c>
      <c r="D62" s="2956"/>
      <c r="E62" s="2931">
        <f t="shared" si="6"/>
        <v>5122</v>
      </c>
      <c r="F62" s="2953">
        <f>178.399+284.959+818.306+208.572+247.859+461.328+159.3+401.148+407.688+242.808+314.939+211.06+163.796+220.312+49.28+7.461+20.265+75.905+42.048+86.545+81.864-20.021</f>
        <v>4663.8209999999999</v>
      </c>
      <c r="G62" s="2954">
        <f>+E62-F62</f>
        <v>458.17900000000009</v>
      </c>
      <c r="H62" s="2743">
        <f t="shared" si="7"/>
        <v>8.9453143303397126E-2</v>
      </c>
      <c r="I62" s="2744" t="s">
        <v>1468</v>
      </c>
      <c r="J62" s="2464">
        <v>19</v>
      </c>
      <c r="K62" s="2745">
        <f t="shared" si="9"/>
        <v>0</v>
      </c>
      <c r="L62" s="2414">
        <v>4663.8209999999999</v>
      </c>
    </row>
    <row r="63" spans="1:12">
      <c r="A63" s="2941" t="s">
        <v>636</v>
      </c>
      <c r="B63" s="2942" t="s">
        <v>52</v>
      </c>
      <c r="C63" s="2943">
        <v>6532</v>
      </c>
      <c r="D63" s="2943"/>
      <c r="E63" s="2931">
        <f t="shared" si="6"/>
        <v>6532</v>
      </c>
      <c r="F63" s="2953">
        <f>180.61+84.275+19.953+60.755+424.254+148.81+916.544+301.31+311.88+720.364+482.689+451.189+282.783+325.49+138.663+79.28+359.825+68.566+476.633+12.01+121.19+58.551+66.23+53.075+25.148+68.785+34.49+80.932+17.214</f>
        <v>6371.4979999999978</v>
      </c>
      <c r="G63" s="2954">
        <f t="shared" si="8"/>
        <v>160.50200000000223</v>
      </c>
      <c r="H63" s="2743">
        <f t="shared" si="7"/>
        <v>2.4571647274954412E-2</v>
      </c>
      <c r="I63" s="2947"/>
      <c r="J63" s="2464">
        <v>20</v>
      </c>
      <c r="K63" s="2745">
        <f t="shared" si="9"/>
        <v>0</v>
      </c>
      <c r="L63" s="2414">
        <v>6371.4979999999996</v>
      </c>
    </row>
    <row r="64" spans="1:12">
      <c r="A64" s="2941" t="s">
        <v>637</v>
      </c>
      <c r="B64" s="2931" t="s">
        <v>52</v>
      </c>
      <c r="C64" s="3347">
        <f>11960+300</f>
        <v>12260</v>
      </c>
      <c r="D64" s="3347"/>
      <c r="E64" s="3347">
        <f t="shared" si="6"/>
        <v>12260</v>
      </c>
      <c r="F64" s="2953">
        <f>78.19+211.85+6.57+63.19+810.905+446.735+1406.54+425.888+589.071+660.099+890.434+529.79+294.162+618.675+228.831+437.436+123.646+311.469+319.985+167.802+191.689+73.99+19.597+60.983+145.911+69.979+39.973+211.764+46.157+6.042+68.29+96.434+20.596+10.44+39+72.55+80.153+12.17+13.38+61.065+224.379+64.658+40.633+77.16+51.7+147.875+190.496+189.61+75.9+37.685</f>
        <v>11061.526999999996</v>
      </c>
      <c r="G64" s="2954">
        <f t="shared" si="8"/>
        <v>1198.4730000000036</v>
      </c>
      <c r="H64" s="2743">
        <f t="shared" si="7"/>
        <v>9.7754730831974196E-2</v>
      </c>
      <c r="I64" s="2947"/>
      <c r="J64" s="2464">
        <v>21</v>
      </c>
      <c r="K64" s="2745">
        <f t="shared" si="9"/>
        <v>0</v>
      </c>
      <c r="L64" s="2414">
        <v>11061.527</v>
      </c>
    </row>
    <row r="65" spans="1:99" s="1690" customFormat="1">
      <c r="A65" s="2941" t="s">
        <v>638</v>
      </c>
      <c r="B65" s="2931" t="s">
        <v>52</v>
      </c>
      <c r="C65" s="2943">
        <v>2476</v>
      </c>
      <c r="D65" s="2943"/>
      <c r="E65" s="2931">
        <f t="shared" si="6"/>
        <v>2476</v>
      </c>
      <c r="F65" s="2953">
        <f>144.73+426.82+142.11+57.46+55.22+155.2+130.96+136.72+70.56+152+10.86+24.79+88.25+0.42+61.12+109.58+66.1+73.86+7.74+63.01+15.77+79.19+35.079+12.986+9.541+57.81+12.87</f>
        <v>2200.7559999999994</v>
      </c>
      <c r="G65" s="2954">
        <f t="shared" si="8"/>
        <v>275.2440000000006</v>
      </c>
      <c r="H65" s="2743">
        <f t="shared" si="7"/>
        <v>0.11116478190630072</v>
      </c>
      <c r="I65" s="2947"/>
      <c r="J65" s="2464">
        <v>22</v>
      </c>
      <c r="K65" s="2745">
        <f t="shared" si="9"/>
        <v>0</v>
      </c>
      <c r="L65" s="2955">
        <v>2200.7559999999999</v>
      </c>
      <c r="M65" s="1190"/>
      <c r="N65" s="1190"/>
      <c r="O65" s="1190"/>
      <c r="P65" s="1190"/>
      <c r="Q65" s="1190"/>
      <c r="R65" s="1190"/>
      <c r="S65" s="1190"/>
      <c r="T65" s="1190"/>
      <c r="U65" s="1190"/>
      <c r="V65" s="1190"/>
      <c r="W65" s="1190"/>
      <c r="X65" s="1190"/>
      <c r="Y65" s="1190"/>
      <c r="Z65" s="1190"/>
      <c r="AA65" s="1190"/>
      <c r="AB65" s="1190"/>
      <c r="AC65" s="1190"/>
      <c r="AD65" s="1190"/>
      <c r="AE65" s="1190"/>
      <c r="AF65" s="1190"/>
      <c r="AG65" s="1190"/>
      <c r="AH65" s="1190"/>
      <c r="AI65" s="1190"/>
      <c r="AJ65" s="1190"/>
      <c r="AK65" s="1190"/>
      <c r="AL65" s="1190"/>
      <c r="AM65" s="1190"/>
      <c r="AN65" s="1190"/>
      <c r="AO65" s="1190"/>
      <c r="AP65" s="1190"/>
      <c r="AQ65" s="1190"/>
      <c r="AR65" s="1190"/>
      <c r="AS65" s="1190"/>
      <c r="AT65" s="1190"/>
      <c r="AU65" s="1190"/>
      <c r="AV65" s="1190"/>
      <c r="AW65" s="1190"/>
      <c r="AX65" s="1190"/>
      <c r="AY65" s="1190"/>
      <c r="AZ65" s="1190"/>
      <c r="BA65" s="1190"/>
      <c r="BB65" s="1190"/>
      <c r="BC65" s="1190"/>
      <c r="BD65" s="1190"/>
      <c r="BE65" s="1190"/>
      <c r="BF65" s="1190"/>
      <c r="BG65" s="1190"/>
      <c r="BH65" s="1190"/>
      <c r="BI65" s="1190"/>
      <c r="BJ65" s="1190"/>
      <c r="BK65" s="1190"/>
      <c r="BL65" s="1190"/>
      <c r="BM65" s="1190"/>
      <c r="BN65" s="1190"/>
      <c r="BO65" s="1190"/>
      <c r="BP65" s="1190"/>
      <c r="BQ65" s="1190"/>
      <c r="BR65" s="1190"/>
      <c r="BS65" s="1190"/>
      <c r="BT65" s="1190"/>
      <c r="BU65" s="1190"/>
      <c r="BV65" s="1190"/>
      <c r="BW65" s="1190"/>
      <c r="BX65" s="1190"/>
      <c r="BY65" s="1190"/>
      <c r="BZ65" s="1190"/>
      <c r="CA65" s="1190"/>
      <c r="CB65" s="1190"/>
      <c r="CC65" s="1190"/>
      <c r="CD65" s="1190"/>
      <c r="CE65" s="1190"/>
      <c r="CF65" s="1190"/>
      <c r="CG65" s="1190"/>
      <c r="CH65" s="1190"/>
      <c r="CI65" s="1190"/>
      <c r="CJ65" s="1190"/>
      <c r="CK65" s="1190"/>
      <c r="CL65" s="1190"/>
      <c r="CM65" s="1190"/>
      <c r="CN65" s="1190"/>
      <c r="CO65" s="1190"/>
      <c r="CP65" s="1190"/>
      <c r="CQ65" s="1190"/>
      <c r="CR65" s="1190"/>
      <c r="CS65" s="1190"/>
      <c r="CT65" s="1190"/>
      <c r="CU65" s="1190"/>
    </row>
    <row r="66" spans="1:99">
      <c r="A66" s="2941" t="s">
        <v>639</v>
      </c>
      <c r="B66" s="2942" t="s">
        <v>52</v>
      </c>
      <c r="C66" s="2943">
        <v>10097</v>
      </c>
      <c r="D66" s="2956"/>
      <c r="E66" s="2931">
        <f t="shared" si="6"/>
        <v>10097</v>
      </c>
      <c r="F66" s="2953">
        <f>29.06+180.84+19.42+216.99+509.77+448+1444.61+164.23+520.07+339.91+256.28+307.77+444.1+388.96+554.14+212.09+195.74+178.89+149.95+133.8+126.37+124.66+209.94+245.39+73.04+22.52+202.43+81.82+43.34+62.153+156.5+123.7+185.962+63.317+46.83-0.327+227.2+124.773+50.886+16.549+66.66+44.095+85.497+29.514+69.732</f>
        <v>9177.1709999999985</v>
      </c>
      <c r="G66" s="2954">
        <f t="shared" si="8"/>
        <v>919.82900000000154</v>
      </c>
      <c r="H66" s="2743">
        <f t="shared" si="7"/>
        <v>9.109923739724686E-2</v>
      </c>
      <c r="I66" s="2947" t="s">
        <v>1467</v>
      </c>
      <c r="J66" s="2464">
        <v>23</v>
      </c>
      <c r="K66" s="2745">
        <f t="shared" si="9"/>
        <v>0</v>
      </c>
      <c r="L66" s="2414">
        <v>9177.1710000000003</v>
      </c>
    </row>
    <row r="67" spans="1:99">
      <c r="A67" s="2941" t="s">
        <v>640</v>
      </c>
      <c r="B67" s="2942" t="s">
        <v>52</v>
      </c>
      <c r="C67" s="3347">
        <v>585.17999999999995</v>
      </c>
      <c r="D67" s="3417"/>
      <c r="E67" s="3347">
        <f t="shared" si="6"/>
        <v>585.17999999999995</v>
      </c>
      <c r="F67" s="2953">
        <f>171.25+9.78+24.58+88.23+25.34+89.82+40.48+68.98+6.09+7.03+26.68+2.03+36.52-0.002</f>
        <v>596.80799999999999</v>
      </c>
      <c r="G67" s="2954">
        <f t="shared" si="8"/>
        <v>-11.628000000000043</v>
      </c>
      <c r="H67" s="3342">
        <f t="shared" si="7"/>
        <v>-1.9870808981851812E-2</v>
      </c>
      <c r="I67" s="3343" t="s">
        <v>1062</v>
      </c>
      <c r="J67" s="3344">
        <v>24</v>
      </c>
      <c r="K67" s="2745">
        <f t="shared" si="9"/>
        <v>0</v>
      </c>
      <c r="L67" s="2414">
        <v>596.80799999999999</v>
      </c>
    </row>
    <row r="68" spans="1:99" ht="20.399999999999999">
      <c r="A68" s="2941" t="s">
        <v>641</v>
      </c>
      <c r="B68" s="2942" t="s">
        <v>52</v>
      </c>
      <c r="C68" s="2943">
        <v>178</v>
      </c>
      <c r="D68" s="2943"/>
      <c r="E68" s="2931">
        <f t="shared" si="6"/>
        <v>178</v>
      </c>
      <c r="F68" s="2953">
        <f>21.17+59.25+1.79+9.99+26.5+33.73+15.17+10.77-0.002</f>
        <v>178.36799999999999</v>
      </c>
      <c r="G68" s="2954">
        <f t="shared" si="8"/>
        <v>-0.367999999999995</v>
      </c>
      <c r="H68" s="2743">
        <f t="shared" si="7"/>
        <v>-2.0674157303370503E-3</v>
      </c>
      <c r="I68" s="2947"/>
      <c r="J68" s="2464">
        <v>25</v>
      </c>
      <c r="K68" s="2745">
        <f t="shared" si="9"/>
        <v>0</v>
      </c>
      <c r="L68" s="2414">
        <v>178.36799999999999</v>
      </c>
    </row>
    <row r="69" spans="1:99">
      <c r="A69" s="2941" t="s">
        <v>642</v>
      </c>
      <c r="B69" s="2942" t="s">
        <v>52</v>
      </c>
      <c r="C69" s="2943">
        <v>2228</v>
      </c>
      <c r="D69" s="2943"/>
      <c r="E69" s="2931">
        <f t="shared" si="6"/>
        <v>2228</v>
      </c>
      <c r="F69" s="2950">
        <f>84.08+420.65+21.94+94.81+33.35+39.87+92.24+105.3+63.6+92.91+39.12+2.12+29.53+127.86+15.66+10.14+42.549+58.313+4.045+23.977+161.08-0.288+24.333+35.675+8.325+38.59+3.479+82.397+57.42+42.853+44.469+16+34.54+41.915+15.39+53.036-102.728</f>
        <v>1958.5500000000002</v>
      </c>
      <c r="G69" s="2946">
        <f t="shared" si="8"/>
        <v>269.44999999999982</v>
      </c>
      <c r="H69" s="2743">
        <f t="shared" si="7"/>
        <v>0.12093806104129255</v>
      </c>
      <c r="I69" s="2947"/>
      <c r="J69" s="2464">
        <v>26</v>
      </c>
      <c r="K69" s="2745">
        <f t="shared" si="9"/>
        <v>102.72799999999961</v>
      </c>
      <c r="L69" s="2414">
        <v>2061.2779999999998</v>
      </c>
    </row>
    <row r="70" spans="1:99">
      <c r="A70" s="2941" t="s">
        <v>643</v>
      </c>
      <c r="B70" s="2942" t="s">
        <v>52</v>
      </c>
      <c r="C70" s="2943">
        <v>1598</v>
      </c>
      <c r="D70" s="2943"/>
      <c r="E70" s="2931">
        <f t="shared" si="6"/>
        <v>1598</v>
      </c>
      <c r="F70" s="2950">
        <f>115.45+72.93+264.46+135.33+149.99+77.56+123.94+141.36+147.13+76.92+51.44+14.71+5.19+50.42+31.09</f>
        <v>1457.9200000000003</v>
      </c>
      <c r="G70" s="2946">
        <f t="shared" si="8"/>
        <v>140.0799999999997</v>
      </c>
      <c r="H70" s="2743">
        <f t="shared" si="7"/>
        <v>8.7659574468084922E-2</v>
      </c>
      <c r="I70" s="2947"/>
      <c r="J70" s="2464">
        <v>27</v>
      </c>
      <c r="K70" s="2745">
        <f t="shared" si="9"/>
        <v>0</v>
      </c>
      <c r="L70" s="2414">
        <v>1457.92</v>
      </c>
    </row>
    <row r="71" spans="1:99" ht="21.75" customHeight="1">
      <c r="A71" s="3677" t="s">
        <v>644</v>
      </c>
      <c r="B71" s="2942" t="s">
        <v>52</v>
      </c>
      <c r="C71" s="2943">
        <v>2103</v>
      </c>
      <c r="D71" s="2943"/>
      <c r="E71" s="2931">
        <f t="shared" si="6"/>
        <v>2103</v>
      </c>
      <c r="F71" s="2957">
        <f>14.02+991.88+88.77+286.5+20.75+106.015+163.534+106.483+25.987+66.152-104.373+23.157+78.21+1.519+21.164+3.081+0.581+2.014+2.366+2.702+15.034+13.158+1.736</f>
        <v>1930.4399999999998</v>
      </c>
      <c r="G71" s="2958">
        <f t="shared" si="8"/>
        <v>172.56000000000017</v>
      </c>
      <c r="H71" s="2743">
        <f t="shared" si="7"/>
        <v>8.2054208273894522E-2</v>
      </c>
      <c r="I71" s="2947" t="s">
        <v>1477</v>
      </c>
      <c r="J71" s="2464">
        <v>28</v>
      </c>
      <c r="K71" s="2745">
        <f t="shared" si="9"/>
        <v>0</v>
      </c>
      <c r="L71" s="2414">
        <v>1930.44</v>
      </c>
    </row>
    <row r="72" spans="1:99">
      <c r="A72" s="2941" t="s">
        <v>645</v>
      </c>
      <c r="B72" s="2942" t="s">
        <v>52</v>
      </c>
      <c r="C72" s="3347">
        <v>2005</v>
      </c>
      <c r="D72" s="3347"/>
      <c r="E72" s="3347">
        <f t="shared" si="6"/>
        <v>2005</v>
      </c>
      <c r="F72" s="2959">
        <f>64.88+287.37+68.88+124.308+94.872+137.211+135.872+159.29+109.928+91.557+4.977+70.282+56.79+32.592+76.58+8.666+0.83+67.536+35.383+49.676+32.441+10.005+20.231+19.29+19.939</f>
        <v>1779.386</v>
      </c>
      <c r="G72" s="2946">
        <f t="shared" si="8"/>
        <v>225.61400000000003</v>
      </c>
      <c r="H72" s="2743">
        <f t="shared" si="7"/>
        <v>0.11252568578553618</v>
      </c>
      <c r="I72" s="2947"/>
      <c r="J72" s="2464">
        <v>29</v>
      </c>
      <c r="K72" s="2745">
        <f t="shared" si="9"/>
        <v>0</v>
      </c>
      <c r="L72" s="2414">
        <v>1779.386</v>
      </c>
    </row>
    <row r="73" spans="1:99" s="1190" customFormat="1">
      <c r="A73" s="2941" t="s">
        <v>646</v>
      </c>
      <c r="B73" s="2942" t="s">
        <v>52</v>
      </c>
      <c r="C73" s="2943">
        <v>0</v>
      </c>
      <c r="D73" s="2943"/>
      <c r="E73" s="2931">
        <f t="shared" si="6"/>
        <v>0</v>
      </c>
      <c r="F73" s="2960"/>
      <c r="G73" s="2954">
        <f t="shared" si="8"/>
        <v>0</v>
      </c>
      <c r="H73" s="2743" t="e">
        <f t="shared" si="7"/>
        <v>#DIV/0!</v>
      </c>
      <c r="I73" s="2947"/>
      <c r="J73" s="2464">
        <v>30</v>
      </c>
      <c r="K73" s="2745">
        <f t="shared" si="9"/>
        <v>0</v>
      </c>
      <c r="L73" s="2955">
        <v>0</v>
      </c>
    </row>
    <row r="74" spans="1:99" ht="20.399999999999999">
      <c r="A74" s="3678" t="s">
        <v>647</v>
      </c>
      <c r="B74" s="2942" t="s">
        <v>52</v>
      </c>
      <c r="C74" s="2943">
        <v>3163</v>
      </c>
      <c r="D74" s="2943"/>
      <c r="E74" s="2931">
        <f t="shared" si="6"/>
        <v>3163</v>
      </c>
      <c r="F74" s="2959">
        <f>225.09+175.49+416.68+202.27+61.63+246.74+218.98+227.76+209.27+226.88+117.76+231.55+49.06+18.74+9.72+1.47+39.67+44.22+68.08+2.33+27.08+9.936</f>
        <v>2830.4059999999995</v>
      </c>
      <c r="G74" s="2946">
        <f t="shared" si="8"/>
        <v>332.59400000000051</v>
      </c>
      <c r="H74" s="2743">
        <f t="shared" si="7"/>
        <v>0.10515143850774597</v>
      </c>
      <c r="I74" s="2947"/>
      <c r="J74" s="2464">
        <v>31</v>
      </c>
      <c r="K74" s="2745">
        <f t="shared" si="9"/>
        <v>0</v>
      </c>
      <c r="L74" s="2414">
        <v>2830.4059999999999</v>
      </c>
    </row>
    <row r="75" spans="1:99" ht="20.399999999999999">
      <c r="A75" s="2941" t="s">
        <v>648</v>
      </c>
      <c r="B75" s="2942" t="s">
        <v>52</v>
      </c>
      <c r="C75" s="2943">
        <v>4847</v>
      </c>
      <c r="D75" s="2943"/>
      <c r="E75" s="2931">
        <f t="shared" si="6"/>
        <v>4847</v>
      </c>
      <c r="F75" s="2959">
        <f>49.59+275.7+248.57+793.419+213.122+180.208+200.413+281.564+157.917+265.194+249.695+143.569+112.337+32.852+390.816+35.612+96.933+63.03+64.37+50.53+137.929</f>
        <v>4043.3700000000003</v>
      </c>
      <c r="G75" s="2946">
        <f t="shared" si="8"/>
        <v>803.62999999999965</v>
      </c>
      <c r="H75" s="2743">
        <f t="shared" si="7"/>
        <v>0.16579946358572306</v>
      </c>
      <c r="I75" s="2947" t="s">
        <v>1469</v>
      </c>
      <c r="J75" s="2464">
        <v>32</v>
      </c>
      <c r="K75" s="2745">
        <f t="shared" si="9"/>
        <v>0</v>
      </c>
      <c r="L75" s="2414">
        <v>4043.37</v>
      </c>
    </row>
    <row r="76" spans="1:99">
      <c r="A76" s="2941" t="s">
        <v>649</v>
      </c>
      <c r="B76" s="2942" t="s">
        <v>52</v>
      </c>
      <c r="C76" s="2943">
        <v>183</v>
      </c>
      <c r="D76" s="2943"/>
      <c r="E76" s="2931">
        <f t="shared" si="6"/>
        <v>183</v>
      </c>
      <c r="F76" s="2959">
        <f>12.415+52.885+46.599+17.785+13.599+31.23-31.23</f>
        <v>143.28299999999999</v>
      </c>
      <c r="G76" s="2946">
        <f t="shared" si="8"/>
        <v>39.717000000000013</v>
      </c>
      <c r="H76" s="2743">
        <f t="shared" si="7"/>
        <v>0.21703278688524597</v>
      </c>
      <c r="I76" s="2947"/>
      <c r="J76" s="2464">
        <v>33</v>
      </c>
      <c r="K76" s="2745">
        <f t="shared" si="9"/>
        <v>0</v>
      </c>
      <c r="L76" s="2414">
        <v>143.28299999999999</v>
      </c>
    </row>
    <row r="77" spans="1:99">
      <c r="A77" s="2941" t="s">
        <v>650</v>
      </c>
      <c r="B77" s="2942" t="s">
        <v>52</v>
      </c>
      <c r="C77" s="2943">
        <v>197</v>
      </c>
      <c r="D77" s="2943"/>
      <c r="E77" s="2931">
        <f t="shared" si="6"/>
        <v>197</v>
      </c>
      <c r="F77" s="2959">
        <f>93.52+27.09+29.86+15.92+8.09+16.5+5.91-0.001</f>
        <v>196.88899999999998</v>
      </c>
      <c r="G77" s="2946">
        <f t="shared" si="8"/>
        <v>0.11100000000001842</v>
      </c>
      <c r="H77" s="2743">
        <f t="shared" si="7"/>
        <v>5.6345177664983968E-4</v>
      </c>
      <c r="I77" s="2947">
        <v>41768</v>
      </c>
      <c r="J77" s="2464">
        <v>34</v>
      </c>
      <c r="K77" s="2745">
        <f t="shared" si="9"/>
        <v>0</v>
      </c>
      <c r="L77" s="2414">
        <v>196.88900000000001</v>
      </c>
    </row>
    <row r="78" spans="1:99" ht="20.399999999999999">
      <c r="A78" s="2941" t="s">
        <v>651</v>
      </c>
      <c r="B78" s="2942" t="s">
        <v>52</v>
      </c>
      <c r="C78" s="2943">
        <v>5775</v>
      </c>
      <c r="D78" s="3173"/>
      <c r="E78" s="2931">
        <f t="shared" si="6"/>
        <v>5775</v>
      </c>
      <c r="F78" s="2959">
        <f>59.03+353.94+133.4+924.565+124.385+385.661+244.029+293.122+100+136.483+107.356+324.39+102.792+286.127+150.323+476.267+379.675+0.264+138.541+19.851+68.48+64.32+102.284+123.761+101.596</f>
        <v>5200.6419999999998</v>
      </c>
      <c r="G78" s="2946">
        <f t="shared" si="8"/>
        <v>574.35800000000017</v>
      </c>
      <c r="H78" s="2743">
        <f t="shared" si="7"/>
        <v>9.9455930735930773E-2</v>
      </c>
      <c r="I78" s="2947"/>
      <c r="J78" s="2464">
        <v>35</v>
      </c>
      <c r="K78" s="2745">
        <f t="shared" si="9"/>
        <v>0</v>
      </c>
      <c r="L78" s="2414">
        <v>5200.6419999999998</v>
      </c>
    </row>
    <row r="79" spans="1:99">
      <c r="A79" s="3679" t="s">
        <v>652</v>
      </c>
      <c r="B79" s="2942" t="s">
        <v>52</v>
      </c>
      <c r="C79" s="2943">
        <v>1168</v>
      </c>
      <c r="D79" s="2943"/>
      <c r="E79" s="2931">
        <f t="shared" si="6"/>
        <v>1168</v>
      </c>
      <c r="F79" s="2959">
        <f>0.045+100.719+205.48+197.452+194.067+138.308+84.419+111.503+55.897-0.09</f>
        <v>1087.8</v>
      </c>
      <c r="G79" s="2946">
        <f t="shared" si="8"/>
        <v>80.200000000000045</v>
      </c>
      <c r="H79" s="2743">
        <f t="shared" si="7"/>
        <v>6.866438356164388E-2</v>
      </c>
      <c r="I79" s="2947"/>
      <c r="J79" s="2464">
        <v>36</v>
      </c>
      <c r="K79" s="2745">
        <f t="shared" si="9"/>
        <v>9.0000000000145519E-2</v>
      </c>
      <c r="L79" s="2414">
        <v>1087.8900000000001</v>
      </c>
    </row>
    <row r="80" spans="1:99">
      <c r="A80" s="2941" t="s">
        <v>653</v>
      </c>
      <c r="B80" s="2942" t="s">
        <v>52</v>
      </c>
      <c r="C80" s="2943">
        <v>9333</v>
      </c>
      <c r="D80" s="2943"/>
      <c r="E80" s="2931">
        <f>+C80+D80</f>
        <v>9333</v>
      </c>
      <c r="F80" s="2959">
        <f>143.12+603.32+56.74+146.86+661.62+541.67+1464.14+770.32+149.99+598.37+796.01+724.07-43.08+201.89+520.56+71.49+20.26+3.98+104.98+105.03+26.7+0.48+16.41+9.66+43.5+0.247+45.271+17.51</f>
        <v>7801.1179999999986</v>
      </c>
      <c r="G80" s="2951">
        <f t="shared" si="8"/>
        <v>1531.8820000000014</v>
      </c>
      <c r="H80" s="2743">
        <f t="shared" si="7"/>
        <v>0.16413607628843901</v>
      </c>
      <c r="I80" s="2947" t="s">
        <v>1478</v>
      </c>
      <c r="J80" s="2464">
        <v>37</v>
      </c>
      <c r="K80" s="2745">
        <f t="shared" si="9"/>
        <v>0</v>
      </c>
      <c r="L80" s="2414">
        <v>7801.1180000000004</v>
      </c>
    </row>
    <row r="81" spans="1:13">
      <c r="A81" s="2941" t="s">
        <v>654</v>
      </c>
      <c r="B81" s="2942" t="s">
        <v>52</v>
      </c>
      <c r="C81" s="2943">
        <v>2025</v>
      </c>
      <c r="D81" s="2956"/>
      <c r="E81" s="2931">
        <f t="shared" ref="E81:E107" si="10">+C81+D81</f>
        <v>2025</v>
      </c>
      <c r="F81" s="2959">
        <f>117.324+236.05+104.935+19.82+104.021+88.971+18.37+92.953+82.403+46.39+93.991+67.097+56.648+67.531+30.233+49.087+40+7.634+46.46+56.858+7.198+61.465+18.275+76.48+72.36+48.07+34.86+17.922+62.482+41.416+6.23+34.85+36.67+13.38+24.82</f>
        <v>1983.2539999999997</v>
      </c>
      <c r="G81" s="2946">
        <f t="shared" si="8"/>
        <v>41.746000000000322</v>
      </c>
      <c r="H81" s="2743">
        <f t="shared" si="7"/>
        <v>2.0615308641975468E-2</v>
      </c>
      <c r="I81" s="2947"/>
      <c r="J81" s="2464">
        <v>38</v>
      </c>
      <c r="K81" s="2745">
        <f t="shared" si="9"/>
        <v>0</v>
      </c>
      <c r="L81" s="2414">
        <v>1983.2539999999999</v>
      </c>
    </row>
    <row r="82" spans="1:13">
      <c r="A82" s="2941" t="s">
        <v>655</v>
      </c>
      <c r="B82" s="2942" t="s">
        <v>52</v>
      </c>
      <c r="C82" s="2943">
        <v>5017</v>
      </c>
      <c r="D82" s="2956"/>
      <c r="E82" s="2931">
        <f t="shared" si="10"/>
        <v>5017</v>
      </c>
      <c r="F82" s="2959">
        <f>63.06+51.51+0.23+267.93+289.65+146.36+687.4+329.96+199.72+461.63+439.75+282.71+64.51+403.34+189.03+189.41+85.47+2.94+83.4+70.06+35.85+8.19+24.66+0.002+11.33+44.562+3.357+80.23+57.879+40.434+29.415+168.816+90.03+43.74-238.063-80.413</f>
        <v>4628.088999999999</v>
      </c>
      <c r="G82" s="2946">
        <f t="shared" si="8"/>
        <v>388.91100000000097</v>
      </c>
      <c r="H82" s="2743">
        <f t="shared" si="7"/>
        <v>7.7518636635439703E-2</v>
      </c>
      <c r="I82" s="2947"/>
      <c r="J82" s="2464">
        <v>39</v>
      </c>
      <c r="K82" s="2745">
        <f t="shared" si="9"/>
        <v>0</v>
      </c>
      <c r="L82" s="2414">
        <v>4628.0889999999999</v>
      </c>
      <c r="M82" s="2266">
        <v>4628.0889999999999</v>
      </c>
    </row>
    <row r="83" spans="1:13">
      <c r="A83" s="2941" t="s">
        <v>656</v>
      </c>
      <c r="B83" s="2942" t="s">
        <v>52</v>
      </c>
      <c r="C83" s="2943">
        <v>0</v>
      </c>
      <c r="D83" s="2956"/>
      <c r="E83" s="2931">
        <f t="shared" si="10"/>
        <v>0</v>
      </c>
      <c r="F83" s="2959"/>
      <c r="G83" s="2946">
        <f t="shared" si="8"/>
        <v>0</v>
      </c>
      <c r="H83" s="2743" t="e">
        <f t="shared" si="7"/>
        <v>#DIV/0!</v>
      </c>
      <c r="I83" s="2947"/>
      <c r="J83" s="2464">
        <v>40</v>
      </c>
      <c r="K83" s="2745">
        <f t="shared" si="9"/>
        <v>0</v>
      </c>
      <c r="L83" s="2414">
        <v>0</v>
      </c>
    </row>
    <row r="84" spans="1:13" ht="20.399999999999999">
      <c r="A84" s="2941" t="s">
        <v>657</v>
      </c>
      <c r="B84" s="2942" t="s">
        <v>52</v>
      </c>
      <c r="C84" s="2943">
        <v>659</v>
      </c>
      <c r="D84" s="2956"/>
      <c r="E84" s="2931">
        <f t="shared" si="10"/>
        <v>659</v>
      </c>
      <c r="F84" s="2959">
        <f>136.01+377.17+5.92+49.36+43.17+8.06+90.03+14.5+13.87+0.003</f>
        <v>738.09299999999996</v>
      </c>
      <c r="G84" s="2946">
        <f t="shared" si="8"/>
        <v>-79.092999999999961</v>
      </c>
      <c r="H84" s="2743">
        <f t="shared" si="7"/>
        <v>-0.12001972685887703</v>
      </c>
      <c r="I84" s="2947">
        <v>41768</v>
      </c>
      <c r="J84" s="2464">
        <v>41</v>
      </c>
      <c r="K84" s="2745">
        <f t="shared" si="9"/>
        <v>0</v>
      </c>
      <c r="L84" s="2414">
        <v>738.09299999999996</v>
      </c>
    </row>
    <row r="85" spans="1:13" ht="20.399999999999999">
      <c r="A85" s="2941" t="s">
        <v>1041</v>
      </c>
      <c r="B85" s="2942" t="s">
        <v>52</v>
      </c>
      <c r="C85" s="3347">
        <v>9316</v>
      </c>
      <c r="D85" s="3173"/>
      <c r="E85" s="3347">
        <f t="shared" si="10"/>
        <v>9316</v>
      </c>
      <c r="F85" s="2960">
        <f>89.488+948.656+92.103+313.893+598.896+395.019+1149.51+138.801+508.479+467.329+398.461+268.711+263.845+445.623+144.247+133.246+112.352+357.055+120.078+219.04+2.199+66.06+36.364+33.406+42.59+117.52+22.854-0.002+128.05+283.425+13.47+18.745+38.076+60.345+67.261+84.087+44.837+21.901+19.123+66.04</f>
        <v>8331.1830000000027</v>
      </c>
      <c r="G85" s="2954">
        <f t="shared" si="8"/>
        <v>984.81699999999728</v>
      </c>
      <c r="H85" s="2743">
        <f t="shared" si="7"/>
        <v>0.10571243022756519</v>
      </c>
      <c r="I85" s="2947"/>
      <c r="J85" s="2464">
        <v>42</v>
      </c>
      <c r="K85" s="3341">
        <f>+L85-F85</f>
        <v>0</v>
      </c>
      <c r="L85" s="2414">
        <v>8331.1830000000009</v>
      </c>
    </row>
    <row r="86" spans="1:13">
      <c r="A86" s="2941" t="s">
        <v>659</v>
      </c>
      <c r="B86" s="2942" t="s">
        <v>52</v>
      </c>
      <c r="C86" s="2943">
        <v>6482</v>
      </c>
      <c r="D86" s="2956"/>
      <c r="E86" s="2931">
        <f t="shared" si="10"/>
        <v>6482</v>
      </c>
      <c r="F86" s="2960">
        <f>17.62+255.71+162.19+396.49+313.49+1014.08+281.8+255.35+273.665+268.238+205.129+119.598+628.522+181.45+366.586+127.75+1.936+203.19+29.178+1.245+111.177+11.703+19.639+52.348+17.529+10.727+52.97+6.673+15.555+11.655+37.628+87.15+60.09+229.391+77.506+17.931</f>
        <v>5922.8889999999983</v>
      </c>
      <c r="G86" s="2954">
        <f t="shared" si="8"/>
        <v>559.1110000000017</v>
      </c>
      <c r="H86" s="3338">
        <f t="shared" si="7"/>
        <v>8.6255939524838274E-2</v>
      </c>
      <c r="I86" s="2947" t="s">
        <v>1469</v>
      </c>
      <c r="J86" s="2464">
        <v>43</v>
      </c>
      <c r="K86" s="3341">
        <f t="shared" si="9"/>
        <v>0</v>
      </c>
      <c r="L86" s="2955">
        <v>5922.8890000000001</v>
      </c>
    </row>
    <row r="87" spans="1:13">
      <c r="A87" s="2941" t="s">
        <v>660</v>
      </c>
      <c r="B87" s="2942" t="s">
        <v>52</v>
      </c>
      <c r="C87" s="2943">
        <v>308</v>
      </c>
      <c r="D87" s="2956"/>
      <c r="E87" s="2931">
        <f t="shared" si="10"/>
        <v>308</v>
      </c>
      <c r="F87" s="2960">
        <f>55.68+7.02+9.27+61.6+23.05+23.96+17.7+77.34+30.24+2.43-0.004</f>
        <v>308.286</v>
      </c>
      <c r="G87" s="2954">
        <f t="shared" si="8"/>
        <v>-0.28600000000000136</v>
      </c>
      <c r="H87" s="2743">
        <f t="shared" si="7"/>
        <v>-9.2857142857143301E-4</v>
      </c>
      <c r="I87" s="2947"/>
      <c r="J87" s="2464">
        <v>44</v>
      </c>
      <c r="K87" s="3341">
        <f t="shared" si="9"/>
        <v>0</v>
      </c>
      <c r="L87" s="2955">
        <v>308.286</v>
      </c>
    </row>
    <row r="88" spans="1:13">
      <c r="A88" s="2941" t="s">
        <v>661</v>
      </c>
      <c r="B88" s="2942" t="s">
        <v>52</v>
      </c>
      <c r="C88" s="2943">
        <v>17189</v>
      </c>
      <c r="D88" s="2943"/>
      <c r="E88" s="2931">
        <f t="shared" si="10"/>
        <v>17189</v>
      </c>
      <c r="F88" s="2960">
        <f>255.29+1146.5+75.9+22.38+708.78+612.8+1946.74+529.56+746.11+621.7+297.01+736.44+793.12+1583.78+348.51+820.64+283.9+143.29+34.45+131.41+3.01+104.84+243.63+3+807.06+63+121.65+165.22+238.09+206.77+43.59+24.35+167.501+10.239+64.475+14.98+265.406+61.758+29.953+64.401+29.747+86.25+24.377+14.017+23.84</f>
        <v>14719.464000000002</v>
      </c>
      <c r="G88" s="2954">
        <f t="shared" si="8"/>
        <v>2469.5359999999982</v>
      </c>
      <c r="H88" s="2743">
        <f t="shared" si="7"/>
        <v>0.14366955611146653</v>
      </c>
      <c r="I88" s="2947" t="s">
        <v>1469</v>
      </c>
      <c r="J88" s="2464">
        <v>45</v>
      </c>
      <c r="K88" s="3341">
        <f t="shared" si="9"/>
        <v>0</v>
      </c>
      <c r="L88" s="2955">
        <v>14719.464</v>
      </c>
    </row>
    <row r="89" spans="1:13">
      <c r="A89" s="2941" t="s">
        <v>662</v>
      </c>
      <c r="B89" s="2942" t="s">
        <v>52</v>
      </c>
      <c r="C89" s="2943">
        <v>12134</v>
      </c>
      <c r="D89" s="2943"/>
      <c r="E89" s="2931">
        <f t="shared" si="10"/>
        <v>12134</v>
      </c>
      <c r="F89" s="2960">
        <f>324.582+49.406+204.377+487.084+387.529+1500.094+248.816+720.707+707.238+335.613+56.194+638.444+657.001+710.512+56.283+180.669+129.834+188.135+35.646+113.616+21.795+103.386+7.788+26.094+17.636+1.578+26.542+48.368+9.363+112.47+126.768+57.188+7.143+156.305+92.358+26+0.653+34.406+697.857+760.201+13.97+16.034+57.754</f>
        <v>10153.437000000004</v>
      </c>
      <c r="G89" s="2954">
        <f t="shared" si="8"/>
        <v>1980.5629999999965</v>
      </c>
      <c r="H89" s="3338">
        <f t="shared" si="7"/>
        <v>0.16322424592055351</v>
      </c>
      <c r="I89" s="2947" t="s">
        <v>1479</v>
      </c>
      <c r="J89" s="2464">
        <v>46</v>
      </c>
      <c r="K89" s="3341">
        <f t="shared" si="9"/>
        <v>0</v>
      </c>
      <c r="L89" s="2955">
        <v>10153.437</v>
      </c>
    </row>
    <row r="90" spans="1:13" ht="20.399999999999999">
      <c r="A90" s="2941" t="s">
        <v>663</v>
      </c>
      <c r="B90" s="2942" t="s">
        <v>52</v>
      </c>
      <c r="C90" s="2943">
        <v>2050</v>
      </c>
      <c r="D90" s="2943"/>
      <c r="E90" s="2931">
        <f t="shared" si="10"/>
        <v>2050</v>
      </c>
      <c r="F90" s="3168">
        <f>126.28+481.75+20.89+70.57+35.77+63.08+223.8+93.93+93.9+34.71+56.77+48.26+131.67+75.3+44.36+3.47+0.14+9.76+8.44+42.53+8.89-30.21+2.34+11.24+0.001+25.62+18.903+4.046+17.887+44.251+55.41+21.968+29.336+14.22+9.763+20.011</f>
        <v>1919.0560000000003</v>
      </c>
      <c r="G90" s="2951">
        <f t="shared" si="8"/>
        <v>130.94399999999973</v>
      </c>
      <c r="H90" s="2785">
        <f t="shared" si="7"/>
        <v>6.3875121951219388E-2</v>
      </c>
      <c r="I90" s="3169" t="s">
        <v>1480</v>
      </c>
      <c r="J90" s="2464">
        <v>47</v>
      </c>
      <c r="K90" s="3341">
        <f t="shared" si="9"/>
        <v>0</v>
      </c>
      <c r="L90" s="2955">
        <v>1919.056</v>
      </c>
    </row>
    <row r="91" spans="1:13">
      <c r="A91" s="2941" t="s">
        <v>664</v>
      </c>
      <c r="B91" s="2942" t="s">
        <v>52</v>
      </c>
      <c r="C91" s="2943">
        <v>5936</v>
      </c>
      <c r="D91" s="2943"/>
      <c r="E91" s="2931">
        <f t="shared" si="10"/>
        <v>5936</v>
      </c>
      <c r="F91" s="2959">
        <f>4889.359+73.415+67.982+72.69+10.67+54.19+153.074+31.435+35.366+73.884</f>
        <v>5462.0649999999996</v>
      </c>
      <c r="G91" s="2951">
        <f t="shared" si="8"/>
        <v>473.9350000000004</v>
      </c>
      <c r="H91" s="2743">
        <f t="shared" si="7"/>
        <v>7.9840801886792517E-2</v>
      </c>
      <c r="I91" s="2947" t="s">
        <v>1486</v>
      </c>
      <c r="J91" s="2464">
        <v>48</v>
      </c>
      <c r="K91" s="3341">
        <f t="shared" si="9"/>
        <v>0</v>
      </c>
      <c r="L91" s="2955">
        <v>5462.0649999999996</v>
      </c>
    </row>
    <row r="92" spans="1:13" ht="27.75" customHeight="1">
      <c r="A92" s="2941" t="s">
        <v>665</v>
      </c>
      <c r="B92" s="2942" t="s">
        <v>52</v>
      </c>
      <c r="C92" s="2943">
        <v>3433</v>
      </c>
      <c r="D92" s="2956"/>
      <c r="E92" s="2931">
        <f t="shared" si="10"/>
        <v>3433</v>
      </c>
      <c r="F92" s="2959">
        <f>25.441+730.974+100.2+182.651+57.749+130.521+349.029+92.444+114.663+131.872+103.08+91.254+202.893+90.53+76.278+46.469+62.055+17.027+41.736+9.735+22.148+10.711+5.326+25.462+5.244+66.86+92.155+37.776+33.545+11.601+43.246+70.089</f>
        <v>3080.7640000000006</v>
      </c>
      <c r="G92" s="2946">
        <f t="shared" si="8"/>
        <v>352.23599999999942</v>
      </c>
      <c r="H92" s="2743">
        <f t="shared" si="7"/>
        <v>0.10260297116224859</v>
      </c>
      <c r="I92" s="2947"/>
      <c r="J92" s="2464">
        <v>49</v>
      </c>
      <c r="K92" s="3341">
        <f t="shared" si="9"/>
        <v>0</v>
      </c>
      <c r="L92" s="2955">
        <v>3080.7640000000001</v>
      </c>
    </row>
    <row r="93" spans="1:13">
      <c r="A93" s="2941" t="s">
        <v>666</v>
      </c>
      <c r="B93" s="2942" t="s">
        <v>52</v>
      </c>
      <c r="C93" s="2943">
        <v>9442</v>
      </c>
      <c r="D93" s="2944"/>
      <c r="E93" s="2898">
        <f t="shared" si="10"/>
        <v>9442</v>
      </c>
      <c r="F93" s="2959">
        <f>71.42+498.36+380.04+1100.31+308.335+441.7+272.562+333.625+511.589+322.058+743.781+302.461+502.448+262.822+238.44+174.99+255.243+66.13+92.064+18.384+85.555+3.364+16.94+12.075+67.539+2.712+6.88+60.56+15.166+196.88+247.562+77.359+79.628+59.826+65.283+20.494+5.26+37.002+3.565+21.115+161.994+257.539+163.299+21.902+39.738+20.284+44.04</f>
        <v>8690.3230000000021</v>
      </c>
      <c r="G93" s="2946">
        <f t="shared" si="8"/>
        <v>751.67699999999786</v>
      </c>
      <c r="H93" s="2743">
        <f t="shared" si="7"/>
        <v>7.9609934335945542E-2</v>
      </c>
      <c r="I93" s="2947"/>
      <c r="J93" s="2464">
        <v>50</v>
      </c>
      <c r="K93" s="3341">
        <f t="shared" si="9"/>
        <v>0</v>
      </c>
      <c r="L93" s="2955">
        <v>8690.3230000000003</v>
      </c>
    </row>
    <row r="94" spans="1:13">
      <c r="A94" s="2941" t="s">
        <v>667</v>
      </c>
      <c r="B94" s="2942" t="s">
        <v>52</v>
      </c>
      <c r="C94" s="2943">
        <v>3444</v>
      </c>
      <c r="D94" s="2956"/>
      <c r="E94" s="2931">
        <f t="shared" si="10"/>
        <v>3444</v>
      </c>
      <c r="F94" s="2960">
        <f>108.609+544.142+19.271+281.852+224.491+585.316+242.096+211.39+5.18+182.178+82.922+96.809+61.165+90.962+83.364+15.033-41.018-7.33+41.129+24.77+0.292+63.337+68.065+17.206+0.189+49.177+69.653+10.85+45.83+129.35+79.69-27.774+19.743-234.302</f>
        <v>3143.6369999999993</v>
      </c>
      <c r="G94" s="2954">
        <f t="shared" si="8"/>
        <v>300.36300000000074</v>
      </c>
      <c r="H94" s="3338">
        <f t="shared" si="7"/>
        <v>8.7213414634146558E-2</v>
      </c>
      <c r="I94" s="3339" t="s">
        <v>1481</v>
      </c>
      <c r="J94" s="2464">
        <v>51</v>
      </c>
      <c r="K94" s="3341">
        <f t="shared" si="9"/>
        <v>0</v>
      </c>
      <c r="L94" s="2955">
        <v>3143.6370000000002</v>
      </c>
    </row>
    <row r="95" spans="1:13" ht="20.399999999999999">
      <c r="A95" s="2941" t="s">
        <v>668</v>
      </c>
      <c r="B95" s="2942" t="s">
        <v>52</v>
      </c>
      <c r="C95" s="2943">
        <v>3202</v>
      </c>
      <c r="D95" s="2948"/>
      <c r="E95" s="2898">
        <f t="shared" si="10"/>
        <v>3202</v>
      </c>
      <c r="F95" s="2959">
        <f>42.326+43.402+6.772+59.626+71.191+147.508+302.918+55.261+77.4+132.076+60.38+113.2+146.814+159.061+101.16+107.411+79.607+132.065+9.616+69.825+79.655+16.699+33.264+95.137+9.495+77.84+75.922+71.02+53.75+82.195+1.62+3.753</f>
        <v>2517.9690000000005</v>
      </c>
      <c r="G95" s="2946">
        <f t="shared" si="8"/>
        <v>684.03099999999949</v>
      </c>
      <c r="H95" s="2743">
        <f t="shared" si="7"/>
        <v>0.21362617114303545</v>
      </c>
      <c r="I95" s="2947"/>
      <c r="J95" s="2464">
        <v>52</v>
      </c>
      <c r="K95" s="2745">
        <f t="shared" si="9"/>
        <v>0</v>
      </c>
      <c r="L95" s="2414">
        <v>2517.9690000000001</v>
      </c>
    </row>
    <row r="96" spans="1:13" ht="20.399999999999999">
      <c r="A96" s="2941" t="s">
        <v>669</v>
      </c>
      <c r="B96" s="2942" t="s">
        <v>52</v>
      </c>
      <c r="C96" s="2943">
        <v>6246</v>
      </c>
      <c r="D96" s="2943"/>
      <c r="E96" s="2898">
        <f t="shared" si="10"/>
        <v>6246</v>
      </c>
      <c r="F96" s="2960">
        <f>123.305+316.17+784.968+217.77+283.084+332.274+344.429+200.031+232.843+409.426+22.2+159.769+59.633+329.704+104.715+268.708+61.546+24.992+80.269+116.776+8.74+68.978+112.582+40.837+113.65+90.4-2.726+72.79+30.07+72.78+115.009+49.585+17.24+64.48+42.288+130.755+43.61</f>
        <v>5543.6799999999985</v>
      </c>
      <c r="G96" s="2954">
        <f t="shared" si="8"/>
        <v>702.32000000000153</v>
      </c>
      <c r="H96" s="2743">
        <f t="shared" si="7"/>
        <v>0.11244316362472007</v>
      </c>
      <c r="I96" s="2744" t="s">
        <v>1469</v>
      </c>
      <c r="J96" s="2464">
        <v>53</v>
      </c>
      <c r="K96" s="2745">
        <f t="shared" si="9"/>
        <v>0</v>
      </c>
      <c r="L96" s="2414">
        <v>5543.68</v>
      </c>
    </row>
    <row r="97" spans="1:99" ht="20.399999999999999">
      <c r="A97" s="2941" t="s">
        <v>670</v>
      </c>
      <c r="B97" s="1076" t="s">
        <v>52</v>
      </c>
      <c r="C97" s="2943">
        <v>1867</v>
      </c>
      <c r="D97" s="2204"/>
      <c r="E97" s="2898">
        <f t="shared" si="10"/>
        <v>1867</v>
      </c>
      <c r="F97" s="2205">
        <f>130.36+114.99+107.02+70.76+69.29+72.82+134.34+11.9+90.57+80.75+41.18+108.84+137.23+75.68+91.11+104.68+0.003+8.132</f>
        <v>1449.655</v>
      </c>
      <c r="G97" s="1076">
        <f t="shared" si="8"/>
        <v>417.34500000000003</v>
      </c>
      <c r="H97" s="2743">
        <f t="shared" si="7"/>
        <v>0.2235377611140868</v>
      </c>
      <c r="I97" s="2947"/>
      <c r="J97" s="2464">
        <v>54</v>
      </c>
      <c r="K97" s="2745">
        <f t="shared" si="9"/>
        <v>0</v>
      </c>
      <c r="L97" s="2414">
        <v>1449.655</v>
      </c>
    </row>
    <row r="98" spans="1:99" s="1690" customFormat="1" ht="20.399999999999999">
      <c r="A98" s="2941" t="s">
        <v>671</v>
      </c>
      <c r="B98" s="2942" t="s">
        <v>52</v>
      </c>
      <c r="C98" s="2943">
        <v>613</v>
      </c>
      <c r="D98" s="2956"/>
      <c r="E98" s="2898">
        <f t="shared" si="10"/>
        <v>613</v>
      </c>
      <c r="F98" s="2960">
        <f>68.725+69.81+154.125+143.98+156.371</f>
        <v>593.01099999999997</v>
      </c>
      <c r="G98" s="2954">
        <f t="shared" si="8"/>
        <v>19.989000000000033</v>
      </c>
      <c r="H98" s="2743">
        <f t="shared" si="7"/>
        <v>3.2608482871125666E-2</v>
      </c>
      <c r="I98" s="2947" t="s">
        <v>1482</v>
      </c>
      <c r="J98" s="2464">
        <v>55</v>
      </c>
      <c r="K98" s="2745">
        <f t="shared" si="9"/>
        <v>0</v>
      </c>
      <c r="L98" s="2955">
        <v>593.01099999999997</v>
      </c>
      <c r="M98" s="1190"/>
      <c r="N98" s="1190"/>
      <c r="O98" s="1190"/>
      <c r="P98" s="1190"/>
      <c r="Q98" s="1190"/>
      <c r="R98" s="1190"/>
      <c r="S98" s="1190"/>
      <c r="T98" s="1190"/>
      <c r="U98" s="1190"/>
      <c r="V98" s="1190"/>
      <c r="W98" s="1190"/>
      <c r="X98" s="1190"/>
      <c r="Y98" s="1190"/>
      <c r="Z98" s="1190"/>
      <c r="AA98" s="1190"/>
      <c r="AB98" s="1190"/>
      <c r="AC98" s="1190"/>
      <c r="AD98" s="1190"/>
      <c r="AE98" s="1190"/>
      <c r="AF98" s="1190"/>
      <c r="AG98" s="1190"/>
      <c r="AH98" s="1190"/>
      <c r="AI98" s="1190"/>
      <c r="AJ98" s="1190"/>
      <c r="AK98" s="1190"/>
      <c r="AL98" s="1190"/>
      <c r="AM98" s="1190"/>
      <c r="AN98" s="1190"/>
      <c r="AO98" s="1190"/>
      <c r="AP98" s="1190"/>
      <c r="AQ98" s="1190"/>
      <c r="AR98" s="1190"/>
      <c r="AS98" s="1190"/>
      <c r="AT98" s="1190"/>
      <c r="AU98" s="1190"/>
      <c r="AV98" s="1190"/>
      <c r="AW98" s="1190"/>
      <c r="AX98" s="1190"/>
      <c r="AY98" s="1190"/>
      <c r="AZ98" s="1190"/>
      <c r="BA98" s="1190"/>
      <c r="BB98" s="1190"/>
      <c r="BC98" s="1190"/>
      <c r="BD98" s="1190"/>
      <c r="BE98" s="1190"/>
      <c r="BF98" s="1190"/>
      <c r="BG98" s="1190"/>
      <c r="BH98" s="1190"/>
      <c r="BI98" s="1190"/>
      <c r="BJ98" s="1190"/>
      <c r="BK98" s="1190"/>
      <c r="BL98" s="1190"/>
      <c r="BM98" s="1190"/>
      <c r="BN98" s="1190"/>
      <c r="BO98" s="1190"/>
      <c r="BP98" s="1190"/>
      <c r="BQ98" s="1190"/>
      <c r="BR98" s="1190"/>
      <c r="BS98" s="1190"/>
      <c r="BT98" s="1190"/>
      <c r="BU98" s="1190"/>
      <c r="BV98" s="1190"/>
      <c r="BW98" s="1190"/>
      <c r="BX98" s="1190"/>
      <c r="BY98" s="1190"/>
      <c r="BZ98" s="1190"/>
      <c r="CA98" s="1190"/>
      <c r="CB98" s="1190"/>
      <c r="CC98" s="1190"/>
      <c r="CD98" s="1190"/>
      <c r="CE98" s="1190"/>
      <c r="CF98" s="1190"/>
      <c r="CG98" s="1190"/>
      <c r="CH98" s="1190"/>
      <c r="CI98" s="1190"/>
      <c r="CJ98" s="1190"/>
      <c r="CK98" s="1190"/>
      <c r="CL98" s="1190"/>
      <c r="CM98" s="1190"/>
      <c r="CN98" s="1190"/>
      <c r="CO98" s="1190"/>
      <c r="CP98" s="1190"/>
      <c r="CQ98" s="1190"/>
      <c r="CR98" s="1190"/>
      <c r="CS98" s="1190"/>
      <c r="CT98" s="1190"/>
      <c r="CU98" s="1190"/>
    </row>
    <row r="99" spans="1:99" ht="20.399999999999999">
      <c r="A99" s="2941" t="s">
        <v>672</v>
      </c>
      <c r="B99" s="2931" t="s">
        <v>52</v>
      </c>
      <c r="C99" s="2943">
        <v>13943</v>
      </c>
      <c r="D99" s="2943"/>
      <c r="E99" s="2898">
        <f t="shared" si="10"/>
        <v>13943</v>
      </c>
      <c r="F99" s="2960">
        <f>770.256+615.362+1591.899+402.659+694.015+665.662+699.344+436.209+369.063+1016.633+331.266+775.051+509.423+599.077+423.881+296.667+0.807+79.517+55.177+33.772+10.438+13.161+264.092+19.053-94.913+4.382+43.074+137.156+27.018+69.492+164.31+151.22+180.878+149.951+10.163+80.005+76.441+163.165+183.567+217.425+447.431+387.759+76.377+57.98+108.003</f>
        <v>13313.368</v>
      </c>
      <c r="G99" s="2954">
        <f t="shared" si="8"/>
        <v>629.63199999999961</v>
      </c>
      <c r="H99" s="2743">
        <f t="shared" si="7"/>
        <v>4.515757010686363E-2</v>
      </c>
      <c r="I99" s="2947"/>
      <c r="J99" s="2464">
        <v>56</v>
      </c>
      <c r="K99" s="2745">
        <f t="shared" si="9"/>
        <v>0</v>
      </c>
      <c r="L99" s="2955">
        <v>13313.368</v>
      </c>
      <c r="M99" s="1190"/>
      <c r="N99" s="1190"/>
      <c r="O99" s="1190"/>
      <c r="P99" s="1190"/>
      <c r="Q99" s="1190"/>
      <c r="R99" s="1190"/>
      <c r="S99" s="1190"/>
      <c r="T99" s="1190"/>
      <c r="U99" s="1190"/>
      <c r="V99" s="1190"/>
      <c r="W99" s="1190"/>
      <c r="X99" s="1190"/>
      <c r="Y99" s="1190"/>
      <c r="Z99" s="1190"/>
      <c r="AA99" s="1190"/>
      <c r="AB99" s="1190"/>
      <c r="AC99" s="1190"/>
      <c r="AD99" s="1190"/>
      <c r="AE99" s="1190"/>
      <c r="AF99" s="1190"/>
      <c r="AG99" s="1190"/>
      <c r="AH99" s="1190"/>
      <c r="AI99" s="1190"/>
      <c r="AJ99" s="1190"/>
      <c r="AK99" s="1190"/>
      <c r="AL99" s="1190"/>
      <c r="AM99" s="1190"/>
      <c r="AN99" s="1190"/>
      <c r="AO99" s="1190"/>
      <c r="AP99" s="1190"/>
      <c r="AQ99" s="1190"/>
      <c r="AR99" s="1190"/>
      <c r="AS99" s="1190"/>
      <c r="AT99" s="1190"/>
      <c r="AU99" s="1190"/>
      <c r="AV99" s="1190"/>
      <c r="AW99" s="1190"/>
      <c r="AX99" s="1190"/>
      <c r="AY99" s="1190"/>
      <c r="AZ99" s="1190"/>
      <c r="BA99" s="1190"/>
      <c r="BB99" s="1190"/>
      <c r="BC99" s="1190"/>
      <c r="BD99" s="1190"/>
      <c r="BE99" s="1190"/>
      <c r="BF99" s="1190"/>
      <c r="BG99" s="1190"/>
      <c r="BH99" s="1190"/>
      <c r="BI99" s="1190"/>
      <c r="BJ99" s="1190"/>
      <c r="BK99" s="1190"/>
      <c r="BL99" s="1190"/>
      <c r="BM99" s="1190"/>
      <c r="BN99" s="1190"/>
      <c r="BO99" s="1190"/>
      <c r="BP99" s="1190"/>
      <c r="BQ99" s="1190"/>
      <c r="BR99" s="1190"/>
      <c r="BS99" s="1190"/>
      <c r="BT99" s="1190"/>
      <c r="BU99" s="1190"/>
      <c r="BV99" s="1190"/>
      <c r="BW99" s="1190"/>
      <c r="BX99" s="1190"/>
      <c r="BY99" s="1190"/>
      <c r="BZ99" s="1190"/>
      <c r="CA99" s="1190"/>
      <c r="CB99" s="1190"/>
      <c r="CC99" s="1190"/>
      <c r="CD99" s="1190"/>
      <c r="CE99" s="1190"/>
      <c r="CF99" s="1190"/>
      <c r="CG99" s="1190"/>
      <c r="CH99" s="1190"/>
      <c r="CI99" s="1190"/>
      <c r="CJ99" s="1190"/>
      <c r="CK99" s="1190"/>
      <c r="CL99" s="1190"/>
      <c r="CM99" s="1190"/>
      <c r="CN99" s="1190"/>
      <c r="CO99" s="1190"/>
      <c r="CP99" s="1190"/>
      <c r="CQ99" s="1190"/>
      <c r="CR99" s="1190"/>
      <c r="CS99" s="1190"/>
      <c r="CT99" s="1190"/>
      <c r="CU99" s="1190"/>
    </row>
    <row r="100" spans="1:99" ht="20.399999999999999">
      <c r="A100" s="2941" t="s">
        <v>673</v>
      </c>
      <c r="B100" s="2942" t="s">
        <v>52</v>
      </c>
      <c r="C100" s="2943">
        <v>8043</v>
      </c>
      <c r="D100" s="2943"/>
      <c r="E100" s="2898">
        <f t="shared" si="10"/>
        <v>8043</v>
      </c>
      <c r="F100" s="2960">
        <f>112.51+547.06+92.17+397.57+331.31+314.47+1117.83+257.555+246.362+430.618+166.297+294.573+350.014+381.184+135.93+356.678+264.179+484.813+139.011+109.825+53.363+148.5+30.428-1.122+59.19-288.661+0.534+25.956+8.817+23.437-91.54+141.803+71.149+34.299+65.941+23.999+3.255+75.74+71.392+141.166</f>
        <v>7127.6049999999996</v>
      </c>
      <c r="G100" s="2954">
        <f t="shared" si="8"/>
        <v>915.39500000000044</v>
      </c>
      <c r="H100" s="2743">
        <f t="shared" si="7"/>
        <v>0.11381263210244939</v>
      </c>
      <c r="I100" s="2768" t="s">
        <v>1468</v>
      </c>
      <c r="J100" s="2464">
        <v>57</v>
      </c>
      <c r="K100" s="2745">
        <f t="shared" si="9"/>
        <v>0</v>
      </c>
      <c r="L100" s="2955">
        <v>7127.6049999999996</v>
      </c>
      <c r="M100" s="1190"/>
      <c r="N100" s="1190"/>
      <c r="O100" s="1190"/>
      <c r="P100" s="1190"/>
      <c r="Q100" s="1190"/>
      <c r="R100" s="1190"/>
      <c r="S100" s="1190"/>
      <c r="T100" s="1190"/>
      <c r="U100" s="1190"/>
      <c r="V100" s="1190"/>
      <c r="W100" s="1190"/>
      <c r="X100" s="1190"/>
      <c r="Y100" s="1190"/>
      <c r="Z100" s="1190"/>
      <c r="AA100" s="1190"/>
      <c r="AB100" s="1190"/>
      <c r="AC100" s="1190"/>
      <c r="AD100" s="1190"/>
      <c r="AE100" s="1190"/>
      <c r="AF100" s="1190"/>
      <c r="AG100" s="1190"/>
      <c r="AH100" s="1190"/>
      <c r="AI100" s="1190"/>
      <c r="AJ100" s="1190"/>
      <c r="AK100" s="1190"/>
      <c r="AL100" s="1190"/>
      <c r="AM100" s="1190"/>
      <c r="AN100" s="1190"/>
      <c r="AO100" s="1190"/>
      <c r="AP100" s="1190"/>
      <c r="AQ100" s="1190"/>
      <c r="AR100" s="1190"/>
      <c r="AS100" s="1190"/>
      <c r="AT100" s="1190"/>
      <c r="AU100" s="1190"/>
      <c r="AV100" s="1190"/>
      <c r="AW100" s="1190"/>
      <c r="AX100" s="1190"/>
      <c r="AY100" s="1190"/>
      <c r="AZ100" s="1190"/>
      <c r="BA100" s="1190"/>
      <c r="BB100" s="1190"/>
      <c r="BC100" s="1190"/>
      <c r="BD100" s="1190"/>
      <c r="BE100" s="1190"/>
      <c r="BF100" s="1190"/>
      <c r="BG100" s="1190"/>
      <c r="BH100" s="1190"/>
      <c r="BI100" s="1190"/>
      <c r="BJ100" s="1190"/>
      <c r="BK100" s="1190"/>
      <c r="BL100" s="1190"/>
      <c r="BM100" s="1190"/>
      <c r="BN100" s="1190"/>
      <c r="BO100" s="1190"/>
      <c r="BP100" s="1190"/>
      <c r="BQ100" s="1190"/>
      <c r="BR100" s="1190"/>
      <c r="BS100" s="1190"/>
      <c r="BT100" s="1190"/>
      <c r="BU100" s="1190"/>
      <c r="BV100" s="1190"/>
      <c r="BW100" s="1190"/>
      <c r="BX100" s="1190"/>
      <c r="BY100" s="1190"/>
      <c r="BZ100" s="1190"/>
      <c r="CA100" s="1190"/>
      <c r="CB100" s="1190"/>
      <c r="CC100" s="1190"/>
      <c r="CD100" s="1190"/>
      <c r="CE100" s="1190"/>
      <c r="CF100" s="1190"/>
      <c r="CG100" s="1190"/>
      <c r="CH100" s="1190"/>
      <c r="CI100" s="1190"/>
      <c r="CJ100" s="1190"/>
      <c r="CK100" s="1190"/>
      <c r="CL100" s="1190"/>
      <c r="CM100" s="1190"/>
      <c r="CN100" s="1190"/>
      <c r="CO100" s="1190"/>
      <c r="CP100" s="1190"/>
      <c r="CQ100" s="1190"/>
      <c r="CR100" s="1190"/>
      <c r="CS100" s="1190"/>
      <c r="CT100" s="1190"/>
      <c r="CU100" s="1190"/>
    </row>
    <row r="101" spans="1:99" s="1690" customFormat="1">
      <c r="A101" s="2941" t="s">
        <v>674</v>
      </c>
      <c r="B101" s="2942" t="s">
        <v>52</v>
      </c>
      <c r="C101" s="2943">
        <v>16116</v>
      </c>
      <c r="D101" s="2943"/>
      <c r="E101" s="2898">
        <f t="shared" si="10"/>
        <v>16116</v>
      </c>
      <c r="F101" s="2960">
        <f>141.89+598.4+450.26+2278.46+702.72+840.803+529.276+762.742+718.455+595.294+1251.969+507.958+804.372+468.079+279.828+166.858+334.747+158.039+74.536+326.695+330.835+93.269+50.623+342.57+100.516+113.516+33.99+7.504+39.692+25.558+148.097+45.727-10.332+64.187+4.34+34.786+125.744+67.53+2.489+139.78+102.563+55.42</f>
        <v>13909.785</v>
      </c>
      <c r="G101" s="2954">
        <f t="shared" si="8"/>
        <v>2206.2150000000001</v>
      </c>
      <c r="H101" s="2743">
        <f t="shared" si="7"/>
        <v>0.13689594192107224</v>
      </c>
      <c r="I101" s="2947"/>
      <c r="J101" s="2464">
        <v>58</v>
      </c>
      <c r="K101" s="2745">
        <f t="shared" si="9"/>
        <v>0</v>
      </c>
      <c r="L101" s="2955">
        <v>13909.785</v>
      </c>
      <c r="M101" s="1190"/>
      <c r="N101" s="1190"/>
      <c r="O101" s="1190"/>
      <c r="P101" s="1190"/>
      <c r="Q101" s="1190"/>
      <c r="R101" s="1190"/>
      <c r="S101" s="1190"/>
      <c r="T101" s="1190"/>
      <c r="U101" s="1190"/>
      <c r="V101" s="1190"/>
      <c r="W101" s="1190"/>
      <c r="X101" s="1190"/>
      <c r="Y101" s="1190"/>
      <c r="Z101" s="1190"/>
      <c r="AA101" s="1190"/>
      <c r="AB101" s="1190"/>
      <c r="AC101" s="1190"/>
      <c r="AD101" s="1190"/>
      <c r="AE101" s="1190"/>
      <c r="AF101" s="1190"/>
      <c r="AG101" s="1190"/>
      <c r="AH101" s="1190"/>
      <c r="AI101" s="1190"/>
      <c r="AJ101" s="1190"/>
      <c r="AK101" s="1190"/>
      <c r="AL101" s="1190"/>
      <c r="AM101" s="1190"/>
      <c r="AN101" s="1190"/>
      <c r="AO101" s="1190"/>
      <c r="AP101" s="1190"/>
      <c r="AQ101" s="1190"/>
      <c r="AR101" s="1190"/>
      <c r="AS101" s="1190"/>
      <c r="AT101" s="1190"/>
      <c r="AU101" s="1190"/>
      <c r="AV101" s="1190"/>
      <c r="AW101" s="1190"/>
      <c r="AX101" s="1190"/>
      <c r="AY101" s="1190"/>
      <c r="AZ101" s="1190"/>
      <c r="BA101" s="1190"/>
      <c r="BB101" s="1190"/>
      <c r="BC101" s="1190"/>
      <c r="BD101" s="1190"/>
      <c r="BE101" s="1190"/>
      <c r="BF101" s="1190"/>
      <c r="BG101" s="1190"/>
      <c r="BH101" s="1190"/>
      <c r="BI101" s="1190"/>
      <c r="BJ101" s="1190"/>
      <c r="BK101" s="1190"/>
      <c r="BL101" s="1190"/>
      <c r="BM101" s="1190"/>
      <c r="BN101" s="1190"/>
      <c r="BO101" s="1190"/>
      <c r="BP101" s="1190"/>
      <c r="BQ101" s="1190"/>
      <c r="BR101" s="1190"/>
      <c r="BS101" s="1190"/>
      <c r="BT101" s="1190"/>
      <c r="BU101" s="1190"/>
      <c r="BV101" s="1190"/>
      <c r="BW101" s="1190"/>
      <c r="BX101" s="1190"/>
      <c r="BY101" s="1190"/>
      <c r="BZ101" s="1190"/>
      <c r="CA101" s="1190"/>
      <c r="CB101" s="1190"/>
      <c r="CC101" s="1190"/>
      <c r="CD101" s="1190"/>
      <c r="CE101" s="1190"/>
      <c r="CF101" s="1190"/>
      <c r="CG101" s="1190"/>
      <c r="CH101" s="1190"/>
      <c r="CI101" s="1190"/>
      <c r="CJ101" s="1190"/>
      <c r="CK101" s="1190"/>
      <c r="CL101" s="1190"/>
      <c r="CM101" s="1190"/>
      <c r="CN101" s="1190"/>
      <c r="CO101" s="1190"/>
      <c r="CP101" s="1190"/>
      <c r="CQ101" s="1190"/>
      <c r="CR101" s="1190"/>
      <c r="CS101" s="1190"/>
      <c r="CT101" s="1190"/>
      <c r="CU101" s="1190"/>
    </row>
    <row r="102" spans="1:99">
      <c r="A102" s="2941" t="s">
        <v>675</v>
      </c>
      <c r="B102" s="2931" t="s">
        <v>52</v>
      </c>
      <c r="C102" s="2943">
        <v>757</v>
      </c>
      <c r="D102" s="2943"/>
      <c r="E102" s="2898">
        <f t="shared" si="10"/>
        <v>757</v>
      </c>
      <c r="F102" s="2960">
        <f>109.27+23.96+68.23+36.73+25.44+24.61+13.39+35.5+12.92+14.01+5.69+7.73+2.77-0.002+2.59+3.669+36.694+53.109+13.809+5.342</f>
        <v>495.46099999999996</v>
      </c>
      <c r="G102" s="2954">
        <f t="shared" ref="G102:G107" si="11">+E102-F102</f>
        <v>261.53900000000004</v>
      </c>
      <c r="H102" s="2743">
        <f t="shared" si="7"/>
        <v>0.3454940554821665</v>
      </c>
      <c r="I102" s="2947"/>
      <c r="J102" s="2464">
        <v>59</v>
      </c>
      <c r="K102" s="2745">
        <f t="shared" si="9"/>
        <v>0</v>
      </c>
      <c r="L102" s="2955">
        <v>495.46100000000001</v>
      </c>
      <c r="M102" s="1190"/>
      <c r="N102" s="1190"/>
      <c r="O102" s="1190"/>
      <c r="P102" s="1190"/>
      <c r="Q102" s="1190"/>
      <c r="R102" s="1190"/>
      <c r="S102" s="1190"/>
      <c r="T102" s="1190"/>
      <c r="U102" s="1190"/>
      <c r="V102" s="1190"/>
      <c r="W102" s="1190"/>
      <c r="X102" s="1190"/>
      <c r="Y102" s="1190"/>
      <c r="Z102" s="1190"/>
      <c r="AA102" s="1190"/>
      <c r="AB102" s="1190"/>
      <c r="AC102" s="1190"/>
      <c r="AD102" s="1190"/>
      <c r="AE102" s="1190"/>
      <c r="AF102" s="1190"/>
      <c r="AG102" s="1190"/>
      <c r="AH102" s="1190"/>
      <c r="AI102" s="1190"/>
      <c r="AJ102" s="1190"/>
      <c r="AK102" s="1190"/>
      <c r="AL102" s="1190"/>
      <c r="AM102" s="1190"/>
      <c r="AN102" s="1190"/>
      <c r="AO102" s="1190"/>
      <c r="AP102" s="1190"/>
      <c r="AQ102" s="1190"/>
      <c r="AR102" s="1190"/>
      <c r="AS102" s="1190"/>
      <c r="AT102" s="1190"/>
      <c r="AU102" s="1190"/>
      <c r="AV102" s="1190"/>
      <c r="AW102" s="1190"/>
      <c r="AX102" s="1190"/>
      <c r="AY102" s="1190"/>
      <c r="AZ102" s="1190"/>
      <c r="BA102" s="1190"/>
      <c r="BB102" s="1190"/>
      <c r="BC102" s="1190"/>
      <c r="BD102" s="1190"/>
      <c r="BE102" s="1190"/>
      <c r="BF102" s="1190"/>
      <c r="BG102" s="1190"/>
      <c r="BH102" s="1190"/>
      <c r="BI102" s="1190"/>
      <c r="BJ102" s="1190"/>
      <c r="BK102" s="1190"/>
      <c r="BL102" s="1190"/>
      <c r="BM102" s="1190"/>
      <c r="BN102" s="1190"/>
      <c r="BO102" s="1190"/>
      <c r="BP102" s="1190"/>
      <c r="BQ102" s="1190"/>
      <c r="BR102" s="1190"/>
      <c r="BS102" s="1190"/>
      <c r="BT102" s="1190"/>
      <c r="BU102" s="1190"/>
      <c r="BV102" s="1190"/>
      <c r="BW102" s="1190"/>
      <c r="BX102" s="1190"/>
      <c r="BY102" s="1190"/>
      <c r="BZ102" s="1190"/>
      <c r="CA102" s="1190"/>
      <c r="CB102" s="1190"/>
      <c r="CC102" s="1190"/>
      <c r="CD102" s="1190"/>
      <c r="CE102" s="1190"/>
      <c r="CF102" s="1190"/>
      <c r="CG102" s="1190"/>
      <c r="CH102" s="1190"/>
      <c r="CI102" s="1190"/>
      <c r="CJ102" s="1190"/>
      <c r="CK102" s="1190"/>
      <c r="CL102" s="1190"/>
      <c r="CM102" s="1190"/>
      <c r="CN102" s="1190"/>
      <c r="CO102" s="1190"/>
      <c r="CP102" s="1190"/>
      <c r="CQ102" s="1190"/>
      <c r="CR102" s="1190"/>
      <c r="CS102" s="1190"/>
      <c r="CT102" s="1190"/>
      <c r="CU102" s="1190"/>
    </row>
    <row r="103" spans="1:99" ht="20.399999999999999">
      <c r="A103" s="2941" t="s">
        <v>676</v>
      </c>
      <c r="B103" s="2931" t="s">
        <v>52</v>
      </c>
      <c r="C103" s="2943">
        <v>0</v>
      </c>
      <c r="D103" s="2944"/>
      <c r="E103" s="2898">
        <f t="shared" si="10"/>
        <v>0</v>
      </c>
      <c r="F103" s="2959"/>
      <c r="G103" s="2946">
        <f t="shared" si="11"/>
        <v>0</v>
      </c>
      <c r="H103" s="2743" t="e">
        <f t="shared" si="7"/>
        <v>#DIV/0!</v>
      </c>
      <c r="I103" s="2947"/>
      <c r="J103" s="2464">
        <v>60</v>
      </c>
      <c r="K103" s="2745">
        <f t="shared" si="9"/>
        <v>0</v>
      </c>
      <c r="L103" s="2955">
        <v>0</v>
      </c>
      <c r="M103" s="1190"/>
      <c r="N103" s="1190"/>
      <c r="O103" s="1190"/>
      <c r="P103" s="1190"/>
      <c r="Q103" s="1190"/>
      <c r="R103" s="1190"/>
      <c r="S103" s="1190"/>
      <c r="T103" s="1190"/>
      <c r="U103" s="1190"/>
      <c r="V103" s="1190"/>
      <c r="W103" s="1190"/>
      <c r="X103" s="1190"/>
      <c r="Y103" s="1190"/>
      <c r="Z103" s="1190"/>
      <c r="AA103" s="1190"/>
      <c r="AB103" s="1190"/>
      <c r="AC103" s="1190"/>
      <c r="AD103" s="1190"/>
      <c r="AE103" s="1190"/>
      <c r="AF103" s="1190"/>
      <c r="AG103" s="1190"/>
      <c r="AH103" s="1190"/>
      <c r="AI103" s="1190"/>
      <c r="AJ103" s="1190"/>
      <c r="AK103" s="1190"/>
      <c r="AL103" s="1190"/>
      <c r="AM103" s="1190"/>
      <c r="AN103" s="1190"/>
      <c r="AO103" s="1190"/>
      <c r="AP103" s="1190"/>
      <c r="AQ103" s="1190"/>
      <c r="AR103" s="1190"/>
      <c r="AS103" s="1190"/>
      <c r="AT103" s="1190"/>
      <c r="AU103" s="1190"/>
      <c r="AV103" s="1190"/>
      <c r="AW103" s="1190"/>
      <c r="AX103" s="1190"/>
      <c r="AY103" s="1190"/>
      <c r="AZ103" s="1190"/>
      <c r="BA103" s="1190"/>
      <c r="BB103" s="1190"/>
      <c r="BC103" s="1190"/>
      <c r="BD103" s="1190"/>
      <c r="BE103" s="1190"/>
      <c r="BF103" s="1190"/>
      <c r="BG103" s="1190"/>
      <c r="BH103" s="1190"/>
      <c r="BI103" s="1190"/>
      <c r="BJ103" s="1190"/>
      <c r="BK103" s="1190"/>
      <c r="BL103" s="1190"/>
      <c r="BM103" s="1190"/>
      <c r="BN103" s="1190"/>
      <c r="BO103" s="1190"/>
      <c r="BP103" s="1190"/>
      <c r="BQ103" s="1190"/>
      <c r="BR103" s="1190"/>
      <c r="BS103" s="1190"/>
      <c r="BT103" s="1190"/>
      <c r="BU103" s="1190"/>
      <c r="BV103" s="1190"/>
      <c r="BW103" s="1190"/>
      <c r="BX103" s="1190"/>
      <c r="BY103" s="1190"/>
      <c r="BZ103" s="1190"/>
      <c r="CA103" s="1190"/>
      <c r="CB103" s="1190"/>
      <c r="CC103" s="1190"/>
      <c r="CD103" s="1190"/>
      <c r="CE103" s="1190"/>
      <c r="CF103" s="1190"/>
      <c r="CG103" s="1190"/>
      <c r="CH103" s="1190"/>
      <c r="CI103" s="1190"/>
      <c r="CJ103" s="1190"/>
      <c r="CK103" s="1190"/>
      <c r="CL103" s="1190"/>
      <c r="CM103" s="1190"/>
      <c r="CN103" s="1190"/>
      <c r="CO103" s="1190"/>
      <c r="CP103" s="1190"/>
      <c r="CQ103" s="1190"/>
      <c r="CR103" s="1190"/>
      <c r="CS103" s="1190"/>
      <c r="CT103" s="1190"/>
      <c r="CU103" s="1190"/>
    </row>
    <row r="104" spans="1:99">
      <c r="A104" s="2941" t="s">
        <v>91</v>
      </c>
      <c r="B104" s="2931" t="s">
        <v>52</v>
      </c>
      <c r="C104" s="2943">
        <v>1199</v>
      </c>
      <c r="D104" s="2948"/>
      <c r="E104" s="2898">
        <f t="shared" si="10"/>
        <v>1199</v>
      </c>
      <c r="F104" s="2959">
        <f>21.74+340.03+1+57.02+52.16+34.83+33.99+57.08+27.99+94.88+18.89+115.36+29.19+67.04+16.14+91.74+71.8+93.72+55.67-16.44</f>
        <v>1263.83</v>
      </c>
      <c r="G104" s="2946">
        <f t="shared" si="11"/>
        <v>-64.829999999999927</v>
      </c>
      <c r="H104" s="2743">
        <f t="shared" si="7"/>
        <v>-5.4070058381984927E-2</v>
      </c>
      <c r="I104" s="2947"/>
      <c r="J104" s="2464">
        <v>61</v>
      </c>
      <c r="K104" s="2745">
        <f t="shared" si="9"/>
        <v>0</v>
      </c>
      <c r="L104" s="2955">
        <v>1263.83</v>
      </c>
      <c r="M104" s="1190"/>
      <c r="N104" s="1190"/>
      <c r="O104" s="1190"/>
      <c r="P104" s="1190"/>
      <c r="Q104" s="1190"/>
      <c r="R104" s="1190"/>
      <c r="S104" s="1190"/>
      <c r="T104" s="1190"/>
      <c r="U104" s="1190"/>
      <c r="V104" s="1190"/>
      <c r="W104" s="1190"/>
      <c r="X104" s="1190"/>
      <c r="Y104" s="1190"/>
      <c r="Z104" s="1190"/>
      <c r="AA104" s="1190"/>
      <c r="AB104" s="1190"/>
      <c r="AC104" s="1190"/>
      <c r="AD104" s="1190"/>
      <c r="AE104" s="1190"/>
      <c r="AF104" s="1190"/>
      <c r="AG104" s="1190"/>
      <c r="AH104" s="1190"/>
      <c r="AI104" s="1190"/>
      <c r="AJ104" s="1190"/>
      <c r="AK104" s="1190"/>
      <c r="AL104" s="1190"/>
      <c r="AM104" s="1190"/>
      <c r="AN104" s="1190"/>
      <c r="AO104" s="1190"/>
      <c r="AP104" s="1190"/>
      <c r="AQ104" s="1190"/>
      <c r="AR104" s="1190"/>
      <c r="AS104" s="1190"/>
      <c r="AT104" s="1190"/>
      <c r="AU104" s="1190"/>
      <c r="AV104" s="1190"/>
      <c r="AW104" s="1190"/>
      <c r="AX104" s="1190"/>
      <c r="AY104" s="1190"/>
      <c r="AZ104" s="1190"/>
      <c r="BA104" s="1190"/>
      <c r="BB104" s="1190"/>
      <c r="BC104" s="1190"/>
      <c r="BD104" s="1190"/>
      <c r="BE104" s="1190"/>
      <c r="BF104" s="1190"/>
      <c r="BG104" s="1190"/>
      <c r="BH104" s="1190"/>
      <c r="BI104" s="1190"/>
      <c r="BJ104" s="1190"/>
      <c r="BK104" s="1190"/>
      <c r="BL104" s="1190"/>
      <c r="BM104" s="1190"/>
      <c r="BN104" s="1190"/>
      <c r="BO104" s="1190"/>
      <c r="BP104" s="1190"/>
      <c r="BQ104" s="1190"/>
      <c r="BR104" s="1190"/>
      <c r="BS104" s="1190"/>
      <c r="BT104" s="1190"/>
      <c r="BU104" s="1190"/>
      <c r="BV104" s="1190"/>
      <c r="BW104" s="1190"/>
      <c r="BX104" s="1190"/>
      <c r="BY104" s="1190"/>
      <c r="BZ104" s="1190"/>
      <c r="CA104" s="1190"/>
      <c r="CB104" s="1190"/>
      <c r="CC104" s="1190"/>
      <c r="CD104" s="1190"/>
      <c r="CE104" s="1190"/>
      <c r="CF104" s="1190"/>
      <c r="CG104" s="1190"/>
      <c r="CH104" s="1190"/>
      <c r="CI104" s="1190"/>
      <c r="CJ104" s="1190"/>
      <c r="CK104" s="1190"/>
      <c r="CL104" s="1190"/>
      <c r="CM104" s="1190"/>
      <c r="CN104" s="1190"/>
      <c r="CO104" s="1190"/>
      <c r="CP104" s="1190"/>
      <c r="CQ104" s="1190"/>
      <c r="CR104" s="1190"/>
      <c r="CS104" s="1190"/>
      <c r="CT104" s="1190"/>
      <c r="CU104" s="1190"/>
    </row>
    <row r="105" spans="1:99">
      <c r="A105" s="2941" t="s">
        <v>677</v>
      </c>
      <c r="B105" s="2931" t="s">
        <v>52</v>
      </c>
      <c r="C105" s="2943">
        <v>12735</v>
      </c>
      <c r="D105" s="2948"/>
      <c r="E105" s="2898">
        <f t="shared" si="10"/>
        <v>12735</v>
      </c>
      <c r="F105" s="2961">
        <f>1907.925+9276.29+18.36+29.8-11.22-29.53+1.5+14.17+37.11+8.45+35.37-94.12+95.93+1159.17+366.07+95.9+4.54+6.89+2.24+0.003+2.5-2.5+0.06+7.207</f>
        <v>12932.115000000002</v>
      </c>
      <c r="G105" s="2946">
        <f t="shared" si="11"/>
        <v>-197.1150000000016</v>
      </c>
      <c r="H105" s="2743">
        <f t="shared" si="7"/>
        <v>-1.5478209658421798E-2</v>
      </c>
      <c r="I105" s="2947" t="s">
        <v>1483</v>
      </c>
      <c r="J105" s="2464">
        <v>62</v>
      </c>
      <c r="K105" s="2745">
        <f t="shared" si="9"/>
        <v>0</v>
      </c>
      <c r="L105" s="2745">
        <v>12932.115</v>
      </c>
      <c r="M105" s="2962"/>
    </row>
    <row r="106" spans="1:99">
      <c r="A106" s="2941" t="s">
        <v>832</v>
      </c>
      <c r="B106" s="2931" t="s">
        <v>52</v>
      </c>
      <c r="C106" s="2943">
        <v>1652.31</v>
      </c>
      <c r="D106" s="2943"/>
      <c r="E106" s="2931">
        <f t="shared" si="10"/>
        <v>1652.31</v>
      </c>
      <c r="F106" s="2961">
        <f>1082.83+15.5+233.65-0.002+414.05-55.967-802.362</f>
        <v>887.69899999999996</v>
      </c>
      <c r="G106" s="2951">
        <f t="shared" si="11"/>
        <v>764.61099999999999</v>
      </c>
      <c r="H106" s="2743">
        <f t="shared" si="7"/>
        <v>0.46275275220751555</v>
      </c>
      <c r="I106" s="2947"/>
      <c r="J106" s="2464">
        <v>63</v>
      </c>
      <c r="K106" s="2745">
        <f t="shared" si="9"/>
        <v>802.36199999999997</v>
      </c>
      <c r="L106" s="2414">
        <v>1690.0609999999999</v>
      </c>
    </row>
    <row r="107" spans="1:99">
      <c r="A107" s="2941" t="s">
        <v>693</v>
      </c>
      <c r="B107" s="2931" t="s">
        <v>52</v>
      </c>
      <c r="C107" s="2943">
        <f>14161+8528-7280</f>
        <v>15409</v>
      </c>
      <c r="D107" s="2943"/>
      <c r="E107" s="2931">
        <f t="shared" si="10"/>
        <v>15409</v>
      </c>
      <c r="F107" s="2961">
        <f>298.37+240.11+121.25+95.61+30.26+832.4-750.6+66.55-12.28+25.94+0.91+12.78+291.93+245.984+5.391-1.133+130.48+19.291+195.562+44.188+100.525+40.399+13.215+236.786+60.547+230.336+762.196+141.81+60.166+124.913+286.255+8.067+58.739</f>
        <v>4016.9469999999997</v>
      </c>
      <c r="G107" s="2946">
        <f t="shared" si="11"/>
        <v>11392.053</v>
      </c>
      <c r="H107" s="2743">
        <f t="shared" si="7"/>
        <v>0.73931163605684991</v>
      </c>
      <c r="I107" s="2947"/>
      <c r="J107" s="2464">
        <v>64</v>
      </c>
      <c r="K107" s="2745">
        <f t="shared" si="9"/>
        <v>0</v>
      </c>
      <c r="L107" s="2414">
        <v>4016.9469999999992</v>
      </c>
    </row>
    <row r="108" spans="1:99">
      <c r="A108" s="2963" t="s">
        <v>50</v>
      </c>
      <c r="B108" s="2964" t="s">
        <v>52</v>
      </c>
      <c r="C108" s="2965">
        <f>SUM(C44:C107)</f>
        <v>334965.32</v>
      </c>
      <c r="D108" s="2965">
        <f>SUM(D44:D107)</f>
        <v>0</v>
      </c>
      <c r="E108" s="3345">
        <f>SUM(E44:E107)</f>
        <v>334965.32</v>
      </c>
      <c r="F108" s="3340">
        <f>SUM(F44:F107)</f>
        <v>283791.16749999992</v>
      </c>
      <c r="G108" s="2966">
        <f>+E108-F108</f>
        <v>51174.152500000084</v>
      </c>
      <c r="H108" s="2743">
        <f t="shared" si="7"/>
        <v>0.15277447975808386</v>
      </c>
      <c r="I108" s="2967"/>
      <c r="J108" s="558"/>
      <c r="K108" s="2745">
        <v>0</v>
      </c>
      <c r="L108" s="2968">
        <f>SUM(L44:L107)</f>
        <v>284741.78999999992</v>
      </c>
      <c r="M108" s="2969"/>
      <c r="P108" s="1093" t="s">
        <v>715</v>
      </c>
    </row>
    <row r="109" spans="1:99">
      <c r="A109" s="2970"/>
      <c r="B109" s="595"/>
      <c r="C109" s="2909"/>
      <c r="D109" s="2909"/>
      <c r="E109" s="2909"/>
      <c r="F109" s="2910"/>
      <c r="G109" s="2910"/>
      <c r="H109" s="2971"/>
      <c r="J109" s="1266" t="s">
        <v>504</v>
      </c>
      <c r="L109" s="2266" t="s">
        <v>503</v>
      </c>
      <c r="M109" s="2266" t="s">
        <v>514</v>
      </c>
      <c r="P109" s="2972">
        <v>7648</v>
      </c>
    </row>
    <row r="110" spans="1:99">
      <c r="A110" s="2893" t="s">
        <v>45</v>
      </c>
      <c r="B110" s="2893" t="s">
        <v>46</v>
      </c>
      <c r="C110" s="2894" t="s">
        <v>47</v>
      </c>
      <c r="D110" s="2894"/>
      <c r="E110" s="2894" t="s">
        <v>48</v>
      </c>
      <c r="F110" s="2893" t="s">
        <v>19</v>
      </c>
      <c r="G110" s="2893" t="s">
        <v>20</v>
      </c>
      <c r="H110" s="2893" t="s">
        <v>49</v>
      </c>
      <c r="I110" s="2895" t="s">
        <v>22</v>
      </c>
      <c r="J110" s="1174" t="s">
        <v>437</v>
      </c>
      <c r="K110" s="1230" t="s">
        <v>436</v>
      </c>
      <c r="L110" s="1231" t="s">
        <v>438</v>
      </c>
      <c r="M110" s="1690" t="s">
        <v>505</v>
      </c>
      <c r="N110" s="2668" t="s">
        <v>513</v>
      </c>
    </row>
    <row r="111" spans="1:99">
      <c r="A111" s="2941" t="s">
        <v>617</v>
      </c>
      <c r="B111" s="2897" t="s">
        <v>33</v>
      </c>
      <c r="C111" s="2973">
        <v>54</v>
      </c>
      <c r="D111" s="2973"/>
      <c r="E111" s="2898">
        <f t="shared" ref="E111:E142" si="12">+C111+G44+D111</f>
        <v>143.601</v>
      </c>
      <c r="F111" s="2974">
        <f>37.652+25.51+18.6+43.67</f>
        <v>125.432</v>
      </c>
      <c r="G111" s="2946">
        <f t="shared" ref="G111:G174" si="13">+E111-F111</f>
        <v>18.168999999999997</v>
      </c>
      <c r="H111" s="2743">
        <f>+G111/E111</f>
        <v>0.12652418855021899</v>
      </c>
      <c r="I111" s="2975"/>
      <c r="J111" s="2463">
        <v>1</v>
      </c>
      <c r="K111" s="855">
        <f t="shared" ref="K111:K142" si="14">+F44</f>
        <v>703.399</v>
      </c>
      <c r="L111" s="2976">
        <f>+M111-K111</f>
        <v>125.43299999999999</v>
      </c>
      <c r="M111" s="2266">
        <v>828.83199999999999</v>
      </c>
      <c r="N111" s="2668">
        <v>1</v>
      </c>
      <c r="O111" s="2414">
        <f t="shared" ref="O111:O173" si="15">+L111-F111</f>
        <v>9.9999999999056399E-4</v>
      </c>
    </row>
    <row r="112" spans="1:99" ht="20.399999999999999">
      <c r="A112" s="2941" t="s">
        <v>618</v>
      </c>
      <c r="B112" s="2897" t="s">
        <v>33</v>
      </c>
      <c r="C112" s="2973">
        <v>153</v>
      </c>
      <c r="D112" s="2973"/>
      <c r="E112" s="2898">
        <f t="shared" si="12"/>
        <v>954.39099999999962</v>
      </c>
      <c r="F112" s="2974">
        <f>60.4+72.63+96.43+113.49+217+61.64+52.7</f>
        <v>674.29000000000008</v>
      </c>
      <c r="G112" s="2946">
        <f t="shared" si="13"/>
        <v>280.10099999999954</v>
      </c>
      <c r="H112" s="2743">
        <f t="shared" ref="H112:H175" si="16">+G112/E112</f>
        <v>0.29348663178927675</v>
      </c>
      <c r="I112" s="2912"/>
      <c r="J112" s="2463">
        <v>2</v>
      </c>
      <c r="K112" s="855">
        <f t="shared" si="14"/>
        <v>2430.6090000000004</v>
      </c>
      <c r="L112" s="2976">
        <f t="shared" ref="L112:L174" si="17">+M112-K112</f>
        <v>674.2859999999996</v>
      </c>
      <c r="M112" s="2266">
        <v>3104.895</v>
      </c>
      <c r="N112" s="2668">
        <v>2</v>
      </c>
      <c r="O112" s="2414">
        <f t="shared" si="15"/>
        <v>-4.0000000004738467E-3</v>
      </c>
    </row>
    <row r="113" spans="1:15" ht="20.399999999999999">
      <c r="A113" s="2941" t="s">
        <v>619</v>
      </c>
      <c r="B113" s="2897" t="s">
        <v>33</v>
      </c>
      <c r="C113" s="2973">
        <v>86</v>
      </c>
      <c r="D113" s="2973"/>
      <c r="E113" s="2931">
        <f t="shared" si="12"/>
        <v>942.16200000000026</v>
      </c>
      <c r="F113" s="2981">
        <f>186.48+132.26+151.62+110.6+78.76+13.82+39.72+87.78+15.77+77.39+48.4</f>
        <v>942.6</v>
      </c>
      <c r="G113" s="2954">
        <f t="shared" si="13"/>
        <v>-0.4379999999997608</v>
      </c>
      <c r="H113" s="2743">
        <f t="shared" si="16"/>
        <v>-4.6488820393919588E-4</v>
      </c>
      <c r="I113" s="2977"/>
      <c r="J113" s="2463">
        <v>3</v>
      </c>
      <c r="K113" s="855">
        <f t="shared" si="14"/>
        <v>2354.8379999999997</v>
      </c>
      <c r="L113" s="2976">
        <f t="shared" si="17"/>
        <v>942.60000000000036</v>
      </c>
      <c r="M113" s="2266">
        <v>3297.4380000000001</v>
      </c>
      <c r="N113" s="2668">
        <v>3</v>
      </c>
      <c r="O113" s="2414">
        <f t="shared" si="15"/>
        <v>0</v>
      </c>
    </row>
    <row r="114" spans="1:15">
      <c r="A114" s="2941" t="s">
        <v>620</v>
      </c>
      <c r="B114" s="2897" t="s">
        <v>33</v>
      </c>
      <c r="C114" s="2973">
        <v>666</v>
      </c>
      <c r="D114" s="2973"/>
      <c r="E114" s="2931">
        <f t="shared" si="12"/>
        <v>1843.7350000000006</v>
      </c>
      <c r="F114" s="2981">
        <f>440.32+99.16+77.84+6.31+40.9+64.93+1.57+52.51+50.44+1.35</f>
        <v>835.33</v>
      </c>
      <c r="G114" s="2954">
        <f t="shared" si="13"/>
        <v>1008.4050000000005</v>
      </c>
      <c r="H114" s="2743">
        <f t="shared" si="16"/>
        <v>0.54693597507233971</v>
      </c>
      <c r="I114" s="2978"/>
      <c r="J114" s="2463">
        <v>4</v>
      </c>
      <c r="K114" s="855">
        <f t="shared" si="14"/>
        <v>11610.264999999999</v>
      </c>
      <c r="L114" s="2976">
        <f t="shared" si="17"/>
        <v>835.32899999999972</v>
      </c>
      <c r="M114" s="2266">
        <v>12445.593999999999</v>
      </c>
      <c r="N114" s="2668">
        <v>4</v>
      </c>
      <c r="O114" s="2414">
        <f t="shared" si="15"/>
        <v>-1.0000000003174137E-3</v>
      </c>
    </row>
    <row r="115" spans="1:15">
      <c r="A115" s="2941" t="s">
        <v>621</v>
      </c>
      <c r="B115" s="2897" t="s">
        <v>33</v>
      </c>
      <c r="C115" s="2973">
        <v>0</v>
      </c>
      <c r="D115" s="2973"/>
      <c r="E115" s="2931">
        <f t="shared" si="12"/>
        <v>0</v>
      </c>
      <c r="F115" s="2981"/>
      <c r="G115" s="2954">
        <f t="shared" si="13"/>
        <v>0</v>
      </c>
      <c r="H115" s="2743" t="e">
        <f t="shared" si="16"/>
        <v>#DIV/0!</v>
      </c>
      <c r="I115" s="2979"/>
      <c r="J115" s="2463">
        <v>5</v>
      </c>
      <c r="K115" s="855">
        <f t="shared" si="14"/>
        <v>0</v>
      </c>
      <c r="L115" s="2976">
        <f t="shared" si="17"/>
        <v>0</v>
      </c>
      <c r="M115" s="2266">
        <v>0</v>
      </c>
      <c r="N115" s="2668">
        <v>5</v>
      </c>
      <c r="O115" s="2414">
        <f t="shared" si="15"/>
        <v>0</v>
      </c>
    </row>
    <row r="116" spans="1:15">
      <c r="A116" s="2941" t="s">
        <v>622</v>
      </c>
      <c r="B116" s="2897" t="s">
        <v>33</v>
      </c>
      <c r="C116" s="2973">
        <v>557</v>
      </c>
      <c r="D116" s="2973"/>
      <c r="E116" s="2931">
        <f t="shared" si="12"/>
        <v>2438.8920000000026</v>
      </c>
      <c r="F116" s="2981">
        <f>319.79+116.67+422.58+246.94+106.63+27.45+44.79+89.94+29.71+53.14+42.15+237.21+55.24</f>
        <v>1792.2400000000005</v>
      </c>
      <c r="G116" s="2954">
        <f t="shared" si="13"/>
        <v>646.65200000000209</v>
      </c>
      <c r="H116" s="2743">
        <f t="shared" si="16"/>
        <v>0.2651417118921221</v>
      </c>
      <c r="I116" s="2977"/>
      <c r="J116" s="2463">
        <v>6</v>
      </c>
      <c r="K116" s="855">
        <f t="shared" si="14"/>
        <v>7681.1079999999974</v>
      </c>
      <c r="L116" s="2976">
        <f t="shared" si="17"/>
        <v>1792.2410000000027</v>
      </c>
      <c r="M116" s="2266">
        <v>9473.3490000000002</v>
      </c>
      <c r="N116" s="2668">
        <v>6</v>
      </c>
      <c r="O116" s="2414">
        <f t="shared" si="15"/>
        <v>1.0000000022500899E-3</v>
      </c>
    </row>
    <row r="117" spans="1:15">
      <c r="A117" s="2941" t="s">
        <v>623</v>
      </c>
      <c r="B117" s="2897" t="s">
        <v>33</v>
      </c>
      <c r="C117" s="2973">
        <v>571</v>
      </c>
      <c r="D117" s="2973"/>
      <c r="E117" s="2931">
        <f t="shared" si="12"/>
        <v>1170.6360000000004</v>
      </c>
      <c r="F117" s="2981">
        <f>176.2+28.44+216.385+145.15</f>
        <v>566.17499999999995</v>
      </c>
      <c r="G117" s="2954">
        <f t="shared" si="13"/>
        <v>604.46100000000047</v>
      </c>
      <c r="H117" s="2743">
        <f t="shared" si="16"/>
        <v>0.51635264932908287</v>
      </c>
      <c r="I117" s="2977"/>
      <c r="J117" s="2463">
        <v>7</v>
      </c>
      <c r="K117" s="855">
        <f t="shared" si="14"/>
        <v>8395.3639999999996</v>
      </c>
      <c r="L117" s="2976">
        <f t="shared" si="17"/>
        <v>566.17900000000009</v>
      </c>
      <c r="M117" s="2266">
        <v>8961.5429999999997</v>
      </c>
      <c r="N117" s="2668">
        <v>7</v>
      </c>
      <c r="O117" s="2414">
        <f t="shared" si="15"/>
        <v>4.0000000001327862E-3</v>
      </c>
    </row>
    <row r="118" spans="1:15">
      <c r="A118" s="2941" t="s">
        <v>624</v>
      </c>
      <c r="B118" s="2980" t="s">
        <v>33</v>
      </c>
      <c r="C118" s="2931">
        <v>0</v>
      </c>
      <c r="D118" s="2931"/>
      <c r="E118" s="2931">
        <f t="shared" si="12"/>
        <v>0</v>
      </c>
      <c r="F118" s="2981"/>
      <c r="G118" s="2954">
        <f t="shared" si="13"/>
        <v>0</v>
      </c>
      <c r="H118" s="2743" t="e">
        <f t="shared" si="16"/>
        <v>#DIV/0!</v>
      </c>
      <c r="I118" s="2982"/>
      <c r="J118" s="2463">
        <v>8</v>
      </c>
      <c r="K118" s="855">
        <f t="shared" si="14"/>
        <v>0</v>
      </c>
      <c r="L118" s="2976">
        <f t="shared" si="17"/>
        <v>0</v>
      </c>
      <c r="M118" s="2266">
        <v>0</v>
      </c>
      <c r="N118" s="2668">
        <v>8</v>
      </c>
      <c r="O118" s="2414">
        <f t="shared" si="15"/>
        <v>0</v>
      </c>
    </row>
    <row r="119" spans="1:15">
      <c r="A119" s="2941" t="s">
        <v>625</v>
      </c>
      <c r="B119" s="2980" t="s">
        <v>33</v>
      </c>
      <c r="C119" s="2931">
        <v>0</v>
      </c>
      <c r="D119" s="2931"/>
      <c r="E119" s="2931">
        <f t="shared" si="12"/>
        <v>-9.9999999929423211E-4</v>
      </c>
      <c r="F119" s="2981"/>
      <c r="G119" s="2954">
        <f t="shared" si="13"/>
        <v>-9.9999999929423211E-4</v>
      </c>
      <c r="H119" s="2743">
        <f t="shared" si="16"/>
        <v>1</v>
      </c>
      <c r="I119" s="2778" t="s">
        <v>1560</v>
      </c>
      <c r="J119" s="2463">
        <v>9</v>
      </c>
      <c r="K119" s="855">
        <f t="shared" si="14"/>
        <v>2503.8309999999992</v>
      </c>
      <c r="L119" s="2976">
        <f t="shared" si="17"/>
        <v>0</v>
      </c>
      <c r="M119" s="2266">
        <v>2503.8310000000001</v>
      </c>
      <c r="N119" s="2668">
        <v>9</v>
      </c>
      <c r="O119" s="2414">
        <f t="shared" si="15"/>
        <v>0</v>
      </c>
    </row>
    <row r="120" spans="1:15" s="1190" customFormat="1">
      <c r="A120" s="2941" t="s">
        <v>626</v>
      </c>
      <c r="B120" s="2980" t="s">
        <v>33</v>
      </c>
      <c r="C120" s="2931">
        <v>0</v>
      </c>
      <c r="D120" s="2931"/>
      <c r="E120" s="2931">
        <f t="shared" si="12"/>
        <v>0</v>
      </c>
      <c r="F120" s="2981"/>
      <c r="G120" s="2954">
        <f t="shared" si="13"/>
        <v>0</v>
      </c>
      <c r="H120" s="2743" t="e">
        <f t="shared" si="16"/>
        <v>#DIV/0!</v>
      </c>
      <c r="I120" s="2982"/>
      <c r="J120" s="2463">
        <v>10</v>
      </c>
      <c r="K120" s="855">
        <f t="shared" si="14"/>
        <v>0</v>
      </c>
      <c r="L120" s="2976">
        <f t="shared" si="17"/>
        <v>0</v>
      </c>
      <c r="M120" s="1190">
        <v>0</v>
      </c>
      <c r="N120" s="2673">
        <v>10</v>
      </c>
      <c r="O120" s="2414">
        <f t="shared" si="15"/>
        <v>0</v>
      </c>
    </row>
    <row r="121" spans="1:15">
      <c r="A121" s="2941" t="s">
        <v>627</v>
      </c>
      <c r="B121" s="2980" t="s">
        <v>33</v>
      </c>
      <c r="C121" s="2931">
        <v>1343</v>
      </c>
      <c r="D121" s="2931"/>
      <c r="E121" s="2931">
        <f t="shared" si="12"/>
        <v>4762.9784999999902</v>
      </c>
      <c r="F121" s="2981">
        <f>121.349+667.81+590.59+608.75-27.07+124.09+515.74+94.17+65.6+33.45+27.88+12.84+167.49+158.47+63.24+180.2+378.51+0.1+15.53+73.06</f>
        <v>3871.7989999999995</v>
      </c>
      <c r="G121" s="2954">
        <f t="shared" si="13"/>
        <v>891.17949999999064</v>
      </c>
      <c r="H121" s="2743">
        <f t="shared" si="16"/>
        <v>0.18710550551508734</v>
      </c>
      <c r="I121" s="2983"/>
      <c r="J121" s="2463">
        <v>11</v>
      </c>
      <c r="K121" s="855">
        <f t="shared" si="14"/>
        <v>23917.02150000001</v>
      </c>
      <c r="L121" s="2976">
        <f t="shared" si="17"/>
        <v>3871.8024999999907</v>
      </c>
      <c r="M121" s="2266">
        <v>27788.824000000001</v>
      </c>
      <c r="N121" s="2668">
        <v>11</v>
      </c>
      <c r="O121" s="2414">
        <f t="shared" si="15"/>
        <v>3.4999999911633495E-3</v>
      </c>
    </row>
    <row r="122" spans="1:15">
      <c r="A122" s="2941" t="s">
        <v>628</v>
      </c>
      <c r="B122" s="2980" t="s">
        <v>33</v>
      </c>
      <c r="C122" s="2931">
        <v>90</v>
      </c>
      <c r="D122" s="2931"/>
      <c r="E122" s="2931">
        <f t="shared" si="12"/>
        <v>987.47699999999986</v>
      </c>
      <c r="F122" s="2981">
        <f>155.225+179.803+133.581+40.725+103.787+9.434+66.226+21.56+106.936+90.45+45.69+53.93+35.808</f>
        <v>1043.1550000000002</v>
      </c>
      <c r="G122" s="2954">
        <f t="shared" si="13"/>
        <v>-55.678000000000338</v>
      </c>
      <c r="H122" s="2743">
        <f t="shared" si="16"/>
        <v>-5.6384098060005799E-2</v>
      </c>
      <c r="I122" s="2982"/>
      <c r="J122" s="2463">
        <v>12</v>
      </c>
      <c r="K122" s="855">
        <f t="shared" si="14"/>
        <v>567.52300000000014</v>
      </c>
      <c r="L122" s="2976">
        <f t="shared" si="17"/>
        <v>1043.155</v>
      </c>
      <c r="M122" s="2266">
        <v>1610.6780000000001</v>
      </c>
      <c r="N122" s="2668">
        <v>12</v>
      </c>
      <c r="O122" s="2745">
        <f t="shared" si="15"/>
        <v>0</v>
      </c>
    </row>
    <row r="123" spans="1:15">
      <c r="A123" s="2941" t="s">
        <v>629</v>
      </c>
      <c r="B123" s="2980" t="s">
        <v>33</v>
      </c>
      <c r="C123" s="2931">
        <v>272</v>
      </c>
      <c r="D123" s="2956"/>
      <c r="E123" s="2931">
        <f t="shared" si="12"/>
        <v>314.46499999999969</v>
      </c>
      <c r="F123" s="2981"/>
      <c r="G123" s="2954">
        <f t="shared" si="13"/>
        <v>314.46499999999969</v>
      </c>
      <c r="H123" s="2743">
        <f t="shared" si="16"/>
        <v>1</v>
      </c>
      <c r="I123" s="2982"/>
      <c r="J123" s="2463">
        <v>13</v>
      </c>
      <c r="K123" s="855">
        <f t="shared" si="14"/>
        <v>3967.5350000000003</v>
      </c>
      <c r="L123" s="2976">
        <f t="shared" si="17"/>
        <v>0</v>
      </c>
      <c r="M123" s="2266">
        <v>3967.5349999999999</v>
      </c>
      <c r="N123" s="2668">
        <v>13</v>
      </c>
      <c r="O123" s="2414">
        <f t="shared" si="15"/>
        <v>0</v>
      </c>
    </row>
    <row r="124" spans="1:15">
      <c r="A124" s="2941" t="s">
        <v>630</v>
      </c>
      <c r="B124" s="2980" t="s">
        <v>33</v>
      </c>
      <c r="C124" s="2931">
        <v>7</v>
      </c>
      <c r="D124" s="2931"/>
      <c r="E124" s="2931">
        <f t="shared" si="12"/>
        <v>7</v>
      </c>
      <c r="F124" s="2981"/>
      <c r="G124" s="2954">
        <f t="shared" si="13"/>
        <v>7</v>
      </c>
      <c r="H124" s="2743">
        <f t="shared" si="16"/>
        <v>1</v>
      </c>
      <c r="I124" s="2778" t="s">
        <v>1560</v>
      </c>
      <c r="J124" s="2463">
        <v>14</v>
      </c>
      <c r="K124" s="855">
        <f t="shared" si="14"/>
        <v>0</v>
      </c>
      <c r="L124" s="2976">
        <f t="shared" si="17"/>
        <v>0</v>
      </c>
      <c r="M124" s="2266">
        <v>0</v>
      </c>
      <c r="N124" s="2668">
        <v>14</v>
      </c>
      <c r="O124" s="2414">
        <f t="shared" si="15"/>
        <v>0</v>
      </c>
    </row>
    <row r="125" spans="1:15">
      <c r="A125" s="2941" t="s">
        <v>631</v>
      </c>
      <c r="B125" s="2980" t="s">
        <v>33</v>
      </c>
      <c r="C125" s="2931">
        <v>1</v>
      </c>
      <c r="D125" s="2931"/>
      <c r="E125" s="2931">
        <f t="shared" si="12"/>
        <v>1780.1260000000002</v>
      </c>
      <c r="F125" s="2981">
        <f>68.26+239.75+359.82+162.16+74.52+57.78-9.32</f>
        <v>952.9699999999998</v>
      </c>
      <c r="G125" s="2954">
        <f t="shared" si="13"/>
        <v>827.1560000000004</v>
      </c>
      <c r="H125" s="2743">
        <f t="shared" si="16"/>
        <v>0.46466149025406084</v>
      </c>
      <c r="I125" s="2984"/>
      <c r="J125" s="2463">
        <v>15</v>
      </c>
      <c r="K125" s="855">
        <f t="shared" si="14"/>
        <v>7648.8739999999998</v>
      </c>
      <c r="L125" s="2976">
        <f t="shared" si="17"/>
        <v>952.97400000000016</v>
      </c>
      <c r="M125" s="2266">
        <v>8601.848</v>
      </c>
      <c r="N125" s="2668">
        <v>15</v>
      </c>
      <c r="O125" s="2414">
        <f t="shared" si="15"/>
        <v>4.0000000003601599E-3</v>
      </c>
    </row>
    <row r="126" spans="1:15">
      <c r="A126" s="2941" t="s">
        <v>632</v>
      </c>
      <c r="B126" s="2980" t="s">
        <v>33</v>
      </c>
      <c r="C126" s="2931">
        <v>1</v>
      </c>
      <c r="D126" s="2931"/>
      <c r="E126" s="2931">
        <f t="shared" si="12"/>
        <v>2952.4290000000001</v>
      </c>
      <c r="F126" s="2981">
        <f>316.87+255.26+456.64+1071.89+363.51+30.97+58.27</f>
        <v>2553.41</v>
      </c>
      <c r="G126" s="2954">
        <f t="shared" si="13"/>
        <v>399.01900000000023</v>
      </c>
      <c r="H126" s="2743">
        <f t="shared" si="16"/>
        <v>0.13514939732674358</v>
      </c>
      <c r="I126" s="2984"/>
      <c r="J126" s="2463">
        <v>16</v>
      </c>
      <c r="K126" s="855">
        <f t="shared" si="14"/>
        <v>5777.5709999999999</v>
      </c>
      <c r="L126" s="2976">
        <f t="shared" si="17"/>
        <v>2553.4050000000007</v>
      </c>
      <c r="M126" s="2266">
        <v>8330.9760000000006</v>
      </c>
      <c r="N126" s="2668">
        <v>16</v>
      </c>
      <c r="O126" s="2414">
        <f t="shared" si="15"/>
        <v>-4.9999999991996447E-3</v>
      </c>
    </row>
    <row r="127" spans="1:15">
      <c r="A127" s="2941" t="s">
        <v>633</v>
      </c>
      <c r="B127" s="2980" t="s">
        <v>33</v>
      </c>
      <c r="C127" s="2931">
        <v>980</v>
      </c>
      <c r="D127" s="2931"/>
      <c r="E127" s="2931">
        <f>+C127+G60+D127</f>
        <v>4401.6160000000018</v>
      </c>
      <c r="F127" s="2981">
        <f>297.72+256.6+434.4+278.171+187.176+80.838+202.107+129.685+166.587+585.013+12.259+94.82+150.663</f>
        <v>2876.0390000000002</v>
      </c>
      <c r="G127" s="2954">
        <f t="shared" si="13"/>
        <v>1525.5770000000016</v>
      </c>
      <c r="H127" s="2743">
        <f t="shared" si="16"/>
        <v>0.34659475065521411</v>
      </c>
      <c r="I127" s="2985"/>
      <c r="J127" s="2463">
        <v>17</v>
      </c>
      <c r="K127" s="855">
        <f t="shared" si="14"/>
        <v>10193.383999999998</v>
      </c>
      <c r="L127" s="2976">
        <f t="shared" si="17"/>
        <v>2876.0390000000025</v>
      </c>
      <c r="M127" s="2266">
        <v>13069.423000000001</v>
      </c>
      <c r="N127" s="2668">
        <v>17</v>
      </c>
      <c r="O127" s="3537">
        <f t="shared" si="15"/>
        <v>0</v>
      </c>
    </row>
    <row r="128" spans="1:15">
      <c r="A128" s="2941" t="s">
        <v>634</v>
      </c>
      <c r="B128" s="2980" t="s">
        <v>33</v>
      </c>
      <c r="C128" s="2931">
        <v>17</v>
      </c>
      <c r="D128" s="2931"/>
      <c r="E128" s="2931">
        <f t="shared" si="12"/>
        <v>16.573000000000008</v>
      </c>
      <c r="F128" s="2981"/>
      <c r="G128" s="2954">
        <f>+E128-F128</f>
        <v>16.573000000000008</v>
      </c>
      <c r="H128" s="2743">
        <f t="shared" si="16"/>
        <v>1</v>
      </c>
      <c r="I128" s="2778" t="s">
        <v>1560</v>
      </c>
      <c r="J128" s="2463">
        <v>18</v>
      </c>
      <c r="K128" s="855">
        <f t="shared" si="14"/>
        <v>228.42699999999999</v>
      </c>
      <c r="L128" s="2976">
        <f t="shared" si="17"/>
        <v>0</v>
      </c>
      <c r="M128" s="2266">
        <v>228.42699999999999</v>
      </c>
      <c r="N128" s="2668">
        <v>18</v>
      </c>
      <c r="O128" s="2414">
        <f t="shared" si="15"/>
        <v>0</v>
      </c>
    </row>
    <row r="129" spans="1:78">
      <c r="A129" s="2941" t="s">
        <v>635</v>
      </c>
      <c r="B129" s="2980" t="s">
        <v>33</v>
      </c>
      <c r="C129" s="2931">
        <v>209</v>
      </c>
      <c r="D129" s="2931"/>
      <c r="E129" s="2931">
        <f t="shared" si="12"/>
        <v>667.17900000000009</v>
      </c>
      <c r="F129" s="2981">
        <f>121.58+73.72+134.49-24.14+43.35-91.35</f>
        <v>257.65000000000009</v>
      </c>
      <c r="G129" s="2954">
        <f t="shared" si="13"/>
        <v>409.529</v>
      </c>
      <c r="H129" s="2743">
        <f t="shared" si="16"/>
        <v>0.61382177796363491</v>
      </c>
      <c r="I129" s="2984"/>
      <c r="J129" s="2463">
        <v>19</v>
      </c>
      <c r="K129" s="855">
        <f t="shared" si="14"/>
        <v>4663.8209999999999</v>
      </c>
      <c r="L129" s="2976">
        <f t="shared" si="17"/>
        <v>257.64599999999973</v>
      </c>
      <c r="M129" s="2266">
        <v>4921.4669999999996</v>
      </c>
      <c r="N129" s="2668">
        <v>19</v>
      </c>
      <c r="O129" s="2414">
        <f t="shared" si="15"/>
        <v>-4.0000000003601599E-3</v>
      </c>
    </row>
    <row r="130" spans="1:78">
      <c r="A130" s="2941" t="s">
        <v>636</v>
      </c>
      <c r="B130" s="2980" t="s">
        <v>33</v>
      </c>
      <c r="C130" s="2931">
        <v>458</v>
      </c>
      <c r="D130" s="2931"/>
      <c r="E130" s="2931">
        <f t="shared" si="12"/>
        <v>618.50200000000223</v>
      </c>
      <c r="F130" s="2981">
        <f>63.235+170+108.23+82.04+15.67+8.41</f>
        <v>447.58500000000009</v>
      </c>
      <c r="G130" s="2954">
        <f>+E130-F130</f>
        <v>170.91700000000213</v>
      </c>
      <c r="H130" s="2743">
        <f t="shared" si="16"/>
        <v>0.27634025435649606</v>
      </c>
      <c r="I130" s="2986"/>
      <c r="J130" s="2463">
        <v>20</v>
      </c>
      <c r="K130" s="855">
        <f t="shared" si="14"/>
        <v>6371.4979999999978</v>
      </c>
      <c r="L130" s="2976">
        <f t="shared" si="17"/>
        <v>447.58300000000236</v>
      </c>
      <c r="M130" s="2266">
        <v>6819.0810000000001</v>
      </c>
      <c r="N130" s="2668">
        <v>20</v>
      </c>
      <c r="O130" s="2414">
        <f t="shared" si="15"/>
        <v>-1.9999999977358129E-3</v>
      </c>
    </row>
    <row r="131" spans="1:78">
      <c r="A131" s="2941" t="s">
        <v>637</v>
      </c>
      <c r="B131" s="2931" t="s">
        <v>33</v>
      </c>
      <c r="C131" s="2931">
        <v>582</v>
      </c>
      <c r="D131" s="2931"/>
      <c r="E131" s="2931">
        <f t="shared" si="12"/>
        <v>1780.4730000000036</v>
      </c>
      <c r="F131" s="2981">
        <f>94.5+426.49+273.99+151.26+63.2+21.43</f>
        <v>1030.8700000000001</v>
      </c>
      <c r="G131" s="2954">
        <f>+E131-F131</f>
        <v>749.60300000000348</v>
      </c>
      <c r="H131" s="2743">
        <f t="shared" si="16"/>
        <v>0.42101340486488814</v>
      </c>
      <c r="I131" s="2985"/>
      <c r="J131" s="2463">
        <v>21</v>
      </c>
      <c r="K131" s="855">
        <f t="shared" si="14"/>
        <v>11061.526999999996</v>
      </c>
      <c r="L131" s="2976">
        <f t="shared" si="17"/>
        <v>1030.8650000000034</v>
      </c>
      <c r="M131" s="1190">
        <v>12092.392</v>
      </c>
      <c r="N131" s="2673">
        <v>21</v>
      </c>
      <c r="O131" s="2955">
        <f t="shared" si="15"/>
        <v>-4.9999999966985342E-3</v>
      </c>
      <c r="P131" s="1190"/>
      <c r="Q131" s="1190"/>
      <c r="R131" s="1190"/>
      <c r="S131" s="1190"/>
      <c r="T131" s="1190"/>
      <c r="U131" s="1190"/>
      <c r="V131" s="1190"/>
      <c r="W131" s="1190"/>
      <c r="X131" s="1190"/>
      <c r="Y131" s="1190"/>
      <c r="Z131" s="1190"/>
      <c r="AA131" s="1190"/>
      <c r="AB131" s="1190"/>
      <c r="AC131" s="1190"/>
      <c r="AD131" s="1190"/>
      <c r="AE131" s="1190"/>
      <c r="AF131" s="1190"/>
      <c r="AG131" s="1190"/>
      <c r="AH131" s="1190"/>
      <c r="AI131" s="1190"/>
      <c r="AJ131" s="1190"/>
      <c r="AK131" s="1190"/>
      <c r="AL131" s="1190"/>
      <c r="AM131" s="1190"/>
      <c r="AN131" s="1190"/>
      <c r="AO131" s="1190"/>
      <c r="AP131" s="1190"/>
      <c r="AQ131" s="1190"/>
      <c r="AR131" s="1190"/>
      <c r="AS131" s="1190"/>
      <c r="AT131" s="1190"/>
      <c r="AU131" s="1190"/>
      <c r="AV131" s="1190"/>
      <c r="AW131" s="1190"/>
      <c r="AX131" s="1190"/>
      <c r="AY131" s="1190"/>
      <c r="AZ131" s="1190"/>
      <c r="BA131" s="1190"/>
      <c r="BB131" s="1190"/>
      <c r="BC131" s="1190"/>
      <c r="BD131" s="1190"/>
      <c r="BE131" s="1190"/>
      <c r="BF131" s="1190"/>
      <c r="BG131" s="1190"/>
      <c r="BH131" s="1190"/>
      <c r="BI131" s="1190"/>
      <c r="BJ131" s="1190"/>
      <c r="BK131" s="1190"/>
      <c r="BL131" s="1190"/>
      <c r="BM131" s="1190"/>
      <c r="BN131" s="1190"/>
      <c r="BO131" s="1190"/>
      <c r="BP131" s="1190"/>
      <c r="BQ131" s="1190"/>
      <c r="BR131" s="1190"/>
      <c r="BS131" s="1190"/>
      <c r="BT131" s="1190"/>
      <c r="BU131" s="1190"/>
      <c r="BV131" s="1190"/>
      <c r="BW131" s="1190"/>
      <c r="BX131" s="1190"/>
      <c r="BY131" s="1190"/>
      <c r="BZ131" s="1190"/>
    </row>
    <row r="132" spans="1:78" s="1690" customFormat="1">
      <c r="A132" s="2941" t="s">
        <v>638</v>
      </c>
      <c r="B132" s="2980" t="s">
        <v>33</v>
      </c>
      <c r="C132" s="2931">
        <v>178</v>
      </c>
      <c r="D132" s="2931"/>
      <c r="E132" s="2931">
        <f t="shared" si="12"/>
        <v>453.2440000000006</v>
      </c>
      <c r="F132" s="2981">
        <f>110.87+70.81+52.53+66.52+16.91+137.42+61.39+25.89</f>
        <v>542.34</v>
      </c>
      <c r="G132" s="2954">
        <f t="shared" si="13"/>
        <v>-89.095999999999435</v>
      </c>
      <c r="H132" s="2743">
        <f t="shared" si="16"/>
        <v>-0.19657403076488453</v>
      </c>
      <c r="I132" s="2986"/>
      <c r="J132" s="2463">
        <v>22</v>
      </c>
      <c r="K132" s="855">
        <f t="shared" si="14"/>
        <v>2200.7559999999994</v>
      </c>
      <c r="L132" s="2976">
        <f t="shared" si="17"/>
        <v>542.33800000000065</v>
      </c>
      <c r="M132" s="1190">
        <v>2743.0940000000001</v>
      </c>
      <c r="N132" s="2673">
        <v>22</v>
      </c>
      <c r="O132" s="2955">
        <f t="shared" si="15"/>
        <v>-1.9999999993842721E-3</v>
      </c>
      <c r="P132" s="1190"/>
      <c r="Q132" s="1190"/>
      <c r="R132" s="1190"/>
      <c r="S132" s="1190"/>
      <c r="T132" s="1190"/>
      <c r="U132" s="1190"/>
      <c r="V132" s="1190"/>
      <c r="W132" s="1190"/>
      <c r="X132" s="1190"/>
      <c r="Y132" s="1190"/>
      <c r="Z132" s="1190"/>
      <c r="AA132" s="1190"/>
      <c r="AB132" s="1190"/>
      <c r="AC132" s="1190"/>
      <c r="AD132" s="1190"/>
      <c r="AE132" s="1190"/>
      <c r="AF132" s="1190"/>
      <c r="AG132" s="1190"/>
      <c r="AH132" s="1190"/>
      <c r="AI132" s="1190"/>
      <c r="AJ132" s="1190"/>
      <c r="AK132" s="1190"/>
      <c r="AL132" s="1190"/>
      <c r="AM132" s="1190"/>
      <c r="AN132" s="1190"/>
      <c r="AO132" s="1190"/>
      <c r="AP132" s="1190"/>
      <c r="AQ132" s="1190"/>
      <c r="AR132" s="1190"/>
      <c r="AS132" s="1190"/>
      <c r="AT132" s="1190"/>
      <c r="AU132" s="1190"/>
      <c r="AV132" s="1190"/>
      <c r="AW132" s="1190"/>
      <c r="AX132" s="1190"/>
      <c r="AY132" s="1190"/>
      <c r="AZ132" s="1190"/>
      <c r="BA132" s="1190"/>
      <c r="BB132" s="1190"/>
      <c r="BC132" s="1190"/>
      <c r="BD132" s="1190"/>
      <c r="BE132" s="1190"/>
      <c r="BF132" s="1190"/>
      <c r="BG132" s="1190"/>
      <c r="BH132" s="1190"/>
      <c r="BI132" s="1190"/>
      <c r="BJ132" s="1190"/>
      <c r="BK132" s="1190"/>
      <c r="BL132" s="1190"/>
      <c r="BM132" s="1190"/>
      <c r="BN132" s="1190"/>
      <c r="BO132" s="1190"/>
      <c r="BP132" s="1190"/>
      <c r="BQ132" s="1190"/>
      <c r="BR132" s="1190"/>
      <c r="BS132" s="1190"/>
      <c r="BT132" s="1190"/>
      <c r="BU132" s="1190"/>
      <c r="BV132" s="1190"/>
      <c r="BW132" s="1190"/>
      <c r="BX132" s="1190"/>
      <c r="BY132" s="1190"/>
      <c r="BZ132" s="1190"/>
    </row>
    <row r="133" spans="1:78">
      <c r="A133" s="2941" t="s">
        <v>639</v>
      </c>
      <c r="B133" s="2980" t="s">
        <v>33</v>
      </c>
      <c r="C133" s="2931">
        <v>1</v>
      </c>
      <c r="D133" s="2956"/>
      <c r="E133" s="2931">
        <f t="shared" si="12"/>
        <v>920.82900000000154</v>
      </c>
      <c r="F133" s="2981">
        <f>60.52+63.97+49.3</f>
        <v>173.79000000000002</v>
      </c>
      <c r="G133" s="2954">
        <f t="shared" si="13"/>
        <v>747.03900000000158</v>
      </c>
      <c r="H133" s="2743">
        <f t="shared" si="16"/>
        <v>0.81126789012943812</v>
      </c>
      <c r="I133" s="2987"/>
      <c r="J133" s="2463">
        <v>23</v>
      </c>
      <c r="K133" s="855">
        <f t="shared" si="14"/>
        <v>9177.1709999999985</v>
      </c>
      <c r="L133" s="2976">
        <f t="shared" si="17"/>
        <v>173.79000000000087</v>
      </c>
      <c r="M133" s="1190">
        <v>9350.9609999999993</v>
      </c>
      <c r="N133" s="2673">
        <v>23</v>
      </c>
      <c r="O133" s="2955">
        <f t="shared" si="15"/>
        <v>8.5265128291212022E-13</v>
      </c>
      <c r="P133" s="1190"/>
      <c r="Q133" s="1190"/>
      <c r="R133" s="1190"/>
      <c r="S133" s="1190"/>
      <c r="T133" s="1190"/>
      <c r="U133" s="1190"/>
      <c r="V133" s="1190"/>
      <c r="W133" s="1190"/>
      <c r="X133" s="1190"/>
      <c r="Y133" s="1190"/>
      <c r="Z133" s="1190"/>
      <c r="AA133" s="1190"/>
      <c r="AB133" s="1190"/>
      <c r="AC133" s="1190"/>
      <c r="AD133" s="1190"/>
      <c r="AE133" s="1190"/>
      <c r="AF133" s="1190"/>
      <c r="AG133" s="1190"/>
      <c r="AH133" s="1190"/>
      <c r="AI133" s="1190"/>
      <c r="AJ133" s="1190"/>
      <c r="AK133" s="1190"/>
      <c r="AL133" s="1190"/>
      <c r="AM133" s="1190"/>
      <c r="AN133" s="1190"/>
      <c r="AO133" s="1190"/>
      <c r="AP133" s="1190"/>
      <c r="AQ133" s="1190"/>
      <c r="AR133" s="1190"/>
      <c r="AS133" s="1190"/>
      <c r="AT133" s="1190"/>
      <c r="AU133" s="1190"/>
      <c r="AV133" s="1190"/>
      <c r="AW133" s="1190"/>
      <c r="AX133" s="1190"/>
      <c r="AY133" s="1190"/>
      <c r="AZ133" s="1190"/>
      <c r="BA133" s="1190"/>
      <c r="BB133" s="1190"/>
      <c r="BC133" s="1190"/>
      <c r="BD133" s="1190"/>
      <c r="BE133" s="1190"/>
      <c r="BF133" s="1190"/>
      <c r="BG133" s="1190"/>
      <c r="BH133" s="1190"/>
      <c r="BI133" s="1190"/>
      <c r="BJ133" s="1190"/>
      <c r="BK133" s="1190"/>
      <c r="BL133" s="1190"/>
      <c r="BM133" s="1190"/>
      <c r="BN133" s="1190"/>
      <c r="BO133" s="1190"/>
      <c r="BP133" s="1190"/>
      <c r="BQ133" s="1190"/>
      <c r="BR133" s="1190"/>
      <c r="BS133" s="1190"/>
      <c r="BT133" s="1190"/>
      <c r="BU133" s="1190"/>
      <c r="BV133" s="1190"/>
      <c r="BW133" s="1190"/>
      <c r="BX133" s="1190"/>
      <c r="BY133" s="1190"/>
      <c r="BZ133" s="1190"/>
    </row>
    <row r="134" spans="1:78">
      <c r="A134" s="2941" t="s">
        <v>640</v>
      </c>
      <c r="B134" s="2980" t="s">
        <v>33</v>
      </c>
      <c r="C134" s="2931">
        <v>14</v>
      </c>
      <c r="D134" s="2931"/>
      <c r="E134" s="2931">
        <f t="shared" si="12"/>
        <v>2.3719999999999573</v>
      </c>
      <c r="F134" s="2981"/>
      <c r="G134" s="2954">
        <f t="shared" si="13"/>
        <v>2.3719999999999573</v>
      </c>
      <c r="H134" s="3342">
        <f t="shared" si="16"/>
        <v>1</v>
      </c>
      <c r="I134" s="2947" t="s">
        <v>1062</v>
      </c>
      <c r="J134" s="3346">
        <v>24</v>
      </c>
      <c r="K134" s="855">
        <f t="shared" si="14"/>
        <v>596.80799999999999</v>
      </c>
      <c r="L134" s="2976">
        <f t="shared" si="17"/>
        <v>0</v>
      </c>
      <c r="M134" s="1190">
        <v>596.80799999999999</v>
      </c>
      <c r="N134" s="2673">
        <v>24</v>
      </c>
      <c r="O134" s="2955">
        <f t="shared" si="15"/>
        <v>0</v>
      </c>
      <c r="P134" s="1190"/>
      <c r="Q134" s="1190"/>
      <c r="R134" s="1190"/>
      <c r="S134" s="1190"/>
      <c r="T134" s="1190"/>
      <c r="U134" s="1190"/>
      <c r="V134" s="1190"/>
      <c r="W134" s="1190"/>
      <c r="X134" s="1190"/>
      <c r="Y134" s="1190"/>
      <c r="Z134" s="1190"/>
      <c r="AA134" s="1190"/>
      <c r="AB134" s="1190"/>
      <c r="AC134" s="1190"/>
      <c r="AD134" s="1190"/>
      <c r="AE134" s="1190"/>
      <c r="AF134" s="1190"/>
      <c r="AG134" s="1190"/>
      <c r="AH134" s="1190"/>
      <c r="AI134" s="1190"/>
      <c r="AJ134" s="1190"/>
      <c r="AK134" s="1190"/>
      <c r="AL134" s="1190"/>
      <c r="AM134" s="1190"/>
      <c r="AN134" s="1190"/>
      <c r="AO134" s="1190"/>
      <c r="AP134" s="1190"/>
      <c r="AQ134" s="1190"/>
      <c r="AR134" s="1190"/>
      <c r="AS134" s="1190"/>
      <c r="AT134" s="1190"/>
      <c r="AU134" s="1190"/>
      <c r="AV134" s="1190"/>
      <c r="AW134" s="1190"/>
      <c r="AX134" s="1190"/>
      <c r="AY134" s="1190"/>
      <c r="AZ134" s="1190"/>
      <c r="BA134" s="1190"/>
      <c r="BB134" s="1190"/>
      <c r="BC134" s="1190"/>
      <c r="BD134" s="1190"/>
      <c r="BE134" s="1190"/>
      <c r="BF134" s="1190"/>
      <c r="BG134" s="1190"/>
      <c r="BH134" s="1190"/>
      <c r="BI134" s="1190"/>
      <c r="BJ134" s="1190"/>
      <c r="BK134" s="1190"/>
      <c r="BL134" s="1190"/>
      <c r="BM134" s="1190"/>
      <c r="BN134" s="1190"/>
      <c r="BO134" s="1190"/>
      <c r="BP134" s="1190"/>
      <c r="BQ134" s="1190"/>
      <c r="BR134" s="1190"/>
      <c r="BS134" s="1190"/>
      <c r="BT134" s="1190"/>
      <c r="BU134" s="1190"/>
      <c r="BV134" s="1190"/>
      <c r="BW134" s="1190"/>
      <c r="BX134" s="1190"/>
      <c r="BY134" s="1190"/>
      <c r="BZ134" s="1190"/>
    </row>
    <row r="135" spans="1:78" ht="20.399999999999999">
      <c r="A135" s="2941" t="s">
        <v>641</v>
      </c>
      <c r="B135" s="2980" t="s">
        <v>33</v>
      </c>
      <c r="C135" s="2931">
        <v>0</v>
      </c>
      <c r="D135" s="2931"/>
      <c r="E135" s="2931">
        <f t="shared" si="12"/>
        <v>-0.367999999999995</v>
      </c>
      <c r="F135" s="2981"/>
      <c r="G135" s="2954">
        <f t="shared" si="13"/>
        <v>-0.367999999999995</v>
      </c>
      <c r="H135" s="2743">
        <f t="shared" si="16"/>
        <v>1</v>
      </c>
      <c r="I135" s="3662" t="s">
        <v>1560</v>
      </c>
      <c r="J135" s="2463">
        <v>25</v>
      </c>
      <c r="K135" s="855">
        <f t="shared" si="14"/>
        <v>178.36799999999999</v>
      </c>
      <c r="L135" s="2976">
        <f t="shared" si="17"/>
        <v>0</v>
      </c>
      <c r="M135" s="2266">
        <v>178.36799999999999</v>
      </c>
      <c r="N135" s="2668">
        <v>25</v>
      </c>
      <c r="O135" s="2414">
        <f t="shared" si="15"/>
        <v>0</v>
      </c>
    </row>
    <row r="136" spans="1:78">
      <c r="A136" s="2941" t="s">
        <v>642</v>
      </c>
      <c r="B136" s="2980" t="s">
        <v>33</v>
      </c>
      <c r="C136" s="2931">
        <v>111</v>
      </c>
      <c r="D136" s="2931"/>
      <c r="E136" s="2931">
        <f t="shared" si="12"/>
        <v>380.44999999999982</v>
      </c>
      <c r="F136" s="2981">
        <f>96.42+21.8+132.22</f>
        <v>250.44</v>
      </c>
      <c r="G136" s="2954">
        <f>+E136-F136</f>
        <v>130.00999999999982</v>
      </c>
      <c r="H136" s="2743">
        <f t="shared" si="16"/>
        <v>0.34172690235247705</v>
      </c>
      <c r="I136" s="2988"/>
      <c r="J136" s="2463">
        <v>26</v>
      </c>
      <c r="K136" s="855">
        <f t="shared" si="14"/>
        <v>1958.5500000000002</v>
      </c>
      <c r="L136" s="2976">
        <f t="shared" si="17"/>
        <v>250.4399999999996</v>
      </c>
      <c r="M136" s="2266">
        <v>2208.9899999999998</v>
      </c>
      <c r="N136" s="2668">
        <v>26</v>
      </c>
      <c r="O136" s="2414">
        <f t="shared" si="15"/>
        <v>-3.979039320256561E-13</v>
      </c>
    </row>
    <row r="137" spans="1:78">
      <c r="A137" s="2941" t="s">
        <v>643</v>
      </c>
      <c r="B137" s="2980" t="s">
        <v>33</v>
      </c>
      <c r="C137" s="2931">
        <v>39</v>
      </c>
      <c r="D137" s="2931"/>
      <c r="E137" s="2931">
        <f t="shared" si="12"/>
        <v>179.0799999999997</v>
      </c>
      <c r="F137" s="2981">
        <f>33.15+4.81+23.12</f>
        <v>61.08</v>
      </c>
      <c r="G137" s="2954">
        <f t="shared" si="13"/>
        <v>117.9999999999997</v>
      </c>
      <c r="H137" s="2743">
        <f t="shared" si="16"/>
        <v>0.6589233861961129</v>
      </c>
      <c r="I137" s="2986"/>
      <c r="J137" s="2463">
        <v>27</v>
      </c>
      <c r="K137" s="855">
        <f t="shared" si="14"/>
        <v>1457.9200000000003</v>
      </c>
      <c r="L137" s="2976">
        <f t="shared" si="17"/>
        <v>61.084999999999809</v>
      </c>
      <c r="M137" s="2266">
        <v>1519.0050000000001</v>
      </c>
      <c r="N137" s="2668">
        <v>27</v>
      </c>
      <c r="O137" s="2414">
        <f t="shared" si="15"/>
        <v>4.9999999998107114E-3</v>
      </c>
    </row>
    <row r="138" spans="1:78">
      <c r="A138" s="3677" t="s">
        <v>644</v>
      </c>
      <c r="B138" s="2980" t="s">
        <v>33</v>
      </c>
      <c r="C138" s="2931">
        <v>26.48</v>
      </c>
      <c r="D138" s="2931"/>
      <c r="E138" s="2931">
        <f t="shared" si="12"/>
        <v>199.04000000000016</v>
      </c>
      <c r="F138" s="2981">
        <f>19.13+18.98+60.87-19.13+52.68+19.28+21.32+25.91</f>
        <v>199.04</v>
      </c>
      <c r="G138" s="2954">
        <f t="shared" si="13"/>
        <v>0</v>
      </c>
      <c r="H138" s="2743">
        <f t="shared" si="16"/>
        <v>0</v>
      </c>
      <c r="I138" s="2987"/>
      <c r="J138" s="2463">
        <v>28</v>
      </c>
      <c r="K138" s="855">
        <f t="shared" si="14"/>
        <v>1930.4399999999998</v>
      </c>
      <c r="L138" s="2976">
        <f t="shared" si="17"/>
        <v>199.04200000000014</v>
      </c>
      <c r="M138" s="2266">
        <v>2129.482</v>
      </c>
      <c r="N138" s="2668">
        <v>28</v>
      </c>
      <c r="O138" s="2414">
        <f t="shared" si="15"/>
        <v>2.0000000001516582E-3</v>
      </c>
    </row>
    <row r="139" spans="1:78">
      <c r="A139" s="2941" t="s">
        <v>645</v>
      </c>
      <c r="B139" s="2980" t="s">
        <v>33</v>
      </c>
      <c r="C139" s="2931">
        <v>174</v>
      </c>
      <c r="D139" s="2931"/>
      <c r="E139" s="2931">
        <f t="shared" si="12"/>
        <v>399.61400000000003</v>
      </c>
      <c r="F139" s="2981">
        <f>61.66+55.54+66.33+65.55+23.63+37.63+41</f>
        <v>351.34</v>
      </c>
      <c r="G139" s="2954">
        <f t="shared" si="13"/>
        <v>48.274000000000058</v>
      </c>
      <c r="H139" s="2743">
        <f t="shared" si="16"/>
        <v>0.12080157351844543</v>
      </c>
      <c r="I139" s="2985"/>
      <c r="J139" s="2463">
        <v>29</v>
      </c>
      <c r="K139" s="855">
        <f t="shared" si="14"/>
        <v>1779.386</v>
      </c>
      <c r="L139" s="2976">
        <f t="shared" si="17"/>
        <v>351.34000000000015</v>
      </c>
      <c r="M139" s="2266">
        <v>2130.7260000000001</v>
      </c>
      <c r="N139" s="2668">
        <v>29</v>
      </c>
      <c r="O139" s="2414">
        <f t="shared" si="15"/>
        <v>0</v>
      </c>
    </row>
    <row r="140" spans="1:78" s="1190" customFormat="1">
      <c r="A140" s="2941" t="s">
        <v>646</v>
      </c>
      <c r="B140" s="2980" t="s">
        <v>33</v>
      </c>
      <c r="C140" s="2973">
        <v>0</v>
      </c>
      <c r="D140" s="2931"/>
      <c r="E140" s="2898">
        <f t="shared" si="12"/>
        <v>0</v>
      </c>
      <c r="F140" s="2981"/>
      <c r="G140" s="2954">
        <f t="shared" si="13"/>
        <v>0</v>
      </c>
      <c r="H140" s="2743" t="e">
        <f t="shared" si="16"/>
        <v>#DIV/0!</v>
      </c>
      <c r="I140" s="2984"/>
      <c r="J140" s="2463">
        <v>30</v>
      </c>
      <c r="K140" s="855">
        <f t="shared" si="14"/>
        <v>0</v>
      </c>
      <c r="L140" s="2976">
        <f t="shared" si="17"/>
        <v>0</v>
      </c>
      <c r="M140" s="1190">
        <v>0</v>
      </c>
      <c r="N140" s="2673">
        <v>30</v>
      </c>
      <c r="O140" s="2414">
        <f t="shared" si="15"/>
        <v>0</v>
      </c>
    </row>
    <row r="141" spans="1:78" ht="20.399999999999999">
      <c r="A141" s="3678" t="s">
        <v>647</v>
      </c>
      <c r="B141" s="2897" t="s">
        <v>33</v>
      </c>
      <c r="C141" s="2973">
        <v>281</v>
      </c>
      <c r="D141" s="2973"/>
      <c r="E141" s="2898">
        <f>+C141+G74+D141</f>
        <v>613.59400000000051</v>
      </c>
      <c r="F141" s="2974">
        <f>72.34+134.41+185.34+201.42</f>
        <v>593.51</v>
      </c>
      <c r="G141" s="2946">
        <f t="shared" si="13"/>
        <v>20.084000000000515</v>
      </c>
      <c r="H141" s="2743">
        <f t="shared" si="16"/>
        <v>3.2731741183910694E-2</v>
      </c>
      <c r="I141" s="2989"/>
      <c r="J141" s="2463">
        <v>31</v>
      </c>
      <c r="K141" s="855">
        <f t="shared" si="14"/>
        <v>2830.4059999999995</v>
      </c>
      <c r="L141" s="2976">
        <f t="shared" si="17"/>
        <v>593.51400000000058</v>
      </c>
      <c r="M141" s="2266">
        <v>3423.92</v>
      </c>
      <c r="N141" s="2668">
        <v>31</v>
      </c>
      <c r="O141" s="2414">
        <f t="shared" si="15"/>
        <v>4.0000000005875336E-3</v>
      </c>
    </row>
    <row r="142" spans="1:78" ht="20.399999999999999">
      <c r="A142" s="2941" t="s">
        <v>648</v>
      </c>
      <c r="B142" s="2897" t="s">
        <v>33</v>
      </c>
      <c r="C142" s="2973">
        <v>105.586</v>
      </c>
      <c r="D142" s="2973"/>
      <c r="E142" s="2898">
        <f t="shared" si="12"/>
        <v>909.21599999999967</v>
      </c>
      <c r="F142" s="2974">
        <f>78.67+53.64+4.15+71.89+84.57</f>
        <v>292.92</v>
      </c>
      <c r="G142" s="2946">
        <f t="shared" si="13"/>
        <v>616.29599999999959</v>
      </c>
      <c r="H142" s="2743">
        <f t="shared" si="16"/>
        <v>0.67783233027135448</v>
      </c>
      <c r="I142" s="2975"/>
      <c r="J142" s="2463">
        <v>32</v>
      </c>
      <c r="K142" s="855">
        <f t="shared" si="14"/>
        <v>4043.3700000000003</v>
      </c>
      <c r="L142" s="2976">
        <f t="shared" si="17"/>
        <v>292.91899999999941</v>
      </c>
      <c r="M142" s="2266">
        <v>4336.2889999999998</v>
      </c>
      <c r="N142" s="2668">
        <v>32</v>
      </c>
      <c r="O142" s="2414">
        <f t="shared" si="15"/>
        <v>-1.0000000006016307E-3</v>
      </c>
    </row>
    <row r="143" spans="1:78">
      <c r="A143" s="2941" t="s">
        <v>649</v>
      </c>
      <c r="B143" s="2897" t="s">
        <v>33</v>
      </c>
      <c r="C143" s="2973">
        <v>17</v>
      </c>
      <c r="D143" s="2973"/>
      <c r="E143" s="2898">
        <f t="shared" ref="E143:E174" si="18">+C143+G76+D143</f>
        <v>56.717000000000013</v>
      </c>
      <c r="F143" s="2974">
        <f>27.33+20.3</f>
        <v>47.629999999999995</v>
      </c>
      <c r="G143" s="2946">
        <f t="shared" si="13"/>
        <v>9.0870000000000175</v>
      </c>
      <c r="H143" s="2743">
        <f t="shared" si="16"/>
        <v>0.16021651356736102</v>
      </c>
      <c r="I143" s="2975"/>
      <c r="J143" s="2463">
        <v>33</v>
      </c>
      <c r="K143" s="855">
        <f t="shared" ref="K143:K173" si="19">+F76</f>
        <v>143.28299999999999</v>
      </c>
      <c r="L143" s="2976">
        <f t="shared" si="17"/>
        <v>47.626000000000005</v>
      </c>
      <c r="M143" s="2266">
        <v>190.90899999999999</v>
      </c>
      <c r="N143" s="2668">
        <v>33</v>
      </c>
      <c r="O143" s="2414">
        <f t="shared" si="15"/>
        <v>-3.9999999999906777E-3</v>
      </c>
    </row>
    <row r="144" spans="1:78">
      <c r="A144" s="2941" t="s">
        <v>650</v>
      </c>
      <c r="B144" s="2980" t="s">
        <v>33</v>
      </c>
      <c r="C144" s="2931">
        <v>0</v>
      </c>
      <c r="D144" s="2931"/>
      <c r="E144" s="2931">
        <f t="shared" si="18"/>
        <v>0.11100000000001842</v>
      </c>
      <c r="F144" s="2981"/>
      <c r="G144" s="2954">
        <f t="shared" si="13"/>
        <v>0.11100000000001842</v>
      </c>
      <c r="H144" s="2743">
        <f t="shared" si="16"/>
        <v>1</v>
      </c>
      <c r="I144" s="2987"/>
      <c r="J144" s="2463">
        <v>34</v>
      </c>
      <c r="K144" s="855">
        <f t="shared" si="19"/>
        <v>196.88899999999998</v>
      </c>
      <c r="L144" s="2976">
        <f t="shared" si="17"/>
        <v>0</v>
      </c>
      <c r="M144" s="2266">
        <v>196.88900000000001</v>
      </c>
      <c r="N144" s="2668">
        <v>34</v>
      </c>
      <c r="O144" s="2414">
        <f t="shared" si="15"/>
        <v>0</v>
      </c>
    </row>
    <row r="145" spans="1:15" ht="20.399999999999999">
      <c r="A145" s="2941" t="s">
        <v>651</v>
      </c>
      <c r="B145" s="2980" t="s">
        <v>33</v>
      </c>
      <c r="C145" s="2931">
        <v>276</v>
      </c>
      <c r="D145" s="2931"/>
      <c r="E145" s="2931">
        <f t="shared" si="18"/>
        <v>850.35800000000017</v>
      </c>
      <c r="F145" s="2981">
        <f>136.12+74.76+138.59+231.24</f>
        <v>580.71</v>
      </c>
      <c r="G145" s="2954">
        <f t="shared" si="13"/>
        <v>269.64800000000014</v>
      </c>
      <c r="H145" s="2743">
        <f t="shared" si="16"/>
        <v>0.31709938637609109</v>
      </c>
      <c r="I145" s="2986"/>
      <c r="J145" s="2463">
        <v>35</v>
      </c>
      <c r="K145" s="855">
        <f t="shared" si="19"/>
        <v>5200.6419999999998</v>
      </c>
      <c r="L145" s="2976">
        <f t="shared" si="17"/>
        <v>580.71200000000044</v>
      </c>
      <c r="M145" s="2266">
        <v>5781.3540000000003</v>
      </c>
      <c r="N145" s="2668">
        <v>35</v>
      </c>
      <c r="O145" s="2414">
        <f t="shared" si="15"/>
        <v>2.0000000004074536E-3</v>
      </c>
    </row>
    <row r="146" spans="1:15">
      <c r="A146" s="2941" t="s">
        <v>652</v>
      </c>
      <c r="B146" s="2980" t="s">
        <v>33</v>
      </c>
      <c r="C146" s="2931">
        <v>109</v>
      </c>
      <c r="D146" s="2931"/>
      <c r="E146" s="2931">
        <f t="shared" si="18"/>
        <v>189.20000000000005</v>
      </c>
      <c r="F146" s="2981">
        <v>0.09</v>
      </c>
      <c r="G146" s="2954">
        <f t="shared" si="13"/>
        <v>189.11000000000004</v>
      </c>
      <c r="H146" s="2743">
        <f t="shared" si="16"/>
        <v>0.99952431289640586</v>
      </c>
      <c r="I146" s="2947">
        <v>41768</v>
      </c>
      <c r="J146" s="2463">
        <v>36</v>
      </c>
      <c r="K146" s="855">
        <f t="shared" si="19"/>
        <v>1087.8</v>
      </c>
      <c r="L146" s="2976">
        <f t="shared" si="17"/>
        <v>9.0000000000145519E-2</v>
      </c>
      <c r="M146" s="2266">
        <v>1087.8900000000001</v>
      </c>
      <c r="N146" s="2668">
        <v>36</v>
      </c>
      <c r="O146" s="2414">
        <f t="shared" si="15"/>
        <v>1.4552248295274239E-13</v>
      </c>
    </row>
    <row r="147" spans="1:15">
      <c r="A147" s="2941" t="s">
        <v>653</v>
      </c>
      <c r="B147" s="2980" t="s">
        <v>33</v>
      </c>
      <c r="C147" s="2931">
        <v>728</v>
      </c>
      <c r="D147" s="2931"/>
      <c r="E147" s="2931">
        <f t="shared" si="18"/>
        <v>2259.8820000000014</v>
      </c>
      <c r="F147" s="2981">
        <f>422.4+429.54+496.86+344.73</f>
        <v>1693.5300000000002</v>
      </c>
      <c r="G147" s="2954">
        <f t="shared" si="13"/>
        <v>566.35200000000123</v>
      </c>
      <c r="H147" s="2743">
        <f t="shared" si="16"/>
        <v>0.25061131510406331</v>
      </c>
      <c r="I147" s="2984"/>
      <c r="J147" s="2463">
        <v>37</v>
      </c>
      <c r="K147" s="855">
        <f t="shared" si="19"/>
        <v>7801.1179999999986</v>
      </c>
      <c r="L147" s="2976">
        <f t="shared" si="17"/>
        <v>1693.5290000000023</v>
      </c>
      <c r="M147" s="2266">
        <v>9494.6470000000008</v>
      </c>
      <c r="N147" s="2668">
        <v>37</v>
      </c>
      <c r="O147" s="2414">
        <f t="shared" si="15"/>
        <v>-9.9999999792999006E-4</v>
      </c>
    </row>
    <row r="148" spans="1:15">
      <c r="A148" s="2941" t="s">
        <v>654</v>
      </c>
      <c r="B148" s="2980" t="s">
        <v>33</v>
      </c>
      <c r="C148" s="2931">
        <v>122</v>
      </c>
      <c r="D148" s="2931"/>
      <c r="E148" s="2931">
        <f t="shared" si="18"/>
        <v>163.74600000000032</v>
      </c>
      <c r="F148" s="2981">
        <f>70.19+76.88+24.19</f>
        <v>171.26</v>
      </c>
      <c r="G148" s="2954">
        <f t="shared" si="13"/>
        <v>-7.5139999999996689</v>
      </c>
      <c r="H148" s="2743">
        <f t="shared" si="16"/>
        <v>-4.5888143832518991E-2</v>
      </c>
      <c r="I148" s="2984"/>
      <c r="J148" s="2463">
        <v>38</v>
      </c>
      <c r="K148" s="855">
        <f t="shared" si="19"/>
        <v>1983.2539999999997</v>
      </c>
      <c r="L148" s="2976">
        <f t="shared" si="17"/>
        <v>171.25900000000024</v>
      </c>
      <c r="M148" s="2266">
        <v>2154.5129999999999</v>
      </c>
      <c r="N148" s="2668">
        <v>38</v>
      </c>
      <c r="O148" s="2414">
        <f t="shared" si="15"/>
        <v>-9.9999999974897946E-4</v>
      </c>
    </row>
    <row r="149" spans="1:15">
      <c r="A149" s="2941" t="s">
        <v>655</v>
      </c>
      <c r="B149" s="2980" t="s">
        <v>33</v>
      </c>
      <c r="C149" s="2931">
        <v>291</v>
      </c>
      <c r="D149" s="2931"/>
      <c r="E149" s="2931">
        <f t="shared" si="18"/>
        <v>679.91100000000097</v>
      </c>
      <c r="F149" s="2981">
        <f>73.79+75.28+75.5+2.87</f>
        <v>227.44</v>
      </c>
      <c r="G149" s="2954">
        <f t="shared" si="13"/>
        <v>452.47100000000097</v>
      </c>
      <c r="H149" s="2743">
        <f t="shared" si="16"/>
        <v>0.66548562973683367</v>
      </c>
      <c r="I149" s="2988"/>
      <c r="J149" s="2463">
        <v>39</v>
      </c>
      <c r="K149" s="855">
        <f t="shared" si="19"/>
        <v>4628.088999999999</v>
      </c>
      <c r="L149" s="2976">
        <f t="shared" si="17"/>
        <v>227.44000000000142</v>
      </c>
      <c r="M149" s="2266">
        <v>4855.5290000000005</v>
      </c>
      <c r="N149" s="2668">
        <v>39</v>
      </c>
      <c r="O149" s="2414">
        <f t="shared" si="15"/>
        <v>1.4210854715202004E-12</v>
      </c>
    </row>
    <row r="150" spans="1:15">
      <c r="A150" s="2941" t="s">
        <v>656</v>
      </c>
      <c r="B150" s="2980" t="s">
        <v>33</v>
      </c>
      <c r="C150" s="2931">
        <v>0</v>
      </c>
      <c r="D150" s="2931"/>
      <c r="E150" s="2931">
        <f t="shared" si="18"/>
        <v>0</v>
      </c>
      <c r="F150" s="2981"/>
      <c r="G150" s="2954">
        <f t="shared" si="13"/>
        <v>0</v>
      </c>
      <c r="H150" s="2743" t="e">
        <f t="shared" si="16"/>
        <v>#DIV/0!</v>
      </c>
      <c r="I150" s="2987"/>
      <c r="J150" s="2463">
        <v>40</v>
      </c>
      <c r="K150" s="855">
        <f t="shared" si="19"/>
        <v>0</v>
      </c>
      <c r="L150" s="2976">
        <f t="shared" si="17"/>
        <v>0</v>
      </c>
      <c r="M150" s="2266">
        <v>0</v>
      </c>
      <c r="N150" s="2668">
        <v>40</v>
      </c>
      <c r="O150" s="2414">
        <f t="shared" si="15"/>
        <v>0</v>
      </c>
    </row>
    <row r="151" spans="1:15" ht="20.399999999999999">
      <c r="A151" s="2941" t="s">
        <v>657</v>
      </c>
      <c r="B151" s="2980" t="s">
        <v>33</v>
      </c>
      <c r="C151" s="2931">
        <v>79</v>
      </c>
      <c r="D151" s="2931"/>
      <c r="E151" s="2931">
        <f t="shared" si="18"/>
        <v>-9.2999999999960892E-2</v>
      </c>
      <c r="F151" s="2981"/>
      <c r="G151" s="2954">
        <f t="shared" si="13"/>
        <v>-9.2999999999960892E-2</v>
      </c>
      <c r="H151" s="2743">
        <f t="shared" si="16"/>
        <v>1</v>
      </c>
      <c r="I151" s="2947">
        <v>41768</v>
      </c>
      <c r="J151" s="2463">
        <v>41</v>
      </c>
      <c r="K151" s="855">
        <f t="shared" si="19"/>
        <v>738.09299999999996</v>
      </c>
      <c r="L151" s="2976">
        <f t="shared" si="17"/>
        <v>0</v>
      </c>
      <c r="M151" s="2266">
        <v>738.09299999999996</v>
      </c>
      <c r="N151" s="2668">
        <v>41</v>
      </c>
      <c r="O151" s="2414">
        <f t="shared" si="15"/>
        <v>0</v>
      </c>
    </row>
    <row r="152" spans="1:15" ht="20.399999999999999">
      <c r="A152" s="2941" t="s">
        <v>1041</v>
      </c>
      <c r="B152" s="2980" t="s">
        <v>33</v>
      </c>
      <c r="C152" s="2931">
        <v>419</v>
      </c>
      <c r="D152" s="2931"/>
      <c r="E152" s="2931">
        <f t="shared" si="18"/>
        <v>1403.8169999999973</v>
      </c>
      <c r="F152" s="2981">
        <f>68.13+302.8+72.41+76.94+82.41-53.28-116.2+24.54+43.18-6+42.58+12.7+7+126.49+8.96-34.14+74.73+51.69-68.27-14.92</f>
        <v>701.75000000000011</v>
      </c>
      <c r="G152" s="2954">
        <f t="shared" si="13"/>
        <v>702.06699999999717</v>
      </c>
      <c r="H152" s="2743">
        <f t="shared" si="16"/>
        <v>0.50011290645433026</v>
      </c>
      <c r="I152" s="2990"/>
      <c r="J152" s="2463">
        <v>42</v>
      </c>
      <c r="K152" s="855">
        <f t="shared" si="19"/>
        <v>8331.1830000000027</v>
      </c>
      <c r="L152" s="2976">
        <f t="shared" si="17"/>
        <v>701.74899999999798</v>
      </c>
      <c r="M152" s="2266">
        <v>9032.9320000000007</v>
      </c>
      <c r="N152" s="2668">
        <v>42</v>
      </c>
      <c r="O152" s="2414">
        <f t="shared" si="15"/>
        <v>-1.0000000021364031E-3</v>
      </c>
    </row>
    <row r="153" spans="1:15">
      <c r="A153" s="2941" t="s">
        <v>659</v>
      </c>
      <c r="B153" s="2980" t="s">
        <v>33</v>
      </c>
      <c r="C153" s="2931">
        <v>344</v>
      </c>
      <c r="D153" s="2931"/>
      <c r="E153" s="2931">
        <f t="shared" si="18"/>
        <v>903.1110000000017</v>
      </c>
      <c r="F153" s="2981">
        <f>65.84+128.55+123.79-128.55+10.59+99.5-10.59+74.48-55.97</f>
        <v>307.6400000000001</v>
      </c>
      <c r="G153" s="2954">
        <f t="shared" si="13"/>
        <v>595.4710000000016</v>
      </c>
      <c r="H153" s="2743">
        <f t="shared" si="16"/>
        <v>0.65935527305060004</v>
      </c>
      <c r="I153" s="2986"/>
      <c r="J153" s="2463">
        <v>43</v>
      </c>
      <c r="K153" s="855">
        <f t="shared" si="19"/>
        <v>5922.8889999999983</v>
      </c>
      <c r="L153" s="2976">
        <f t="shared" si="17"/>
        <v>307.64200000000164</v>
      </c>
      <c r="M153" s="2266">
        <v>6230.5309999999999</v>
      </c>
      <c r="N153" s="2668">
        <v>43</v>
      </c>
      <c r="O153" s="2414">
        <f t="shared" si="15"/>
        <v>2.000000001544322E-3</v>
      </c>
    </row>
    <row r="154" spans="1:15">
      <c r="A154" s="2941" t="s">
        <v>660</v>
      </c>
      <c r="B154" s="2980" t="s">
        <v>33</v>
      </c>
      <c r="C154" s="2931">
        <v>22</v>
      </c>
      <c r="D154" s="2956"/>
      <c r="E154" s="2931">
        <f t="shared" si="18"/>
        <v>21.713999999999999</v>
      </c>
      <c r="F154" s="2981"/>
      <c r="G154" s="2954">
        <f t="shared" si="13"/>
        <v>21.713999999999999</v>
      </c>
      <c r="H154" s="2743">
        <f t="shared" si="16"/>
        <v>1</v>
      </c>
      <c r="I154" s="2778" t="s">
        <v>1560</v>
      </c>
      <c r="J154" s="2463">
        <v>44</v>
      </c>
      <c r="K154" s="855">
        <f t="shared" si="19"/>
        <v>308.286</v>
      </c>
      <c r="L154" s="2976">
        <f t="shared" si="17"/>
        <v>0</v>
      </c>
      <c r="M154" s="2266">
        <v>308.286</v>
      </c>
      <c r="N154" s="2668">
        <v>44</v>
      </c>
      <c r="O154" s="2414">
        <f t="shared" si="15"/>
        <v>0</v>
      </c>
    </row>
    <row r="155" spans="1:15">
      <c r="A155" s="2941" t="s">
        <v>661</v>
      </c>
      <c r="B155" s="2980" t="s">
        <v>33</v>
      </c>
      <c r="C155" s="2931">
        <v>905</v>
      </c>
      <c r="D155" s="2931"/>
      <c r="E155" s="2931">
        <f t="shared" si="18"/>
        <v>3374.5359999999982</v>
      </c>
      <c r="F155" s="2981">
        <f>77.79+190.55+203.06+304.46+246.9+16.74+72.67</f>
        <v>1112.17</v>
      </c>
      <c r="G155" s="2954">
        <f t="shared" si="13"/>
        <v>2262.3659999999982</v>
      </c>
      <c r="H155" s="2743">
        <f t="shared" si="16"/>
        <v>0.67042283739157005</v>
      </c>
      <c r="I155" s="2987"/>
      <c r="J155" s="2463">
        <v>45</v>
      </c>
      <c r="K155" s="855">
        <f t="shared" si="19"/>
        <v>14719.464000000002</v>
      </c>
      <c r="L155" s="2976">
        <f t="shared" si="17"/>
        <v>1112.1719999999987</v>
      </c>
      <c r="M155" s="2266">
        <v>15831.636</v>
      </c>
      <c r="N155" s="2668">
        <v>45</v>
      </c>
      <c r="O155" s="2414">
        <f t="shared" si="15"/>
        <v>1.9999999985884642E-3</v>
      </c>
    </row>
    <row r="156" spans="1:15">
      <c r="A156" s="2941" t="s">
        <v>662</v>
      </c>
      <c r="B156" s="2980" t="s">
        <v>33</v>
      </c>
      <c r="C156" s="2931">
        <v>891</v>
      </c>
      <c r="D156" s="2931"/>
      <c r="E156" s="2931">
        <f t="shared" si="18"/>
        <v>2871.5629999999965</v>
      </c>
      <c r="F156" s="2981">
        <f>254.57+403.56+37.42+6.57+160.72-17+16.83+1026.19</f>
        <v>1888.8600000000001</v>
      </c>
      <c r="G156" s="2954">
        <f t="shared" si="13"/>
        <v>982.70299999999634</v>
      </c>
      <c r="H156" s="2743">
        <f t="shared" si="16"/>
        <v>0.3422188543312466</v>
      </c>
      <c r="I156" s="2991" t="s">
        <v>1066</v>
      </c>
      <c r="J156" s="2463">
        <v>46</v>
      </c>
      <c r="K156" s="855">
        <f t="shared" si="19"/>
        <v>10153.437000000004</v>
      </c>
      <c r="L156" s="2976">
        <f t="shared" si="17"/>
        <v>1888.8599999999969</v>
      </c>
      <c r="M156" s="2266">
        <v>12042.297</v>
      </c>
      <c r="N156" s="2668">
        <v>46</v>
      </c>
      <c r="O156" s="2414">
        <f t="shared" si="15"/>
        <v>-3.1832314562052488E-12</v>
      </c>
    </row>
    <row r="157" spans="1:15" ht="20.399999999999999">
      <c r="A157" s="2941" t="s">
        <v>663</v>
      </c>
      <c r="B157" s="2980" t="s">
        <v>33</v>
      </c>
      <c r="C157" s="2931">
        <v>1</v>
      </c>
      <c r="D157" s="3173"/>
      <c r="E157" s="2931">
        <f t="shared" si="18"/>
        <v>131.94399999999973</v>
      </c>
      <c r="F157" s="2981"/>
      <c r="G157" s="2954">
        <f t="shared" si="13"/>
        <v>131.94399999999973</v>
      </c>
      <c r="H157" s="2743">
        <f t="shared" si="16"/>
        <v>1</v>
      </c>
      <c r="I157" s="2778" t="s">
        <v>1560</v>
      </c>
      <c r="J157" s="2463">
        <v>47</v>
      </c>
      <c r="K157" s="3170">
        <f t="shared" si="19"/>
        <v>1919.0560000000003</v>
      </c>
      <c r="L157" s="2976">
        <f t="shared" si="17"/>
        <v>0</v>
      </c>
      <c r="M157" s="2266">
        <v>1919.056</v>
      </c>
      <c r="N157" s="2668">
        <v>47</v>
      </c>
      <c r="O157" s="2414">
        <f t="shared" si="15"/>
        <v>0</v>
      </c>
    </row>
    <row r="158" spans="1:15">
      <c r="A158" s="2941" t="s">
        <v>664</v>
      </c>
      <c r="B158" s="2980" t="s">
        <v>33</v>
      </c>
      <c r="C158" s="2931">
        <v>1</v>
      </c>
      <c r="D158" s="2931"/>
      <c r="E158" s="2931">
        <f t="shared" si="18"/>
        <v>474.9350000000004</v>
      </c>
      <c r="F158" s="2981">
        <f>49.9+96.17+30.21+44.92-44.92+7.5</f>
        <v>183.77999999999997</v>
      </c>
      <c r="G158" s="2954">
        <f t="shared" si="13"/>
        <v>291.15500000000043</v>
      </c>
      <c r="H158" s="2743">
        <f t="shared" si="16"/>
        <v>0.61304178466527037</v>
      </c>
      <c r="I158" s="2984"/>
      <c r="J158" s="2463">
        <v>48</v>
      </c>
      <c r="K158" s="855">
        <f t="shared" si="19"/>
        <v>5462.0649999999996</v>
      </c>
      <c r="L158" s="2976">
        <f t="shared" si="17"/>
        <v>183.78400000000056</v>
      </c>
      <c r="M158" s="2266">
        <v>5645.8490000000002</v>
      </c>
      <c r="N158" s="2668">
        <v>48</v>
      </c>
      <c r="O158" s="2414">
        <f t="shared" si="15"/>
        <v>4.0000000005875336E-3</v>
      </c>
    </row>
    <row r="159" spans="1:15" ht="22.5" customHeight="1">
      <c r="A159" s="2941" t="s">
        <v>665</v>
      </c>
      <c r="B159" s="2980" t="s">
        <v>33</v>
      </c>
      <c r="C159" s="2931">
        <v>191</v>
      </c>
      <c r="D159" s="2931"/>
      <c r="E159" s="2931">
        <f t="shared" si="18"/>
        <v>543.23599999999942</v>
      </c>
      <c r="F159" s="2981">
        <f>193.23+39.12+133.38-22.47+64.2+17.43+133.68-52.38</f>
        <v>506.18999999999994</v>
      </c>
      <c r="G159" s="2954">
        <f t="shared" si="13"/>
        <v>37.045999999999481</v>
      </c>
      <c r="H159" s="2743">
        <f t="shared" si="16"/>
        <v>6.8195038620414553E-2</v>
      </c>
      <c r="I159" s="2987"/>
      <c r="J159" s="2463">
        <v>49</v>
      </c>
      <c r="K159" s="855">
        <f t="shared" si="19"/>
        <v>3080.7640000000006</v>
      </c>
      <c r="L159" s="2976">
        <f t="shared" si="17"/>
        <v>506.19499999999925</v>
      </c>
      <c r="M159" s="2266">
        <v>3586.9589999999998</v>
      </c>
      <c r="N159" s="2668">
        <v>49</v>
      </c>
      <c r="O159" s="2414">
        <f t="shared" si="15"/>
        <v>4.9999999993133315E-3</v>
      </c>
    </row>
    <row r="160" spans="1:15">
      <c r="A160" s="2941" t="s">
        <v>666</v>
      </c>
      <c r="B160" s="2980" t="s">
        <v>33</v>
      </c>
      <c r="C160" s="2931">
        <v>497</v>
      </c>
      <c r="D160" s="2931"/>
      <c r="E160" s="2931">
        <f t="shared" si="18"/>
        <v>1248.6769999999979</v>
      </c>
      <c r="F160" s="2981">
        <f>61.74+166.72+171.36+95.21+19.3+51.43+131.8+141.87+24.51+102.71+96.25+33.75+13.85</f>
        <v>1110.5</v>
      </c>
      <c r="G160" s="2954">
        <f t="shared" si="13"/>
        <v>138.17699999999786</v>
      </c>
      <c r="H160" s="2743">
        <f t="shared" si="16"/>
        <v>0.11065872119050651</v>
      </c>
      <c r="I160" s="2988"/>
      <c r="J160" s="2463">
        <v>50</v>
      </c>
      <c r="K160" s="855">
        <f t="shared" si="19"/>
        <v>8690.3230000000021</v>
      </c>
      <c r="L160" s="2976">
        <f t="shared" si="17"/>
        <v>1110.5039999999972</v>
      </c>
      <c r="M160" s="2266">
        <v>9800.8269999999993</v>
      </c>
      <c r="N160" s="2668">
        <v>50</v>
      </c>
      <c r="O160" s="2414">
        <f t="shared" si="15"/>
        <v>3.9999999971769284E-3</v>
      </c>
    </row>
    <row r="161" spans="1:16">
      <c r="A161" s="2941" t="s">
        <v>667</v>
      </c>
      <c r="B161" s="2980" t="s">
        <v>33</v>
      </c>
      <c r="C161" s="2931">
        <v>169</v>
      </c>
      <c r="D161" s="2931"/>
      <c r="E161" s="2931">
        <f t="shared" si="18"/>
        <v>469.36300000000074</v>
      </c>
      <c r="F161" s="2981">
        <f>130.14+32.08+138.84+11.89+40.62+39.74+7.86+15.18+39.8+10.82</f>
        <v>466.96999999999997</v>
      </c>
      <c r="G161" s="2954">
        <f t="shared" si="13"/>
        <v>2.3930000000007681</v>
      </c>
      <c r="H161" s="2743">
        <f t="shared" si="16"/>
        <v>5.0983993199309793E-3</v>
      </c>
      <c r="I161" s="2988"/>
      <c r="J161" s="2463">
        <v>51</v>
      </c>
      <c r="K161" s="855">
        <f t="shared" si="19"/>
        <v>3143.6369999999993</v>
      </c>
      <c r="L161" s="2976">
        <f t="shared" si="17"/>
        <v>466.96700000000055</v>
      </c>
      <c r="M161" s="2266">
        <v>3610.6039999999998</v>
      </c>
      <c r="N161" s="2668">
        <v>51</v>
      </c>
      <c r="O161" s="2414">
        <f t="shared" si="15"/>
        <v>-2.9999999994174686E-3</v>
      </c>
    </row>
    <row r="162" spans="1:16" ht="20.399999999999999">
      <c r="A162" s="2941" t="s">
        <v>668</v>
      </c>
      <c r="B162" s="2980" t="s">
        <v>33</v>
      </c>
      <c r="C162" s="2931">
        <v>169</v>
      </c>
      <c r="D162" s="2931"/>
      <c r="E162" s="2931">
        <f t="shared" si="18"/>
        <v>853.03099999999949</v>
      </c>
      <c r="F162" s="2981">
        <f>134.43+91.17+75.72+13.69+173.49+162.59+64.06</f>
        <v>715.15000000000009</v>
      </c>
      <c r="G162" s="2954">
        <f t="shared" si="13"/>
        <v>137.8809999999994</v>
      </c>
      <c r="H162" s="2743">
        <f t="shared" si="16"/>
        <v>0.16163656420458281</v>
      </c>
      <c r="I162" s="2988"/>
      <c r="J162" s="2463">
        <v>52</v>
      </c>
      <c r="K162" s="855">
        <f t="shared" si="19"/>
        <v>2517.9690000000005</v>
      </c>
      <c r="L162" s="2976">
        <f t="shared" si="17"/>
        <v>715.14699999999948</v>
      </c>
      <c r="M162" s="2266">
        <v>3233.116</v>
      </c>
      <c r="N162" s="2668">
        <v>52</v>
      </c>
      <c r="O162" s="2414">
        <f t="shared" si="15"/>
        <v>-3.0000000006111804E-3</v>
      </c>
    </row>
    <row r="163" spans="1:16" ht="20.399999999999999">
      <c r="A163" s="2941" t="s">
        <v>669</v>
      </c>
      <c r="B163" s="2980" t="s">
        <v>33</v>
      </c>
      <c r="C163" s="2931">
        <v>326</v>
      </c>
      <c r="D163" s="2931"/>
      <c r="E163" s="2931">
        <f t="shared" si="18"/>
        <v>1028.3200000000015</v>
      </c>
      <c r="F163" s="2981">
        <f>59.78+124.38+78.17+64.69+70.64</f>
        <v>397.65999999999997</v>
      </c>
      <c r="G163" s="2954">
        <f t="shared" si="13"/>
        <v>630.66000000000156</v>
      </c>
      <c r="H163" s="2743">
        <f t="shared" si="16"/>
        <v>0.61329158238680626</v>
      </c>
      <c r="J163" s="2463">
        <v>53</v>
      </c>
      <c r="K163" s="855">
        <f t="shared" si="19"/>
        <v>5543.6799999999985</v>
      </c>
      <c r="L163" s="2976">
        <f t="shared" si="17"/>
        <v>397.65500000000156</v>
      </c>
      <c r="M163" s="2266">
        <v>5941.335</v>
      </c>
      <c r="N163" s="2668">
        <v>53</v>
      </c>
      <c r="O163" s="2414">
        <f t="shared" si="15"/>
        <v>-4.9999999984038368E-3</v>
      </c>
    </row>
    <row r="164" spans="1:16" ht="20.399999999999999">
      <c r="A164" s="2941" t="s">
        <v>670</v>
      </c>
      <c r="B164" s="2980" t="s">
        <v>33</v>
      </c>
      <c r="C164" s="2931">
        <v>69</v>
      </c>
      <c r="D164" s="2931"/>
      <c r="E164" s="2931">
        <f t="shared" si="18"/>
        <v>486.34500000000003</v>
      </c>
      <c r="F164" s="2981">
        <f>54.73+63.09+0.01+91.65</f>
        <v>209.48000000000002</v>
      </c>
      <c r="G164" s="2954">
        <f t="shared" si="13"/>
        <v>276.86500000000001</v>
      </c>
      <c r="H164" s="2743">
        <f t="shared" si="16"/>
        <v>0.5692769536028951</v>
      </c>
      <c r="I164" s="2988"/>
      <c r="J164" s="2463">
        <v>54</v>
      </c>
      <c r="K164" s="855">
        <f t="shared" si="19"/>
        <v>1449.655</v>
      </c>
      <c r="L164" s="2976">
        <f t="shared" si="17"/>
        <v>209.48299999999995</v>
      </c>
      <c r="M164" s="2266">
        <v>1659.1379999999999</v>
      </c>
      <c r="N164" s="2668">
        <v>54</v>
      </c>
      <c r="O164" s="2414">
        <f t="shared" si="15"/>
        <v>2.9999999999290594E-3</v>
      </c>
    </row>
    <row r="165" spans="1:16" s="1690" customFormat="1" ht="20.399999999999999">
      <c r="A165" s="2941" t="s">
        <v>671</v>
      </c>
      <c r="B165" s="2980" t="s">
        <v>33</v>
      </c>
      <c r="C165" s="2931">
        <v>32</v>
      </c>
      <c r="D165" s="2931"/>
      <c r="E165" s="2931">
        <f t="shared" si="18"/>
        <v>51.989000000000033</v>
      </c>
      <c r="F165" s="2981">
        <f>10.57+11.14+9.48+20.93-11.79</f>
        <v>40.330000000000005</v>
      </c>
      <c r="G165" s="2954">
        <f t="shared" si="13"/>
        <v>11.659000000000027</v>
      </c>
      <c r="H165" s="2743">
        <f t="shared" si="16"/>
        <v>0.22425897786070167</v>
      </c>
      <c r="I165" s="2778" t="s">
        <v>1560</v>
      </c>
      <c r="J165" s="2463">
        <v>55</v>
      </c>
      <c r="K165" s="855">
        <f t="shared" si="19"/>
        <v>593.01099999999997</v>
      </c>
      <c r="L165" s="2976">
        <f t="shared" si="17"/>
        <v>40.329000000000065</v>
      </c>
      <c r="M165" s="1690">
        <v>633.34</v>
      </c>
      <c r="N165" s="3574">
        <v>55</v>
      </c>
      <c r="O165" s="2414">
        <f t="shared" si="15"/>
        <v>-9.99999999940826E-4</v>
      </c>
    </row>
    <row r="166" spans="1:16" ht="20.399999999999999">
      <c r="A166" s="2941" t="s">
        <v>672</v>
      </c>
      <c r="B166" s="2980" t="s">
        <v>33</v>
      </c>
      <c r="C166" s="2931">
        <v>853</v>
      </c>
      <c r="D166" s="2931"/>
      <c r="E166" s="2931">
        <f t="shared" si="18"/>
        <v>1482.6319999999996</v>
      </c>
      <c r="F166" s="2981">
        <f>26.72+436.16+182.28+121.72+131.02-116.23+25.76+7.58+93.06-33.82</f>
        <v>874.24999999999989</v>
      </c>
      <c r="G166" s="2954">
        <f>+E166-F166</f>
        <v>608.38199999999972</v>
      </c>
      <c r="H166" s="2743">
        <f t="shared" si="16"/>
        <v>0.41033918059235192</v>
      </c>
      <c r="I166" s="2988"/>
      <c r="J166" s="2463">
        <v>56</v>
      </c>
      <c r="K166" s="855">
        <f t="shared" si="19"/>
        <v>13313.368</v>
      </c>
      <c r="L166" s="2976">
        <f t="shared" si="17"/>
        <v>874.2489999999998</v>
      </c>
      <c r="M166" s="2266">
        <v>14187.617</v>
      </c>
      <c r="N166" s="2668">
        <v>56</v>
      </c>
      <c r="O166" s="2414">
        <f t="shared" si="15"/>
        <v>-1.00000000009004E-3</v>
      </c>
    </row>
    <row r="167" spans="1:16" ht="20.399999999999999">
      <c r="A167" s="2941" t="s">
        <v>673</v>
      </c>
      <c r="B167" s="2980" t="s">
        <v>33</v>
      </c>
      <c r="C167" s="2931">
        <v>30</v>
      </c>
      <c r="D167" s="2931"/>
      <c r="E167" s="2931">
        <f t="shared" si="18"/>
        <v>945.39500000000044</v>
      </c>
      <c r="F167" s="2981">
        <f>56.55-56.55+37.47</f>
        <v>37.47</v>
      </c>
      <c r="G167" s="2954">
        <f t="shared" si="13"/>
        <v>907.92500000000041</v>
      </c>
      <c r="H167" s="2743">
        <f t="shared" si="16"/>
        <v>0.96036577303666715</v>
      </c>
      <c r="I167" s="2988"/>
      <c r="J167" s="2463">
        <v>57</v>
      </c>
      <c r="K167" s="855">
        <f t="shared" si="19"/>
        <v>7127.6049999999996</v>
      </c>
      <c r="L167" s="2976">
        <f t="shared" si="17"/>
        <v>37.470000000000255</v>
      </c>
      <c r="M167" s="2266">
        <v>7165.0749999999998</v>
      </c>
      <c r="N167" s="2668">
        <v>57</v>
      </c>
      <c r="O167" s="2414">
        <f t="shared" si="15"/>
        <v>2.5579538487363607E-13</v>
      </c>
    </row>
    <row r="168" spans="1:16" s="1690" customFormat="1">
      <c r="A168" s="2941" t="s">
        <v>674</v>
      </c>
      <c r="B168" s="2980" t="s">
        <v>33</v>
      </c>
      <c r="C168" s="2931">
        <v>1</v>
      </c>
      <c r="D168" s="2931"/>
      <c r="E168" s="2931">
        <f t="shared" si="18"/>
        <v>2207.2150000000001</v>
      </c>
      <c r="F168" s="2981">
        <f>183.32+228.99+204.07-84.52-10.58</f>
        <v>521.28</v>
      </c>
      <c r="G168" s="2954">
        <f>+E168-F168</f>
        <v>1685.9350000000002</v>
      </c>
      <c r="H168" s="2743">
        <f t="shared" si="16"/>
        <v>0.76382907872590577</v>
      </c>
      <c r="I168" s="2990"/>
      <c r="J168" s="2463">
        <v>58</v>
      </c>
      <c r="K168" s="855">
        <f t="shared" si="19"/>
        <v>13909.785</v>
      </c>
      <c r="L168" s="2976">
        <f t="shared" si="17"/>
        <v>521.28399999999965</v>
      </c>
      <c r="M168" s="1690">
        <v>14431.069</v>
      </c>
      <c r="N168" s="3574">
        <v>58</v>
      </c>
      <c r="O168" s="2414">
        <f t="shared" si="15"/>
        <v>3.9999999996780389E-3</v>
      </c>
    </row>
    <row r="169" spans="1:16">
      <c r="A169" s="2941" t="s">
        <v>675</v>
      </c>
      <c r="B169" s="2980" t="s">
        <v>33</v>
      </c>
      <c r="C169" s="2931">
        <v>42</v>
      </c>
      <c r="D169" s="2931"/>
      <c r="E169" s="2931">
        <f t="shared" si="18"/>
        <v>303.53900000000004</v>
      </c>
      <c r="F169" s="2981">
        <f>35.73+9.39+27.63+20.38+16.27+19.11+37.68+111.36+26.25</f>
        <v>303.8</v>
      </c>
      <c r="G169" s="2954">
        <f>+E169-F169</f>
        <v>-0.26099999999996726</v>
      </c>
      <c r="H169" s="2743">
        <f t="shared" si="16"/>
        <v>-8.5985655879464325E-4</v>
      </c>
      <c r="I169" s="2990"/>
      <c r="J169" s="2463">
        <v>59</v>
      </c>
      <c r="K169" s="855">
        <f t="shared" si="19"/>
        <v>495.46099999999996</v>
      </c>
      <c r="L169" s="2976">
        <f t="shared" si="17"/>
        <v>303.79800000000006</v>
      </c>
      <c r="M169" s="2266">
        <v>799.25900000000001</v>
      </c>
      <c r="N169" s="2668">
        <v>59</v>
      </c>
      <c r="O169" s="2414">
        <f t="shared" si="15"/>
        <v>-1.9999999999527063E-3</v>
      </c>
    </row>
    <row r="170" spans="1:16" ht="20.399999999999999">
      <c r="A170" s="2941" t="s">
        <v>676</v>
      </c>
      <c r="B170" s="2980" t="s">
        <v>33</v>
      </c>
      <c r="C170" s="2931">
        <v>0</v>
      </c>
      <c r="D170" s="2931"/>
      <c r="E170" s="2931">
        <f t="shared" si="18"/>
        <v>0</v>
      </c>
      <c r="F170" s="2981"/>
      <c r="G170" s="2954">
        <f t="shared" si="13"/>
        <v>0</v>
      </c>
      <c r="H170" s="2743" t="e">
        <f t="shared" si="16"/>
        <v>#DIV/0!</v>
      </c>
      <c r="I170" s="2992"/>
      <c r="J170" s="2463">
        <v>60</v>
      </c>
      <c r="K170" s="855">
        <f t="shared" si="19"/>
        <v>0</v>
      </c>
      <c r="L170" s="2976">
        <f t="shared" si="17"/>
        <v>0</v>
      </c>
      <c r="M170" s="2266">
        <v>0</v>
      </c>
      <c r="N170" s="2668">
        <v>60</v>
      </c>
      <c r="O170" s="2414">
        <f t="shared" si="15"/>
        <v>0</v>
      </c>
    </row>
    <row r="171" spans="1:16">
      <c r="A171" s="2941" t="s">
        <v>91</v>
      </c>
      <c r="B171" s="2980" t="s">
        <v>33</v>
      </c>
      <c r="C171" s="2931">
        <v>63</v>
      </c>
      <c r="D171" s="2931"/>
      <c r="E171" s="2931">
        <f t="shared" si="18"/>
        <v>-1.8299999999999272</v>
      </c>
      <c r="F171" s="2981">
        <v>145.35</v>
      </c>
      <c r="G171" s="2954">
        <f t="shared" si="13"/>
        <v>-147.17999999999992</v>
      </c>
      <c r="H171" s="2743">
        <f t="shared" si="16"/>
        <v>80.426229508199881</v>
      </c>
      <c r="I171" s="2778" t="s">
        <v>1560</v>
      </c>
      <c r="J171" s="2463">
        <v>61</v>
      </c>
      <c r="K171" s="855">
        <f t="shared" si="19"/>
        <v>1263.83</v>
      </c>
      <c r="L171" s="2976">
        <f t="shared" si="17"/>
        <v>145.35000000000014</v>
      </c>
      <c r="M171" s="2266">
        <v>1409.18</v>
      </c>
      <c r="N171" s="2668">
        <v>61</v>
      </c>
      <c r="O171" s="2414">
        <f t="shared" si="15"/>
        <v>0</v>
      </c>
    </row>
    <row r="172" spans="1:16">
      <c r="A172" s="2993" t="s">
        <v>677</v>
      </c>
      <c r="B172" s="2897" t="s">
        <v>33</v>
      </c>
      <c r="C172" s="2973">
        <v>670</v>
      </c>
      <c r="D172" s="2973"/>
      <c r="E172" s="2898">
        <f t="shared" si="18"/>
        <v>472.8849999999984</v>
      </c>
      <c r="F172" s="2974">
        <f>55.07+599.19+338.6+29.79+23.64+0.07-60.37-22.46-3.8+12.97-43.81</f>
        <v>928.8900000000001</v>
      </c>
      <c r="G172" s="2946">
        <f t="shared" si="13"/>
        <v>-456.0050000000017</v>
      </c>
      <c r="H172" s="2743">
        <f t="shared" si="16"/>
        <v>-0.9643042177273613</v>
      </c>
      <c r="I172" s="2994"/>
      <c r="J172" s="2463">
        <v>62</v>
      </c>
      <c r="K172" s="855">
        <f t="shared" si="19"/>
        <v>12932.115000000002</v>
      </c>
      <c r="L172" s="2976">
        <f t="shared" si="17"/>
        <v>928.88799999999901</v>
      </c>
      <c r="M172" s="2266">
        <v>13861.003000000001</v>
      </c>
      <c r="N172" s="2668">
        <v>62</v>
      </c>
      <c r="O172" s="2414">
        <f t="shared" si="15"/>
        <v>-2.0000000010895747E-3</v>
      </c>
    </row>
    <row r="173" spans="1:16">
      <c r="A173" s="2993" t="s">
        <v>832</v>
      </c>
      <c r="B173" s="2897" t="s">
        <v>33</v>
      </c>
      <c r="C173" s="2973">
        <v>87</v>
      </c>
      <c r="D173" s="2973"/>
      <c r="E173" s="2898">
        <f t="shared" si="18"/>
        <v>851.61099999999999</v>
      </c>
      <c r="F173" s="2974">
        <v>802.36199999999997</v>
      </c>
      <c r="G173" s="2946">
        <f t="shared" si="13"/>
        <v>49.249000000000024</v>
      </c>
      <c r="H173" s="2743">
        <f t="shared" si="16"/>
        <v>5.7830394393684467E-2</v>
      </c>
      <c r="I173" s="2994"/>
      <c r="J173" s="2463">
        <v>63</v>
      </c>
      <c r="K173" s="855">
        <f t="shared" si="19"/>
        <v>887.69899999999996</v>
      </c>
      <c r="L173" s="2976">
        <f t="shared" si="17"/>
        <v>802.36199999999997</v>
      </c>
      <c r="M173" s="2266">
        <v>1690.0609999999999</v>
      </c>
      <c r="N173" s="2668">
        <v>63</v>
      </c>
      <c r="O173" s="2745">
        <f t="shared" si="15"/>
        <v>0</v>
      </c>
    </row>
    <row r="174" spans="1:16">
      <c r="A174" s="2993" t="s">
        <v>693</v>
      </c>
      <c r="B174" s="2897" t="s">
        <v>33</v>
      </c>
      <c r="C174" s="2973"/>
      <c r="D174" s="2973"/>
      <c r="E174" s="2898">
        <f t="shared" si="18"/>
        <v>11392.053</v>
      </c>
      <c r="F174" s="2974">
        <f>318.476-60.42+2822.03+83.78+778.82+257.24+1.54+338.36+134.53+109.11+355.4+21.08+49.1+21.03+9.32</f>
        <v>5239.3959999999988</v>
      </c>
      <c r="G174" s="2946">
        <f t="shared" si="13"/>
        <v>6152.6570000000011</v>
      </c>
      <c r="H174" s="2743">
        <f t="shared" si="16"/>
        <v>0.5400832492615687</v>
      </c>
      <c r="I174" s="2994"/>
      <c r="J174" s="2463">
        <v>64</v>
      </c>
      <c r="K174" s="855">
        <f t="shared" ref="K174" si="20">+F107</f>
        <v>4016.9469999999997</v>
      </c>
      <c r="L174" s="2976">
        <f t="shared" si="17"/>
        <v>5239.3910000000014</v>
      </c>
      <c r="M174" s="2266">
        <v>9256.3380000000016</v>
      </c>
      <c r="N174" s="2668">
        <v>64</v>
      </c>
      <c r="O174" s="2414">
        <f>+L174-F174</f>
        <v>-4.9999999973806553E-3</v>
      </c>
      <c r="P174" s="2414"/>
    </row>
    <row r="175" spans="1:16" ht="13.8" thickBot="1">
      <c r="A175" s="2995" t="s">
        <v>50</v>
      </c>
      <c r="B175" s="2913" t="s">
        <v>33</v>
      </c>
      <c r="C175" s="2996">
        <f>SUM(C111:C174)</f>
        <v>14381.065999999999</v>
      </c>
      <c r="D175" s="2996"/>
      <c r="E175" s="2997">
        <f>+SUM(E111:E174)</f>
        <v>65555.218499999988</v>
      </c>
      <c r="F175" s="2998">
        <f>SUM(F111:F174)</f>
        <v>39647.942999999992</v>
      </c>
      <c r="G175" s="2999">
        <f>+E175-F175</f>
        <v>25907.275499999996</v>
      </c>
      <c r="H175" s="2743">
        <f t="shared" si="16"/>
        <v>0.39519775988543154</v>
      </c>
      <c r="I175" s="3000"/>
      <c r="J175" s="177"/>
      <c r="K175" s="2182">
        <f>SUM(K111:K174)</f>
        <v>283791.16749999992</v>
      </c>
      <c r="L175" s="2045">
        <f>SUM(L111:L174)</f>
        <v>39647.940500000004</v>
      </c>
      <c r="M175" s="2045">
        <f>SUM(M111:M174)</f>
        <v>323439.10800000001</v>
      </c>
      <c r="N175" s="2045"/>
      <c r="O175" s="177"/>
    </row>
    <row r="176" spans="1:16" ht="13.8" thickBot="1">
      <c r="D176" s="611"/>
      <c r="E176" s="3512" t="s">
        <v>1592</v>
      </c>
      <c r="F176" s="3513">
        <f>+F108+F175</f>
        <v>323439.11049999989</v>
      </c>
      <c r="G176" s="1175">
        <f>SUM(G111:G174)</f>
        <v>25907.275500000003</v>
      </c>
      <c r="J176" s="175"/>
      <c r="K176" s="1146"/>
      <c r="L176" s="1146"/>
    </row>
    <row r="177" spans="1:44">
      <c r="A177" s="3843" t="s">
        <v>53</v>
      </c>
      <c r="B177" s="3844"/>
      <c r="C177" s="2892"/>
      <c r="D177" s="2892"/>
      <c r="E177" s="2892"/>
      <c r="F177" s="594"/>
      <c r="G177" s="595"/>
      <c r="H177" s="596"/>
      <c r="J177" s="175"/>
      <c r="K177" s="3001"/>
      <c r="L177" s="1146"/>
    </row>
    <row r="178" spans="1:44" ht="5.0999999999999996" customHeight="1">
      <c r="A178" s="596"/>
      <c r="B178" s="595"/>
      <c r="C178" s="2892"/>
      <c r="D178" s="2892"/>
      <c r="E178" s="2892"/>
      <c r="F178" s="594"/>
      <c r="G178" s="595"/>
      <c r="H178" s="596"/>
      <c r="J178" s="175"/>
      <c r="K178" s="1146"/>
      <c r="L178" s="1146"/>
    </row>
    <row r="179" spans="1:44">
      <c r="A179" s="2893" t="s">
        <v>45</v>
      </c>
      <c r="B179" s="2893" t="s">
        <v>46</v>
      </c>
      <c r="C179" s="2894" t="s">
        <v>47</v>
      </c>
      <c r="D179" s="2894"/>
      <c r="E179" s="2894" t="s">
        <v>48</v>
      </c>
      <c r="F179" s="2893" t="s">
        <v>19</v>
      </c>
      <c r="G179" s="2893" t="s">
        <v>20</v>
      </c>
      <c r="H179" s="2893" t="s">
        <v>49</v>
      </c>
      <c r="I179" s="2895" t="s">
        <v>22</v>
      </c>
      <c r="J179" s="175"/>
      <c r="K179" s="3796" t="s">
        <v>819</v>
      </c>
      <c r="L179" s="3797"/>
      <c r="M179" s="3797"/>
      <c r="N179" s="3797"/>
      <c r="O179" s="3797"/>
      <c r="P179" s="3797"/>
      <c r="Q179" s="3797"/>
      <c r="R179" s="3797"/>
      <c r="S179" s="3797"/>
      <c r="T179" s="3797"/>
      <c r="U179" s="3797"/>
      <c r="V179" s="3797"/>
      <c r="W179" s="3797"/>
      <c r="X179" s="3797"/>
      <c r="Y179" s="3797"/>
      <c r="Z179" s="3797"/>
      <c r="AA179" s="3797"/>
      <c r="AB179" s="3798"/>
      <c r="AC179" s="2712"/>
      <c r="AD179" s="2712"/>
      <c r="AE179" s="2712"/>
      <c r="AF179" s="2712"/>
      <c r="AG179" s="2712"/>
      <c r="AH179" s="2712"/>
      <c r="AI179" s="2712"/>
      <c r="AJ179" s="2712"/>
      <c r="AK179" s="2712"/>
      <c r="AL179" s="2712"/>
      <c r="AM179" s="2712"/>
      <c r="AN179" s="2712"/>
      <c r="AO179" s="2712"/>
      <c r="AP179" s="2712"/>
      <c r="AQ179" s="2712"/>
    </row>
    <row r="180" spans="1:44">
      <c r="A180" s="2846" t="s">
        <v>123</v>
      </c>
      <c r="B180" s="366" t="s">
        <v>31</v>
      </c>
      <c r="C180" s="3002">
        <v>3246.7779999999998</v>
      </c>
      <c r="D180" s="3003"/>
      <c r="E180" s="3004">
        <f>+C180+D180</f>
        <v>3246.7779999999998</v>
      </c>
      <c r="F180" s="3005">
        <f>+SUM('RAE S.común'!B91:B94)</f>
        <v>3170.2310000000002</v>
      </c>
      <c r="G180" s="3006">
        <f>+E180-F180</f>
        <v>76.546999999999571</v>
      </c>
      <c r="H180" s="2743">
        <f>+G180/E180</f>
        <v>2.3576296254317227E-2</v>
      </c>
      <c r="I180" s="3007" t="s">
        <v>1059</v>
      </c>
      <c r="J180" s="175"/>
      <c r="K180" s="2840"/>
      <c r="L180" s="2841"/>
      <c r="M180" s="2842"/>
      <c r="N180" s="2843"/>
      <c r="O180" s="2843"/>
      <c r="P180" s="2843"/>
      <c r="Q180" s="2843"/>
      <c r="R180" s="2843"/>
      <c r="S180" s="2843"/>
      <c r="T180" s="2843"/>
      <c r="U180" s="2843"/>
      <c r="V180" s="2843"/>
      <c r="W180" s="2843"/>
      <c r="X180" s="2843"/>
      <c r="Y180" s="2843"/>
      <c r="Z180" s="2843"/>
      <c r="AA180" s="2843"/>
      <c r="AB180" s="2843"/>
      <c r="AC180" s="2843"/>
      <c r="AD180" s="2843"/>
      <c r="AE180" s="2843"/>
      <c r="AF180" s="2843"/>
      <c r="AG180" s="2843"/>
      <c r="AH180" s="2843"/>
      <c r="AI180" s="2843"/>
      <c r="AJ180" s="2843"/>
      <c r="AK180" s="2843"/>
      <c r="AL180" s="2843"/>
      <c r="AM180" s="2843"/>
      <c r="AN180" s="2843"/>
      <c r="AO180" s="2843"/>
      <c r="AP180" s="2843"/>
      <c r="AQ180" s="2843"/>
      <c r="AR180" s="2842"/>
    </row>
    <row r="181" spans="1:44">
      <c r="A181" s="2846" t="s">
        <v>54</v>
      </c>
      <c r="B181" s="366" t="s">
        <v>31</v>
      </c>
      <c r="C181" s="3002">
        <v>12381.735000000001</v>
      </c>
      <c r="D181" s="3003"/>
      <c r="E181" s="3008">
        <f t="shared" ref="E181:E196" si="21">+C181+D181</f>
        <v>12381.735000000001</v>
      </c>
      <c r="F181" s="3005">
        <f>+SUM('RAE S.común'!B107:B110)</f>
        <v>11839.769</v>
      </c>
      <c r="G181" s="3006">
        <f t="shared" ref="G181:G196" si="22">+E181-F181</f>
        <v>541.96600000000035</v>
      </c>
      <c r="H181" s="2743">
        <f t="shared" ref="H181:H196" si="23">+G181/E181</f>
        <v>4.3771410064906119E-2</v>
      </c>
      <c r="I181" s="3007" t="s">
        <v>1059</v>
      </c>
      <c r="J181" s="175"/>
      <c r="K181" s="3799" t="s">
        <v>818</v>
      </c>
      <c r="L181" s="3800"/>
      <c r="M181" s="3800"/>
      <c r="N181" s="3800"/>
      <c r="O181" s="3800"/>
      <c r="P181" s="3800"/>
      <c r="Q181" s="3800"/>
      <c r="R181" s="3801"/>
      <c r="S181" s="2844"/>
      <c r="T181" s="2845"/>
      <c r="U181" s="2845"/>
      <c r="V181" s="2845"/>
      <c r="W181" s="2845"/>
      <c r="X181" s="2845"/>
      <c r="Y181" s="2845"/>
      <c r="Z181" s="2845"/>
      <c r="AA181" s="2845"/>
      <c r="AB181" s="2845"/>
      <c r="AC181" s="2712"/>
      <c r="AD181" s="2712"/>
      <c r="AE181" s="2712"/>
      <c r="AF181" s="2712"/>
      <c r="AG181" s="2712"/>
      <c r="AH181" s="2712"/>
      <c r="AI181" s="2712"/>
      <c r="AJ181" s="2712"/>
      <c r="AK181" s="2712"/>
      <c r="AL181" s="2712"/>
      <c r="AM181" s="2712"/>
      <c r="AN181" s="2712"/>
      <c r="AO181" s="2712"/>
      <c r="AP181" s="2712"/>
      <c r="AQ181" s="2712"/>
      <c r="AR181" s="2712"/>
    </row>
    <row r="182" spans="1:44">
      <c r="A182" s="2846" t="s">
        <v>124</v>
      </c>
      <c r="B182" s="366" t="s">
        <v>31</v>
      </c>
      <c r="C182" s="3002">
        <v>4586.076</v>
      </c>
      <c r="D182" s="3009"/>
      <c r="E182" s="3008">
        <f t="shared" si="21"/>
        <v>4586.076</v>
      </c>
      <c r="F182" s="3005">
        <f>+SUM('RAE S.común'!B123:B126)</f>
        <v>4055.192</v>
      </c>
      <c r="G182" s="3006">
        <f t="shared" si="22"/>
        <v>530.88400000000001</v>
      </c>
      <c r="H182" s="2743">
        <f t="shared" si="23"/>
        <v>0.1157599656002212</v>
      </c>
      <c r="I182" s="3007" t="s">
        <v>1059</v>
      </c>
      <c r="J182" s="175"/>
      <c r="K182" s="1722" t="s">
        <v>70</v>
      </c>
      <c r="L182" s="1722" t="s">
        <v>71</v>
      </c>
      <c r="M182" s="1723">
        <v>1</v>
      </c>
      <c r="N182" s="1723">
        <v>2</v>
      </c>
      <c r="O182" s="1723">
        <v>3</v>
      </c>
      <c r="P182" s="1723">
        <v>4</v>
      </c>
      <c r="Q182" s="1723">
        <v>5</v>
      </c>
      <c r="R182" s="1723">
        <v>6</v>
      </c>
      <c r="S182" s="1723">
        <v>7</v>
      </c>
      <c r="T182" s="1723">
        <v>8</v>
      </c>
      <c r="U182" s="1723">
        <v>9</v>
      </c>
      <c r="V182" s="1723">
        <v>10</v>
      </c>
      <c r="W182" s="1723">
        <v>11</v>
      </c>
      <c r="X182" s="1723">
        <v>12</v>
      </c>
      <c r="Y182" s="1723">
        <v>13</v>
      </c>
      <c r="Z182" s="1723">
        <v>14</v>
      </c>
      <c r="AA182" s="1723">
        <v>15</v>
      </c>
      <c r="AB182" s="1723">
        <v>16</v>
      </c>
      <c r="AC182" s="1723">
        <v>17</v>
      </c>
      <c r="AD182" s="1723">
        <v>18</v>
      </c>
      <c r="AE182" s="1723">
        <v>19</v>
      </c>
      <c r="AF182" s="1723">
        <v>20</v>
      </c>
      <c r="AG182" s="1723">
        <v>21</v>
      </c>
      <c r="AH182" s="1723">
        <v>22</v>
      </c>
      <c r="AI182" s="1723">
        <v>23</v>
      </c>
      <c r="AJ182" s="1723">
        <v>24</v>
      </c>
      <c r="AK182" s="1723">
        <v>25</v>
      </c>
      <c r="AL182" s="1723">
        <v>26</v>
      </c>
      <c r="AM182" s="1723">
        <v>27</v>
      </c>
      <c r="AN182" s="1723">
        <v>28</v>
      </c>
      <c r="AO182" s="1723">
        <v>29</v>
      </c>
      <c r="AP182" s="1723">
        <v>30</v>
      </c>
      <c r="AQ182" s="1723">
        <v>31</v>
      </c>
      <c r="AR182" s="1771" t="s">
        <v>72</v>
      </c>
    </row>
    <row r="183" spans="1:44">
      <c r="A183" s="2846" t="s">
        <v>55</v>
      </c>
      <c r="B183" s="366" t="s">
        <v>31</v>
      </c>
      <c r="C183" s="3002">
        <v>3440.5659999999998</v>
      </c>
      <c r="D183" s="3009"/>
      <c r="E183" s="3008">
        <f t="shared" si="21"/>
        <v>3440.5659999999998</v>
      </c>
      <c r="F183" s="3005">
        <f>+SUM('RAE S.común'!B139:B142)</f>
        <v>2894.8090000000002</v>
      </c>
      <c r="G183" s="3006">
        <f t="shared" si="22"/>
        <v>545.75699999999961</v>
      </c>
      <c r="H183" s="2743">
        <f t="shared" si="23"/>
        <v>0.15862419148477305</v>
      </c>
      <c r="I183" s="3007"/>
      <c r="J183" s="175"/>
      <c r="K183" s="2851" t="s">
        <v>73</v>
      </c>
      <c r="L183" s="2852">
        <f t="shared" ref="L183:L194" si="24">+AR183</f>
        <v>0</v>
      </c>
      <c r="M183" s="2853"/>
      <c r="N183" s="2853"/>
      <c r="O183" s="2853"/>
      <c r="P183" s="2853"/>
      <c r="Q183" s="2853"/>
      <c r="R183" s="2853"/>
      <c r="S183" s="2853"/>
      <c r="T183" s="2853"/>
      <c r="U183" s="2854"/>
      <c r="V183" s="2853"/>
      <c r="W183" s="2853"/>
      <c r="X183" s="2853"/>
      <c r="Y183" s="2853"/>
      <c r="Z183" s="2853"/>
      <c r="AA183" s="2853"/>
      <c r="AB183" s="2853"/>
      <c r="AC183" s="2853"/>
      <c r="AD183" s="2853"/>
      <c r="AE183" s="2853"/>
      <c r="AF183" s="2853"/>
      <c r="AG183" s="2853"/>
      <c r="AH183" s="2853"/>
      <c r="AI183" s="2853"/>
      <c r="AJ183" s="2853"/>
      <c r="AK183" s="2853"/>
      <c r="AL183" s="2853"/>
      <c r="AM183" s="2853"/>
      <c r="AN183" s="2853"/>
      <c r="AO183" s="2853"/>
      <c r="AP183" s="2853"/>
      <c r="AQ183" s="2853"/>
      <c r="AR183" s="2380">
        <f>SUM(M183:AQ183)</f>
        <v>0</v>
      </c>
    </row>
    <row r="184" spans="1:44" ht="15.75" customHeight="1">
      <c r="A184" s="2846" t="s">
        <v>56</v>
      </c>
      <c r="B184" s="366" t="s">
        <v>31</v>
      </c>
      <c r="C184" s="3002">
        <v>173.95099999999999</v>
      </c>
      <c r="D184" s="3003"/>
      <c r="E184" s="3008">
        <f t="shared" si="21"/>
        <v>173.95099999999999</v>
      </c>
      <c r="F184" s="3005">
        <f>+SUM('RAE S.común'!B155:B158)</f>
        <v>0</v>
      </c>
      <c r="G184" s="3006">
        <f t="shared" si="22"/>
        <v>173.95099999999999</v>
      </c>
      <c r="H184" s="2743">
        <f t="shared" si="23"/>
        <v>1</v>
      </c>
      <c r="I184" s="3007"/>
      <c r="J184" s="175"/>
      <c r="K184" s="2851" t="s">
        <v>74</v>
      </c>
      <c r="L184" s="2852">
        <f t="shared" si="24"/>
        <v>15597.446999999998</v>
      </c>
      <c r="M184" s="2853"/>
      <c r="N184" s="2853"/>
      <c r="O184" s="2853"/>
      <c r="P184" s="2853"/>
      <c r="Q184" s="2853"/>
      <c r="R184" s="2853"/>
      <c r="S184" s="2853"/>
      <c r="T184" s="2853">
        <v>626.91499999999996</v>
      </c>
      <c r="U184" s="2380">
        <v>475.18</v>
      </c>
      <c r="V184" s="2374">
        <v>538.09199999999998</v>
      </c>
      <c r="W184" s="2853">
        <v>564.83900000000006</v>
      </c>
      <c r="X184" s="2374">
        <v>100.703</v>
      </c>
      <c r="Y184" s="2374">
        <v>24.62</v>
      </c>
      <c r="Z184" s="2374">
        <v>199.155</v>
      </c>
      <c r="AA184" s="2374">
        <v>919.96699999999998</v>
      </c>
      <c r="AB184" s="2853">
        <v>1056.933</v>
      </c>
      <c r="AC184" s="2374">
        <v>1253.498</v>
      </c>
      <c r="AD184" s="2374">
        <v>1087.6210000000001</v>
      </c>
      <c r="AE184" s="2374">
        <v>1300.722</v>
      </c>
      <c r="AF184" s="2374">
        <v>669.05799999999999</v>
      </c>
      <c r="AG184" s="2853">
        <v>215.76499999999999</v>
      </c>
      <c r="AH184" s="2853">
        <v>237.53299999999999</v>
      </c>
      <c r="AI184" s="2853">
        <v>0</v>
      </c>
      <c r="AJ184" s="2853">
        <v>1378.056</v>
      </c>
      <c r="AK184" s="2853">
        <v>1261.4490000000001</v>
      </c>
      <c r="AL184" s="2853">
        <v>1139.133</v>
      </c>
      <c r="AM184" s="2853">
        <v>1222.0419999999999</v>
      </c>
      <c r="AN184" s="2853">
        <v>1326.1659999999999</v>
      </c>
      <c r="AO184" s="2853"/>
      <c r="AP184" s="2853"/>
      <c r="AQ184" s="2853"/>
      <c r="AR184" s="2380">
        <f t="shared" ref="AR184:AR194" si="25">SUM(M184:AQ184)</f>
        <v>15597.446999999998</v>
      </c>
    </row>
    <row r="185" spans="1:44">
      <c r="A185" s="2846" t="s">
        <v>125</v>
      </c>
      <c r="B185" s="366" t="s">
        <v>31</v>
      </c>
      <c r="C185" s="3002">
        <v>0</v>
      </c>
      <c r="D185" s="3009"/>
      <c r="E185" s="3008">
        <f t="shared" si="21"/>
        <v>0</v>
      </c>
      <c r="F185" s="3005">
        <f>+SUM('RAE S.común'!B171:B174)</f>
        <v>0</v>
      </c>
      <c r="G185" s="3006">
        <f t="shared" si="22"/>
        <v>0</v>
      </c>
      <c r="H185" s="2743" t="e">
        <f t="shared" si="23"/>
        <v>#DIV/0!</v>
      </c>
      <c r="I185" s="3007"/>
      <c r="J185" s="175"/>
      <c r="K185" s="2851" t="s">
        <v>75</v>
      </c>
      <c r="L185" s="2852">
        <f t="shared" si="24"/>
        <v>7980.5669999999991</v>
      </c>
      <c r="M185" s="2853">
        <v>1312.088</v>
      </c>
      <c r="N185" s="2853">
        <v>248.55099999999999</v>
      </c>
      <c r="O185" s="2853">
        <v>1056.0419999999999</v>
      </c>
      <c r="P185" s="2853">
        <v>1222.873</v>
      </c>
      <c r="Q185" s="2853">
        <v>1090.354</v>
      </c>
      <c r="R185" s="2855">
        <v>923.31799999999998</v>
      </c>
      <c r="S185" s="2855">
        <v>924.07899999999995</v>
      </c>
      <c r="T185" s="2855">
        <v>614.22799999999995</v>
      </c>
      <c r="U185" s="2856">
        <v>589.03399999999999</v>
      </c>
      <c r="V185" s="2855"/>
      <c r="W185" s="2855"/>
      <c r="X185" s="2855"/>
      <c r="Y185" s="2855"/>
      <c r="Z185" s="3010"/>
      <c r="AA185" s="2855"/>
      <c r="AB185" s="2855"/>
      <c r="AC185" s="2855"/>
      <c r="AD185" s="2855"/>
      <c r="AE185" s="2855"/>
      <c r="AF185" s="2855"/>
      <c r="AG185" s="2855"/>
      <c r="AH185" s="2855"/>
      <c r="AI185" s="2855"/>
      <c r="AJ185" s="2855"/>
      <c r="AK185" s="2855"/>
      <c r="AL185" s="2855"/>
      <c r="AM185" s="2853"/>
      <c r="AN185" s="2853"/>
      <c r="AO185" s="2853"/>
      <c r="AP185" s="2853"/>
      <c r="AQ185" s="2853"/>
      <c r="AR185" s="2380">
        <f>SUM(M185:AQ185)</f>
        <v>7980.5669999999991</v>
      </c>
    </row>
    <row r="186" spans="1:44">
      <c r="A186" s="2846" t="s">
        <v>100</v>
      </c>
      <c r="B186" s="366" t="s">
        <v>31</v>
      </c>
      <c r="C186" s="3002">
        <v>0</v>
      </c>
      <c r="D186" s="3009"/>
      <c r="E186" s="3004">
        <f t="shared" si="21"/>
        <v>0</v>
      </c>
      <c r="F186" s="3005">
        <f>+SUM('RAE S.común'!B187:B190)</f>
        <v>0</v>
      </c>
      <c r="G186" s="3006">
        <f t="shared" si="22"/>
        <v>0</v>
      </c>
      <c r="H186" s="2743" t="e">
        <f t="shared" si="23"/>
        <v>#DIV/0!</v>
      </c>
      <c r="I186" s="3007"/>
      <c r="J186" s="175"/>
      <c r="K186" s="2851" t="s">
        <v>76</v>
      </c>
      <c r="L186" s="2852">
        <f t="shared" si="24"/>
        <v>0</v>
      </c>
      <c r="M186" s="2853"/>
      <c r="N186" s="2853"/>
      <c r="O186" s="2853"/>
      <c r="P186" s="2853"/>
      <c r="Q186" s="2853"/>
      <c r="R186" s="2853"/>
      <c r="S186" s="2853"/>
      <c r="T186" s="2853"/>
      <c r="U186" s="2853"/>
      <c r="V186" s="2855"/>
      <c r="W186" s="2855"/>
      <c r="X186" s="2855"/>
      <c r="Y186" s="2855"/>
      <c r="Z186" s="2855"/>
      <c r="AA186" s="2855"/>
      <c r="AB186" s="2855"/>
      <c r="AC186" s="2855"/>
      <c r="AD186" s="2855"/>
      <c r="AE186" s="2855"/>
      <c r="AF186" s="2855"/>
      <c r="AG186" s="2855"/>
      <c r="AH186" s="2855"/>
      <c r="AI186" s="2855"/>
      <c r="AJ186" s="2855"/>
      <c r="AK186" s="2855"/>
      <c r="AL186" s="2855"/>
      <c r="AM186" s="2855"/>
      <c r="AN186" s="2855"/>
      <c r="AO186" s="2855"/>
      <c r="AP186" s="2855"/>
      <c r="AQ186" s="2855"/>
      <c r="AR186" s="2380">
        <f t="shared" si="25"/>
        <v>0</v>
      </c>
    </row>
    <row r="187" spans="1:44">
      <c r="A187" s="2846" t="s">
        <v>960</v>
      </c>
      <c r="B187" s="366" t="s">
        <v>31</v>
      </c>
      <c r="C187" s="3002">
        <v>0</v>
      </c>
      <c r="D187" s="3009"/>
      <c r="E187" s="3008">
        <f t="shared" si="21"/>
        <v>0</v>
      </c>
      <c r="F187" s="3005">
        <f>+SUM('RAE S.común'!B203:B206)</f>
        <v>0</v>
      </c>
      <c r="G187" s="3006">
        <f t="shared" si="22"/>
        <v>0</v>
      </c>
      <c r="H187" s="2743" t="e">
        <f t="shared" si="23"/>
        <v>#DIV/0!</v>
      </c>
      <c r="I187" s="3007"/>
      <c r="J187" s="175"/>
      <c r="K187" s="2857" t="s">
        <v>77</v>
      </c>
      <c r="L187" s="2852">
        <f t="shared" si="24"/>
        <v>0</v>
      </c>
      <c r="M187" s="2853"/>
      <c r="N187" s="2853"/>
      <c r="O187" s="2853"/>
      <c r="P187" s="2853"/>
      <c r="Q187" s="2853"/>
      <c r="R187" s="2853"/>
      <c r="S187" s="2853"/>
      <c r="T187" s="2855"/>
      <c r="U187" s="2855"/>
      <c r="V187" s="2855"/>
      <c r="W187" s="2855"/>
      <c r="X187" s="2855"/>
      <c r="Y187" s="2855"/>
      <c r="Z187" s="2855"/>
      <c r="AA187" s="2855"/>
      <c r="AB187" s="2855"/>
      <c r="AC187" s="2855"/>
      <c r="AD187" s="2855"/>
      <c r="AE187" s="2855"/>
      <c r="AF187" s="2855"/>
      <c r="AG187" s="2855"/>
      <c r="AH187" s="2855"/>
      <c r="AI187" s="2855"/>
      <c r="AJ187" s="2855"/>
      <c r="AK187" s="2855"/>
      <c r="AL187" s="2855"/>
      <c r="AM187" s="2855"/>
      <c r="AN187" s="2855"/>
      <c r="AO187" s="2855"/>
      <c r="AP187" s="2855"/>
      <c r="AQ187" s="2855"/>
      <c r="AR187" s="2380">
        <f t="shared" si="25"/>
        <v>0</v>
      </c>
    </row>
    <row r="188" spans="1:44">
      <c r="A188" s="2846" t="s">
        <v>1288</v>
      </c>
      <c r="B188" s="366" t="s">
        <v>31</v>
      </c>
      <c r="C188" s="3002">
        <v>11636.405000000001</v>
      </c>
      <c r="D188" s="3009"/>
      <c r="E188" s="3008">
        <f t="shared" si="21"/>
        <v>11636.405000000001</v>
      </c>
      <c r="F188" s="3005">
        <f>+SUM('RAE S.común'!B219:B222)</f>
        <v>10596.488999999998</v>
      </c>
      <c r="G188" s="3006">
        <f t="shared" si="22"/>
        <v>1039.9160000000029</v>
      </c>
      <c r="H188" s="2743">
        <f t="shared" si="23"/>
        <v>8.9367463576594558E-2</v>
      </c>
      <c r="I188" s="3007" t="s">
        <v>1059</v>
      </c>
      <c r="J188" s="175"/>
      <c r="K188" s="2857" t="s">
        <v>78</v>
      </c>
      <c r="L188" s="2852">
        <f t="shared" si="24"/>
        <v>0</v>
      </c>
      <c r="M188" s="2855"/>
      <c r="N188" s="2855"/>
      <c r="O188" s="2855"/>
      <c r="P188" s="2855"/>
      <c r="Q188" s="2855"/>
      <c r="R188" s="2853"/>
      <c r="S188" s="2853"/>
      <c r="T188" s="2853"/>
      <c r="U188" s="2853"/>
      <c r="V188" s="2853"/>
      <c r="W188" s="2853"/>
      <c r="X188" s="2853"/>
      <c r="Y188" s="2853"/>
      <c r="Z188" s="2853"/>
      <c r="AA188" s="2853"/>
      <c r="AB188" s="2853"/>
      <c r="AC188" s="2853"/>
      <c r="AD188" s="2853"/>
      <c r="AE188" s="2853"/>
      <c r="AF188" s="2853"/>
      <c r="AG188" s="2853"/>
      <c r="AH188" s="2853"/>
      <c r="AI188" s="2855"/>
      <c r="AJ188" s="2855"/>
      <c r="AK188" s="2855"/>
      <c r="AL188" s="2855"/>
      <c r="AM188" s="2855"/>
      <c r="AN188" s="2855"/>
      <c r="AO188" s="2855"/>
      <c r="AP188" s="2855"/>
      <c r="AQ188" s="2855"/>
      <c r="AR188" s="2380">
        <f t="shared" si="25"/>
        <v>0</v>
      </c>
    </row>
    <row r="189" spans="1:44">
      <c r="A189" s="2846" t="s">
        <v>101</v>
      </c>
      <c r="B189" s="366" t="s">
        <v>31</v>
      </c>
      <c r="C189" s="3002">
        <v>0</v>
      </c>
      <c r="D189" s="3003"/>
      <c r="E189" s="3008">
        <f t="shared" si="21"/>
        <v>0</v>
      </c>
      <c r="F189" s="3005">
        <f>+SUM('RAE S.común'!B235:B238)</f>
        <v>0</v>
      </c>
      <c r="G189" s="3006">
        <f t="shared" si="22"/>
        <v>0</v>
      </c>
      <c r="H189" s="2743" t="e">
        <f t="shared" si="23"/>
        <v>#DIV/0!</v>
      </c>
      <c r="I189" s="3007"/>
      <c r="J189" s="2161" t="s">
        <v>704</v>
      </c>
      <c r="K189" s="2857" t="s">
        <v>79</v>
      </c>
      <c r="L189" s="2852">
        <f t="shared" si="24"/>
        <v>0</v>
      </c>
      <c r="M189" s="2853"/>
      <c r="N189" s="2855"/>
      <c r="O189" s="2855"/>
      <c r="P189" s="2855"/>
      <c r="Q189" s="2853"/>
      <c r="R189" s="2853"/>
      <c r="S189" s="2853"/>
      <c r="T189" s="2853"/>
      <c r="U189" s="2853"/>
      <c r="V189" s="2853"/>
      <c r="W189" s="2853"/>
      <c r="X189" s="2853"/>
      <c r="Y189" s="2853"/>
      <c r="Z189" s="2853"/>
      <c r="AA189" s="2853"/>
      <c r="AB189" s="2853"/>
      <c r="AC189" s="2853"/>
      <c r="AD189" s="2853"/>
      <c r="AE189" s="2853"/>
      <c r="AF189" s="2853"/>
      <c r="AG189" s="2853"/>
      <c r="AH189" s="2853"/>
      <c r="AI189" s="2855"/>
      <c r="AJ189" s="2855"/>
      <c r="AK189" s="2855"/>
      <c r="AL189" s="2855"/>
      <c r="AM189" s="2855"/>
      <c r="AN189" s="2855"/>
      <c r="AO189" s="2855"/>
      <c r="AP189" s="2855"/>
      <c r="AQ189" s="2855"/>
      <c r="AR189" s="2380">
        <f t="shared" si="25"/>
        <v>0</v>
      </c>
    </row>
    <row r="190" spans="1:44">
      <c r="A190" s="2846" t="s">
        <v>103</v>
      </c>
      <c r="B190" s="366" t="s">
        <v>31</v>
      </c>
      <c r="C190" s="3002">
        <v>0</v>
      </c>
      <c r="D190" s="3009"/>
      <c r="E190" s="3008">
        <f t="shared" si="21"/>
        <v>0</v>
      </c>
      <c r="F190" s="3005">
        <f>+SUM('RAE S.común'!B251:B254)</f>
        <v>0</v>
      </c>
      <c r="G190" s="3006">
        <f t="shared" si="22"/>
        <v>0</v>
      </c>
      <c r="H190" s="2743" t="e">
        <f>+G190/E190</f>
        <v>#DIV/0!</v>
      </c>
      <c r="I190" s="3007"/>
      <c r="J190" s="175"/>
      <c r="K190" s="2857" t="s">
        <v>80</v>
      </c>
      <c r="L190" s="2852">
        <f t="shared" si="24"/>
        <v>0</v>
      </c>
      <c r="M190" s="2853"/>
      <c r="N190" s="2853"/>
      <c r="O190" s="2853"/>
      <c r="P190" s="2853"/>
      <c r="Q190" s="2853"/>
      <c r="R190" s="2853"/>
      <c r="S190" s="2853"/>
      <c r="T190" s="2859"/>
      <c r="U190" s="2853"/>
      <c r="V190" s="2853"/>
      <c r="W190" s="2853"/>
      <c r="X190" s="2853"/>
      <c r="Y190" s="2853"/>
      <c r="Z190" s="2853"/>
      <c r="AA190" s="2853"/>
      <c r="AB190" s="2853"/>
      <c r="AC190" s="2853"/>
      <c r="AD190" s="2853"/>
      <c r="AE190" s="2853"/>
      <c r="AF190" s="2853"/>
      <c r="AG190" s="2853"/>
      <c r="AH190" s="2853"/>
      <c r="AI190" s="2853"/>
      <c r="AJ190" s="2853"/>
      <c r="AK190" s="2853"/>
      <c r="AL190" s="2853"/>
      <c r="AM190" s="2853"/>
      <c r="AN190" s="2853"/>
      <c r="AO190" s="2853"/>
      <c r="AP190" s="2853"/>
      <c r="AQ190" s="2853"/>
      <c r="AR190" s="2380">
        <f t="shared" si="25"/>
        <v>0</v>
      </c>
    </row>
    <row r="191" spans="1:44">
      <c r="A191" s="2846" t="s">
        <v>104</v>
      </c>
      <c r="B191" s="366" t="s">
        <v>31</v>
      </c>
      <c r="C191" s="3002">
        <v>0</v>
      </c>
      <c r="D191" s="3009"/>
      <c r="E191" s="3008">
        <f t="shared" si="21"/>
        <v>0</v>
      </c>
      <c r="F191" s="3005">
        <f>+SUM('RAE S.común'!B267:B270)</f>
        <v>0</v>
      </c>
      <c r="G191" s="3006">
        <f t="shared" si="22"/>
        <v>0</v>
      </c>
      <c r="H191" s="2743" t="e">
        <f t="shared" si="23"/>
        <v>#DIV/0!</v>
      </c>
      <c r="I191" s="3007"/>
      <c r="J191" s="175"/>
      <c r="K191" s="2860" t="s">
        <v>81</v>
      </c>
      <c r="L191" s="2852">
        <f t="shared" si="24"/>
        <v>0</v>
      </c>
      <c r="M191" s="2853"/>
      <c r="N191" s="2853"/>
      <c r="O191" s="2853"/>
      <c r="P191" s="2853"/>
      <c r="Q191" s="2853"/>
      <c r="R191" s="2853"/>
      <c r="S191" s="2853"/>
      <c r="T191" s="2853"/>
      <c r="U191" s="2853"/>
      <c r="V191" s="2853"/>
      <c r="W191" s="2853"/>
      <c r="X191" s="2853"/>
      <c r="Y191" s="2853"/>
      <c r="Z191" s="2853"/>
      <c r="AA191" s="2853"/>
      <c r="AB191" s="2853"/>
      <c r="AC191" s="2853"/>
      <c r="AD191" s="2853"/>
      <c r="AE191" s="2853"/>
      <c r="AF191" s="2853"/>
      <c r="AG191" s="2853"/>
      <c r="AH191" s="2853"/>
      <c r="AI191" s="2853"/>
      <c r="AJ191" s="2853"/>
      <c r="AK191" s="2853"/>
      <c r="AL191" s="2853"/>
      <c r="AM191" s="2853"/>
      <c r="AN191" s="2853"/>
      <c r="AO191" s="2853"/>
      <c r="AP191" s="2853"/>
      <c r="AQ191" s="2853"/>
      <c r="AR191" s="2380">
        <f t="shared" si="25"/>
        <v>0</v>
      </c>
    </row>
    <row r="192" spans="1:44">
      <c r="A192" s="2846" t="s">
        <v>105</v>
      </c>
      <c r="B192" s="366" t="s">
        <v>31</v>
      </c>
      <c r="C192" s="3002">
        <v>1296.0229999999999</v>
      </c>
      <c r="D192" s="3003"/>
      <c r="E192" s="3008">
        <f t="shared" si="21"/>
        <v>1296.0229999999999</v>
      </c>
      <c r="F192" s="3005">
        <f>+SUM('RAE S.común'!B283:B286)</f>
        <v>906.97299999999996</v>
      </c>
      <c r="G192" s="3006">
        <f t="shared" si="22"/>
        <v>389.04999999999995</v>
      </c>
      <c r="H192" s="2743">
        <f t="shared" si="23"/>
        <v>0.30018757383163724</v>
      </c>
      <c r="I192" s="3007"/>
      <c r="J192" s="175"/>
      <c r="K192" s="2860" t="s">
        <v>82</v>
      </c>
      <c r="L192" s="2852">
        <f t="shared" si="24"/>
        <v>0</v>
      </c>
      <c r="M192" s="2853"/>
      <c r="N192" s="2853"/>
      <c r="O192" s="2853"/>
      <c r="P192" s="2853"/>
      <c r="Q192" s="2853"/>
      <c r="R192" s="2853"/>
      <c r="S192" s="2853"/>
      <c r="T192" s="2853"/>
      <c r="U192" s="2853"/>
      <c r="V192" s="2853"/>
      <c r="W192" s="2853"/>
      <c r="X192" s="2853"/>
      <c r="Y192" s="2853"/>
      <c r="Z192" s="2853"/>
      <c r="AA192" s="2853"/>
      <c r="AB192" s="2853"/>
      <c r="AC192" s="2853"/>
      <c r="AD192" s="2853"/>
      <c r="AE192" s="2853"/>
      <c r="AF192" s="2853"/>
      <c r="AG192" s="2853"/>
      <c r="AH192" s="2853"/>
      <c r="AI192" s="2853"/>
      <c r="AJ192" s="2853"/>
      <c r="AK192" s="2853"/>
      <c r="AL192" s="2853"/>
      <c r="AM192" s="2853"/>
      <c r="AN192" s="2853"/>
      <c r="AO192" s="2855"/>
      <c r="AP192" s="2853"/>
      <c r="AQ192" s="2855"/>
      <c r="AR192" s="2380">
        <f t="shared" si="25"/>
        <v>0</v>
      </c>
    </row>
    <row r="193" spans="1:44">
      <c r="A193" s="2846" t="s">
        <v>107</v>
      </c>
      <c r="B193" s="366" t="s">
        <v>31</v>
      </c>
      <c r="C193" s="3002">
        <v>1591.925</v>
      </c>
      <c r="D193" s="3003"/>
      <c r="E193" s="3008">
        <f t="shared" si="21"/>
        <v>1591.925</v>
      </c>
      <c r="F193" s="3005">
        <f>+SUM('RAE S.común'!B299:B302)</f>
        <v>778.11799999999994</v>
      </c>
      <c r="G193" s="3006">
        <f t="shared" si="22"/>
        <v>813.80700000000002</v>
      </c>
      <c r="H193" s="2743">
        <f t="shared" si="23"/>
        <v>0.51120938486423673</v>
      </c>
      <c r="I193" s="3007"/>
      <c r="J193" s="175"/>
      <c r="K193" s="2860" t="s">
        <v>83</v>
      </c>
      <c r="L193" s="2852">
        <f t="shared" si="24"/>
        <v>0</v>
      </c>
      <c r="M193" s="2853"/>
      <c r="N193" s="2853"/>
      <c r="O193" s="2853"/>
      <c r="P193" s="2853"/>
      <c r="Q193" s="2853"/>
      <c r="R193" s="2853"/>
      <c r="S193" s="2853"/>
      <c r="T193" s="2853"/>
      <c r="U193" s="2853"/>
      <c r="V193" s="2853"/>
      <c r="W193" s="2853"/>
      <c r="X193" s="2853"/>
      <c r="Y193" s="2853"/>
      <c r="Z193" s="2853"/>
      <c r="AA193" s="2853"/>
      <c r="AB193" s="2853"/>
      <c r="AC193" s="2853"/>
      <c r="AD193" s="2853"/>
      <c r="AE193" s="2853"/>
      <c r="AF193" s="2853"/>
      <c r="AG193" s="2853"/>
      <c r="AH193" s="2853"/>
      <c r="AI193" s="2853"/>
      <c r="AJ193" s="2853"/>
      <c r="AK193" s="2853"/>
      <c r="AL193" s="2853"/>
      <c r="AM193" s="2853"/>
      <c r="AN193" s="2853"/>
      <c r="AO193" s="2855"/>
      <c r="AP193" s="2853"/>
      <c r="AQ193" s="2855"/>
      <c r="AR193" s="2380">
        <f t="shared" si="25"/>
        <v>0</v>
      </c>
    </row>
    <row r="194" spans="1:44">
      <c r="A194" s="2846"/>
      <c r="B194" s="366"/>
      <c r="C194" s="3002"/>
      <c r="D194" s="3009"/>
      <c r="E194" s="3008"/>
      <c r="F194" s="3005"/>
      <c r="G194" s="3006"/>
      <c r="H194" s="2743"/>
      <c r="I194" s="3007"/>
      <c r="J194" s="175"/>
      <c r="K194" s="2860" t="s">
        <v>84</v>
      </c>
      <c r="L194" s="2852">
        <f t="shared" si="24"/>
        <v>0</v>
      </c>
      <c r="M194" s="2853"/>
      <c r="N194" s="2853"/>
      <c r="O194" s="2853"/>
      <c r="P194" s="2853"/>
      <c r="Q194" s="2853"/>
      <c r="R194" s="2853"/>
      <c r="S194" s="2853"/>
      <c r="T194" s="2853"/>
      <c r="U194" s="2853"/>
      <c r="V194" s="2853"/>
      <c r="W194" s="2853"/>
      <c r="X194" s="2853"/>
      <c r="Y194" s="2853"/>
      <c r="Z194" s="2853"/>
      <c r="AA194" s="2853"/>
      <c r="AB194" s="2853"/>
      <c r="AC194" s="2853"/>
      <c r="AD194" s="2853"/>
      <c r="AE194" s="2853"/>
      <c r="AF194" s="2853"/>
      <c r="AG194" s="2853"/>
      <c r="AH194" s="2853"/>
      <c r="AI194" s="2853"/>
      <c r="AJ194" s="2853"/>
      <c r="AK194" s="2853"/>
      <c r="AL194" s="2853"/>
      <c r="AM194" s="2853"/>
      <c r="AN194" s="2853"/>
      <c r="AO194" s="2853"/>
      <c r="AP194" s="2853"/>
      <c r="AQ194" s="2853"/>
      <c r="AR194" s="2380">
        <f t="shared" si="25"/>
        <v>0</v>
      </c>
    </row>
    <row r="195" spans="1:44">
      <c r="A195" s="2846"/>
      <c r="B195" s="366"/>
      <c r="C195" s="3002"/>
      <c r="D195" s="3009"/>
      <c r="E195" s="3008"/>
      <c r="F195" s="3005"/>
      <c r="G195" s="3006"/>
      <c r="H195" s="2743"/>
      <c r="I195" s="3007"/>
      <c r="J195" s="175"/>
      <c r="K195" s="2733" t="s">
        <v>72</v>
      </c>
      <c r="L195" s="2861">
        <f>SUM(L183:L194)</f>
        <v>23578.013999999996</v>
      </c>
      <c r="M195" s="2862">
        <f>SUM(M183:M193)</f>
        <v>1312.088</v>
      </c>
      <c r="N195" s="2855">
        <f>SUM(N183:N193)</f>
        <v>248.55099999999999</v>
      </c>
      <c r="O195" s="2855">
        <v>0</v>
      </c>
      <c r="P195" s="2855">
        <f t="shared" ref="P195:AM195" si="26">SUM(P183:P193)</f>
        <v>1222.873</v>
      </c>
      <c r="Q195" s="2855">
        <f t="shared" si="26"/>
        <v>1090.354</v>
      </c>
      <c r="R195" s="2855">
        <f t="shared" si="26"/>
        <v>923.31799999999998</v>
      </c>
      <c r="S195" s="2855">
        <f t="shared" si="26"/>
        <v>924.07899999999995</v>
      </c>
      <c r="T195" s="2855">
        <f t="shared" si="26"/>
        <v>1241.143</v>
      </c>
      <c r="U195" s="2855">
        <f t="shared" si="26"/>
        <v>1064.2139999999999</v>
      </c>
      <c r="V195" s="2855">
        <f t="shared" si="26"/>
        <v>538.09199999999998</v>
      </c>
      <c r="W195" s="2855">
        <f t="shared" si="26"/>
        <v>564.83900000000006</v>
      </c>
      <c r="X195" s="2855">
        <f t="shared" si="26"/>
        <v>100.703</v>
      </c>
      <c r="Y195" s="2855">
        <f t="shared" si="26"/>
        <v>24.62</v>
      </c>
      <c r="Z195" s="2855">
        <f t="shared" si="26"/>
        <v>199.155</v>
      </c>
      <c r="AA195" s="2855">
        <f t="shared" si="26"/>
        <v>919.96699999999998</v>
      </c>
      <c r="AB195" s="2855">
        <f t="shared" si="26"/>
        <v>1056.933</v>
      </c>
      <c r="AC195" s="2855">
        <f t="shared" si="26"/>
        <v>1253.498</v>
      </c>
      <c r="AD195" s="2855">
        <f t="shared" si="26"/>
        <v>1087.6210000000001</v>
      </c>
      <c r="AE195" s="2855">
        <f t="shared" si="26"/>
        <v>1300.722</v>
      </c>
      <c r="AF195" s="2855">
        <f t="shared" si="26"/>
        <v>669.05799999999999</v>
      </c>
      <c r="AG195" s="2855">
        <f t="shared" si="26"/>
        <v>215.76499999999999</v>
      </c>
      <c r="AH195" s="2855">
        <f t="shared" si="26"/>
        <v>237.53299999999999</v>
      </c>
      <c r="AI195" s="2855">
        <f t="shared" si="26"/>
        <v>0</v>
      </c>
      <c r="AJ195" s="2855">
        <f t="shared" si="26"/>
        <v>1378.056</v>
      </c>
      <c r="AK195" s="2855">
        <f t="shared" si="26"/>
        <v>1261.4490000000001</v>
      </c>
      <c r="AL195" s="2855">
        <f t="shared" si="26"/>
        <v>1139.133</v>
      </c>
      <c r="AM195" s="2855">
        <f t="shared" si="26"/>
        <v>1222.0419999999999</v>
      </c>
      <c r="AN195" s="2855">
        <v>0</v>
      </c>
      <c r="AO195" s="2855">
        <f>SUM(AO183:AO193)</f>
        <v>0</v>
      </c>
      <c r="AP195" s="2855">
        <f>SUM(AP183:AP193)</f>
        <v>0</v>
      </c>
      <c r="AQ195" s="2855">
        <f>SUM(AQ183:AQ193)</f>
        <v>0</v>
      </c>
      <c r="AR195" s="2367">
        <f>SUM(AR183:AR193)</f>
        <v>23578.013999999996</v>
      </c>
    </row>
    <row r="196" spans="1:44">
      <c r="A196" s="2846" t="s">
        <v>58</v>
      </c>
      <c r="B196" s="366" t="s">
        <v>31</v>
      </c>
      <c r="C196" s="3002">
        <v>2042.925</v>
      </c>
      <c r="D196" s="3009"/>
      <c r="E196" s="3011">
        <f t="shared" si="21"/>
        <v>2042.925</v>
      </c>
      <c r="F196" s="3005">
        <f>+SUM('RAE S.común'!B347:B350)</f>
        <v>0</v>
      </c>
      <c r="G196" s="3006">
        <f t="shared" si="22"/>
        <v>2042.925</v>
      </c>
      <c r="H196" s="2743">
        <f t="shared" si="23"/>
        <v>1</v>
      </c>
      <c r="I196" s="3007"/>
      <c r="J196" s="175"/>
      <c r="K196" s="2851" t="s">
        <v>820</v>
      </c>
      <c r="L196" s="2863">
        <v>27750</v>
      </c>
      <c r="M196" s="2851" t="s">
        <v>823</v>
      </c>
      <c r="N196" s="2864">
        <f>SUM(L183:L186)</f>
        <v>23578.013999999996</v>
      </c>
      <c r="O196" s="2851" t="s">
        <v>826</v>
      </c>
      <c r="P196" s="2422">
        <f>+L196-N196</f>
        <v>4171.9860000000044</v>
      </c>
    </row>
    <row r="197" spans="1:44">
      <c r="A197" s="2905" t="s">
        <v>50</v>
      </c>
      <c r="B197" s="2905" t="s">
        <v>31</v>
      </c>
      <c r="C197" s="3012">
        <f>SUM(C180:C196)</f>
        <v>40396.384000000005</v>
      </c>
      <c r="D197" s="3013"/>
      <c r="E197" s="3014">
        <f>SUM(E180:E196)</f>
        <v>40396.384000000005</v>
      </c>
      <c r="F197" s="3015">
        <f>SUM(F180:F196)</f>
        <v>34241.580999999998</v>
      </c>
      <c r="G197" s="3016">
        <f>+E197-F197</f>
        <v>6154.8030000000072</v>
      </c>
      <c r="H197" s="596"/>
      <c r="J197" s="175"/>
      <c r="K197" s="2857" t="s">
        <v>821</v>
      </c>
      <c r="L197" s="2863">
        <v>3265</v>
      </c>
      <c r="M197" s="2857" t="s">
        <v>824</v>
      </c>
      <c r="N197" s="2864">
        <f>SUM(L187:L190)</f>
        <v>0</v>
      </c>
      <c r="O197" s="2857" t="s">
        <v>827</v>
      </c>
      <c r="P197" s="2864">
        <f>+L197-N197+P196</f>
        <v>7436.9860000000044</v>
      </c>
    </row>
    <row r="198" spans="1:44">
      <c r="A198" s="2908"/>
      <c r="B198" s="595"/>
      <c r="C198" s="2909"/>
      <c r="D198" s="2909"/>
      <c r="E198" s="2909"/>
      <c r="F198" s="2910"/>
      <c r="G198" s="2910"/>
      <c r="H198" s="596"/>
      <c r="J198" s="175"/>
      <c r="K198" s="2866" t="s">
        <v>822</v>
      </c>
      <c r="L198" s="2863">
        <v>1632</v>
      </c>
      <c r="M198" s="2866" t="s">
        <v>825</v>
      </c>
      <c r="N198" s="2864">
        <f>SUM(L191:L194)</f>
        <v>0</v>
      </c>
      <c r="O198" s="2866" t="s">
        <v>828</v>
      </c>
      <c r="P198" s="2864">
        <f>+L198-N198+P197</f>
        <v>9068.9860000000044</v>
      </c>
    </row>
    <row r="199" spans="1:44">
      <c r="A199" s="2893" t="s">
        <v>45</v>
      </c>
      <c r="B199" s="2893" t="s">
        <v>46</v>
      </c>
      <c r="C199" s="2894" t="s">
        <v>47</v>
      </c>
      <c r="D199" s="2894"/>
      <c r="E199" s="2894" t="s">
        <v>48</v>
      </c>
      <c r="F199" s="2893" t="s">
        <v>19</v>
      </c>
      <c r="G199" s="2893" t="s">
        <v>20</v>
      </c>
      <c r="H199" s="2893" t="s">
        <v>49</v>
      </c>
      <c r="I199" s="2895" t="s">
        <v>22</v>
      </c>
      <c r="J199" s="175"/>
      <c r="L199" s="2872">
        <f>SUM(L196:L198)</f>
        <v>32647</v>
      </c>
      <c r="N199" s="2864">
        <f>SUM(N196:N198)</f>
        <v>23578.013999999996</v>
      </c>
      <c r="P199" s="2864"/>
      <c r="R199" s="2853">
        <v>1312.088</v>
      </c>
      <c r="S199" s="2853">
        <v>248.55099999999999</v>
      </c>
      <c r="T199" s="2853">
        <v>1056.0419999999999</v>
      </c>
      <c r="U199" s="2853">
        <v>1222.873</v>
      </c>
      <c r="V199" s="2853">
        <v>1090.354</v>
      </c>
      <c r="W199" s="2855">
        <v>923.31799999999998</v>
      </c>
      <c r="X199" s="2855">
        <v>924.07899999999995</v>
      </c>
      <c r="Y199" s="2855">
        <v>614.22799999999995</v>
      </c>
      <c r="Z199" s="2856">
        <v>589.03399999999999</v>
      </c>
      <c r="AA199" s="2864">
        <f>SUM(R199:Z199)/9</f>
        <v>886.72966666666662</v>
      </c>
    </row>
    <row r="200" spans="1:44">
      <c r="A200" s="2846" t="s">
        <v>123</v>
      </c>
      <c r="B200" s="3017" t="s">
        <v>32</v>
      </c>
      <c r="C200" s="3002">
        <v>381.95100000000002</v>
      </c>
      <c r="D200" s="3013"/>
      <c r="E200" s="3018">
        <f>+C200+G180+D200</f>
        <v>458.49799999999959</v>
      </c>
      <c r="F200" s="827">
        <f>+SUM('RAE S.común'!B95:B98)</f>
        <v>510.02</v>
      </c>
      <c r="G200" s="3019">
        <f>+E200-F200</f>
        <v>-51.522000000000389</v>
      </c>
      <c r="H200" s="2743">
        <f>+G200/C200</f>
        <v>-0.13489164840516293</v>
      </c>
      <c r="I200" s="3020">
        <v>41781</v>
      </c>
      <c r="J200" s="175"/>
      <c r="K200" s="2846"/>
      <c r="AA200" s="2266">
        <f>+P196/AA199</f>
        <v>4.7049130719659447</v>
      </c>
    </row>
    <row r="201" spans="1:44">
      <c r="A201" s="2846" t="s">
        <v>54</v>
      </c>
      <c r="B201" s="2902" t="s">
        <v>32</v>
      </c>
      <c r="C201" s="3002">
        <v>4887.5820000000003</v>
      </c>
      <c r="D201" s="3013"/>
      <c r="E201" s="3018">
        <f t="shared" ref="E201:E216" si="27">+C201+G181+D201</f>
        <v>5429.5480000000007</v>
      </c>
      <c r="F201" s="827">
        <f>+SUM('RAE S.común'!B111:B114)</f>
        <v>3335.1809999999996</v>
      </c>
      <c r="G201" s="3019">
        <f t="shared" ref="G201:G216" si="28">+E201-F201</f>
        <v>2094.3670000000011</v>
      </c>
      <c r="H201" s="2743">
        <f>+G201/C201</f>
        <v>0.42850779792543653</v>
      </c>
      <c r="I201" s="3000"/>
      <c r="J201" s="175"/>
    </row>
    <row r="202" spans="1:44">
      <c r="A202" s="2846" t="s">
        <v>124</v>
      </c>
      <c r="B202" s="2902" t="s">
        <v>32</v>
      </c>
      <c r="C202" s="3002">
        <v>1789.5070000000001</v>
      </c>
      <c r="D202" s="3018"/>
      <c r="E202" s="3018">
        <f t="shared" si="27"/>
        <v>2320.3910000000001</v>
      </c>
      <c r="F202" s="827">
        <f>+SUM('RAE S.común'!B127:B130)</f>
        <v>1629.49</v>
      </c>
      <c r="G202" s="3019">
        <f t="shared" si="28"/>
        <v>690.90100000000007</v>
      </c>
      <c r="H202" s="2743">
        <f t="shared" ref="H202:H216" si="29">+G202/C202</f>
        <v>0.38608454730828101</v>
      </c>
      <c r="I202" s="3000"/>
      <c r="J202" s="175"/>
    </row>
    <row r="203" spans="1:44">
      <c r="A203" s="2846" t="s">
        <v>55</v>
      </c>
      <c r="B203" s="2902" t="s">
        <v>32</v>
      </c>
      <c r="C203" s="3174">
        <v>2204.7489999999998</v>
      </c>
      <c r="D203" s="3018"/>
      <c r="E203" s="3018">
        <f t="shared" si="27"/>
        <v>2750.5059999999994</v>
      </c>
      <c r="F203" s="827">
        <f>+SUM('RAE S.común'!B143:B146)</f>
        <v>1148.1110000000001</v>
      </c>
      <c r="G203" s="3019">
        <f t="shared" si="28"/>
        <v>1602.3949999999993</v>
      </c>
      <c r="H203" s="2743">
        <f t="shared" si="29"/>
        <v>0.72679248295384169</v>
      </c>
      <c r="I203" s="3000"/>
      <c r="J203" s="175"/>
    </row>
    <row r="204" spans="1:44" ht="15.75" customHeight="1">
      <c r="A204" s="2846" t="s">
        <v>56</v>
      </c>
      <c r="B204" s="2902" t="s">
        <v>32</v>
      </c>
      <c r="C204" s="3002">
        <v>87.843000000000004</v>
      </c>
      <c r="D204" s="3013"/>
      <c r="E204" s="3018">
        <f t="shared" si="27"/>
        <v>261.79399999999998</v>
      </c>
      <c r="F204" s="827">
        <f>+SUM('RAE S.común'!B159:B162)</f>
        <v>0</v>
      </c>
      <c r="G204" s="3019">
        <f t="shared" si="28"/>
        <v>261.79399999999998</v>
      </c>
      <c r="H204" s="2743">
        <f t="shared" si="29"/>
        <v>2.9802488530674038</v>
      </c>
      <c r="I204" s="3000"/>
      <c r="J204" s="175"/>
      <c r="K204" s="2846"/>
    </row>
    <row r="205" spans="1:44">
      <c r="A205" s="2846" t="s">
        <v>125</v>
      </c>
      <c r="B205" s="2902" t="s">
        <v>32</v>
      </c>
      <c r="C205" s="3002">
        <v>0</v>
      </c>
      <c r="D205" s="3018"/>
      <c r="E205" s="3018">
        <f t="shared" si="27"/>
        <v>0</v>
      </c>
      <c r="F205" s="827">
        <f>+SUM('RAE S.común'!B175:B178)</f>
        <v>0</v>
      </c>
      <c r="G205" s="3019">
        <f t="shared" si="28"/>
        <v>0</v>
      </c>
      <c r="H205" s="2743" t="e">
        <f t="shared" si="29"/>
        <v>#DIV/0!</v>
      </c>
      <c r="I205" s="3021"/>
      <c r="J205" s="175"/>
    </row>
    <row r="206" spans="1:44">
      <c r="A206" s="2846" t="s">
        <v>100</v>
      </c>
      <c r="B206" s="2902" t="s">
        <v>32</v>
      </c>
      <c r="C206" s="3002">
        <v>0</v>
      </c>
      <c r="D206" s="3018"/>
      <c r="E206" s="3018">
        <f t="shared" si="27"/>
        <v>0</v>
      </c>
      <c r="F206" s="827">
        <f>+SUM('RAE S.común'!B191:B194)</f>
        <v>0</v>
      </c>
      <c r="G206" s="3019">
        <f t="shared" si="28"/>
        <v>0</v>
      </c>
      <c r="H206" s="2743" t="e">
        <f t="shared" si="29"/>
        <v>#DIV/0!</v>
      </c>
      <c r="I206" s="3000"/>
      <c r="J206" s="175"/>
      <c r="K206" s="2846" t="s">
        <v>102</v>
      </c>
    </row>
    <row r="207" spans="1:44">
      <c r="A207" s="2846" t="s">
        <v>960</v>
      </c>
      <c r="B207" s="2902" t="s">
        <v>32</v>
      </c>
      <c r="C207" s="3002">
        <v>0</v>
      </c>
      <c r="D207" s="3018"/>
      <c r="E207" s="3018">
        <f t="shared" si="27"/>
        <v>0</v>
      </c>
      <c r="F207" s="827">
        <f>+SUM('RAE S.común'!B207:B210)</f>
        <v>0</v>
      </c>
      <c r="G207" s="3019">
        <f t="shared" si="28"/>
        <v>0</v>
      </c>
      <c r="H207" s="2743" t="e">
        <f t="shared" si="29"/>
        <v>#DIV/0!</v>
      </c>
      <c r="I207" s="3000"/>
      <c r="J207" s="175"/>
    </row>
    <row r="208" spans="1:44">
      <c r="A208" s="2846" t="s">
        <v>1288</v>
      </c>
      <c r="B208" s="2902" t="s">
        <v>32</v>
      </c>
      <c r="C208" s="3002">
        <v>4538.9089999999997</v>
      </c>
      <c r="D208" s="3018"/>
      <c r="E208" s="3018">
        <f t="shared" si="27"/>
        <v>5578.8250000000025</v>
      </c>
      <c r="F208" s="827">
        <f>+SUM('RAE S.común'!B223:B226)</f>
        <v>3456.8680000000004</v>
      </c>
      <c r="G208" s="3019">
        <f t="shared" si="28"/>
        <v>2121.9570000000022</v>
      </c>
      <c r="H208" s="2743">
        <f t="shared" si="29"/>
        <v>0.46750375475692557</v>
      </c>
      <c r="I208" s="3000"/>
      <c r="J208" s="175"/>
    </row>
    <row r="209" spans="1:11">
      <c r="A209" s="2846" t="s">
        <v>101</v>
      </c>
      <c r="B209" s="2902" t="s">
        <v>32</v>
      </c>
      <c r="C209" s="3002">
        <v>0</v>
      </c>
      <c r="D209" s="3013"/>
      <c r="E209" s="3018">
        <f t="shared" si="27"/>
        <v>0</v>
      </c>
      <c r="F209" s="827">
        <f>+SUM('RAE S.común'!B239:B242)</f>
        <v>0</v>
      </c>
      <c r="G209" s="3019">
        <f>+E209-F209</f>
        <v>0</v>
      </c>
      <c r="H209" s="2743" t="e">
        <f t="shared" si="29"/>
        <v>#DIV/0!</v>
      </c>
      <c r="I209" s="3000"/>
      <c r="J209" s="175"/>
    </row>
    <row r="210" spans="1:11">
      <c r="A210" s="2846" t="s">
        <v>103</v>
      </c>
      <c r="B210" s="2902" t="s">
        <v>32</v>
      </c>
      <c r="C210" s="3002">
        <v>24.138999999999999</v>
      </c>
      <c r="D210" s="3018"/>
      <c r="E210" s="3018">
        <f t="shared" si="27"/>
        <v>24.138999999999999</v>
      </c>
      <c r="F210" s="827">
        <f>+SUM('RAE S.común'!B255:B258)</f>
        <v>0</v>
      </c>
      <c r="G210" s="3019">
        <f t="shared" si="28"/>
        <v>24.138999999999999</v>
      </c>
      <c r="H210" s="2743">
        <f t="shared" si="29"/>
        <v>1</v>
      </c>
      <c r="I210" s="2994"/>
      <c r="J210" s="175"/>
      <c r="K210" s="2846" t="s">
        <v>106</v>
      </c>
    </row>
    <row r="211" spans="1:11">
      <c r="A211" s="2846" t="s">
        <v>104</v>
      </c>
      <c r="B211" s="2902" t="s">
        <v>32</v>
      </c>
      <c r="C211" s="3002">
        <v>0</v>
      </c>
      <c r="D211" s="3018"/>
      <c r="E211" s="3018">
        <f t="shared" si="27"/>
        <v>0</v>
      </c>
      <c r="F211" s="827">
        <f>+SUM('RAE S.común'!B271:B274)</f>
        <v>0</v>
      </c>
      <c r="G211" s="3019">
        <f t="shared" si="28"/>
        <v>0</v>
      </c>
      <c r="H211" s="2743" t="e">
        <f t="shared" si="29"/>
        <v>#DIV/0!</v>
      </c>
      <c r="I211" s="3022"/>
      <c r="J211" s="175"/>
    </row>
    <row r="212" spans="1:11">
      <c r="A212" s="2846" t="s">
        <v>105</v>
      </c>
      <c r="B212" s="2902" t="s">
        <v>32</v>
      </c>
      <c r="C212" s="3002">
        <v>152.464</v>
      </c>
      <c r="D212" s="3013"/>
      <c r="E212" s="3018">
        <f t="shared" si="27"/>
        <v>541.5139999999999</v>
      </c>
      <c r="F212" s="827">
        <f>+SUM('RAE S.común'!B287:B290)</f>
        <v>301.66800000000001</v>
      </c>
      <c r="G212" s="3019">
        <f t="shared" si="28"/>
        <v>239.84599999999989</v>
      </c>
      <c r="H212" s="2743">
        <f t="shared" si="29"/>
        <v>1.573132018050162</v>
      </c>
      <c r="I212" s="3022"/>
      <c r="J212" s="175"/>
      <c r="K212" s="2846"/>
    </row>
    <row r="213" spans="1:11">
      <c r="A213" s="2846" t="s">
        <v>107</v>
      </c>
      <c r="B213" s="2902" t="s">
        <v>32</v>
      </c>
      <c r="C213" s="3002">
        <v>187.274</v>
      </c>
      <c r="D213" s="3013"/>
      <c r="E213" s="3018">
        <f t="shared" si="27"/>
        <v>1001.081</v>
      </c>
      <c r="F213" s="827">
        <f>+SUM('RAE S.común'!B303:B306)</f>
        <v>130.23200000000003</v>
      </c>
      <c r="G213" s="3019">
        <f t="shared" si="28"/>
        <v>870.84899999999993</v>
      </c>
      <c r="H213" s="2743">
        <f t="shared" si="29"/>
        <v>4.650132960261435</v>
      </c>
      <c r="I213" s="3022"/>
      <c r="J213" s="175"/>
    </row>
    <row r="214" spans="1:11">
      <c r="A214" s="2846"/>
      <c r="B214" s="2902"/>
      <c r="C214" s="3002"/>
      <c r="D214" s="3018"/>
      <c r="E214" s="3018"/>
      <c r="F214" s="827"/>
      <c r="G214" s="3019"/>
      <c r="H214" s="2743"/>
      <c r="I214" s="3022"/>
      <c r="J214" s="175"/>
    </row>
    <row r="215" spans="1:11">
      <c r="A215" s="2865"/>
      <c r="B215" s="2902"/>
      <c r="C215" s="3002"/>
      <c r="D215" s="3018"/>
      <c r="E215" s="3018"/>
      <c r="F215" s="827"/>
      <c r="G215" s="3019"/>
      <c r="H215" s="2743"/>
      <c r="I215" s="3022"/>
      <c r="J215" s="175"/>
      <c r="K215" s="2865" t="s">
        <v>126</v>
      </c>
    </row>
    <row r="216" spans="1:11" ht="15" customHeight="1">
      <c r="A216" s="2865" t="s">
        <v>58</v>
      </c>
      <c r="B216" s="2902" t="s">
        <v>32</v>
      </c>
      <c r="C216" s="3002">
        <v>240.33</v>
      </c>
      <c r="D216" s="3018"/>
      <c r="E216" s="3018">
        <f t="shared" si="27"/>
        <v>2283.2550000000001</v>
      </c>
      <c r="F216" s="827">
        <f>+SUM('RAE S.común'!B351:B354)</f>
        <v>0</v>
      </c>
      <c r="G216" s="3019">
        <f t="shared" si="28"/>
        <v>2283.2550000000001</v>
      </c>
      <c r="H216" s="2743">
        <f t="shared" si="29"/>
        <v>9.5004993134440152</v>
      </c>
      <c r="I216" s="3000"/>
      <c r="J216" s="175"/>
    </row>
    <row r="217" spans="1:11">
      <c r="A217" s="2905" t="s">
        <v>50</v>
      </c>
      <c r="B217" s="3023" t="s">
        <v>32</v>
      </c>
      <c r="C217" s="2906">
        <f>SUM(C200:C216)</f>
        <v>14494.748</v>
      </c>
      <c r="D217" s="2906"/>
      <c r="E217" s="3024">
        <f>SUM(E200:E216)</f>
        <v>20649.550999999999</v>
      </c>
      <c r="F217" s="3024">
        <f>SUM(F200:F216)</f>
        <v>10511.57</v>
      </c>
      <c r="G217" s="551">
        <f>+E217-F217</f>
        <v>10137.981</v>
      </c>
      <c r="H217" s="596"/>
      <c r="J217" s="175"/>
    </row>
    <row r="218" spans="1:11" ht="5.0999999999999996" customHeight="1">
      <c r="A218" s="2916"/>
      <c r="B218" s="2917"/>
      <c r="C218" s="2909"/>
      <c r="D218" s="2909"/>
      <c r="E218" s="2909"/>
      <c r="F218" s="3025"/>
      <c r="G218" s="2910"/>
      <c r="H218" s="596"/>
      <c r="J218" s="175"/>
    </row>
    <row r="219" spans="1:11">
      <c r="A219" s="2893" t="s">
        <v>45</v>
      </c>
      <c r="B219" s="2893" t="s">
        <v>46</v>
      </c>
      <c r="C219" s="2894" t="s">
        <v>47</v>
      </c>
      <c r="D219" s="2894" t="s">
        <v>456</v>
      </c>
      <c r="E219" s="2894" t="s">
        <v>48</v>
      </c>
      <c r="F219" s="2893" t="s">
        <v>19</v>
      </c>
      <c r="G219" s="2893" t="s">
        <v>20</v>
      </c>
      <c r="H219" s="2893" t="s">
        <v>49</v>
      </c>
      <c r="I219" s="2895" t="s">
        <v>22</v>
      </c>
      <c r="J219" s="175"/>
    </row>
    <row r="220" spans="1:11">
      <c r="A220" s="2846" t="s">
        <v>123</v>
      </c>
      <c r="B220" s="2902" t="s">
        <v>33</v>
      </c>
      <c r="C220" s="3002">
        <v>191.01400000000001</v>
      </c>
      <c r="D220" s="3013"/>
      <c r="E220" s="3018">
        <f>+C220+G200+D220</f>
        <v>139.49199999999962</v>
      </c>
      <c r="F220" s="3026">
        <f>+SUM('RAE S.común'!B99:B102)</f>
        <v>137.52500000000001</v>
      </c>
      <c r="G220" s="3214">
        <f>+E220-F220</f>
        <v>1.9669999999996151</v>
      </c>
      <c r="H220" s="2743">
        <f t="shared" ref="H220:H236" si="30">+G220/E220</f>
        <v>1.4101167092016892E-2</v>
      </c>
      <c r="I220" s="3000"/>
      <c r="J220" s="175"/>
    </row>
    <row r="221" spans="1:11">
      <c r="A221" s="2846" t="s">
        <v>54</v>
      </c>
      <c r="B221" s="2902" t="s">
        <v>33</v>
      </c>
      <c r="C221" s="3002">
        <v>728.447</v>
      </c>
      <c r="D221" s="3013"/>
      <c r="E221" s="3018">
        <f t="shared" ref="E221:E236" si="31">+C221+G201+D221</f>
        <v>2822.8140000000012</v>
      </c>
      <c r="F221" s="3026">
        <f>+SUM('RAE S.común'!B115:B118)</f>
        <v>2807.7839999999997</v>
      </c>
      <c r="G221" s="3214">
        <f t="shared" ref="G221:G236" si="32">+E221-F221</f>
        <v>15.030000000001564</v>
      </c>
      <c r="H221" s="2743">
        <f t="shared" si="30"/>
        <v>5.3244740886227567E-3</v>
      </c>
      <c r="I221" s="3000"/>
      <c r="J221" s="175"/>
    </row>
    <row r="222" spans="1:11">
      <c r="A222" s="2846" t="s">
        <v>124</v>
      </c>
      <c r="B222" s="2902" t="s">
        <v>33</v>
      </c>
      <c r="C222" s="3002">
        <v>669.80700000000002</v>
      </c>
      <c r="D222" s="3018"/>
      <c r="E222" s="3018">
        <f t="shared" si="31"/>
        <v>1360.7080000000001</v>
      </c>
      <c r="F222" s="3026">
        <f>+SUM('RAE S.común'!B131:B134)</f>
        <v>1360.08</v>
      </c>
      <c r="G222" s="3214">
        <f t="shared" si="32"/>
        <v>0.62800000000015643</v>
      </c>
      <c r="H222" s="2743">
        <f t="shared" si="30"/>
        <v>4.6152444168782455E-4</v>
      </c>
      <c r="I222" s="3000"/>
      <c r="J222" s="175"/>
    </row>
    <row r="223" spans="1:11">
      <c r="A223" s="2846" t="s">
        <v>55</v>
      </c>
      <c r="B223" s="2902" t="s">
        <v>33</v>
      </c>
      <c r="C223" s="3002">
        <v>202.41499999999999</v>
      </c>
      <c r="D223" s="3018"/>
      <c r="E223" s="3018">
        <f t="shared" si="31"/>
        <v>1804.8099999999993</v>
      </c>
      <c r="F223" s="3026">
        <f>+SUM('RAE S.común'!B147:B150)</f>
        <v>1804.8100000000002</v>
      </c>
      <c r="G223" s="3214">
        <f t="shared" si="32"/>
        <v>0</v>
      </c>
      <c r="H223" s="2743">
        <f t="shared" si="30"/>
        <v>0</v>
      </c>
      <c r="I223" s="3000"/>
      <c r="J223" s="175"/>
    </row>
    <row r="224" spans="1:11" ht="17.25" customHeight="1">
      <c r="A224" s="2846" t="s">
        <v>56</v>
      </c>
      <c r="B224" s="2902" t="s">
        <v>33</v>
      </c>
      <c r="C224" s="3002">
        <v>43.93</v>
      </c>
      <c r="D224" s="3027"/>
      <c r="E224" s="3018">
        <f t="shared" si="31"/>
        <v>305.72399999999999</v>
      </c>
      <c r="F224" s="3026">
        <f>+SUM('RAE S.común'!B163:B166)</f>
        <v>194.05500000000001</v>
      </c>
      <c r="G224" s="3026">
        <f t="shared" si="32"/>
        <v>111.66899999999998</v>
      </c>
      <c r="H224" s="2743">
        <f t="shared" si="30"/>
        <v>0.36526082348785177</v>
      </c>
      <c r="I224" s="1076"/>
      <c r="J224" s="1266"/>
    </row>
    <row r="225" spans="1:10">
      <c r="A225" s="2846" t="s">
        <v>125</v>
      </c>
      <c r="B225" s="2902" t="s">
        <v>33</v>
      </c>
      <c r="C225" s="3002">
        <v>18.706</v>
      </c>
      <c r="D225" s="3018"/>
      <c r="E225" s="3018">
        <f t="shared" si="31"/>
        <v>18.706</v>
      </c>
      <c r="F225" s="3026">
        <f>+SUM('RAE S.común'!B179:B182)</f>
        <v>0</v>
      </c>
      <c r="G225" s="3026">
        <f t="shared" si="32"/>
        <v>18.706</v>
      </c>
      <c r="H225" s="2743">
        <f t="shared" si="30"/>
        <v>1</v>
      </c>
      <c r="I225" s="3000"/>
      <c r="J225" s="175"/>
    </row>
    <row r="226" spans="1:10">
      <c r="A226" s="2846" t="s">
        <v>100</v>
      </c>
      <c r="B226" s="2902" t="s">
        <v>33</v>
      </c>
      <c r="C226" s="3002">
        <v>0</v>
      </c>
      <c r="D226" s="3018"/>
      <c r="E226" s="3018">
        <f t="shared" si="31"/>
        <v>0</v>
      </c>
      <c r="F226" s="3026">
        <f>+SUM('RAE S.común'!B195:B198)</f>
        <v>0</v>
      </c>
      <c r="G226" s="3026">
        <f t="shared" si="32"/>
        <v>0</v>
      </c>
      <c r="H226" s="2743" t="e">
        <f t="shared" si="30"/>
        <v>#DIV/0!</v>
      </c>
      <c r="I226" s="3000"/>
      <c r="J226" s="175"/>
    </row>
    <row r="227" spans="1:10">
      <c r="A227" s="2846" t="s">
        <v>960</v>
      </c>
      <c r="B227" s="2902" t="s">
        <v>33</v>
      </c>
      <c r="C227" s="3002">
        <v>2.9039999999999999</v>
      </c>
      <c r="D227" s="3018"/>
      <c r="E227" s="3018">
        <f t="shared" si="31"/>
        <v>2.9039999999999999</v>
      </c>
      <c r="F227" s="3026">
        <f>+SUM('RAE S.común'!B211:B214)</f>
        <v>0</v>
      </c>
      <c r="G227" s="3026">
        <f t="shared" si="32"/>
        <v>2.9039999999999999</v>
      </c>
      <c r="H227" s="2743">
        <f t="shared" si="30"/>
        <v>1</v>
      </c>
      <c r="I227" s="3000"/>
      <c r="J227" s="175"/>
    </row>
    <row r="228" spans="1:10">
      <c r="A228" s="2846" t="s">
        <v>1288</v>
      </c>
      <c r="B228" s="2902" t="s">
        <v>33</v>
      </c>
      <c r="C228" s="3002">
        <v>654.98099999999999</v>
      </c>
      <c r="D228" s="3018"/>
      <c r="E228" s="3018">
        <f t="shared" si="31"/>
        <v>2776.9380000000019</v>
      </c>
      <c r="F228" s="3026">
        <f>+SUM('RAE S.común'!B227:B230)</f>
        <v>2771.9230000000002</v>
      </c>
      <c r="G228" s="3214">
        <f>+E228-F228</f>
        <v>5.0150000000016917</v>
      </c>
      <c r="H228" s="2743">
        <f t="shared" si="30"/>
        <v>1.8059459735873427E-3</v>
      </c>
      <c r="I228" s="3000"/>
      <c r="J228" s="175"/>
    </row>
    <row r="229" spans="1:10">
      <c r="A229" s="2846" t="s">
        <v>101</v>
      </c>
      <c r="B229" s="2902" t="s">
        <v>33</v>
      </c>
      <c r="C229" s="3002">
        <v>1E-3</v>
      </c>
      <c r="D229" s="3013"/>
      <c r="E229" s="3018">
        <f t="shared" si="31"/>
        <v>1E-3</v>
      </c>
      <c r="F229" s="3026">
        <f>+SUM('RAE S.común'!B243:B246)</f>
        <v>0</v>
      </c>
      <c r="G229" s="3026">
        <f t="shared" si="32"/>
        <v>1E-3</v>
      </c>
      <c r="H229" s="2743">
        <f t="shared" si="30"/>
        <v>1</v>
      </c>
      <c r="I229" s="3000"/>
      <c r="J229" s="175"/>
    </row>
    <row r="230" spans="1:10">
      <c r="A230" s="2846" t="s">
        <v>103</v>
      </c>
      <c r="B230" s="2902" t="s">
        <v>33</v>
      </c>
      <c r="C230" s="3002">
        <v>12.193</v>
      </c>
      <c r="D230" s="3018"/>
      <c r="E230" s="3018">
        <f t="shared" si="31"/>
        <v>36.332000000000001</v>
      </c>
      <c r="F230" s="3026">
        <f>+SUM('RAE S.común'!B259:B262)</f>
        <v>0</v>
      </c>
      <c r="G230" s="3026">
        <f t="shared" si="32"/>
        <v>36.332000000000001</v>
      </c>
      <c r="H230" s="2743">
        <f t="shared" si="30"/>
        <v>1</v>
      </c>
      <c r="I230" s="3022"/>
      <c r="J230" s="175"/>
    </row>
    <row r="231" spans="1:10">
      <c r="A231" s="2846" t="s">
        <v>104</v>
      </c>
      <c r="B231" s="2902" t="s">
        <v>33</v>
      </c>
      <c r="C231" s="3002">
        <v>8</v>
      </c>
      <c r="D231" s="3018"/>
      <c r="E231" s="3018">
        <f t="shared" si="31"/>
        <v>8</v>
      </c>
      <c r="F231" s="3026">
        <f>+SUM('RAE S.común'!B275:B278)</f>
        <v>0</v>
      </c>
      <c r="G231" s="3026">
        <f t="shared" si="32"/>
        <v>8</v>
      </c>
      <c r="H231" s="2743">
        <f t="shared" si="30"/>
        <v>1</v>
      </c>
      <c r="I231" s="3000"/>
      <c r="J231" s="175"/>
    </row>
    <row r="232" spans="1:10">
      <c r="A232" s="2846" t="s">
        <v>105</v>
      </c>
      <c r="B232" s="2902" t="s">
        <v>33</v>
      </c>
      <c r="C232" s="3002">
        <v>76.247</v>
      </c>
      <c r="D232" s="3013"/>
      <c r="E232" s="3018">
        <f t="shared" si="31"/>
        <v>316.0929999999999</v>
      </c>
      <c r="F232" s="3026">
        <f>+SUM('RAE S.común'!B291:B294)</f>
        <v>315.18</v>
      </c>
      <c r="G232" s="3214">
        <f t="shared" si="32"/>
        <v>0.91299999999989723</v>
      </c>
      <c r="H232" s="2743">
        <f t="shared" si="30"/>
        <v>2.8883904420531222E-3</v>
      </c>
      <c r="I232" s="3000"/>
      <c r="J232" s="175"/>
    </row>
    <row r="233" spans="1:10">
      <c r="A233" s="2846" t="s">
        <v>107</v>
      </c>
      <c r="B233" s="2902" t="s">
        <v>33</v>
      </c>
      <c r="C233" s="3002">
        <v>93.656000000000006</v>
      </c>
      <c r="D233" s="3013"/>
      <c r="E233" s="3018">
        <f t="shared" si="31"/>
        <v>964.50499999999988</v>
      </c>
      <c r="F233" s="3026">
        <f>+SUM('RAE S.común'!B307:B310)</f>
        <v>964.50499999999988</v>
      </c>
      <c r="G233" s="3214">
        <f t="shared" si="32"/>
        <v>0</v>
      </c>
      <c r="H233" s="2743">
        <f t="shared" si="30"/>
        <v>0</v>
      </c>
      <c r="I233" s="3000"/>
      <c r="J233" s="175"/>
    </row>
    <row r="234" spans="1:10">
      <c r="A234" s="2865"/>
      <c r="B234" s="2902"/>
      <c r="C234" s="3002"/>
      <c r="D234" s="3018"/>
      <c r="E234" s="3018"/>
      <c r="F234" s="3026"/>
      <c r="G234" s="3026"/>
      <c r="H234" s="2743"/>
      <c r="I234" s="3000"/>
      <c r="J234" s="175"/>
    </row>
    <row r="235" spans="1:10">
      <c r="A235" s="2865"/>
      <c r="B235" s="2902"/>
      <c r="C235" s="3002"/>
      <c r="D235" s="3018"/>
      <c r="E235" s="3018"/>
      <c r="F235" s="3026"/>
      <c r="G235" s="3026"/>
      <c r="H235" s="2743"/>
      <c r="I235" s="3000"/>
      <c r="J235" s="175"/>
    </row>
    <row r="236" spans="1:10" ht="15" customHeight="1">
      <c r="A236" s="2865" t="s">
        <v>58</v>
      </c>
      <c r="B236" s="2902" t="s">
        <v>33</v>
      </c>
      <c r="C236" s="3002">
        <v>120.18899999999999</v>
      </c>
      <c r="D236" s="3018"/>
      <c r="E236" s="3018">
        <f t="shared" si="31"/>
        <v>2403.444</v>
      </c>
      <c r="F236" s="3026">
        <f>+SUM('RAE S.común'!B355:B358)</f>
        <v>2225.9850000000001</v>
      </c>
      <c r="G236" s="3026">
        <f t="shared" si="32"/>
        <v>177.45899999999983</v>
      </c>
      <c r="H236" s="2743">
        <f t="shared" si="30"/>
        <v>7.3835296349738053E-2</v>
      </c>
      <c r="I236" s="3000"/>
      <c r="J236" s="175"/>
    </row>
    <row r="237" spans="1:10">
      <c r="A237" s="2905" t="s">
        <v>50</v>
      </c>
      <c r="B237" s="3023" t="s">
        <v>33</v>
      </c>
      <c r="C237" s="2906">
        <f>SUM(C220:C236)</f>
        <v>2822.49</v>
      </c>
      <c r="D237" s="2906"/>
      <c r="E237" s="2906">
        <f>SUM(E220:E236)</f>
        <v>12960.471000000003</v>
      </c>
      <c r="F237" s="2914">
        <f>SUM(F220:F236)</f>
        <v>12581.847</v>
      </c>
      <c r="G237" s="3028">
        <f>+E237-F237</f>
        <v>378.62400000000343</v>
      </c>
      <c r="H237" s="596"/>
      <c r="J237" s="175"/>
    </row>
    <row r="238" spans="1:10">
      <c r="A238" s="2916"/>
      <c r="B238" s="2917"/>
      <c r="C238" s="2909">
        <f>+C237+C217+C197</f>
        <v>57713.622000000003</v>
      </c>
      <c r="D238" s="2909"/>
      <c r="E238" s="2909"/>
      <c r="F238" s="3025"/>
      <c r="G238" s="2910"/>
      <c r="H238" s="596"/>
      <c r="J238" s="175"/>
    </row>
    <row r="239" spans="1:10">
      <c r="A239" s="3843" t="s">
        <v>59</v>
      </c>
      <c r="B239" s="3844"/>
      <c r="C239" s="2909"/>
      <c r="D239" s="2909"/>
      <c r="E239" s="2909"/>
      <c r="F239" s="3025"/>
      <c r="G239" s="2910"/>
      <c r="H239" s="596"/>
      <c r="J239" s="175"/>
    </row>
    <row r="240" spans="1:10" ht="5.0999999999999996" customHeight="1">
      <c r="A240" s="2908"/>
      <c r="B240" s="595"/>
      <c r="C240" s="2909"/>
      <c r="D240" s="2909"/>
      <c r="E240" s="2909"/>
      <c r="F240" s="2910"/>
      <c r="G240" s="2910"/>
      <c r="H240" s="2971"/>
      <c r="J240" s="175"/>
    </row>
    <row r="241" spans="1:15">
      <c r="A241" s="2893" t="s">
        <v>45</v>
      </c>
      <c r="B241" s="2893" t="s">
        <v>46</v>
      </c>
      <c r="C241" s="2894" t="s">
        <v>47</v>
      </c>
      <c r="D241" s="2894" t="s">
        <v>313</v>
      </c>
      <c r="E241" s="2894" t="s">
        <v>48</v>
      </c>
      <c r="F241" s="2893" t="s">
        <v>19</v>
      </c>
      <c r="G241" s="2893" t="s">
        <v>20</v>
      </c>
      <c r="H241" s="2893" t="s">
        <v>49</v>
      </c>
      <c r="I241" s="2895" t="s">
        <v>22</v>
      </c>
      <c r="J241" s="175"/>
    </row>
    <row r="242" spans="1:15">
      <c r="A242" s="2678" t="s">
        <v>777</v>
      </c>
      <c r="B242" s="1076" t="s">
        <v>36</v>
      </c>
      <c r="C242" s="3002">
        <v>216.97300000000001</v>
      </c>
      <c r="D242" s="3029"/>
      <c r="E242" s="3029">
        <f>+C242+D242</f>
        <v>216.97300000000001</v>
      </c>
      <c r="F242" s="3029">
        <f>+SUM('RAE S.común'!B364:B369)</f>
        <v>235.44900000000001</v>
      </c>
      <c r="G242" s="3018">
        <f>+E242-F242</f>
        <v>-18.475999999999999</v>
      </c>
      <c r="H242" s="2743">
        <f t="shared" ref="H242" si="33">1-+F242/E242</f>
        <v>-8.5153452272863417E-2</v>
      </c>
      <c r="I242" s="3000"/>
      <c r="J242" s="175"/>
      <c r="K242" s="3030"/>
      <c r="L242" s="3031"/>
      <c r="M242" s="3032"/>
      <c r="N242" s="1146"/>
      <c r="O242" s="1146"/>
    </row>
    <row r="243" spans="1:15">
      <c r="A243" s="2678" t="s">
        <v>60</v>
      </c>
      <c r="B243" s="1076" t="s">
        <v>36</v>
      </c>
      <c r="C243" s="3002">
        <v>30.414000000000001</v>
      </c>
      <c r="D243" s="3029"/>
      <c r="E243" s="3029">
        <f>+C243+D243</f>
        <v>30.414000000000001</v>
      </c>
      <c r="F243" s="3029">
        <f>+SUM('RAE S.común'!B380:B385)</f>
        <v>30.414000000000001</v>
      </c>
      <c r="G243" s="3018">
        <f>+E243-F243</f>
        <v>0</v>
      </c>
      <c r="H243" s="2743">
        <f t="shared" ref="H243:H254" si="34">1-+F243/E243</f>
        <v>0</v>
      </c>
      <c r="I243" s="3000"/>
      <c r="J243" s="175"/>
      <c r="K243" s="3030"/>
      <c r="L243" s="3031"/>
      <c r="M243" s="3032"/>
      <c r="N243" s="1146"/>
      <c r="O243" s="1146"/>
    </row>
    <row r="244" spans="1:15">
      <c r="A244" s="2678" t="s">
        <v>575</v>
      </c>
      <c r="B244" s="1076" t="s">
        <v>36</v>
      </c>
      <c r="C244" s="3002">
        <v>135.45599999999999</v>
      </c>
      <c r="D244" s="3029"/>
      <c r="E244" s="3029">
        <f t="shared" ref="E244:E246" si="35">+C244</f>
        <v>135.45599999999999</v>
      </c>
      <c r="F244" s="3029">
        <f>+SUM('RAE S.común'!B396:B401)</f>
        <v>139.70600000000002</v>
      </c>
      <c r="G244" s="3018">
        <f t="shared" ref="G244:G246" si="36">+E244-F244</f>
        <v>-4.2500000000000284</v>
      </c>
      <c r="H244" s="2743">
        <f t="shared" si="34"/>
        <v>-3.1375502008032408E-2</v>
      </c>
      <c r="I244" s="3000"/>
      <c r="J244" s="175"/>
      <c r="K244" s="3030"/>
      <c r="L244" s="3031">
        <v>135.45599999999999</v>
      </c>
      <c r="M244" s="3032">
        <v>2113.4050000000002</v>
      </c>
      <c r="N244" s="1146"/>
      <c r="O244" s="1146"/>
    </row>
    <row r="245" spans="1:15">
      <c r="A245" s="2678" t="s">
        <v>523</v>
      </c>
      <c r="B245" s="1076" t="s">
        <v>36</v>
      </c>
      <c r="C245" s="3174">
        <v>59.68</v>
      </c>
      <c r="D245" s="3033"/>
      <c r="E245" s="3029">
        <f t="shared" si="35"/>
        <v>59.68</v>
      </c>
      <c r="F245" s="2164">
        <f>+SUM('RAE S.común'!B412:B417)</f>
        <v>60.018999999999998</v>
      </c>
      <c r="G245" s="3018">
        <f t="shared" si="36"/>
        <v>-0.33899999999999864</v>
      </c>
      <c r="H245" s="2743">
        <f t="shared" si="34"/>
        <v>-5.6802949061662833E-3</v>
      </c>
      <c r="I245" s="3000"/>
      <c r="J245" s="177"/>
      <c r="K245" s="3030"/>
      <c r="L245" s="3034"/>
      <c r="M245" s="3032"/>
      <c r="N245" s="1146"/>
      <c r="O245" s="1146"/>
    </row>
    <row r="246" spans="1:15">
      <c r="A246" s="2678" t="s">
        <v>576</v>
      </c>
      <c r="B246" s="1076" t="s">
        <v>36</v>
      </c>
      <c r="C246" s="3002">
        <v>707.54700000000003</v>
      </c>
      <c r="D246" s="3033"/>
      <c r="E246" s="3029">
        <f t="shared" si="35"/>
        <v>707.54700000000003</v>
      </c>
      <c r="F246" s="2164">
        <f>+SUM('RAE S.común'!B428:B433)</f>
        <v>228.91499999999996</v>
      </c>
      <c r="G246" s="3018">
        <f t="shared" si="36"/>
        <v>478.63200000000006</v>
      </c>
      <c r="H246" s="2743">
        <f t="shared" si="34"/>
        <v>0.67646672235201344</v>
      </c>
      <c r="I246" s="3000"/>
      <c r="J246" s="177"/>
      <c r="K246" s="3030"/>
      <c r="L246" s="3034"/>
      <c r="M246" s="3032"/>
      <c r="N246" s="1146"/>
      <c r="O246" s="1146"/>
    </row>
    <row r="247" spans="1:15">
      <c r="A247" s="2678" t="s">
        <v>61</v>
      </c>
      <c r="B247" s="1076" t="s">
        <v>36</v>
      </c>
      <c r="C247" s="3002">
        <v>199.87700000000001</v>
      </c>
      <c r="D247" s="3029"/>
      <c r="E247" s="3029">
        <f t="shared" ref="E247:E253" si="37">+C247</f>
        <v>199.87700000000001</v>
      </c>
      <c r="F247" s="3029">
        <f>+SUM('RAE S.común'!B444:B449)</f>
        <v>69.228999999999999</v>
      </c>
      <c r="G247" s="3018">
        <f t="shared" ref="G247:G254" si="38">+E247-F247</f>
        <v>130.64800000000002</v>
      </c>
      <c r="H247" s="2743">
        <f t="shared" si="34"/>
        <v>0.65364198982374155</v>
      </c>
      <c r="I247" s="3000"/>
      <c r="J247" s="175"/>
      <c r="K247" s="3030"/>
      <c r="L247" s="3031"/>
      <c r="M247" s="3032"/>
      <c r="N247" s="1146"/>
      <c r="O247" s="1146"/>
    </row>
    <row r="248" spans="1:15">
      <c r="A248" s="2678" t="s">
        <v>527</v>
      </c>
      <c r="B248" s="1076" t="s">
        <v>36</v>
      </c>
      <c r="C248" s="3002">
        <v>13.185</v>
      </c>
      <c r="D248" s="2164"/>
      <c r="E248" s="2164">
        <f t="shared" si="37"/>
        <v>13.185</v>
      </c>
      <c r="F248" s="2164">
        <f>+SUM('RAE S.común'!B460:B465)</f>
        <v>0</v>
      </c>
      <c r="G248" s="2932">
        <f t="shared" si="38"/>
        <v>13.185</v>
      </c>
      <c r="H248" s="2743">
        <f t="shared" si="34"/>
        <v>1</v>
      </c>
      <c r="I248" s="3000"/>
      <c r="J248" s="175"/>
      <c r="K248" s="3030"/>
      <c r="L248" s="3034"/>
      <c r="M248" s="3032"/>
      <c r="N248" s="1146"/>
      <c r="O248" s="1146"/>
    </row>
    <row r="249" spans="1:15">
      <c r="A249" s="3035" t="s">
        <v>526</v>
      </c>
      <c r="B249" s="1076" t="s">
        <v>36</v>
      </c>
      <c r="C249" s="3002">
        <v>0</v>
      </c>
      <c r="D249" s="2164"/>
      <c r="E249" s="2164">
        <f t="shared" si="37"/>
        <v>0</v>
      </c>
      <c r="F249" s="2164">
        <f>+SUM('RAE S.común'!B476:B481)</f>
        <v>0</v>
      </c>
      <c r="G249" s="2932">
        <f t="shared" si="38"/>
        <v>0</v>
      </c>
      <c r="H249" s="2743" t="e">
        <f t="shared" si="34"/>
        <v>#DIV/0!</v>
      </c>
      <c r="I249" s="3000"/>
      <c r="J249" s="175"/>
      <c r="K249" s="3030"/>
      <c r="L249" s="3034"/>
      <c r="M249" s="3032"/>
      <c r="N249" s="1146"/>
      <c r="O249" s="1146"/>
    </row>
    <row r="250" spans="1:15">
      <c r="A250" s="2678" t="s">
        <v>62</v>
      </c>
      <c r="B250" s="1076" t="s">
        <v>36</v>
      </c>
      <c r="C250" s="3002">
        <v>0</v>
      </c>
      <c r="D250" s="3036"/>
      <c r="E250" s="2164">
        <f>+C250+D250</f>
        <v>0</v>
      </c>
      <c r="F250" s="2164">
        <f>+SUM('RAE S.común'!B492:B497)</f>
        <v>0</v>
      </c>
      <c r="G250" s="2932">
        <f>+E250-F250</f>
        <v>0</v>
      </c>
      <c r="H250" s="2743" t="e">
        <f t="shared" si="34"/>
        <v>#DIV/0!</v>
      </c>
      <c r="I250" s="3000"/>
      <c r="J250" s="175"/>
      <c r="K250" s="3030"/>
      <c r="L250" s="3034"/>
      <c r="M250" s="3032"/>
      <c r="N250" s="1146"/>
      <c r="O250" s="1146"/>
    </row>
    <row r="251" spans="1:15">
      <c r="A251" s="2678" t="s">
        <v>524</v>
      </c>
      <c r="B251" s="1076" t="s">
        <v>36</v>
      </c>
      <c r="C251" s="3002">
        <v>0</v>
      </c>
      <c r="D251" s="2164"/>
      <c r="E251" s="2164">
        <f t="shared" si="37"/>
        <v>0</v>
      </c>
      <c r="F251" s="2164">
        <f>+SUM('RAE S.común'!B508:B513)</f>
        <v>0</v>
      </c>
      <c r="G251" s="2932">
        <f t="shared" si="38"/>
        <v>0</v>
      </c>
      <c r="H251" s="2743" t="e">
        <f>1-+F251/E251</f>
        <v>#DIV/0!</v>
      </c>
      <c r="I251" s="3000"/>
      <c r="J251" s="175"/>
      <c r="K251" s="3030"/>
      <c r="L251" s="3034"/>
      <c r="M251" s="3032"/>
      <c r="N251" s="1146"/>
      <c r="O251" s="1146"/>
    </row>
    <row r="252" spans="1:15">
      <c r="A252" s="2678" t="s">
        <v>525</v>
      </c>
      <c r="B252" s="1076" t="s">
        <v>36</v>
      </c>
      <c r="C252" s="3002">
        <v>0</v>
      </c>
      <c r="D252" s="2164"/>
      <c r="E252" s="2164">
        <f t="shared" si="37"/>
        <v>0</v>
      </c>
      <c r="F252" s="2164">
        <f>+SUM('RAE S.común'!B524:B529)</f>
        <v>0</v>
      </c>
      <c r="G252" s="2932">
        <f t="shared" si="38"/>
        <v>0</v>
      </c>
      <c r="H252" s="2743" t="e">
        <f t="shared" si="34"/>
        <v>#DIV/0!</v>
      </c>
      <c r="I252" s="3000"/>
      <c r="J252" s="175"/>
      <c r="K252" s="3030"/>
      <c r="L252" s="3034"/>
      <c r="M252" s="3032"/>
      <c r="N252" s="1146"/>
      <c r="O252" s="1146"/>
    </row>
    <row r="253" spans="1:15">
      <c r="A253" s="2678" t="s">
        <v>121</v>
      </c>
      <c r="B253" s="1076" t="s">
        <v>36</v>
      </c>
      <c r="C253" s="3300">
        <v>17.73</v>
      </c>
      <c r="D253" s="2164"/>
      <c r="E253" s="2164">
        <f t="shared" si="37"/>
        <v>17.73</v>
      </c>
      <c r="F253" s="2164">
        <f>+SUM('RAE S.común'!B540:B545)</f>
        <v>17.726000000000003</v>
      </c>
      <c r="G253" s="2932">
        <f t="shared" si="38"/>
        <v>3.9999999999977831E-3</v>
      </c>
      <c r="H253" s="2743">
        <f t="shared" si="34"/>
        <v>2.2560631697676747E-4</v>
      </c>
      <c r="I253" s="3000"/>
      <c r="J253" s="175"/>
      <c r="K253" s="3030"/>
      <c r="L253" s="3034"/>
      <c r="M253" s="3032"/>
      <c r="N253" s="1146"/>
      <c r="O253" s="1146"/>
    </row>
    <row r="254" spans="1:15">
      <c r="A254" s="2678" t="s">
        <v>58</v>
      </c>
      <c r="B254" s="1076" t="s">
        <v>36</v>
      </c>
      <c r="C254" s="3002">
        <v>186.251</v>
      </c>
      <c r="D254" s="2164"/>
      <c r="E254" s="2164">
        <f>+C254</f>
        <v>186.251</v>
      </c>
      <c r="F254" s="2164">
        <f>+SUM('RAE S.común'!B556:B561)</f>
        <v>38.294000000000004</v>
      </c>
      <c r="G254" s="2932">
        <f t="shared" si="38"/>
        <v>147.95699999999999</v>
      </c>
      <c r="H254" s="2743">
        <f t="shared" si="34"/>
        <v>0.79439573478800107</v>
      </c>
      <c r="I254" s="3037"/>
      <c r="J254" s="2045" t="s">
        <v>1414</v>
      </c>
      <c r="K254" s="3030"/>
      <c r="L254" s="3034"/>
      <c r="M254" s="3032"/>
      <c r="N254" s="1146"/>
      <c r="O254" s="1146"/>
    </row>
    <row r="255" spans="1:15">
      <c r="A255" s="2905" t="s">
        <v>50</v>
      </c>
      <c r="B255" s="3038" t="s">
        <v>36</v>
      </c>
      <c r="C255" s="3039">
        <f>SUM(C242:C254)</f>
        <v>1567.1129999999998</v>
      </c>
      <c r="D255" s="3024"/>
      <c r="E255" s="3024">
        <f>SUM(E242:E254)</f>
        <v>1567.1129999999998</v>
      </c>
      <c r="F255" s="3024">
        <f>SUM(F242:F254)</f>
        <v>819.75199999999995</v>
      </c>
      <c r="G255" s="3024">
        <f>+E255-F255</f>
        <v>747.36099999999988</v>
      </c>
      <c r="H255" s="2971"/>
      <c r="J255" s="175"/>
      <c r="K255" s="1146"/>
      <c r="L255" s="1146"/>
      <c r="M255" s="3032"/>
      <c r="N255" s="3032"/>
      <c r="O255" s="3032"/>
    </row>
    <row r="256" spans="1:15" ht="12.75" customHeight="1">
      <c r="A256" s="2908"/>
      <c r="B256" s="595"/>
      <c r="C256" s="3031"/>
      <c r="D256" s="3040"/>
      <c r="E256" s="3040"/>
      <c r="F256" s="3041"/>
      <c r="G256" s="3041"/>
      <c r="H256" s="2971"/>
      <c r="J256" s="175"/>
    </row>
    <row r="257" spans="1:13">
      <c r="A257" s="2893" t="s">
        <v>45</v>
      </c>
      <c r="B257" s="2893" t="s">
        <v>46</v>
      </c>
      <c r="C257" s="3042" t="s">
        <v>47</v>
      </c>
      <c r="D257" s="2894" t="s">
        <v>313</v>
      </c>
      <c r="E257" s="3043" t="s">
        <v>48</v>
      </c>
      <c r="F257" s="3044" t="s">
        <v>19</v>
      </c>
      <c r="G257" s="3044" t="s">
        <v>20</v>
      </c>
      <c r="H257" s="2893" t="s">
        <v>49</v>
      </c>
      <c r="I257" s="2895" t="s">
        <v>22</v>
      </c>
      <c r="J257" s="175"/>
    </row>
    <row r="258" spans="1:13">
      <c r="A258" s="2678" t="s">
        <v>777</v>
      </c>
      <c r="B258" s="366" t="s">
        <v>37</v>
      </c>
      <c r="C258" s="3002">
        <v>254.21899999999999</v>
      </c>
      <c r="D258" s="3018"/>
      <c r="E258" s="3013">
        <f t="shared" ref="E258:E270" si="39">+C258+G242+D258</f>
        <v>235.74299999999999</v>
      </c>
      <c r="F258" s="3018">
        <f>+SUM('RAE S.común'!B370:B375)</f>
        <v>168.73</v>
      </c>
      <c r="G258" s="3029">
        <f t="shared" ref="G258" si="40">+E258-F258</f>
        <v>67.013000000000005</v>
      </c>
      <c r="H258" s="2743">
        <f t="shared" ref="H258" si="41">1-+F258/E258</f>
        <v>0.28426294736216984</v>
      </c>
      <c r="I258" s="679"/>
      <c r="J258" s="175">
        <f t="shared" ref="J258:J270" si="42">+F242+F258</f>
        <v>404.17899999999997</v>
      </c>
    </row>
    <row r="259" spans="1:13">
      <c r="A259" s="2678" t="s">
        <v>60</v>
      </c>
      <c r="B259" s="366" t="s">
        <v>37</v>
      </c>
      <c r="C259" s="3002">
        <v>25.571999999999999</v>
      </c>
      <c r="D259" s="3018"/>
      <c r="E259" s="3013">
        <f t="shared" si="39"/>
        <v>25.571999999999999</v>
      </c>
      <c r="F259" s="3018">
        <f>+SUM('RAE S.común'!B386:B391)</f>
        <v>0</v>
      </c>
      <c r="G259" s="3029">
        <f t="shared" ref="G259:G270" si="43">+E259-F259</f>
        <v>25.571999999999999</v>
      </c>
      <c r="H259" s="2743">
        <f t="shared" ref="H259:H270" si="44">1-+F259/E259</f>
        <v>1</v>
      </c>
      <c r="I259" s="679"/>
      <c r="J259" s="175">
        <f t="shared" si="42"/>
        <v>30.414000000000001</v>
      </c>
    </row>
    <row r="260" spans="1:13">
      <c r="A260" s="2678" t="s">
        <v>575</v>
      </c>
      <c r="B260" s="366" t="s">
        <v>37</v>
      </c>
      <c r="C260" s="3002">
        <v>89.837000000000003</v>
      </c>
      <c r="D260" s="3018"/>
      <c r="E260" s="3013">
        <f t="shared" si="39"/>
        <v>85.586999999999975</v>
      </c>
      <c r="F260" s="3018">
        <f>+SUM('RAE S.común'!B402:B407)</f>
        <v>100.85399999999998</v>
      </c>
      <c r="G260" s="3029">
        <f t="shared" si="43"/>
        <v>-15.26700000000001</v>
      </c>
      <c r="H260" s="2743">
        <f t="shared" si="44"/>
        <v>-0.17837989414280231</v>
      </c>
      <c r="I260" s="679"/>
      <c r="J260" s="175">
        <f t="shared" si="42"/>
        <v>240.56</v>
      </c>
      <c r="L260" s="2266">
        <v>881.25699999999995</v>
      </c>
      <c r="M260" s="2266">
        <v>903.30799999999999</v>
      </c>
    </row>
    <row r="261" spans="1:13">
      <c r="A261" s="2678" t="s">
        <v>523</v>
      </c>
      <c r="B261" s="366" t="s">
        <v>37</v>
      </c>
      <c r="C261" s="3174">
        <v>626.16700000000003</v>
      </c>
      <c r="D261" s="2932"/>
      <c r="E261" s="3013">
        <f t="shared" si="39"/>
        <v>625.82799999999997</v>
      </c>
      <c r="F261" s="2932">
        <f>+SUM('RAE S.común'!B418:B423)</f>
        <v>63.765999999999998</v>
      </c>
      <c r="G261" s="3029">
        <f t="shared" si="43"/>
        <v>562.06200000000001</v>
      </c>
      <c r="H261" s="2743">
        <f t="shared" si="44"/>
        <v>0.89810938468716639</v>
      </c>
      <c r="I261" s="679"/>
      <c r="J261" s="175">
        <f t="shared" si="42"/>
        <v>123.785</v>
      </c>
    </row>
    <row r="262" spans="1:13">
      <c r="A262" s="2678" t="s">
        <v>576</v>
      </c>
      <c r="B262" s="366" t="s">
        <v>37</v>
      </c>
      <c r="C262" s="3002">
        <v>51.863</v>
      </c>
      <c r="D262" s="2932"/>
      <c r="E262" s="3013">
        <f t="shared" si="39"/>
        <v>530.49500000000012</v>
      </c>
      <c r="F262" s="2932">
        <f>+SUM('RAE S.común'!B434:B439)</f>
        <v>96.894000000000005</v>
      </c>
      <c r="G262" s="3029">
        <f t="shared" si="43"/>
        <v>433.60100000000011</v>
      </c>
      <c r="H262" s="2743">
        <f t="shared" si="44"/>
        <v>0.81735171867783862</v>
      </c>
      <c r="I262" s="679"/>
      <c r="J262" s="175">
        <f t="shared" si="42"/>
        <v>325.80899999999997</v>
      </c>
    </row>
    <row r="263" spans="1:13">
      <c r="A263" s="2678" t="s">
        <v>61</v>
      </c>
      <c r="B263" s="366" t="s">
        <v>37</v>
      </c>
      <c r="C263" s="3002">
        <v>137.46199999999999</v>
      </c>
      <c r="D263" s="3018"/>
      <c r="E263" s="3013">
        <f t="shared" si="39"/>
        <v>268.11</v>
      </c>
      <c r="F263" s="3018">
        <f>+SUM('RAE S.común'!B450:B455)</f>
        <v>60.238</v>
      </c>
      <c r="G263" s="3029">
        <f t="shared" si="43"/>
        <v>207.87200000000001</v>
      </c>
      <c r="H263" s="2743">
        <f t="shared" si="44"/>
        <v>0.77532356122487034</v>
      </c>
      <c r="I263" s="3000"/>
      <c r="J263" s="175">
        <f t="shared" si="42"/>
        <v>129.46699999999998</v>
      </c>
    </row>
    <row r="264" spans="1:13">
      <c r="A264" s="2678" t="s">
        <v>527</v>
      </c>
      <c r="B264" s="366" t="s">
        <v>37</v>
      </c>
      <c r="C264" s="3002">
        <v>3.2959999999999998</v>
      </c>
      <c r="D264" s="2932"/>
      <c r="E264" s="3013">
        <f t="shared" si="39"/>
        <v>16.481000000000002</v>
      </c>
      <c r="F264" s="2932">
        <f>+SUM('RAE S.común'!B466:B471)</f>
        <v>0</v>
      </c>
      <c r="G264" s="2164">
        <f t="shared" si="43"/>
        <v>16.481000000000002</v>
      </c>
      <c r="H264" s="2743">
        <f t="shared" si="44"/>
        <v>1</v>
      </c>
      <c r="I264" s="3000"/>
      <c r="J264" s="175">
        <f t="shared" si="42"/>
        <v>0</v>
      </c>
    </row>
    <row r="265" spans="1:13">
      <c r="A265" s="3035" t="s">
        <v>526</v>
      </c>
      <c r="B265" s="366" t="s">
        <v>37</v>
      </c>
      <c r="C265" s="3002">
        <v>0</v>
      </c>
      <c r="D265" s="2932"/>
      <c r="E265" s="3013">
        <f t="shared" si="39"/>
        <v>0</v>
      </c>
      <c r="F265" s="2932">
        <f>+SUM('RAE S.común'!B482:B487)</f>
        <v>0</v>
      </c>
      <c r="G265" s="2164">
        <f t="shared" si="43"/>
        <v>0</v>
      </c>
      <c r="H265" s="2743" t="e">
        <f t="shared" si="44"/>
        <v>#DIV/0!</v>
      </c>
      <c r="I265" s="3000"/>
      <c r="J265" s="175">
        <f t="shared" si="42"/>
        <v>0</v>
      </c>
    </row>
    <row r="266" spans="1:13">
      <c r="A266" s="2678" t="s">
        <v>62</v>
      </c>
      <c r="B266" s="366" t="s">
        <v>37</v>
      </c>
      <c r="C266" s="3002">
        <v>0.111</v>
      </c>
      <c r="D266" s="2932"/>
      <c r="E266" s="3013">
        <f t="shared" si="39"/>
        <v>0.111</v>
      </c>
      <c r="F266" s="2932">
        <f>+SUM('RAE S.común'!B498:B503)</f>
        <v>0</v>
      </c>
      <c r="G266" s="2164">
        <f t="shared" si="43"/>
        <v>0.111</v>
      </c>
      <c r="H266" s="2743">
        <f t="shared" si="44"/>
        <v>1</v>
      </c>
      <c r="I266" s="3000"/>
      <c r="J266" s="175">
        <f t="shared" si="42"/>
        <v>0</v>
      </c>
    </row>
    <row r="267" spans="1:13">
      <c r="A267" s="2678" t="s">
        <v>524</v>
      </c>
      <c r="B267" s="366" t="s">
        <v>37</v>
      </c>
      <c r="C267" s="3002">
        <v>0</v>
      </c>
      <c r="D267" s="2932"/>
      <c r="E267" s="3013">
        <f t="shared" si="39"/>
        <v>0</v>
      </c>
      <c r="F267" s="2932">
        <f>+SUM('RAE S.común'!B514:B519)</f>
        <v>0</v>
      </c>
      <c r="G267" s="2164">
        <f t="shared" si="43"/>
        <v>0</v>
      </c>
      <c r="H267" s="2743" t="e">
        <f t="shared" si="44"/>
        <v>#DIV/0!</v>
      </c>
      <c r="I267" s="3000"/>
      <c r="J267" s="175">
        <f t="shared" si="42"/>
        <v>0</v>
      </c>
    </row>
    <row r="268" spans="1:13">
      <c r="A268" s="2678" t="s">
        <v>525</v>
      </c>
      <c r="B268" s="366" t="s">
        <v>37</v>
      </c>
      <c r="C268" s="3002">
        <v>0</v>
      </c>
      <c r="D268" s="2932"/>
      <c r="E268" s="3013">
        <f t="shared" si="39"/>
        <v>0</v>
      </c>
      <c r="F268" s="2932">
        <f>+SUM('RAE S.común'!B530:B535)</f>
        <v>0</v>
      </c>
      <c r="G268" s="2164">
        <f t="shared" si="43"/>
        <v>0</v>
      </c>
      <c r="H268" s="2743" t="e">
        <f t="shared" si="44"/>
        <v>#DIV/0!</v>
      </c>
      <c r="I268" s="3000"/>
      <c r="J268" s="175">
        <f t="shared" si="42"/>
        <v>0</v>
      </c>
    </row>
    <row r="269" spans="1:13">
      <c r="A269" s="2678" t="s">
        <v>121</v>
      </c>
      <c r="B269" s="366" t="s">
        <v>37</v>
      </c>
      <c r="C269" s="3300">
        <v>198.363</v>
      </c>
      <c r="D269" s="2932"/>
      <c r="E269" s="3013">
        <f t="shared" si="39"/>
        <v>198.36699999999999</v>
      </c>
      <c r="F269" s="2932">
        <f>+SUM('RAE S.común'!B546:B551)</f>
        <v>3.5870000000000002</v>
      </c>
      <c r="G269" s="2164">
        <f t="shared" si="43"/>
        <v>194.78</v>
      </c>
      <c r="H269" s="2743">
        <f t="shared" si="44"/>
        <v>0.98191735520525092</v>
      </c>
      <c r="I269" s="3000"/>
      <c r="J269" s="175">
        <f t="shared" si="42"/>
        <v>21.313000000000002</v>
      </c>
    </row>
    <row r="270" spans="1:13">
      <c r="A270" s="2880" t="s">
        <v>58</v>
      </c>
      <c r="B270" s="366" t="s">
        <v>37</v>
      </c>
      <c r="C270" s="3002">
        <v>46.561</v>
      </c>
      <c r="D270" s="2932"/>
      <c r="E270" s="3013">
        <f t="shared" si="39"/>
        <v>194.518</v>
      </c>
      <c r="F270" s="2932">
        <f>+SUM('RAE S.común'!B562:B567)</f>
        <v>14.943999999999997</v>
      </c>
      <c r="G270" s="2164">
        <f t="shared" si="43"/>
        <v>179.57400000000001</v>
      </c>
      <c r="H270" s="2743">
        <f t="shared" si="44"/>
        <v>0.92317420495789593</v>
      </c>
      <c r="I270" s="3000"/>
      <c r="J270" s="175">
        <f t="shared" si="42"/>
        <v>53.238</v>
      </c>
    </row>
    <row r="271" spans="1:13">
      <c r="A271" s="2905" t="s">
        <v>50</v>
      </c>
      <c r="B271" s="3023" t="s">
        <v>37</v>
      </c>
      <c r="C271" s="3039">
        <f>SUM(C258:C270)</f>
        <v>1433.4510000000002</v>
      </c>
      <c r="D271" s="3024"/>
      <c r="E271" s="3012">
        <f t="shared" ref="E271" si="45">+C271+G255</f>
        <v>2180.8119999999999</v>
      </c>
      <c r="F271" s="3024">
        <f>SUM(F258:F270)</f>
        <v>509.01299999999998</v>
      </c>
      <c r="G271" s="3301">
        <f>+E271-F271</f>
        <v>1671.799</v>
      </c>
      <c r="H271" s="2971"/>
      <c r="I271" s="595"/>
      <c r="J271" s="175">
        <f>SUM(J258:J270)</f>
        <v>1328.7650000000001</v>
      </c>
      <c r="L271" s="2369">
        <f>SUM(L244:L260)</f>
        <v>1016.713</v>
      </c>
      <c r="M271" s="2369">
        <f>SUM(M244:M260)</f>
        <v>3016.7130000000002</v>
      </c>
    </row>
    <row r="272" spans="1:13">
      <c r="C272" s="831">
        <f>+C255+C271</f>
        <v>3000.5640000000003</v>
      </c>
      <c r="E272" s="923"/>
      <c r="F272" s="831">
        <f>+F255+F271</f>
        <v>1328.7649999999999</v>
      </c>
      <c r="J272" s="175"/>
    </row>
    <row r="273" spans="2:12">
      <c r="C273" s="923"/>
      <c r="G273" s="602"/>
      <c r="J273" s="175"/>
      <c r="L273" s="2369">
        <f>+M271-L271</f>
        <v>2000.0000000000002</v>
      </c>
    </row>
    <row r="274" spans="2:12" ht="30">
      <c r="C274" s="1762"/>
      <c r="J274" s="175"/>
    </row>
    <row r="276" spans="2:12">
      <c r="B276" s="2267">
        <v>100</v>
      </c>
    </row>
    <row r="277" spans="2:12">
      <c r="B277" s="2267">
        <v>230</v>
      </c>
    </row>
    <row r="278" spans="2:12">
      <c r="B278" s="2267">
        <v>170</v>
      </c>
    </row>
    <row r="279" spans="2:12">
      <c r="B279" s="2267">
        <v>500</v>
      </c>
    </row>
    <row r="280" spans="2:12">
      <c r="B280" s="2267">
        <v>225</v>
      </c>
    </row>
    <row r="281" spans="2:12">
      <c r="B281" s="2267">
        <v>225</v>
      </c>
    </row>
    <row r="282" spans="2:12">
      <c r="B282" s="2267">
        <v>300</v>
      </c>
    </row>
    <row r="283" spans="2:12">
      <c r="B283" s="2267">
        <v>100</v>
      </c>
    </row>
    <row r="284" spans="2:12">
      <c r="B284" s="2267">
        <v>330</v>
      </c>
    </row>
    <row r="285" spans="2:12">
      <c r="B285" s="2267">
        <v>200</v>
      </c>
    </row>
  </sheetData>
  <mergeCells count="9">
    <mergeCell ref="K179:AB179"/>
    <mergeCell ref="K181:R181"/>
    <mergeCell ref="A177:B177"/>
    <mergeCell ref="A239:B239"/>
    <mergeCell ref="A2:I2"/>
    <mergeCell ref="A5:B5"/>
    <mergeCell ref="A42:B42"/>
    <mergeCell ref="G41:H41"/>
    <mergeCell ref="A22:B22"/>
  </mergeCells>
  <phoneticPr fontId="0" type="noConversion"/>
  <conditionalFormatting sqref="H8:H9 H13:H14 H18:H19 H108 H25:H27 H31:H33 H37:H39 H180:H196 H220:H236 H111:H175 H242:H254 H258:H270 H200:H216">
    <cfRule type="cellIs" dxfId="153" priority="12630" stopIfTrue="1" operator="lessThan">
      <formula>0</formula>
    </cfRule>
    <cfRule type="cellIs" dxfId="152" priority="12631" stopIfTrue="1" operator="lessThan">
      <formula>0</formula>
    </cfRule>
  </conditionalFormatting>
  <conditionalFormatting sqref="H8:H9 H13:H14 H18:H19 H108 H25:H27 H31:H33 H37:H39 H180:H196 H220:H236 H111:H175 H242:H254 H258:H270 H200:H216">
    <cfRule type="cellIs" dxfId="151" priority="12618" stopIfTrue="1" operator="lessThan">
      <formula>0.05</formula>
    </cfRule>
    <cfRule type="cellIs" dxfId="150" priority="12619" stopIfTrue="1" operator="lessThan">
      <formula>0</formula>
    </cfRule>
  </conditionalFormatting>
  <conditionalFormatting sqref="H8:H9 H13:H14 H18:H19 H108 H25:H27 H31:H33 H37:H39 H180:H196 H220:H236 H111:H175 H242:H254 H258:H270 H200:H216">
    <cfRule type="cellIs" dxfId="149" priority="12037" stopIfTrue="1" operator="lessThan">
      <formula>0.05</formula>
    </cfRule>
  </conditionalFormatting>
  <conditionalFormatting sqref="H220:H236 H258:H270 H242:H254 H200:H216">
    <cfRule type="cellIs" dxfId="148" priority="4384" stopIfTrue="1" operator="lessThan">
      <formula>0.05</formula>
    </cfRule>
  </conditionalFormatting>
  <conditionalFormatting sqref="H180:H196 H220:H236 H44:H108 H242:H254 H258:H270 H111:H175 H200:H216">
    <cfRule type="cellIs" dxfId="147" priority="85" operator="lessThan">
      <formula>0.05</formula>
    </cfRule>
    <cfRule type="cellIs" dxfId="146" priority="86" operator="lessThan">
      <formula>0.1</formula>
    </cfRule>
    <cfRule type="cellIs" dxfId="145" priority="87" operator="lessThan">
      <formula>0.2</formula>
    </cfRule>
    <cfRule type="cellIs" dxfId="144" priority="88" operator="lessThan">
      <formula>0.5</formula>
    </cfRule>
  </conditionalFormatting>
  <pageMargins left="1.3385826771653544" right="0.74803149606299213" top="0.98425196850393704" bottom="0.98425196850393704" header="0" footer="0"/>
  <pageSetup paperSize="5" scale="90" orientation="landscape" r:id="rId1"/>
  <headerFooter alignWithMargins="0"/>
  <rowBreaks count="2" manualBreakCount="2">
    <brk id="40" max="16383" man="1"/>
    <brk id="108" max="16383" man="1"/>
  </rowBreaks>
  <legacyDrawing r:id="rId2"/>
</worksheet>
</file>

<file path=xl/worksheets/sheet8.xml><?xml version="1.0" encoding="utf-8"?>
<worksheet xmlns="http://schemas.openxmlformats.org/spreadsheetml/2006/main" xmlns:r="http://schemas.openxmlformats.org/officeDocument/2006/relationships">
  <sheetPr>
    <tabColor rgb="FFFFFF00"/>
  </sheetPr>
  <dimension ref="A2:DR568"/>
  <sheetViews>
    <sheetView topLeftCell="A76" zoomScale="80" zoomScaleNormal="80" workbookViewId="0">
      <selection activeCell="R103" sqref="R103"/>
    </sheetView>
  </sheetViews>
  <sheetFormatPr baseColWidth="10" defaultColWidth="11.44140625" defaultRowHeight="13.2"/>
  <cols>
    <col min="1" max="1" width="11.44140625" style="66"/>
    <col min="2" max="2" width="15.109375" style="69" customWidth="1"/>
    <col min="3" max="7" width="10" style="66" customWidth="1"/>
    <col min="8" max="8" width="16.6640625" style="66" customWidth="1"/>
    <col min="9" max="33" width="10" style="66" customWidth="1"/>
    <col min="34" max="16384" width="11.44140625" style="66"/>
  </cols>
  <sheetData>
    <row r="2" spans="1:36" ht="15">
      <c r="A2" s="3811" t="s">
        <v>739</v>
      </c>
      <c r="B2" s="3812"/>
      <c r="C2" s="3812"/>
      <c r="D2" s="3812"/>
      <c r="E2" s="3812"/>
      <c r="F2" s="3812"/>
      <c r="G2" s="3812"/>
      <c r="H2" s="3812"/>
      <c r="I2" s="3812"/>
      <c r="J2" s="3812"/>
      <c r="K2" s="3812"/>
      <c r="L2" s="3812"/>
      <c r="M2" s="3812"/>
      <c r="N2" s="3812"/>
      <c r="O2" s="3812"/>
      <c r="P2" s="3812"/>
      <c r="Q2" s="3812"/>
      <c r="R2" s="3812"/>
      <c r="S2" s="3812"/>
      <c r="T2" s="3813"/>
      <c r="U2" s="11"/>
      <c r="V2" s="11"/>
      <c r="W2" s="11"/>
      <c r="X2" s="11"/>
      <c r="Y2" s="11"/>
      <c r="Z2" s="11"/>
      <c r="AA2" s="11"/>
      <c r="AB2" s="11"/>
      <c r="AC2" s="11"/>
      <c r="AD2" s="11"/>
      <c r="AE2" s="11"/>
      <c r="AF2" s="11"/>
      <c r="AG2" s="11"/>
      <c r="AH2" s="1"/>
    </row>
    <row r="3" spans="1:36" s="67" customFormat="1" ht="15">
      <c r="A3" s="36"/>
      <c r="B3" s="58"/>
      <c r="C3" s="36"/>
      <c r="D3" s="36"/>
      <c r="E3" s="36"/>
      <c r="F3" s="36"/>
      <c r="G3" s="36"/>
      <c r="H3" s="36"/>
      <c r="I3" s="36"/>
      <c r="J3" s="36"/>
      <c r="K3" s="36"/>
      <c r="L3" s="36"/>
      <c r="M3" s="36"/>
      <c r="N3" s="36"/>
      <c r="O3" s="36"/>
      <c r="P3" s="36"/>
      <c r="Q3" s="36"/>
      <c r="R3" s="36"/>
      <c r="S3" s="36"/>
      <c r="T3" s="36"/>
      <c r="U3" s="11"/>
      <c r="V3" s="11"/>
      <c r="W3" s="11"/>
      <c r="X3" s="11"/>
      <c r="Y3" s="11"/>
      <c r="Z3" s="11"/>
      <c r="AA3" s="11"/>
      <c r="AB3" s="11"/>
      <c r="AC3" s="11"/>
      <c r="AD3" s="11"/>
      <c r="AE3" s="11"/>
      <c r="AF3" s="11"/>
      <c r="AG3" s="11"/>
      <c r="AH3" s="11"/>
    </row>
    <row r="4" spans="1:36" ht="15">
      <c r="A4" s="3818" t="s">
        <v>93</v>
      </c>
      <c r="B4" s="3819"/>
      <c r="C4" s="3819"/>
      <c r="D4" s="3819"/>
      <c r="E4" s="3819"/>
      <c r="F4" s="3819"/>
      <c r="G4" s="3819"/>
      <c r="H4" s="3819"/>
      <c r="I4" s="3819"/>
      <c r="J4" s="3819"/>
      <c r="K4" s="3819"/>
      <c r="L4" s="3819"/>
      <c r="M4" s="3819"/>
      <c r="N4" s="3819"/>
      <c r="O4" s="3819"/>
      <c r="P4" s="3819"/>
      <c r="Q4" s="3819"/>
      <c r="R4" s="3820"/>
      <c r="S4" s="11"/>
      <c r="T4" s="11"/>
      <c r="U4" s="11"/>
      <c r="V4" s="11"/>
      <c r="W4" s="11"/>
      <c r="X4" s="11"/>
      <c r="Y4" s="11"/>
      <c r="Z4" s="11"/>
      <c r="AA4" s="11"/>
      <c r="AB4" s="11"/>
      <c r="AC4" s="11"/>
      <c r="AD4" s="11"/>
      <c r="AE4" s="11"/>
      <c r="AF4" s="11"/>
      <c r="AG4" s="11"/>
      <c r="AH4" s="1"/>
      <c r="AI4" s="2266" t="s">
        <v>1346</v>
      </c>
    </row>
    <row r="5" spans="1:36" ht="5.0999999999999996" customHeight="1">
      <c r="A5" s="36"/>
      <c r="B5" s="59"/>
      <c r="C5" s="13"/>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13"/>
    </row>
    <row r="6" spans="1:36" ht="15">
      <c r="A6" s="3811" t="s">
        <v>88</v>
      </c>
      <c r="B6" s="3812"/>
      <c r="C6" s="3812"/>
      <c r="D6" s="3812"/>
      <c r="E6" s="3812"/>
      <c r="F6" s="3812"/>
      <c r="G6" s="3812"/>
      <c r="H6" s="3813"/>
      <c r="I6" s="29"/>
      <c r="J6" s="140"/>
      <c r="K6" s="29"/>
      <c r="L6" s="29"/>
      <c r="M6" s="29"/>
      <c r="N6" s="29"/>
      <c r="O6" s="29"/>
      <c r="P6" s="29"/>
      <c r="Q6" s="29"/>
      <c r="R6" s="29"/>
      <c r="S6" s="11"/>
      <c r="T6" s="11"/>
      <c r="U6" s="11"/>
      <c r="V6" s="11"/>
      <c r="W6" s="11"/>
      <c r="X6" s="11"/>
      <c r="Y6" s="11"/>
      <c r="Z6" s="11"/>
      <c r="AA6" s="11"/>
      <c r="AB6" s="11"/>
      <c r="AC6" s="11"/>
      <c r="AD6" s="11"/>
      <c r="AE6" s="11"/>
      <c r="AF6" s="11"/>
      <c r="AG6" s="11"/>
      <c r="AH6" s="11"/>
    </row>
    <row r="7" spans="1:36" ht="15">
      <c r="A7" s="5" t="s">
        <v>70</v>
      </c>
      <c r="B7" s="56" t="s">
        <v>71</v>
      </c>
      <c r="C7" s="5">
        <v>1</v>
      </c>
      <c r="D7" s="21">
        <v>2</v>
      </c>
      <c r="E7" s="21">
        <v>3</v>
      </c>
      <c r="F7" s="21">
        <v>4</v>
      </c>
      <c r="G7" s="21">
        <v>5</v>
      </c>
      <c r="H7" s="21">
        <v>6</v>
      </c>
      <c r="I7" s="21">
        <v>7</v>
      </c>
      <c r="J7" s="21">
        <v>8</v>
      </c>
      <c r="K7" s="21">
        <v>9</v>
      </c>
      <c r="L7" s="21">
        <v>10</v>
      </c>
      <c r="M7" s="21">
        <v>11</v>
      </c>
      <c r="N7" s="21">
        <v>12</v>
      </c>
      <c r="O7" s="21">
        <v>13</v>
      </c>
      <c r="P7" s="21">
        <v>14</v>
      </c>
      <c r="Q7" s="21">
        <v>15</v>
      </c>
      <c r="R7" s="21">
        <v>16</v>
      </c>
      <c r="S7" s="21">
        <v>17</v>
      </c>
      <c r="T7" s="21">
        <v>18</v>
      </c>
      <c r="U7" s="21">
        <v>19</v>
      </c>
      <c r="V7" s="21">
        <v>20</v>
      </c>
      <c r="W7" s="21">
        <v>21</v>
      </c>
      <c r="X7" s="21">
        <v>22</v>
      </c>
      <c r="Y7" s="21">
        <v>23</v>
      </c>
      <c r="Z7" s="21">
        <v>24</v>
      </c>
      <c r="AA7" s="21">
        <v>25</v>
      </c>
      <c r="AB7" s="21">
        <v>26</v>
      </c>
      <c r="AC7" s="21">
        <v>27</v>
      </c>
      <c r="AD7" s="21">
        <v>28</v>
      </c>
      <c r="AE7" s="21">
        <v>29</v>
      </c>
      <c r="AF7" s="21">
        <v>30</v>
      </c>
      <c r="AG7" s="21">
        <v>31</v>
      </c>
      <c r="AH7" s="25" t="s">
        <v>72</v>
      </c>
      <c r="AI7" s="2266" t="s">
        <v>1345</v>
      </c>
      <c r="AJ7" s="66">
        <f>(B20/COUNTIF($C$8:$AG$19,"&gt;0"))</f>
        <v>225.46148387096773</v>
      </c>
    </row>
    <row r="8" spans="1:36" ht="15">
      <c r="A8" s="109" t="s">
        <v>73</v>
      </c>
      <c r="B8" s="100">
        <f t="shared" ref="B8:B19" si="0">+AH8</f>
        <v>0</v>
      </c>
      <c r="C8" s="609" t="s">
        <v>109</v>
      </c>
      <c r="D8" s="609" t="s">
        <v>109</v>
      </c>
      <c r="E8" s="609" t="s">
        <v>109</v>
      </c>
      <c r="F8" s="609" t="s">
        <v>109</v>
      </c>
      <c r="G8" s="609" t="s">
        <v>109</v>
      </c>
      <c r="H8" s="609" t="s">
        <v>109</v>
      </c>
      <c r="I8" s="609" t="s">
        <v>109</v>
      </c>
      <c r="J8" s="609" t="s">
        <v>109</v>
      </c>
      <c r="K8" s="609" t="s">
        <v>109</v>
      </c>
      <c r="L8" s="609" t="s">
        <v>109</v>
      </c>
      <c r="M8" s="609" t="s">
        <v>109</v>
      </c>
      <c r="N8" s="609" t="s">
        <v>109</v>
      </c>
      <c r="O8" s="609" t="s">
        <v>109</v>
      </c>
      <c r="P8" s="609" t="s">
        <v>109</v>
      </c>
      <c r="Q8" s="609" t="s">
        <v>109</v>
      </c>
      <c r="R8" s="609" t="s">
        <v>109</v>
      </c>
      <c r="S8" s="609" t="s">
        <v>109</v>
      </c>
      <c r="T8" s="609" t="s">
        <v>109</v>
      </c>
      <c r="U8" s="609" t="s">
        <v>109</v>
      </c>
      <c r="V8" s="609" t="s">
        <v>109</v>
      </c>
      <c r="W8" s="609" t="s">
        <v>109</v>
      </c>
      <c r="X8" s="609" t="s">
        <v>109</v>
      </c>
      <c r="Y8" s="609" t="s">
        <v>109</v>
      </c>
      <c r="Z8" s="609" t="s">
        <v>109</v>
      </c>
      <c r="AA8" s="609" t="s">
        <v>109</v>
      </c>
      <c r="AB8" s="609" t="s">
        <v>109</v>
      </c>
      <c r="AC8" s="609" t="s">
        <v>109</v>
      </c>
      <c r="AD8" s="609" t="s">
        <v>109</v>
      </c>
      <c r="AE8" s="609" t="s">
        <v>109</v>
      </c>
      <c r="AF8" s="609" t="s">
        <v>109</v>
      </c>
      <c r="AG8" s="609" t="s">
        <v>109</v>
      </c>
      <c r="AH8" s="39">
        <f>SUM(C8:AG8)</f>
        <v>0</v>
      </c>
      <c r="AJ8" s="66">
        <f>+'Resumen RAE S.Común'!G18</f>
        <v>64.694000000000869</v>
      </c>
    </row>
    <row r="9" spans="1:36" ht="15">
      <c r="A9" s="109" t="s">
        <v>74</v>
      </c>
      <c r="B9" s="100">
        <f t="shared" si="0"/>
        <v>0</v>
      </c>
      <c r="C9" s="609" t="s">
        <v>109</v>
      </c>
      <c r="D9" s="609" t="s">
        <v>109</v>
      </c>
      <c r="E9" s="609" t="s">
        <v>109</v>
      </c>
      <c r="F9" s="609" t="s">
        <v>109</v>
      </c>
      <c r="G9" s="609" t="s">
        <v>109</v>
      </c>
      <c r="H9" s="609" t="s">
        <v>109</v>
      </c>
      <c r="I9" s="609" t="s">
        <v>109</v>
      </c>
      <c r="J9" s="609" t="s">
        <v>109</v>
      </c>
      <c r="K9" s="609" t="s">
        <v>109</v>
      </c>
      <c r="L9" s="609" t="s">
        <v>109</v>
      </c>
      <c r="M9" s="609" t="s">
        <v>109</v>
      </c>
      <c r="N9" s="609" t="s">
        <v>109</v>
      </c>
      <c r="O9" s="609" t="s">
        <v>109</v>
      </c>
      <c r="P9" s="609" t="s">
        <v>109</v>
      </c>
      <c r="Q9" s="609" t="s">
        <v>109</v>
      </c>
      <c r="R9" s="609" t="s">
        <v>109</v>
      </c>
      <c r="S9" s="609" t="s">
        <v>109</v>
      </c>
      <c r="T9" s="609" t="s">
        <v>109</v>
      </c>
      <c r="U9" s="609" t="s">
        <v>109</v>
      </c>
      <c r="V9" s="609" t="s">
        <v>109</v>
      </c>
      <c r="W9" s="609" t="s">
        <v>109</v>
      </c>
      <c r="X9" s="609" t="s">
        <v>109</v>
      </c>
      <c r="Y9" s="609" t="s">
        <v>109</v>
      </c>
      <c r="Z9" s="609" t="s">
        <v>109</v>
      </c>
      <c r="AA9" s="609" t="s">
        <v>109</v>
      </c>
      <c r="AB9" s="609" t="s">
        <v>109</v>
      </c>
      <c r="AC9" s="609" t="s">
        <v>109</v>
      </c>
      <c r="AD9" s="609" t="s">
        <v>109</v>
      </c>
      <c r="AE9" s="609" t="s">
        <v>109</v>
      </c>
      <c r="AF9" s="609" t="s">
        <v>109</v>
      </c>
      <c r="AG9" s="609" t="s">
        <v>109</v>
      </c>
      <c r="AH9" s="39">
        <f t="shared" ref="AH9:AH19" si="1">SUM(C9:AG9)</f>
        <v>0</v>
      </c>
      <c r="AJ9" s="1093">
        <f>+AJ8/AJ7</f>
        <v>0.28694036289154135</v>
      </c>
    </row>
    <row r="10" spans="1:36" ht="15">
      <c r="A10" s="109" t="s">
        <v>75</v>
      </c>
      <c r="B10" s="100">
        <f t="shared" si="0"/>
        <v>2657.1399999999994</v>
      </c>
      <c r="C10" s="609" t="s">
        <v>109</v>
      </c>
      <c r="D10" s="609" t="s">
        <v>109</v>
      </c>
      <c r="E10" s="609" t="s">
        <v>109</v>
      </c>
      <c r="F10" s="609" t="s">
        <v>109</v>
      </c>
      <c r="G10" s="609" t="s">
        <v>109</v>
      </c>
      <c r="H10" s="15"/>
      <c r="I10" s="15"/>
      <c r="J10" s="15"/>
      <c r="K10" s="15"/>
      <c r="L10" s="217"/>
      <c r="M10" s="217">
        <v>41.814999999999998</v>
      </c>
      <c r="N10" s="217">
        <v>265.12399999999997</v>
      </c>
      <c r="O10" s="217">
        <v>806.86200000000008</v>
      </c>
      <c r="P10" s="217"/>
      <c r="Q10" s="217">
        <v>97.764999999999986</v>
      </c>
      <c r="R10" s="217">
        <v>42.358000000000004</v>
      </c>
      <c r="S10" s="217">
        <v>39.954999999999998</v>
      </c>
      <c r="T10" s="217">
        <v>286.19600000000003</v>
      </c>
      <c r="U10" s="217">
        <v>328.553</v>
      </c>
      <c r="V10" s="217">
        <v>443.52300000000002</v>
      </c>
      <c r="W10" s="217">
        <v>234.29</v>
      </c>
      <c r="X10" s="217"/>
      <c r="Y10" s="217"/>
      <c r="Z10" s="217"/>
      <c r="AA10" s="217"/>
      <c r="AB10" s="217"/>
      <c r="AC10" s="217"/>
      <c r="AD10" s="217"/>
      <c r="AE10" s="217">
        <v>51.007999999999996</v>
      </c>
      <c r="AF10" s="217"/>
      <c r="AG10" s="217">
        <v>19.690999999999995</v>
      </c>
      <c r="AH10" s="39">
        <f t="shared" si="1"/>
        <v>2657.1399999999994</v>
      </c>
    </row>
    <row r="11" spans="1:36" ht="15">
      <c r="A11" s="109" t="s">
        <v>76</v>
      </c>
      <c r="B11" s="100">
        <f t="shared" si="0"/>
        <v>3404.7709999999997</v>
      </c>
      <c r="C11" s="1091">
        <v>31.132999999999999</v>
      </c>
      <c r="D11" s="1091">
        <v>0</v>
      </c>
      <c r="E11" s="1091">
        <v>94.94</v>
      </c>
      <c r="F11" s="1091">
        <v>178.43799999999999</v>
      </c>
      <c r="G11" s="1091">
        <v>55.207000000000001</v>
      </c>
      <c r="H11" s="1091">
        <v>185.173</v>
      </c>
      <c r="I11" s="2183">
        <v>93.436999999999998</v>
      </c>
      <c r="J11" s="1091">
        <v>0</v>
      </c>
      <c r="K11" s="1091">
        <v>0</v>
      </c>
      <c r="L11" s="1091">
        <v>0</v>
      </c>
      <c r="M11" s="1091">
        <v>0</v>
      </c>
      <c r="N11" s="1091">
        <v>0</v>
      </c>
      <c r="O11" s="1091">
        <v>0</v>
      </c>
      <c r="P11" s="1091">
        <v>0</v>
      </c>
      <c r="Q11" s="1091">
        <v>0</v>
      </c>
      <c r="R11" s="1091">
        <v>0</v>
      </c>
      <c r="S11" s="1091">
        <v>0</v>
      </c>
      <c r="T11" s="1091">
        <v>0</v>
      </c>
      <c r="U11" s="1091">
        <v>0</v>
      </c>
      <c r="V11" s="1091">
        <v>0</v>
      </c>
      <c r="W11" s="1091">
        <v>19.693000000000001</v>
      </c>
      <c r="X11" s="1091">
        <v>684.01</v>
      </c>
      <c r="Y11" s="1091">
        <v>555.35</v>
      </c>
      <c r="Z11" s="1091">
        <v>0</v>
      </c>
      <c r="AA11" s="1091">
        <v>0</v>
      </c>
      <c r="AB11" s="1091">
        <v>209.99</v>
      </c>
      <c r="AC11" s="1091">
        <v>534.26499999999999</v>
      </c>
      <c r="AD11" s="1091">
        <v>0</v>
      </c>
      <c r="AE11" s="1091">
        <v>0</v>
      </c>
      <c r="AF11" s="1091">
        <v>763.13499999999999</v>
      </c>
      <c r="AG11" s="1091">
        <v>0</v>
      </c>
      <c r="AH11" s="39">
        <f t="shared" si="1"/>
        <v>3404.7709999999997</v>
      </c>
    </row>
    <row r="12" spans="1:36" ht="15">
      <c r="A12" s="111" t="s">
        <v>77</v>
      </c>
      <c r="B12" s="100">
        <f>+AH12</f>
        <v>633.83500000000004</v>
      </c>
      <c r="C12" s="35">
        <v>503.375</v>
      </c>
      <c r="D12" s="35">
        <v>130.46</v>
      </c>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9">
        <f t="shared" si="1"/>
        <v>633.83500000000004</v>
      </c>
    </row>
    <row r="13" spans="1:36" ht="15">
      <c r="A13" s="111" t="s">
        <v>78</v>
      </c>
      <c r="B13" s="100">
        <f t="shared" si="0"/>
        <v>0</v>
      </c>
      <c r="C13" s="35"/>
      <c r="D13" s="15"/>
      <c r="E13" s="15"/>
      <c r="F13" s="15"/>
      <c r="G13" s="15"/>
      <c r="H13" s="1091"/>
      <c r="I13" s="1091"/>
      <c r="J13" s="1091"/>
      <c r="K13" s="1091"/>
      <c r="L13" s="1091"/>
      <c r="M13" s="1091"/>
      <c r="N13" s="1091"/>
      <c r="O13" s="1091"/>
      <c r="P13" s="1091"/>
      <c r="Q13" s="1091"/>
      <c r="R13" s="1091"/>
      <c r="S13" s="1091"/>
      <c r="T13" s="1091"/>
      <c r="U13" s="1091"/>
      <c r="V13" s="1091"/>
      <c r="W13" s="1091"/>
      <c r="X13" s="1091"/>
      <c r="Y13" s="15"/>
      <c r="Z13" s="15"/>
      <c r="AA13" s="15"/>
      <c r="AB13" s="15"/>
      <c r="AC13" s="15"/>
      <c r="AD13" s="15"/>
      <c r="AE13" s="15"/>
      <c r="AF13" s="15"/>
      <c r="AG13" s="15"/>
      <c r="AH13" s="39">
        <f t="shared" si="1"/>
        <v>0</v>
      </c>
    </row>
    <row r="14" spans="1:36" ht="15">
      <c r="A14" s="111" t="s">
        <v>79</v>
      </c>
      <c r="B14" s="100">
        <f t="shared" si="0"/>
        <v>0</v>
      </c>
      <c r="C14" s="35"/>
      <c r="D14" s="15"/>
      <c r="E14" s="15"/>
      <c r="F14" s="15"/>
      <c r="G14" s="15"/>
      <c r="H14" s="15"/>
      <c r="I14" s="15"/>
      <c r="J14" s="35"/>
      <c r="K14" s="35"/>
      <c r="L14" s="15"/>
      <c r="M14" s="15"/>
      <c r="N14" s="15"/>
      <c r="O14" s="15"/>
      <c r="P14" s="15"/>
      <c r="Q14" s="15"/>
      <c r="R14" s="15"/>
      <c r="S14" s="15"/>
      <c r="T14" s="15"/>
      <c r="U14" s="15"/>
      <c r="V14" s="15"/>
      <c r="W14" s="65"/>
      <c r="X14" s="65"/>
      <c r="Y14" s="65"/>
      <c r="Z14" s="65"/>
      <c r="AA14" s="65"/>
      <c r="AB14" s="65"/>
      <c r="AC14" s="65"/>
      <c r="AD14" s="65"/>
      <c r="AE14" s="65"/>
      <c r="AF14" s="65" t="s">
        <v>110</v>
      </c>
      <c r="AG14" s="65" t="s">
        <v>110</v>
      </c>
      <c r="AH14" s="39">
        <f t="shared" si="1"/>
        <v>0</v>
      </c>
    </row>
    <row r="15" spans="1:36" ht="15">
      <c r="A15" s="111" t="s">
        <v>80</v>
      </c>
      <c r="B15" s="100">
        <f t="shared" si="0"/>
        <v>0</v>
      </c>
      <c r="C15" s="65" t="s">
        <v>110</v>
      </c>
      <c r="D15" s="65" t="s">
        <v>110</v>
      </c>
      <c r="E15" s="65" t="s">
        <v>110</v>
      </c>
      <c r="F15" s="65" t="s">
        <v>110</v>
      </c>
      <c r="G15" s="65" t="s">
        <v>110</v>
      </c>
      <c r="H15" s="65" t="s">
        <v>110</v>
      </c>
      <c r="I15" s="65" t="s">
        <v>110</v>
      </c>
      <c r="J15" s="65" t="s">
        <v>110</v>
      </c>
      <c r="K15" s="65" t="s">
        <v>110</v>
      </c>
      <c r="L15" s="65" t="s">
        <v>110</v>
      </c>
      <c r="M15" s="65" t="s">
        <v>110</v>
      </c>
      <c r="N15" s="65" t="s">
        <v>110</v>
      </c>
      <c r="O15" s="65" t="s">
        <v>110</v>
      </c>
      <c r="P15" s="65" t="s">
        <v>110</v>
      </c>
      <c r="Q15" s="65" t="s">
        <v>110</v>
      </c>
      <c r="R15" s="65" t="s">
        <v>110</v>
      </c>
      <c r="S15" s="65" t="s">
        <v>110</v>
      </c>
      <c r="T15" s="65" t="s">
        <v>110</v>
      </c>
      <c r="U15" s="65" t="s">
        <v>110</v>
      </c>
      <c r="V15" s="65" t="s">
        <v>110</v>
      </c>
      <c r="W15" s="65" t="s">
        <v>110</v>
      </c>
      <c r="X15" s="65" t="s">
        <v>110</v>
      </c>
      <c r="Y15" s="65" t="s">
        <v>110</v>
      </c>
      <c r="Z15" s="65" t="s">
        <v>110</v>
      </c>
      <c r="AA15" s="65" t="s">
        <v>110</v>
      </c>
      <c r="AB15" s="65" t="s">
        <v>110</v>
      </c>
      <c r="AC15" s="65" t="s">
        <v>110</v>
      </c>
      <c r="AD15" s="65" t="s">
        <v>110</v>
      </c>
      <c r="AE15" s="65" t="s">
        <v>110</v>
      </c>
      <c r="AF15" s="65" t="s">
        <v>110</v>
      </c>
      <c r="AG15" s="65" t="s">
        <v>110</v>
      </c>
      <c r="AH15" s="39">
        <f t="shared" si="1"/>
        <v>0</v>
      </c>
    </row>
    <row r="16" spans="1:36" ht="15">
      <c r="A16" s="121" t="s">
        <v>81</v>
      </c>
      <c r="B16" s="100">
        <f t="shared" si="0"/>
        <v>0</v>
      </c>
      <c r="C16" s="65" t="s">
        <v>110</v>
      </c>
      <c r="D16" s="65" t="s">
        <v>110</v>
      </c>
      <c r="E16" s="65" t="s">
        <v>110</v>
      </c>
      <c r="F16" s="65" t="s">
        <v>110</v>
      </c>
      <c r="G16" s="65" t="s">
        <v>110</v>
      </c>
      <c r="H16" s="65" t="s">
        <v>110</v>
      </c>
      <c r="I16" s="65" t="s">
        <v>110</v>
      </c>
      <c r="J16" s="65" t="s">
        <v>110</v>
      </c>
      <c r="K16" s="65" t="s">
        <v>110</v>
      </c>
      <c r="L16" s="65" t="s">
        <v>110</v>
      </c>
      <c r="M16" s="65" t="s">
        <v>110</v>
      </c>
      <c r="N16" s="65" t="s">
        <v>110</v>
      </c>
      <c r="O16" s="65" t="s">
        <v>110</v>
      </c>
      <c r="P16" s="65" t="s">
        <v>110</v>
      </c>
      <c r="Q16" s="65" t="s">
        <v>110</v>
      </c>
      <c r="R16" s="65" t="s">
        <v>110</v>
      </c>
      <c r="S16" s="65" t="s">
        <v>110</v>
      </c>
      <c r="T16" s="65" t="s">
        <v>110</v>
      </c>
      <c r="U16" s="65" t="s">
        <v>110</v>
      </c>
      <c r="V16" s="65" t="s">
        <v>110</v>
      </c>
      <c r="W16" s="65" t="s">
        <v>110</v>
      </c>
      <c r="X16" s="65" t="s">
        <v>110</v>
      </c>
      <c r="Y16" s="65" t="s">
        <v>110</v>
      </c>
      <c r="Z16" s="65" t="s">
        <v>110</v>
      </c>
      <c r="AA16" s="65" t="s">
        <v>110</v>
      </c>
      <c r="AB16" s="65" t="s">
        <v>110</v>
      </c>
      <c r="AC16" s="65" t="s">
        <v>110</v>
      </c>
      <c r="AD16" s="65" t="s">
        <v>110</v>
      </c>
      <c r="AE16" s="65" t="s">
        <v>110</v>
      </c>
      <c r="AF16" s="65" t="s">
        <v>110</v>
      </c>
      <c r="AG16" s="65" t="s">
        <v>110</v>
      </c>
      <c r="AH16" s="39">
        <f t="shared" si="1"/>
        <v>0</v>
      </c>
    </row>
    <row r="17" spans="1:36" ht="15">
      <c r="A17" s="121" t="s">
        <v>82</v>
      </c>
      <c r="B17" s="100">
        <f t="shared" si="0"/>
        <v>0</v>
      </c>
      <c r="C17" s="65" t="s">
        <v>110</v>
      </c>
      <c r="D17" s="65" t="s">
        <v>110</v>
      </c>
      <c r="E17" s="65" t="s">
        <v>110</v>
      </c>
      <c r="F17" s="65" t="s">
        <v>110</v>
      </c>
      <c r="G17" s="65" t="s">
        <v>110</v>
      </c>
      <c r="H17" s="65" t="s">
        <v>110</v>
      </c>
      <c r="I17" s="65" t="s">
        <v>110</v>
      </c>
      <c r="J17" s="65" t="s">
        <v>110</v>
      </c>
      <c r="K17" s="65" t="s">
        <v>110</v>
      </c>
      <c r="L17" s="65" t="s">
        <v>110</v>
      </c>
      <c r="M17" s="65" t="s">
        <v>110</v>
      </c>
      <c r="N17" s="65" t="s">
        <v>110</v>
      </c>
      <c r="O17" s="65" t="s">
        <v>110</v>
      </c>
      <c r="P17" s="65" t="s">
        <v>110</v>
      </c>
      <c r="Q17" s="65" t="s">
        <v>110</v>
      </c>
      <c r="R17" s="65" t="s">
        <v>110</v>
      </c>
      <c r="S17" s="65" t="s">
        <v>110</v>
      </c>
      <c r="T17" s="65" t="s">
        <v>110</v>
      </c>
      <c r="U17" s="65" t="s">
        <v>110</v>
      </c>
      <c r="V17" s="65" t="s">
        <v>110</v>
      </c>
      <c r="W17" s="65" t="s">
        <v>110</v>
      </c>
      <c r="X17" s="2158"/>
      <c r="Y17" s="2158"/>
      <c r="Z17" s="2158"/>
      <c r="AA17" s="2158"/>
      <c r="AB17" s="2158"/>
      <c r="AC17" s="2158"/>
      <c r="AD17" s="2158"/>
      <c r="AE17" s="2158"/>
      <c r="AF17" s="2159"/>
      <c r="AG17" s="2160"/>
      <c r="AH17" s="39">
        <f t="shared" si="1"/>
        <v>0</v>
      </c>
    </row>
    <row r="18" spans="1:36" ht="15">
      <c r="A18" s="121" t="s">
        <v>83</v>
      </c>
      <c r="B18" s="100">
        <f t="shared" si="0"/>
        <v>169.53999999999996</v>
      </c>
      <c r="C18" s="35">
        <v>0</v>
      </c>
      <c r="D18" s="15">
        <v>0</v>
      </c>
      <c r="E18" s="15">
        <v>0</v>
      </c>
      <c r="F18" s="15">
        <v>0</v>
      </c>
      <c r="G18" s="15">
        <v>0</v>
      </c>
      <c r="H18" s="15">
        <v>0</v>
      </c>
      <c r="I18" s="15">
        <v>0</v>
      </c>
      <c r="J18" s="15">
        <v>0</v>
      </c>
      <c r="K18" s="15">
        <v>0</v>
      </c>
      <c r="L18" s="15">
        <v>0</v>
      </c>
      <c r="M18" s="15">
        <v>0</v>
      </c>
      <c r="N18" s="15">
        <v>0</v>
      </c>
      <c r="O18" s="15">
        <v>0</v>
      </c>
      <c r="P18" s="15">
        <v>0</v>
      </c>
      <c r="Q18" s="15">
        <v>0</v>
      </c>
      <c r="R18" s="15">
        <v>0</v>
      </c>
      <c r="S18" s="15">
        <v>49.11</v>
      </c>
      <c r="T18" s="15">
        <v>89.724999999999994</v>
      </c>
      <c r="U18" s="15">
        <v>0</v>
      </c>
      <c r="V18" s="15">
        <v>0</v>
      </c>
      <c r="W18" s="15">
        <v>30.704999999999998</v>
      </c>
      <c r="X18" s="15">
        <v>0</v>
      </c>
      <c r="Y18" s="15">
        <v>0</v>
      </c>
      <c r="Z18" s="15">
        <v>0</v>
      </c>
      <c r="AA18" s="15">
        <v>0</v>
      </c>
      <c r="AB18" s="15">
        <v>0</v>
      </c>
      <c r="AC18" s="15">
        <v>0</v>
      </c>
      <c r="AD18" s="15">
        <v>0</v>
      </c>
      <c r="AE18" s="39">
        <v>0</v>
      </c>
      <c r="AF18" s="15">
        <v>0</v>
      </c>
      <c r="AG18" s="39">
        <v>0</v>
      </c>
      <c r="AH18" s="39">
        <f t="shared" si="1"/>
        <v>169.53999999999996</v>
      </c>
    </row>
    <row r="19" spans="1:36" ht="15">
      <c r="A19" s="121" t="s">
        <v>84</v>
      </c>
      <c r="B19" s="100">
        <f t="shared" si="0"/>
        <v>124.02</v>
      </c>
      <c r="C19" s="35">
        <v>0</v>
      </c>
      <c r="D19" s="15">
        <v>71.86</v>
      </c>
      <c r="E19" s="15">
        <v>52.16</v>
      </c>
      <c r="F19" s="15">
        <v>0</v>
      </c>
      <c r="G19" s="15">
        <v>0</v>
      </c>
      <c r="H19" s="15">
        <v>0</v>
      </c>
      <c r="I19" s="15">
        <v>0</v>
      </c>
      <c r="J19" s="15">
        <v>0</v>
      </c>
      <c r="K19" s="15">
        <v>0</v>
      </c>
      <c r="L19" s="15">
        <v>0</v>
      </c>
      <c r="M19" s="15">
        <v>0</v>
      </c>
      <c r="N19" s="15">
        <v>0</v>
      </c>
      <c r="O19" s="15">
        <v>0</v>
      </c>
      <c r="P19" s="1084">
        <v>0</v>
      </c>
      <c r="Q19" s="1084">
        <v>0</v>
      </c>
      <c r="R19" s="1084">
        <v>0</v>
      </c>
      <c r="S19" s="1084">
        <v>0</v>
      </c>
      <c r="T19" s="1084">
        <v>0</v>
      </c>
      <c r="U19" s="1084">
        <v>0</v>
      </c>
      <c r="V19" s="1084">
        <v>0</v>
      </c>
      <c r="W19" s="1084">
        <v>0</v>
      </c>
      <c r="X19" s="1084">
        <v>0</v>
      </c>
      <c r="Y19" s="1084">
        <v>0</v>
      </c>
      <c r="Z19" s="1084">
        <v>0</v>
      </c>
      <c r="AA19" s="1084">
        <v>0</v>
      </c>
      <c r="AB19" s="1084">
        <v>0</v>
      </c>
      <c r="AC19" s="1084">
        <v>0</v>
      </c>
      <c r="AD19" s="1084">
        <v>0</v>
      </c>
      <c r="AE19" s="1084">
        <v>0</v>
      </c>
      <c r="AF19" s="1084">
        <v>0</v>
      </c>
      <c r="AG19" s="1084">
        <v>0</v>
      </c>
      <c r="AH19" s="39">
        <f t="shared" si="1"/>
        <v>124.02</v>
      </c>
    </row>
    <row r="20" spans="1:36" ht="15">
      <c r="A20" s="71" t="s">
        <v>50</v>
      </c>
      <c r="B20" s="73">
        <f>SUM(B8:B19)</f>
        <v>6989.3059999999996</v>
      </c>
      <c r="C20" s="32">
        <f>SUM(C8:C18)</f>
        <v>534.50800000000004</v>
      </c>
      <c r="D20" s="39">
        <f>SUM(D8:D18)</f>
        <v>130.46</v>
      </c>
      <c r="E20" s="39">
        <v>0</v>
      </c>
      <c r="F20" s="39">
        <f t="shared" ref="F20:AC20" si="2">SUM(F8:F18)</f>
        <v>178.43799999999999</v>
      </c>
      <c r="G20" s="39">
        <f t="shared" si="2"/>
        <v>55.207000000000001</v>
      </c>
      <c r="H20" s="39">
        <f t="shared" si="2"/>
        <v>185.173</v>
      </c>
      <c r="I20" s="39">
        <f t="shared" si="2"/>
        <v>93.436999999999998</v>
      </c>
      <c r="J20" s="39">
        <f t="shared" si="2"/>
        <v>0</v>
      </c>
      <c r="K20" s="39">
        <f t="shared" si="2"/>
        <v>0</v>
      </c>
      <c r="L20" s="39">
        <f t="shared" si="2"/>
        <v>0</v>
      </c>
      <c r="M20" s="39">
        <f t="shared" si="2"/>
        <v>41.814999999999998</v>
      </c>
      <c r="N20" s="39">
        <f t="shared" si="2"/>
        <v>265.12399999999997</v>
      </c>
      <c r="O20" s="39">
        <f t="shared" si="2"/>
        <v>806.86200000000008</v>
      </c>
      <c r="P20" s="39">
        <f t="shared" si="2"/>
        <v>0</v>
      </c>
      <c r="Q20" s="39">
        <f t="shared" si="2"/>
        <v>97.764999999999986</v>
      </c>
      <c r="R20" s="39">
        <f t="shared" si="2"/>
        <v>42.358000000000004</v>
      </c>
      <c r="S20" s="39">
        <f t="shared" si="2"/>
        <v>89.064999999999998</v>
      </c>
      <c r="T20" s="39">
        <f t="shared" si="2"/>
        <v>375.92100000000005</v>
      </c>
      <c r="U20" s="39">
        <f t="shared" si="2"/>
        <v>328.553</v>
      </c>
      <c r="V20" s="39">
        <f t="shared" si="2"/>
        <v>443.52300000000002</v>
      </c>
      <c r="W20" s="39">
        <f t="shared" si="2"/>
        <v>284.68799999999999</v>
      </c>
      <c r="X20" s="39">
        <f t="shared" si="2"/>
        <v>684.01</v>
      </c>
      <c r="Y20" s="39">
        <f t="shared" si="2"/>
        <v>555.35</v>
      </c>
      <c r="Z20" s="39">
        <f t="shared" si="2"/>
        <v>0</v>
      </c>
      <c r="AA20" s="39">
        <f t="shared" si="2"/>
        <v>0</v>
      </c>
      <c r="AB20" s="39">
        <f t="shared" si="2"/>
        <v>209.99</v>
      </c>
      <c r="AC20" s="39">
        <f t="shared" si="2"/>
        <v>534.26499999999999</v>
      </c>
      <c r="AD20" s="39">
        <v>0</v>
      </c>
      <c r="AE20" s="39">
        <f>SUM(AE8:AE18)</f>
        <v>51.007999999999996</v>
      </c>
      <c r="AF20" s="39">
        <f>SUM(AF8:AF18)</f>
        <v>763.13499999999999</v>
      </c>
      <c r="AG20" s="39">
        <f>SUM(AG8:AG18)</f>
        <v>19.690999999999995</v>
      </c>
      <c r="AH20" s="32">
        <f>SUM(AH8:AH18)</f>
        <v>6865.2859999999991</v>
      </c>
    </row>
    <row r="21" spans="1:36" ht="5.0999999999999996" customHeight="1">
      <c r="A21" s="37"/>
      <c r="B21" s="59"/>
      <c r="C21" s="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
    </row>
    <row r="22" spans="1:36" ht="15" customHeight="1">
      <c r="A22" s="3811" t="s">
        <v>58</v>
      </c>
      <c r="B22" s="3812"/>
      <c r="C22" s="3812"/>
      <c r="D22" s="3812"/>
      <c r="E22" s="3812"/>
      <c r="F22" s="3812"/>
      <c r="G22" s="3812"/>
      <c r="H22" s="3813"/>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
    </row>
    <row r="23" spans="1:36" ht="15" customHeight="1">
      <c r="A23" s="5" t="s">
        <v>70</v>
      </c>
      <c r="B23" s="56" t="s">
        <v>71</v>
      </c>
      <c r="C23" s="5">
        <v>1</v>
      </c>
      <c r="D23" s="21">
        <v>2</v>
      </c>
      <c r="E23" s="21">
        <v>3</v>
      </c>
      <c r="F23" s="21">
        <v>4</v>
      </c>
      <c r="G23" s="21">
        <v>5</v>
      </c>
      <c r="H23" s="21">
        <v>6</v>
      </c>
      <c r="I23" s="21">
        <v>7</v>
      </c>
      <c r="J23" s="21">
        <v>8</v>
      </c>
      <c r="K23" s="21">
        <v>9</v>
      </c>
      <c r="L23" s="21">
        <v>10</v>
      </c>
      <c r="M23" s="21">
        <v>11</v>
      </c>
      <c r="N23" s="21">
        <v>12</v>
      </c>
      <c r="O23" s="21">
        <v>13</v>
      </c>
      <c r="P23" s="21">
        <v>14</v>
      </c>
      <c r="Q23" s="21">
        <v>15</v>
      </c>
      <c r="R23" s="21">
        <v>16</v>
      </c>
      <c r="S23" s="21">
        <v>17</v>
      </c>
      <c r="T23" s="21">
        <v>18</v>
      </c>
      <c r="U23" s="21">
        <v>19</v>
      </c>
      <c r="V23" s="21">
        <v>20</v>
      </c>
      <c r="W23" s="21">
        <v>21</v>
      </c>
      <c r="X23" s="21">
        <v>22</v>
      </c>
      <c r="Y23" s="21">
        <v>23</v>
      </c>
      <c r="Z23" s="21">
        <v>24</v>
      </c>
      <c r="AA23" s="21">
        <v>25</v>
      </c>
      <c r="AB23" s="21">
        <v>26</v>
      </c>
      <c r="AC23" s="21">
        <v>27</v>
      </c>
      <c r="AD23" s="21">
        <v>28</v>
      </c>
      <c r="AE23" s="21">
        <v>29</v>
      </c>
      <c r="AF23" s="21">
        <v>30</v>
      </c>
      <c r="AG23" s="21">
        <v>31</v>
      </c>
      <c r="AH23" s="25" t="s">
        <v>72</v>
      </c>
      <c r="AI23" s="2266" t="s">
        <v>1345</v>
      </c>
      <c r="AJ23" s="66">
        <f>(B36/COUNTIF($C$24:$AG$35,"&gt;0"))</f>
        <v>43.150915492957751</v>
      </c>
    </row>
    <row r="24" spans="1:36" ht="15">
      <c r="A24" s="109" t="s">
        <v>73</v>
      </c>
      <c r="B24" s="142">
        <f t="shared" ref="B24:B35" si="3">+AH24</f>
        <v>10.979000000000001</v>
      </c>
      <c r="C24" s="1084">
        <v>0</v>
      </c>
      <c r="D24" s="1084">
        <v>0</v>
      </c>
      <c r="E24" s="1084">
        <v>0.72</v>
      </c>
      <c r="F24" s="1084">
        <v>0</v>
      </c>
      <c r="G24" s="1084">
        <v>0</v>
      </c>
      <c r="H24" s="1084">
        <v>0.82799999999999996</v>
      </c>
      <c r="I24" s="1084">
        <v>0.54</v>
      </c>
      <c r="J24" s="1084">
        <v>0.9</v>
      </c>
      <c r="K24" s="1084">
        <v>0.48599999999999999</v>
      </c>
      <c r="L24" s="1084">
        <v>0</v>
      </c>
      <c r="M24" s="1084">
        <v>0</v>
      </c>
      <c r="N24" s="1084">
        <v>0</v>
      </c>
      <c r="O24" s="1084">
        <v>0.72</v>
      </c>
      <c r="P24" s="1084">
        <v>0.09</v>
      </c>
      <c r="Q24" s="1084">
        <v>0</v>
      </c>
      <c r="R24" s="1084">
        <v>1.49</v>
      </c>
      <c r="S24" s="1084">
        <v>0</v>
      </c>
      <c r="T24" s="1084">
        <v>1.44</v>
      </c>
      <c r="U24" s="1084">
        <v>0.04</v>
      </c>
      <c r="V24" s="1084">
        <v>0</v>
      </c>
      <c r="W24" s="1084">
        <v>0</v>
      </c>
      <c r="X24" s="1084">
        <v>0.72</v>
      </c>
      <c r="Y24" s="1084">
        <v>0.9</v>
      </c>
      <c r="Z24" s="1084">
        <v>0.9</v>
      </c>
      <c r="AA24" s="1084">
        <v>0</v>
      </c>
      <c r="AB24" s="1084">
        <v>0</v>
      </c>
      <c r="AC24" s="1084">
        <v>0</v>
      </c>
      <c r="AD24" s="1084">
        <v>0</v>
      </c>
      <c r="AE24" s="1084">
        <v>0.755</v>
      </c>
      <c r="AF24" s="1084">
        <v>0.45</v>
      </c>
      <c r="AG24" s="1084">
        <v>0</v>
      </c>
      <c r="AH24" s="39">
        <f>SUM(C24:AG24)</f>
        <v>10.979000000000001</v>
      </c>
      <c r="AJ24" s="66">
        <f>+'Resumen RAE S.Común'!G19</f>
        <v>-803.71500000000037</v>
      </c>
    </row>
    <row r="25" spans="1:36" ht="15">
      <c r="A25" s="109" t="s">
        <v>74</v>
      </c>
      <c r="B25" s="142">
        <f t="shared" si="3"/>
        <v>1.6600000000000001</v>
      </c>
      <c r="C25" s="1084">
        <v>0</v>
      </c>
      <c r="D25" s="1084">
        <v>0</v>
      </c>
      <c r="E25" s="1084">
        <v>0</v>
      </c>
      <c r="F25" s="1084">
        <v>0.54</v>
      </c>
      <c r="G25" s="1084">
        <v>0.36</v>
      </c>
      <c r="H25" s="1084">
        <v>0</v>
      </c>
      <c r="I25" s="1084">
        <v>0</v>
      </c>
      <c r="J25" s="1084">
        <v>0</v>
      </c>
      <c r="K25" s="1084">
        <v>0</v>
      </c>
      <c r="L25" s="1084">
        <v>0.36</v>
      </c>
      <c r="M25" s="1084">
        <v>0.4</v>
      </c>
      <c r="N25" s="1084"/>
      <c r="O25" s="1084"/>
      <c r="P25" s="1084"/>
      <c r="Q25" s="1084"/>
      <c r="R25" s="1084"/>
      <c r="S25" s="1084"/>
      <c r="T25" s="1084"/>
      <c r="U25" s="1084"/>
      <c r="V25" s="1084"/>
      <c r="W25" s="1084"/>
      <c r="X25" s="1084"/>
      <c r="Y25" s="1084"/>
      <c r="Z25" s="1084"/>
      <c r="AA25" s="1084"/>
      <c r="AB25" s="1084"/>
      <c r="AC25" s="1084"/>
      <c r="AD25" s="1084"/>
      <c r="AE25" s="1084"/>
      <c r="AF25" s="1084"/>
      <c r="AG25" s="1084"/>
      <c r="AH25" s="39">
        <f t="shared" ref="AH25:AH35" si="4">SUM(C25:AG25)</f>
        <v>1.6600000000000001</v>
      </c>
      <c r="AJ25" s="1093">
        <f>+AJ24/AJ23</f>
        <v>-18.625676670316928</v>
      </c>
    </row>
    <row r="26" spans="1:36" ht="15">
      <c r="A26" s="109" t="s">
        <v>75</v>
      </c>
      <c r="B26" s="142">
        <f t="shared" si="3"/>
        <v>571.38800000000003</v>
      </c>
      <c r="C26" s="1084">
        <v>0</v>
      </c>
      <c r="D26" s="1084">
        <v>0</v>
      </c>
      <c r="E26" s="1084">
        <v>0</v>
      </c>
      <c r="F26" s="1084">
        <v>0</v>
      </c>
      <c r="G26" s="1084">
        <v>0</v>
      </c>
      <c r="H26" s="1091">
        <v>0</v>
      </c>
      <c r="I26" s="1091">
        <v>0</v>
      </c>
      <c r="J26" s="1091">
        <v>0</v>
      </c>
      <c r="K26" s="1091">
        <v>0</v>
      </c>
      <c r="L26" s="1091">
        <v>0</v>
      </c>
      <c r="M26" s="1091">
        <v>0</v>
      </c>
      <c r="N26" s="1091">
        <v>45.18</v>
      </c>
      <c r="O26" s="1091">
        <v>157.63499999999999</v>
      </c>
      <c r="P26" s="1091">
        <v>0</v>
      </c>
      <c r="Q26" s="1091">
        <v>23.875</v>
      </c>
      <c r="R26" s="1091">
        <v>32.173000000000002</v>
      </c>
      <c r="S26" s="1091">
        <v>0</v>
      </c>
      <c r="T26" s="1091">
        <v>64.488</v>
      </c>
      <c r="U26" s="1091">
        <v>124.30800000000001</v>
      </c>
      <c r="V26" s="1091">
        <v>120.499</v>
      </c>
      <c r="W26" s="1091">
        <v>0</v>
      </c>
      <c r="X26" s="1091">
        <v>0.99</v>
      </c>
      <c r="Y26" s="1091">
        <v>0</v>
      </c>
      <c r="Z26" s="1091">
        <v>0</v>
      </c>
      <c r="AA26" s="1091">
        <v>0.26</v>
      </c>
      <c r="AB26" s="1091">
        <v>0.27</v>
      </c>
      <c r="AC26" s="1091">
        <v>0.378</v>
      </c>
      <c r="AD26" s="1091">
        <v>0.61199999999999999</v>
      </c>
      <c r="AE26" s="1091">
        <v>0.72</v>
      </c>
      <c r="AF26" s="1091">
        <v>0</v>
      </c>
      <c r="AG26" s="1091">
        <v>0</v>
      </c>
      <c r="AH26" s="39">
        <f t="shared" si="4"/>
        <v>571.38800000000003</v>
      </c>
    </row>
    <row r="27" spans="1:36" ht="15">
      <c r="A27" s="109" t="s">
        <v>76</v>
      </c>
      <c r="B27" s="142">
        <f t="shared" si="3"/>
        <v>671.81400000000008</v>
      </c>
      <c r="C27" s="1091">
        <v>0.72</v>
      </c>
      <c r="D27" s="1091">
        <v>0</v>
      </c>
      <c r="E27" s="1091">
        <v>0</v>
      </c>
      <c r="F27" s="1091">
        <v>4.9000000000000004</v>
      </c>
      <c r="G27" s="1091">
        <v>4.53</v>
      </c>
      <c r="H27" s="1091">
        <v>0.504</v>
      </c>
      <c r="I27" s="1091">
        <v>0</v>
      </c>
      <c r="J27" s="1091">
        <v>0.9</v>
      </c>
      <c r="K27" s="1091">
        <v>0</v>
      </c>
      <c r="L27" s="1091">
        <v>5.58</v>
      </c>
      <c r="M27" s="1091">
        <v>0</v>
      </c>
      <c r="N27" s="1091">
        <v>0</v>
      </c>
      <c r="O27" s="1091">
        <v>0</v>
      </c>
      <c r="P27" s="1091">
        <v>0.91800000000000004</v>
      </c>
      <c r="Q27" s="1091">
        <v>0</v>
      </c>
      <c r="R27" s="1091">
        <v>0</v>
      </c>
      <c r="S27" s="1091">
        <v>0.54</v>
      </c>
      <c r="T27" s="1091">
        <v>0</v>
      </c>
      <c r="U27" s="1091">
        <v>0</v>
      </c>
      <c r="V27" s="1091">
        <v>0</v>
      </c>
      <c r="W27" s="1091">
        <v>0</v>
      </c>
      <c r="X27" s="1091">
        <v>46.417000000000002</v>
      </c>
      <c r="Y27" s="1091">
        <v>123.575</v>
      </c>
      <c r="Z27" s="1091">
        <v>0</v>
      </c>
      <c r="AA27" s="1091">
        <v>147.71</v>
      </c>
      <c r="AB27" s="1091">
        <v>0</v>
      </c>
      <c r="AC27" s="1091">
        <v>138.17500000000001</v>
      </c>
      <c r="AD27" s="1091">
        <v>0</v>
      </c>
      <c r="AE27" s="1091">
        <v>35.909999999999997</v>
      </c>
      <c r="AF27" s="1091">
        <v>161.435</v>
      </c>
      <c r="AG27" s="1091">
        <v>0</v>
      </c>
      <c r="AH27" s="39">
        <f t="shared" si="4"/>
        <v>671.81400000000008</v>
      </c>
    </row>
    <row r="28" spans="1:36" ht="15">
      <c r="A28" s="111" t="s">
        <v>77</v>
      </c>
      <c r="B28" s="142">
        <f t="shared" si="3"/>
        <v>1796.9040000000002</v>
      </c>
      <c r="C28" s="1091">
        <v>102.34700000000001</v>
      </c>
      <c r="D28" s="1091">
        <v>0</v>
      </c>
      <c r="E28" s="1091">
        <v>0</v>
      </c>
      <c r="F28" s="1091">
        <v>0</v>
      </c>
      <c r="G28" s="1091">
        <v>3.915</v>
      </c>
      <c r="H28" s="1091">
        <v>0</v>
      </c>
      <c r="I28" s="1091">
        <v>10.436</v>
      </c>
      <c r="J28" s="1091">
        <v>10.210000000000001</v>
      </c>
      <c r="K28" s="1091">
        <v>9.4450000000000003</v>
      </c>
      <c r="L28" s="1091">
        <v>204.53000000000003</v>
      </c>
      <c r="M28" s="1091">
        <v>263.666</v>
      </c>
      <c r="N28" s="1091">
        <v>112.94200000000001</v>
      </c>
      <c r="O28" s="1091">
        <v>0.432</v>
      </c>
      <c r="P28" s="1091">
        <v>0.32400000000000001</v>
      </c>
      <c r="Q28" s="1091">
        <v>0</v>
      </c>
      <c r="R28" s="1091">
        <v>0</v>
      </c>
      <c r="S28" s="1091">
        <v>438.13</v>
      </c>
      <c r="T28" s="1091">
        <v>324.22000000000003</v>
      </c>
      <c r="U28" s="1091">
        <v>306.59699999999998</v>
      </c>
      <c r="V28" s="1091">
        <v>0.57599999999999996</v>
      </c>
      <c r="W28" s="1091">
        <v>0</v>
      </c>
      <c r="X28" s="1091">
        <v>0</v>
      </c>
      <c r="Y28" s="1091">
        <v>3.9</v>
      </c>
      <c r="Z28" s="1091">
        <v>4.4779999999999998</v>
      </c>
      <c r="AA28" s="1091">
        <v>0</v>
      </c>
      <c r="AB28" s="1091">
        <v>0</v>
      </c>
      <c r="AC28" s="1091">
        <v>0</v>
      </c>
      <c r="AD28" s="1091">
        <v>0</v>
      </c>
      <c r="AE28" s="1091">
        <v>0</v>
      </c>
      <c r="AF28" s="1091">
        <v>0</v>
      </c>
      <c r="AG28" s="1091">
        <v>0.75600000000000001</v>
      </c>
      <c r="AH28" s="212">
        <f t="shared" si="4"/>
        <v>1796.9040000000002</v>
      </c>
    </row>
    <row r="29" spans="1:36" ht="15">
      <c r="A29" s="111" t="s">
        <v>78</v>
      </c>
      <c r="B29" s="142">
        <f t="shared" si="3"/>
        <v>10.97</v>
      </c>
      <c r="C29" s="1091">
        <v>1.8</v>
      </c>
      <c r="D29" s="1091">
        <v>3.1</v>
      </c>
      <c r="E29" s="1091">
        <v>3.5859999999999999</v>
      </c>
      <c r="F29" s="1091">
        <v>0</v>
      </c>
      <c r="G29" s="1091">
        <v>0</v>
      </c>
      <c r="H29" s="1091">
        <v>0.54</v>
      </c>
      <c r="I29" s="1091">
        <v>0</v>
      </c>
      <c r="J29" s="1091">
        <v>0</v>
      </c>
      <c r="K29" s="1091">
        <v>0</v>
      </c>
      <c r="L29" s="1091">
        <v>0.45</v>
      </c>
      <c r="M29" s="1091">
        <v>0</v>
      </c>
      <c r="N29" s="1091">
        <v>0</v>
      </c>
      <c r="O29" s="1091">
        <v>0.57599999999999996</v>
      </c>
      <c r="P29" s="1091">
        <v>0</v>
      </c>
      <c r="Q29" s="1091">
        <v>0</v>
      </c>
      <c r="R29" s="1091">
        <v>0</v>
      </c>
      <c r="S29" s="1091">
        <v>0.432</v>
      </c>
      <c r="T29" s="1091">
        <v>0</v>
      </c>
      <c r="U29" s="1091">
        <v>0.48599999999999999</v>
      </c>
      <c r="V29" s="1091">
        <v>0</v>
      </c>
      <c r="W29" s="1091">
        <v>0</v>
      </c>
      <c r="X29" s="1091">
        <v>0</v>
      </c>
      <c r="Y29" s="1091">
        <v>0</v>
      </c>
      <c r="Z29" s="1091">
        <v>0</v>
      </c>
      <c r="AA29" s="1091">
        <v>0</v>
      </c>
      <c r="AB29" s="1091">
        <v>0</v>
      </c>
      <c r="AC29" s="1091">
        <v>0</v>
      </c>
      <c r="AD29" s="1091">
        <v>0</v>
      </c>
      <c r="AE29" s="1091">
        <v>0</v>
      </c>
      <c r="AF29" s="1091">
        <v>0</v>
      </c>
      <c r="AG29" s="1091">
        <v>0</v>
      </c>
      <c r="AH29" s="39">
        <f t="shared" si="4"/>
        <v>10.97</v>
      </c>
    </row>
    <row r="30" spans="1:36" ht="15">
      <c r="A30" s="111" t="s">
        <v>79</v>
      </c>
      <c r="B30" s="142">
        <f t="shared" si="3"/>
        <v>0</v>
      </c>
      <c r="C30" s="1091"/>
      <c r="D30" s="1091"/>
      <c r="E30" s="1091"/>
      <c r="F30" s="1091"/>
      <c r="G30" s="1091"/>
      <c r="H30" s="1091"/>
      <c r="I30" s="1091"/>
      <c r="J30" s="1091"/>
      <c r="K30" s="1091"/>
      <c r="L30" s="1091"/>
      <c r="M30" s="1091"/>
      <c r="N30" s="1091"/>
      <c r="O30" s="1091"/>
      <c r="P30" s="1091"/>
      <c r="Q30" s="1091"/>
      <c r="R30" s="1091"/>
      <c r="S30" s="1091"/>
      <c r="T30" s="1091"/>
      <c r="U30" s="1091"/>
      <c r="V30" s="1091"/>
      <c r="W30" s="1084"/>
      <c r="X30" s="1084"/>
      <c r="Y30" s="1084"/>
      <c r="Z30" s="1084"/>
      <c r="AA30" s="1084"/>
      <c r="AB30" s="1084"/>
      <c r="AC30" s="1084"/>
      <c r="AD30" s="1084"/>
      <c r="AE30" s="1084"/>
      <c r="AF30" s="65"/>
      <c r="AG30" s="65"/>
      <c r="AH30" s="39">
        <f t="shared" si="4"/>
        <v>0</v>
      </c>
    </row>
    <row r="31" spans="1:36" ht="15">
      <c r="A31" s="111" t="s">
        <v>80</v>
      </c>
      <c r="B31" s="142">
        <f t="shared" si="3"/>
        <v>0</v>
      </c>
      <c r="C31" s="65"/>
      <c r="D31" s="65"/>
      <c r="E31" s="65"/>
      <c r="F31" s="65"/>
      <c r="G31" s="65"/>
      <c r="H31" s="65"/>
      <c r="I31" s="65"/>
      <c r="J31" s="65"/>
      <c r="K31" s="65"/>
      <c r="L31" s="65"/>
      <c r="M31" s="65"/>
      <c r="N31" s="65"/>
      <c r="O31" s="65"/>
      <c r="P31" s="65"/>
      <c r="Q31" s="65"/>
      <c r="R31" s="65"/>
      <c r="S31" s="65"/>
      <c r="T31" s="65"/>
      <c r="U31" s="65"/>
      <c r="V31" s="65"/>
      <c r="W31" s="65"/>
      <c r="X31" s="65"/>
      <c r="Y31" s="65"/>
      <c r="Z31" s="65"/>
      <c r="AA31" s="65"/>
      <c r="AB31" s="65"/>
      <c r="AC31" s="65"/>
      <c r="AD31" s="65"/>
      <c r="AE31" s="65"/>
      <c r="AF31" s="65"/>
      <c r="AG31" s="65"/>
      <c r="AH31" s="39">
        <f t="shared" si="4"/>
        <v>0</v>
      </c>
    </row>
    <row r="32" spans="1:36" ht="15">
      <c r="A32" s="121" t="s">
        <v>81</v>
      </c>
      <c r="B32" s="24">
        <f t="shared" si="3"/>
        <v>0</v>
      </c>
      <c r="C32" s="609"/>
      <c r="D32" s="609"/>
      <c r="E32" s="609"/>
      <c r="F32" s="609"/>
      <c r="G32" s="609"/>
      <c r="H32" s="609"/>
      <c r="I32" s="609"/>
      <c r="J32" s="609"/>
      <c r="K32" s="609"/>
      <c r="L32" s="609"/>
      <c r="M32" s="609"/>
      <c r="N32" s="609"/>
      <c r="O32" s="609"/>
      <c r="P32" s="609"/>
      <c r="Q32" s="609"/>
      <c r="R32" s="609"/>
      <c r="S32" s="609"/>
      <c r="T32" s="609"/>
      <c r="U32" s="609"/>
      <c r="V32" s="609"/>
      <c r="W32" s="609"/>
      <c r="X32" s="609"/>
      <c r="Y32" s="609"/>
      <c r="Z32" s="609"/>
      <c r="AA32" s="609"/>
      <c r="AB32" s="609"/>
      <c r="AC32" s="609"/>
      <c r="AD32" s="609"/>
      <c r="AE32" s="609"/>
      <c r="AF32" s="609"/>
      <c r="AG32" s="609"/>
      <c r="AH32" s="39">
        <f t="shared" si="4"/>
        <v>0</v>
      </c>
    </row>
    <row r="33" spans="1:36" ht="15">
      <c r="A33" s="121" t="s">
        <v>82</v>
      </c>
      <c r="B33" s="24">
        <f t="shared" si="3"/>
        <v>0</v>
      </c>
      <c r="C33" s="609"/>
      <c r="D33" s="609"/>
      <c r="E33" s="609"/>
      <c r="F33" s="609"/>
      <c r="G33" s="609"/>
      <c r="H33" s="609"/>
      <c r="I33" s="609"/>
      <c r="J33" s="609"/>
      <c r="K33" s="609"/>
      <c r="L33" s="609"/>
      <c r="M33" s="609"/>
      <c r="N33" s="609"/>
      <c r="O33" s="609"/>
      <c r="P33" s="609"/>
      <c r="Q33" s="609"/>
      <c r="R33" s="609"/>
      <c r="S33" s="609"/>
      <c r="T33" s="609"/>
      <c r="U33" s="609"/>
      <c r="V33" s="609"/>
      <c r="W33" s="609"/>
      <c r="X33" s="1091"/>
      <c r="Y33" s="1091"/>
      <c r="Z33" s="1091"/>
      <c r="AA33" s="1091"/>
      <c r="AB33" s="1091"/>
      <c r="AC33" s="1091"/>
      <c r="AD33" s="1091"/>
      <c r="AE33" s="1268"/>
      <c r="AF33" s="1091"/>
      <c r="AG33" s="1268"/>
      <c r="AH33" s="39">
        <f t="shared" si="4"/>
        <v>0</v>
      </c>
    </row>
    <row r="34" spans="1:36" ht="15">
      <c r="A34" s="121" t="s">
        <v>83</v>
      </c>
      <c r="B34" s="24">
        <f t="shared" si="3"/>
        <v>0</v>
      </c>
      <c r="C34" s="3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39"/>
      <c r="AF34" s="15"/>
      <c r="AG34" s="39"/>
      <c r="AH34" s="39">
        <f t="shared" si="4"/>
        <v>0</v>
      </c>
    </row>
    <row r="35" spans="1:36" ht="15">
      <c r="A35" s="121" t="s">
        <v>84</v>
      </c>
      <c r="B35" s="24">
        <f t="shared" si="3"/>
        <v>0</v>
      </c>
      <c r="C35" s="35"/>
      <c r="D35" s="15"/>
      <c r="E35" s="15"/>
      <c r="F35" s="15"/>
      <c r="G35" s="15"/>
      <c r="H35" s="15"/>
      <c r="I35" s="15"/>
      <c r="J35" s="15"/>
      <c r="K35" s="15"/>
      <c r="L35" s="15"/>
      <c r="M35" s="15"/>
      <c r="N35" s="15"/>
      <c r="O35" s="15"/>
      <c r="P35" s="1091"/>
      <c r="Q35" s="1084"/>
      <c r="R35" s="1084"/>
      <c r="S35" s="1084"/>
      <c r="T35" s="1084"/>
      <c r="U35" s="1084"/>
      <c r="V35" s="1084"/>
      <c r="W35" s="1084"/>
      <c r="X35" s="1084"/>
      <c r="Y35" s="1084"/>
      <c r="Z35" s="1084"/>
      <c r="AA35" s="1084"/>
      <c r="AB35" s="1084"/>
      <c r="AC35" s="1084"/>
      <c r="AD35" s="1084"/>
      <c r="AE35" s="1084"/>
      <c r="AF35" s="1084"/>
      <c r="AG35" s="1084"/>
      <c r="AH35" s="39">
        <f t="shared" si="4"/>
        <v>0</v>
      </c>
    </row>
    <row r="36" spans="1:36" ht="15">
      <c r="A36" s="71" t="s">
        <v>72</v>
      </c>
      <c r="B36" s="74">
        <f>SUM(B24:B35)</f>
        <v>3063.7150000000001</v>
      </c>
      <c r="C36" s="32">
        <f>SUM(C24:C34)</f>
        <v>104.867</v>
      </c>
      <c r="D36" s="39">
        <f>SUM(D24:D34)</f>
        <v>3.1</v>
      </c>
      <c r="E36" s="39">
        <v>0</v>
      </c>
      <c r="F36" s="39">
        <f t="shared" ref="F36:AC36" si="5">SUM(F24:F34)</f>
        <v>5.44</v>
      </c>
      <c r="G36" s="39">
        <f t="shared" si="5"/>
        <v>8.8049999999999997</v>
      </c>
      <c r="H36" s="39">
        <f t="shared" si="5"/>
        <v>1.8719999999999999</v>
      </c>
      <c r="I36" s="39">
        <f t="shared" si="5"/>
        <v>10.975999999999999</v>
      </c>
      <c r="J36" s="39">
        <f t="shared" si="5"/>
        <v>12.010000000000002</v>
      </c>
      <c r="K36" s="39">
        <f t="shared" si="5"/>
        <v>9.9310000000000009</v>
      </c>
      <c r="L36" s="39">
        <f t="shared" si="5"/>
        <v>210.92000000000002</v>
      </c>
      <c r="M36" s="39">
        <f t="shared" si="5"/>
        <v>264.06599999999997</v>
      </c>
      <c r="N36" s="39">
        <f t="shared" si="5"/>
        <v>158.12200000000001</v>
      </c>
      <c r="O36" s="39">
        <f t="shared" si="5"/>
        <v>159.36299999999997</v>
      </c>
      <c r="P36" s="39">
        <f t="shared" si="5"/>
        <v>1.3320000000000001</v>
      </c>
      <c r="Q36" s="39">
        <f t="shared" si="5"/>
        <v>23.875</v>
      </c>
      <c r="R36" s="39">
        <f t="shared" si="5"/>
        <v>33.663000000000004</v>
      </c>
      <c r="S36" s="39">
        <f t="shared" si="5"/>
        <v>439.10200000000003</v>
      </c>
      <c r="T36" s="39">
        <f t="shared" si="5"/>
        <v>390.14800000000002</v>
      </c>
      <c r="U36" s="39">
        <f t="shared" si="5"/>
        <v>431.43099999999998</v>
      </c>
      <c r="V36" s="39">
        <f t="shared" si="5"/>
        <v>121.07499999999999</v>
      </c>
      <c r="W36" s="39">
        <f t="shared" si="5"/>
        <v>0</v>
      </c>
      <c r="X36" s="39">
        <f t="shared" si="5"/>
        <v>48.127000000000002</v>
      </c>
      <c r="Y36" s="39">
        <f t="shared" si="5"/>
        <v>128.375</v>
      </c>
      <c r="Z36" s="39">
        <f t="shared" si="5"/>
        <v>5.3780000000000001</v>
      </c>
      <c r="AA36" s="39">
        <f t="shared" si="5"/>
        <v>147.97</v>
      </c>
      <c r="AB36" s="39">
        <f t="shared" si="5"/>
        <v>0.27</v>
      </c>
      <c r="AC36" s="39">
        <f t="shared" si="5"/>
        <v>138.553</v>
      </c>
      <c r="AD36" s="39">
        <v>0</v>
      </c>
      <c r="AE36" s="39">
        <f>SUM(AE24:AE34)</f>
        <v>37.384999999999998</v>
      </c>
      <c r="AF36" s="39">
        <f>SUM(AF24:AF34)</f>
        <v>161.88499999999999</v>
      </c>
      <c r="AG36" s="39">
        <f>SUM(AG24:AG34)</f>
        <v>0.75600000000000001</v>
      </c>
      <c r="AH36" s="32">
        <f>SUM(AH24:AH34)</f>
        <v>3063.7150000000001</v>
      </c>
    </row>
    <row r="37" spans="1:36" ht="15">
      <c r="A37" s="114"/>
      <c r="B37" s="189"/>
      <c r="C37" s="13"/>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13"/>
    </row>
    <row r="38" spans="1:36" ht="15">
      <c r="A38" s="3851" t="s">
        <v>68</v>
      </c>
      <c r="B38" s="3852"/>
      <c r="C38" s="3852"/>
      <c r="D38" s="3852"/>
      <c r="E38" s="3852"/>
      <c r="F38" s="3852"/>
      <c r="G38" s="3852"/>
      <c r="H38" s="3852"/>
      <c r="I38" s="3852"/>
      <c r="J38" s="3852"/>
      <c r="K38" s="3852"/>
      <c r="L38" s="3852"/>
      <c r="M38" s="3852"/>
      <c r="N38" s="3852"/>
      <c r="O38" s="3852"/>
      <c r="P38" s="3852"/>
      <c r="Q38" s="3852"/>
      <c r="R38" s="3852"/>
      <c r="S38" s="38"/>
      <c r="T38" s="38"/>
      <c r="U38" s="38"/>
      <c r="V38" s="38"/>
      <c r="W38" s="38"/>
      <c r="X38" s="38"/>
      <c r="Y38" s="38"/>
      <c r="Z38" s="38"/>
      <c r="AA38" s="38"/>
      <c r="AB38" s="38"/>
      <c r="AC38" s="38"/>
      <c r="AD38" s="38"/>
      <c r="AE38" s="38"/>
      <c r="AF38" s="38"/>
      <c r="AG38" s="38"/>
      <c r="AH38" s="13"/>
    </row>
    <row r="39" spans="1:36" ht="15">
      <c r="A39" s="195" t="s">
        <v>185</v>
      </c>
      <c r="B39" s="196"/>
      <c r="C39" s="197"/>
      <c r="D39" s="194"/>
      <c r="E39" s="194"/>
      <c r="F39" s="194"/>
      <c r="G39" s="194"/>
      <c r="H39" s="22"/>
      <c r="I39" s="22"/>
      <c r="J39" s="22"/>
      <c r="K39" s="22"/>
      <c r="L39" s="22"/>
      <c r="M39" s="22"/>
      <c r="N39" s="22"/>
      <c r="O39" s="22"/>
      <c r="P39" s="22"/>
      <c r="Q39" s="22"/>
      <c r="R39" s="22"/>
      <c r="S39" s="38"/>
      <c r="T39" s="38"/>
      <c r="U39" s="38"/>
      <c r="V39" s="38"/>
      <c r="W39" s="38"/>
      <c r="X39" s="38"/>
      <c r="Y39" s="38"/>
      <c r="Z39" s="38"/>
      <c r="AA39" s="38"/>
      <c r="AB39" s="38"/>
      <c r="AC39" s="38"/>
      <c r="AD39" s="38"/>
      <c r="AE39" s="38"/>
      <c r="AF39" s="38"/>
      <c r="AG39" s="38"/>
      <c r="AH39" s="13"/>
    </row>
    <row r="40" spans="1:36" ht="15">
      <c r="A40" s="109" t="s">
        <v>70</v>
      </c>
      <c r="B40" s="19" t="s">
        <v>71</v>
      </c>
      <c r="C40" s="57">
        <v>1</v>
      </c>
      <c r="D40" s="23">
        <v>2</v>
      </c>
      <c r="E40" s="23">
        <v>3</v>
      </c>
      <c r="F40" s="23">
        <v>4</v>
      </c>
      <c r="G40" s="23">
        <v>5</v>
      </c>
      <c r="H40" s="23">
        <v>6</v>
      </c>
      <c r="I40" s="23">
        <v>7</v>
      </c>
      <c r="J40" s="23">
        <v>8</v>
      </c>
      <c r="K40" s="23">
        <v>9</v>
      </c>
      <c r="L40" s="23">
        <v>10</v>
      </c>
      <c r="M40" s="23">
        <v>11</v>
      </c>
      <c r="N40" s="23">
        <v>12</v>
      </c>
      <c r="O40" s="23">
        <v>13</v>
      </c>
      <c r="P40" s="23">
        <v>14</v>
      </c>
      <c r="Q40" s="23">
        <v>15</v>
      </c>
      <c r="R40" s="23">
        <v>16</v>
      </c>
      <c r="S40" s="21">
        <v>17</v>
      </c>
      <c r="T40" s="21">
        <v>18</v>
      </c>
      <c r="U40" s="21">
        <v>19</v>
      </c>
      <c r="V40" s="21">
        <v>20</v>
      </c>
      <c r="W40" s="21">
        <v>21</v>
      </c>
      <c r="X40" s="21">
        <v>22</v>
      </c>
      <c r="Y40" s="21">
        <v>23</v>
      </c>
      <c r="Z40" s="21">
        <v>24</v>
      </c>
      <c r="AA40" s="21">
        <v>25</v>
      </c>
      <c r="AB40" s="21">
        <v>26</v>
      </c>
      <c r="AC40" s="21">
        <v>27</v>
      </c>
      <c r="AD40" s="21">
        <v>28</v>
      </c>
      <c r="AE40" s="21">
        <v>29</v>
      </c>
      <c r="AF40" s="21">
        <v>30</v>
      </c>
      <c r="AG40" s="21">
        <v>31</v>
      </c>
      <c r="AH40" s="25" t="s">
        <v>72</v>
      </c>
      <c r="AI40" s="2266" t="s">
        <v>1345</v>
      </c>
      <c r="AJ40" s="66">
        <f>(B53/COUNTIF($C$41:$AG$52,"&gt;0"))</f>
        <v>59.81875999999999</v>
      </c>
    </row>
    <row r="41" spans="1:36" ht="15">
      <c r="A41" s="109" t="s">
        <v>73</v>
      </c>
      <c r="B41" s="19">
        <f t="shared" ref="B41:B52" si="6">+AH41</f>
        <v>0</v>
      </c>
      <c r="C41" s="609" t="s">
        <v>109</v>
      </c>
      <c r="D41" s="609" t="s">
        <v>109</v>
      </c>
      <c r="E41" s="609" t="s">
        <v>109</v>
      </c>
      <c r="F41" s="609" t="s">
        <v>109</v>
      </c>
      <c r="G41" s="609" t="s">
        <v>109</v>
      </c>
      <c r="H41" s="609" t="s">
        <v>109</v>
      </c>
      <c r="I41" s="609" t="s">
        <v>109</v>
      </c>
      <c r="J41" s="609" t="s">
        <v>109</v>
      </c>
      <c r="K41" s="609" t="s">
        <v>109</v>
      </c>
      <c r="L41" s="609" t="s">
        <v>109</v>
      </c>
      <c r="M41" s="609" t="s">
        <v>109</v>
      </c>
      <c r="N41" s="609" t="s">
        <v>109</v>
      </c>
      <c r="O41" s="609" t="s">
        <v>109</v>
      </c>
      <c r="P41" s="609" t="s">
        <v>109</v>
      </c>
      <c r="Q41" s="609" t="s">
        <v>109</v>
      </c>
      <c r="R41" s="609" t="s">
        <v>109</v>
      </c>
      <c r="S41" s="609" t="s">
        <v>109</v>
      </c>
      <c r="T41" s="609" t="s">
        <v>109</v>
      </c>
      <c r="U41" s="609" t="s">
        <v>109</v>
      </c>
      <c r="V41" s="609" t="s">
        <v>109</v>
      </c>
      <c r="W41" s="609" t="s">
        <v>109</v>
      </c>
      <c r="X41" s="609" t="s">
        <v>109</v>
      </c>
      <c r="Y41" s="609" t="s">
        <v>109</v>
      </c>
      <c r="Z41" s="609" t="s">
        <v>109</v>
      </c>
      <c r="AA41" s="609" t="s">
        <v>109</v>
      </c>
      <c r="AB41" s="609" t="s">
        <v>109</v>
      </c>
      <c r="AC41" s="609" t="s">
        <v>109</v>
      </c>
      <c r="AD41" s="609" t="s">
        <v>109</v>
      </c>
      <c r="AE41" s="609" t="s">
        <v>109</v>
      </c>
      <c r="AF41" s="609" t="s">
        <v>109</v>
      </c>
      <c r="AG41" s="609" t="s">
        <v>109</v>
      </c>
      <c r="AH41" s="39">
        <f>SUM(C41:AG41)</f>
        <v>0</v>
      </c>
      <c r="AJ41" s="66">
        <f>+'Resumen RAE S.Común'!G37</f>
        <v>300.01800000000014</v>
      </c>
    </row>
    <row r="42" spans="1:36" ht="15">
      <c r="A42" s="109" t="s">
        <v>74</v>
      </c>
      <c r="B42" s="19">
        <f t="shared" si="6"/>
        <v>0</v>
      </c>
      <c r="C42" s="609" t="s">
        <v>109</v>
      </c>
      <c r="D42" s="609" t="s">
        <v>109</v>
      </c>
      <c r="E42" s="609" t="s">
        <v>109</v>
      </c>
      <c r="F42" s="609" t="s">
        <v>109</v>
      </c>
      <c r="G42" s="609" t="s">
        <v>109</v>
      </c>
      <c r="H42" s="609" t="s">
        <v>109</v>
      </c>
      <c r="I42" s="609" t="s">
        <v>109</v>
      </c>
      <c r="J42" s="609" t="s">
        <v>109</v>
      </c>
      <c r="K42" s="609" t="s">
        <v>109</v>
      </c>
      <c r="L42" s="609" t="s">
        <v>109</v>
      </c>
      <c r="M42" s="609" t="s">
        <v>109</v>
      </c>
      <c r="N42" s="609" t="s">
        <v>109</v>
      </c>
      <c r="O42" s="609" t="s">
        <v>109</v>
      </c>
      <c r="P42" s="609" t="s">
        <v>109</v>
      </c>
      <c r="Q42" s="609" t="s">
        <v>109</v>
      </c>
      <c r="R42" s="609" t="s">
        <v>109</v>
      </c>
      <c r="S42" s="609" t="s">
        <v>109</v>
      </c>
      <c r="T42" s="609" t="s">
        <v>109</v>
      </c>
      <c r="U42" s="609" t="s">
        <v>109</v>
      </c>
      <c r="V42" s="609" t="s">
        <v>109</v>
      </c>
      <c r="W42" s="609" t="s">
        <v>109</v>
      </c>
      <c r="X42" s="609" t="s">
        <v>109</v>
      </c>
      <c r="Y42" s="609" t="s">
        <v>109</v>
      </c>
      <c r="Z42" s="609" t="s">
        <v>109</v>
      </c>
      <c r="AA42" s="609" t="s">
        <v>109</v>
      </c>
      <c r="AB42" s="609" t="s">
        <v>109</v>
      </c>
      <c r="AC42" s="609" t="s">
        <v>109</v>
      </c>
      <c r="AD42" s="609" t="s">
        <v>109</v>
      </c>
      <c r="AE42" s="609" t="s">
        <v>109</v>
      </c>
      <c r="AF42" s="609" t="s">
        <v>109</v>
      </c>
      <c r="AG42" s="609" t="s">
        <v>109</v>
      </c>
      <c r="AH42" s="39">
        <f t="shared" ref="AH42:AH52" si="7">SUM(C42:AG42)</f>
        <v>0</v>
      </c>
      <c r="AJ42" s="1093">
        <f>+AJ41/AJ40</f>
        <v>5.0154500026413151</v>
      </c>
    </row>
    <row r="43" spans="1:36" ht="15">
      <c r="A43" s="109" t="s">
        <v>75</v>
      </c>
      <c r="B43" s="19">
        <f t="shared" si="6"/>
        <v>329.95499999999998</v>
      </c>
      <c r="C43" s="609" t="s">
        <v>109</v>
      </c>
      <c r="D43" s="609" t="s">
        <v>109</v>
      </c>
      <c r="E43" s="609" t="s">
        <v>109</v>
      </c>
      <c r="F43" s="609" t="s">
        <v>109</v>
      </c>
      <c r="G43" s="609" t="s">
        <v>109</v>
      </c>
      <c r="H43" s="1091"/>
      <c r="I43" s="1091"/>
      <c r="J43" s="1091"/>
      <c r="K43" s="2067"/>
      <c r="L43" s="2067"/>
      <c r="M43" s="2067"/>
      <c r="N43" s="2067">
        <v>65.144999999999996</v>
      </c>
      <c r="O43" s="2067"/>
      <c r="P43" s="2067"/>
      <c r="Q43" s="2067"/>
      <c r="R43" s="2067">
        <v>25.3</v>
      </c>
      <c r="S43" s="2067">
        <v>65.06</v>
      </c>
      <c r="T43" s="2067"/>
      <c r="U43" s="2067">
        <v>97.6</v>
      </c>
      <c r="V43" s="2067"/>
      <c r="W43" s="2067"/>
      <c r="X43" s="2067">
        <v>76.849999999999994</v>
      </c>
      <c r="Y43" s="2067"/>
      <c r="Z43" s="2067"/>
      <c r="AA43" s="2067"/>
      <c r="AB43" s="2067"/>
      <c r="AC43" s="2067"/>
      <c r="AD43" s="2067"/>
      <c r="AE43" s="2067"/>
      <c r="AF43" s="2067"/>
      <c r="AG43" s="2067"/>
      <c r="AH43" s="39">
        <f t="shared" si="7"/>
        <v>329.95499999999998</v>
      </c>
      <c r="AI43" s="2266" t="s">
        <v>1212</v>
      </c>
    </row>
    <row r="44" spans="1:36" ht="15">
      <c r="A44" s="109" t="s">
        <v>76</v>
      </c>
      <c r="B44" s="19">
        <f t="shared" si="6"/>
        <v>709.16300000000001</v>
      </c>
      <c r="C44" s="1689"/>
      <c r="D44" s="1689">
        <v>51.08</v>
      </c>
      <c r="E44" s="1689"/>
      <c r="F44" s="1689">
        <v>80.11</v>
      </c>
      <c r="G44" s="1689">
        <v>70.72</v>
      </c>
      <c r="H44" s="1689">
        <v>72.010000000000005</v>
      </c>
      <c r="I44" s="1689">
        <v>65.06</v>
      </c>
      <c r="J44" s="1689">
        <v>79.62</v>
      </c>
      <c r="K44" s="1689">
        <v>67.489999999999995</v>
      </c>
      <c r="L44" s="1091"/>
      <c r="M44" s="2067"/>
      <c r="N44" s="2067"/>
      <c r="O44" s="2067"/>
      <c r="P44" s="2067"/>
      <c r="Q44" s="2067"/>
      <c r="R44" s="2067"/>
      <c r="S44" s="2067"/>
      <c r="T44" s="2067"/>
      <c r="U44" s="2067"/>
      <c r="V44" s="2067"/>
      <c r="W44" s="2067"/>
      <c r="X44" s="2067"/>
      <c r="Y44" s="2067"/>
      <c r="Z44" s="2067"/>
      <c r="AA44" s="2067">
        <v>137.63999999999999</v>
      </c>
      <c r="AB44" s="2067">
        <v>21.378</v>
      </c>
      <c r="AC44" s="2067"/>
      <c r="AD44" s="2067">
        <v>64.055000000000007</v>
      </c>
      <c r="AE44" s="2067"/>
      <c r="AF44" s="2067"/>
      <c r="AG44" s="2067"/>
      <c r="AH44" s="39">
        <f t="shared" si="7"/>
        <v>709.16300000000001</v>
      </c>
    </row>
    <row r="45" spans="1:36" ht="15">
      <c r="A45" s="111" t="s">
        <v>77</v>
      </c>
      <c r="B45" s="19">
        <f t="shared" si="6"/>
        <v>280.00399999999996</v>
      </c>
      <c r="C45" s="2067"/>
      <c r="D45" s="2067"/>
      <c r="E45" s="2067"/>
      <c r="F45" s="2067"/>
      <c r="G45" s="2067"/>
      <c r="H45" s="1091"/>
      <c r="I45" s="1091"/>
      <c r="J45" s="1091">
        <v>102.583</v>
      </c>
      <c r="K45" s="1091">
        <v>47.682000000000002</v>
      </c>
      <c r="L45" s="1091">
        <v>12.462</v>
      </c>
      <c r="M45" s="1091"/>
      <c r="N45" s="1091"/>
      <c r="O45" s="1091"/>
      <c r="P45" s="1091">
        <v>67.22</v>
      </c>
      <c r="Q45" s="1091"/>
      <c r="R45" s="1091"/>
      <c r="S45" s="1091"/>
      <c r="T45" s="1091"/>
      <c r="U45" s="1091"/>
      <c r="V45" s="1091"/>
      <c r="W45" s="1091"/>
      <c r="X45" s="1091"/>
      <c r="Y45" s="1091"/>
      <c r="Z45" s="1091"/>
      <c r="AA45" s="1091">
        <v>49.838999999999999</v>
      </c>
      <c r="AB45" s="1091">
        <v>0.218</v>
      </c>
      <c r="AC45" s="1091"/>
      <c r="AD45" s="1091"/>
      <c r="AE45" s="1091"/>
      <c r="AF45" s="1091"/>
      <c r="AG45" s="1091"/>
      <c r="AH45" s="39">
        <f t="shared" si="7"/>
        <v>280.00399999999996</v>
      </c>
    </row>
    <row r="46" spans="1:36" ht="15">
      <c r="A46" s="111" t="s">
        <v>78</v>
      </c>
      <c r="B46" s="19">
        <f t="shared" si="6"/>
        <v>31.149000000000001</v>
      </c>
      <c r="C46" s="1091"/>
      <c r="D46" s="1091"/>
      <c r="E46" s="1091"/>
      <c r="F46" s="1091"/>
      <c r="G46" s="1091"/>
      <c r="H46" s="1091"/>
      <c r="I46" s="1091"/>
      <c r="J46" s="1091"/>
      <c r="K46" s="1091"/>
      <c r="L46" s="1091"/>
      <c r="M46" s="1091"/>
      <c r="N46" s="1091"/>
      <c r="O46" s="1091"/>
      <c r="P46" s="1091"/>
      <c r="Q46" s="1091"/>
      <c r="R46" s="1091"/>
      <c r="S46" s="1091"/>
      <c r="T46" s="1091"/>
      <c r="U46" s="1091"/>
      <c r="V46" s="1091">
        <v>31.149000000000001</v>
      </c>
      <c r="W46" s="1091"/>
      <c r="X46" s="1091"/>
      <c r="Y46" s="1091"/>
      <c r="Z46" s="1091"/>
      <c r="AA46" s="1091"/>
      <c r="AB46" s="1091"/>
      <c r="AC46" s="1091"/>
      <c r="AD46" s="1091"/>
      <c r="AE46" s="1091"/>
      <c r="AF46" s="1091"/>
      <c r="AG46" s="1091"/>
      <c r="AH46" s="39">
        <f t="shared" si="7"/>
        <v>31.149000000000001</v>
      </c>
    </row>
    <row r="47" spans="1:36" ht="15">
      <c r="A47" s="111" t="s">
        <v>79</v>
      </c>
      <c r="B47" s="19">
        <f t="shared" si="6"/>
        <v>0</v>
      </c>
      <c r="C47" s="1091"/>
      <c r="D47" s="1268"/>
      <c r="E47" s="1268"/>
      <c r="F47" s="1268"/>
      <c r="G47" s="1091"/>
      <c r="H47" s="1091"/>
      <c r="I47" s="1091"/>
      <c r="J47" s="2068"/>
      <c r="K47" s="2068"/>
      <c r="L47" s="1268"/>
      <c r="M47" s="1268"/>
      <c r="N47" s="1268"/>
      <c r="O47" s="1268"/>
      <c r="P47" s="1268"/>
      <c r="Q47" s="1268"/>
      <c r="R47" s="1268"/>
      <c r="S47" s="1091"/>
      <c r="T47" s="1091"/>
      <c r="U47" s="1091"/>
      <c r="V47" s="1091"/>
      <c r="W47" s="1084"/>
      <c r="X47" s="1084"/>
      <c r="Y47" s="1084"/>
      <c r="Z47" s="1084"/>
      <c r="AA47" s="1084"/>
      <c r="AB47" s="1084"/>
      <c r="AC47" s="1084"/>
      <c r="AD47" s="1084"/>
      <c r="AE47" s="1084"/>
      <c r="AF47" s="65" t="s">
        <v>110</v>
      </c>
      <c r="AG47" s="65" t="s">
        <v>110</v>
      </c>
      <c r="AH47" s="39">
        <f t="shared" si="7"/>
        <v>0</v>
      </c>
    </row>
    <row r="48" spans="1:36" ht="15">
      <c r="A48" s="111" t="s">
        <v>80</v>
      </c>
      <c r="B48" s="19">
        <f t="shared" si="6"/>
        <v>0</v>
      </c>
      <c r="C48" s="65" t="s">
        <v>110</v>
      </c>
      <c r="D48" s="65" t="s">
        <v>110</v>
      </c>
      <c r="E48" s="65" t="s">
        <v>110</v>
      </c>
      <c r="F48" s="65" t="s">
        <v>110</v>
      </c>
      <c r="G48" s="65" t="s">
        <v>110</v>
      </c>
      <c r="H48" s="65" t="s">
        <v>110</v>
      </c>
      <c r="I48" s="65" t="s">
        <v>110</v>
      </c>
      <c r="J48" s="65" t="s">
        <v>110</v>
      </c>
      <c r="K48" s="65" t="s">
        <v>110</v>
      </c>
      <c r="L48" s="65" t="s">
        <v>110</v>
      </c>
      <c r="M48" s="65" t="s">
        <v>110</v>
      </c>
      <c r="N48" s="65" t="s">
        <v>110</v>
      </c>
      <c r="O48" s="65" t="s">
        <v>110</v>
      </c>
      <c r="P48" s="65" t="s">
        <v>110</v>
      </c>
      <c r="Q48" s="65" t="s">
        <v>110</v>
      </c>
      <c r="R48" s="65" t="s">
        <v>110</v>
      </c>
      <c r="S48" s="65" t="s">
        <v>110</v>
      </c>
      <c r="T48" s="65" t="s">
        <v>110</v>
      </c>
      <c r="U48" s="65" t="s">
        <v>110</v>
      </c>
      <c r="V48" s="65" t="s">
        <v>110</v>
      </c>
      <c r="W48" s="65" t="s">
        <v>110</v>
      </c>
      <c r="X48" s="65" t="s">
        <v>110</v>
      </c>
      <c r="Y48" s="65" t="s">
        <v>110</v>
      </c>
      <c r="Z48" s="65" t="s">
        <v>110</v>
      </c>
      <c r="AA48" s="65" t="s">
        <v>110</v>
      </c>
      <c r="AB48" s="65" t="s">
        <v>110</v>
      </c>
      <c r="AC48" s="65" t="s">
        <v>110</v>
      </c>
      <c r="AD48" s="65" t="s">
        <v>110</v>
      </c>
      <c r="AE48" s="65" t="s">
        <v>110</v>
      </c>
      <c r="AF48" s="65" t="s">
        <v>110</v>
      </c>
      <c r="AG48" s="65" t="s">
        <v>110</v>
      </c>
      <c r="AH48" s="39">
        <f t="shared" si="7"/>
        <v>0</v>
      </c>
    </row>
    <row r="49" spans="1:36" ht="15">
      <c r="A49" s="21" t="s">
        <v>81</v>
      </c>
      <c r="B49" s="19">
        <f t="shared" si="6"/>
        <v>0</v>
      </c>
      <c r="C49" s="65" t="s">
        <v>110</v>
      </c>
      <c r="D49" s="65" t="s">
        <v>110</v>
      </c>
      <c r="E49" s="65" t="s">
        <v>110</v>
      </c>
      <c r="F49" s="65" t="s">
        <v>110</v>
      </c>
      <c r="G49" s="65" t="s">
        <v>110</v>
      </c>
      <c r="H49" s="65" t="s">
        <v>110</v>
      </c>
      <c r="I49" s="65" t="s">
        <v>110</v>
      </c>
      <c r="J49" s="65" t="s">
        <v>110</v>
      </c>
      <c r="K49" s="65" t="s">
        <v>110</v>
      </c>
      <c r="L49" s="65" t="s">
        <v>110</v>
      </c>
      <c r="M49" s="65" t="s">
        <v>110</v>
      </c>
      <c r="N49" s="65" t="s">
        <v>110</v>
      </c>
      <c r="O49" s="65" t="s">
        <v>110</v>
      </c>
      <c r="P49" s="65" t="s">
        <v>110</v>
      </c>
      <c r="Q49" s="65" t="s">
        <v>110</v>
      </c>
      <c r="R49" s="65" t="s">
        <v>110</v>
      </c>
      <c r="S49" s="65" t="s">
        <v>110</v>
      </c>
      <c r="T49" s="65" t="s">
        <v>110</v>
      </c>
      <c r="U49" s="65" t="s">
        <v>110</v>
      </c>
      <c r="V49" s="65" t="s">
        <v>110</v>
      </c>
      <c r="W49" s="65" t="s">
        <v>110</v>
      </c>
      <c r="X49" s="65" t="s">
        <v>110</v>
      </c>
      <c r="Y49" s="65" t="s">
        <v>110</v>
      </c>
      <c r="Z49" s="65" t="s">
        <v>110</v>
      </c>
      <c r="AA49" s="65" t="s">
        <v>110</v>
      </c>
      <c r="AB49" s="65" t="s">
        <v>110</v>
      </c>
      <c r="AC49" s="65" t="s">
        <v>110</v>
      </c>
      <c r="AD49" s="65" t="s">
        <v>110</v>
      </c>
      <c r="AE49" s="65" t="s">
        <v>110</v>
      </c>
      <c r="AF49" s="65" t="s">
        <v>110</v>
      </c>
      <c r="AG49" s="65" t="s">
        <v>110</v>
      </c>
      <c r="AH49" s="39">
        <f t="shared" si="7"/>
        <v>0</v>
      </c>
    </row>
    <row r="50" spans="1:36" ht="15">
      <c r="A50" s="21" t="s">
        <v>82</v>
      </c>
      <c r="B50" s="19">
        <f t="shared" si="6"/>
        <v>0</v>
      </c>
      <c r="C50" s="65" t="s">
        <v>110</v>
      </c>
      <c r="D50" s="65" t="s">
        <v>110</v>
      </c>
      <c r="E50" s="65" t="s">
        <v>110</v>
      </c>
      <c r="F50" s="65" t="s">
        <v>110</v>
      </c>
      <c r="G50" s="65" t="s">
        <v>110</v>
      </c>
      <c r="H50" s="65" t="s">
        <v>110</v>
      </c>
      <c r="I50" s="65" t="s">
        <v>110</v>
      </c>
      <c r="J50" s="65" t="s">
        <v>110</v>
      </c>
      <c r="K50" s="65" t="s">
        <v>110</v>
      </c>
      <c r="L50" s="65" t="s">
        <v>110</v>
      </c>
      <c r="M50" s="65" t="s">
        <v>110</v>
      </c>
      <c r="N50" s="65" t="s">
        <v>110</v>
      </c>
      <c r="O50" s="65" t="s">
        <v>110</v>
      </c>
      <c r="P50" s="65" t="s">
        <v>110</v>
      </c>
      <c r="Q50" s="65" t="s">
        <v>110</v>
      </c>
      <c r="R50" s="65" t="s">
        <v>110</v>
      </c>
      <c r="S50" s="65" t="s">
        <v>110</v>
      </c>
      <c r="T50" s="65" t="s">
        <v>110</v>
      </c>
      <c r="U50" s="65" t="s">
        <v>110</v>
      </c>
      <c r="V50" s="65" t="s">
        <v>110</v>
      </c>
      <c r="W50" s="65" t="s">
        <v>110</v>
      </c>
      <c r="X50" s="1091"/>
      <c r="Y50" s="1091"/>
      <c r="Z50" s="1091"/>
      <c r="AA50" s="1091"/>
      <c r="AB50" s="1091"/>
      <c r="AC50" s="1091"/>
      <c r="AD50" s="1091"/>
      <c r="AE50" s="1268"/>
      <c r="AF50" s="1091"/>
      <c r="AG50" s="1268"/>
      <c r="AH50" s="39">
        <f t="shared" si="7"/>
        <v>0</v>
      </c>
    </row>
    <row r="51" spans="1:36" ht="15">
      <c r="A51" s="21" t="s">
        <v>83</v>
      </c>
      <c r="B51" s="19">
        <f t="shared" si="6"/>
        <v>145.19800000000001</v>
      </c>
      <c r="C51" s="1091"/>
      <c r="D51" s="1091"/>
      <c r="E51" s="1091"/>
      <c r="F51" s="1091"/>
      <c r="G51" s="1229"/>
      <c r="H51" s="1091"/>
      <c r="I51" s="1091">
        <v>32.700000000000003</v>
      </c>
      <c r="J51" s="1091"/>
      <c r="K51" s="1091"/>
      <c r="L51" s="1091"/>
      <c r="M51" s="1091"/>
      <c r="N51" s="1091"/>
      <c r="O51" s="1091"/>
      <c r="P51" s="1091"/>
      <c r="Q51" s="1091"/>
      <c r="R51" s="1091"/>
      <c r="S51" s="1091">
        <v>57.72</v>
      </c>
      <c r="T51" s="1091"/>
      <c r="U51" s="1091">
        <v>54.777999999999999</v>
      </c>
      <c r="V51" s="1091"/>
      <c r="W51" s="1091"/>
      <c r="X51" s="1091"/>
      <c r="Y51" s="1091"/>
      <c r="Z51" s="1091"/>
      <c r="AA51" s="1091"/>
      <c r="AB51" s="1091"/>
      <c r="AC51" s="1091"/>
      <c r="AD51" s="1091"/>
      <c r="AE51" s="1268"/>
      <c r="AF51" s="1091"/>
      <c r="AG51" s="1268"/>
      <c r="AH51" s="39">
        <f t="shared" si="7"/>
        <v>145.19800000000001</v>
      </c>
    </row>
    <row r="52" spans="1:36" ht="15">
      <c r="A52" s="21" t="s">
        <v>84</v>
      </c>
      <c r="B52" s="19">
        <f t="shared" si="6"/>
        <v>0</v>
      </c>
      <c r="C52" s="1091"/>
      <c r="D52" s="1091"/>
      <c r="E52" s="1091"/>
      <c r="F52" s="1091"/>
      <c r="G52" s="1091"/>
      <c r="H52" s="1091"/>
      <c r="I52" s="1091"/>
      <c r="J52" s="1091"/>
      <c r="K52" s="1091"/>
      <c r="L52" s="1091"/>
      <c r="M52" s="1091"/>
      <c r="N52" s="1091"/>
      <c r="O52" s="1091"/>
      <c r="P52" s="1091"/>
      <c r="Q52" s="1084" t="s">
        <v>109</v>
      </c>
      <c r="R52" s="1084" t="s">
        <v>109</v>
      </c>
      <c r="S52" s="1084" t="s">
        <v>109</v>
      </c>
      <c r="T52" s="1084" t="s">
        <v>109</v>
      </c>
      <c r="U52" s="1084" t="s">
        <v>109</v>
      </c>
      <c r="V52" s="1084" t="s">
        <v>109</v>
      </c>
      <c r="W52" s="1084" t="s">
        <v>109</v>
      </c>
      <c r="X52" s="1084" t="s">
        <v>109</v>
      </c>
      <c r="Y52" s="1084" t="s">
        <v>109</v>
      </c>
      <c r="Z52" s="1084" t="s">
        <v>109</v>
      </c>
      <c r="AA52" s="1084" t="s">
        <v>109</v>
      </c>
      <c r="AB52" s="1084" t="s">
        <v>109</v>
      </c>
      <c r="AC52" s="1084" t="s">
        <v>109</v>
      </c>
      <c r="AD52" s="1084" t="s">
        <v>109</v>
      </c>
      <c r="AE52" s="1084" t="s">
        <v>109</v>
      </c>
      <c r="AF52" s="1084" t="s">
        <v>109</v>
      </c>
      <c r="AG52" s="1084" t="s">
        <v>109</v>
      </c>
      <c r="AH52" s="39">
        <f t="shared" si="7"/>
        <v>0</v>
      </c>
    </row>
    <row r="53" spans="1:36" ht="15">
      <c r="A53" s="71" t="s">
        <v>72</v>
      </c>
      <c r="B53" s="73">
        <f t="shared" ref="B53:R53" si="8">SUM(B41:B52)</f>
        <v>1495.4689999999998</v>
      </c>
      <c r="C53" s="56">
        <f t="shared" si="8"/>
        <v>0</v>
      </c>
      <c r="D53" s="56">
        <f t="shared" si="8"/>
        <v>51.08</v>
      </c>
      <c r="E53" s="56">
        <f t="shared" si="8"/>
        <v>0</v>
      </c>
      <c r="F53" s="56">
        <f t="shared" si="8"/>
        <v>80.11</v>
      </c>
      <c r="G53" s="56">
        <f t="shared" si="8"/>
        <v>70.72</v>
      </c>
      <c r="H53" s="56">
        <f t="shared" si="8"/>
        <v>72.010000000000005</v>
      </c>
      <c r="I53" s="56">
        <f t="shared" si="8"/>
        <v>97.76</v>
      </c>
      <c r="J53" s="56">
        <f t="shared" si="8"/>
        <v>182.203</v>
      </c>
      <c r="K53" s="56">
        <f t="shared" si="8"/>
        <v>115.172</v>
      </c>
      <c r="L53" s="56">
        <f t="shared" si="8"/>
        <v>12.462</v>
      </c>
      <c r="M53" s="56">
        <f t="shared" si="8"/>
        <v>0</v>
      </c>
      <c r="N53" s="56">
        <f t="shared" si="8"/>
        <v>65.144999999999996</v>
      </c>
      <c r="O53" s="56">
        <f t="shared" si="8"/>
        <v>0</v>
      </c>
      <c r="P53" s="56">
        <f t="shared" si="8"/>
        <v>67.22</v>
      </c>
      <c r="Q53" s="56">
        <f t="shared" si="8"/>
        <v>0</v>
      </c>
      <c r="R53" s="56">
        <f t="shared" si="8"/>
        <v>25.3</v>
      </c>
      <c r="S53" s="39">
        <f t="shared" ref="S53:AC53" si="9">SUM(S41:S51)</f>
        <v>122.78</v>
      </c>
      <c r="T53" s="39">
        <f t="shared" si="9"/>
        <v>0</v>
      </c>
      <c r="U53" s="39">
        <f t="shared" si="9"/>
        <v>152.37799999999999</v>
      </c>
      <c r="V53" s="39">
        <f t="shared" si="9"/>
        <v>31.149000000000001</v>
      </c>
      <c r="W53" s="39">
        <f t="shared" si="9"/>
        <v>0</v>
      </c>
      <c r="X53" s="39">
        <f t="shared" si="9"/>
        <v>76.849999999999994</v>
      </c>
      <c r="Y53" s="39">
        <f t="shared" si="9"/>
        <v>0</v>
      </c>
      <c r="Z53" s="39">
        <f t="shared" si="9"/>
        <v>0</v>
      </c>
      <c r="AA53" s="39">
        <f t="shared" si="9"/>
        <v>187.47899999999998</v>
      </c>
      <c r="AB53" s="39">
        <f t="shared" si="9"/>
        <v>21.596</v>
      </c>
      <c r="AC53" s="39">
        <f t="shared" si="9"/>
        <v>0</v>
      </c>
      <c r="AD53" s="39">
        <v>0</v>
      </c>
      <c r="AE53" s="39">
        <f>SUM(AE41:AE51)</f>
        <v>0</v>
      </c>
      <c r="AF53" s="39">
        <f>SUM(AF41:AF51)</f>
        <v>0</v>
      </c>
      <c r="AG53" s="39">
        <f>SUM(AG41:AG51)</f>
        <v>0</v>
      </c>
      <c r="AH53" s="32">
        <f>SUM(AH41:AH51)</f>
        <v>1495.4689999999998</v>
      </c>
    </row>
    <row r="54" spans="1:36" ht="15">
      <c r="A54" s="1752"/>
      <c r="B54" s="1572"/>
      <c r="C54" s="59"/>
      <c r="D54" s="59"/>
      <c r="E54" s="59"/>
      <c r="F54" s="59"/>
      <c r="G54" s="59"/>
      <c r="H54" s="59"/>
      <c r="I54" s="59"/>
      <c r="J54" s="59"/>
      <c r="K54" s="59"/>
      <c r="L54" s="59"/>
      <c r="M54" s="59"/>
      <c r="N54" s="59"/>
      <c r="O54" s="59"/>
      <c r="P54" s="59"/>
      <c r="Q54" s="59"/>
      <c r="R54" s="59"/>
      <c r="S54" s="38"/>
      <c r="T54" s="38"/>
      <c r="U54" s="38"/>
      <c r="V54" s="38"/>
      <c r="W54" s="38"/>
      <c r="X54" s="38"/>
      <c r="Y54" s="38"/>
      <c r="Z54" s="38"/>
      <c r="AA54" s="38"/>
      <c r="AB54" s="38"/>
      <c r="AC54" s="38"/>
      <c r="AD54" s="38"/>
      <c r="AE54" s="38"/>
      <c r="AF54" s="38"/>
      <c r="AG54" s="38"/>
      <c r="AH54" s="13"/>
    </row>
    <row r="55" spans="1:36" ht="15">
      <c r="A55" s="3836" t="s">
        <v>589</v>
      </c>
      <c r="B55" s="3837"/>
      <c r="C55" s="3837"/>
      <c r="D55" s="3837"/>
      <c r="E55" s="3837"/>
      <c r="F55" s="3837"/>
      <c r="G55" s="3837"/>
      <c r="H55" s="3837"/>
      <c r="I55" s="3837"/>
      <c r="J55" s="22"/>
      <c r="K55" s="22"/>
      <c r="L55" s="22"/>
      <c r="M55" s="22"/>
      <c r="N55" s="22"/>
      <c r="O55" s="22"/>
      <c r="P55" s="22"/>
      <c r="Q55" s="22"/>
      <c r="R55" s="22"/>
      <c r="S55" s="38"/>
      <c r="T55" s="38"/>
      <c r="U55" s="38"/>
      <c r="V55" s="38"/>
      <c r="W55" s="38"/>
      <c r="X55" s="38"/>
      <c r="Y55" s="38"/>
      <c r="Z55" s="38"/>
      <c r="AA55" s="38"/>
      <c r="AB55" s="38"/>
      <c r="AC55" s="38"/>
      <c r="AD55" s="38"/>
      <c r="AE55" s="38"/>
      <c r="AF55" s="38"/>
      <c r="AG55" s="38"/>
      <c r="AH55" s="13"/>
    </row>
    <row r="56" spans="1:36" ht="15">
      <c r="A56" s="109" t="s">
        <v>70</v>
      </c>
      <c r="B56" s="19" t="s">
        <v>71</v>
      </c>
      <c r="C56" s="57">
        <v>1</v>
      </c>
      <c r="D56" s="23">
        <v>2</v>
      </c>
      <c r="E56" s="23">
        <v>3</v>
      </c>
      <c r="F56" s="23">
        <v>4</v>
      </c>
      <c r="G56" s="23">
        <v>5</v>
      </c>
      <c r="H56" s="23">
        <v>6</v>
      </c>
      <c r="I56" s="23">
        <v>7</v>
      </c>
      <c r="J56" s="23">
        <v>8</v>
      </c>
      <c r="K56" s="23">
        <v>9</v>
      </c>
      <c r="L56" s="23">
        <v>10</v>
      </c>
      <c r="M56" s="23">
        <v>11</v>
      </c>
      <c r="N56" s="23">
        <v>12</v>
      </c>
      <c r="O56" s="23">
        <v>13</v>
      </c>
      <c r="P56" s="23">
        <v>14</v>
      </c>
      <c r="Q56" s="23">
        <v>15</v>
      </c>
      <c r="R56" s="23">
        <v>16</v>
      </c>
      <c r="S56" s="21">
        <v>17</v>
      </c>
      <c r="T56" s="21">
        <v>18</v>
      </c>
      <c r="U56" s="21">
        <v>19</v>
      </c>
      <c r="V56" s="21">
        <v>20</v>
      </c>
      <c r="W56" s="21">
        <v>21</v>
      </c>
      <c r="X56" s="21">
        <v>22</v>
      </c>
      <c r="Y56" s="21">
        <v>23</v>
      </c>
      <c r="Z56" s="21">
        <v>24</v>
      </c>
      <c r="AA56" s="21">
        <v>25</v>
      </c>
      <c r="AB56" s="21">
        <v>26</v>
      </c>
      <c r="AC56" s="21">
        <v>27</v>
      </c>
      <c r="AD56" s="21">
        <v>28</v>
      </c>
      <c r="AE56" s="21">
        <v>29</v>
      </c>
      <c r="AF56" s="21">
        <v>30</v>
      </c>
      <c r="AG56" s="21">
        <v>31</v>
      </c>
      <c r="AH56" s="25" t="s">
        <v>72</v>
      </c>
      <c r="AI56" s="2266" t="s">
        <v>1345</v>
      </c>
      <c r="AJ56" s="66" t="e">
        <f>(B69/COUNTIF($C$57:$AG$68,"&gt;0"))</f>
        <v>#DIV/0!</v>
      </c>
    </row>
    <row r="57" spans="1:36" ht="15">
      <c r="A57" s="109" t="s">
        <v>73</v>
      </c>
      <c r="B57" s="19">
        <f t="shared" ref="B57:B68" si="10">+AH57</f>
        <v>0</v>
      </c>
      <c r="C57" s="609" t="s">
        <v>109</v>
      </c>
      <c r="D57" s="609" t="s">
        <v>109</v>
      </c>
      <c r="E57" s="609" t="s">
        <v>109</v>
      </c>
      <c r="F57" s="609" t="s">
        <v>109</v>
      </c>
      <c r="G57" s="609" t="s">
        <v>109</v>
      </c>
      <c r="H57" s="609" t="s">
        <v>109</v>
      </c>
      <c r="I57" s="609" t="s">
        <v>109</v>
      </c>
      <c r="J57" s="609" t="s">
        <v>109</v>
      </c>
      <c r="K57" s="609" t="s">
        <v>109</v>
      </c>
      <c r="L57" s="609" t="s">
        <v>109</v>
      </c>
      <c r="M57" s="609" t="s">
        <v>109</v>
      </c>
      <c r="N57" s="609" t="s">
        <v>109</v>
      </c>
      <c r="O57" s="609" t="s">
        <v>109</v>
      </c>
      <c r="P57" s="609" t="s">
        <v>109</v>
      </c>
      <c r="Q57" s="609" t="s">
        <v>109</v>
      </c>
      <c r="R57" s="609" t="s">
        <v>109</v>
      </c>
      <c r="S57" s="609" t="s">
        <v>109</v>
      </c>
      <c r="T57" s="609" t="s">
        <v>109</v>
      </c>
      <c r="U57" s="609" t="s">
        <v>109</v>
      </c>
      <c r="V57" s="609" t="s">
        <v>109</v>
      </c>
      <c r="W57" s="609" t="s">
        <v>109</v>
      </c>
      <c r="X57" s="609" t="s">
        <v>109</v>
      </c>
      <c r="Y57" s="609" t="s">
        <v>109</v>
      </c>
      <c r="Z57" s="609" t="s">
        <v>109</v>
      </c>
      <c r="AA57" s="609" t="s">
        <v>109</v>
      </c>
      <c r="AB57" s="609" t="s">
        <v>109</v>
      </c>
      <c r="AC57" s="609" t="s">
        <v>109</v>
      </c>
      <c r="AD57" s="609" t="s">
        <v>109</v>
      </c>
      <c r="AE57" s="609" t="s">
        <v>109</v>
      </c>
      <c r="AF57" s="609" t="s">
        <v>109</v>
      </c>
      <c r="AG57" s="609" t="s">
        <v>109</v>
      </c>
      <c r="AH57" s="39">
        <f>SUM(C57:AG57)</f>
        <v>0</v>
      </c>
    </row>
    <row r="58" spans="1:36" ht="15">
      <c r="A58" s="109" t="s">
        <v>74</v>
      </c>
      <c r="B58" s="19">
        <f t="shared" si="10"/>
        <v>0</v>
      </c>
      <c r="C58" s="609" t="s">
        <v>109</v>
      </c>
      <c r="D58" s="609" t="s">
        <v>109</v>
      </c>
      <c r="E58" s="609" t="s">
        <v>109</v>
      </c>
      <c r="F58" s="609" t="s">
        <v>109</v>
      </c>
      <c r="G58" s="609" t="s">
        <v>109</v>
      </c>
      <c r="H58" s="609" t="s">
        <v>109</v>
      </c>
      <c r="I58" s="609" t="s">
        <v>109</v>
      </c>
      <c r="J58" s="609" t="s">
        <v>109</v>
      </c>
      <c r="K58" s="609" t="s">
        <v>109</v>
      </c>
      <c r="L58" s="609" t="s">
        <v>109</v>
      </c>
      <c r="M58" s="609" t="s">
        <v>109</v>
      </c>
      <c r="N58" s="609" t="s">
        <v>109</v>
      </c>
      <c r="O58" s="609" t="s">
        <v>109</v>
      </c>
      <c r="P58" s="609" t="s">
        <v>109</v>
      </c>
      <c r="Q58" s="609" t="s">
        <v>109</v>
      </c>
      <c r="R58" s="609" t="s">
        <v>109</v>
      </c>
      <c r="S58" s="609" t="s">
        <v>109</v>
      </c>
      <c r="T58" s="609" t="s">
        <v>109</v>
      </c>
      <c r="U58" s="609" t="s">
        <v>109</v>
      </c>
      <c r="V58" s="609" t="s">
        <v>109</v>
      </c>
      <c r="W58" s="609" t="s">
        <v>109</v>
      </c>
      <c r="X58" s="609" t="s">
        <v>109</v>
      </c>
      <c r="Y58" s="609" t="s">
        <v>109</v>
      </c>
      <c r="Z58" s="609" t="s">
        <v>109</v>
      </c>
      <c r="AA58" s="609" t="s">
        <v>109</v>
      </c>
      <c r="AB58" s="609" t="s">
        <v>109</v>
      </c>
      <c r="AC58" s="609" t="s">
        <v>109</v>
      </c>
      <c r="AD58" s="609" t="s">
        <v>109</v>
      </c>
      <c r="AE58" s="609" t="s">
        <v>109</v>
      </c>
      <c r="AF58" s="609" t="s">
        <v>109</v>
      </c>
      <c r="AG58" s="609" t="s">
        <v>109</v>
      </c>
      <c r="AH58" s="39">
        <f t="shared" ref="AH58:AH68" si="11">SUM(C58:AG58)</f>
        <v>0</v>
      </c>
    </row>
    <row r="59" spans="1:36" ht="15">
      <c r="A59" s="109" t="s">
        <v>75</v>
      </c>
      <c r="B59" s="19">
        <f t="shared" si="10"/>
        <v>0</v>
      </c>
      <c r="C59" s="609" t="s">
        <v>109</v>
      </c>
      <c r="D59" s="609" t="s">
        <v>109</v>
      </c>
      <c r="E59" s="609" t="s">
        <v>109</v>
      </c>
      <c r="F59" s="609" t="s">
        <v>109</v>
      </c>
      <c r="G59" s="609" t="s">
        <v>109</v>
      </c>
      <c r="H59" s="1091"/>
      <c r="I59" s="1091"/>
      <c r="J59" s="1091"/>
      <c r="K59" s="1091"/>
      <c r="L59" s="1091"/>
      <c r="M59" s="1091"/>
      <c r="N59" s="1091"/>
      <c r="O59" s="1091"/>
      <c r="P59" s="1091"/>
      <c r="Q59" s="1091"/>
      <c r="R59" s="1091"/>
      <c r="S59" s="1091"/>
      <c r="T59" s="1091"/>
      <c r="U59" s="1591"/>
      <c r="V59" s="1091"/>
      <c r="W59" s="1091"/>
      <c r="X59" s="1091"/>
      <c r="Y59" s="1091"/>
      <c r="Z59" s="1091"/>
      <c r="AA59" s="1091"/>
      <c r="AB59" s="1091"/>
      <c r="AC59" s="1689"/>
      <c r="AD59" s="1689"/>
      <c r="AE59" s="1689"/>
      <c r="AF59" s="1689"/>
      <c r="AG59" s="1689"/>
      <c r="AH59" s="39">
        <f t="shared" si="11"/>
        <v>0</v>
      </c>
    </row>
    <row r="60" spans="1:36" ht="15">
      <c r="A60" s="109" t="s">
        <v>76</v>
      </c>
      <c r="B60" s="19">
        <f t="shared" si="10"/>
        <v>0</v>
      </c>
      <c r="C60" s="2152"/>
      <c r="D60" s="2152"/>
      <c r="E60" s="2152"/>
      <c r="F60" s="2152"/>
      <c r="G60" s="2152"/>
      <c r="H60" s="2152"/>
      <c r="I60" s="2152"/>
      <c r="J60" s="2152"/>
      <c r="K60" s="2152"/>
      <c r="L60" s="15"/>
      <c r="M60" s="15"/>
      <c r="N60" s="15"/>
      <c r="O60" s="15"/>
      <c r="P60" s="15"/>
      <c r="Q60" s="227"/>
      <c r="R60" s="227"/>
      <c r="S60" s="125"/>
      <c r="T60" s="125"/>
      <c r="U60" s="125"/>
      <c r="V60" s="125"/>
      <c r="W60" s="125"/>
      <c r="X60" s="125"/>
      <c r="Y60" s="125"/>
      <c r="Z60" s="125"/>
      <c r="AA60" s="125"/>
      <c r="AB60" s="125"/>
      <c r="AC60" s="125"/>
      <c r="AD60" s="125"/>
      <c r="AE60" s="125"/>
      <c r="AF60" s="125"/>
      <c r="AG60" s="125"/>
      <c r="AH60" s="39">
        <f t="shared" si="11"/>
        <v>0</v>
      </c>
    </row>
    <row r="61" spans="1:36" ht="15">
      <c r="A61" s="111" t="s">
        <v>77</v>
      </c>
      <c r="B61" s="19">
        <f t="shared" si="10"/>
        <v>0</v>
      </c>
      <c r="C61" s="2067"/>
      <c r="D61" s="2067"/>
      <c r="E61" s="2067"/>
      <c r="F61" s="2067"/>
      <c r="G61" s="2067"/>
      <c r="H61" s="1091"/>
      <c r="I61" s="1091"/>
      <c r="J61" s="1091"/>
      <c r="K61" s="1091"/>
      <c r="L61" s="1091"/>
      <c r="M61" s="1091"/>
      <c r="N61" s="1091"/>
      <c r="O61" s="1091"/>
      <c r="P61" s="1091"/>
      <c r="Q61" s="1091"/>
      <c r="R61" s="1091"/>
      <c r="S61" s="1091"/>
      <c r="T61" s="1091"/>
      <c r="U61" s="1091"/>
      <c r="V61" s="1091"/>
      <c r="W61" s="1091"/>
      <c r="X61" s="1091"/>
      <c r="Y61" s="1091"/>
      <c r="Z61" s="1091"/>
      <c r="AA61" s="1091"/>
      <c r="AB61" s="1091"/>
      <c r="AC61" s="1091"/>
      <c r="AD61" s="1091"/>
      <c r="AE61" s="1091"/>
      <c r="AF61" s="1091"/>
      <c r="AG61" s="1091"/>
      <c r="AH61" s="39">
        <f t="shared" si="11"/>
        <v>0</v>
      </c>
    </row>
    <row r="62" spans="1:36" ht="15">
      <c r="A62" s="111" t="s">
        <v>78</v>
      </c>
      <c r="B62" s="19">
        <f t="shared" si="10"/>
        <v>0</v>
      </c>
      <c r="C62" s="1091"/>
      <c r="D62" s="1091"/>
      <c r="E62" s="1091"/>
      <c r="F62" s="1091"/>
      <c r="G62" s="1091"/>
      <c r="H62" s="1091"/>
      <c r="I62" s="1091"/>
      <c r="J62" s="1091"/>
      <c r="K62" s="1091"/>
      <c r="L62" s="1091"/>
      <c r="M62" s="1091"/>
      <c r="N62" s="1091"/>
      <c r="O62" s="1091"/>
      <c r="P62" s="1091"/>
      <c r="Q62" s="1091"/>
      <c r="R62" s="1091"/>
      <c r="S62" s="1091"/>
      <c r="T62" s="1091"/>
      <c r="U62" s="1091"/>
      <c r="V62" s="1091"/>
      <c r="W62" s="1091"/>
      <c r="X62" s="1091"/>
      <c r="Y62" s="1091"/>
      <c r="Z62" s="1091"/>
      <c r="AA62" s="1091"/>
      <c r="AB62" s="1091"/>
      <c r="AC62" s="1091"/>
      <c r="AD62" s="1091"/>
      <c r="AE62" s="1091"/>
      <c r="AF62" s="1091"/>
      <c r="AG62" s="1091"/>
      <c r="AH62" s="39">
        <f t="shared" si="11"/>
        <v>0</v>
      </c>
    </row>
    <row r="63" spans="1:36" ht="15">
      <c r="A63" s="111" t="s">
        <v>79</v>
      </c>
      <c r="B63" s="19">
        <f t="shared" si="10"/>
        <v>0</v>
      </c>
      <c r="C63" s="1091"/>
      <c r="D63" s="1268"/>
      <c r="E63" s="1268"/>
      <c r="F63" s="1268"/>
      <c r="G63" s="1091"/>
      <c r="H63" s="1091"/>
      <c r="I63" s="1091"/>
      <c r="J63" s="2068"/>
      <c r="K63" s="2068"/>
      <c r="L63" s="1268"/>
      <c r="M63" s="1268"/>
      <c r="N63" s="1268"/>
      <c r="O63" s="1268"/>
      <c r="P63" s="1268"/>
      <c r="Q63" s="1268"/>
      <c r="R63" s="1268"/>
      <c r="S63" s="1268"/>
      <c r="T63" s="1268"/>
      <c r="U63" s="1268"/>
      <c r="V63" s="1268"/>
      <c r="W63" s="609"/>
      <c r="X63" s="609"/>
      <c r="Y63" s="609"/>
      <c r="Z63" s="609"/>
      <c r="AA63" s="609"/>
      <c r="AB63" s="609"/>
      <c r="AC63" s="609"/>
      <c r="AD63" s="609"/>
      <c r="AE63" s="609"/>
      <c r="AF63" s="609" t="s">
        <v>109</v>
      </c>
      <c r="AG63" s="609" t="s">
        <v>109</v>
      </c>
      <c r="AH63" s="39">
        <f t="shared" si="11"/>
        <v>0</v>
      </c>
    </row>
    <row r="64" spans="1:36" ht="15">
      <c r="A64" s="111" t="s">
        <v>80</v>
      </c>
      <c r="B64" s="19">
        <f t="shared" si="10"/>
        <v>0</v>
      </c>
      <c r="C64" s="609" t="s">
        <v>109</v>
      </c>
      <c r="D64" s="609" t="s">
        <v>109</v>
      </c>
      <c r="E64" s="609" t="s">
        <v>109</v>
      </c>
      <c r="F64" s="609" t="s">
        <v>109</v>
      </c>
      <c r="G64" s="609" t="s">
        <v>109</v>
      </c>
      <c r="H64" s="609" t="s">
        <v>109</v>
      </c>
      <c r="I64" s="609" t="s">
        <v>109</v>
      </c>
      <c r="J64" s="609" t="s">
        <v>109</v>
      </c>
      <c r="K64" s="609" t="s">
        <v>109</v>
      </c>
      <c r="L64" s="609" t="s">
        <v>109</v>
      </c>
      <c r="M64" s="609" t="s">
        <v>109</v>
      </c>
      <c r="N64" s="609" t="s">
        <v>109</v>
      </c>
      <c r="O64" s="609" t="s">
        <v>109</v>
      </c>
      <c r="P64" s="609" t="s">
        <v>109</v>
      </c>
      <c r="Q64" s="609" t="s">
        <v>109</v>
      </c>
      <c r="R64" s="609" t="s">
        <v>109</v>
      </c>
      <c r="S64" s="609" t="s">
        <v>109</v>
      </c>
      <c r="T64" s="609" t="s">
        <v>109</v>
      </c>
      <c r="U64" s="609" t="s">
        <v>109</v>
      </c>
      <c r="V64" s="609" t="s">
        <v>109</v>
      </c>
      <c r="W64" s="609" t="s">
        <v>109</v>
      </c>
      <c r="X64" s="609" t="s">
        <v>109</v>
      </c>
      <c r="Y64" s="609" t="s">
        <v>109</v>
      </c>
      <c r="Z64" s="609" t="s">
        <v>109</v>
      </c>
      <c r="AA64" s="609" t="s">
        <v>109</v>
      </c>
      <c r="AB64" s="609" t="s">
        <v>109</v>
      </c>
      <c r="AC64" s="609" t="s">
        <v>109</v>
      </c>
      <c r="AD64" s="609" t="s">
        <v>109</v>
      </c>
      <c r="AE64" s="609" t="s">
        <v>109</v>
      </c>
      <c r="AF64" s="609" t="s">
        <v>109</v>
      </c>
      <c r="AG64" s="609" t="s">
        <v>109</v>
      </c>
      <c r="AH64" s="39">
        <f t="shared" si="11"/>
        <v>0</v>
      </c>
    </row>
    <row r="65" spans="1:36" ht="15">
      <c r="A65" s="21" t="s">
        <v>81</v>
      </c>
      <c r="B65" s="19">
        <f t="shared" si="10"/>
        <v>0</v>
      </c>
      <c r="C65" s="609" t="s">
        <v>109</v>
      </c>
      <c r="D65" s="609" t="s">
        <v>109</v>
      </c>
      <c r="E65" s="609" t="s">
        <v>109</v>
      </c>
      <c r="F65" s="609" t="s">
        <v>109</v>
      </c>
      <c r="G65" s="609" t="s">
        <v>109</v>
      </c>
      <c r="H65" s="609" t="s">
        <v>109</v>
      </c>
      <c r="I65" s="609" t="s">
        <v>109</v>
      </c>
      <c r="J65" s="609" t="s">
        <v>109</v>
      </c>
      <c r="K65" s="609" t="s">
        <v>109</v>
      </c>
      <c r="L65" s="609" t="s">
        <v>109</v>
      </c>
      <c r="M65" s="609" t="s">
        <v>109</v>
      </c>
      <c r="N65" s="609" t="s">
        <v>109</v>
      </c>
      <c r="O65" s="609" t="s">
        <v>109</v>
      </c>
      <c r="P65" s="609" t="s">
        <v>109</v>
      </c>
      <c r="Q65" s="609" t="s">
        <v>109</v>
      </c>
      <c r="R65" s="609" t="s">
        <v>109</v>
      </c>
      <c r="S65" s="609" t="s">
        <v>109</v>
      </c>
      <c r="T65" s="609" t="s">
        <v>109</v>
      </c>
      <c r="U65" s="609" t="s">
        <v>109</v>
      </c>
      <c r="V65" s="609" t="s">
        <v>109</v>
      </c>
      <c r="W65" s="609" t="s">
        <v>109</v>
      </c>
      <c r="X65" s="609" t="s">
        <v>109</v>
      </c>
      <c r="Y65" s="609" t="s">
        <v>109</v>
      </c>
      <c r="Z65" s="609" t="s">
        <v>109</v>
      </c>
      <c r="AA65" s="609" t="s">
        <v>109</v>
      </c>
      <c r="AB65" s="609" t="s">
        <v>109</v>
      </c>
      <c r="AC65" s="609" t="s">
        <v>109</v>
      </c>
      <c r="AD65" s="609" t="s">
        <v>109</v>
      </c>
      <c r="AE65" s="609" t="s">
        <v>109</v>
      </c>
      <c r="AF65" s="609" t="s">
        <v>109</v>
      </c>
      <c r="AG65" s="609" t="s">
        <v>109</v>
      </c>
      <c r="AH65" s="39">
        <f t="shared" si="11"/>
        <v>0</v>
      </c>
    </row>
    <row r="66" spans="1:36" ht="15">
      <c r="A66" s="21" t="s">
        <v>82</v>
      </c>
      <c r="B66" s="19">
        <f t="shared" si="10"/>
        <v>0</v>
      </c>
      <c r="C66" s="609" t="s">
        <v>109</v>
      </c>
      <c r="D66" s="609" t="s">
        <v>109</v>
      </c>
      <c r="E66" s="609" t="s">
        <v>109</v>
      </c>
      <c r="F66" s="609" t="s">
        <v>109</v>
      </c>
      <c r="G66" s="609" t="s">
        <v>109</v>
      </c>
      <c r="H66" s="609" t="s">
        <v>109</v>
      </c>
      <c r="I66" s="609" t="s">
        <v>109</v>
      </c>
      <c r="J66" s="609" t="s">
        <v>109</v>
      </c>
      <c r="K66" s="609" t="s">
        <v>109</v>
      </c>
      <c r="L66" s="609" t="s">
        <v>109</v>
      </c>
      <c r="M66" s="609" t="s">
        <v>109</v>
      </c>
      <c r="N66" s="609" t="s">
        <v>109</v>
      </c>
      <c r="O66" s="609" t="s">
        <v>109</v>
      </c>
      <c r="P66" s="609" t="s">
        <v>109</v>
      </c>
      <c r="Q66" s="609" t="s">
        <v>109</v>
      </c>
      <c r="R66" s="609" t="s">
        <v>109</v>
      </c>
      <c r="S66" s="609" t="s">
        <v>109</v>
      </c>
      <c r="T66" s="609" t="s">
        <v>109</v>
      </c>
      <c r="U66" s="609" t="s">
        <v>109</v>
      </c>
      <c r="V66" s="609" t="s">
        <v>109</v>
      </c>
      <c r="W66" s="609" t="s">
        <v>109</v>
      </c>
      <c r="X66" s="1091"/>
      <c r="Y66" s="1091"/>
      <c r="Z66" s="1091"/>
      <c r="AA66" s="1091"/>
      <c r="AB66" s="1091"/>
      <c r="AC66" s="1091"/>
      <c r="AD66" s="1091"/>
      <c r="AE66" s="1268"/>
      <c r="AF66" s="1091"/>
      <c r="AG66" s="1268"/>
      <c r="AH66" s="39">
        <f t="shared" si="11"/>
        <v>0</v>
      </c>
    </row>
    <row r="67" spans="1:36" ht="15">
      <c r="A67" s="21" t="s">
        <v>83</v>
      </c>
      <c r="B67" s="19">
        <f t="shared" si="10"/>
        <v>0</v>
      </c>
      <c r="C67" s="35"/>
      <c r="D67" s="15"/>
      <c r="E67" s="15"/>
      <c r="F67" s="15"/>
      <c r="G67" s="11"/>
      <c r="H67" s="15"/>
      <c r="I67" s="15"/>
      <c r="J67" s="15"/>
      <c r="K67" s="15"/>
      <c r="L67" s="15"/>
      <c r="M67" s="15"/>
      <c r="N67" s="15"/>
      <c r="O67" s="15"/>
      <c r="P67" s="15"/>
      <c r="Q67" s="15"/>
      <c r="R67" s="15"/>
      <c r="S67" s="15"/>
      <c r="T67" s="15"/>
      <c r="U67" s="15"/>
      <c r="V67" s="15"/>
      <c r="W67" s="15"/>
      <c r="X67" s="15"/>
      <c r="Y67" s="11"/>
      <c r="Z67" s="15"/>
      <c r="AA67" s="15"/>
      <c r="AB67" s="15"/>
      <c r="AC67" s="15"/>
      <c r="AD67" s="15"/>
      <c r="AE67" s="39"/>
      <c r="AF67" s="15"/>
      <c r="AG67" s="39"/>
      <c r="AH67" s="39">
        <f t="shared" si="11"/>
        <v>0</v>
      </c>
    </row>
    <row r="68" spans="1:36" ht="15">
      <c r="A68" s="21" t="s">
        <v>84</v>
      </c>
      <c r="B68" s="19">
        <f t="shared" si="10"/>
        <v>0</v>
      </c>
      <c r="C68" s="35"/>
      <c r="D68" s="15"/>
      <c r="E68" s="15"/>
      <c r="F68" s="15"/>
      <c r="G68" s="15"/>
      <c r="H68" s="15"/>
      <c r="I68" s="15"/>
      <c r="J68" s="15"/>
      <c r="K68" s="15"/>
      <c r="L68" s="1084" t="s">
        <v>109</v>
      </c>
      <c r="M68" s="1084" t="s">
        <v>109</v>
      </c>
      <c r="N68" s="1084" t="s">
        <v>109</v>
      </c>
      <c r="O68" s="1084" t="s">
        <v>109</v>
      </c>
      <c r="P68" s="1084" t="s">
        <v>109</v>
      </c>
      <c r="Q68" s="1084" t="s">
        <v>109</v>
      </c>
      <c r="R68" s="1084" t="s">
        <v>109</v>
      </c>
      <c r="S68" s="1084" t="s">
        <v>109</v>
      </c>
      <c r="T68" s="1084" t="s">
        <v>109</v>
      </c>
      <c r="U68" s="1084" t="s">
        <v>109</v>
      </c>
      <c r="V68" s="1084" t="s">
        <v>109</v>
      </c>
      <c r="W68" s="1084" t="s">
        <v>109</v>
      </c>
      <c r="X68" s="1084" t="s">
        <v>109</v>
      </c>
      <c r="Y68" s="1084" t="s">
        <v>109</v>
      </c>
      <c r="Z68" s="1084" t="s">
        <v>109</v>
      </c>
      <c r="AA68" s="1084" t="s">
        <v>109</v>
      </c>
      <c r="AB68" s="1084" t="s">
        <v>109</v>
      </c>
      <c r="AC68" s="1084" t="s">
        <v>109</v>
      </c>
      <c r="AD68" s="1084" t="s">
        <v>109</v>
      </c>
      <c r="AE68" s="1084" t="s">
        <v>109</v>
      </c>
      <c r="AF68" s="1084" t="s">
        <v>109</v>
      </c>
      <c r="AG68" s="1084" t="s">
        <v>109</v>
      </c>
      <c r="AH68" s="39">
        <f t="shared" si="11"/>
        <v>0</v>
      </c>
    </row>
    <row r="69" spans="1:36" ht="15">
      <c r="A69" s="71" t="s">
        <v>72</v>
      </c>
      <c r="B69" s="73">
        <f t="shared" ref="B69:R69" si="12">SUM(B57:B68)</f>
        <v>0</v>
      </c>
      <c r="C69" s="56">
        <f t="shared" si="12"/>
        <v>0</v>
      </c>
      <c r="D69" s="56">
        <f t="shared" si="12"/>
        <v>0</v>
      </c>
      <c r="E69" s="56">
        <f t="shared" si="12"/>
        <v>0</v>
      </c>
      <c r="F69" s="56">
        <f t="shared" si="12"/>
        <v>0</v>
      </c>
      <c r="G69" s="56">
        <f t="shared" si="12"/>
        <v>0</v>
      </c>
      <c r="H69" s="56">
        <f t="shared" si="12"/>
        <v>0</v>
      </c>
      <c r="I69" s="56">
        <f t="shared" si="12"/>
        <v>0</v>
      </c>
      <c r="J69" s="56">
        <f t="shared" si="12"/>
        <v>0</v>
      </c>
      <c r="K69" s="56">
        <f t="shared" si="12"/>
        <v>0</v>
      </c>
      <c r="L69" s="56">
        <f t="shared" si="12"/>
        <v>0</v>
      </c>
      <c r="M69" s="56">
        <f t="shared" si="12"/>
        <v>0</v>
      </c>
      <c r="N69" s="56">
        <f t="shared" si="12"/>
        <v>0</v>
      </c>
      <c r="O69" s="56">
        <f t="shared" si="12"/>
        <v>0</v>
      </c>
      <c r="P69" s="56">
        <f t="shared" si="12"/>
        <v>0</v>
      </c>
      <c r="Q69" s="56">
        <f t="shared" si="12"/>
        <v>0</v>
      </c>
      <c r="R69" s="56">
        <f t="shared" si="12"/>
        <v>0</v>
      </c>
      <c r="S69" s="39">
        <f t="shared" ref="S69:AC69" si="13">SUM(S57:S67)</f>
        <v>0</v>
      </c>
      <c r="T69" s="39">
        <f t="shared" si="13"/>
        <v>0</v>
      </c>
      <c r="U69" s="39">
        <f t="shared" si="13"/>
        <v>0</v>
      </c>
      <c r="V69" s="39">
        <f t="shared" si="13"/>
        <v>0</v>
      </c>
      <c r="W69" s="39">
        <f t="shared" si="13"/>
        <v>0</v>
      </c>
      <c r="X69" s="39">
        <f t="shared" si="13"/>
        <v>0</v>
      </c>
      <c r="Y69" s="39">
        <f t="shared" si="13"/>
        <v>0</v>
      </c>
      <c r="Z69" s="39">
        <f t="shared" si="13"/>
        <v>0</v>
      </c>
      <c r="AA69" s="39">
        <f t="shared" si="13"/>
        <v>0</v>
      </c>
      <c r="AB69" s="39">
        <f t="shared" si="13"/>
        <v>0</v>
      </c>
      <c r="AC69" s="39">
        <f t="shared" si="13"/>
        <v>0</v>
      </c>
      <c r="AD69" s="39">
        <v>0</v>
      </c>
      <c r="AE69" s="39">
        <f>SUM(AE57:AE67)</f>
        <v>0</v>
      </c>
      <c r="AF69" s="39">
        <f>SUM(AF57:AF67)</f>
        <v>0</v>
      </c>
      <c r="AG69" s="39">
        <f>SUM(AG57:AG67)</f>
        <v>0</v>
      </c>
      <c r="AH69" s="32">
        <f>SUM(AH57:AH67)</f>
        <v>0</v>
      </c>
    </row>
    <row r="70" spans="1:36" ht="15">
      <c r="A70" s="114"/>
      <c r="B70" s="189"/>
      <c r="C70" s="59"/>
      <c r="D70" s="59"/>
      <c r="E70" s="59"/>
      <c r="F70" s="59"/>
      <c r="G70" s="59"/>
      <c r="H70" s="59"/>
      <c r="I70" s="59"/>
      <c r="J70" s="59"/>
      <c r="K70" s="59"/>
      <c r="L70" s="59"/>
      <c r="M70" s="59"/>
      <c r="N70" s="59"/>
      <c r="O70" s="59"/>
      <c r="P70" s="59"/>
      <c r="Q70" s="59"/>
      <c r="R70" s="59"/>
      <c r="S70" s="38"/>
      <c r="T70" s="38"/>
      <c r="U70" s="38"/>
      <c r="V70" s="38"/>
      <c r="W70" s="38"/>
      <c r="X70" s="38"/>
      <c r="Y70" s="38"/>
      <c r="Z70" s="38"/>
      <c r="AA70" s="38"/>
      <c r="AB70" s="38"/>
      <c r="AC70" s="38"/>
      <c r="AD70" s="38"/>
      <c r="AE70" s="38"/>
      <c r="AF70" s="38"/>
      <c r="AG70" s="38"/>
      <c r="AH70" s="13"/>
    </row>
    <row r="71" spans="1:36" ht="15">
      <c r="A71" s="3811" t="s">
        <v>91</v>
      </c>
      <c r="B71" s="3812"/>
      <c r="C71" s="3813"/>
      <c r="D71" s="22"/>
      <c r="E71" s="22"/>
      <c r="F71" s="22"/>
      <c r="G71" s="22"/>
      <c r="H71" s="22"/>
      <c r="I71" s="22"/>
      <c r="J71" s="22"/>
      <c r="K71" s="22"/>
      <c r="L71" s="22"/>
      <c r="M71" s="22"/>
      <c r="N71" s="22"/>
      <c r="O71" s="22"/>
      <c r="P71" s="22"/>
      <c r="Q71" s="22"/>
      <c r="R71" s="22"/>
      <c r="S71" s="38"/>
      <c r="T71" s="38"/>
      <c r="U71" s="38"/>
      <c r="V71" s="38"/>
      <c r="W71" s="38"/>
      <c r="X71" s="38"/>
      <c r="Y71" s="38"/>
      <c r="Z71" s="38"/>
      <c r="AA71" s="38"/>
      <c r="AB71" s="38"/>
      <c r="AC71" s="38"/>
      <c r="AD71" s="38"/>
      <c r="AE71" s="38"/>
      <c r="AF71" s="38"/>
      <c r="AG71" s="38"/>
      <c r="AH71" s="13"/>
    </row>
    <row r="72" spans="1:36" ht="15">
      <c r="A72" s="5" t="s">
        <v>70</v>
      </c>
      <c r="B72" s="19" t="s">
        <v>71</v>
      </c>
      <c r="C72" s="57">
        <v>1</v>
      </c>
      <c r="D72" s="23">
        <v>2</v>
      </c>
      <c r="E72" s="23">
        <v>3</v>
      </c>
      <c r="F72" s="23">
        <v>4</v>
      </c>
      <c r="G72" s="23">
        <v>5</v>
      </c>
      <c r="H72" s="23">
        <v>6</v>
      </c>
      <c r="I72" s="23">
        <v>7</v>
      </c>
      <c r="J72" s="23">
        <v>8</v>
      </c>
      <c r="K72" s="23">
        <v>9</v>
      </c>
      <c r="L72" s="23">
        <v>10</v>
      </c>
      <c r="M72" s="23">
        <v>11</v>
      </c>
      <c r="N72" s="23">
        <v>12</v>
      </c>
      <c r="O72" s="23">
        <v>13</v>
      </c>
      <c r="P72" s="23">
        <v>14</v>
      </c>
      <c r="Q72" s="23">
        <v>15</v>
      </c>
      <c r="R72" s="23">
        <v>16</v>
      </c>
      <c r="S72" s="21">
        <v>17</v>
      </c>
      <c r="T72" s="21">
        <v>18</v>
      </c>
      <c r="U72" s="21">
        <v>19</v>
      </c>
      <c r="V72" s="21">
        <v>20</v>
      </c>
      <c r="W72" s="21">
        <v>21</v>
      </c>
      <c r="X72" s="21">
        <v>22</v>
      </c>
      <c r="Y72" s="21">
        <v>23</v>
      </c>
      <c r="Z72" s="21">
        <v>24</v>
      </c>
      <c r="AA72" s="21">
        <v>25</v>
      </c>
      <c r="AB72" s="21">
        <v>26</v>
      </c>
      <c r="AC72" s="21">
        <v>27</v>
      </c>
      <c r="AD72" s="21">
        <v>28</v>
      </c>
      <c r="AE72" s="21">
        <v>29</v>
      </c>
      <c r="AF72" s="21">
        <v>30</v>
      </c>
      <c r="AG72" s="21">
        <v>31</v>
      </c>
      <c r="AH72" s="25" t="s">
        <v>72</v>
      </c>
      <c r="AI72" s="2266" t="s">
        <v>1345</v>
      </c>
      <c r="AJ72" s="66">
        <f>(B85/COUNTIF($C$73:$AG$84,"&gt;0"))</f>
        <v>69.210333333333324</v>
      </c>
    </row>
    <row r="73" spans="1:36" ht="15">
      <c r="A73" s="109" t="s">
        <v>73</v>
      </c>
      <c r="B73" s="19">
        <f t="shared" ref="B73:B84" si="14">+AH73</f>
        <v>0</v>
      </c>
      <c r="C73" s="609" t="s">
        <v>109</v>
      </c>
      <c r="D73" s="609" t="s">
        <v>109</v>
      </c>
      <c r="E73" s="609" t="s">
        <v>109</v>
      </c>
      <c r="F73" s="609" t="s">
        <v>109</v>
      </c>
      <c r="G73" s="609" t="s">
        <v>109</v>
      </c>
      <c r="H73" s="609" t="s">
        <v>109</v>
      </c>
      <c r="I73" s="609" t="s">
        <v>109</v>
      </c>
      <c r="J73" s="609" t="s">
        <v>109</v>
      </c>
      <c r="K73" s="609" t="s">
        <v>109</v>
      </c>
      <c r="L73" s="609" t="s">
        <v>109</v>
      </c>
      <c r="M73" s="609" t="s">
        <v>109</v>
      </c>
      <c r="N73" s="609" t="s">
        <v>109</v>
      </c>
      <c r="O73" s="609" t="s">
        <v>109</v>
      </c>
      <c r="P73" s="609" t="s">
        <v>109</v>
      </c>
      <c r="Q73" s="609" t="s">
        <v>109</v>
      </c>
      <c r="R73" s="609" t="s">
        <v>109</v>
      </c>
      <c r="S73" s="609" t="s">
        <v>109</v>
      </c>
      <c r="T73" s="609" t="s">
        <v>109</v>
      </c>
      <c r="U73" s="609" t="s">
        <v>109</v>
      </c>
      <c r="V73" s="609" t="s">
        <v>109</v>
      </c>
      <c r="W73" s="609" t="s">
        <v>109</v>
      </c>
      <c r="X73" s="609" t="s">
        <v>109</v>
      </c>
      <c r="Y73" s="609" t="s">
        <v>109</v>
      </c>
      <c r="Z73" s="609" t="s">
        <v>109</v>
      </c>
      <c r="AA73" s="609" t="s">
        <v>109</v>
      </c>
      <c r="AB73" s="609" t="s">
        <v>109</v>
      </c>
      <c r="AC73" s="609" t="s">
        <v>109</v>
      </c>
      <c r="AD73" s="609" t="s">
        <v>109</v>
      </c>
      <c r="AE73" s="609" t="s">
        <v>109</v>
      </c>
      <c r="AF73" s="609" t="s">
        <v>109</v>
      </c>
      <c r="AG73" s="609" t="s">
        <v>109</v>
      </c>
      <c r="AH73" s="39">
        <f>SUM(C73:AG73)</f>
        <v>0</v>
      </c>
    </row>
    <row r="74" spans="1:36" ht="15">
      <c r="A74" s="109" t="s">
        <v>74</v>
      </c>
      <c r="B74" s="19">
        <f t="shared" si="14"/>
        <v>0</v>
      </c>
      <c r="C74" s="609" t="s">
        <v>109</v>
      </c>
      <c r="D74" s="609" t="s">
        <v>109</v>
      </c>
      <c r="E74" s="609" t="s">
        <v>109</v>
      </c>
      <c r="F74" s="609" t="s">
        <v>109</v>
      </c>
      <c r="G74" s="609" t="s">
        <v>109</v>
      </c>
      <c r="H74" s="609" t="s">
        <v>109</v>
      </c>
      <c r="I74" s="609" t="s">
        <v>109</v>
      </c>
      <c r="J74" s="609" t="s">
        <v>109</v>
      </c>
      <c r="K74" s="609" t="s">
        <v>109</v>
      </c>
      <c r="L74" s="609" t="s">
        <v>109</v>
      </c>
      <c r="M74" s="2167"/>
      <c r="N74" s="609" t="s">
        <v>109</v>
      </c>
      <c r="O74" s="609" t="s">
        <v>109</v>
      </c>
      <c r="P74" s="609" t="s">
        <v>109</v>
      </c>
      <c r="Q74" s="609" t="s">
        <v>109</v>
      </c>
      <c r="R74" s="609" t="s">
        <v>109</v>
      </c>
      <c r="S74" s="609" t="s">
        <v>109</v>
      </c>
      <c r="T74" s="609" t="s">
        <v>109</v>
      </c>
      <c r="U74" s="609" t="s">
        <v>109</v>
      </c>
      <c r="V74" s="609" t="s">
        <v>109</v>
      </c>
      <c r="W74" s="609" t="s">
        <v>109</v>
      </c>
      <c r="X74" s="609" t="s">
        <v>109</v>
      </c>
      <c r="Y74" s="609" t="s">
        <v>109</v>
      </c>
      <c r="Z74" s="609" t="s">
        <v>109</v>
      </c>
      <c r="AA74" s="609" t="s">
        <v>109</v>
      </c>
      <c r="AB74" s="609" t="s">
        <v>109</v>
      </c>
      <c r="AC74" s="609" t="s">
        <v>109</v>
      </c>
      <c r="AD74" s="609" t="s">
        <v>109</v>
      </c>
      <c r="AE74" s="609" t="s">
        <v>109</v>
      </c>
      <c r="AF74" s="609" t="s">
        <v>109</v>
      </c>
      <c r="AG74" s="609" t="s">
        <v>109</v>
      </c>
      <c r="AH74" s="39">
        <f t="shared" ref="AH74:AH84" si="15">SUM(C74:AG74)</f>
        <v>0</v>
      </c>
    </row>
    <row r="75" spans="1:36" ht="15">
      <c r="A75" s="109" t="s">
        <v>75</v>
      </c>
      <c r="B75" s="19">
        <f t="shared" si="14"/>
        <v>0</v>
      </c>
      <c r="C75" s="609" t="s">
        <v>109</v>
      </c>
      <c r="D75" s="609" t="s">
        <v>109</v>
      </c>
      <c r="E75" s="609" t="s">
        <v>109</v>
      </c>
      <c r="F75" s="2167"/>
      <c r="G75" s="609" t="s">
        <v>109</v>
      </c>
      <c r="H75" s="1091"/>
      <c r="I75" s="1091"/>
      <c r="J75" s="1091"/>
      <c r="K75" s="1091"/>
      <c r="L75" s="1091"/>
      <c r="M75" s="1091"/>
      <c r="N75" s="1091"/>
      <c r="O75" s="1091"/>
      <c r="P75" s="1091"/>
      <c r="Q75" s="1091"/>
      <c r="R75" s="1091"/>
      <c r="S75" s="1091"/>
      <c r="T75" s="1091"/>
      <c r="U75" s="1091"/>
      <c r="V75" s="1091"/>
      <c r="W75" s="1091"/>
      <c r="X75" s="1091"/>
      <c r="Y75" s="1091"/>
      <c r="Z75" s="1091"/>
      <c r="AA75" s="1091"/>
      <c r="AB75" s="1091"/>
      <c r="AC75" s="1689"/>
      <c r="AD75" s="1689"/>
      <c r="AE75" s="1689"/>
      <c r="AF75" s="1689"/>
      <c r="AG75" s="1689"/>
      <c r="AH75" s="39">
        <f>SUM(C75:AG75)</f>
        <v>0</v>
      </c>
    </row>
    <row r="76" spans="1:36" ht="15">
      <c r="A76" s="109" t="s">
        <v>76</v>
      </c>
      <c r="B76" s="19">
        <f t="shared" si="14"/>
        <v>0</v>
      </c>
      <c r="C76" s="1689"/>
      <c r="D76" s="1689"/>
      <c r="E76" s="1689"/>
      <c r="F76" s="1689"/>
      <c r="G76" s="1689"/>
      <c r="H76" s="1689"/>
      <c r="I76" s="1689"/>
      <c r="J76" s="1689"/>
      <c r="K76" s="1689"/>
      <c r="L76" s="2067"/>
      <c r="M76" s="2067"/>
      <c r="N76" s="2067"/>
      <c r="O76" s="2067"/>
      <c r="P76" s="2067"/>
      <c r="Q76" s="2067"/>
      <c r="R76" s="2067"/>
      <c r="S76" s="2067"/>
      <c r="T76" s="2067"/>
      <c r="U76" s="2067"/>
      <c r="V76" s="2067"/>
      <c r="W76" s="2067"/>
      <c r="X76" s="2067"/>
      <c r="Y76" s="2067"/>
      <c r="Z76" s="2067"/>
      <c r="AA76" s="2067"/>
      <c r="AB76" s="2067"/>
      <c r="AC76" s="2067"/>
      <c r="AD76" s="2067"/>
      <c r="AE76" s="2067"/>
      <c r="AF76" s="2067"/>
      <c r="AG76" s="2067"/>
      <c r="AH76" s="39">
        <f t="shared" si="15"/>
        <v>0</v>
      </c>
    </row>
    <row r="77" spans="1:36" ht="15">
      <c r="A77" s="111" t="s">
        <v>77</v>
      </c>
      <c r="B77" s="19">
        <f t="shared" si="14"/>
        <v>0</v>
      </c>
      <c r="C77" s="1091"/>
      <c r="D77" s="1091"/>
      <c r="E77" s="1091"/>
      <c r="F77" s="1091"/>
      <c r="G77" s="1091"/>
      <c r="H77" s="1091"/>
      <c r="I77" s="1091"/>
      <c r="J77" s="1091"/>
      <c r="K77" s="1091"/>
      <c r="L77" s="1091"/>
      <c r="M77" s="1091"/>
      <c r="N77" s="1091"/>
      <c r="O77" s="1091"/>
      <c r="P77" s="1091"/>
      <c r="Q77" s="1091"/>
      <c r="R77" s="1091"/>
      <c r="S77" s="1091"/>
      <c r="T77" s="1091"/>
      <c r="U77" s="1091"/>
      <c r="V77" s="1091"/>
      <c r="W77" s="1091"/>
      <c r="X77" s="1091"/>
      <c r="Y77" s="1091"/>
      <c r="Z77" s="1091"/>
      <c r="AA77" s="1091"/>
      <c r="AB77" s="1091"/>
      <c r="AC77" s="1091"/>
      <c r="AD77" s="1091"/>
      <c r="AE77" s="1091"/>
      <c r="AF77" s="1091"/>
      <c r="AG77" s="1091"/>
      <c r="AH77" s="39">
        <f t="shared" si="15"/>
        <v>0</v>
      </c>
    </row>
    <row r="78" spans="1:36" ht="15">
      <c r="A78" s="111" t="s">
        <v>78</v>
      </c>
      <c r="B78" s="19">
        <f t="shared" si="14"/>
        <v>0</v>
      </c>
      <c r="C78" s="1091"/>
      <c r="D78" s="1091"/>
      <c r="E78" s="1091"/>
      <c r="F78" s="1091"/>
      <c r="G78" s="1091"/>
      <c r="H78" s="1091"/>
      <c r="I78" s="1091"/>
      <c r="J78" s="1091"/>
      <c r="K78" s="1091"/>
      <c r="L78" s="1091"/>
      <c r="M78" s="1091"/>
      <c r="N78" s="1091"/>
      <c r="O78" s="1091"/>
      <c r="P78" s="1091"/>
      <c r="Q78" s="1091"/>
      <c r="R78" s="1091"/>
      <c r="S78" s="1091"/>
      <c r="T78" s="1091"/>
      <c r="U78" s="1091"/>
      <c r="V78" s="1091"/>
      <c r="W78" s="1091"/>
      <c r="X78" s="1091"/>
      <c r="Y78" s="1091"/>
      <c r="Z78" s="1091"/>
      <c r="AA78" s="1091"/>
      <c r="AB78" s="1091"/>
      <c r="AC78" s="1091"/>
      <c r="AD78" s="1091"/>
      <c r="AE78" s="1091"/>
      <c r="AF78" s="1091"/>
      <c r="AG78" s="1091"/>
      <c r="AH78" s="39">
        <f t="shared" si="15"/>
        <v>0</v>
      </c>
    </row>
    <row r="79" spans="1:36" ht="15">
      <c r="A79" s="111" t="s">
        <v>79</v>
      </c>
      <c r="B79" s="19">
        <f t="shared" si="14"/>
        <v>0</v>
      </c>
      <c r="C79" s="1091"/>
      <c r="D79" s="1268"/>
      <c r="E79" s="1268"/>
      <c r="F79" s="1268"/>
      <c r="G79" s="1091"/>
      <c r="H79" s="1091"/>
      <c r="I79" s="1091"/>
      <c r="J79" s="2068"/>
      <c r="K79" s="2068"/>
      <c r="L79" s="1268"/>
      <c r="M79" s="1268"/>
      <c r="N79" s="1268"/>
      <c r="O79" s="1268"/>
      <c r="P79" s="1268"/>
      <c r="Q79" s="1268"/>
      <c r="R79" s="1268"/>
      <c r="S79" s="1091"/>
      <c r="T79" s="1091"/>
      <c r="U79" s="1091"/>
      <c r="V79" s="1091"/>
      <c r="W79" s="1084"/>
      <c r="X79" s="1084"/>
      <c r="Y79" s="1084"/>
      <c r="Z79" s="1084"/>
      <c r="AA79" s="1084"/>
      <c r="AB79" s="1084"/>
      <c r="AC79" s="1084"/>
      <c r="AD79" s="1084"/>
      <c r="AE79" s="1084"/>
      <c r="AF79" s="65" t="s">
        <v>110</v>
      </c>
      <c r="AG79" s="65" t="s">
        <v>110</v>
      </c>
      <c r="AH79" s="39">
        <f t="shared" si="15"/>
        <v>0</v>
      </c>
    </row>
    <row r="80" spans="1:36" ht="15">
      <c r="A80" s="111" t="s">
        <v>80</v>
      </c>
      <c r="B80" s="19">
        <f t="shared" si="14"/>
        <v>0</v>
      </c>
      <c r="C80" s="65" t="s">
        <v>110</v>
      </c>
      <c r="D80" s="65" t="s">
        <v>110</v>
      </c>
      <c r="E80" s="65" t="s">
        <v>110</v>
      </c>
      <c r="F80" s="65" t="s">
        <v>110</v>
      </c>
      <c r="G80" s="65" t="s">
        <v>110</v>
      </c>
      <c r="H80" s="65" t="s">
        <v>110</v>
      </c>
      <c r="I80" s="65" t="s">
        <v>110</v>
      </c>
      <c r="J80" s="65" t="s">
        <v>110</v>
      </c>
      <c r="K80" s="65" t="s">
        <v>110</v>
      </c>
      <c r="L80" s="65" t="s">
        <v>110</v>
      </c>
      <c r="M80" s="65" t="s">
        <v>110</v>
      </c>
      <c r="N80" s="65" t="s">
        <v>110</v>
      </c>
      <c r="O80" s="65" t="s">
        <v>110</v>
      </c>
      <c r="P80" s="65" t="s">
        <v>110</v>
      </c>
      <c r="Q80" s="65" t="s">
        <v>110</v>
      </c>
      <c r="R80" s="65" t="s">
        <v>110</v>
      </c>
      <c r="S80" s="65" t="s">
        <v>110</v>
      </c>
      <c r="T80" s="65" t="s">
        <v>110</v>
      </c>
      <c r="U80" s="65" t="s">
        <v>110</v>
      </c>
      <c r="V80" s="65" t="s">
        <v>110</v>
      </c>
      <c r="W80" s="65" t="s">
        <v>110</v>
      </c>
      <c r="X80" s="65" t="s">
        <v>110</v>
      </c>
      <c r="Y80" s="65" t="s">
        <v>110</v>
      </c>
      <c r="Z80" s="65" t="s">
        <v>110</v>
      </c>
      <c r="AA80" s="65" t="s">
        <v>110</v>
      </c>
      <c r="AB80" s="65" t="s">
        <v>110</v>
      </c>
      <c r="AC80" s="65" t="s">
        <v>110</v>
      </c>
      <c r="AD80" s="65" t="s">
        <v>110</v>
      </c>
      <c r="AE80" s="65" t="s">
        <v>110</v>
      </c>
      <c r="AF80" s="65" t="s">
        <v>110</v>
      </c>
      <c r="AG80" s="65" t="s">
        <v>110</v>
      </c>
      <c r="AH80" s="39">
        <f t="shared" si="15"/>
        <v>0</v>
      </c>
    </row>
    <row r="81" spans="1:36" ht="15">
      <c r="A81" s="21" t="s">
        <v>81</v>
      </c>
      <c r="B81" s="19">
        <f t="shared" si="14"/>
        <v>0</v>
      </c>
      <c r="C81" s="65" t="s">
        <v>110</v>
      </c>
      <c r="D81" s="65" t="s">
        <v>110</v>
      </c>
      <c r="E81" s="65" t="s">
        <v>110</v>
      </c>
      <c r="F81" s="65" t="s">
        <v>110</v>
      </c>
      <c r="G81" s="65" t="s">
        <v>110</v>
      </c>
      <c r="H81" s="65" t="s">
        <v>110</v>
      </c>
      <c r="I81" s="65" t="s">
        <v>110</v>
      </c>
      <c r="J81" s="65" t="s">
        <v>110</v>
      </c>
      <c r="K81" s="65" t="s">
        <v>110</v>
      </c>
      <c r="L81" s="65" t="s">
        <v>110</v>
      </c>
      <c r="M81" s="65" t="s">
        <v>110</v>
      </c>
      <c r="N81" s="65" t="s">
        <v>110</v>
      </c>
      <c r="O81" s="65" t="s">
        <v>110</v>
      </c>
      <c r="P81" s="65" t="s">
        <v>110</v>
      </c>
      <c r="Q81" s="65" t="s">
        <v>110</v>
      </c>
      <c r="R81" s="65" t="s">
        <v>110</v>
      </c>
      <c r="S81" s="65" t="s">
        <v>110</v>
      </c>
      <c r="T81" s="65" t="s">
        <v>110</v>
      </c>
      <c r="U81" s="65" t="s">
        <v>110</v>
      </c>
      <c r="V81" s="65" t="s">
        <v>110</v>
      </c>
      <c r="W81" s="65" t="s">
        <v>110</v>
      </c>
      <c r="X81" s="65" t="s">
        <v>110</v>
      </c>
      <c r="Y81" s="65" t="s">
        <v>110</v>
      </c>
      <c r="Z81" s="65" t="s">
        <v>110</v>
      </c>
      <c r="AA81" s="65" t="s">
        <v>110</v>
      </c>
      <c r="AB81" s="65" t="s">
        <v>110</v>
      </c>
      <c r="AC81" s="65" t="s">
        <v>110</v>
      </c>
      <c r="AD81" s="65" t="s">
        <v>110</v>
      </c>
      <c r="AE81" s="65" t="s">
        <v>110</v>
      </c>
      <c r="AF81" s="65" t="s">
        <v>110</v>
      </c>
      <c r="AG81" s="65" t="s">
        <v>110</v>
      </c>
      <c r="AH81" s="39">
        <f t="shared" si="15"/>
        <v>0</v>
      </c>
    </row>
    <row r="82" spans="1:36" ht="15">
      <c r="A82" s="21" t="s">
        <v>82</v>
      </c>
      <c r="B82" s="19">
        <f t="shared" si="14"/>
        <v>131.18099999999998</v>
      </c>
      <c r="C82" s="65" t="s">
        <v>110</v>
      </c>
      <c r="D82" s="65" t="s">
        <v>110</v>
      </c>
      <c r="E82" s="65" t="s">
        <v>110</v>
      </c>
      <c r="F82" s="65" t="s">
        <v>110</v>
      </c>
      <c r="G82" s="65" t="s">
        <v>110</v>
      </c>
      <c r="H82" s="65" t="s">
        <v>110</v>
      </c>
      <c r="I82" s="65" t="s">
        <v>110</v>
      </c>
      <c r="J82" s="65" t="s">
        <v>110</v>
      </c>
      <c r="K82" s="65" t="s">
        <v>110</v>
      </c>
      <c r="L82" s="65" t="s">
        <v>110</v>
      </c>
      <c r="M82" s="65" t="s">
        <v>110</v>
      </c>
      <c r="N82" s="65" t="s">
        <v>110</v>
      </c>
      <c r="O82" s="65" t="s">
        <v>110</v>
      </c>
      <c r="P82" s="65" t="s">
        <v>110</v>
      </c>
      <c r="Q82" s="65" t="s">
        <v>110</v>
      </c>
      <c r="R82" s="65" t="s">
        <v>110</v>
      </c>
      <c r="S82" s="65" t="s">
        <v>110</v>
      </c>
      <c r="T82" s="65" t="s">
        <v>110</v>
      </c>
      <c r="U82" s="65" t="s">
        <v>110</v>
      </c>
      <c r="V82" s="65" t="s">
        <v>110</v>
      </c>
      <c r="W82" s="65" t="s">
        <v>110</v>
      </c>
      <c r="X82" s="1091"/>
      <c r="Y82" s="1091">
        <v>59.210999999999999</v>
      </c>
      <c r="Z82" s="1091"/>
      <c r="AA82" s="1091">
        <v>71.97</v>
      </c>
      <c r="AB82" s="1091"/>
      <c r="AC82" s="1091"/>
      <c r="AD82" s="1091"/>
      <c r="AE82" s="1268"/>
      <c r="AF82" s="1091"/>
      <c r="AG82" s="1268"/>
      <c r="AH82" s="39">
        <f t="shared" si="15"/>
        <v>131.18099999999998</v>
      </c>
    </row>
    <row r="83" spans="1:36" ht="15">
      <c r="A83" s="21" t="s">
        <v>83</v>
      </c>
      <c r="B83" s="19">
        <f t="shared" si="14"/>
        <v>76.45</v>
      </c>
      <c r="C83" s="1091"/>
      <c r="D83" s="1091"/>
      <c r="E83" s="1091"/>
      <c r="F83" s="1091"/>
      <c r="G83" s="1229"/>
      <c r="H83" s="1091">
        <v>76.45</v>
      </c>
      <c r="I83" s="1091"/>
      <c r="J83" s="1091"/>
      <c r="K83" s="1091"/>
      <c r="L83" s="1091"/>
      <c r="M83" s="1091"/>
      <c r="N83" s="1091"/>
      <c r="O83" s="1091"/>
      <c r="P83" s="1091"/>
      <c r="Q83" s="1091"/>
      <c r="R83" s="1091"/>
      <c r="S83" s="1091"/>
      <c r="T83" s="1091"/>
      <c r="U83" s="1091"/>
      <c r="V83" s="1091"/>
      <c r="W83" s="1091"/>
      <c r="X83" s="1091"/>
      <c r="Y83" s="1091"/>
      <c r="Z83" s="1091"/>
      <c r="AA83" s="1091"/>
      <c r="AB83" s="1091"/>
      <c r="AC83" s="1091"/>
      <c r="AD83" s="1091"/>
      <c r="AE83" s="1268"/>
      <c r="AF83" s="1091"/>
      <c r="AG83" s="1268"/>
      <c r="AH83" s="39">
        <f t="shared" si="15"/>
        <v>76.45</v>
      </c>
    </row>
    <row r="84" spans="1:36" ht="15">
      <c r="A84" s="21" t="s">
        <v>84</v>
      </c>
      <c r="B84" s="19">
        <f t="shared" si="14"/>
        <v>0</v>
      </c>
      <c r="C84" s="1091"/>
      <c r="D84" s="1091"/>
      <c r="E84" s="1091"/>
      <c r="F84" s="1091"/>
      <c r="G84" s="1091"/>
      <c r="H84" s="1091"/>
      <c r="I84" s="1091"/>
      <c r="J84" s="1091"/>
      <c r="K84" s="1091"/>
      <c r="L84" s="1091"/>
      <c r="M84" s="1091"/>
      <c r="N84" s="1091"/>
      <c r="O84" s="1091"/>
      <c r="P84" s="1091"/>
      <c r="Q84" s="1091"/>
      <c r="R84" s="1091"/>
      <c r="S84" s="1091"/>
      <c r="T84" s="1091"/>
      <c r="U84" s="1091"/>
      <c r="V84" s="1091"/>
      <c r="W84" s="1091"/>
      <c r="X84" s="1091"/>
      <c r="Y84" s="1091"/>
      <c r="Z84" s="1091"/>
      <c r="AA84" s="1091"/>
      <c r="AB84" s="1091"/>
      <c r="AC84" s="1091"/>
      <c r="AD84" s="1091"/>
      <c r="AE84" s="1091"/>
      <c r="AF84" s="1091"/>
      <c r="AG84" s="1091"/>
      <c r="AH84" s="39">
        <f t="shared" si="15"/>
        <v>0</v>
      </c>
    </row>
    <row r="85" spans="1:36" ht="15">
      <c r="A85" s="71" t="s">
        <v>72</v>
      </c>
      <c r="B85" s="73">
        <f t="shared" ref="B85:R85" si="16">SUM(B73:B84)</f>
        <v>207.63099999999997</v>
      </c>
      <c r="C85" s="56">
        <f t="shared" si="16"/>
        <v>0</v>
      </c>
      <c r="D85" s="56">
        <f t="shared" si="16"/>
        <v>0</v>
      </c>
      <c r="E85" s="56">
        <f t="shared" si="16"/>
        <v>0</v>
      </c>
      <c r="F85" s="56">
        <f t="shared" si="16"/>
        <v>0</v>
      </c>
      <c r="G85" s="56">
        <f t="shared" si="16"/>
        <v>0</v>
      </c>
      <c r="H85" s="56">
        <f t="shared" si="16"/>
        <v>76.45</v>
      </c>
      <c r="I85" s="56">
        <f t="shared" si="16"/>
        <v>0</v>
      </c>
      <c r="J85" s="56">
        <f t="shared" si="16"/>
        <v>0</v>
      </c>
      <c r="K85" s="56">
        <f t="shared" si="16"/>
        <v>0</v>
      </c>
      <c r="L85" s="56">
        <f t="shared" si="16"/>
        <v>0</v>
      </c>
      <c r="M85" s="56">
        <f t="shared" si="16"/>
        <v>0</v>
      </c>
      <c r="N85" s="56">
        <f t="shared" si="16"/>
        <v>0</v>
      </c>
      <c r="O85" s="56">
        <f t="shared" si="16"/>
        <v>0</v>
      </c>
      <c r="P85" s="56">
        <f t="shared" si="16"/>
        <v>0</v>
      </c>
      <c r="Q85" s="56">
        <f t="shared" si="16"/>
        <v>0</v>
      </c>
      <c r="R85" s="56">
        <f t="shared" si="16"/>
        <v>0</v>
      </c>
      <c r="S85" s="39">
        <f t="shared" ref="S85:AC85" si="17">SUM(S73:S83)</f>
        <v>0</v>
      </c>
      <c r="T85" s="39">
        <f t="shared" si="17"/>
        <v>0</v>
      </c>
      <c r="U85" s="39">
        <f t="shared" si="17"/>
        <v>0</v>
      </c>
      <c r="V85" s="39">
        <f t="shared" si="17"/>
        <v>0</v>
      </c>
      <c r="W85" s="39">
        <f t="shared" si="17"/>
        <v>0</v>
      </c>
      <c r="X85" s="39">
        <f t="shared" si="17"/>
        <v>0</v>
      </c>
      <c r="Y85" s="39">
        <f t="shared" si="17"/>
        <v>59.210999999999999</v>
      </c>
      <c r="Z85" s="39">
        <f t="shared" si="17"/>
        <v>0</v>
      </c>
      <c r="AA85" s="39">
        <f t="shared" si="17"/>
        <v>71.97</v>
      </c>
      <c r="AB85" s="39">
        <f t="shared" si="17"/>
        <v>0</v>
      </c>
      <c r="AC85" s="39">
        <f t="shared" si="17"/>
        <v>0</v>
      </c>
      <c r="AD85" s="39">
        <v>0</v>
      </c>
      <c r="AE85" s="39">
        <f>SUM(AE73:AE83)</f>
        <v>0</v>
      </c>
      <c r="AF85" s="39">
        <f>SUM(AF73:AF83)</f>
        <v>0</v>
      </c>
      <c r="AG85" s="39">
        <f>SUM(AG73:AG83)</f>
        <v>0</v>
      </c>
      <c r="AH85" s="32">
        <f>SUM(AH73:AH83)</f>
        <v>207.63099999999997</v>
      </c>
    </row>
    <row r="86" spans="1:36" ht="15">
      <c r="A86" s="115"/>
      <c r="B86" s="190"/>
      <c r="C86" s="40"/>
      <c r="D86" s="41"/>
      <c r="E86" s="41"/>
      <c r="F86" s="41"/>
      <c r="G86" s="41"/>
      <c r="H86" s="41"/>
      <c r="I86" s="41"/>
      <c r="J86" s="41"/>
      <c r="K86" s="41"/>
      <c r="L86" s="41"/>
      <c r="M86" s="41"/>
      <c r="N86" s="41"/>
      <c r="O86" s="41"/>
      <c r="P86" s="41"/>
      <c r="Q86" s="41"/>
      <c r="R86" s="42"/>
      <c r="S86" s="38"/>
      <c r="T86" s="38"/>
      <c r="U86" s="38"/>
      <c r="V86" s="38"/>
      <c r="W86" s="38"/>
      <c r="X86" s="38"/>
      <c r="Y86" s="38"/>
      <c r="Z86" s="38"/>
      <c r="AA86" s="38"/>
      <c r="AB86" s="38"/>
      <c r="AC86" s="38"/>
      <c r="AD86" s="38"/>
      <c r="AE86" s="38"/>
      <c r="AF86" s="38"/>
      <c r="AG86" s="38"/>
      <c r="AH86" s="13"/>
    </row>
    <row r="87" spans="1:36" ht="15">
      <c r="A87" s="3818" t="s">
        <v>53</v>
      </c>
      <c r="B87" s="3819"/>
      <c r="C87" s="3819"/>
      <c r="D87" s="3819"/>
      <c r="E87" s="3819"/>
      <c r="F87" s="3819"/>
      <c r="G87" s="3819"/>
      <c r="H87" s="3819"/>
      <c r="I87" s="3819"/>
      <c r="J87" s="3819"/>
      <c r="K87" s="3819"/>
      <c r="L87" s="3819"/>
      <c r="M87" s="3819"/>
      <c r="N87" s="3819"/>
      <c r="O87" s="3819"/>
      <c r="P87" s="3819"/>
      <c r="Q87" s="3819"/>
      <c r="R87" s="3820"/>
      <c r="S87" s="11"/>
      <c r="T87" s="11"/>
      <c r="U87" s="11"/>
      <c r="V87" s="11"/>
      <c r="W87" s="11"/>
      <c r="X87" s="11"/>
      <c r="Y87" s="11"/>
      <c r="Z87" s="11"/>
      <c r="AA87" s="11"/>
      <c r="AB87" s="11"/>
      <c r="AC87" s="11"/>
      <c r="AD87" s="11"/>
      <c r="AE87" s="11"/>
      <c r="AF87" s="11"/>
      <c r="AG87" s="11"/>
      <c r="AH87" s="1"/>
    </row>
    <row r="88" spans="1:36" ht="5.0999999999999996" customHeight="1">
      <c r="A88" s="36"/>
      <c r="B88" s="37"/>
      <c r="C88" s="13"/>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13"/>
    </row>
    <row r="89" spans="1:36" ht="15">
      <c r="A89" s="3811" t="s">
        <v>123</v>
      </c>
      <c r="B89" s="3812"/>
      <c r="C89" s="3812"/>
      <c r="D89" s="3812"/>
      <c r="E89" s="3812"/>
      <c r="F89" s="3812"/>
      <c r="G89" s="3812"/>
      <c r="H89" s="3813"/>
      <c r="I89" s="1262"/>
      <c r="J89" s="29"/>
      <c r="K89" s="29"/>
      <c r="L89" s="29"/>
      <c r="M89" s="29"/>
      <c r="N89" s="29"/>
      <c r="O89" s="29"/>
      <c r="P89" s="29"/>
      <c r="Q89" s="29"/>
      <c r="R89" s="29"/>
      <c r="S89" s="11"/>
      <c r="T89" s="11"/>
      <c r="U89" s="11"/>
      <c r="V89" s="11"/>
      <c r="W89" s="11"/>
      <c r="X89" s="11"/>
      <c r="Y89" s="11"/>
      <c r="Z89" s="11"/>
      <c r="AA89" s="11"/>
      <c r="AB89" s="11"/>
      <c r="AC89" s="11"/>
      <c r="AD89" s="11"/>
      <c r="AE89" s="11"/>
      <c r="AF89" s="11"/>
      <c r="AG89" s="11"/>
      <c r="AH89" s="11"/>
    </row>
    <row r="90" spans="1:36" ht="15">
      <c r="A90" s="5" t="s">
        <v>70</v>
      </c>
      <c r="B90" s="5" t="s">
        <v>71</v>
      </c>
      <c r="C90" s="1039">
        <v>1</v>
      </c>
      <c r="D90" s="21">
        <v>2</v>
      </c>
      <c r="E90" s="21">
        <v>3</v>
      </c>
      <c r="F90" s="21">
        <v>4</v>
      </c>
      <c r="G90" s="21">
        <v>5</v>
      </c>
      <c r="H90" s="21">
        <v>6</v>
      </c>
      <c r="I90" s="21">
        <v>7</v>
      </c>
      <c r="J90" s="21">
        <v>8</v>
      </c>
      <c r="K90" s="21">
        <v>9</v>
      </c>
      <c r="L90" s="21">
        <v>10</v>
      </c>
      <c r="M90" s="21">
        <v>11</v>
      </c>
      <c r="N90" s="21">
        <v>12</v>
      </c>
      <c r="O90" s="21">
        <v>13</v>
      </c>
      <c r="P90" s="21">
        <v>14</v>
      </c>
      <c r="Q90" s="21">
        <v>15</v>
      </c>
      <c r="R90" s="21">
        <v>16</v>
      </c>
      <c r="S90" s="21">
        <v>17</v>
      </c>
      <c r="T90" s="21">
        <v>18</v>
      </c>
      <c r="U90" s="21">
        <v>19</v>
      </c>
      <c r="V90" s="21">
        <v>20</v>
      </c>
      <c r="W90" s="21">
        <v>21</v>
      </c>
      <c r="X90" s="21">
        <v>22</v>
      </c>
      <c r="Y90" s="21">
        <v>23</v>
      </c>
      <c r="Z90" s="21">
        <v>24</v>
      </c>
      <c r="AA90" s="21">
        <v>25</v>
      </c>
      <c r="AB90" s="21">
        <v>26</v>
      </c>
      <c r="AC90" s="21">
        <v>27</v>
      </c>
      <c r="AD90" s="21">
        <v>28</v>
      </c>
      <c r="AE90" s="21">
        <v>29</v>
      </c>
      <c r="AF90" s="21">
        <v>30</v>
      </c>
      <c r="AG90" s="21">
        <v>31</v>
      </c>
      <c r="AH90" s="25" t="s">
        <v>72</v>
      </c>
      <c r="AI90" s="2266" t="s">
        <v>1345</v>
      </c>
      <c r="AJ90" s="66">
        <f>(B103/COUNTIF($C$91:$AG$102,"&gt;0"))</f>
        <v>77.913795918367356</v>
      </c>
    </row>
    <row r="91" spans="1:36" ht="15">
      <c r="A91" s="120" t="s">
        <v>73</v>
      </c>
      <c r="B91" s="94">
        <f t="shared" ref="B91:B102" si="18">+AH91</f>
        <v>0</v>
      </c>
      <c r="C91" s="65" t="s">
        <v>109</v>
      </c>
      <c r="D91" s="65" t="s">
        <v>109</v>
      </c>
      <c r="E91" s="65" t="s">
        <v>109</v>
      </c>
      <c r="F91" s="65" t="s">
        <v>109</v>
      </c>
      <c r="G91" s="65" t="s">
        <v>109</v>
      </c>
      <c r="H91" s="65" t="s">
        <v>109</v>
      </c>
      <c r="I91" s="65" t="s">
        <v>109</v>
      </c>
      <c r="J91" s="65" t="s">
        <v>109</v>
      </c>
      <c r="K91" s="65" t="s">
        <v>109</v>
      </c>
      <c r="L91" s="65" t="s">
        <v>109</v>
      </c>
      <c r="M91" s="65" t="s">
        <v>109</v>
      </c>
      <c r="N91" s="65" t="s">
        <v>109</v>
      </c>
      <c r="O91" s="65" t="s">
        <v>109</v>
      </c>
      <c r="P91" s="65" t="s">
        <v>109</v>
      </c>
      <c r="Q91" s="65" t="s">
        <v>109</v>
      </c>
      <c r="R91" s="65" t="s">
        <v>109</v>
      </c>
      <c r="S91" s="65" t="s">
        <v>109</v>
      </c>
      <c r="T91" s="65" t="s">
        <v>109</v>
      </c>
      <c r="U91" s="65" t="s">
        <v>109</v>
      </c>
      <c r="V91" s="65" t="s">
        <v>109</v>
      </c>
      <c r="W91" s="65" t="s">
        <v>109</v>
      </c>
      <c r="X91" s="65" t="s">
        <v>109</v>
      </c>
      <c r="Y91" s="65" t="s">
        <v>109</v>
      </c>
      <c r="Z91" s="65" t="s">
        <v>109</v>
      </c>
      <c r="AA91" s="65" t="s">
        <v>109</v>
      </c>
      <c r="AB91" s="65" t="s">
        <v>109</v>
      </c>
      <c r="AC91" s="65" t="s">
        <v>109</v>
      </c>
      <c r="AD91" s="65" t="s">
        <v>109</v>
      </c>
      <c r="AE91" s="65" t="s">
        <v>109</v>
      </c>
      <c r="AF91" s="65" t="s">
        <v>109</v>
      </c>
      <c r="AG91" s="65" t="s">
        <v>109</v>
      </c>
      <c r="AH91" s="104">
        <f>SUM(C91:AG91)</f>
        <v>0</v>
      </c>
      <c r="AJ91" s="66">
        <f>+'Resumen RAE S.Común'!G220</f>
        <v>1.9669999999996151</v>
      </c>
    </row>
    <row r="92" spans="1:36" ht="15">
      <c r="A92" s="120" t="s">
        <v>74</v>
      </c>
      <c r="B92" s="94">
        <f t="shared" si="18"/>
        <v>1256.3890000000001</v>
      </c>
      <c r="C92" s="65" t="s">
        <v>109</v>
      </c>
      <c r="D92" s="65" t="s">
        <v>109</v>
      </c>
      <c r="E92" s="65" t="s">
        <v>109</v>
      </c>
      <c r="F92" s="65" t="s">
        <v>109</v>
      </c>
      <c r="G92" s="65" t="s">
        <v>109</v>
      </c>
      <c r="H92" s="65" t="s">
        <v>109</v>
      </c>
      <c r="I92" s="65" t="s">
        <v>109</v>
      </c>
      <c r="J92" s="94">
        <v>63.241999999999997</v>
      </c>
      <c r="K92" s="131">
        <v>2.5609999999999999</v>
      </c>
      <c r="L92" s="94">
        <v>74.200999999999993</v>
      </c>
      <c r="M92" s="94">
        <v>42.045999999999999</v>
      </c>
      <c r="N92" s="94">
        <v>0</v>
      </c>
      <c r="O92" s="94">
        <v>5.7359999999999998</v>
      </c>
      <c r="P92" s="94">
        <v>0</v>
      </c>
      <c r="Q92" s="94">
        <v>132.21100000000001</v>
      </c>
      <c r="R92" s="94">
        <v>176.19200000000001</v>
      </c>
      <c r="S92" s="94">
        <v>62.39</v>
      </c>
      <c r="T92" s="94">
        <v>131.26</v>
      </c>
      <c r="U92" s="94">
        <v>200.27</v>
      </c>
      <c r="V92" s="94">
        <v>7.16</v>
      </c>
      <c r="W92" s="94">
        <v>0</v>
      </c>
      <c r="X92" s="94">
        <v>0</v>
      </c>
      <c r="Y92" s="94">
        <v>0</v>
      </c>
      <c r="Z92" s="94">
        <v>64.069999999999993</v>
      </c>
      <c r="AA92" s="94">
        <v>61.835000000000001</v>
      </c>
      <c r="AB92" s="94">
        <v>52.71</v>
      </c>
      <c r="AC92" s="94">
        <v>116.785</v>
      </c>
      <c r="AD92" s="94">
        <v>63.72</v>
      </c>
      <c r="AE92" s="94"/>
      <c r="AF92" s="94"/>
      <c r="AG92" s="94"/>
      <c r="AH92" s="104">
        <f t="shared" ref="AH92:AH102" si="19">SUM(C92:AG92)</f>
        <v>1256.3890000000001</v>
      </c>
      <c r="AJ92" s="1093">
        <f>+AJ91/AJ90</f>
        <v>2.524584993985533E-2</v>
      </c>
    </row>
    <row r="93" spans="1:36" ht="15">
      <c r="A93" s="120" t="s">
        <v>75</v>
      </c>
      <c r="B93" s="94">
        <f t="shared" si="18"/>
        <v>1023.848</v>
      </c>
      <c r="C93" s="94">
        <v>125.803</v>
      </c>
      <c r="D93" s="94">
        <v>67.73</v>
      </c>
      <c r="E93" s="94">
        <v>62.59</v>
      </c>
      <c r="F93" s="94">
        <v>57.78</v>
      </c>
      <c r="G93" s="94">
        <v>122.304</v>
      </c>
      <c r="H93" s="99">
        <v>116.19</v>
      </c>
      <c r="I93" s="99">
        <v>122.505</v>
      </c>
      <c r="J93" s="99">
        <v>24.606000000000002</v>
      </c>
      <c r="K93" s="133">
        <v>59.505000000000003</v>
      </c>
      <c r="L93" s="99">
        <v>65.95</v>
      </c>
      <c r="M93" s="99">
        <v>132.30000000000001</v>
      </c>
      <c r="N93" s="99">
        <v>66.584999999999994</v>
      </c>
      <c r="O93" s="99">
        <v>0</v>
      </c>
      <c r="P93" s="99">
        <v>0</v>
      </c>
      <c r="Q93" s="99">
        <v>0</v>
      </c>
      <c r="R93" s="99">
        <v>0</v>
      </c>
      <c r="S93" s="99">
        <v>0</v>
      </c>
      <c r="T93" s="99"/>
      <c r="U93" s="99"/>
      <c r="V93" s="99"/>
      <c r="W93" s="99"/>
      <c r="X93" s="99"/>
      <c r="Y93" s="99"/>
      <c r="Z93" s="99"/>
      <c r="AA93" s="99"/>
      <c r="AB93" s="99"/>
      <c r="AC93" s="65"/>
      <c r="AD93" s="65"/>
      <c r="AE93" s="65" t="s">
        <v>109</v>
      </c>
      <c r="AF93" s="65" t="s">
        <v>109</v>
      </c>
      <c r="AG93" s="65" t="s">
        <v>109</v>
      </c>
      <c r="AH93" s="104">
        <f>SUM(C93:AG93)</f>
        <v>1023.848</v>
      </c>
    </row>
    <row r="94" spans="1:36" ht="15">
      <c r="A94" s="120" t="s">
        <v>76</v>
      </c>
      <c r="B94" s="94">
        <f t="shared" si="18"/>
        <v>889.99400000000003</v>
      </c>
      <c r="C94" s="1091">
        <v>0</v>
      </c>
      <c r="D94" s="1091">
        <v>0</v>
      </c>
      <c r="E94" s="1091">
        <v>0</v>
      </c>
      <c r="F94" s="1091">
        <v>0</v>
      </c>
      <c r="G94" s="1091">
        <v>58.18</v>
      </c>
      <c r="H94" s="1091">
        <v>128.68</v>
      </c>
      <c r="I94" s="1091">
        <v>64.825000000000003</v>
      </c>
      <c r="J94" s="1091">
        <v>124.05</v>
      </c>
      <c r="K94" s="1091">
        <v>61.36</v>
      </c>
      <c r="L94" s="99">
        <v>63.969000000000001</v>
      </c>
      <c r="M94" s="99">
        <v>63.924999999999997</v>
      </c>
      <c r="N94" s="99">
        <v>0</v>
      </c>
      <c r="O94" s="99">
        <v>193.47</v>
      </c>
      <c r="P94" s="99">
        <v>64.06</v>
      </c>
      <c r="Q94" s="99">
        <v>67.474999999999994</v>
      </c>
      <c r="R94" s="99">
        <v>0</v>
      </c>
      <c r="S94" s="99">
        <v>0</v>
      </c>
      <c r="T94" s="99">
        <v>0</v>
      </c>
      <c r="U94" s="99">
        <v>0</v>
      </c>
      <c r="V94" s="99">
        <v>0</v>
      </c>
      <c r="W94" s="99">
        <v>0</v>
      </c>
      <c r="X94" s="99">
        <v>0</v>
      </c>
      <c r="Y94" s="99">
        <v>0</v>
      </c>
      <c r="Z94" s="99">
        <v>0</v>
      </c>
      <c r="AA94" s="99"/>
      <c r="AB94" s="99"/>
      <c r="AC94" s="99"/>
      <c r="AD94" s="99"/>
      <c r="AE94" s="99">
        <v>0</v>
      </c>
      <c r="AF94" s="99">
        <v>0</v>
      </c>
      <c r="AG94" s="99"/>
      <c r="AH94" s="104">
        <f t="shared" si="19"/>
        <v>889.99400000000003</v>
      </c>
    </row>
    <row r="95" spans="1:36" ht="15">
      <c r="A95" s="111" t="s">
        <v>77</v>
      </c>
      <c r="B95" s="94">
        <f t="shared" si="18"/>
        <v>510.02</v>
      </c>
      <c r="C95" s="1091">
        <v>0</v>
      </c>
      <c r="D95" s="1091">
        <v>0</v>
      </c>
      <c r="E95" s="1091">
        <v>0</v>
      </c>
      <c r="F95" s="1091">
        <v>0</v>
      </c>
      <c r="G95" s="1091">
        <v>0</v>
      </c>
      <c r="H95" s="1091">
        <v>0</v>
      </c>
      <c r="I95" s="1091">
        <v>0</v>
      </c>
      <c r="J95" s="1268">
        <v>0</v>
      </c>
      <c r="K95" s="1268">
        <v>22.959</v>
      </c>
      <c r="L95" s="1268">
        <v>41.555</v>
      </c>
      <c r="M95" s="1268">
        <v>94.215999999999994</v>
      </c>
      <c r="N95" s="1268">
        <v>57.052</v>
      </c>
      <c r="O95" s="1268">
        <v>0</v>
      </c>
      <c r="P95" s="1268">
        <v>0</v>
      </c>
      <c r="Q95" s="1268">
        <v>0</v>
      </c>
      <c r="R95" s="1268">
        <v>45.683999999999997</v>
      </c>
      <c r="S95" s="1268">
        <v>55.795999999999999</v>
      </c>
      <c r="T95" s="1268">
        <v>0</v>
      </c>
      <c r="U95" s="1268">
        <v>0</v>
      </c>
      <c r="V95" s="1268">
        <v>65.745000000000005</v>
      </c>
      <c r="W95" s="1268">
        <v>69.88</v>
      </c>
      <c r="X95" s="1268">
        <v>57.133000000000003</v>
      </c>
      <c r="Y95" s="1268">
        <v>0</v>
      </c>
      <c r="Z95" s="1268">
        <v>0</v>
      </c>
      <c r="AA95" s="1268">
        <v>0</v>
      </c>
      <c r="AB95" s="1268">
        <v>0</v>
      </c>
      <c r="AC95" s="1268"/>
      <c r="AD95" s="1268"/>
      <c r="AE95" s="1268"/>
      <c r="AF95" s="1268"/>
      <c r="AG95" s="1268"/>
      <c r="AH95" s="104">
        <f t="shared" si="19"/>
        <v>510.02</v>
      </c>
    </row>
    <row r="96" spans="1:36" ht="15">
      <c r="A96" s="111" t="s">
        <v>78</v>
      </c>
      <c r="B96" s="94">
        <f t="shared" si="18"/>
        <v>0</v>
      </c>
      <c r="C96" s="1268"/>
      <c r="D96" s="1268"/>
      <c r="E96" s="1268"/>
      <c r="F96" s="1268"/>
      <c r="G96" s="1268"/>
      <c r="H96" s="1091"/>
      <c r="I96" s="1091"/>
      <c r="J96" s="1091"/>
      <c r="K96" s="1091"/>
      <c r="L96" s="1091"/>
      <c r="M96" s="1091"/>
      <c r="N96" s="1091"/>
      <c r="O96" s="1091"/>
      <c r="P96" s="1091"/>
      <c r="Q96" s="1091"/>
      <c r="R96" s="1091"/>
      <c r="S96" s="1091"/>
      <c r="T96" s="1091"/>
      <c r="U96" s="1091"/>
      <c r="V96" s="1091"/>
      <c r="W96" s="1091"/>
      <c r="X96" s="1091"/>
      <c r="Y96" s="1268"/>
      <c r="Z96" s="1268"/>
      <c r="AA96" s="1268"/>
      <c r="AB96" s="1268"/>
      <c r="AC96" s="1268"/>
      <c r="AD96" s="1268"/>
      <c r="AE96" s="1268"/>
      <c r="AF96" s="1268"/>
      <c r="AG96" s="1268"/>
      <c r="AH96" s="104">
        <f t="shared" si="19"/>
        <v>0</v>
      </c>
    </row>
    <row r="97" spans="1:36" ht="15">
      <c r="A97" s="111" t="s">
        <v>79</v>
      </c>
      <c r="B97" s="94">
        <f t="shared" si="18"/>
        <v>0</v>
      </c>
      <c r="C97" s="1091"/>
      <c r="D97" s="1268"/>
      <c r="E97" s="1268"/>
      <c r="F97" s="1268"/>
      <c r="G97" s="1091"/>
      <c r="H97" s="1091"/>
      <c r="I97" s="1091"/>
      <c r="J97" s="1091"/>
      <c r="K97" s="1091"/>
      <c r="L97" s="1091"/>
      <c r="M97" s="1091"/>
      <c r="N97" s="1091"/>
      <c r="O97" s="1091"/>
      <c r="P97" s="1091"/>
      <c r="Q97" s="1091"/>
      <c r="R97" s="1091"/>
      <c r="S97" s="1091"/>
      <c r="T97" s="1091"/>
      <c r="U97" s="1091"/>
      <c r="V97" s="1091"/>
      <c r="W97" s="1084"/>
      <c r="X97" s="1084"/>
      <c r="Y97" s="1974"/>
      <c r="Z97" s="1974"/>
      <c r="AA97" s="1974"/>
      <c r="AB97" s="1974"/>
      <c r="AC97" s="1974"/>
      <c r="AD97" s="1974"/>
      <c r="AE97" s="1974"/>
      <c r="AF97" s="2168"/>
      <c r="AG97" s="65" t="s">
        <v>110</v>
      </c>
      <c r="AH97" s="104">
        <f t="shared" si="19"/>
        <v>0</v>
      </c>
    </row>
    <row r="98" spans="1:36" ht="15">
      <c r="A98" s="111" t="s">
        <v>80</v>
      </c>
      <c r="B98" s="94">
        <f t="shared" si="18"/>
        <v>0</v>
      </c>
      <c r="C98" s="65" t="s">
        <v>110</v>
      </c>
      <c r="D98" s="65" t="s">
        <v>110</v>
      </c>
      <c r="E98" s="65" t="s">
        <v>110</v>
      </c>
      <c r="F98" s="65" t="s">
        <v>110</v>
      </c>
      <c r="G98" s="65" t="s">
        <v>110</v>
      </c>
      <c r="H98" s="65" t="s">
        <v>110</v>
      </c>
      <c r="I98" s="65" t="s">
        <v>110</v>
      </c>
      <c r="J98" s="65" t="s">
        <v>110</v>
      </c>
      <c r="K98" s="65" t="s">
        <v>110</v>
      </c>
      <c r="L98" s="65" t="s">
        <v>110</v>
      </c>
      <c r="M98" s="65" t="s">
        <v>110</v>
      </c>
      <c r="N98" s="65" t="s">
        <v>110</v>
      </c>
      <c r="O98" s="65" t="s">
        <v>110</v>
      </c>
      <c r="P98" s="65" t="s">
        <v>110</v>
      </c>
      <c r="Q98" s="65" t="s">
        <v>110</v>
      </c>
      <c r="R98" s="65" t="s">
        <v>110</v>
      </c>
      <c r="S98" s="65" t="s">
        <v>110</v>
      </c>
      <c r="T98" s="65" t="s">
        <v>110</v>
      </c>
      <c r="U98" s="65" t="s">
        <v>110</v>
      </c>
      <c r="V98" s="65" t="s">
        <v>110</v>
      </c>
      <c r="W98" s="65" t="s">
        <v>110</v>
      </c>
      <c r="X98" s="65" t="s">
        <v>110</v>
      </c>
      <c r="Y98" s="65" t="s">
        <v>110</v>
      </c>
      <c r="Z98" s="65" t="s">
        <v>110</v>
      </c>
      <c r="AA98" s="65" t="s">
        <v>110</v>
      </c>
      <c r="AB98" s="65" t="s">
        <v>110</v>
      </c>
      <c r="AC98" s="65" t="s">
        <v>110</v>
      </c>
      <c r="AD98" s="65" t="s">
        <v>110</v>
      </c>
      <c r="AE98" s="65" t="s">
        <v>110</v>
      </c>
      <c r="AF98" s="65" t="s">
        <v>110</v>
      </c>
      <c r="AG98" s="65" t="s">
        <v>110</v>
      </c>
      <c r="AH98" s="104">
        <f t="shared" si="19"/>
        <v>0</v>
      </c>
    </row>
    <row r="99" spans="1:36" ht="15">
      <c r="A99" s="109" t="s">
        <v>81</v>
      </c>
      <c r="B99" s="94">
        <f t="shared" si="18"/>
        <v>0</v>
      </c>
      <c r="C99" s="65" t="s">
        <v>110</v>
      </c>
      <c r="D99" s="65" t="s">
        <v>110</v>
      </c>
      <c r="E99" s="65" t="s">
        <v>110</v>
      </c>
      <c r="F99" s="65" t="s">
        <v>110</v>
      </c>
      <c r="G99" s="65" t="s">
        <v>110</v>
      </c>
      <c r="H99" s="65" t="s">
        <v>110</v>
      </c>
      <c r="I99" s="65" t="s">
        <v>110</v>
      </c>
      <c r="J99" s="65" t="s">
        <v>110</v>
      </c>
      <c r="K99" s="65" t="s">
        <v>110</v>
      </c>
      <c r="L99" s="65" t="s">
        <v>110</v>
      </c>
      <c r="M99" s="65" t="s">
        <v>110</v>
      </c>
      <c r="N99" s="65" t="s">
        <v>110</v>
      </c>
      <c r="O99" s="65" t="s">
        <v>110</v>
      </c>
      <c r="P99" s="65" t="s">
        <v>110</v>
      </c>
      <c r="Q99" s="65" t="s">
        <v>110</v>
      </c>
      <c r="R99" s="65" t="s">
        <v>110</v>
      </c>
      <c r="S99" s="65" t="s">
        <v>110</v>
      </c>
      <c r="T99" s="65" t="s">
        <v>110</v>
      </c>
      <c r="U99" s="65" t="s">
        <v>110</v>
      </c>
      <c r="V99" s="65" t="s">
        <v>110</v>
      </c>
      <c r="W99" s="65" t="s">
        <v>110</v>
      </c>
      <c r="X99" s="65" t="s">
        <v>110</v>
      </c>
      <c r="Y99" s="65" t="s">
        <v>110</v>
      </c>
      <c r="Z99" s="65" t="s">
        <v>110</v>
      </c>
      <c r="AA99" s="65" t="s">
        <v>110</v>
      </c>
      <c r="AB99" s="65" t="s">
        <v>110</v>
      </c>
      <c r="AC99" s="65" t="s">
        <v>110</v>
      </c>
      <c r="AD99" s="65" t="s">
        <v>110</v>
      </c>
      <c r="AE99" s="65" t="s">
        <v>110</v>
      </c>
      <c r="AF99" s="65" t="s">
        <v>110</v>
      </c>
      <c r="AG99" s="65" t="s">
        <v>110</v>
      </c>
      <c r="AH99" s="104">
        <f t="shared" si="19"/>
        <v>0</v>
      </c>
    </row>
    <row r="100" spans="1:36" ht="15">
      <c r="A100" s="109" t="s">
        <v>82</v>
      </c>
      <c r="B100" s="94">
        <f t="shared" si="18"/>
        <v>0</v>
      </c>
      <c r="C100" s="65" t="s">
        <v>110</v>
      </c>
      <c r="D100" s="65" t="s">
        <v>110</v>
      </c>
      <c r="E100" s="65" t="s">
        <v>110</v>
      </c>
      <c r="F100" s="65" t="s">
        <v>110</v>
      </c>
      <c r="G100" s="65" t="s">
        <v>110</v>
      </c>
      <c r="H100" s="65" t="s">
        <v>110</v>
      </c>
      <c r="I100" s="65" t="s">
        <v>110</v>
      </c>
      <c r="J100" s="65" t="s">
        <v>110</v>
      </c>
      <c r="K100" s="65" t="s">
        <v>110</v>
      </c>
      <c r="L100" s="65" t="s">
        <v>110</v>
      </c>
      <c r="M100" s="65" t="s">
        <v>110</v>
      </c>
      <c r="N100" s="65" t="s">
        <v>110</v>
      </c>
      <c r="O100" s="65" t="s">
        <v>110</v>
      </c>
      <c r="P100" s="65" t="s">
        <v>110</v>
      </c>
      <c r="Q100" s="65" t="s">
        <v>110</v>
      </c>
      <c r="R100" s="65" t="s">
        <v>110</v>
      </c>
      <c r="S100" s="65" t="s">
        <v>110</v>
      </c>
      <c r="T100" s="65" t="s">
        <v>110</v>
      </c>
      <c r="U100" s="65" t="s">
        <v>110</v>
      </c>
      <c r="V100" s="65" t="s">
        <v>110</v>
      </c>
      <c r="W100" s="65" t="s">
        <v>110</v>
      </c>
      <c r="X100" s="1091"/>
      <c r="Y100" s="1091"/>
      <c r="Z100" s="1091"/>
      <c r="AA100" s="1091"/>
      <c r="AB100" s="1091"/>
      <c r="AC100" s="1091"/>
      <c r="AD100" s="1091"/>
      <c r="AE100" s="1268"/>
      <c r="AF100" s="1091"/>
      <c r="AG100" s="1268"/>
      <c r="AH100" s="104">
        <f t="shared" si="19"/>
        <v>0</v>
      </c>
    </row>
    <row r="101" spans="1:36" ht="15">
      <c r="A101" s="109" t="s">
        <v>83</v>
      </c>
      <c r="B101" s="94">
        <f t="shared" si="18"/>
        <v>137.52500000000001</v>
      </c>
      <c r="C101" s="35"/>
      <c r="D101" s="15"/>
      <c r="E101" s="15"/>
      <c r="F101" s="15"/>
      <c r="G101" s="15">
        <v>102.89</v>
      </c>
      <c r="H101" s="15"/>
      <c r="I101" s="15">
        <v>34.634999999999998</v>
      </c>
      <c r="J101" s="15"/>
      <c r="K101" s="15"/>
      <c r="L101" s="15"/>
      <c r="M101" s="15"/>
      <c r="N101" s="15"/>
      <c r="O101" s="15"/>
      <c r="P101" s="15"/>
      <c r="Q101" s="15"/>
      <c r="R101" s="15"/>
      <c r="S101" s="15"/>
      <c r="T101" s="15"/>
      <c r="U101" s="15"/>
      <c r="V101" s="15"/>
      <c r="W101" s="15"/>
      <c r="X101" s="15"/>
      <c r="Y101" s="15"/>
      <c r="Z101" s="15"/>
      <c r="AA101" s="15"/>
      <c r="AB101" s="15"/>
      <c r="AC101" s="15"/>
      <c r="AD101" s="15"/>
      <c r="AE101" s="39"/>
      <c r="AF101" s="15"/>
      <c r="AG101" s="39"/>
      <c r="AH101" s="104">
        <f t="shared" si="19"/>
        <v>137.52500000000001</v>
      </c>
    </row>
    <row r="102" spans="1:36" ht="15">
      <c r="A102" s="109" t="s">
        <v>84</v>
      </c>
      <c r="B102" s="94">
        <f t="shared" si="18"/>
        <v>0</v>
      </c>
      <c r="C102" s="35"/>
      <c r="D102" s="15"/>
      <c r="E102" s="15"/>
      <c r="F102" s="15"/>
      <c r="G102" s="15"/>
      <c r="H102" s="15"/>
      <c r="I102" s="15"/>
      <c r="J102" s="15"/>
      <c r="K102" s="15"/>
      <c r="L102" s="15"/>
      <c r="M102" s="15"/>
      <c r="N102" s="15"/>
      <c r="O102" s="15"/>
      <c r="P102" s="1091"/>
      <c r="Q102" s="1091"/>
      <c r="R102" s="1091"/>
      <c r="S102" s="1091"/>
      <c r="T102" s="1091"/>
      <c r="U102" s="1091"/>
      <c r="V102" s="1091"/>
      <c r="W102" s="1091"/>
      <c r="X102" s="1091"/>
      <c r="Y102" s="1091"/>
      <c r="Z102" s="1091"/>
      <c r="AA102" s="1091"/>
      <c r="AB102" s="1091"/>
      <c r="AC102" s="1091"/>
      <c r="AD102" s="1091"/>
      <c r="AE102" s="1091"/>
      <c r="AF102" s="1091"/>
      <c r="AG102" s="1091"/>
      <c r="AH102" s="104">
        <f t="shared" si="19"/>
        <v>0</v>
      </c>
    </row>
    <row r="103" spans="1:36" ht="15">
      <c r="A103" s="71" t="s">
        <v>72</v>
      </c>
      <c r="B103" s="72">
        <f>SUM(B91:B102)</f>
        <v>3817.7760000000003</v>
      </c>
      <c r="C103" s="32">
        <f>SUM(C91:C101)</f>
        <v>125.803</v>
      </c>
      <c r="D103" s="39">
        <f>SUM(D91:D101)</f>
        <v>67.73</v>
      </c>
      <c r="E103" s="39">
        <v>0</v>
      </c>
      <c r="F103" s="39">
        <f t="shared" ref="F103:AC103" si="20">SUM(F91:F101)</f>
        <v>57.78</v>
      </c>
      <c r="G103" s="39">
        <f t="shared" si="20"/>
        <v>283.37400000000002</v>
      </c>
      <c r="H103" s="39">
        <f t="shared" si="20"/>
        <v>244.87</v>
      </c>
      <c r="I103" s="39">
        <f t="shared" si="20"/>
        <v>221.96499999999997</v>
      </c>
      <c r="J103" s="39">
        <f t="shared" si="20"/>
        <v>211.898</v>
      </c>
      <c r="K103" s="39">
        <f t="shared" si="20"/>
        <v>146.38499999999999</v>
      </c>
      <c r="L103" s="39">
        <f t="shared" si="20"/>
        <v>245.67500000000001</v>
      </c>
      <c r="M103" s="39">
        <f t="shared" si="20"/>
        <v>332.48700000000002</v>
      </c>
      <c r="N103" s="39">
        <f t="shared" si="20"/>
        <v>123.637</v>
      </c>
      <c r="O103" s="39">
        <f t="shared" si="20"/>
        <v>199.20599999999999</v>
      </c>
      <c r="P103" s="39">
        <f t="shared" si="20"/>
        <v>64.06</v>
      </c>
      <c r="Q103" s="39">
        <f t="shared" si="20"/>
        <v>199.68600000000001</v>
      </c>
      <c r="R103" s="39">
        <f t="shared" si="20"/>
        <v>221.876</v>
      </c>
      <c r="S103" s="39">
        <f t="shared" si="20"/>
        <v>118.18600000000001</v>
      </c>
      <c r="T103" s="39">
        <f t="shared" si="20"/>
        <v>131.26</v>
      </c>
      <c r="U103" s="39">
        <f t="shared" si="20"/>
        <v>200.27</v>
      </c>
      <c r="V103" s="39">
        <f t="shared" si="20"/>
        <v>72.905000000000001</v>
      </c>
      <c r="W103" s="39">
        <f t="shared" si="20"/>
        <v>69.88</v>
      </c>
      <c r="X103" s="39">
        <f t="shared" si="20"/>
        <v>57.133000000000003</v>
      </c>
      <c r="Y103" s="39">
        <f t="shared" si="20"/>
        <v>0</v>
      </c>
      <c r="Z103" s="39">
        <f t="shared" si="20"/>
        <v>64.069999999999993</v>
      </c>
      <c r="AA103" s="39">
        <f t="shared" si="20"/>
        <v>61.835000000000001</v>
      </c>
      <c r="AB103" s="39">
        <f t="shared" si="20"/>
        <v>52.71</v>
      </c>
      <c r="AC103" s="39">
        <f t="shared" si="20"/>
        <v>116.785</v>
      </c>
      <c r="AD103" s="39">
        <v>0</v>
      </c>
      <c r="AE103" s="39">
        <f>SUM(AE91:AE101)</f>
        <v>0</v>
      </c>
      <c r="AF103" s="39">
        <f>SUM(AF91:AF101)</f>
        <v>0</v>
      </c>
      <c r="AG103" s="39">
        <f>SUM(AG91:AG101)</f>
        <v>0</v>
      </c>
      <c r="AH103" s="33">
        <f>SUM(AH91:AH101)</f>
        <v>3817.7760000000003</v>
      </c>
    </row>
    <row r="104" spans="1:36" ht="5.0999999999999996" customHeight="1">
      <c r="A104" s="36"/>
      <c r="B104" s="37"/>
      <c r="C104" s="13"/>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13"/>
    </row>
    <row r="105" spans="1:36" ht="15">
      <c r="A105" s="3811" t="s">
        <v>54</v>
      </c>
      <c r="B105" s="3812"/>
      <c r="C105" s="3812"/>
      <c r="D105" s="3812"/>
      <c r="E105" s="3812"/>
      <c r="F105" s="3812"/>
      <c r="G105" s="3812"/>
      <c r="H105" s="3813"/>
      <c r="I105" s="1262"/>
      <c r="J105" s="29"/>
      <c r="K105" s="29"/>
      <c r="L105" s="29"/>
      <c r="M105" s="29"/>
      <c r="N105" s="29"/>
      <c r="O105" s="29"/>
      <c r="P105" s="29"/>
      <c r="Q105" s="29"/>
      <c r="R105" s="29"/>
      <c r="S105" s="11"/>
      <c r="T105" s="11"/>
      <c r="U105" s="11"/>
      <c r="V105" s="11"/>
      <c r="W105" s="11"/>
      <c r="X105" s="11"/>
      <c r="Y105" s="11"/>
      <c r="Z105" s="11"/>
      <c r="AA105" s="11"/>
      <c r="AB105" s="11"/>
      <c r="AC105" s="11"/>
      <c r="AD105" s="11"/>
      <c r="AE105" s="11"/>
      <c r="AF105" s="11"/>
      <c r="AG105" s="11"/>
      <c r="AH105" s="11"/>
    </row>
    <row r="106" spans="1:36" ht="15">
      <c r="A106" s="5" t="s">
        <v>70</v>
      </c>
      <c r="B106" s="5" t="s">
        <v>71</v>
      </c>
      <c r="C106" s="1039">
        <v>1</v>
      </c>
      <c r="D106" s="21">
        <v>2</v>
      </c>
      <c r="E106" s="21">
        <v>3</v>
      </c>
      <c r="F106" s="21">
        <v>4</v>
      </c>
      <c r="G106" s="21">
        <v>5</v>
      </c>
      <c r="H106" s="21">
        <v>6</v>
      </c>
      <c r="I106" s="21">
        <v>7</v>
      </c>
      <c r="J106" s="21">
        <v>8</v>
      </c>
      <c r="K106" s="21">
        <v>9</v>
      </c>
      <c r="L106" s="21">
        <v>10</v>
      </c>
      <c r="M106" s="21">
        <v>11</v>
      </c>
      <c r="N106" s="21">
        <v>12</v>
      </c>
      <c r="O106" s="21">
        <v>13</v>
      </c>
      <c r="P106" s="21">
        <v>14</v>
      </c>
      <c r="Q106" s="21">
        <v>15</v>
      </c>
      <c r="R106" s="21">
        <v>16</v>
      </c>
      <c r="S106" s="21">
        <v>17</v>
      </c>
      <c r="T106" s="21">
        <v>18</v>
      </c>
      <c r="U106" s="21">
        <v>19</v>
      </c>
      <c r="V106" s="21">
        <v>20</v>
      </c>
      <c r="W106" s="21">
        <v>21</v>
      </c>
      <c r="X106" s="21">
        <v>22</v>
      </c>
      <c r="Y106" s="21">
        <v>23</v>
      </c>
      <c r="Z106" s="21">
        <v>24</v>
      </c>
      <c r="AA106" s="21">
        <v>25</v>
      </c>
      <c r="AB106" s="21">
        <v>26</v>
      </c>
      <c r="AC106" s="21">
        <v>27</v>
      </c>
      <c r="AD106" s="21">
        <v>28</v>
      </c>
      <c r="AE106" s="21">
        <v>29</v>
      </c>
      <c r="AF106" s="21">
        <v>30</v>
      </c>
      <c r="AG106" s="21">
        <v>31</v>
      </c>
      <c r="AH106" s="25" t="s">
        <v>72</v>
      </c>
      <c r="AI106" s="2266" t="s">
        <v>1345</v>
      </c>
      <c r="AJ106" s="66">
        <f>(B119/COUNTIF($C$107:$AG$118,"&gt;0"))</f>
        <v>209.10155813953489</v>
      </c>
    </row>
    <row r="107" spans="1:36" ht="15">
      <c r="A107" s="120" t="s">
        <v>73</v>
      </c>
      <c r="B107" s="52">
        <f t="shared" ref="B107:B118" si="21">+AH107</f>
        <v>0</v>
      </c>
      <c r="C107" s="65" t="s">
        <v>109</v>
      </c>
      <c r="D107" s="65" t="s">
        <v>109</v>
      </c>
      <c r="E107" s="65" t="s">
        <v>109</v>
      </c>
      <c r="F107" s="65" t="s">
        <v>109</v>
      </c>
      <c r="G107" s="65" t="s">
        <v>109</v>
      </c>
      <c r="H107" s="65" t="s">
        <v>109</v>
      </c>
      <c r="I107" s="65" t="s">
        <v>109</v>
      </c>
      <c r="J107" s="65" t="s">
        <v>109</v>
      </c>
      <c r="K107" s="65" t="s">
        <v>109</v>
      </c>
      <c r="L107" s="65" t="s">
        <v>109</v>
      </c>
      <c r="M107" s="65" t="s">
        <v>109</v>
      </c>
      <c r="N107" s="65" t="s">
        <v>109</v>
      </c>
      <c r="O107" s="65" t="s">
        <v>109</v>
      </c>
      <c r="P107" s="65" t="s">
        <v>109</v>
      </c>
      <c r="Q107" s="65" t="s">
        <v>109</v>
      </c>
      <c r="R107" s="65" t="s">
        <v>109</v>
      </c>
      <c r="S107" s="65" t="s">
        <v>109</v>
      </c>
      <c r="T107" s="65" t="s">
        <v>109</v>
      </c>
      <c r="U107" s="65" t="s">
        <v>109</v>
      </c>
      <c r="V107" s="65" t="s">
        <v>109</v>
      </c>
      <c r="W107" s="65" t="s">
        <v>109</v>
      </c>
      <c r="X107" s="65" t="s">
        <v>109</v>
      </c>
      <c r="Y107" s="65" t="s">
        <v>109</v>
      </c>
      <c r="Z107" s="65" t="s">
        <v>109</v>
      </c>
      <c r="AA107" s="65" t="s">
        <v>109</v>
      </c>
      <c r="AB107" s="65" t="s">
        <v>109</v>
      </c>
      <c r="AC107" s="65" t="s">
        <v>109</v>
      </c>
      <c r="AD107" s="65" t="s">
        <v>109</v>
      </c>
      <c r="AE107" s="65" t="s">
        <v>109</v>
      </c>
      <c r="AF107" s="65" t="s">
        <v>109</v>
      </c>
      <c r="AG107" s="65" t="s">
        <v>109</v>
      </c>
      <c r="AH107" s="39">
        <f>SUM(C107:AG107)</f>
        <v>0</v>
      </c>
      <c r="AJ107" s="66">
        <f>+'Resumen RAE S.Común'!G221</f>
        <v>15.030000000001564</v>
      </c>
    </row>
    <row r="108" spans="1:36" ht="15">
      <c r="A108" s="120" t="s">
        <v>74</v>
      </c>
      <c r="B108" s="52">
        <f t="shared" si="21"/>
        <v>5136.9610000000002</v>
      </c>
      <c r="C108" s="65" t="s">
        <v>109</v>
      </c>
      <c r="D108" s="65" t="s">
        <v>109</v>
      </c>
      <c r="E108" s="65" t="s">
        <v>109</v>
      </c>
      <c r="F108" s="65" t="s">
        <v>109</v>
      </c>
      <c r="G108" s="65" t="s">
        <v>109</v>
      </c>
      <c r="H108" s="65" t="s">
        <v>109</v>
      </c>
      <c r="I108" s="65" t="s">
        <v>109</v>
      </c>
      <c r="J108" s="1761">
        <v>223.261</v>
      </c>
      <c r="K108" s="134">
        <v>154.71799999999999</v>
      </c>
      <c r="L108" s="94">
        <v>149.1</v>
      </c>
      <c r="M108" s="94">
        <v>268.57100000000003</v>
      </c>
      <c r="N108" s="94">
        <v>0</v>
      </c>
      <c r="O108" s="94">
        <v>13.718999999999999</v>
      </c>
      <c r="P108" s="94">
        <v>186.494</v>
      </c>
      <c r="Q108" s="94">
        <v>446.97300000000001</v>
      </c>
      <c r="R108" s="94">
        <v>262.476</v>
      </c>
      <c r="S108" s="94">
        <v>397.14800000000002</v>
      </c>
      <c r="T108" s="94">
        <v>354.80700000000002</v>
      </c>
      <c r="U108" s="94">
        <v>366.779</v>
      </c>
      <c r="V108" s="94">
        <v>269.85199999999998</v>
      </c>
      <c r="W108" s="94">
        <v>0</v>
      </c>
      <c r="X108" s="94">
        <v>0</v>
      </c>
      <c r="Y108" s="94">
        <v>0</v>
      </c>
      <c r="Z108" s="94">
        <v>348.94</v>
      </c>
      <c r="AA108" s="94">
        <v>491.51</v>
      </c>
      <c r="AB108" s="94">
        <v>347.16</v>
      </c>
      <c r="AC108" s="94">
        <v>389.01</v>
      </c>
      <c r="AD108" s="94">
        <v>466.44299999999998</v>
      </c>
      <c r="AE108" s="94"/>
      <c r="AF108" s="94"/>
      <c r="AG108" s="94"/>
      <c r="AH108" s="39">
        <f>SUM(C108:AG108)</f>
        <v>5136.9610000000002</v>
      </c>
      <c r="AJ108" s="1093">
        <f>+AJ107/AJ106</f>
        <v>7.1878947884127881E-2</v>
      </c>
    </row>
    <row r="109" spans="1:36" ht="15">
      <c r="A109" s="120" t="s">
        <v>75</v>
      </c>
      <c r="B109" s="52">
        <f t="shared" si="21"/>
        <v>3877.6369999999997</v>
      </c>
      <c r="C109" s="94">
        <v>452.66300000000001</v>
      </c>
      <c r="D109" s="94">
        <v>122.559</v>
      </c>
      <c r="E109" s="94">
        <v>477.10199999999998</v>
      </c>
      <c r="F109" s="94">
        <v>454.25200000000001</v>
      </c>
      <c r="G109" s="94">
        <v>397.815</v>
      </c>
      <c r="H109" s="99">
        <v>450.02</v>
      </c>
      <c r="I109" s="99">
        <v>400.613</v>
      </c>
      <c r="J109" s="133">
        <v>228.93199999999999</v>
      </c>
      <c r="K109" s="99">
        <v>203.45500000000001</v>
      </c>
      <c r="L109" s="99">
        <v>345.96699999999998</v>
      </c>
      <c r="M109" s="99">
        <v>149.785</v>
      </c>
      <c r="N109" s="99">
        <v>192.92</v>
      </c>
      <c r="O109" s="99">
        <v>0</v>
      </c>
      <c r="P109" s="99">
        <v>0</v>
      </c>
      <c r="Q109" s="99">
        <v>0</v>
      </c>
      <c r="R109" s="99">
        <v>0</v>
      </c>
      <c r="S109" s="99">
        <v>0</v>
      </c>
      <c r="T109" s="99">
        <v>0</v>
      </c>
      <c r="U109" s="99">
        <v>0</v>
      </c>
      <c r="V109" s="99">
        <v>0</v>
      </c>
      <c r="W109" s="99">
        <v>0</v>
      </c>
      <c r="X109" s="99">
        <v>0</v>
      </c>
      <c r="Y109" s="99">
        <v>0</v>
      </c>
      <c r="Z109" s="99">
        <v>0</v>
      </c>
      <c r="AA109" s="99">
        <v>0</v>
      </c>
      <c r="AB109" s="99">
        <v>0</v>
      </c>
      <c r="AC109" s="1091">
        <v>0</v>
      </c>
      <c r="AD109" s="1091">
        <v>1.554</v>
      </c>
      <c r="AE109" s="1091">
        <v>0</v>
      </c>
      <c r="AF109" s="1091">
        <v>0</v>
      </c>
      <c r="AG109" s="1091">
        <v>0</v>
      </c>
      <c r="AH109" s="39">
        <f>SUM(C109:AG109)</f>
        <v>3877.6369999999997</v>
      </c>
    </row>
    <row r="110" spans="1:36" ht="15">
      <c r="A110" s="120" t="s">
        <v>76</v>
      </c>
      <c r="B110" s="52">
        <f t="shared" si="21"/>
        <v>2825.1709999999994</v>
      </c>
      <c r="C110" s="1091">
        <v>0</v>
      </c>
      <c r="D110" s="1091">
        <v>0</v>
      </c>
      <c r="E110" s="1091">
        <v>0</v>
      </c>
      <c r="F110" s="1091">
        <v>68.254999999999995</v>
      </c>
      <c r="G110" s="1091">
        <v>285.5</v>
      </c>
      <c r="H110" s="1091">
        <v>383.92</v>
      </c>
      <c r="I110" s="1091">
        <v>269.71199999999999</v>
      </c>
      <c r="J110" s="1091">
        <v>294.524</v>
      </c>
      <c r="K110" s="1091">
        <v>125.81699999999999</v>
      </c>
      <c r="L110" s="39">
        <v>135.333</v>
      </c>
      <c r="M110" s="39">
        <v>265.91500000000002</v>
      </c>
      <c r="N110" s="39">
        <v>207.52</v>
      </c>
      <c r="O110" s="39">
        <v>363.65499999999997</v>
      </c>
      <c r="P110" s="39">
        <v>213.93</v>
      </c>
      <c r="Q110" s="39">
        <v>63.72</v>
      </c>
      <c r="R110" s="39">
        <v>0</v>
      </c>
      <c r="S110" s="39">
        <v>0</v>
      </c>
      <c r="T110" s="39">
        <v>0</v>
      </c>
      <c r="U110" s="39">
        <v>0</v>
      </c>
      <c r="V110" s="39">
        <v>0</v>
      </c>
      <c r="W110" s="39">
        <v>0</v>
      </c>
      <c r="X110" s="39">
        <v>0</v>
      </c>
      <c r="Y110" s="39">
        <v>72.034999999999997</v>
      </c>
      <c r="Z110" s="39">
        <v>75.334999999999994</v>
      </c>
      <c r="AA110" s="39"/>
      <c r="AB110" s="39"/>
      <c r="AC110" s="39"/>
      <c r="AD110" s="39"/>
      <c r="AE110" s="39"/>
      <c r="AF110" s="39"/>
      <c r="AG110" s="39"/>
      <c r="AH110" s="39">
        <f>SUM(C110:AG110)</f>
        <v>2825.1709999999994</v>
      </c>
    </row>
    <row r="111" spans="1:36" ht="15">
      <c r="A111" s="111" t="s">
        <v>77</v>
      </c>
      <c r="B111" s="52">
        <f t="shared" si="21"/>
        <v>1754.5849999999996</v>
      </c>
      <c r="C111" s="35">
        <v>0</v>
      </c>
      <c r="D111" s="15">
        <v>0</v>
      </c>
      <c r="E111" s="15">
        <v>0</v>
      </c>
      <c r="F111" s="15">
        <v>0</v>
      </c>
      <c r="G111" s="15">
        <v>0</v>
      </c>
      <c r="H111" s="15">
        <v>0</v>
      </c>
      <c r="I111" s="15">
        <v>0</v>
      </c>
      <c r="J111" s="39">
        <v>50.81</v>
      </c>
      <c r="K111" s="39">
        <v>41.683999999999997</v>
      </c>
      <c r="L111" s="39">
        <v>256.07900000000001</v>
      </c>
      <c r="M111" s="39">
        <v>254.863</v>
      </c>
      <c r="N111" s="39">
        <v>145.964</v>
      </c>
      <c r="O111" s="39">
        <v>0</v>
      </c>
      <c r="P111" s="39">
        <v>0</v>
      </c>
      <c r="Q111" s="39">
        <v>0</v>
      </c>
      <c r="R111" s="39">
        <v>191.79499999999999</v>
      </c>
      <c r="S111" s="39">
        <v>238.10499999999999</v>
      </c>
      <c r="T111" s="39">
        <v>0</v>
      </c>
      <c r="U111" s="39">
        <v>0</v>
      </c>
      <c r="V111" s="39">
        <v>60.685000000000002</v>
      </c>
      <c r="W111" s="39">
        <v>203.26599999999999</v>
      </c>
      <c r="X111" s="39">
        <v>98.974999999999994</v>
      </c>
      <c r="Y111" s="39">
        <v>92.24</v>
      </c>
      <c r="Z111" s="39">
        <v>120.119</v>
      </c>
      <c r="AA111" s="39">
        <v>0</v>
      </c>
      <c r="AB111" s="39">
        <v>0</v>
      </c>
      <c r="AC111" s="39"/>
      <c r="AD111" s="39"/>
      <c r="AE111" s="39"/>
      <c r="AF111" s="39"/>
      <c r="AG111" s="39"/>
      <c r="AH111" s="39">
        <f t="shared" ref="AH111:AH118" si="22">SUM(C111:AG111)</f>
        <v>1754.5849999999996</v>
      </c>
    </row>
    <row r="112" spans="1:36" ht="15">
      <c r="A112" s="111" t="s">
        <v>78</v>
      </c>
      <c r="B112" s="52">
        <f t="shared" si="21"/>
        <v>304.31700000000001</v>
      </c>
      <c r="C112" s="1268"/>
      <c r="D112" s="1268"/>
      <c r="E112" s="1268"/>
      <c r="F112" s="1268"/>
      <c r="G112" s="1268"/>
      <c r="H112" s="1091"/>
      <c r="I112" s="1091"/>
      <c r="J112" s="1091"/>
      <c r="K112" s="1091"/>
      <c r="L112" s="1091"/>
      <c r="M112" s="1091"/>
      <c r="N112" s="1091"/>
      <c r="O112" s="1091"/>
      <c r="P112" s="1091"/>
      <c r="Q112" s="1091"/>
      <c r="R112" s="1091"/>
      <c r="S112" s="1091"/>
      <c r="T112" s="1091"/>
      <c r="U112" s="1091">
        <v>3.7189999999999999</v>
      </c>
      <c r="V112" s="1091">
        <v>0</v>
      </c>
      <c r="W112" s="1091">
        <v>0</v>
      </c>
      <c r="X112" s="1091">
        <v>0</v>
      </c>
      <c r="Y112" s="1268">
        <v>185.048</v>
      </c>
      <c r="Z112" s="1268">
        <v>55.13</v>
      </c>
      <c r="AA112" s="1268">
        <v>60.42</v>
      </c>
      <c r="AB112" s="1268">
        <v>0</v>
      </c>
      <c r="AC112" s="1268">
        <v>0</v>
      </c>
      <c r="AD112" s="1268">
        <v>0</v>
      </c>
      <c r="AE112" s="1268">
        <v>0</v>
      </c>
      <c r="AF112" s="1268">
        <v>0</v>
      </c>
      <c r="AG112" s="1268"/>
      <c r="AH112" s="39">
        <f t="shared" si="22"/>
        <v>304.31700000000001</v>
      </c>
    </row>
    <row r="113" spans="1:36" ht="15">
      <c r="A113" s="111" t="s">
        <v>79</v>
      </c>
      <c r="B113" s="52">
        <f t="shared" si="21"/>
        <v>1276.279</v>
      </c>
      <c r="C113" s="1091"/>
      <c r="D113" s="1268"/>
      <c r="E113" s="1268"/>
      <c r="F113" s="1268"/>
      <c r="G113" s="1091">
        <v>24.335999999999999</v>
      </c>
      <c r="H113" s="1091">
        <v>90.234999999999999</v>
      </c>
      <c r="I113" s="1091"/>
      <c r="J113" s="1091">
        <v>309.392</v>
      </c>
      <c r="K113" s="1091">
        <v>151.501</v>
      </c>
      <c r="L113" s="1091">
        <v>185.50399999999999</v>
      </c>
      <c r="M113" s="1091">
        <v>90.763000000000005</v>
      </c>
      <c r="N113" s="1091">
        <v>0</v>
      </c>
      <c r="O113" s="1091">
        <v>0</v>
      </c>
      <c r="P113" s="1091">
        <v>0</v>
      </c>
      <c r="Q113" s="1091">
        <v>0</v>
      </c>
      <c r="R113" s="1091">
        <v>0</v>
      </c>
      <c r="S113" s="1091">
        <v>0</v>
      </c>
      <c r="T113" s="1091">
        <v>90.165000000000006</v>
      </c>
      <c r="U113" s="1091">
        <v>189.364</v>
      </c>
      <c r="V113" s="1091">
        <v>104.40600000000001</v>
      </c>
      <c r="W113" s="1084">
        <v>40.613</v>
      </c>
      <c r="X113" s="1084"/>
      <c r="Y113" s="1974"/>
      <c r="Z113" s="1974"/>
      <c r="AA113" s="1974"/>
      <c r="AB113" s="1974"/>
      <c r="AC113" s="1974"/>
      <c r="AD113" s="1974"/>
      <c r="AE113" s="1974"/>
      <c r="AF113" s="65" t="s">
        <v>110</v>
      </c>
      <c r="AG113" s="65" t="s">
        <v>110</v>
      </c>
      <c r="AH113" s="39">
        <f t="shared" si="22"/>
        <v>1276.279</v>
      </c>
    </row>
    <row r="114" spans="1:36" ht="15">
      <c r="A114" s="111" t="s">
        <v>80</v>
      </c>
      <c r="B114" s="52">
        <f t="shared" si="21"/>
        <v>0</v>
      </c>
      <c r="C114" s="65" t="s">
        <v>110</v>
      </c>
      <c r="D114" s="65" t="s">
        <v>110</v>
      </c>
      <c r="E114" s="65" t="s">
        <v>110</v>
      </c>
      <c r="F114" s="65" t="s">
        <v>110</v>
      </c>
      <c r="G114" s="65" t="s">
        <v>110</v>
      </c>
      <c r="H114" s="65" t="s">
        <v>110</v>
      </c>
      <c r="I114" s="65" t="s">
        <v>110</v>
      </c>
      <c r="J114" s="65" t="s">
        <v>110</v>
      </c>
      <c r="K114" s="65" t="s">
        <v>110</v>
      </c>
      <c r="L114" s="65" t="s">
        <v>110</v>
      </c>
      <c r="M114" s="65" t="s">
        <v>110</v>
      </c>
      <c r="N114" s="65" t="s">
        <v>110</v>
      </c>
      <c r="O114" s="65" t="s">
        <v>110</v>
      </c>
      <c r="P114" s="65" t="s">
        <v>110</v>
      </c>
      <c r="Q114" s="65" t="s">
        <v>110</v>
      </c>
      <c r="R114" s="65" t="s">
        <v>110</v>
      </c>
      <c r="S114" s="65" t="s">
        <v>110</v>
      </c>
      <c r="T114" s="65" t="s">
        <v>110</v>
      </c>
      <c r="U114" s="65" t="s">
        <v>110</v>
      </c>
      <c r="V114" s="65" t="s">
        <v>110</v>
      </c>
      <c r="W114" s="65" t="s">
        <v>110</v>
      </c>
      <c r="X114" s="65" t="s">
        <v>110</v>
      </c>
      <c r="Y114" s="65" t="s">
        <v>110</v>
      </c>
      <c r="Z114" s="65" t="s">
        <v>110</v>
      </c>
      <c r="AA114" s="65" t="s">
        <v>110</v>
      </c>
      <c r="AB114" s="65" t="s">
        <v>110</v>
      </c>
      <c r="AC114" s="65" t="s">
        <v>110</v>
      </c>
      <c r="AD114" s="65" t="s">
        <v>110</v>
      </c>
      <c r="AE114" s="65" t="s">
        <v>110</v>
      </c>
      <c r="AF114" s="65" t="s">
        <v>110</v>
      </c>
      <c r="AG114" s="65" t="s">
        <v>110</v>
      </c>
      <c r="AH114" s="39">
        <f t="shared" si="22"/>
        <v>0</v>
      </c>
    </row>
    <row r="115" spans="1:36" ht="15">
      <c r="A115" s="109" t="s">
        <v>81</v>
      </c>
      <c r="B115" s="52">
        <f t="shared" si="21"/>
        <v>0</v>
      </c>
      <c r="C115" s="65" t="s">
        <v>110</v>
      </c>
      <c r="D115" s="65" t="s">
        <v>110</v>
      </c>
      <c r="E115" s="65" t="s">
        <v>110</v>
      </c>
      <c r="F115" s="65" t="s">
        <v>110</v>
      </c>
      <c r="G115" s="65" t="s">
        <v>110</v>
      </c>
      <c r="H115" s="65" t="s">
        <v>110</v>
      </c>
      <c r="I115" s="65" t="s">
        <v>110</v>
      </c>
      <c r="J115" s="65" t="s">
        <v>110</v>
      </c>
      <c r="K115" s="65" t="s">
        <v>110</v>
      </c>
      <c r="L115" s="65" t="s">
        <v>110</v>
      </c>
      <c r="M115" s="65" t="s">
        <v>110</v>
      </c>
      <c r="N115" s="65" t="s">
        <v>110</v>
      </c>
      <c r="O115" s="65" t="s">
        <v>110</v>
      </c>
      <c r="P115" s="65" t="s">
        <v>110</v>
      </c>
      <c r="Q115" s="65" t="s">
        <v>110</v>
      </c>
      <c r="R115" s="65" t="s">
        <v>110</v>
      </c>
      <c r="S115" s="65" t="s">
        <v>110</v>
      </c>
      <c r="T115" s="65" t="s">
        <v>110</v>
      </c>
      <c r="U115" s="65" t="s">
        <v>110</v>
      </c>
      <c r="V115" s="65" t="s">
        <v>110</v>
      </c>
      <c r="W115" s="65" t="s">
        <v>110</v>
      </c>
      <c r="X115" s="65" t="s">
        <v>110</v>
      </c>
      <c r="Y115" s="65" t="s">
        <v>110</v>
      </c>
      <c r="Z115" s="65" t="s">
        <v>110</v>
      </c>
      <c r="AA115" s="65" t="s">
        <v>110</v>
      </c>
      <c r="AB115" s="65" t="s">
        <v>110</v>
      </c>
      <c r="AC115" s="65" t="s">
        <v>110</v>
      </c>
      <c r="AD115" s="65" t="s">
        <v>110</v>
      </c>
      <c r="AE115" s="65" t="s">
        <v>110</v>
      </c>
      <c r="AF115" s="65" t="s">
        <v>110</v>
      </c>
      <c r="AG115" s="65" t="s">
        <v>110</v>
      </c>
      <c r="AH115" s="39">
        <f t="shared" si="22"/>
        <v>0</v>
      </c>
    </row>
    <row r="116" spans="1:36" ht="15">
      <c r="A116" s="109" t="s">
        <v>82</v>
      </c>
      <c r="B116" s="52">
        <f t="shared" si="21"/>
        <v>1332.37</v>
      </c>
      <c r="C116" s="65" t="s">
        <v>110</v>
      </c>
      <c r="D116" s="65" t="s">
        <v>110</v>
      </c>
      <c r="E116" s="65" t="s">
        <v>110</v>
      </c>
      <c r="F116" s="65" t="s">
        <v>110</v>
      </c>
      <c r="G116" s="65" t="s">
        <v>110</v>
      </c>
      <c r="H116" s="65" t="s">
        <v>110</v>
      </c>
      <c r="I116" s="65" t="s">
        <v>110</v>
      </c>
      <c r="J116" s="65" t="s">
        <v>110</v>
      </c>
      <c r="K116" s="65" t="s">
        <v>110</v>
      </c>
      <c r="L116" s="65" t="s">
        <v>110</v>
      </c>
      <c r="M116" s="65" t="s">
        <v>110</v>
      </c>
      <c r="N116" s="65" t="s">
        <v>110</v>
      </c>
      <c r="O116" s="65" t="s">
        <v>110</v>
      </c>
      <c r="P116" s="65" t="s">
        <v>110</v>
      </c>
      <c r="Q116" s="65" t="s">
        <v>110</v>
      </c>
      <c r="R116" s="65" t="s">
        <v>110</v>
      </c>
      <c r="S116" s="65" t="s">
        <v>110</v>
      </c>
      <c r="T116" s="65" t="s">
        <v>110</v>
      </c>
      <c r="U116" s="65" t="s">
        <v>110</v>
      </c>
      <c r="V116" s="65" t="s">
        <v>110</v>
      </c>
      <c r="W116" s="65" t="s">
        <v>110</v>
      </c>
      <c r="X116" s="1091">
        <v>144.08000000000001</v>
      </c>
      <c r="Y116" s="1091">
        <v>524.64</v>
      </c>
      <c r="Z116" s="1091">
        <v>426.70499999999998</v>
      </c>
      <c r="AA116" s="1091">
        <v>236.94499999999999</v>
      </c>
      <c r="AB116" s="1091"/>
      <c r="AC116" s="1091"/>
      <c r="AD116" s="1091"/>
      <c r="AE116" s="1268"/>
      <c r="AF116" s="1091"/>
      <c r="AG116" s="1268"/>
      <c r="AH116" s="39">
        <f t="shared" si="22"/>
        <v>1332.37</v>
      </c>
    </row>
    <row r="117" spans="1:36" ht="15">
      <c r="A117" s="109" t="s">
        <v>83</v>
      </c>
      <c r="B117" s="52">
        <f t="shared" si="21"/>
        <v>1475.4139999999998</v>
      </c>
      <c r="C117" s="1091"/>
      <c r="D117" s="1091"/>
      <c r="E117" s="1091"/>
      <c r="F117" s="1091"/>
      <c r="G117" s="1091">
        <v>273.76499999999999</v>
      </c>
      <c r="H117" s="1091">
        <v>59.204999999999998</v>
      </c>
      <c r="I117" s="1091">
        <v>53.48</v>
      </c>
      <c r="J117" s="1091">
        <v>292.983</v>
      </c>
      <c r="K117" s="1091">
        <v>114.693</v>
      </c>
      <c r="L117" s="1091">
        <v>232.375</v>
      </c>
      <c r="M117" s="1091">
        <v>131.684</v>
      </c>
      <c r="N117" s="1091">
        <v>60.389000000000003</v>
      </c>
      <c r="O117" s="1091">
        <v>37.774999999999999</v>
      </c>
      <c r="P117" s="1091">
        <v>51.3</v>
      </c>
      <c r="Q117" s="1091">
        <v>131.965</v>
      </c>
      <c r="R117" s="1091">
        <v>35.799999999999997</v>
      </c>
      <c r="S117" s="1091"/>
      <c r="T117" s="1091"/>
      <c r="U117" s="1091"/>
      <c r="V117" s="1091"/>
      <c r="W117" s="1091"/>
      <c r="X117" s="1091"/>
      <c r="Y117" s="1091"/>
      <c r="Z117" s="1091"/>
      <c r="AA117" s="1091"/>
      <c r="AB117" s="1091"/>
      <c r="AC117" s="1091"/>
      <c r="AD117" s="1091"/>
      <c r="AE117" s="1268"/>
      <c r="AF117" s="1091"/>
      <c r="AG117" s="1268"/>
      <c r="AH117" s="39">
        <f t="shared" si="22"/>
        <v>1475.4139999999998</v>
      </c>
    </row>
    <row r="118" spans="1:36" ht="15">
      <c r="A118" s="109" t="s">
        <v>84</v>
      </c>
      <c r="B118" s="52">
        <f t="shared" si="21"/>
        <v>0</v>
      </c>
      <c r="C118" s="1091"/>
      <c r="D118" s="1091"/>
      <c r="E118" s="1091"/>
      <c r="F118" s="1091"/>
      <c r="G118" s="1091"/>
      <c r="H118" s="1091"/>
      <c r="I118" s="1091"/>
      <c r="J118" s="1091"/>
      <c r="K118" s="1091"/>
      <c r="L118" s="1091"/>
      <c r="M118" s="1091"/>
      <c r="N118" s="1091"/>
      <c r="O118" s="1091"/>
      <c r="P118" s="1091"/>
      <c r="Q118" s="1091"/>
      <c r="R118" s="1091"/>
      <c r="S118" s="1091"/>
      <c r="T118" s="1091"/>
      <c r="U118" s="1091"/>
      <c r="V118" s="1091"/>
      <c r="W118" s="1091"/>
      <c r="X118" s="1091"/>
      <c r="Y118" s="1091"/>
      <c r="Z118" s="1091"/>
      <c r="AA118" s="1091"/>
      <c r="AB118" s="1091"/>
      <c r="AC118" s="1091"/>
      <c r="AD118" s="1091"/>
      <c r="AE118" s="1091"/>
      <c r="AF118" s="1091"/>
      <c r="AG118" s="1091"/>
      <c r="AH118" s="39">
        <f t="shared" si="22"/>
        <v>0</v>
      </c>
    </row>
    <row r="119" spans="1:36" ht="15">
      <c r="A119" s="71" t="s">
        <v>72</v>
      </c>
      <c r="B119" s="103">
        <f>SUM(B107:B118)</f>
        <v>17982.734</v>
      </c>
      <c r="C119" s="32">
        <f>SUM(C107:C117)</f>
        <v>452.66300000000001</v>
      </c>
      <c r="D119" s="39">
        <f>SUM(D107:D117)</f>
        <v>122.559</v>
      </c>
      <c r="E119" s="39">
        <v>0</v>
      </c>
      <c r="F119" s="39">
        <f t="shared" ref="F119:AC119" si="23">SUM(F107:F117)</f>
        <v>522.50700000000006</v>
      </c>
      <c r="G119" s="39">
        <f t="shared" si="23"/>
        <v>981.41600000000005</v>
      </c>
      <c r="H119" s="39">
        <f t="shared" si="23"/>
        <v>983.38000000000011</v>
      </c>
      <c r="I119" s="39">
        <f t="shared" si="23"/>
        <v>723.80500000000006</v>
      </c>
      <c r="J119" s="39">
        <f t="shared" si="23"/>
        <v>1399.902</v>
      </c>
      <c r="K119" s="39">
        <f t="shared" si="23"/>
        <v>791.86799999999994</v>
      </c>
      <c r="L119" s="39">
        <f t="shared" si="23"/>
        <v>1304.3579999999999</v>
      </c>
      <c r="M119" s="39">
        <f t="shared" si="23"/>
        <v>1161.5809999999999</v>
      </c>
      <c r="N119" s="39">
        <f t="shared" si="23"/>
        <v>606.79300000000001</v>
      </c>
      <c r="O119" s="39">
        <f t="shared" si="23"/>
        <v>415.14899999999994</v>
      </c>
      <c r="P119" s="39">
        <f t="shared" si="23"/>
        <v>451.72399999999999</v>
      </c>
      <c r="Q119" s="39">
        <f t="shared" si="23"/>
        <v>642.65800000000002</v>
      </c>
      <c r="R119" s="39">
        <f t="shared" si="23"/>
        <v>490.07099999999997</v>
      </c>
      <c r="S119" s="39">
        <f t="shared" si="23"/>
        <v>635.25300000000004</v>
      </c>
      <c r="T119" s="39">
        <f t="shared" si="23"/>
        <v>444.97200000000004</v>
      </c>
      <c r="U119" s="39">
        <f t="shared" si="23"/>
        <v>559.86199999999997</v>
      </c>
      <c r="V119" s="39">
        <f t="shared" si="23"/>
        <v>434.94299999999998</v>
      </c>
      <c r="W119" s="39">
        <f t="shared" si="23"/>
        <v>243.87899999999999</v>
      </c>
      <c r="X119" s="39">
        <f t="shared" si="23"/>
        <v>243.05500000000001</v>
      </c>
      <c r="Y119" s="39">
        <f t="shared" si="23"/>
        <v>873.96299999999997</v>
      </c>
      <c r="Z119" s="39">
        <f t="shared" si="23"/>
        <v>1026.229</v>
      </c>
      <c r="AA119" s="39">
        <f t="shared" si="23"/>
        <v>788.875</v>
      </c>
      <c r="AB119" s="39">
        <f t="shared" si="23"/>
        <v>347.16</v>
      </c>
      <c r="AC119" s="39">
        <f t="shared" si="23"/>
        <v>389.01</v>
      </c>
      <c r="AD119" s="39">
        <v>0</v>
      </c>
      <c r="AE119" s="39">
        <f>SUM(AE107:AE117)</f>
        <v>0</v>
      </c>
      <c r="AF119" s="39">
        <f>SUM(AF107:AF117)</f>
        <v>0</v>
      </c>
      <c r="AG119" s="39">
        <f>SUM(AG107:AG117)</f>
        <v>0</v>
      </c>
      <c r="AH119" s="32">
        <f>SUM(AH107:AH117)</f>
        <v>17982.734</v>
      </c>
    </row>
    <row r="120" spans="1:36" ht="5.0999999999999996" customHeight="1">
      <c r="A120" s="36"/>
      <c r="B120" s="37"/>
      <c r="C120" s="13"/>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13"/>
    </row>
    <row r="121" spans="1:36" ht="15">
      <c r="A121" s="3811" t="s">
        <v>124</v>
      </c>
      <c r="B121" s="3812"/>
      <c r="C121" s="3812"/>
      <c r="D121" s="3812"/>
      <c r="E121" s="3812"/>
      <c r="F121" s="3812"/>
      <c r="G121" s="3812"/>
      <c r="H121" s="3813"/>
      <c r="I121" s="1262"/>
      <c r="J121" s="29"/>
      <c r="K121" s="29"/>
      <c r="L121" s="29"/>
      <c r="M121" s="29"/>
      <c r="N121" s="29"/>
      <c r="O121" s="29"/>
      <c r="P121" s="29"/>
      <c r="Q121" s="29"/>
      <c r="R121" s="29"/>
      <c r="S121" s="11"/>
      <c r="T121" s="11"/>
      <c r="U121" s="11"/>
      <c r="V121" s="11"/>
      <c r="W121" s="11"/>
      <c r="X121" s="11"/>
      <c r="Y121" s="11"/>
      <c r="Z121" s="11"/>
      <c r="AA121" s="11"/>
      <c r="AB121" s="11"/>
      <c r="AC121" s="11"/>
      <c r="AD121" s="11"/>
      <c r="AE121" s="11"/>
      <c r="AF121" s="11"/>
      <c r="AG121" s="11"/>
      <c r="AH121" s="11"/>
    </row>
    <row r="122" spans="1:36" ht="15">
      <c r="A122" s="5" t="s">
        <v>70</v>
      </c>
      <c r="B122" s="5" t="s">
        <v>71</v>
      </c>
      <c r="C122" s="1039">
        <v>1</v>
      </c>
      <c r="D122" s="21">
        <v>2</v>
      </c>
      <c r="E122" s="21">
        <v>3</v>
      </c>
      <c r="F122" s="21">
        <v>4</v>
      </c>
      <c r="G122" s="21">
        <v>5</v>
      </c>
      <c r="H122" s="21">
        <v>6</v>
      </c>
      <c r="I122" s="21">
        <v>7</v>
      </c>
      <c r="J122" s="21">
        <v>8</v>
      </c>
      <c r="K122" s="21">
        <v>9</v>
      </c>
      <c r="L122" s="21">
        <v>10</v>
      </c>
      <c r="M122" s="21">
        <v>11</v>
      </c>
      <c r="N122" s="21">
        <v>12</v>
      </c>
      <c r="O122" s="21">
        <v>13</v>
      </c>
      <c r="P122" s="21">
        <v>14</v>
      </c>
      <c r="Q122" s="21">
        <v>15</v>
      </c>
      <c r="R122" s="21">
        <v>16</v>
      </c>
      <c r="S122" s="21">
        <v>17</v>
      </c>
      <c r="T122" s="21">
        <v>18</v>
      </c>
      <c r="U122" s="21">
        <v>19</v>
      </c>
      <c r="V122" s="21">
        <v>20</v>
      </c>
      <c r="W122" s="21">
        <v>21</v>
      </c>
      <c r="X122" s="21">
        <v>22</v>
      </c>
      <c r="Y122" s="21">
        <v>23</v>
      </c>
      <c r="Z122" s="21">
        <v>24</v>
      </c>
      <c r="AA122" s="21">
        <v>25</v>
      </c>
      <c r="AB122" s="21">
        <v>26</v>
      </c>
      <c r="AC122" s="21">
        <v>27</v>
      </c>
      <c r="AD122" s="21">
        <v>28</v>
      </c>
      <c r="AE122" s="21">
        <v>29</v>
      </c>
      <c r="AF122" s="21">
        <v>30</v>
      </c>
      <c r="AG122" s="21">
        <v>31</v>
      </c>
      <c r="AH122" s="25" t="s">
        <v>72</v>
      </c>
      <c r="AI122" s="2266" t="s">
        <v>1345</v>
      </c>
      <c r="AJ122" s="66">
        <f>(B135/COUNTIF($C$123:$AG$134,"&gt;0"))</f>
        <v>92.694236842105269</v>
      </c>
    </row>
    <row r="123" spans="1:36" ht="15">
      <c r="A123" s="120" t="s">
        <v>73</v>
      </c>
      <c r="B123" s="15">
        <f t="shared" ref="B123:B134" si="24">+AH123</f>
        <v>0</v>
      </c>
      <c r="C123" s="107" t="s">
        <v>109</v>
      </c>
      <c r="D123" s="107" t="s">
        <v>109</v>
      </c>
      <c r="E123" s="107" t="s">
        <v>109</v>
      </c>
      <c r="F123" s="107" t="s">
        <v>109</v>
      </c>
      <c r="G123" s="107" t="s">
        <v>109</v>
      </c>
      <c r="H123" s="107" t="s">
        <v>109</v>
      </c>
      <c r="I123" s="107" t="s">
        <v>109</v>
      </c>
      <c r="J123" s="107" t="s">
        <v>109</v>
      </c>
      <c r="K123" s="107" t="s">
        <v>109</v>
      </c>
      <c r="L123" s="107" t="s">
        <v>109</v>
      </c>
      <c r="M123" s="107" t="s">
        <v>109</v>
      </c>
      <c r="N123" s="107" t="s">
        <v>109</v>
      </c>
      <c r="O123" s="107" t="s">
        <v>109</v>
      </c>
      <c r="P123" s="107" t="s">
        <v>109</v>
      </c>
      <c r="Q123" s="107" t="s">
        <v>109</v>
      </c>
      <c r="R123" s="107" t="s">
        <v>109</v>
      </c>
      <c r="S123" s="107" t="s">
        <v>109</v>
      </c>
      <c r="T123" s="107" t="s">
        <v>109</v>
      </c>
      <c r="U123" s="107" t="s">
        <v>109</v>
      </c>
      <c r="V123" s="107" t="s">
        <v>109</v>
      </c>
      <c r="W123" s="107" t="s">
        <v>109</v>
      </c>
      <c r="X123" s="107" t="s">
        <v>109</v>
      </c>
      <c r="Y123" s="107" t="s">
        <v>109</v>
      </c>
      <c r="Z123" s="107" t="s">
        <v>109</v>
      </c>
      <c r="AA123" s="107" t="s">
        <v>109</v>
      </c>
      <c r="AB123" s="107" t="s">
        <v>109</v>
      </c>
      <c r="AC123" s="107" t="s">
        <v>109</v>
      </c>
      <c r="AD123" s="107" t="s">
        <v>109</v>
      </c>
      <c r="AE123" s="107" t="s">
        <v>109</v>
      </c>
      <c r="AF123" s="107" t="s">
        <v>109</v>
      </c>
      <c r="AG123" s="107" t="s">
        <v>109</v>
      </c>
      <c r="AH123" s="39">
        <f>SUM(C123:AG123)</f>
        <v>0</v>
      </c>
      <c r="AJ123" s="66">
        <f>+'Resumen RAE S.Común'!G222</f>
        <v>0.62800000000015643</v>
      </c>
    </row>
    <row r="124" spans="1:36" ht="15">
      <c r="A124" s="120" t="s">
        <v>74</v>
      </c>
      <c r="B124" s="15">
        <f t="shared" si="24"/>
        <v>1740.2060000000001</v>
      </c>
      <c r="C124" s="107" t="s">
        <v>109</v>
      </c>
      <c r="D124" s="107" t="s">
        <v>109</v>
      </c>
      <c r="E124" s="107" t="s">
        <v>109</v>
      </c>
      <c r="F124" s="107" t="s">
        <v>109</v>
      </c>
      <c r="G124" s="107" t="s">
        <v>109</v>
      </c>
      <c r="H124" s="107" t="s">
        <v>109</v>
      </c>
      <c r="I124" s="107" t="s">
        <v>109</v>
      </c>
      <c r="J124" s="108">
        <v>0</v>
      </c>
      <c r="K124" s="108">
        <v>0</v>
      </c>
      <c r="L124" s="108">
        <v>0</v>
      </c>
      <c r="M124" s="108">
        <v>0</v>
      </c>
      <c r="N124" s="108">
        <v>0</v>
      </c>
      <c r="O124" s="108">
        <v>0</v>
      </c>
      <c r="P124" s="108">
        <v>0</v>
      </c>
      <c r="Q124" s="108">
        <v>0</v>
      </c>
      <c r="R124" s="108">
        <v>51.923999999999999</v>
      </c>
      <c r="S124" s="108">
        <v>122.739</v>
      </c>
      <c r="T124" s="108">
        <v>121.57599999999999</v>
      </c>
      <c r="U124" s="108">
        <v>202.56100000000001</v>
      </c>
      <c r="V124" s="108">
        <v>37.314</v>
      </c>
      <c r="W124" s="108">
        <v>156.952</v>
      </c>
      <c r="X124" s="108">
        <v>110.473</v>
      </c>
      <c r="Y124" s="108">
        <v>0</v>
      </c>
      <c r="Z124" s="108">
        <v>264.346</v>
      </c>
      <c r="AA124" s="108">
        <v>177.32400000000001</v>
      </c>
      <c r="AB124" s="108">
        <v>137.12799999999999</v>
      </c>
      <c r="AC124" s="108">
        <v>129.52699999999999</v>
      </c>
      <c r="AD124" s="108">
        <v>228.34200000000001</v>
      </c>
      <c r="AE124" s="108"/>
      <c r="AF124" s="108"/>
      <c r="AG124" s="108"/>
      <c r="AH124" s="39">
        <f>SUM(C124:AG124)</f>
        <v>1740.2060000000001</v>
      </c>
      <c r="AJ124" s="1093">
        <f>+AJ123/AJ122</f>
        <v>6.774962731176992E-3</v>
      </c>
    </row>
    <row r="125" spans="1:36" ht="15">
      <c r="A125" s="120" t="s">
        <v>75</v>
      </c>
      <c r="B125" s="15">
        <f t="shared" si="24"/>
        <v>1415.1689999999999</v>
      </c>
      <c r="C125" s="108">
        <v>148.108</v>
      </c>
      <c r="D125" s="108">
        <v>0</v>
      </c>
      <c r="E125" s="108">
        <v>187.83</v>
      </c>
      <c r="F125" s="108">
        <v>171.98500000000001</v>
      </c>
      <c r="G125" s="108">
        <v>182.39500000000001</v>
      </c>
      <c r="H125" s="94">
        <v>95.043999999999997</v>
      </c>
      <c r="I125" s="94">
        <v>172.613</v>
      </c>
      <c r="J125" s="94">
        <v>56.244</v>
      </c>
      <c r="K125" s="94">
        <v>0</v>
      </c>
      <c r="L125" s="94">
        <v>142.58000000000001</v>
      </c>
      <c r="M125" s="94">
        <v>132.38999999999999</v>
      </c>
      <c r="N125" s="94">
        <v>125.98</v>
      </c>
      <c r="O125" s="94">
        <v>0</v>
      </c>
      <c r="P125" s="94">
        <v>0</v>
      </c>
      <c r="Q125" s="94">
        <v>0</v>
      </c>
      <c r="R125" s="94">
        <v>0</v>
      </c>
      <c r="S125" s="15">
        <v>0</v>
      </c>
      <c r="T125" s="15">
        <v>0</v>
      </c>
      <c r="U125" s="15">
        <v>0</v>
      </c>
      <c r="V125" s="15">
        <v>0</v>
      </c>
      <c r="W125" s="15"/>
      <c r="X125" s="15"/>
      <c r="Y125" s="15"/>
      <c r="Z125" s="15"/>
      <c r="AA125" s="15"/>
      <c r="AB125" s="15"/>
      <c r="AC125" s="1689"/>
      <c r="AD125" s="1689"/>
      <c r="AE125" s="1689"/>
      <c r="AF125" s="1689"/>
      <c r="AG125" s="1689"/>
      <c r="AH125" s="39">
        <f>SUM(C125:AG125)</f>
        <v>1415.1689999999999</v>
      </c>
    </row>
    <row r="126" spans="1:36" ht="15">
      <c r="A126" s="120" t="s">
        <v>76</v>
      </c>
      <c r="B126" s="15">
        <f t="shared" si="24"/>
        <v>899.81700000000001</v>
      </c>
      <c r="C126" s="2480">
        <v>0</v>
      </c>
      <c r="D126" s="2480">
        <v>0</v>
      </c>
      <c r="E126" s="2480">
        <v>0</v>
      </c>
      <c r="F126" s="2480">
        <v>0</v>
      </c>
      <c r="G126" s="2480">
        <v>56.34</v>
      </c>
      <c r="H126" s="2480">
        <v>0</v>
      </c>
      <c r="I126" s="2480">
        <v>0</v>
      </c>
      <c r="J126" s="2480">
        <v>0</v>
      </c>
      <c r="K126" s="2480">
        <v>0</v>
      </c>
      <c r="L126" s="2481">
        <v>64.319999999999993</v>
      </c>
      <c r="M126" s="2481">
        <v>0</v>
      </c>
      <c r="N126" s="2481">
        <v>64.040000000000006</v>
      </c>
      <c r="O126" s="2481">
        <v>0</v>
      </c>
      <c r="P126" s="2481">
        <v>46.109000000000002</v>
      </c>
      <c r="Q126" s="2481">
        <v>4.7249999999999996</v>
      </c>
      <c r="R126" s="2481">
        <v>0</v>
      </c>
      <c r="S126" s="1091">
        <v>0</v>
      </c>
      <c r="T126" s="1091">
        <v>0</v>
      </c>
      <c r="U126" s="1091">
        <v>0</v>
      </c>
      <c r="V126" s="1091">
        <v>0</v>
      </c>
      <c r="W126" s="1091">
        <v>73.998999999999995</v>
      </c>
      <c r="X126" s="1091">
        <v>125.66800000000001</v>
      </c>
      <c r="Y126" s="1091">
        <v>189.411</v>
      </c>
      <c r="Z126" s="1091">
        <v>25.64</v>
      </c>
      <c r="AA126" s="1091">
        <v>0</v>
      </c>
      <c r="AB126" s="1091">
        <v>0</v>
      </c>
      <c r="AC126" s="1091">
        <v>0</v>
      </c>
      <c r="AD126" s="1091">
        <v>184.71700000000001</v>
      </c>
      <c r="AE126" s="1091">
        <v>64.847999999999999</v>
      </c>
      <c r="AF126" s="1091"/>
      <c r="AG126" s="1091"/>
      <c r="AH126" s="39">
        <f t="shared" ref="AH126:AH134" si="25">SUM(C126:AG126)</f>
        <v>899.81700000000001</v>
      </c>
    </row>
    <row r="127" spans="1:36" ht="15">
      <c r="A127" s="111" t="s">
        <v>77</v>
      </c>
      <c r="B127" s="15">
        <f t="shared" si="24"/>
        <v>733.24699999999996</v>
      </c>
      <c r="C127" s="1091">
        <v>0</v>
      </c>
      <c r="D127" s="1091">
        <v>0</v>
      </c>
      <c r="E127" s="1091">
        <v>0</v>
      </c>
      <c r="F127" s="1091">
        <v>0</v>
      </c>
      <c r="G127" s="1091">
        <v>0</v>
      </c>
      <c r="H127" s="1091">
        <v>0</v>
      </c>
      <c r="I127" s="1091">
        <v>0</v>
      </c>
      <c r="J127" s="1091">
        <v>102.895</v>
      </c>
      <c r="K127" s="1091">
        <v>96.781999999999996</v>
      </c>
      <c r="L127" s="1091">
        <v>53.845999999999997</v>
      </c>
      <c r="M127" s="1091">
        <v>0</v>
      </c>
      <c r="N127" s="1091">
        <v>39.317</v>
      </c>
      <c r="O127" s="1091">
        <v>0</v>
      </c>
      <c r="P127" s="1091">
        <v>0</v>
      </c>
      <c r="Q127" s="1091">
        <v>0</v>
      </c>
      <c r="R127" s="1091">
        <v>66.820999999999998</v>
      </c>
      <c r="S127" s="1091">
        <v>80.822999999999993</v>
      </c>
      <c r="T127" s="1091">
        <v>0</v>
      </c>
      <c r="U127" s="1091">
        <v>0</v>
      </c>
      <c r="V127" s="1091">
        <v>27.350999999999999</v>
      </c>
      <c r="W127" s="1091">
        <v>76.045000000000002</v>
      </c>
      <c r="X127" s="1091">
        <v>95.542000000000002</v>
      </c>
      <c r="Y127" s="1091">
        <v>52.927</v>
      </c>
      <c r="Z127" s="1091">
        <v>40.898000000000003</v>
      </c>
      <c r="AA127" s="1091">
        <v>0</v>
      </c>
      <c r="AB127" s="1091">
        <v>0</v>
      </c>
      <c r="AC127" s="1091"/>
      <c r="AD127" s="1091"/>
      <c r="AE127" s="1091"/>
      <c r="AF127" s="1091"/>
      <c r="AG127" s="1091"/>
      <c r="AH127" s="39">
        <f t="shared" si="25"/>
        <v>733.24699999999996</v>
      </c>
    </row>
    <row r="128" spans="1:36" ht="15">
      <c r="A128" s="111" t="s">
        <v>78</v>
      </c>
      <c r="B128" s="15">
        <f t="shared" si="24"/>
        <v>352.98200000000008</v>
      </c>
      <c r="C128" s="1091"/>
      <c r="D128" s="1091"/>
      <c r="E128" s="1091"/>
      <c r="F128" s="1091"/>
      <c r="G128" s="1091"/>
      <c r="H128" s="1091">
        <v>73.81</v>
      </c>
      <c r="I128" s="1091">
        <v>0</v>
      </c>
      <c r="J128" s="1091">
        <v>0</v>
      </c>
      <c r="K128" s="1091">
        <v>0</v>
      </c>
      <c r="L128" s="1091">
        <v>0</v>
      </c>
      <c r="M128" s="1091">
        <v>0</v>
      </c>
      <c r="N128" s="1091">
        <v>0</v>
      </c>
      <c r="O128" s="1091">
        <v>0</v>
      </c>
      <c r="P128" s="1091">
        <v>0</v>
      </c>
      <c r="Q128" s="1091">
        <v>0</v>
      </c>
      <c r="R128" s="1091">
        <v>0</v>
      </c>
      <c r="S128" s="1091">
        <v>0</v>
      </c>
      <c r="T128" s="1091">
        <v>52.139000000000003</v>
      </c>
      <c r="U128" s="1091">
        <v>0</v>
      </c>
      <c r="V128" s="1091">
        <v>98.48</v>
      </c>
      <c r="W128" s="1091">
        <v>0</v>
      </c>
      <c r="X128" s="1091">
        <v>0</v>
      </c>
      <c r="Y128" s="1091">
        <v>56.8</v>
      </c>
      <c r="Z128" s="1091">
        <v>0</v>
      </c>
      <c r="AA128" s="1091">
        <v>54.24</v>
      </c>
      <c r="AB128" s="1091">
        <v>14.98</v>
      </c>
      <c r="AC128" s="1091">
        <v>0</v>
      </c>
      <c r="AD128" s="1091">
        <v>0</v>
      </c>
      <c r="AE128" s="1091">
        <v>0</v>
      </c>
      <c r="AF128" s="1091">
        <v>2.5329999999999999</v>
      </c>
      <c r="AG128" s="1091"/>
      <c r="AH128" s="39">
        <f t="shared" si="25"/>
        <v>352.98200000000008</v>
      </c>
    </row>
    <row r="129" spans="1:36" ht="15">
      <c r="A129" s="111" t="s">
        <v>79</v>
      </c>
      <c r="B129" s="15">
        <f t="shared" si="24"/>
        <v>543.26099999999997</v>
      </c>
      <c r="C129" s="1091"/>
      <c r="D129" s="1268"/>
      <c r="E129" s="1268"/>
      <c r="F129" s="1268"/>
      <c r="G129" s="1091"/>
      <c r="H129" s="1091">
        <v>34.116999999999997</v>
      </c>
      <c r="I129" s="1091"/>
      <c r="J129" s="2068">
        <v>52.945999999999998</v>
      </c>
      <c r="K129" s="2068">
        <v>0</v>
      </c>
      <c r="L129" s="1268">
        <v>0</v>
      </c>
      <c r="M129" s="1268">
        <v>34.652000000000001</v>
      </c>
      <c r="N129" s="1268">
        <v>0</v>
      </c>
      <c r="O129" s="1268">
        <v>0</v>
      </c>
      <c r="P129" s="1268">
        <v>0</v>
      </c>
      <c r="Q129" s="1268">
        <v>0</v>
      </c>
      <c r="R129" s="1268">
        <v>0</v>
      </c>
      <c r="S129" s="1268">
        <v>0</v>
      </c>
      <c r="T129" s="1268">
        <v>104.48</v>
      </c>
      <c r="U129" s="1268">
        <v>183.27600000000001</v>
      </c>
      <c r="V129" s="1268">
        <v>98.28</v>
      </c>
      <c r="W129" s="609">
        <v>12.62</v>
      </c>
      <c r="X129" s="609">
        <v>22.89</v>
      </c>
      <c r="Y129" s="609"/>
      <c r="Z129" s="609"/>
      <c r="AA129" s="609"/>
      <c r="AB129" s="609"/>
      <c r="AC129" s="609"/>
      <c r="AD129" s="609"/>
      <c r="AE129" s="609"/>
      <c r="AF129" s="609" t="s">
        <v>109</v>
      </c>
      <c r="AG129" s="609" t="s">
        <v>109</v>
      </c>
      <c r="AH129" s="39">
        <f t="shared" si="25"/>
        <v>543.26099999999997</v>
      </c>
    </row>
    <row r="130" spans="1:36" ht="15">
      <c r="A130" s="111" t="s">
        <v>80</v>
      </c>
      <c r="B130" s="15">
        <f t="shared" si="24"/>
        <v>0</v>
      </c>
      <c r="C130" s="609" t="s">
        <v>109</v>
      </c>
      <c r="D130" s="609" t="s">
        <v>109</v>
      </c>
      <c r="E130" s="609" t="s">
        <v>109</v>
      </c>
      <c r="F130" s="609" t="s">
        <v>109</v>
      </c>
      <c r="G130" s="609" t="s">
        <v>109</v>
      </c>
      <c r="H130" s="609" t="s">
        <v>109</v>
      </c>
      <c r="I130" s="609" t="s">
        <v>109</v>
      </c>
      <c r="J130" s="609" t="s">
        <v>109</v>
      </c>
      <c r="K130" s="609" t="s">
        <v>109</v>
      </c>
      <c r="L130" s="609" t="s">
        <v>109</v>
      </c>
      <c r="M130" s="609" t="s">
        <v>109</v>
      </c>
      <c r="N130" s="609" t="s">
        <v>109</v>
      </c>
      <c r="O130" s="609" t="s">
        <v>109</v>
      </c>
      <c r="P130" s="609" t="s">
        <v>109</v>
      </c>
      <c r="Q130" s="609" t="s">
        <v>109</v>
      </c>
      <c r="R130" s="609" t="s">
        <v>109</v>
      </c>
      <c r="S130" s="609" t="s">
        <v>109</v>
      </c>
      <c r="T130" s="609" t="s">
        <v>109</v>
      </c>
      <c r="U130" s="609" t="s">
        <v>109</v>
      </c>
      <c r="V130" s="609" t="s">
        <v>109</v>
      </c>
      <c r="W130" s="609" t="s">
        <v>109</v>
      </c>
      <c r="X130" s="609" t="s">
        <v>109</v>
      </c>
      <c r="Y130" s="609" t="s">
        <v>109</v>
      </c>
      <c r="Z130" s="609" t="s">
        <v>109</v>
      </c>
      <c r="AA130" s="609" t="s">
        <v>109</v>
      </c>
      <c r="AB130" s="609" t="s">
        <v>109</v>
      </c>
      <c r="AC130" s="609" t="s">
        <v>109</v>
      </c>
      <c r="AD130" s="609" t="s">
        <v>109</v>
      </c>
      <c r="AE130" s="609" t="s">
        <v>109</v>
      </c>
      <c r="AF130" s="609" t="s">
        <v>109</v>
      </c>
      <c r="AG130" s="609" t="s">
        <v>109</v>
      </c>
      <c r="AH130" s="39">
        <f t="shared" si="25"/>
        <v>0</v>
      </c>
    </row>
    <row r="131" spans="1:36" ht="15">
      <c r="A131" s="109" t="s">
        <v>81</v>
      </c>
      <c r="B131" s="15">
        <f t="shared" si="24"/>
        <v>0</v>
      </c>
      <c r="C131" s="609" t="s">
        <v>109</v>
      </c>
      <c r="D131" s="609" t="s">
        <v>109</v>
      </c>
      <c r="E131" s="609" t="s">
        <v>109</v>
      </c>
      <c r="F131" s="609" t="s">
        <v>109</v>
      </c>
      <c r="G131" s="609" t="s">
        <v>109</v>
      </c>
      <c r="H131" s="609" t="s">
        <v>109</v>
      </c>
      <c r="I131" s="609" t="s">
        <v>109</v>
      </c>
      <c r="J131" s="609" t="s">
        <v>109</v>
      </c>
      <c r="K131" s="609" t="s">
        <v>109</v>
      </c>
      <c r="L131" s="609" t="s">
        <v>109</v>
      </c>
      <c r="M131" s="609" t="s">
        <v>109</v>
      </c>
      <c r="N131" s="609" t="s">
        <v>109</v>
      </c>
      <c r="O131" s="609" t="s">
        <v>109</v>
      </c>
      <c r="P131" s="609" t="s">
        <v>109</v>
      </c>
      <c r="Q131" s="609" t="s">
        <v>109</v>
      </c>
      <c r="R131" s="609" t="s">
        <v>109</v>
      </c>
      <c r="S131" s="609" t="s">
        <v>109</v>
      </c>
      <c r="T131" s="609" t="s">
        <v>109</v>
      </c>
      <c r="U131" s="609" t="s">
        <v>109</v>
      </c>
      <c r="V131" s="609" t="s">
        <v>109</v>
      </c>
      <c r="W131" s="609" t="s">
        <v>109</v>
      </c>
      <c r="X131" s="609" t="s">
        <v>109</v>
      </c>
      <c r="Y131" s="609" t="s">
        <v>109</v>
      </c>
      <c r="Z131" s="609" t="s">
        <v>109</v>
      </c>
      <c r="AA131" s="609" t="s">
        <v>109</v>
      </c>
      <c r="AB131" s="609" t="s">
        <v>109</v>
      </c>
      <c r="AC131" s="609" t="s">
        <v>109</v>
      </c>
      <c r="AD131" s="609" t="s">
        <v>109</v>
      </c>
      <c r="AE131" s="609" t="s">
        <v>109</v>
      </c>
      <c r="AF131" s="609" t="s">
        <v>109</v>
      </c>
      <c r="AG131" s="609" t="s">
        <v>109</v>
      </c>
      <c r="AH131" s="39">
        <f t="shared" si="25"/>
        <v>0</v>
      </c>
    </row>
    <row r="132" spans="1:36" ht="15">
      <c r="A132" s="109" t="s">
        <v>82</v>
      </c>
      <c r="B132" s="15">
        <f t="shared" si="24"/>
        <v>323.87</v>
      </c>
      <c r="C132" s="609" t="s">
        <v>109</v>
      </c>
      <c r="D132" s="609" t="s">
        <v>109</v>
      </c>
      <c r="E132" s="609" t="s">
        <v>109</v>
      </c>
      <c r="F132" s="609" t="s">
        <v>109</v>
      </c>
      <c r="G132" s="609" t="s">
        <v>109</v>
      </c>
      <c r="H132" s="609" t="s">
        <v>109</v>
      </c>
      <c r="I132" s="609" t="s">
        <v>109</v>
      </c>
      <c r="J132" s="609" t="s">
        <v>109</v>
      </c>
      <c r="K132" s="609" t="s">
        <v>109</v>
      </c>
      <c r="L132" s="609" t="s">
        <v>109</v>
      </c>
      <c r="M132" s="609" t="s">
        <v>109</v>
      </c>
      <c r="N132" s="609" t="s">
        <v>109</v>
      </c>
      <c r="O132" s="609" t="s">
        <v>109</v>
      </c>
      <c r="P132" s="609" t="s">
        <v>109</v>
      </c>
      <c r="Q132" s="609" t="s">
        <v>109</v>
      </c>
      <c r="R132" s="609" t="s">
        <v>109</v>
      </c>
      <c r="S132" s="609" t="s">
        <v>109</v>
      </c>
      <c r="T132" s="609" t="s">
        <v>109</v>
      </c>
      <c r="U132" s="609" t="s">
        <v>109</v>
      </c>
      <c r="V132" s="609" t="s">
        <v>109</v>
      </c>
      <c r="W132" s="609" t="s">
        <v>109</v>
      </c>
      <c r="X132" s="1091">
        <v>88.49</v>
      </c>
      <c r="Y132" s="1091">
        <v>111.54</v>
      </c>
      <c r="Z132" s="1091">
        <v>53.86</v>
      </c>
      <c r="AA132" s="1091">
        <v>69.98</v>
      </c>
      <c r="AB132" s="1091"/>
      <c r="AC132" s="1091"/>
      <c r="AD132" s="1091"/>
      <c r="AE132" s="1268"/>
      <c r="AF132" s="1091"/>
      <c r="AG132" s="1268"/>
      <c r="AH132" s="39">
        <f t="shared" si="25"/>
        <v>323.87</v>
      </c>
    </row>
    <row r="133" spans="1:36" ht="15">
      <c r="A133" s="109" t="s">
        <v>83</v>
      </c>
      <c r="B133" s="15">
        <f t="shared" si="24"/>
        <v>1036.21</v>
      </c>
      <c r="C133" s="1091"/>
      <c r="D133" s="1091"/>
      <c r="E133" s="1091"/>
      <c r="F133" s="1091"/>
      <c r="G133" s="1229">
        <v>176.42</v>
      </c>
      <c r="H133" s="1091">
        <v>0</v>
      </c>
      <c r="I133" s="1091">
        <v>0</v>
      </c>
      <c r="J133" s="1091">
        <v>150.09</v>
      </c>
      <c r="K133" s="1091">
        <v>32.090000000000003</v>
      </c>
      <c r="L133" s="1091">
        <v>70.62</v>
      </c>
      <c r="M133" s="1091">
        <v>50.17</v>
      </c>
      <c r="N133" s="1091"/>
      <c r="O133" s="1091"/>
      <c r="P133" s="1091"/>
      <c r="Q133" s="1091"/>
      <c r="R133" s="1091"/>
      <c r="S133" s="1091">
        <v>65.180000000000007</v>
      </c>
      <c r="T133" s="1091"/>
      <c r="U133" s="1091">
        <v>23.19</v>
      </c>
      <c r="V133" s="1091">
        <v>64.349999999999994</v>
      </c>
      <c r="W133" s="1091">
        <v>66.03</v>
      </c>
      <c r="X133" s="1091">
        <v>93.31</v>
      </c>
      <c r="Y133" s="1229">
        <v>64.8</v>
      </c>
      <c r="Z133" s="1091">
        <v>17.41</v>
      </c>
      <c r="AA133" s="1091">
        <v>162.55000000000001</v>
      </c>
      <c r="AB133" s="1091"/>
      <c r="AC133" s="1091"/>
      <c r="AD133" s="1091"/>
      <c r="AE133" s="1268"/>
      <c r="AF133" s="1091"/>
      <c r="AG133" s="1268"/>
      <c r="AH133" s="39">
        <f t="shared" si="25"/>
        <v>1036.21</v>
      </c>
    </row>
    <row r="134" spans="1:36" ht="15">
      <c r="A134" s="109" t="s">
        <v>84</v>
      </c>
      <c r="B134" s="15">
        <f t="shared" si="24"/>
        <v>0</v>
      </c>
      <c r="C134" s="1091"/>
      <c r="D134" s="1091"/>
      <c r="E134" s="1091"/>
      <c r="F134" s="1091"/>
      <c r="G134" s="1091"/>
      <c r="H134" s="1091"/>
      <c r="I134" s="1091"/>
      <c r="J134" s="1091"/>
      <c r="K134" s="1091"/>
      <c r="L134" s="1091"/>
      <c r="M134" s="1091"/>
      <c r="N134" s="1091"/>
      <c r="O134" s="1091"/>
      <c r="P134" s="1091"/>
      <c r="Q134" s="1091"/>
      <c r="R134" s="1091"/>
      <c r="S134" s="1091"/>
      <c r="T134" s="1091"/>
      <c r="U134" s="1091"/>
      <c r="V134" s="1091"/>
      <c r="W134" s="1091"/>
      <c r="X134" s="1091"/>
      <c r="Y134" s="1091"/>
      <c r="Z134" s="1091"/>
      <c r="AA134" s="1091"/>
      <c r="AB134" s="1091"/>
      <c r="AC134" s="1091"/>
      <c r="AD134" s="1091"/>
      <c r="AE134" s="1091"/>
      <c r="AF134" s="1091"/>
      <c r="AG134" s="1091"/>
      <c r="AH134" s="39">
        <f t="shared" si="25"/>
        <v>0</v>
      </c>
    </row>
    <row r="135" spans="1:36" ht="15">
      <c r="A135" s="71" t="s">
        <v>72</v>
      </c>
      <c r="B135" s="72">
        <f>SUM(B123:B134)</f>
        <v>7044.7620000000006</v>
      </c>
      <c r="C135" s="32">
        <f>SUM(C123:C133)</f>
        <v>148.108</v>
      </c>
      <c r="D135" s="39">
        <f>SUM(D123:D133)</f>
        <v>0</v>
      </c>
      <c r="E135" s="39">
        <v>0</v>
      </c>
      <c r="F135" s="39">
        <f t="shared" ref="F135:AC135" si="26">SUM(F123:F133)</f>
        <v>171.98500000000001</v>
      </c>
      <c r="G135" s="39">
        <f t="shared" si="26"/>
        <v>415.15499999999997</v>
      </c>
      <c r="H135" s="39">
        <f t="shared" si="26"/>
        <v>202.97099999999998</v>
      </c>
      <c r="I135" s="39">
        <f t="shared" si="26"/>
        <v>172.613</v>
      </c>
      <c r="J135" s="39">
        <f t="shared" si="26"/>
        <v>362.17500000000001</v>
      </c>
      <c r="K135" s="39">
        <f t="shared" si="26"/>
        <v>128.87200000000001</v>
      </c>
      <c r="L135" s="39">
        <f t="shared" si="26"/>
        <v>331.36599999999999</v>
      </c>
      <c r="M135" s="39">
        <f t="shared" si="26"/>
        <v>217.21199999999999</v>
      </c>
      <c r="N135" s="39">
        <f t="shared" si="26"/>
        <v>229.33700000000002</v>
      </c>
      <c r="O135" s="39">
        <f t="shared" si="26"/>
        <v>0</v>
      </c>
      <c r="P135" s="39">
        <f t="shared" si="26"/>
        <v>46.109000000000002</v>
      </c>
      <c r="Q135" s="39">
        <f t="shared" si="26"/>
        <v>4.7249999999999996</v>
      </c>
      <c r="R135" s="39">
        <f t="shared" si="26"/>
        <v>118.745</v>
      </c>
      <c r="S135" s="39">
        <f t="shared" si="26"/>
        <v>268.74200000000002</v>
      </c>
      <c r="T135" s="39">
        <f t="shared" si="26"/>
        <v>278.19499999999999</v>
      </c>
      <c r="U135" s="39">
        <f t="shared" si="26"/>
        <v>409.02699999999999</v>
      </c>
      <c r="V135" s="39">
        <f t="shared" si="26"/>
        <v>325.77499999999998</v>
      </c>
      <c r="W135" s="39">
        <f t="shared" si="26"/>
        <v>385.64599999999996</v>
      </c>
      <c r="X135" s="39">
        <f t="shared" si="26"/>
        <v>536.37300000000005</v>
      </c>
      <c r="Y135" s="39">
        <f t="shared" si="26"/>
        <v>475.47800000000001</v>
      </c>
      <c r="Z135" s="39">
        <f t="shared" si="26"/>
        <v>402.15400000000005</v>
      </c>
      <c r="AA135" s="39">
        <f t="shared" si="26"/>
        <v>464.09400000000005</v>
      </c>
      <c r="AB135" s="39">
        <f t="shared" si="26"/>
        <v>152.10799999999998</v>
      </c>
      <c r="AC135" s="39">
        <f t="shared" si="26"/>
        <v>129.52699999999999</v>
      </c>
      <c r="AD135" s="39">
        <v>0</v>
      </c>
      <c r="AE135" s="39">
        <f>SUM(AE123:AE133)</f>
        <v>64.847999999999999</v>
      </c>
      <c r="AF135" s="39">
        <f>SUM(AF123:AF133)</f>
        <v>2.5329999999999999</v>
      </c>
      <c r="AG135" s="39">
        <f>SUM(AG123:AG133)</f>
        <v>0</v>
      </c>
      <c r="AH135" s="32">
        <f>SUM(AH123:AH133)</f>
        <v>7044.7620000000006</v>
      </c>
    </row>
    <row r="136" spans="1:36" ht="5.0999999999999996" customHeight="1">
      <c r="A136" s="36"/>
      <c r="B136" s="37"/>
      <c r="C136" s="13"/>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13"/>
    </row>
    <row r="137" spans="1:36" ht="15">
      <c r="A137" s="3811" t="s">
        <v>55</v>
      </c>
      <c r="B137" s="3812"/>
      <c r="C137" s="3812"/>
      <c r="D137" s="3812"/>
      <c r="E137" s="3812"/>
      <c r="F137" s="3812"/>
      <c r="G137" s="3812"/>
      <c r="H137" s="3813"/>
      <c r="I137" s="1262"/>
      <c r="J137" s="29"/>
      <c r="K137" s="29"/>
      <c r="L137" s="29"/>
      <c r="M137" s="29"/>
      <c r="N137" s="29"/>
      <c r="O137" s="29"/>
      <c r="P137" s="29"/>
      <c r="Q137" s="29"/>
      <c r="R137" s="29"/>
      <c r="S137" s="11"/>
      <c r="T137" s="11"/>
      <c r="U137" s="11"/>
      <c r="V137" s="11"/>
      <c r="W137" s="11"/>
      <c r="X137" s="11"/>
      <c r="Y137" s="11"/>
      <c r="Z137" s="11"/>
      <c r="AA137" s="11"/>
      <c r="AB137" s="11"/>
      <c r="AC137" s="11"/>
      <c r="AD137" s="11"/>
      <c r="AE137" s="11"/>
      <c r="AF137" s="11"/>
      <c r="AG137" s="11"/>
      <c r="AH137" s="11"/>
    </row>
    <row r="138" spans="1:36" ht="15">
      <c r="A138" s="5" t="s">
        <v>70</v>
      </c>
      <c r="B138" s="5" t="s">
        <v>71</v>
      </c>
      <c r="C138" s="1039">
        <v>1</v>
      </c>
      <c r="D138" s="21">
        <v>2</v>
      </c>
      <c r="E138" s="21">
        <v>3</v>
      </c>
      <c r="F138" s="21">
        <v>4</v>
      </c>
      <c r="G138" s="21">
        <v>5</v>
      </c>
      <c r="H138" s="21">
        <v>6</v>
      </c>
      <c r="I138" s="21">
        <v>7</v>
      </c>
      <c r="J138" s="21">
        <v>8</v>
      </c>
      <c r="K138" s="21">
        <v>9</v>
      </c>
      <c r="L138" s="21">
        <v>10</v>
      </c>
      <c r="M138" s="21">
        <v>11</v>
      </c>
      <c r="N138" s="21">
        <v>12</v>
      </c>
      <c r="O138" s="21">
        <v>13</v>
      </c>
      <c r="P138" s="21">
        <v>14</v>
      </c>
      <c r="Q138" s="21">
        <v>15</v>
      </c>
      <c r="R138" s="21">
        <v>16</v>
      </c>
      <c r="S138" s="21">
        <v>17</v>
      </c>
      <c r="T138" s="21">
        <v>18</v>
      </c>
      <c r="U138" s="21">
        <v>19</v>
      </c>
      <c r="V138" s="21">
        <v>20</v>
      </c>
      <c r="W138" s="21">
        <v>21</v>
      </c>
      <c r="X138" s="21">
        <v>22</v>
      </c>
      <c r="Y138" s="21">
        <v>23</v>
      </c>
      <c r="Z138" s="21">
        <v>24</v>
      </c>
      <c r="AA138" s="21">
        <v>25</v>
      </c>
      <c r="AB138" s="21">
        <v>26</v>
      </c>
      <c r="AC138" s="21">
        <v>27</v>
      </c>
      <c r="AD138" s="21">
        <v>28</v>
      </c>
      <c r="AE138" s="21">
        <v>29</v>
      </c>
      <c r="AF138" s="21">
        <v>30</v>
      </c>
      <c r="AG138" s="21">
        <v>31</v>
      </c>
      <c r="AH138" s="25" t="s">
        <v>72</v>
      </c>
      <c r="AI138" s="2266" t="s">
        <v>1345</v>
      </c>
      <c r="AJ138" s="66">
        <f>(B151/COUNTIF($C$139:$AG$150,"&gt;0"))</f>
        <v>83.539000000000001</v>
      </c>
    </row>
    <row r="139" spans="1:36" ht="15">
      <c r="A139" s="120" t="s">
        <v>73</v>
      </c>
      <c r="B139" s="15">
        <f t="shared" ref="B139:B150" si="27">+AH139</f>
        <v>0</v>
      </c>
      <c r="C139" s="107" t="s">
        <v>109</v>
      </c>
      <c r="D139" s="107" t="s">
        <v>109</v>
      </c>
      <c r="E139" s="107" t="s">
        <v>109</v>
      </c>
      <c r="F139" s="107" t="s">
        <v>109</v>
      </c>
      <c r="G139" s="107" t="s">
        <v>109</v>
      </c>
      <c r="H139" s="107" t="s">
        <v>109</v>
      </c>
      <c r="I139" s="107" t="s">
        <v>109</v>
      </c>
      <c r="J139" s="107" t="s">
        <v>109</v>
      </c>
      <c r="K139" s="107" t="s">
        <v>109</v>
      </c>
      <c r="L139" s="107" t="s">
        <v>109</v>
      </c>
      <c r="M139" s="107" t="s">
        <v>109</v>
      </c>
      <c r="N139" s="107" t="s">
        <v>109</v>
      </c>
      <c r="O139" s="107" t="s">
        <v>109</v>
      </c>
      <c r="P139" s="107" t="s">
        <v>109</v>
      </c>
      <c r="Q139" s="107" t="s">
        <v>109</v>
      </c>
      <c r="R139" s="107" t="s">
        <v>109</v>
      </c>
      <c r="S139" s="107" t="s">
        <v>109</v>
      </c>
      <c r="T139" s="107" t="s">
        <v>109</v>
      </c>
      <c r="U139" s="107" t="s">
        <v>109</v>
      </c>
      <c r="V139" s="107" t="s">
        <v>109</v>
      </c>
      <c r="W139" s="107" t="s">
        <v>109</v>
      </c>
      <c r="X139" s="107" t="s">
        <v>109</v>
      </c>
      <c r="Y139" s="107" t="s">
        <v>109</v>
      </c>
      <c r="Z139" s="107" t="s">
        <v>109</v>
      </c>
      <c r="AA139" s="107" t="s">
        <v>109</v>
      </c>
      <c r="AB139" s="107" t="s">
        <v>109</v>
      </c>
      <c r="AC139" s="107" t="s">
        <v>109</v>
      </c>
      <c r="AD139" s="107" t="s">
        <v>109</v>
      </c>
      <c r="AE139" s="107" t="s">
        <v>109</v>
      </c>
      <c r="AF139" s="107" t="s">
        <v>109</v>
      </c>
      <c r="AG139" s="107" t="s">
        <v>109</v>
      </c>
      <c r="AH139" s="39">
        <f>SUM(C139:AG139)</f>
        <v>0</v>
      </c>
      <c r="AJ139" s="66">
        <f>+'Resumen RAE S.Común'!G223</f>
        <v>0</v>
      </c>
    </row>
    <row r="140" spans="1:36" ht="15">
      <c r="A140" s="120" t="s">
        <v>74</v>
      </c>
      <c r="B140" s="15">
        <f t="shared" si="27"/>
        <v>1341.0260000000001</v>
      </c>
      <c r="C140" s="107" t="s">
        <v>109</v>
      </c>
      <c r="D140" s="107" t="s">
        <v>109</v>
      </c>
      <c r="E140" s="107" t="s">
        <v>109</v>
      </c>
      <c r="F140" s="107" t="s">
        <v>109</v>
      </c>
      <c r="G140" s="107" t="s">
        <v>109</v>
      </c>
      <c r="H140" s="107" t="s">
        <v>109</v>
      </c>
      <c r="I140" s="107" t="s">
        <v>109</v>
      </c>
      <c r="J140" s="108">
        <v>62.719000000000001</v>
      </c>
      <c r="K140" s="108">
        <v>0</v>
      </c>
      <c r="L140" s="108">
        <v>9.0839999999999996</v>
      </c>
      <c r="M140" s="108">
        <v>14.817</v>
      </c>
      <c r="N140" s="108">
        <v>0</v>
      </c>
      <c r="O140" s="108">
        <v>0</v>
      </c>
      <c r="P140" s="108">
        <v>0</v>
      </c>
      <c r="Q140" s="108">
        <v>53.491999999999997</v>
      </c>
      <c r="R140" s="108">
        <v>60.387999999999998</v>
      </c>
      <c r="S140" s="108">
        <v>139.47</v>
      </c>
      <c r="T140" s="108">
        <v>73.36</v>
      </c>
      <c r="U140" s="108">
        <v>80.561000000000007</v>
      </c>
      <c r="V140" s="108">
        <v>97.337999999999994</v>
      </c>
      <c r="W140" s="108">
        <v>58.813000000000002</v>
      </c>
      <c r="X140" s="108">
        <v>127.06</v>
      </c>
      <c r="Y140" s="108">
        <v>0</v>
      </c>
      <c r="Z140" s="108">
        <v>155.22</v>
      </c>
      <c r="AA140" s="108">
        <v>70</v>
      </c>
      <c r="AB140" s="108">
        <v>135.32</v>
      </c>
      <c r="AC140" s="108">
        <v>72.92</v>
      </c>
      <c r="AD140" s="108">
        <v>130.464</v>
      </c>
      <c r="AE140" s="108"/>
      <c r="AF140" s="108"/>
      <c r="AG140" s="108"/>
      <c r="AH140" s="39">
        <f>SUM(C140:AG140)</f>
        <v>1341.0260000000001</v>
      </c>
      <c r="AJ140" s="1093">
        <f>+AJ139/AJ138</f>
        <v>0</v>
      </c>
    </row>
    <row r="141" spans="1:36" ht="15">
      <c r="A141" s="120" t="s">
        <v>75</v>
      </c>
      <c r="B141" s="15">
        <f t="shared" si="27"/>
        <v>906.3130000000001</v>
      </c>
      <c r="C141" s="108">
        <v>71.704999999999998</v>
      </c>
      <c r="D141" s="108">
        <v>0</v>
      </c>
      <c r="E141" s="108">
        <v>46.95</v>
      </c>
      <c r="F141" s="108">
        <v>65.605999999999995</v>
      </c>
      <c r="G141" s="108">
        <v>131.6</v>
      </c>
      <c r="H141" s="94">
        <v>0</v>
      </c>
      <c r="I141" s="94">
        <v>0</v>
      </c>
      <c r="J141" s="94">
        <v>0</v>
      </c>
      <c r="K141" s="94">
        <v>0</v>
      </c>
      <c r="L141" s="94">
        <v>70.23</v>
      </c>
      <c r="M141" s="94">
        <v>144.11000000000001</v>
      </c>
      <c r="N141" s="94">
        <v>133.19999999999999</v>
      </c>
      <c r="O141" s="94">
        <v>0</v>
      </c>
      <c r="P141" s="94">
        <v>0</v>
      </c>
      <c r="Q141" s="94">
        <v>0</v>
      </c>
      <c r="R141" s="94">
        <v>0</v>
      </c>
      <c r="S141" s="15">
        <v>0</v>
      </c>
      <c r="T141" s="15">
        <v>20.931999999999999</v>
      </c>
      <c r="U141" s="15">
        <v>75.680000000000007</v>
      </c>
      <c r="V141" s="15">
        <v>0</v>
      </c>
      <c r="W141" s="15">
        <v>73.400000000000006</v>
      </c>
      <c r="X141" s="15">
        <v>0</v>
      </c>
      <c r="Y141" s="15">
        <v>0</v>
      </c>
      <c r="Z141" s="15">
        <v>72.900000000000006</v>
      </c>
      <c r="AA141" s="15"/>
      <c r="AB141" s="15"/>
      <c r="AC141" s="1689"/>
      <c r="AD141" s="1689"/>
      <c r="AE141" s="1689"/>
      <c r="AF141" s="1689"/>
      <c r="AG141" s="1689"/>
      <c r="AH141" s="39">
        <f>SUM(C141:AG141)</f>
        <v>906.3130000000001</v>
      </c>
    </row>
    <row r="142" spans="1:36" ht="15">
      <c r="A142" s="120" t="s">
        <v>76</v>
      </c>
      <c r="B142" s="15">
        <f t="shared" si="27"/>
        <v>647.47</v>
      </c>
      <c r="C142" s="1689">
        <v>0</v>
      </c>
      <c r="D142" s="1689">
        <v>0</v>
      </c>
      <c r="E142" s="1689">
        <v>0</v>
      </c>
      <c r="F142" s="1689">
        <v>0</v>
      </c>
      <c r="G142" s="1689">
        <v>0</v>
      </c>
      <c r="H142" s="1689">
        <v>0</v>
      </c>
      <c r="I142" s="1689">
        <v>0</v>
      </c>
      <c r="J142" s="1689">
        <v>0</v>
      </c>
      <c r="K142" s="1689">
        <v>0</v>
      </c>
      <c r="L142" s="1091">
        <v>0</v>
      </c>
      <c r="M142" s="1091">
        <v>0</v>
      </c>
      <c r="N142" s="1091">
        <v>18.643000000000001</v>
      </c>
      <c r="O142" s="1091">
        <v>0</v>
      </c>
      <c r="P142" s="1091">
        <v>0</v>
      </c>
      <c r="Q142" s="1091">
        <v>0</v>
      </c>
      <c r="R142" s="1091">
        <v>61.884999999999998</v>
      </c>
      <c r="S142" s="1091">
        <v>0</v>
      </c>
      <c r="T142" s="1091">
        <v>0</v>
      </c>
      <c r="U142" s="1091">
        <v>0</v>
      </c>
      <c r="V142" s="1091">
        <v>0</v>
      </c>
      <c r="W142" s="1091">
        <v>67.703000000000003</v>
      </c>
      <c r="X142" s="1091">
        <v>69.061999999999998</v>
      </c>
      <c r="Y142" s="1091">
        <v>69.046999999999997</v>
      </c>
      <c r="Z142" s="1091">
        <v>148.26</v>
      </c>
      <c r="AA142" s="1091">
        <v>0</v>
      </c>
      <c r="AB142" s="1091">
        <v>62.85</v>
      </c>
      <c r="AC142" s="1091">
        <v>0</v>
      </c>
      <c r="AD142" s="1091">
        <v>74.02</v>
      </c>
      <c r="AE142" s="1091">
        <v>76</v>
      </c>
      <c r="AF142" s="1091"/>
      <c r="AG142" s="1091"/>
      <c r="AH142" s="39">
        <f t="shared" ref="AH142:AH150" si="28">SUM(C142:AG142)</f>
        <v>647.47</v>
      </c>
    </row>
    <row r="143" spans="1:36" ht="15">
      <c r="A143" s="111" t="s">
        <v>77</v>
      </c>
      <c r="B143" s="15">
        <f t="shared" si="27"/>
        <v>702.04500000000007</v>
      </c>
      <c r="C143" s="1091">
        <v>0</v>
      </c>
      <c r="D143" s="1091">
        <v>0</v>
      </c>
      <c r="E143" s="1091">
        <v>0</v>
      </c>
      <c r="F143" s="1091">
        <v>0</v>
      </c>
      <c r="G143" s="1091">
        <v>0</v>
      </c>
      <c r="H143" s="1091">
        <v>0</v>
      </c>
      <c r="I143" s="1091">
        <v>0</v>
      </c>
      <c r="J143" s="1091">
        <v>62.386000000000003</v>
      </c>
      <c r="K143" s="1091">
        <v>27.597000000000001</v>
      </c>
      <c r="L143" s="1091">
        <v>74.599999999999994</v>
      </c>
      <c r="M143" s="1091">
        <v>69.680000000000007</v>
      </c>
      <c r="N143" s="1091">
        <v>23.34</v>
      </c>
      <c r="O143" s="1091">
        <v>0</v>
      </c>
      <c r="P143" s="1091">
        <v>0</v>
      </c>
      <c r="Q143" s="1091">
        <v>0</v>
      </c>
      <c r="R143" s="1091">
        <v>144.45400000000001</v>
      </c>
      <c r="S143" s="1091">
        <v>145.864</v>
      </c>
      <c r="T143" s="1091">
        <v>0</v>
      </c>
      <c r="U143" s="1091">
        <v>0</v>
      </c>
      <c r="V143" s="1091">
        <v>0</v>
      </c>
      <c r="W143" s="1091">
        <v>154.124</v>
      </c>
      <c r="X143" s="1091">
        <v>0</v>
      </c>
      <c r="Y143" s="1091">
        <v>0</v>
      </c>
      <c r="Z143" s="1091">
        <v>0</v>
      </c>
      <c r="AA143" s="1091">
        <v>0</v>
      </c>
      <c r="AB143" s="1091">
        <v>0</v>
      </c>
      <c r="AC143" s="1091"/>
      <c r="AD143" s="1091"/>
      <c r="AE143" s="1091"/>
      <c r="AF143" s="1091"/>
      <c r="AG143" s="1091"/>
      <c r="AH143" s="39">
        <f t="shared" si="28"/>
        <v>702.04500000000007</v>
      </c>
    </row>
    <row r="144" spans="1:36" ht="15">
      <c r="A144" s="111" t="s">
        <v>78</v>
      </c>
      <c r="B144" s="15">
        <f t="shared" si="27"/>
        <v>222.91700000000003</v>
      </c>
      <c r="C144" s="1091"/>
      <c r="D144" s="1091"/>
      <c r="E144" s="1091"/>
      <c r="F144" s="1091"/>
      <c r="G144" s="1091"/>
      <c r="H144" s="1091"/>
      <c r="I144" s="1091"/>
      <c r="J144" s="1091"/>
      <c r="K144" s="1091"/>
      <c r="L144" s="1091"/>
      <c r="M144" s="1091"/>
      <c r="N144" s="1091"/>
      <c r="O144" s="1091"/>
      <c r="P144" s="1091"/>
      <c r="Q144" s="1091"/>
      <c r="R144" s="1091">
        <v>53.591999999999999</v>
      </c>
      <c r="S144" s="1091">
        <v>0</v>
      </c>
      <c r="T144" s="1091">
        <v>99.415000000000006</v>
      </c>
      <c r="U144" s="1091">
        <v>0</v>
      </c>
      <c r="V144" s="1091">
        <v>22.86</v>
      </c>
      <c r="W144" s="1091">
        <v>0</v>
      </c>
      <c r="X144" s="1091">
        <v>0</v>
      </c>
      <c r="Y144" s="1091">
        <v>0</v>
      </c>
      <c r="Z144" s="1091">
        <v>0</v>
      </c>
      <c r="AA144" s="1091">
        <v>47.05</v>
      </c>
      <c r="AB144" s="1091"/>
      <c r="AC144" s="1091"/>
      <c r="AD144" s="1091"/>
      <c r="AE144" s="1091"/>
      <c r="AF144" s="1091"/>
      <c r="AG144" s="1091"/>
      <c r="AH144" s="39">
        <f t="shared" si="28"/>
        <v>222.91700000000003</v>
      </c>
    </row>
    <row r="145" spans="1:36" ht="15">
      <c r="A145" s="111" t="s">
        <v>79</v>
      </c>
      <c r="B145" s="15">
        <f t="shared" si="27"/>
        <v>223.149</v>
      </c>
      <c r="C145" s="1091"/>
      <c r="D145" s="1268"/>
      <c r="E145" s="1268"/>
      <c r="F145" s="1268"/>
      <c r="G145" s="1091"/>
      <c r="H145" s="1091"/>
      <c r="I145" s="1091"/>
      <c r="J145" s="2068"/>
      <c r="K145" s="2068"/>
      <c r="L145" s="1268"/>
      <c r="M145" s="1268"/>
      <c r="N145" s="1268"/>
      <c r="O145" s="1268"/>
      <c r="P145" s="1268"/>
      <c r="Q145" s="1268"/>
      <c r="R145" s="1268"/>
      <c r="S145" s="1268"/>
      <c r="T145" s="1268">
        <v>72.16</v>
      </c>
      <c r="U145" s="1268">
        <v>104.599</v>
      </c>
      <c r="V145" s="1268">
        <v>0</v>
      </c>
      <c r="W145" s="609">
        <v>46.39</v>
      </c>
      <c r="X145" s="609"/>
      <c r="Y145" s="609"/>
      <c r="Z145" s="609"/>
      <c r="AA145" s="609"/>
      <c r="AB145" s="609"/>
      <c r="AC145" s="609"/>
      <c r="AD145" s="609"/>
      <c r="AE145" s="609"/>
      <c r="AF145" s="609" t="s">
        <v>109</v>
      </c>
      <c r="AG145" s="609" t="s">
        <v>109</v>
      </c>
      <c r="AH145" s="39">
        <f t="shared" si="28"/>
        <v>223.149</v>
      </c>
    </row>
    <row r="146" spans="1:36" ht="15">
      <c r="A146" s="111" t="s">
        <v>80</v>
      </c>
      <c r="B146" s="15">
        <f t="shared" si="27"/>
        <v>0</v>
      </c>
      <c r="C146" s="609" t="s">
        <v>109</v>
      </c>
      <c r="D146" s="609" t="s">
        <v>109</v>
      </c>
      <c r="E146" s="609" t="s">
        <v>109</v>
      </c>
      <c r="F146" s="609" t="s">
        <v>109</v>
      </c>
      <c r="G146" s="609" t="s">
        <v>109</v>
      </c>
      <c r="H146" s="609" t="s">
        <v>109</v>
      </c>
      <c r="I146" s="609" t="s">
        <v>109</v>
      </c>
      <c r="J146" s="609" t="s">
        <v>109</v>
      </c>
      <c r="K146" s="609" t="s">
        <v>109</v>
      </c>
      <c r="L146" s="609" t="s">
        <v>109</v>
      </c>
      <c r="M146" s="609" t="s">
        <v>109</v>
      </c>
      <c r="N146" s="609" t="s">
        <v>109</v>
      </c>
      <c r="O146" s="609" t="s">
        <v>109</v>
      </c>
      <c r="P146" s="609" t="s">
        <v>109</v>
      </c>
      <c r="Q146" s="609" t="s">
        <v>109</v>
      </c>
      <c r="R146" s="609" t="s">
        <v>109</v>
      </c>
      <c r="S146" s="609" t="s">
        <v>109</v>
      </c>
      <c r="T146" s="609" t="s">
        <v>109</v>
      </c>
      <c r="U146" s="609" t="s">
        <v>109</v>
      </c>
      <c r="V146" s="609" t="s">
        <v>109</v>
      </c>
      <c r="W146" s="609" t="s">
        <v>109</v>
      </c>
      <c r="X146" s="609" t="s">
        <v>109</v>
      </c>
      <c r="Y146" s="609" t="s">
        <v>109</v>
      </c>
      <c r="Z146" s="609" t="s">
        <v>109</v>
      </c>
      <c r="AA146" s="609" t="s">
        <v>109</v>
      </c>
      <c r="AB146" s="609" t="s">
        <v>109</v>
      </c>
      <c r="AC146" s="609" t="s">
        <v>109</v>
      </c>
      <c r="AD146" s="609" t="s">
        <v>109</v>
      </c>
      <c r="AE146" s="609" t="s">
        <v>109</v>
      </c>
      <c r="AF146" s="609" t="s">
        <v>109</v>
      </c>
      <c r="AG146" s="609" t="s">
        <v>109</v>
      </c>
      <c r="AH146" s="39">
        <f t="shared" si="28"/>
        <v>0</v>
      </c>
    </row>
    <row r="147" spans="1:36" ht="15">
      <c r="A147" s="109" t="s">
        <v>81</v>
      </c>
      <c r="B147" s="15">
        <f t="shared" si="27"/>
        <v>0</v>
      </c>
      <c r="C147" s="609" t="s">
        <v>109</v>
      </c>
      <c r="D147" s="609" t="s">
        <v>109</v>
      </c>
      <c r="E147" s="609" t="s">
        <v>109</v>
      </c>
      <c r="F147" s="609" t="s">
        <v>109</v>
      </c>
      <c r="G147" s="609" t="s">
        <v>109</v>
      </c>
      <c r="H147" s="609" t="s">
        <v>109</v>
      </c>
      <c r="I147" s="609" t="s">
        <v>109</v>
      </c>
      <c r="J147" s="609" t="s">
        <v>109</v>
      </c>
      <c r="K147" s="609" t="s">
        <v>109</v>
      </c>
      <c r="L147" s="609" t="s">
        <v>109</v>
      </c>
      <c r="M147" s="609" t="s">
        <v>109</v>
      </c>
      <c r="N147" s="609" t="s">
        <v>109</v>
      </c>
      <c r="O147" s="609" t="s">
        <v>109</v>
      </c>
      <c r="P147" s="609" t="s">
        <v>109</v>
      </c>
      <c r="Q147" s="609" t="s">
        <v>109</v>
      </c>
      <c r="R147" s="609" t="s">
        <v>109</v>
      </c>
      <c r="S147" s="609" t="s">
        <v>109</v>
      </c>
      <c r="T147" s="609" t="s">
        <v>109</v>
      </c>
      <c r="U147" s="609" t="s">
        <v>109</v>
      </c>
      <c r="V147" s="609" t="s">
        <v>109</v>
      </c>
      <c r="W147" s="609" t="s">
        <v>109</v>
      </c>
      <c r="X147" s="609" t="s">
        <v>109</v>
      </c>
      <c r="Y147" s="609" t="s">
        <v>109</v>
      </c>
      <c r="Z147" s="609" t="s">
        <v>109</v>
      </c>
      <c r="AA147" s="609" t="s">
        <v>109</v>
      </c>
      <c r="AB147" s="609" t="s">
        <v>109</v>
      </c>
      <c r="AC147" s="609" t="s">
        <v>109</v>
      </c>
      <c r="AD147" s="609" t="s">
        <v>109</v>
      </c>
      <c r="AE147" s="609" t="s">
        <v>109</v>
      </c>
      <c r="AF147" s="609" t="s">
        <v>109</v>
      </c>
      <c r="AG147" s="609" t="s">
        <v>109</v>
      </c>
      <c r="AH147" s="39">
        <f t="shared" si="28"/>
        <v>0</v>
      </c>
    </row>
    <row r="148" spans="1:36" ht="15">
      <c r="A148" s="109" t="s">
        <v>82</v>
      </c>
      <c r="B148" s="15">
        <f t="shared" si="27"/>
        <v>349.7</v>
      </c>
      <c r="C148" s="609" t="s">
        <v>109</v>
      </c>
      <c r="D148" s="609" t="s">
        <v>109</v>
      </c>
      <c r="E148" s="609" t="s">
        <v>109</v>
      </c>
      <c r="F148" s="609" t="s">
        <v>109</v>
      </c>
      <c r="G148" s="609" t="s">
        <v>109</v>
      </c>
      <c r="H148" s="609" t="s">
        <v>109</v>
      </c>
      <c r="I148" s="609" t="s">
        <v>109</v>
      </c>
      <c r="J148" s="609" t="s">
        <v>109</v>
      </c>
      <c r="K148" s="609" t="s">
        <v>109</v>
      </c>
      <c r="L148" s="609" t="s">
        <v>109</v>
      </c>
      <c r="M148" s="609" t="s">
        <v>109</v>
      </c>
      <c r="N148" s="609" t="s">
        <v>109</v>
      </c>
      <c r="O148" s="609" t="s">
        <v>109</v>
      </c>
      <c r="P148" s="609" t="s">
        <v>109</v>
      </c>
      <c r="Q148" s="609" t="s">
        <v>109</v>
      </c>
      <c r="R148" s="609" t="s">
        <v>109</v>
      </c>
      <c r="S148" s="609" t="s">
        <v>109</v>
      </c>
      <c r="T148" s="609" t="s">
        <v>109</v>
      </c>
      <c r="U148" s="609" t="s">
        <v>109</v>
      </c>
      <c r="V148" s="609" t="s">
        <v>109</v>
      </c>
      <c r="W148" s="609" t="s">
        <v>109</v>
      </c>
      <c r="X148" s="1091">
        <v>0</v>
      </c>
      <c r="Y148" s="1091">
        <v>105.45</v>
      </c>
      <c r="Z148" s="1091">
        <v>124.58</v>
      </c>
      <c r="AA148" s="1091">
        <v>119.67</v>
      </c>
      <c r="AB148" s="1091"/>
      <c r="AC148" s="1091"/>
      <c r="AD148" s="1091"/>
      <c r="AE148" s="1268"/>
      <c r="AF148" s="1091"/>
      <c r="AG148" s="1268"/>
      <c r="AH148" s="39">
        <f t="shared" si="28"/>
        <v>349.7</v>
      </c>
    </row>
    <row r="149" spans="1:36" ht="15">
      <c r="A149" s="109" t="s">
        <v>83</v>
      </c>
      <c r="B149" s="15">
        <f t="shared" si="27"/>
        <v>1415.4620000000002</v>
      </c>
      <c r="C149" s="1091"/>
      <c r="D149" s="1091"/>
      <c r="E149" s="1091"/>
      <c r="F149" s="1091"/>
      <c r="G149" s="1229">
        <v>172.72</v>
      </c>
      <c r="H149" s="1091"/>
      <c r="I149" s="1091"/>
      <c r="J149" s="1091">
        <v>206.57</v>
      </c>
      <c r="K149" s="1091">
        <v>21.36</v>
      </c>
      <c r="L149" s="1091"/>
      <c r="M149" s="1091">
        <v>27.87</v>
      </c>
      <c r="N149" s="1091">
        <v>147.91999999999999</v>
      </c>
      <c r="O149" s="1091">
        <v>38.055999999999997</v>
      </c>
      <c r="P149" s="1091">
        <v>0</v>
      </c>
      <c r="Q149" s="1091">
        <v>113.476</v>
      </c>
      <c r="R149" s="1091">
        <v>68.12</v>
      </c>
      <c r="S149" s="1091">
        <v>70.87</v>
      </c>
      <c r="T149" s="1091">
        <v>126.7</v>
      </c>
      <c r="U149" s="1091">
        <v>78.489999999999995</v>
      </c>
      <c r="V149" s="1091">
        <v>61.72</v>
      </c>
      <c r="W149" s="1091">
        <v>22.17</v>
      </c>
      <c r="X149" s="1091">
        <v>146.91</v>
      </c>
      <c r="Y149" s="1229">
        <v>112.51</v>
      </c>
      <c r="Z149" s="1091"/>
      <c r="AA149" s="1091"/>
      <c r="AB149" s="1091"/>
      <c r="AC149" s="1091"/>
      <c r="AD149" s="1091"/>
      <c r="AE149" s="1268"/>
      <c r="AF149" s="1091"/>
      <c r="AG149" s="1268"/>
      <c r="AH149" s="39">
        <f t="shared" si="28"/>
        <v>1415.4620000000002</v>
      </c>
    </row>
    <row r="150" spans="1:36" ht="15">
      <c r="A150" s="109" t="s">
        <v>84</v>
      </c>
      <c r="B150" s="15">
        <f t="shared" si="27"/>
        <v>39.648000000000003</v>
      </c>
      <c r="C150" s="1091"/>
      <c r="D150" s="1091"/>
      <c r="E150" s="1091"/>
      <c r="F150" s="1091"/>
      <c r="G150" s="1091"/>
      <c r="H150" s="1091"/>
      <c r="I150" s="1091"/>
      <c r="J150" s="1091"/>
      <c r="K150" s="1091"/>
      <c r="L150" s="1091"/>
      <c r="M150" s="1091"/>
      <c r="N150" s="1091"/>
      <c r="O150" s="1091"/>
      <c r="P150" s="1091"/>
      <c r="Q150" s="1091"/>
      <c r="R150" s="1091"/>
      <c r="S150" s="1091"/>
      <c r="T150" s="1091"/>
      <c r="U150" s="1091"/>
      <c r="V150" s="1091"/>
      <c r="W150" s="1091"/>
      <c r="X150" s="1091"/>
      <c r="Y150" s="1091"/>
      <c r="Z150" s="1091"/>
      <c r="AA150" s="1091"/>
      <c r="AB150" s="1091"/>
      <c r="AC150" s="1091">
        <v>39.648000000000003</v>
      </c>
      <c r="AD150" s="1091"/>
      <c r="AE150" s="1091"/>
      <c r="AF150" s="1091"/>
      <c r="AG150" s="1091"/>
      <c r="AH150" s="39">
        <f t="shared" si="28"/>
        <v>39.648000000000003</v>
      </c>
    </row>
    <row r="151" spans="1:36" ht="15">
      <c r="A151" s="71" t="s">
        <v>72</v>
      </c>
      <c r="B151" s="72">
        <f>SUM(B139:B150)</f>
        <v>5847.7300000000005</v>
      </c>
      <c r="C151" s="32">
        <f>SUM(C139:C149)</f>
        <v>71.704999999999998</v>
      </c>
      <c r="D151" s="39">
        <f>SUM(D139:D149)</f>
        <v>0</v>
      </c>
      <c r="E151" s="39">
        <v>0</v>
      </c>
      <c r="F151" s="39">
        <f t="shared" ref="F151:AC151" si="29">SUM(F139:F149)</f>
        <v>65.605999999999995</v>
      </c>
      <c r="G151" s="39">
        <f t="shared" si="29"/>
        <v>304.32</v>
      </c>
      <c r="H151" s="39">
        <f t="shared" si="29"/>
        <v>0</v>
      </c>
      <c r="I151" s="39">
        <f t="shared" si="29"/>
        <v>0</v>
      </c>
      <c r="J151" s="39">
        <f t="shared" si="29"/>
        <v>331.67500000000001</v>
      </c>
      <c r="K151" s="39">
        <f t="shared" si="29"/>
        <v>48.957000000000001</v>
      </c>
      <c r="L151" s="39">
        <f t="shared" si="29"/>
        <v>153.91399999999999</v>
      </c>
      <c r="M151" s="39">
        <f t="shared" si="29"/>
        <v>256.47700000000003</v>
      </c>
      <c r="N151" s="39">
        <f t="shared" si="29"/>
        <v>323.10299999999995</v>
      </c>
      <c r="O151" s="39">
        <f t="shared" si="29"/>
        <v>38.055999999999997</v>
      </c>
      <c r="P151" s="39">
        <f t="shared" si="29"/>
        <v>0</v>
      </c>
      <c r="Q151" s="39">
        <f t="shared" si="29"/>
        <v>166.96799999999999</v>
      </c>
      <c r="R151" s="39">
        <f t="shared" si="29"/>
        <v>388.43899999999996</v>
      </c>
      <c r="S151" s="39">
        <f t="shared" si="29"/>
        <v>356.20400000000001</v>
      </c>
      <c r="T151" s="39">
        <f t="shared" si="29"/>
        <v>392.56699999999995</v>
      </c>
      <c r="U151" s="39">
        <f t="shared" si="29"/>
        <v>339.33000000000004</v>
      </c>
      <c r="V151" s="39">
        <f t="shared" si="29"/>
        <v>181.91800000000001</v>
      </c>
      <c r="W151" s="39">
        <f t="shared" si="29"/>
        <v>422.6</v>
      </c>
      <c r="X151" s="39">
        <f t="shared" si="29"/>
        <v>343.03200000000004</v>
      </c>
      <c r="Y151" s="39">
        <f t="shared" si="29"/>
        <v>287.00700000000001</v>
      </c>
      <c r="Z151" s="39">
        <f t="shared" si="29"/>
        <v>500.96</v>
      </c>
      <c r="AA151" s="39">
        <f t="shared" si="29"/>
        <v>236.72</v>
      </c>
      <c r="AB151" s="39">
        <f t="shared" si="29"/>
        <v>198.17</v>
      </c>
      <c r="AC151" s="39">
        <f t="shared" si="29"/>
        <v>72.92</v>
      </c>
      <c r="AD151" s="39">
        <v>0</v>
      </c>
      <c r="AE151" s="39">
        <f>SUM(AE139:AE149)</f>
        <v>76</v>
      </c>
      <c r="AF151" s="39">
        <f>SUM(AF139:AF149)</f>
        <v>0</v>
      </c>
      <c r="AG151" s="39">
        <f>SUM(AG139:AG149)</f>
        <v>0</v>
      </c>
      <c r="AH151" s="32">
        <f>SUM(AH139:AH149)</f>
        <v>5808.0820000000003</v>
      </c>
    </row>
    <row r="152" spans="1:36" ht="5.0999999999999996" customHeight="1">
      <c r="A152" s="36"/>
      <c r="B152" s="37"/>
      <c r="C152" s="13"/>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13"/>
    </row>
    <row r="153" spans="1:36" ht="15">
      <c r="A153" s="3811" t="s">
        <v>56</v>
      </c>
      <c r="B153" s="3812"/>
      <c r="C153" s="3812"/>
      <c r="D153" s="3812"/>
      <c r="E153" s="3812"/>
      <c r="F153" s="3812"/>
      <c r="G153" s="3812"/>
      <c r="H153" s="3813"/>
      <c r="I153" s="1262"/>
      <c r="J153" s="29"/>
      <c r="K153" s="29"/>
      <c r="L153" s="29"/>
      <c r="M153" s="29"/>
      <c r="N153" s="29"/>
      <c r="O153" s="29"/>
      <c r="P153" s="29"/>
      <c r="Q153" s="29"/>
      <c r="R153" s="29"/>
      <c r="S153" s="11"/>
      <c r="T153" s="11"/>
      <c r="U153" s="11"/>
      <c r="V153" s="11"/>
      <c r="W153" s="11"/>
      <c r="X153" s="11"/>
      <c r="Y153" s="11"/>
      <c r="Z153" s="11"/>
      <c r="AA153" s="11"/>
      <c r="AB153" s="11"/>
      <c r="AC153" s="11"/>
      <c r="AD153" s="11"/>
      <c r="AE153" s="11"/>
      <c r="AF153" s="11"/>
      <c r="AG153" s="11"/>
      <c r="AH153" s="11"/>
    </row>
    <row r="154" spans="1:36" ht="15">
      <c r="A154" s="5" t="s">
        <v>70</v>
      </c>
      <c r="B154" s="5" t="s">
        <v>71</v>
      </c>
      <c r="C154" s="1039">
        <v>1</v>
      </c>
      <c r="D154" s="21">
        <v>2</v>
      </c>
      <c r="E154" s="21">
        <v>3</v>
      </c>
      <c r="F154" s="21">
        <v>4</v>
      </c>
      <c r="G154" s="21">
        <v>5</v>
      </c>
      <c r="H154" s="21">
        <v>6</v>
      </c>
      <c r="I154" s="21">
        <v>7</v>
      </c>
      <c r="J154" s="21">
        <v>8</v>
      </c>
      <c r="K154" s="21">
        <v>9</v>
      </c>
      <c r="L154" s="21">
        <v>10</v>
      </c>
      <c r="M154" s="21">
        <v>11</v>
      </c>
      <c r="N154" s="21">
        <v>12</v>
      </c>
      <c r="O154" s="21">
        <v>13</v>
      </c>
      <c r="P154" s="21">
        <v>14</v>
      </c>
      <c r="Q154" s="21">
        <v>15</v>
      </c>
      <c r="R154" s="21">
        <v>16</v>
      </c>
      <c r="S154" s="21">
        <v>17</v>
      </c>
      <c r="T154" s="21">
        <v>18</v>
      </c>
      <c r="U154" s="21">
        <v>19</v>
      </c>
      <c r="V154" s="21">
        <v>20</v>
      </c>
      <c r="W154" s="21">
        <v>21</v>
      </c>
      <c r="X154" s="21">
        <v>22</v>
      </c>
      <c r="Y154" s="21">
        <v>23</v>
      </c>
      <c r="Z154" s="21">
        <v>24</v>
      </c>
      <c r="AA154" s="21">
        <v>25</v>
      </c>
      <c r="AB154" s="21">
        <v>26</v>
      </c>
      <c r="AC154" s="21">
        <v>27</v>
      </c>
      <c r="AD154" s="21">
        <v>28</v>
      </c>
      <c r="AE154" s="21">
        <v>29</v>
      </c>
      <c r="AF154" s="21">
        <v>30</v>
      </c>
      <c r="AG154" s="21">
        <v>31</v>
      </c>
      <c r="AH154" s="25" t="s">
        <v>72</v>
      </c>
      <c r="AI154" s="2266" t="s">
        <v>1345</v>
      </c>
      <c r="AJ154" s="66">
        <f>(B167/COUNTIF($C$155:$AG$166,"&gt;0"))</f>
        <v>17.641363636363636</v>
      </c>
    </row>
    <row r="155" spans="1:36" ht="15">
      <c r="A155" s="120" t="s">
        <v>73</v>
      </c>
      <c r="B155" s="52">
        <f t="shared" ref="B155:B166" si="30">+AH155</f>
        <v>0</v>
      </c>
      <c r="C155" s="65" t="s">
        <v>109</v>
      </c>
      <c r="D155" s="65" t="s">
        <v>109</v>
      </c>
      <c r="E155" s="65" t="s">
        <v>109</v>
      </c>
      <c r="F155" s="65" t="s">
        <v>109</v>
      </c>
      <c r="G155" s="65" t="s">
        <v>109</v>
      </c>
      <c r="H155" s="65" t="s">
        <v>109</v>
      </c>
      <c r="I155" s="65" t="s">
        <v>109</v>
      </c>
      <c r="J155" s="94"/>
      <c r="K155" s="94"/>
      <c r="L155" s="94"/>
      <c r="M155" s="94"/>
      <c r="N155" s="94"/>
      <c r="O155" s="94"/>
      <c r="P155" s="94"/>
      <c r="Q155" s="94"/>
      <c r="R155" s="94"/>
      <c r="S155" s="94"/>
      <c r="T155" s="94"/>
      <c r="U155" s="94"/>
      <c r="V155" s="94"/>
      <c r="W155" s="94"/>
      <c r="X155" s="94"/>
      <c r="Y155" s="94"/>
      <c r="Z155" s="94"/>
      <c r="AA155" s="94"/>
      <c r="AB155" s="94"/>
      <c r="AC155" s="94"/>
      <c r="AD155" s="94"/>
      <c r="AE155" s="94"/>
      <c r="AF155" s="94"/>
      <c r="AG155" s="94"/>
      <c r="AH155" s="39">
        <f>SUM(C155:AG155)</f>
        <v>0</v>
      </c>
    </row>
    <row r="156" spans="1:36" ht="15">
      <c r="A156" s="120" t="s">
        <v>74</v>
      </c>
      <c r="B156" s="52">
        <f t="shared" si="30"/>
        <v>0</v>
      </c>
      <c r="C156" s="94"/>
      <c r="D156" s="94"/>
      <c r="E156" s="94"/>
      <c r="F156" s="94"/>
      <c r="G156" s="94"/>
      <c r="H156" s="94"/>
      <c r="I156" s="94"/>
      <c r="J156" s="94"/>
      <c r="K156" s="94"/>
      <c r="L156" s="94"/>
      <c r="M156" s="94"/>
      <c r="N156" s="94">
        <v>0</v>
      </c>
      <c r="O156" s="94"/>
      <c r="P156" s="94"/>
      <c r="Q156" s="94"/>
      <c r="R156" s="94"/>
      <c r="S156" s="94"/>
      <c r="T156" s="94"/>
      <c r="U156" s="94"/>
      <c r="V156" s="94"/>
      <c r="W156" s="94"/>
      <c r="X156" s="94"/>
      <c r="Y156" s="94"/>
      <c r="Z156" s="94"/>
      <c r="AA156" s="94"/>
      <c r="AB156" s="94"/>
      <c r="AC156" s="94"/>
      <c r="AD156" s="94"/>
      <c r="AE156" s="94"/>
      <c r="AF156" s="94"/>
      <c r="AG156" s="94"/>
      <c r="AH156" s="104">
        <f>SUM(C156:AG156)</f>
        <v>0</v>
      </c>
    </row>
    <row r="157" spans="1:36" ht="15">
      <c r="A157" s="120" t="s">
        <v>75</v>
      </c>
      <c r="B157" s="52">
        <f t="shared" si="30"/>
        <v>0</v>
      </c>
      <c r="C157" s="94"/>
      <c r="D157" s="94"/>
      <c r="E157" s="94"/>
      <c r="F157" s="94"/>
      <c r="G157" s="94"/>
      <c r="H157" s="99"/>
      <c r="I157" s="99"/>
      <c r="J157" s="39"/>
      <c r="K157" s="39"/>
      <c r="L157" s="39"/>
      <c r="M157" s="39"/>
      <c r="N157" s="39"/>
      <c r="O157" s="39"/>
      <c r="P157" s="39"/>
      <c r="Q157" s="39"/>
      <c r="R157" s="39"/>
      <c r="S157" s="39"/>
      <c r="T157" s="39"/>
      <c r="U157" s="39"/>
      <c r="V157" s="39"/>
      <c r="W157" s="39"/>
      <c r="X157" s="39"/>
      <c r="Y157" s="39"/>
      <c r="Z157" s="39"/>
      <c r="AA157" s="39"/>
      <c r="AB157" s="39"/>
      <c r="AC157" s="1091"/>
      <c r="AD157" s="1091"/>
      <c r="AE157" s="1091"/>
      <c r="AF157" s="1091"/>
      <c r="AG157" s="1091"/>
      <c r="AH157" s="99">
        <f>SUM(C157:AG157)</f>
        <v>0</v>
      </c>
    </row>
    <row r="158" spans="1:36" ht="15">
      <c r="A158" s="120" t="s">
        <v>76</v>
      </c>
      <c r="B158" s="52">
        <f t="shared" si="30"/>
        <v>0</v>
      </c>
      <c r="C158" s="1091"/>
      <c r="D158" s="1091"/>
      <c r="E158" s="1091"/>
      <c r="F158" s="1091"/>
      <c r="G158" s="1091"/>
      <c r="H158" s="1091"/>
      <c r="I158" s="1091"/>
      <c r="J158" s="1091"/>
      <c r="K158" s="1091"/>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f t="shared" ref="AH158:AH166" si="31">SUM(C158:AG158)</f>
        <v>0</v>
      </c>
    </row>
    <row r="159" spans="1:36" ht="15">
      <c r="A159" s="111" t="s">
        <v>77</v>
      </c>
      <c r="B159" s="52">
        <f t="shared" si="30"/>
        <v>0</v>
      </c>
      <c r="C159" s="35"/>
      <c r="D159" s="15"/>
      <c r="E159" s="15"/>
      <c r="F159" s="15"/>
      <c r="G159" s="15"/>
      <c r="H159" s="15"/>
      <c r="I159" s="15"/>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f t="shared" si="31"/>
        <v>0</v>
      </c>
    </row>
    <row r="160" spans="1:36" ht="15">
      <c r="A160" s="111" t="s">
        <v>78</v>
      </c>
      <c r="B160" s="52">
        <f t="shared" si="30"/>
        <v>0</v>
      </c>
      <c r="C160" s="32"/>
      <c r="D160" s="1268"/>
      <c r="E160" s="1268"/>
      <c r="F160" s="1268"/>
      <c r="G160" s="1268"/>
      <c r="H160" s="1091"/>
      <c r="I160" s="1091"/>
      <c r="J160" s="1091"/>
      <c r="K160" s="1091"/>
      <c r="L160" s="1091"/>
      <c r="M160" s="1091"/>
      <c r="N160" s="1091"/>
      <c r="O160" s="1091"/>
      <c r="P160" s="1091"/>
      <c r="Q160" s="1091"/>
      <c r="R160" s="1091"/>
      <c r="S160" s="1091"/>
      <c r="T160" s="1091"/>
      <c r="U160" s="1091"/>
      <c r="V160" s="1091"/>
      <c r="W160" s="1091"/>
      <c r="X160" s="1091"/>
      <c r="Y160" s="1268"/>
      <c r="Z160" s="1268"/>
      <c r="AA160" s="1268"/>
      <c r="AB160" s="1268"/>
      <c r="AC160" s="1268"/>
      <c r="AD160" s="1268"/>
      <c r="AE160" s="1268"/>
      <c r="AF160" s="1268"/>
      <c r="AG160" s="1268"/>
      <c r="AH160" s="39">
        <f t="shared" si="31"/>
        <v>0</v>
      </c>
    </row>
    <row r="161" spans="1:36" ht="15">
      <c r="A161" s="111" t="s">
        <v>79</v>
      </c>
      <c r="B161" s="52">
        <f t="shared" si="30"/>
        <v>0</v>
      </c>
      <c r="C161" s="35"/>
      <c r="D161" s="1268"/>
      <c r="E161" s="1268"/>
      <c r="F161" s="1268"/>
      <c r="G161" s="1091"/>
      <c r="H161" s="1091"/>
      <c r="I161" s="1091"/>
      <c r="J161" s="2068"/>
      <c r="K161" s="2068"/>
      <c r="L161" s="1268"/>
      <c r="M161" s="1268"/>
      <c r="N161" s="1268"/>
      <c r="O161" s="1268"/>
      <c r="P161" s="1268"/>
      <c r="Q161" s="1268"/>
      <c r="R161" s="1268"/>
      <c r="S161" s="1268"/>
      <c r="T161" s="1268"/>
      <c r="U161" s="1268"/>
      <c r="V161" s="1268"/>
      <c r="W161" s="1974"/>
      <c r="X161" s="1974"/>
      <c r="Y161" s="1974"/>
      <c r="Z161" s="1974"/>
      <c r="AA161" s="1974"/>
      <c r="AB161" s="1974"/>
      <c r="AC161" s="1974"/>
      <c r="AD161" s="1974"/>
      <c r="AE161" s="1974"/>
      <c r="AF161" s="65"/>
      <c r="AG161" s="65" t="s">
        <v>110</v>
      </c>
      <c r="AH161" s="39">
        <f t="shared" si="31"/>
        <v>0</v>
      </c>
    </row>
    <row r="162" spans="1:36" ht="15">
      <c r="A162" s="111" t="s">
        <v>80</v>
      </c>
      <c r="B162" s="52">
        <f t="shared" si="30"/>
        <v>0</v>
      </c>
      <c r="C162" s="65" t="s">
        <v>110</v>
      </c>
      <c r="D162" s="65" t="s">
        <v>110</v>
      </c>
      <c r="E162" s="65" t="s">
        <v>110</v>
      </c>
      <c r="F162" s="65" t="s">
        <v>110</v>
      </c>
      <c r="G162" s="65" t="s">
        <v>110</v>
      </c>
      <c r="H162" s="65" t="s">
        <v>110</v>
      </c>
      <c r="I162" s="65" t="s">
        <v>110</v>
      </c>
      <c r="J162" s="65" t="s">
        <v>110</v>
      </c>
      <c r="K162" s="65" t="s">
        <v>110</v>
      </c>
      <c r="L162" s="65" t="s">
        <v>110</v>
      </c>
      <c r="M162" s="65" t="s">
        <v>110</v>
      </c>
      <c r="N162" s="65" t="s">
        <v>110</v>
      </c>
      <c r="O162" s="65" t="s">
        <v>110</v>
      </c>
      <c r="P162" s="65" t="s">
        <v>110</v>
      </c>
      <c r="Q162" s="65" t="s">
        <v>110</v>
      </c>
      <c r="R162" s="65" t="s">
        <v>110</v>
      </c>
      <c r="S162" s="65" t="s">
        <v>110</v>
      </c>
      <c r="T162" s="65" t="s">
        <v>110</v>
      </c>
      <c r="U162" s="65" t="s">
        <v>110</v>
      </c>
      <c r="V162" s="65" t="s">
        <v>110</v>
      </c>
      <c r="W162" s="65" t="s">
        <v>110</v>
      </c>
      <c r="X162" s="65" t="s">
        <v>110</v>
      </c>
      <c r="Y162" s="65" t="s">
        <v>110</v>
      </c>
      <c r="Z162" s="65" t="s">
        <v>110</v>
      </c>
      <c r="AA162" s="65" t="s">
        <v>110</v>
      </c>
      <c r="AB162" s="65" t="s">
        <v>110</v>
      </c>
      <c r="AC162" s="65" t="s">
        <v>110</v>
      </c>
      <c r="AD162" s="65" t="s">
        <v>110</v>
      </c>
      <c r="AE162" s="65" t="s">
        <v>110</v>
      </c>
      <c r="AF162" s="65" t="s">
        <v>110</v>
      </c>
      <c r="AG162" s="65" t="s">
        <v>110</v>
      </c>
      <c r="AH162" s="39">
        <f t="shared" si="31"/>
        <v>0</v>
      </c>
    </row>
    <row r="163" spans="1:36" ht="15">
      <c r="A163" s="109" t="s">
        <v>81</v>
      </c>
      <c r="B163" s="52">
        <f t="shared" si="30"/>
        <v>0</v>
      </c>
      <c r="C163" s="65" t="s">
        <v>110</v>
      </c>
      <c r="D163" s="65" t="s">
        <v>110</v>
      </c>
      <c r="E163" s="65" t="s">
        <v>110</v>
      </c>
      <c r="F163" s="65" t="s">
        <v>110</v>
      </c>
      <c r="G163" s="65" t="s">
        <v>110</v>
      </c>
      <c r="H163" s="65" t="s">
        <v>110</v>
      </c>
      <c r="I163" s="65" t="s">
        <v>110</v>
      </c>
      <c r="J163" s="65" t="s">
        <v>110</v>
      </c>
      <c r="K163" s="65" t="s">
        <v>110</v>
      </c>
      <c r="L163" s="65" t="s">
        <v>110</v>
      </c>
      <c r="M163" s="65" t="s">
        <v>110</v>
      </c>
      <c r="N163" s="65" t="s">
        <v>110</v>
      </c>
      <c r="O163" s="65" t="s">
        <v>110</v>
      </c>
      <c r="P163" s="65" t="s">
        <v>110</v>
      </c>
      <c r="Q163" s="65" t="s">
        <v>110</v>
      </c>
      <c r="R163" s="65" t="s">
        <v>110</v>
      </c>
      <c r="S163" s="65" t="s">
        <v>110</v>
      </c>
      <c r="T163" s="65" t="s">
        <v>110</v>
      </c>
      <c r="U163" s="65" t="s">
        <v>110</v>
      </c>
      <c r="V163" s="65" t="s">
        <v>110</v>
      </c>
      <c r="W163" s="65" t="s">
        <v>110</v>
      </c>
      <c r="X163" s="65" t="s">
        <v>110</v>
      </c>
      <c r="Y163" s="65" t="s">
        <v>110</v>
      </c>
      <c r="Z163" s="65" t="s">
        <v>110</v>
      </c>
      <c r="AA163" s="65" t="s">
        <v>110</v>
      </c>
      <c r="AB163" s="65" t="s">
        <v>110</v>
      </c>
      <c r="AC163" s="65" t="s">
        <v>110</v>
      </c>
      <c r="AD163" s="65" t="s">
        <v>110</v>
      </c>
      <c r="AE163" s="65" t="s">
        <v>110</v>
      </c>
      <c r="AF163" s="65" t="s">
        <v>110</v>
      </c>
      <c r="AG163" s="65" t="s">
        <v>110</v>
      </c>
      <c r="AH163" s="39">
        <f t="shared" si="31"/>
        <v>0</v>
      </c>
    </row>
    <row r="164" spans="1:36" ht="15">
      <c r="A164" s="109" t="s">
        <v>82</v>
      </c>
      <c r="B164" s="52">
        <f t="shared" si="30"/>
        <v>0</v>
      </c>
      <c r="C164" s="65" t="s">
        <v>110</v>
      </c>
      <c r="D164" s="65" t="s">
        <v>110</v>
      </c>
      <c r="E164" s="65" t="s">
        <v>110</v>
      </c>
      <c r="F164" s="65" t="s">
        <v>110</v>
      </c>
      <c r="G164" s="65" t="s">
        <v>110</v>
      </c>
      <c r="H164" s="65" t="s">
        <v>110</v>
      </c>
      <c r="I164" s="65" t="s">
        <v>110</v>
      </c>
      <c r="J164" s="65" t="s">
        <v>110</v>
      </c>
      <c r="K164" s="65" t="s">
        <v>110</v>
      </c>
      <c r="L164" s="65" t="s">
        <v>110</v>
      </c>
      <c r="M164" s="65" t="s">
        <v>110</v>
      </c>
      <c r="N164" s="65" t="s">
        <v>110</v>
      </c>
      <c r="O164" s="65" t="s">
        <v>110</v>
      </c>
      <c r="P164" s="65" t="s">
        <v>110</v>
      </c>
      <c r="Q164" s="65" t="s">
        <v>110</v>
      </c>
      <c r="R164" s="65" t="s">
        <v>110</v>
      </c>
      <c r="S164" s="65" t="s">
        <v>110</v>
      </c>
      <c r="T164" s="65" t="s">
        <v>110</v>
      </c>
      <c r="U164" s="65" t="s">
        <v>110</v>
      </c>
      <c r="V164" s="65" t="s">
        <v>110</v>
      </c>
      <c r="W164" s="65" t="s">
        <v>110</v>
      </c>
      <c r="X164" s="1091"/>
      <c r="Y164" s="1091"/>
      <c r="Z164" s="1091"/>
      <c r="AA164" s="1091"/>
      <c r="AB164" s="1091"/>
      <c r="AC164" s="1091"/>
      <c r="AD164" s="1091"/>
      <c r="AE164" s="1268"/>
      <c r="AF164" s="1091"/>
      <c r="AG164" s="1268"/>
      <c r="AH164" s="39">
        <f t="shared" si="31"/>
        <v>0</v>
      </c>
    </row>
    <row r="165" spans="1:36" ht="15">
      <c r="A165" s="109" t="s">
        <v>83</v>
      </c>
      <c r="B165" s="52">
        <f t="shared" si="30"/>
        <v>194.05500000000001</v>
      </c>
      <c r="C165" s="1091"/>
      <c r="D165" s="1091"/>
      <c r="E165" s="1091"/>
      <c r="F165" s="1091"/>
      <c r="G165" s="1091"/>
      <c r="H165" s="1091"/>
      <c r="I165" s="1091"/>
      <c r="J165" s="1091"/>
      <c r="K165" s="1091"/>
      <c r="L165" s="1091"/>
      <c r="M165" s="1091"/>
      <c r="N165" s="1091"/>
      <c r="O165" s="1091"/>
      <c r="P165" s="1091"/>
      <c r="Q165" s="1091">
        <v>20.83</v>
      </c>
      <c r="R165" s="1091">
        <v>0</v>
      </c>
      <c r="S165" s="1091">
        <v>20.085000000000001</v>
      </c>
      <c r="T165" s="1091"/>
      <c r="U165" s="1091">
        <v>3.5</v>
      </c>
      <c r="V165" s="1091">
        <v>18.12</v>
      </c>
      <c r="W165" s="1091">
        <v>11.08</v>
      </c>
      <c r="X165" s="1091">
        <v>13.105</v>
      </c>
      <c r="Y165" s="1091">
        <v>21.824999999999999</v>
      </c>
      <c r="Z165" s="1091">
        <v>23.12</v>
      </c>
      <c r="AA165" s="1091">
        <v>22.02</v>
      </c>
      <c r="AB165" s="1091"/>
      <c r="AC165" s="1091">
        <v>22.344999999999999</v>
      </c>
      <c r="AD165" s="1091">
        <v>18.024999999999999</v>
      </c>
      <c r="AE165" s="1268"/>
      <c r="AF165" s="1091"/>
      <c r="AG165" s="1268"/>
      <c r="AH165" s="39">
        <f t="shared" si="31"/>
        <v>194.05500000000001</v>
      </c>
    </row>
    <row r="166" spans="1:36" ht="15">
      <c r="A166" s="109" t="s">
        <v>84</v>
      </c>
      <c r="B166" s="52">
        <f t="shared" si="30"/>
        <v>0</v>
      </c>
      <c r="C166" s="35"/>
      <c r="D166" s="1091"/>
      <c r="E166" s="1091"/>
      <c r="F166" s="1091"/>
      <c r="G166" s="1091"/>
      <c r="H166" s="1091"/>
      <c r="I166" s="1091"/>
      <c r="J166" s="1091"/>
      <c r="K166" s="1091"/>
      <c r="L166" s="1091"/>
      <c r="M166" s="1091"/>
      <c r="N166" s="1091"/>
      <c r="O166" s="1091"/>
      <c r="P166" s="1091"/>
      <c r="Q166" s="1091"/>
      <c r="R166" s="1091"/>
      <c r="S166" s="1091"/>
      <c r="T166" s="1091"/>
      <c r="U166" s="1091"/>
      <c r="V166" s="1091"/>
      <c r="W166" s="1091"/>
      <c r="X166" s="1091"/>
      <c r="Y166" s="1091"/>
      <c r="Z166" s="1091"/>
      <c r="AA166" s="1091"/>
      <c r="AB166" s="1091"/>
      <c r="AC166" s="1091"/>
      <c r="AD166" s="1091"/>
      <c r="AE166" s="1091"/>
      <c r="AF166" s="1091"/>
      <c r="AG166" s="1091"/>
      <c r="AH166" s="39">
        <f t="shared" si="31"/>
        <v>0</v>
      </c>
    </row>
    <row r="167" spans="1:36" ht="15">
      <c r="A167" s="71" t="s">
        <v>72</v>
      </c>
      <c r="B167" s="75">
        <f>SUM(B155:B166)</f>
        <v>194.05500000000001</v>
      </c>
      <c r="C167" s="32">
        <f>SUM(C155:C165)</f>
        <v>0</v>
      </c>
      <c r="D167" s="39">
        <f>SUM(D155:D165)</f>
        <v>0</v>
      </c>
      <c r="E167" s="39">
        <v>0</v>
      </c>
      <c r="F167" s="39">
        <f t="shared" ref="F167:AC167" si="32">SUM(F155:F165)</f>
        <v>0</v>
      </c>
      <c r="G167" s="39">
        <f t="shared" si="32"/>
        <v>0</v>
      </c>
      <c r="H167" s="39">
        <f t="shared" si="32"/>
        <v>0</v>
      </c>
      <c r="I167" s="39">
        <f t="shared" si="32"/>
        <v>0</v>
      </c>
      <c r="J167" s="39">
        <f t="shared" si="32"/>
        <v>0</v>
      </c>
      <c r="K167" s="39">
        <f t="shared" si="32"/>
        <v>0</v>
      </c>
      <c r="L167" s="39">
        <f t="shared" si="32"/>
        <v>0</v>
      </c>
      <c r="M167" s="39">
        <f t="shared" si="32"/>
        <v>0</v>
      </c>
      <c r="N167" s="39">
        <f t="shared" si="32"/>
        <v>0</v>
      </c>
      <c r="O167" s="39">
        <f t="shared" si="32"/>
        <v>0</v>
      </c>
      <c r="P167" s="39">
        <f t="shared" si="32"/>
        <v>0</v>
      </c>
      <c r="Q167" s="39">
        <f t="shared" si="32"/>
        <v>20.83</v>
      </c>
      <c r="R167" s="39">
        <f t="shared" si="32"/>
        <v>0</v>
      </c>
      <c r="S167" s="39">
        <f t="shared" si="32"/>
        <v>20.085000000000001</v>
      </c>
      <c r="T167" s="39">
        <f t="shared" si="32"/>
        <v>0</v>
      </c>
      <c r="U167" s="39">
        <f t="shared" si="32"/>
        <v>3.5</v>
      </c>
      <c r="V167" s="39">
        <f t="shared" si="32"/>
        <v>18.12</v>
      </c>
      <c r="W167" s="39">
        <f t="shared" si="32"/>
        <v>11.08</v>
      </c>
      <c r="X167" s="39">
        <f t="shared" si="32"/>
        <v>13.105</v>
      </c>
      <c r="Y167" s="39">
        <f t="shared" si="32"/>
        <v>21.824999999999999</v>
      </c>
      <c r="Z167" s="39">
        <f t="shared" si="32"/>
        <v>23.12</v>
      </c>
      <c r="AA167" s="39">
        <f t="shared" si="32"/>
        <v>22.02</v>
      </c>
      <c r="AB167" s="39">
        <f t="shared" si="32"/>
        <v>0</v>
      </c>
      <c r="AC167" s="39">
        <f t="shared" si="32"/>
        <v>22.344999999999999</v>
      </c>
      <c r="AD167" s="39">
        <v>0</v>
      </c>
      <c r="AE167" s="39">
        <f>SUM(AE155:AE165)</f>
        <v>0</v>
      </c>
      <c r="AF167" s="39">
        <f>SUM(AF155:AF165)</f>
        <v>0</v>
      </c>
      <c r="AG167" s="39">
        <f>SUM(AG155:AG165)</f>
        <v>0</v>
      </c>
      <c r="AH167" s="32">
        <f>SUM(AH155:AH165)</f>
        <v>194.05500000000001</v>
      </c>
    </row>
    <row r="168" spans="1:36" ht="5.0999999999999996" customHeight="1">
      <c r="A168" s="36"/>
      <c r="B168" s="37"/>
      <c r="C168" s="13"/>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13"/>
    </row>
    <row r="169" spans="1:36" ht="15">
      <c r="A169" s="3811" t="s">
        <v>125</v>
      </c>
      <c r="B169" s="3812"/>
      <c r="C169" s="3812"/>
      <c r="D169" s="3812"/>
      <c r="E169" s="3812"/>
      <c r="F169" s="3812"/>
      <c r="G169" s="3812"/>
      <c r="H169" s="3813"/>
      <c r="I169" s="1229"/>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row>
    <row r="170" spans="1:36" ht="15">
      <c r="A170" s="5" t="s">
        <v>70</v>
      </c>
      <c r="B170" s="5" t="s">
        <v>71</v>
      </c>
      <c r="C170" s="1039">
        <v>1</v>
      </c>
      <c r="D170" s="21">
        <v>2</v>
      </c>
      <c r="E170" s="21">
        <v>3</v>
      </c>
      <c r="F170" s="21">
        <v>4</v>
      </c>
      <c r="G170" s="21">
        <v>5</v>
      </c>
      <c r="H170" s="21">
        <v>6</v>
      </c>
      <c r="I170" s="21">
        <v>7</v>
      </c>
      <c r="J170" s="21">
        <v>8</v>
      </c>
      <c r="K170" s="21">
        <v>9</v>
      </c>
      <c r="L170" s="21">
        <v>10</v>
      </c>
      <c r="M170" s="21">
        <v>11</v>
      </c>
      <c r="N170" s="21">
        <v>12</v>
      </c>
      <c r="O170" s="21">
        <v>13</v>
      </c>
      <c r="P170" s="21">
        <v>14</v>
      </c>
      <c r="Q170" s="21">
        <v>15</v>
      </c>
      <c r="R170" s="21">
        <v>16</v>
      </c>
      <c r="S170" s="21">
        <v>17</v>
      </c>
      <c r="T170" s="21">
        <v>18</v>
      </c>
      <c r="U170" s="21">
        <v>19</v>
      </c>
      <c r="V170" s="21">
        <v>20</v>
      </c>
      <c r="W170" s="21">
        <v>21</v>
      </c>
      <c r="X170" s="21">
        <v>22</v>
      </c>
      <c r="Y170" s="21">
        <v>23</v>
      </c>
      <c r="Z170" s="21">
        <v>24</v>
      </c>
      <c r="AA170" s="21">
        <v>25</v>
      </c>
      <c r="AB170" s="21">
        <v>26</v>
      </c>
      <c r="AC170" s="21">
        <v>27</v>
      </c>
      <c r="AD170" s="21">
        <v>28</v>
      </c>
      <c r="AE170" s="21">
        <v>29</v>
      </c>
      <c r="AF170" s="21">
        <v>30</v>
      </c>
      <c r="AG170" s="21">
        <v>31</v>
      </c>
      <c r="AH170" s="25" t="s">
        <v>72</v>
      </c>
      <c r="AI170" s="2266" t="s">
        <v>1345</v>
      </c>
      <c r="AJ170" s="66" t="e">
        <f>(B183/COUNTIF($C$171:$AG$182,"&gt;0"))</f>
        <v>#DIV/0!</v>
      </c>
    </row>
    <row r="171" spans="1:36" ht="15">
      <c r="A171" s="120" t="s">
        <v>73</v>
      </c>
      <c r="B171" s="15">
        <f t="shared" ref="B171:B182" si="33">+AH171</f>
        <v>0</v>
      </c>
      <c r="C171" s="107" t="s">
        <v>109</v>
      </c>
      <c r="D171" s="107" t="s">
        <v>109</v>
      </c>
      <c r="E171" s="107" t="s">
        <v>109</v>
      </c>
      <c r="F171" s="107" t="s">
        <v>109</v>
      </c>
      <c r="G171" s="107" t="s">
        <v>109</v>
      </c>
      <c r="H171" s="107" t="s">
        <v>109</v>
      </c>
      <c r="I171" s="107" t="s">
        <v>109</v>
      </c>
      <c r="J171" s="107" t="s">
        <v>109</v>
      </c>
      <c r="K171" s="107" t="s">
        <v>109</v>
      </c>
      <c r="L171" s="107" t="s">
        <v>109</v>
      </c>
      <c r="M171" s="107" t="s">
        <v>109</v>
      </c>
      <c r="N171" s="107" t="s">
        <v>109</v>
      </c>
      <c r="O171" s="107" t="s">
        <v>109</v>
      </c>
      <c r="P171" s="107" t="s">
        <v>109</v>
      </c>
      <c r="Q171" s="107" t="s">
        <v>109</v>
      </c>
      <c r="R171" s="107" t="s">
        <v>109</v>
      </c>
      <c r="S171" s="107" t="s">
        <v>109</v>
      </c>
      <c r="T171" s="107" t="s">
        <v>109</v>
      </c>
      <c r="U171" s="107" t="s">
        <v>109</v>
      </c>
      <c r="V171" s="107" t="s">
        <v>109</v>
      </c>
      <c r="W171" s="107" t="s">
        <v>109</v>
      </c>
      <c r="X171" s="107" t="s">
        <v>109</v>
      </c>
      <c r="Y171" s="107" t="s">
        <v>109</v>
      </c>
      <c r="Z171" s="107" t="s">
        <v>109</v>
      </c>
      <c r="AA171" s="107" t="s">
        <v>109</v>
      </c>
      <c r="AB171" s="107" t="s">
        <v>109</v>
      </c>
      <c r="AC171" s="107" t="s">
        <v>109</v>
      </c>
      <c r="AD171" s="107" t="s">
        <v>109</v>
      </c>
      <c r="AE171" s="107" t="s">
        <v>109</v>
      </c>
      <c r="AF171" s="107" t="s">
        <v>109</v>
      </c>
      <c r="AG171" s="107" t="s">
        <v>109</v>
      </c>
      <c r="AH171" s="39">
        <f>SUM(C171:AG171)</f>
        <v>0</v>
      </c>
    </row>
    <row r="172" spans="1:36" ht="15">
      <c r="A172" s="120" t="s">
        <v>74</v>
      </c>
      <c r="B172" s="52">
        <f t="shared" si="33"/>
        <v>0</v>
      </c>
      <c r="C172" s="107" t="s">
        <v>109</v>
      </c>
      <c r="D172" s="107" t="s">
        <v>109</v>
      </c>
      <c r="E172" s="107" t="s">
        <v>109</v>
      </c>
      <c r="F172" s="107" t="s">
        <v>109</v>
      </c>
      <c r="G172" s="107" t="s">
        <v>109</v>
      </c>
      <c r="H172" s="107" t="s">
        <v>109</v>
      </c>
      <c r="I172" s="107" t="s">
        <v>109</v>
      </c>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39">
        <f t="shared" ref="AH172:AH182" si="34">SUM(C172:AG172)</f>
        <v>0</v>
      </c>
    </row>
    <row r="173" spans="1:36" ht="15">
      <c r="A173" s="120" t="s">
        <v>75</v>
      </c>
      <c r="B173" s="15">
        <f t="shared" si="33"/>
        <v>0</v>
      </c>
      <c r="C173" s="108"/>
      <c r="D173" s="108"/>
      <c r="E173" s="108"/>
      <c r="F173" s="108"/>
      <c r="G173" s="108"/>
      <c r="H173" s="94"/>
      <c r="I173" s="94"/>
      <c r="J173" s="94"/>
      <c r="K173" s="94"/>
      <c r="L173" s="94"/>
      <c r="M173" s="94"/>
      <c r="N173" s="94">
        <v>0</v>
      </c>
      <c r="O173" s="94"/>
      <c r="P173" s="94"/>
      <c r="Q173" s="94"/>
      <c r="R173" s="94"/>
      <c r="S173" s="15"/>
      <c r="T173" s="15"/>
      <c r="U173" s="15"/>
      <c r="V173" s="15"/>
      <c r="W173" s="15"/>
      <c r="X173" s="15"/>
      <c r="Y173" s="15"/>
      <c r="Z173" s="15"/>
      <c r="AA173" s="15"/>
      <c r="AB173" s="15"/>
      <c r="AC173" s="1689"/>
      <c r="AD173" s="1689"/>
      <c r="AE173" s="1689"/>
      <c r="AF173" s="1689"/>
      <c r="AG173" s="1689"/>
      <c r="AH173" s="39">
        <f t="shared" si="34"/>
        <v>0</v>
      </c>
    </row>
    <row r="174" spans="1:36" ht="15">
      <c r="A174" s="120" t="s">
        <v>76</v>
      </c>
      <c r="B174" s="15">
        <f t="shared" si="33"/>
        <v>0</v>
      </c>
      <c r="C174" s="1689"/>
      <c r="D174" s="1689"/>
      <c r="E174" s="1689"/>
      <c r="F174" s="1689"/>
      <c r="G174" s="1689"/>
      <c r="H174" s="1689"/>
      <c r="I174" s="1689"/>
      <c r="J174" s="1689"/>
      <c r="K174" s="1689"/>
      <c r="L174" s="1091"/>
      <c r="M174" s="1091"/>
      <c r="N174" s="1091"/>
      <c r="O174" s="1091"/>
      <c r="P174" s="1091"/>
      <c r="Q174" s="1091"/>
      <c r="R174" s="1091"/>
      <c r="S174" s="1091"/>
      <c r="T174" s="1091"/>
      <c r="U174" s="1091"/>
      <c r="V174" s="1091"/>
      <c r="W174" s="1091"/>
      <c r="X174" s="1091"/>
      <c r="Y174" s="1091"/>
      <c r="Z174" s="1091"/>
      <c r="AA174" s="1091"/>
      <c r="AB174" s="1091"/>
      <c r="AC174" s="1091"/>
      <c r="AD174" s="1091"/>
      <c r="AE174" s="1091"/>
      <c r="AF174" s="1091"/>
      <c r="AG174" s="1091"/>
      <c r="AH174" s="39">
        <f>SUM(C174:AG174)</f>
        <v>0</v>
      </c>
    </row>
    <row r="175" spans="1:36" ht="15">
      <c r="A175" s="111" t="s">
        <v>77</v>
      </c>
      <c r="B175" s="15">
        <f t="shared" si="33"/>
        <v>0</v>
      </c>
      <c r="C175" s="1091"/>
      <c r="D175" s="1091"/>
      <c r="E175" s="1091"/>
      <c r="F175" s="1091"/>
      <c r="G175" s="1091"/>
      <c r="H175" s="1091"/>
      <c r="I175" s="1091"/>
      <c r="J175" s="1091"/>
      <c r="K175" s="1091"/>
      <c r="L175" s="1091"/>
      <c r="M175" s="1091"/>
      <c r="N175" s="1091"/>
      <c r="O175" s="1091"/>
      <c r="P175" s="1091"/>
      <c r="Q175" s="1091"/>
      <c r="R175" s="1091"/>
      <c r="S175" s="1091"/>
      <c r="T175" s="1091"/>
      <c r="U175" s="1091"/>
      <c r="V175" s="1091"/>
      <c r="W175" s="1091"/>
      <c r="X175" s="1091"/>
      <c r="Y175" s="1091"/>
      <c r="Z175" s="1091"/>
      <c r="AA175" s="1091"/>
      <c r="AB175" s="1091"/>
      <c r="AC175" s="1091"/>
      <c r="AD175" s="1091"/>
      <c r="AE175" s="1091"/>
      <c r="AF175" s="1091"/>
      <c r="AG175" s="1091"/>
      <c r="AH175" s="39">
        <f t="shared" si="34"/>
        <v>0</v>
      </c>
    </row>
    <row r="176" spans="1:36" ht="15">
      <c r="A176" s="111" t="s">
        <v>78</v>
      </c>
      <c r="B176" s="15">
        <f t="shared" si="33"/>
        <v>0</v>
      </c>
      <c r="C176" s="1091"/>
      <c r="D176" s="1091"/>
      <c r="E176" s="1091"/>
      <c r="F176" s="1091"/>
      <c r="G176" s="1091"/>
      <c r="H176" s="1091"/>
      <c r="I176" s="1091"/>
      <c r="J176" s="1091"/>
      <c r="K176" s="1091"/>
      <c r="L176" s="1091"/>
      <c r="M176" s="1091"/>
      <c r="N176" s="1091"/>
      <c r="O176" s="1091"/>
      <c r="P176" s="1091"/>
      <c r="Q176" s="1091"/>
      <c r="R176" s="1091"/>
      <c r="S176" s="1091"/>
      <c r="T176" s="1091"/>
      <c r="U176" s="1091"/>
      <c r="V176" s="1091"/>
      <c r="W176" s="1091"/>
      <c r="X176" s="1091"/>
      <c r="Y176" s="1091"/>
      <c r="Z176" s="1091"/>
      <c r="AA176" s="1091"/>
      <c r="AB176" s="1091"/>
      <c r="AC176" s="1091"/>
      <c r="AD176" s="1091"/>
      <c r="AE176" s="1091"/>
      <c r="AF176" s="1091"/>
      <c r="AG176" s="1091"/>
      <c r="AH176" s="39">
        <f t="shared" si="34"/>
        <v>0</v>
      </c>
    </row>
    <row r="177" spans="1:36" ht="15">
      <c r="A177" s="111" t="s">
        <v>79</v>
      </c>
      <c r="B177" s="15">
        <f t="shared" si="33"/>
        <v>0</v>
      </c>
      <c r="C177" s="1091"/>
      <c r="D177" s="1268"/>
      <c r="E177" s="1268"/>
      <c r="F177" s="1268"/>
      <c r="G177" s="1091"/>
      <c r="H177" s="1091"/>
      <c r="I177" s="1091"/>
      <c r="J177" s="2068"/>
      <c r="K177" s="2068"/>
      <c r="L177" s="1268"/>
      <c r="M177" s="1268"/>
      <c r="N177" s="1268"/>
      <c r="O177" s="1268"/>
      <c r="P177" s="1540"/>
      <c r="Q177" s="1268"/>
      <c r="R177" s="1268"/>
      <c r="S177" s="1268"/>
      <c r="T177" s="1268"/>
      <c r="U177" s="1268"/>
      <c r="V177" s="1268"/>
      <c r="W177" s="609"/>
      <c r="X177" s="609"/>
      <c r="Y177" s="609"/>
      <c r="Z177" s="609"/>
      <c r="AA177" s="609"/>
      <c r="AB177" s="609"/>
      <c r="AC177" s="609"/>
      <c r="AD177" s="609"/>
      <c r="AE177" s="609"/>
      <c r="AF177" s="2170"/>
      <c r="AG177" s="609" t="s">
        <v>109</v>
      </c>
      <c r="AH177" s="39">
        <f t="shared" si="34"/>
        <v>0</v>
      </c>
    </row>
    <row r="178" spans="1:36" ht="15">
      <c r="A178" s="111" t="s">
        <v>80</v>
      </c>
      <c r="B178" s="15">
        <f t="shared" si="33"/>
        <v>0</v>
      </c>
      <c r="C178" s="609" t="s">
        <v>109</v>
      </c>
      <c r="D178" s="609" t="s">
        <v>109</v>
      </c>
      <c r="E178" s="609" t="s">
        <v>109</v>
      </c>
      <c r="F178" s="609" t="s">
        <v>109</v>
      </c>
      <c r="G178" s="609" t="s">
        <v>109</v>
      </c>
      <c r="H178" s="609" t="s">
        <v>109</v>
      </c>
      <c r="I178" s="609" t="s">
        <v>109</v>
      </c>
      <c r="J178" s="609" t="s">
        <v>109</v>
      </c>
      <c r="K178" s="609" t="s">
        <v>109</v>
      </c>
      <c r="L178" s="609" t="s">
        <v>109</v>
      </c>
      <c r="M178" s="609" t="s">
        <v>109</v>
      </c>
      <c r="N178" s="609" t="s">
        <v>109</v>
      </c>
      <c r="O178" s="609" t="s">
        <v>109</v>
      </c>
      <c r="P178" s="609" t="s">
        <v>109</v>
      </c>
      <c r="Q178" s="609" t="s">
        <v>109</v>
      </c>
      <c r="R178" s="609" t="s">
        <v>109</v>
      </c>
      <c r="S178" s="609" t="s">
        <v>109</v>
      </c>
      <c r="T178" s="609" t="s">
        <v>109</v>
      </c>
      <c r="U178" s="609" t="s">
        <v>109</v>
      </c>
      <c r="V178" s="609" t="s">
        <v>109</v>
      </c>
      <c r="W178" s="609" t="s">
        <v>109</v>
      </c>
      <c r="X178" s="609" t="s">
        <v>109</v>
      </c>
      <c r="Y178" s="609" t="s">
        <v>109</v>
      </c>
      <c r="Z178" s="609" t="s">
        <v>109</v>
      </c>
      <c r="AA178" s="609" t="s">
        <v>109</v>
      </c>
      <c r="AB178" s="609" t="s">
        <v>109</v>
      </c>
      <c r="AC178" s="609" t="s">
        <v>109</v>
      </c>
      <c r="AD178" s="609" t="s">
        <v>109</v>
      </c>
      <c r="AE178" s="609" t="s">
        <v>109</v>
      </c>
      <c r="AF178" s="609" t="s">
        <v>109</v>
      </c>
      <c r="AG178" s="609" t="s">
        <v>109</v>
      </c>
      <c r="AH178" s="39">
        <f t="shared" si="34"/>
        <v>0</v>
      </c>
    </row>
    <row r="179" spans="1:36" ht="15">
      <c r="A179" s="109" t="s">
        <v>81</v>
      </c>
      <c r="B179" s="15">
        <f t="shared" si="33"/>
        <v>0</v>
      </c>
      <c r="C179" s="609" t="s">
        <v>109</v>
      </c>
      <c r="D179" s="609" t="s">
        <v>109</v>
      </c>
      <c r="E179" s="609" t="s">
        <v>109</v>
      </c>
      <c r="F179" s="609" t="s">
        <v>109</v>
      </c>
      <c r="G179" s="609" t="s">
        <v>109</v>
      </c>
      <c r="H179" s="609" t="s">
        <v>109</v>
      </c>
      <c r="I179" s="609" t="s">
        <v>109</v>
      </c>
      <c r="J179" s="609" t="s">
        <v>109</v>
      </c>
      <c r="K179" s="609" t="s">
        <v>109</v>
      </c>
      <c r="L179" s="609" t="s">
        <v>109</v>
      </c>
      <c r="M179" s="609" t="s">
        <v>109</v>
      </c>
      <c r="N179" s="609" t="s">
        <v>109</v>
      </c>
      <c r="O179" s="609" t="s">
        <v>109</v>
      </c>
      <c r="P179" s="609" t="s">
        <v>109</v>
      </c>
      <c r="Q179" s="609" t="s">
        <v>109</v>
      </c>
      <c r="R179" s="609" t="s">
        <v>109</v>
      </c>
      <c r="S179" s="609" t="s">
        <v>109</v>
      </c>
      <c r="T179" s="609" t="s">
        <v>109</v>
      </c>
      <c r="U179" s="609" t="s">
        <v>109</v>
      </c>
      <c r="V179" s="609" t="s">
        <v>109</v>
      </c>
      <c r="W179" s="609" t="s">
        <v>109</v>
      </c>
      <c r="X179" s="609" t="s">
        <v>109</v>
      </c>
      <c r="Y179" s="609" t="s">
        <v>109</v>
      </c>
      <c r="Z179" s="609" t="s">
        <v>109</v>
      </c>
      <c r="AA179" s="609" t="s">
        <v>109</v>
      </c>
      <c r="AB179" s="609" t="s">
        <v>109</v>
      </c>
      <c r="AC179" s="609" t="s">
        <v>109</v>
      </c>
      <c r="AD179" s="609" t="s">
        <v>109</v>
      </c>
      <c r="AE179" s="609" t="s">
        <v>109</v>
      </c>
      <c r="AF179" s="609" t="s">
        <v>109</v>
      </c>
      <c r="AG179" s="609" t="s">
        <v>109</v>
      </c>
      <c r="AH179" s="39">
        <f t="shared" si="34"/>
        <v>0</v>
      </c>
    </row>
    <row r="180" spans="1:36" ht="15">
      <c r="A180" s="109" t="s">
        <v>82</v>
      </c>
      <c r="B180" s="15">
        <f t="shared" si="33"/>
        <v>0</v>
      </c>
      <c r="C180" s="609" t="s">
        <v>109</v>
      </c>
      <c r="D180" s="609" t="s">
        <v>109</v>
      </c>
      <c r="E180" s="609" t="s">
        <v>109</v>
      </c>
      <c r="F180" s="609" t="s">
        <v>109</v>
      </c>
      <c r="G180" s="609" t="s">
        <v>109</v>
      </c>
      <c r="H180" s="609" t="s">
        <v>109</v>
      </c>
      <c r="I180" s="609" t="s">
        <v>109</v>
      </c>
      <c r="J180" s="609" t="s">
        <v>109</v>
      </c>
      <c r="K180" s="609" t="s">
        <v>109</v>
      </c>
      <c r="L180" s="609" t="s">
        <v>109</v>
      </c>
      <c r="M180" s="609" t="s">
        <v>109</v>
      </c>
      <c r="N180" s="609" t="s">
        <v>109</v>
      </c>
      <c r="O180" s="609" t="s">
        <v>109</v>
      </c>
      <c r="P180" s="609" t="s">
        <v>109</v>
      </c>
      <c r="Q180" s="609" t="s">
        <v>109</v>
      </c>
      <c r="R180" s="609" t="s">
        <v>109</v>
      </c>
      <c r="S180" s="609" t="s">
        <v>109</v>
      </c>
      <c r="T180" s="609" t="s">
        <v>109</v>
      </c>
      <c r="U180" s="609" t="s">
        <v>109</v>
      </c>
      <c r="V180" s="609" t="s">
        <v>109</v>
      </c>
      <c r="W180" s="609" t="s">
        <v>109</v>
      </c>
      <c r="X180" s="1091"/>
      <c r="Y180" s="1091"/>
      <c r="Z180" s="1091"/>
      <c r="AA180" s="1091"/>
      <c r="AB180" s="1091"/>
      <c r="AC180" s="1091"/>
      <c r="AD180" s="1091"/>
      <c r="AE180" s="1268"/>
      <c r="AF180" s="1091"/>
      <c r="AG180" s="1268"/>
      <c r="AH180" s="39">
        <f t="shared" si="34"/>
        <v>0</v>
      </c>
    </row>
    <row r="181" spans="1:36" ht="15">
      <c r="A181" s="109" t="s">
        <v>83</v>
      </c>
      <c r="B181" s="15">
        <f t="shared" si="33"/>
        <v>0</v>
      </c>
      <c r="C181" s="1091"/>
      <c r="D181" s="1091"/>
      <c r="E181" s="1091"/>
      <c r="F181" s="1091"/>
      <c r="G181" s="1229"/>
      <c r="H181" s="1091"/>
      <c r="I181" s="1091"/>
      <c r="J181" s="1091"/>
      <c r="K181" s="1091"/>
      <c r="L181" s="1091"/>
      <c r="M181" s="1091"/>
      <c r="N181" s="1091"/>
      <c r="O181" s="1091"/>
      <c r="P181" s="1091"/>
      <c r="Q181" s="1091"/>
      <c r="R181" s="1091"/>
      <c r="S181" s="1091"/>
      <c r="T181" s="1091"/>
      <c r="U181" s="1091"/>
      <c r="V181" s="1091"/>
      <c r="W181" s="1091"/>
      <c r="X181" s="1091"/>
      <c r="Y181" s="1229"/>
      <c r="Z181" s="1091"/>
      <c r="AA181" s="1091"/>
      <c r="AB181" s="1091"/>
      <c r="AC181" s="1091"/>
      <c r="AD181" s="1091"/>
      <c r="AE181" s="1268"/>
      <c r="AF181" s="1091"/>
      <c r="AG181" s="1268"/>
      <c r="AH181" s="39">
        <f t="shared" si="34"/>
        <v>0</v>
      </c>
    </row>
    <row r="182" spans="1:36" ht="15">
      <c r="A182" s="109" t="s">
        <v>84</v>
      </c>
      <c r="B182" s="15">
        <f t="shared" si="33"/>
        <v>0</v>
      </c>
      <c r="C182" s="1091"/>
      <c r="D182" s="1091"/>
      <c r="E182" s="1091"/>
      <c r="F182" s="1091"/>
      <c r="G182" s="1091"/>
      <c r="H182" s="1091"/>
      <c r="I182" s="1091"/>
      <c r="J182" s="1091"/>
      <c r="K182" s="1091"/>
      <c r="L182" s="1091"/>
      <c r="M182" s="1091"/>
      <c r="N182" s="1091"/>
      <c r="O182" s="1091"/>
      <c r="P182" s="1091"/>
      <c r="Q182" s="1091"/>
      <c r="R182" s="1091"/>
      <c r="S182" s="1091"/>
      <c r="T182" s="1091"/>
      <c r="U182" s="1091"/>
      <c r="V182" s="1091"/>
      <c r="W182" s="1091"/>
      <c r="X182" s="1091"/>
      <c r="Y182" s="1091"/>
      <c r="Z182" s="1091"/>
      <c r="AA182" s="1091"/>
      <c r="AB182" s="1091"/>
      <c r="AC182" s="1091"/>
      <c r="AD182" s="1091"/>
      <c r="AE182" s="1091"/>
      <c r="AF182" s="1091"/>
      <c r="AG182" s="1091"/>
      <c r="AH182" s="39">
        <f t="shared" si="34"/>
        <v>0</v>
      </c>
    </row>
    <row r="183" spans="1:36" ht="15">
      <c r="A183" s="71" t="s">
        <v>72</v>
      </c>
      <c r="B183" s="75">
        <f>SUM(B171:B182)</f>
        <v>0</v>
      </c>
      <c r="C183" s="32">
        <f>SUM(C171:C181)</f>
        <v>0</v>
      </c>
      <c r="D183" s="39">
        <f>SUM(D171:D181)</f>
        <v>0</v>
      </c>
      <c r="E183" s="39">
        <v>0</v>
      </c>
      <c r="F183" s="39">
        <f t="shared" ref="F183:AC183" si="35">SUM(F171:F181)</f>
        <v>0</v>
      </c>
      <c r="G183" s="39">
        <f t="shared" si="35"/>
        <v>0</v>
      </c>
      <c r="H183" s="39">
        <f t="shared" si="35"/>
        <v>0</v>
      </c>
      <c r="I183" s="39">
        <f t="shared" si="35"/>
        <v>0</v>
      </c>
      <c r="J183" s="39">
        <f t="shared" si="35"/>
        <v>0</v>
      </c>
      <c r="K183" s="39">
        <f t="shared" si="35"/>
        <v>0</v>
      </c>
      <c r="L183" s="39">
        <f t="shared" si="35"/>
        <v>0</v>
      </c>
      <c r="M183" s="39">
        <f t="shared" si="35"/>
        <v>0</v>
      </c>
      <c r="N183" s="39">
        <f t="shared" si="35"/>
        <v>0</v>
      </c>
      <c r="O183" s="39">
        <f t="shared" si="35"/>
        <v>0</v>
      </c>
      <c r="P183" s="39">
        <f t="shared" si="35"/>
        <v>0</v>
      </c>
      <c r="Q183" s="39">
        <f t="shared" si="35"/>
        <v>0</v>
      </c>
      <c r="R183" s="39">
        <f t="shared" si="35"/>
        <v>0</v>
      </c>
      <c r="S183" s="39">
        <f t="shared" si="35"/>
        <v>0</v>
      </c>
      <c r="T183" s="39">
        <f t="shared" si="35"/>
        <v>0</v>
      </c>
      <c r="U183" s="39">
        <f t="shared" si="35"/>
        <v>0</v>
      </c>
      <c r="V183" s="39">
        <f t="shared" si="35"/>
        <v>0</v>
      </c>
      <c r="W183" s="39">
        <f t="shared" si="35"/>
        <v>0</v>
      </c>
      <c r="X183" s="39">
        <f t="shared" si="35"/>
        <v>0</v>
      </c>
      <c r="Y183" s="39">
        <f t="shared" si="35"/>
        <v>0</v>
      </c>
      <c r="Z183" s="39">
        <f t="shared" si="35"/>
        <v>0</v>
      </c>
      <c r="AA183" s="39">
        <f t="shared" si="35"/>
        <v>0</v>
      </c>
      <c r="AB183" s="39">
        <f t="shared" si="35"/>
        <v>0</v>
      </c>
      <c r="AC183" s="39">
        <f t="shared" si="35"/>
        <v>0</v>
      </c>
      <c r="AD183" s="39">
        <v>0</v>
      </c>
      <c r="AE183" s="39">
        <f>SUM(AE171:AE181)</f>
        <v>0</v>
      </c>
      <c r="AF183" s="39">
        <f>SUM(AF171:AF181)</f>
        <v>0</v>
      </c>
      <c r="AG183" s="39">
        <f>SUM(AG171:AG181)</f>
        <v>0</v>
      </c>
      <c r="AH183" s="32">
        <f>SUM(AH171:AH181)</f>
        <v>0</v>
      </c>
    </row>
    <row r="184" spans="1:36" ht="5.0999999999999996" customHeight="1">
      <c r="A184" s="36"/>
      <c r="B184" s="44"/>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row>
    <row r="185" spans="1:36" ht="15">
      <c r="A185" s="3811" t="s">
        <v>100</v>
      </c>
      <c r="B185" s="3812"/>
      <c r="C185" s="3812"/>
      <c r="D185" s="3812"/>
      <c r="E185" s="3812"/>
      <c r="F185" s="3812"/>
      <c r="G185" s="3812"/>
      <c r="H185" s="3813"/>
      <c r="I185" s="1229"/>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row>
    <row r="186" spans="1:36" ht="15">
      <c r="A186" s="5" t="s">
        <v>89</v>
      </c>
      <c r="B186" s="5" t="s">
        <v>71</v>
      </c>
      <c r="C186" s="1039">
        <v>1</v>
      </c>
      <c r="D186" s="98">
        <v>2</v>
      </c>
      <c r="E186" s="21">
        <v>3</v>
      </c>
      <c r="F186" s="21">
        <v>4</v>
      </c>
      <c r="G186" s="21">
        <v>5</v>
      </c>
      <c r="H186" s="21">
        <v>6</v>
      </c>
      <c r="I186" s="21">
        <v>7</v>
      </c>
      <c r="J186" s="21">
        <v>8</v>
      </c>
      <c r="K186" s="21">
        <v>9</v>
      </c>
      <c r="L186" s="21">
        <v>10</v>
      </c>
      <c r="M186" s="21">
        <v>11</v>
      </c>
      <c r="N186" s="21">
        <v>12</v>
      </c>
      <c r="O186" s="21">
        <v>13</v>
      </c>
      <c r="P186" s="21">
        <v>14</v>
      </c>
      <c r="Q186" s="21">
        <v>15</v>
      </c>
      <c r="R186" s="21">
        <v>16</v>
      </c>
      <c r="S186" s="21">
        <v>17</v>
      </c>
      <c r="T186" s="21">
        <v>18</v>
      </c>
      <c r="U186" s="21">
        <v>19</v>
      </c>
      <c r="V186" s="21">
        <v>20</v>
      </c>
      <c r="W186" s="21">
        <v>21</v>
      </c>
      <c r="X186" s="21">
        <v>22</v>
      </c>
      <c r="Y186" s="21">
        <v>23</v>
      </c>
      <c r="Z186" s="21">
        <v>24</v>
      </c>
      <c r="AA186" s="21">
        <v>25</v>
      </c>
      <c r="AB186" s="21">
        <v>26</v>
      </c>
      <c r="AC186" s="21">
        <v>27</v>
      </c>
      <c r="AD186" s="21">
        <v>28</v>
      </c>
      <c r="AE186" s="21">
        <v>29</v>
      </c>
      <c r="AF186" s="21">
        <v>30</v>
      </c>
      <c r="AG186" s="21">
        <v>31</v>
      </c>
      <c r="AH186" s="25" t="s">
        <v>72</v>
      </c>
      <c r="AI186" s="2266" t="s">
        <v>1345</v>
      </c>
      <c r="AJ186" s="66" t="e">
        <f>(B199/COUNTIF($C$187:$AG$198,"&gt;0"))</f>
        <v>#DIV/0!</v>
      </c>
    </row>
    <row r="187" spans="1:36" ht="15">
      <c r="A187" s="120" t="s">
        <v>73</v>
      </c>
      <c r="B187" s="15">
        <f t="shared" ref="B187:B198" si="36">+AH187</f>
        <v>0</v>
      </c>
      <c r="C187" s="107" t="s">
        <v>109</v>
      </c>
      <c r="D187" s="107" t="s">
        <v>109</v>
      </c>
      <c r="E187" s="107" t="s">
        <v>109</v>
      </c>
      <c r="F187" s="107" t="s">
        <v>109</v>
      </c>
      <c r="G187" s="107" t="s">
        <v>109</v>
      </c>
      <c r="H187" s="107" t="s">
        <v>109</v>
      </c>
      <c r="I187" s="107" t="s">
        <v>109</v>
      </c>
      <c r="J187" s="107" t="s">
        <v>109</v>
      </c>
      <c r="K187" s="107" t="s">
        <v>109</v>
      </c>
      <c r="L187" s="107" t="s">
        <v>109</v>
      </c>
      <c r="M187" s="107" t="s">
        <v>109</v>
      </c>
      <c r="N187" s="107" t="s">
        <v>109</v>
      </c>
      <c r="O187" s="107" t="s">
        <v>109</v>
      </c>
      <c r="P187" s="107" t="s">
        <v>109</v>
      </c>
      <c r="Q187" s="107" t="s">
        <v>109</v>
      </c>
      <c r="R187" s="107" t="s">
        <v>109</v>
      </c>
      <c r="S187" s="107" t="s">
        <v>109</v>
      </c>
      <c r="T187" s="107" t="s">
        <v>109</v>
      </c>
      <c r="U187" s="107" t="s">
        <v>109</v>
      </c>
      <c r="V187" s="107" t="s">
        <v>109</v>
      </c>
      <c r="W187" s="107" t="s">
        <v>109</v>
      </c>
      <c r="X187" s="107" t="s">
        <v>109</v>
      </c>
      <c r="Y187" s="107" t="s">
        <v>109</v>
      </c>
      <c r="Z187" s="107" t="s">
        <v>109</v>
      </c>
      <c r="AA187" s="107" t="s">
        <v>109</v>
      </c>
      <c r="AB187" s="107" t="s">
        <v>109</v>
      </c>
      <c r="AC187" s="107" t="s">
        <v>109</v>
      </c>
      <c r="AD187" s="107" t="s">
        <v>109</v>
      </c>
      <c r="AE187" s="107" t="s">
        <v>109</v>
      </c>
      <c r="AF187" s="107" t="s">
        <v>109</v>
      </c>
      <c r="AG187" s="107" t="s">
        <v>109</v>
      </c>
      <c r="AH187" s="39">
        <f>SUM(C187:AG187)</f>
        <v>0</v>
      </c>
    </row>
    <row r="188" spans="1:36" ht="15">
      <c r="A188" s="120" t="s">
        <v>74</v>
      </c>
      <c r="B188" s="15">
        <f t="shared" si="36"/>
        <v>0</v>
      </c>
      <c r="C188" s="107" t="s">
        <v>109</v>
      </c>
      <c r="D188" s="107" t="s">
        <v>109</v>
      </c>
      <c r="E188" s="107" t="s">
        <v>109</v>
      </c>
      <c r="F188" s="107" t="s">
        <v>109</v>
      </c>
      <c r="G188" s="107" t="s">
        <v>109</v>
      </c>
      <c r="H188" s="107" t="s">
        <v>109</v>
      </c>
      <c r="I188" s="107" t="s">
        <v>109</v>
      </c>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39">
        <f t="shared" ref="AH188:AH198" si="37">SUM(C188:AG188)</f>
        <v>0</v>
      </c>
    </row>
    <row r="189" spans="1:36" ht="15">
      <c r="A189" s="120" t="s">
        <v>75</v>
      </c>
      <c r="B189" s="15">
        <f t="shared" si="36"/>
        <v>0</v>
      </c>
      <c r="C189" s="108"/>
      <c r="D189" s="108"/>
      <c r="E189" s="108"/>
      <c r="F189" s="108"/>
      <c r="G189" s="108"/>
      <c r="H189" s="94"/>
      <c r="I189" s="94"/>
      <c r="J189" s="94"/>
      <c r="K189" s="94"/>
      <c r="L189" s="94"/>
      <c r="M189" s="94"/>
      <c r="N189" s="94">
        <v>0</v>
      </c>
      <c r="O189" s="94"/>
      <c r="P189" s="94"/>
      <c r="Q189" s="94"/>
      <c r="R189" s="94"/>
      <c r="S189" s="15"/>
      <c r="T189" s="15"/>
      <c r="U189" s="15"/>
      <c r="V189" s="15"/>
      <c r="W189" s="15"/>
      <c r="X189" s="15"/>
      <c r="Y189" s="15"/>
      <c r="Z189" s="15"/>
      <c r="AA189" s="15"/>
      <c r="AB189" s="15"/>
      <c r="AC189" s="1689"/>
      <c r="AD189" s="1689"/>
      <c r="AE189" s="1689"/>
      <c r="AF189" s="1689"/>
      <c r="AG189" s="1689"/>
      <c r="AH189" s="39">
        <f t="shared" si="37"/>
        <v>0</v>
      </c>
    </row>
    <row r="190" spans="1:36" ht="15">
      <c r="A190" s="120" t="s">
        <v>76</v>
      </c>
      <c r="B190" s="15">
        <f t="shared" si="36"/>
        <v>0</v>
      </c>
      <c r="C190" s="1689"/>
      <c r="D190" s="1689"/>
      <c r="E190" s="1689"/>
      <c r="F190" s="1689"/>
      <c r="G190" s="1689"/>
      <c r="H190" s="1689"/>
      <c r="I190" s="1689"/>
      <c r="J190" s="1689"/>
      <c r="K190" s="1689"/>
      <c r="L190" s="1091"/>
      <c r="M190" s="1091"/>
      <c r="N190" s="1091"/>
      <c r="O190" s="1091"/>
      <c r="P190" s="1091"/>
      <c r="Q190" s="1091"/>
      <c r="R190" s="1091"/>
      <c r="S190" s="1091"/>
      <c r="T190" s="1091"/>
      <c r="U190" s="1091"/>
      <c r="V190" s="1091"/>
      <c r="W190" s="1091"/>
      <c r="X190" s="1091"/>
      <c r="Y190" s="1091"/>
      <c r="Z190" s="1091"/>
      <c r="AA190" s="1091"/>
      <c r="AB190" s="1091"/>
      <c r="AC190" s="1091"/>
      <c r="AD190" s="1091"/>
      <c r="AE190" s="1091"/>
      <c r="AF190" s="1091"/>
      <c r="AG190" s="1091"/>
      <c r="AH190" s="39">
        <f t="shared" si="37"/>
        <v>0</v>
      </c>
    </row>
    <row r="191" spans="1:36" ht="15">
      <c r="A191" s="111" t="s">
        <v>77</v>
      </c>
      <c r="B191" s="15">
        <f t="shared" si="36"/>
        <v>0</v>
      </c>
      <c r="C191" s="1091"/>
      <c r="D191" s="1091"/>
      <c r="E191" s="1091"/>
      <c r="F191" s="1091"/>
      <c r="G191" s="1091"/>
      <c r="H191" s="1091"/>
      <c r="I191" s="1091"/>
      <c r="J191" s="1091"/>
      <c r="K191" s="1091"/>
      <c r="L191" s="1091"/>
      <c r="M191" s="1091"/>
      <c r="N191" s="1091"/>
      <c r="O191" s="1091"/>
      <c r="P191" s="1091"/>
      <c r="Q191" s="1091"/>
      <c r="R191" s="1091"/>
      <c r="S191" s="1091"/>
      <c r="T191" s="1091"/>
      <c r="U191" s="1091"/>
      <c r="V191" s="1091"/>
      <c r="W191" s="1091"/>
      <c r="X191" s="1091"/>
      <c r="Y191" s="1091"/>
      <c r="Z191" s="1091"/>
      <c r="AA191" s="1091"/>
      <c r="AB191" s="1091"/>
      <c r="AC191" s="1091"/>
      <c r="AD191" s="1091"/>
      <c r="AE191" s="1091"/>
      <c r="AF191" s="1091"/>
      <c r="AG191" s="1091"/>
      <c r="AH191" s="39">
        <f t="shared" si="37"/>
        <v>0</v>
      </c>
    </row>
    <row r="192" spans="1:36" ht="15">
      <c r="A192" s="111" t="s">
        <v>78</v>
      </c>
      <c r="B192" s="15">
        <f t="shared" si="36"/>
        <v>0</v>
      </c>
      <c r="C192" s="1091"/>
      <c r="D192" s="1091"/>
      <c r="E192" s="1091"/>
      <c r="F192" s="1091"/>
      <c r="G192" s="1091"/>
      <c r="H192" s="1091"/>
      <c r="I192" s="1091"/>
      <c r="J192" s="1091"/>
      <c r="K192" s="1091"/>
      <c r="L192" s="1091"/>
      <c r="M192" s="1091"/>
      <c r="N192" s="1091"/>
      <c r="O192" s="1091"/>
      <c r="P192" s="1091"/>
      <c r="Q192" s="1091"/>
      <c r="R192" s="1091"/>
      <c r="S192" s="1091"/>
      <c r="T192" s="1091"/>
      <c r="U192" s="1091"/>
      <c r="V192" s="1091"/>
      <c r="W192" s="1091"/>
      <c r="X192" s="1091"/>
      <c r="Y192" s="1091"/>
      <c r="Z192" s="1091"/>
      <c r="AA192" s="1091"/>
      <c r="AB192" s="1091"/>
      <c r="AC192" s="1091"/>
      <c r="AD192" s="1091"/>
      <c r="AE192" s="1091"/>
      <c r="AF192" s="1091"/>
      <c r="AG192" s="1091"/>
      <c r="AH192" s="39">
        <f t="shared" si="37"/>
        <v>0</v>
      </c>
    </row>
    <row r="193" spans="1:36" ht="15">
      <c r="A193" s="111" t="s">
        <v>79</v>
      </c>
      <c r="B193" s="15">
        <f t="shared" si="36"/>
        <v>0</v>
      </c>
      <c r="C193" s="1091"/>
      <c r="D193" s="1268"/>
      <c r="E193" s="1268"/>
      <c r="F193" s="1268"/>
      <c r="G193" s="1091"/>
      <c r="H193" s="1091"/>
      <c r="I193" s="1091"/>
      <c r="J193" s="2068"/>
      <c r="K193" s="2068"/>
      <c r="L193" s="1268"/>
      <c r="M193" s="1268"/>
      <c r="N193" s="1268"/>
      <c r="O193" s="1268"/>
      <c r="P193" s="1268"/>
      <c r="Q193" s="1268"/>
      <c r="R193" s="1268"/>
      <c r="S193" s="1268"/>
      <c r="T193" s="1268"/>
      <c r="U193" s="1268"/>
      <c r="V193" s="1268"/>
      <c r="W193" s="609"/>
      <c r="X193" s="609"/>
      <c r="Y193" s="609"/>
      <c r="Z193" s="609"/>
      <c r="AA193" s="609"/>
      <c r="AB193" s="609"/>
      <c r="AC193" s="609"/>
      <c r="AD193" s="609"/>
      <c r="AE193" s="609"/>
      <c r="AF193" s="609" t="s">
        <v>109</v>
      </c>
      <c r="AG193" s="609" t="s">
        <v>109</v>
      </c>
      <c r="AH193" s="39">
        <f t="shared" si="37"/>
        <v>0</v>
      </c>
    </row>
    <row r="194" spans="1:36" ht="15">
      <c r="A194" s="111" t="s">
        <v>80</v>
      </c>
      <c r="B194" s="15">
        <f t="shared" si="36"/>
        <v>0</v>
      </c>
      <c r="C194" s="609" t="s">
        <v>109</v>
      </c>
      <c r="D194" s="609" t="s">
        <v>109</v>
      </c>
      <c r="E194" s="609" t="s">
        <v>109</v>
      </c>
      <c r="F194" s="609" t="s">
        <v>109</v>
      </c>
      <c r="G194" s="609" t="s">
        <v>109</v>
      </c>
      <c r="H194" s="609" t="s">
        <v>109</v>
      </c>
      <c r="I194" s="609" t="s">
        <v>109</v>
      </c>
      <c r="J194" s="609" t="s">
        <v>109</v>
      </c>
      <c r="K194" s="609" t="s">
        <v>109</v>
      </c>
      <c r="L194" s="609" t="s">
        <v>109</v>
      </c>
      <c r="M194" s="609" t="s">
        <v>109</v>
      </c>
      <c r="N194" s="609" t="s">
        <v>109</v>
      </c>
      <c r="O194" s="609" t="s">
        <v>109</v>
      </c>
      <c r="P194" s="609" t="s">
        <v>109</v>
      </c>
      <c r="Q194" s="609" t="s">
        <v>109</v>
      </c>
      <c r="R194" s="609" t="s">
        <v>109</v>
      </c>
      <c r="S194" s="609" t="s">
        <v>109</v>
      </c>
      <c r="T194" s="609" t="s">
        <v>109</v>
      </c>
      <c r="U194" s="609" t="s">
        <v>109</v>
      </c>
      <c r="V194" s="609" t="s">
        <v>109</v>
      </c>
      <c r="W194" s="609" t="s">
        <v>109</v>
      </c>
      <c r="X194" s="609" t="s">
        <v>109</v>
      </c>
      <c r="Y194" s="609" t="s">
        <v>109</v>
      </c>
      <c r="Z194" s="609" t="s">
        <v>109</v>
      </c>
      <c r="AA194" s="609" t="s">
        <v>109</v>
      </c>
      <c r="AB194" s="609" t="s">
        <v>109</v>
      </c>
      <c r="AC194" s="609" t="s">
        <v>109</v>
      </c>
      <c r="AD194" s="609" t="s">
        <v>109</v>
      </c>
      <c r="AE194" s="609" t="s">
        <v>109</v>
      </c>
      <c r="AF194" s="609" t="s">
        <v>109</v>
      </c>
      <c r="AG194" s="609" t="s">
        <v>109</v>
      </c>
      <c r="AH194" s="39">
        <f t="shared" si="37"/>
        <v>0</v>
      </c>
    </row>
    <row r="195" spans="1:36" ht="15">
      <c r="A195" s="109" t="s">
        <v>81</v>
      </c>
      <c r="B195" s="15">
        <f t="shared" si="36"/>
        <v>0</v>
      </c>
      <c r="C195" s="609" t="s">
        <v>109</v>
      </c>
      <c r="D195" s="609" t="s">
        <v>109</v>
      </c>
      <c r="E195" s="609" t="s">
        <v>109</v>
      </c>
      <c r="F195" s="609" t="s">
        <v>109</v>
      </c>
      <c r="G195" s="609" t="s">
        <v>109</v>
      </c>
      <c r="H195" s="609" t="s">
        <v>109</v>
      </c>
      <c r="I195" s="609" t="s">
        <v>109</v>
      </c>
      <c r="J195" s="609" t="s">
        <v>109</v>
      </c>
      <c r="K195" s="609" t="s">
        <v>109</v>
      </c>
      <c r="L195" s="609" t="s">
        <v>109</v>
      </c>
      <c r="M195" s="609" t="s">
        <v>109</v>
      </c>
      <c r="N195" s="609" t="s">
        <v>109</v>
      </c>
      <c r="O195" s="609" t="s">
        <v>109</v>
      </c>
      <c r="P195" s="609" t="s">
        <v>109</v>
      </c>
      <c r="Q195" s="609" t="s">
        <v>109</v>
      </c>
      <c r="R195" s="609" t="s">
        <v>109</v>
      </c>
      <c r="S195" s="609" t="s">
        <v>109</v>
      </c>
      <c r="T195" s="609" t="s">
        <v>109</v>
      </c>
      <c r="U195" s="609" t="s">
        <v>109</v>
      </c>
      <c r="V195" s="609" t="s">
        <v>109</v>
      </c>
      <c r="W195" s="609" t="s">
        <v>109</v>
      </c>
      <c r="X195" s="609" t="s">
        <v>109</v>
      </c>
      <c r="Y195" s="609" t="s">
        <v>109</v>
      </c>
      <c r="Z195" s="609" t="s">
        <v>109</v>
      </c>
      <c r="AA195" s="609" t="s">
        <v>109</v>
      </c>
      <c r="AB195" s="609" t="s">
        <v>109</v>
      </c>
      <c r="AC195" s="609" t="s">
        <v>109</v>
      </c>
      <c r="AD195" s="609" t="s">
        <v>109</v>
      </c>
      <c r="AE195" s="609" t="s">
        <v>109</v>
      </c>
      <c r="AF195" s="609" t="s">
        <v>109</v>
      </c>
      <c r="AG195" s="609" t="s">
        <v>109</v>
      </c>
      <c r="AH195" s="39">
        <f t="shared" si="37"/>
        <v>0</v>
      </c>
    </row>
    <row r="196" spans="1:36" ht="15">
      <c r="A196" s="109" t="s">
        <v>82</v>
      </c>
      <c r="B196" s="15">
        <f t="shared" si="36"/>
        <v>0</v>
      </c>
      <c r="C196" s="609" t="s">
        <v>109</v>
      </c>
      <c r="D196" s="609" t="s">
        <v>109</v>
      </c>
      <c r="E196" s="609" t="s">
        <v>109</v>
      </c>
      <c r="F196" s="609" t="s">
        <v>109</v>
      </c>
      <c r="G196" s="609" t="s">
        <v>109</v>
      </c>
      <c r="H196" s="609" t="s">
        <v>109</v>
      </c>
      <c r="I196" s="609" t="s">
        <v>109</v>
      </c>
      <c r="J196" s="609" t="s">
        <v>109</v>
      </c>
      <c r="K196" s="609" t="s">
        <v>109</v>
      </c>
      <c r="L196" s="609" t="s">
        <v>109</v>
      </c>
      <c r="M196" s="609" t="s">
        <v>109</v>
      </c>
      <c r="N196" s="609" t="s">
        <v>109</v>
      </c>
      <c r="O196" s="609" t="s">
        <v>109</v>
      </c>
      <c r="P196" s="609" t="s">
        <v>109</v>
      </c>
      <c r="Q196" s="609" t="s">
        <v>109</v>
      </c>
      <c r="R196" s="609" t="s">
        <v>109</v>
      </c>
      <c r="S196" s="609" t="s">
        <v>109</v>
      </c>
      <c r="T196" s="609" t="s">
        <v>109</v>
      </c>
      <c r="U196" s="609" t="s">
        <v>109</v>
      </c>
      <c r="V196" s="609" t="s">
        <v>109</v>
      </c>
      <c r="W196" s="609" t="s">
        <v>109</v>
      </c>
      <c r="X196" s="1091"/>
      <c r="Y196" s="1091"/>
      <c r="Z196" s="1091"/>
      <c r="AA196" s="1091"/>
      <c r="AB196" s="1091"/>
      <c r="AC196" s="1091"/>
      <c r="AD196" s="1091"/>
      <c r="AE196" s="1268"/>
      <c r="AF196" s="1091"/>
      <c r="AG196" s="1268"/>
      <c r="AH196" s="39">
        <f t="shared" si="37"/>
        <v>0</v>
      </c>
    </row>
    <row r="197" spans="1:36" ht="15">
      <c r="A197" s="109" t="s">
        <v>83</v>
      </c>
      <c r="B197" s="15">
        <f t="shared" si="36"/>
        <v>0</v>
      </c>
      <c r="C197" s="1091"/>
      <c r="D197" s="1091"/>
      <c r="E197" s="1091"/>
      <c r="F197" s="1091"/>
      <c r="G197" s="1229"/>
      <c r="H197" s="1091"/>
      <c r="I197" s="1091"/>
      <c r="J197" s="1091"/>
      <c r="K197" s="1091"/>
      <c r="L197" s="1091"/>
      <c r="M197" s="1091"/>
      <c r="N197" s="1091"/>
      <c r="O197" s="1091"/>
      <c r="P197" s="1091"/>
      <c r="Q197" s="1091"/>
      <c r="R197" s="1091"/>
      <c r="S197" s="1091"/>
      <c r="T197" s="1091"/>
      <c r="U197" s="1091"/>
      <c r="V197" s="1091"/>
      <c r="W197" s="1091"/>
      <c r="X197" s="1091"/>
      <c r="Y197" s="1229"/>
      <c r="Z197" s="1091"/>
      <c r="AA197" s="1091"/>
      <c r="AB197" s="1091"/>
      <c r="AC197" s="1091"/>
      <c r="AD197" s="1091"/>
      <c r="AE197" s="1268"/>
      <c r="AF197" s="1091"/>
      <c r="AG197" s="1268"/>
      <c r="AH197" s="39">
        <f t="shared" si="37"/>
        <v>0</v>
      </c>
    </row>
    <row r="198" spans="1:36" ht="15">
      <c r="A198" s="109" t="s">
        <v>84</v>
      </c>
      <c r="B198" s="15">
        <f t="shared" si="36"/>
        <v>0</v>
      </c>
      <c r="C198" s="1091"/>
      <c r="D198" s="1091"/>
      <c r="E198" s="1091"/>
      <c r="F198" s="1091"/>
      <c r="G198" s="1091"/>
      <c r="H198" s="1091"/>
      <c r="I198" s="1091"/>
      <c r="J198" s="1091"/>
      <c r="K198" s="1091"/>
      <c r="L198" s="1091"/>
      <c r="M198" s="1091"/>
      <c r="N198" s="1091"/>
      <c r="O198" s="1091"/>
      <c r="P198" s="1091"/>
      <c r="Q198" s="1091"/>
      <c r="R198" s="1091"/>
      <c r="S198" s="1091"/>
      <c r="T198" s="1091"/>
      <c r="U198" s="1091"/>
      <c r="V198" s="1091"/>
      <c r="W198" s="1091"/>
      <c r="X198" s="1091"/>
      <c r="Y198" s="1091"/>
      <c r="Z198" s="1091"/>
      <c r="AA198" s="1091"/>
      <c r="AB198" s="1091"/>
      <c r="AC198" s="1091"/>
      <c r="AD198" s="1091"/>
      <c r="AE198" s="1091"/>
      <c r="AF198" s="1091"/>
      <c r="AG198" s="1091"/>
      <c r="AH198" s="39">
        <f t="shared" si="37"/>
        <v>0</v>
      </c>
    </row>
    <row r="199" spans="1:36" ht="15">
      <c r="A199" s="71" t="s">
        <v>72</v>
      </c>
      <c r="B199" s="72">
        <f>SUM(B187:B198)</f>
        <v>0</v>
      </c>
      <c r="C199" s="32">
        <f>SUM(C187:C197)</f>
        <v>0</v>
      </c>
      <c r="D199" s="39">
        <f>SUM(D187:D197)</f>
        <v>0</v>
      </c>
      <c r="E199" s="39">
        <v>0</v>
      </c>
      <c r="F199" s="39">
        <f t="shared" ref="F199:AC199" si="38">SUM(F187:F197)</f>
        <v>0</v>
      </c>
      <c r="G199" s="39">
        <f t="shared" si="38"/>
        <v>0</v>
      </c>
      <c r="H199" s="39">
        <f t="shared" si="38"/>
        <v>0</v>
      </c>
      <c r="I199" s="39">
        <f t="shared" si="38"/>
        <v>0</v>
      </c>
      <c r="J199" s="39">
        <f t="shared" si="38"/>
        <v>0</v>
      </c>
      <c r="K199" s="39">
        <f t="shared" si="38"/>
        <v>0</v>
      </c>
      <c r="L199" s="39">
        <f t="shared" si="38"/>
        <v>0</v>
      </c>
      <c r="M199" s="39">
        <f t="shared" si="38"/>
        <v>0</v>
      </c>
      <c r="N199" s="39">
        <f t="shared" si="38"/>
        <v>0</v>
      </c>
      <c r="O199" s="39">
        <f t="shared" si="38"/>
        <v>0</v>
      </c>
      <c r="P199" s="39">
        <f t="shared" si="38"/>
        <v>0</v>
      </c>
      <c r="Q199" s="39">
        <f t="shared" si="38"/>
        <v>0</v>
      </c>
      <c r="R199" s="39">
        <f t="shared" si="38"/>
        <v>0</v>
      </c>
      <c r="S199" s="39">
        <f t="shared" si="38"/>
        <v>0</v>
      </c>
      <c r="T199" s="39">
        <f t="shared" si="38"/>
        <v>0</v>
      </c>
      <c r="U199" s="39">
        <f t="shared" si="38"/>
        <v>0</v>
      </c>
      <c r="V199" s="39">
        <f t="shared" si="38"/>
        <v>0</v>
      </c>
      <c r="W199" s="39">
        <f t="shared" si="38"/>
        <v>0</v>
      </c>
      <c r="X199" s="39">
        <f t="shared" si="38"/>
        <v>0</v>
      </c>
      <c r="Y199" s="39">
        <f t="shared" si="38"/>
        <v>0</v>
      </c>
      <c r="Z199" s="39">
        <f t="shared" si="38"/>
        <v>0</v>
      </c>
      <c r="AA199" s="39">
        <f t="shared" si="38"/>
        <v>0</v>
      </c>
      <c r="AB199" s="39">
        <f t="shared" si="38"/>
        <v>0</v>
      </c>
      <c r="AC199" s="39">
        <f t="shared" si="38"/>
        <v>0</v>
      </c>
      <c r="AD199" s="39">
        <v>0</v>
      </c>
      <c r="AE199" s="39">
        <f>SUM(AE187:AE197)</f>
        <v>0</v>
      </c>
      <c r="AF199" s="39">
        <f>SUM(AF187:AF197)</f>
        <v>0</v>
      </c>
      <c r="AG199" s="39">
        <f>SUM(AG187:AG197)</f>
        <v>0</v>
      </c>
      <c r="AH199" s="32">
        <f>SUM(AH187:AH197)</f>
        <v>0</v>
      </c>
    </row>
    <row r="200" spans="1:36" ht="5.0999999999999996" customHeight="1">
      <c r="A200" s="14"/>
      <c r="B200" s="14"/>
      <c r="C200" s="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
    </row>
    <row r="201" spans="1:36" ht="15">
      <c r="A201" s="3811" t="s">
        <v>961</v>
      </c>
      <c r="B201" s="3812"/>
      <c r="C201" s="3812"/>
      <c r="D201" s="3812"/>
      <c r="E201" s="3812"/>
      <c r="F201" s="3812"/>
      <c r="G201" s="3812"/>
      <c r="H201" s="3813"/>
      <c r="I201" s="1229"/>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row>
    <row r="202" spans="1:36" ht="15">
      <c r="A202" s="5" t="s">
        <v>70</v>
      </c>
      <c r="B202" s="5" t="s">
        <v>71</v>
      </c>
      <c r="C202" s="1039">
        <v>1</v>
      </c>
      <c r="D202" s="21">
        <v>2</v>
      </c>
      <c r="E202" s="21">
        <v>3</v>
      </c>
      <c r="F202" s="21">
        <v>4</v>
      </c>
      <c r="G202" s="21">
        <v>5</v>
      </c>
      <c r="H202" s="21">
        <v>6</v>
      </c>
      <c r="I202" s="21">
        <v>7</v>
      </c>
      <c r="J202" s="21">
        <v>8</v>
      </c>
      <c r="K202" s="21">
        <v>9</v>
      </c>
      <c r="L202" s="21">
        <v>10</v>
      </c>
      <c r="M202" s="21">
        <v>11</v>
      </c>
      <c r="N202" s="21">
        <v>12</v>
      </c>
      <c r="O202" s="21">
        <v>13</v>
      </c>
      <c r="P202" s="21">
        <v>14</v>
      </c>
      <c r="Q202" s="21">
        <v>15</v>
      </c>
      <c r="R202" s="21">
        <v>16</v>
      </c>
      <c r="S202" s="21">
        <v>17</v>
      </c>
      <c r="T202" s="21">
        <v>18</v>
      </c>
      <c r="U202" s="21">
        <v>19</v>
      </c>
      <c r="V202" s="21">
        <v>20</v>
      </c>
      <c r="W202" s="21">
        <v>21</v>
      </c>
      <c r="X202" s="21">
        <v>22</v>
      </c>
      <c r="Y202" s="21">
        <v>23</v>
      </c>
      <c r="Z202" s="21">
        <v>24</v>
      </c>
      <c r="AA202" s="21">
        <v>25</v>
      </c>
      <c r="AB202" s="21">
        <v>26</v>
      </c>
      <c r="AC202" s="21">
        <v>27</v>
      </c>
      <c r="AD202" s="21">
        <v>28</v>
      </c>
      <c r="AE202" s="21">
        <v>29</v>
      </c>
      <c r="AF202" s="21">
        <v>30</v>
      </c>
      <c r="AG202" s="21">
        <v>31</v>
      </c>
      <c r="AH202" s="25" t="s">
        <v>72</v>
      </c>
      <c r="AI202" s="2266" t="s">
        <v>1345</v>
      </c>
      <c r="AJ202" s="66" t="e">
        <f>(B215/COUNTIF($C$203:$AG$214,"&gt;0"))</f>
        <v>#DIV/0!</v>
      </c>
    </row>
    <row r="203" spans="1:36" ht="15">
      <c r="A203" s="120" t="s">
        <v>73</v>
      </c>
      <c r="B203" s="15">
        <f t="shared" ref="B203:B214" si="39">+AH203</f>
        <v>0</v>
      </c>
      <c r="C203" s="107" t="s">
        <v>109</v>
      </c>
      <c r="D203" s="107" t="s">
        <v>109</v>
      </c>
      <c r="E203" s="107" t="s">
        <v>109</v>
      </c>
      <c r="F203" s="107" t="s">
        <v>109</v>
      </c>
      <c r="G203" s="107" t="s">
        <v>109</v>
      </c>
      <c r="H203" s="107" t="s">
        <v>109</v>
      </c>
      <c r="I203" s="107" t="s">
        <v>109</v>
      </c>
      <c r="J203" s="107" t="s">
        <v>109</v>
      </c>
      <c r="K203" s="107" t="s">
        <v>109</v>
      </c>
      <c r="L203" s="107" t="s">
        <v>109</v>
      </c>
      <c r="M203" s="107" t="s">
        <v>109</v>
      </c>
      <c r="N203" s="107" t="s">
        <v>109</v>
      </c>
      <c r="O203" s="107" t="s">
        <v>109</v>
      </c>
      <c r="P203" s="107" t="s">
        <v>109</v>
      </c>
      <c r="Q203" s="107" t="s">
        <v>109</v>
      </c>
      <c r="R203" s="107" t="s">
        <v>109</v>
      </c>
      <c r="S203" s="107" t="s">
        <v>109</v>
      </c>
      <c r="T203" s="107" t="s">
        <v>109</v>
      </c>
      <c r="U203" s="107" t="s">
        <v>109</v>
      </c>
      <c r="V203" s="107" t="s">
        <v>109</v>
      </c>
      <c r="W203" s="107" t="s">
        <v>109</v>
      </c>
      <c r="X203" s="107" t="s">
        <v>109</v>
      </c>
      <c r="Y203" s="107" t="s">
        <v>109</v>
      </c>
      <c r="Z203" s="107" t="s">
        <v>109</v>
      </c>
      <c r="AA203" s="107" t="s">
        <v>109</v>
      </c>
      <c r="AB203" s="107" t="s">
        <v>109</v>
      </c>
      <c r="AC203" s="107" t="s">
        <v>109</v>
      </c>
      <c r="AD203" s="107" t="s">
        <v>109</v>
      </c>
      <c r="AE203" s="107" t="s">
        <v>109</v>
      </c>
      <c r="AF203" s="107" t="s">
        <v>109</v>
      </c>
      <c r="AG203" s="107" t="s">
        <v>109</v>
      </c>
      <c r="AH203" s="39">
        <f>SUM(C203:AG203)</f>
        <v>0</v>
      </c>
    </row>
    <row r="204" spans="1:36" s="67" customFormat="1" ht="15">
      <c r="A204" s="120" t="s">
        <v>74</v>
      </c>
      <c r="B204" s="15">
        <f t="shared" si="39"/>
        <v>0</v>
      </c>
      <c r="C204" s="107" t="s">
        <v>109</v>
      </c>
      <c r="D204" s="107" t="s">
        <v>109</v>
      </c>
      <c r="E204" s="107" t="s">
        <v>109</v>
      </c>
      <c r="F204" s="107" t="s">
        <v>109</v>
      </c>
      <c r="G204" s="107" t="s">
        <v>109</v>
      </c>
      <c r="H204" s="107" t="s">
        <v>109</v>
      </c>
      <c r="I204" s="107" t="s">
        <v>109</v>
      </c>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39">
        <f t="shared" ref="AH204:AH214" si="40">SUM(C204:AG204)</f>
        <v>0</v>
      </c>
    </row>
    <row r="205" spans="1:36" ht="15">
      <c r="A205" s="120" t="s">
        <v>75</v>
      </c>
      <c r="B205" s="15">
        <f t="shared" si="39"/>
        <v>0</v>
      </c>
      <c r="C205" s="108"/>
      <c r="D205" s="108"/>
      <c r="E205" s="108"/>
      <c r="F205" s="108"/>
      <c r="G205" s="108"/>
      <c r="H205" s="94"/>
      <c r="I205" s="94"/>
      <c r="J205" s="94"/>
      <c r="K205" s="94"/>
      <c r="L205" s="94"/>
      <c r="M205" s="94"/>
      <c r="N205" s="94">
        <v>0</v>
      </c>
      <c r="O205" s="94"/>
      <c r="P205" s="94"/>
      <c r="Q205" s="94"/>
      <c r="R205" s="94"/>
      <c r="S205" s="15"/>
      <c r="T205" s="15"/>
      <c r="U205" s="15"/>
      <c r="V205" s="15"/>
      <c r="W205" s="15"/>
      <c r="X205" s="15"/>
      <c r="Y205" s="15"/>
      <c r="Z205" s="15"/>
      <c r="AA205" s="15"/>
      <c r="AB205" s="15"/>
      <c r="AC205" s="1689"/>
      <c r="AD205" s="1689"/>
      <c r="AE205" s="1689"/>
      <c r="AF205" s="1689"/>
      <c r="AG205" s="1689"/>
      <c r="AH205" s="39">
        <f t="shared" si="40"/>
        <v>0</v>
      </c>
    </row>
    <row r="206" spans="1:36" ht="15">
      <c r="A206" s="120" t="s">
        <v>76</v>
      </c>
      <c r="B206" s="15">
        <f t="shared" si="39"/>
        <v>0</v>
      </c>
      <c r="C206" s="1689"/>
      <c r="D206" s="1689"/>
      <c r="E206" s="1689"/>
      <c r="F206" s="1689"/>
      <c r="G206" s="1689"/>
      <c r="H206" s="1689"/>
      <c r="I206" s="1689"/>
      <c r="J206" s="1689"/>
      <c r="K206" s="1689"/>
      <c r="L206" s="1091"/>
      <c r="M206" s="1091"/>
      <c r="N206" s="1091"/>
      <c r="O206" s="1091"/>
      <c r="P206" s="1091"/>
      <c r="Q206" s="1091"/>
      <c r="R206" s="1091"/>
      <c r="S206" s="1091"/>
      <c r="T206" s="1091"/>
      <c r="U206" s="1091"/>
      <c r="V206" s="1091"/>
      <c r="W206" s="1091"/>
      <c r="X206" s="1091"/>
      <c r="Y206" s="1091"/>
      <c r="Z206" s="1091"/>
      <c r="AA206" s="1091"/>
      <c r="AB206" s="1091"/>
      <c r="AC206" s="1091"/>
      <c r="AD206" s="1091"/>
      <c r="AE206" s="1091"/>
      <c r="AF206" s="1091"/>
      <c r="AG206" s="1091"/>
      <c r="AH206" s="39">
        <f t="shared" si="40"/>
        <v>0</v>
      </c>
    </row>
    <row r="207" spans="1:36" s="67" customFormat="1" ht="15">
      <c r="A207" s="111" t="s">
        <v>77</v>
      </c>
      <c r="B207" s="15">
        <f t="shared" si="39"/>
        <v>0</v>
      </c>
      <c r="C207" s="1091"/>
      <c r="D207" s="1091"/>
      <c r="E207" s="1091"/>
      <c r="F207" s="1091"/>
      <c r="G207" s="1091"/>
      <c r="H207" s="1091"/>
      <c r="I207" s="1091"/>
      <c r="J207" s="1091"/>
      <c r="K207" s="1091"/>
      <c r="L207" s="1091"/>
      <c r="M207" s="1091"/>
      <c r="N207" s="1091"/>
      <c r="O207" s="1091"/>
      <c r="P207" s="1091"/>
      <c r="Q207" s="1091"/>
      <c r="R207" s="1091"/>
      <c r="S207" s="1091"/>
      <c r="T207" s="1091"/>
      <c r="U207" s="1091"/>
      <c r="V207" s="1091"/>
      <c r="W207" s="1091"/>
      <c r="X207" s="1091"/>
      <c r="Y207" s="1091"/>
      <c r="Z207" s="1091"/>
      <c r="AA207" s="1091"/>
      <c r="AB207" s="1091"/>
      <c r="AC207" s="1091"/>
      <c r="AD207" s="1091"/>
      <c r="AE207" s="1091"/>
      <c r="AF207" s="1091"/>
      <c r="AG207" s="1091"/>
      <c r="AH207" s="39">
        <f t="shared" si="40"/>
        <v>0</v>
      </c>
    </row>
    <row r="208" spans="1:36" ht="15">
      <c r="A208" s="111" t="s">
        <v>78</v>
      </c>
      <c r="B208" s="15">
        <f t="shared" si="39"/>
        <v>0</v>
      </c>
      <c r="C208" s="1091"/>
      <c r="D208" s="1091"/>
      <c r="E208" s="1091"/>
      <c r="F208" s="1091"/>
      <c r="G208" s="1091"/>
      <c r="H208" s="1091"/>
      <c r="I208" s="1091"/>
      <c r="J208" s="1091"/>
      <c r="K208" s="1091"/>
      <c r="L208" s="1091"/>
      <c r="M208" s="1091"/>
      <c r="N208" s="1091"/>
      <c r="O208" s="1091"/>
      <c r="P208" s="1091"/>
      <c r="Q208" s="1091"/>
      <c r="R208" s="1091"/>
      <c r="S208" s="1091"/>
      <c r="T208" s="1091"/>
      <c r="U208" s="1091"/>
      <c r="V208" s="1091"/>
      <c r="W208" s="1091"/>
      <c r="X208" s="1091"/>
      <c r="Y208" s="1091"/>
      <c r="Z208" s="1091"/>
      <c r="AA208" s="1091"/>
      <c r="AB208" s="1091"/>
      <c r="AC208" s="1091"/>
      <c r="AD208" s="1091"/>
      <c r="AE208" s="1091"/>
      <c r="AF208" s="1091"/>
      <c r="AG208" s="1091"/>
      <c r="AH208" s="39">
        <f t="shared" si="40"/>
        <v>0</v>
      </c>
    </row>
    <row r="209" spans="1:36" ht="15">
      <c r="A209" s="111" t="s">
        <v>79</v>
      </c>
      <c r="B209" s="15">
        <f t="shared" si="39"/>
        <v>0</v>
      </c>
      <c r="C209" s="1091"/>
      <c r="D209" s="1268"/>
      <c r="E209" s="1268"/>
      <c r="F209" s="1268"/>
      <c r="G209" s="1091"/>
      <c r="H209" s="1091"/>
      <c r="I209" s="1091"/>
      <c r="J209" s="2068"/>
      <c r="K209" s="2068"/>
      <c r="L209" s="1268"/>
      <c r="M209" s="1268"/>
      <c r="N209" s="1268"/>
      <c r="O209" s="1268"/>
      <c r="P209" s="1268"/>
      <c r="Q209" s="1268"/>
      <c r="R209" s="1268"/>
      <c r="S209" s="1268"/>
      <c r="T209" s="1268"/>
      <c r="U209" s="1268"/>
      <c r="V209" s="1268"/>
      <c r="W209" s="609"/>
      <c r="X209" s="609"/>
      <c r="Y209" s="609"/>
      <c r="Z209" s="609"/>
      <c r="AA209" s="609"/>
      <c r="AB209" s="609"/>
      <c r="AC209" s="609"/>
      <c r="AD209" s="609"/>
      <c r="AE209" s="609"/>
      <c r="AF209" s="609" t="s">
        <v>109</v>
      </c>
      <c r="AG209" s="609" t="s">
        <v>109</v>
      </c>
      <c r="AH209" s="39">
        <f t="shared" si="40"/>
        <v>0</v>
      </c>
    </row>
    <row r="210" spans="1:36" s="67" customFormat="1" ht="15">
      <c r="A210" s="111" t="s">
        <v>80</v>
      </c>
      <c r="B210" s="15">
        <f t="shared" si="39"/>
        <v>0</v>
      </c>
      <c r="C210" s="609" t="s">
        <v>109</v>
      </c>
      <c r="D210" s="609" t="s">
        <v>109</v>
      </c>
      <c r="E210" s="609" t="s">
        <v>109</v>
      </c>
      <c r="F210" s="609" t="s">
        <v>109</v>
      </c>
      <c r="G210" s="609" t="s">
        <v>109</v>
      </c>
      <c r="H210" s="609" t="s">
        <v>109</v>
      </c>
      <c r="I210" s="609" t="s">
        <v>109</v>
      </c>
      <c r="J210" s="609" t="s">
        <v>109</v>
      </c>
      <c r="K210" s="609" t="s">
        <v>109</v>
      </c>
      <c r="L210" s="609" t="s">
        <v>109</v>
      </c>
      <c r="M210" s="609" t="s">
        <v>109</v>
      </c>
      <c r="N210" s="609" t="s">
        <v>109</v>
      </c>
      <c r="O210" s="609" t="s">
        <v>109</v>
      </c>
      <c r="P210" s="609" t="s">
        <v>109</v>
      </c>
      <c r="Q210" s="609" t="s">
        <v>109</v>
      </c>
      <c r="R210" s="609" t="s">
        <v>109</v>
      </c>
      <c r="S210" s="609" t="s">
        <v>109</v>
      </c>
      <c r="T210" s="609" t="s">
        <v>109</v>
      </c>
      <c r="U210" s="609" t="s">
        <v>109</v>
      </c>
      <c r="V210" s="609" t="s">
        <v>109</v>
      </c>
      <c r="W210" s="609" t="s">
        <v>109</v>
      </c>
      <c r="X210" s="609" t="s">
        <v>109</v>
      </c>
      <c r="Y210" s="609" t="s">
        <v>109</v>
      </c>
      <c r="Z210" s="609" t="s">
        <v>109</v>
      </c>
      <c r="AA210" s="609" t="s">
        <v>109</v>
      </c>
      <c r="AB210" s="609" t="s">
        <v>109</v>
      </c>
      <c r="AC210" s="609" t="s">
        <v>109</v>
      </c>
      <c r="AD210" s="609" t="s">
        <v>109</v>
      </c>
      <c r="AE210" s="609" t="s">
        <v>109</v>
      </c>
      <c r="AF210" s="609" t="s">
        <v>109</v>
      </c>
      <c r="AG210" s="609" t="s">
        <v>109</v>
      </c>
      <c r="AH210" s="39">
        <f t="shared" si="40"/>
        <v>0</v>
      </c>
    </row>
    <row r="211" spans="1:36" ht="15">
      <c r="A211" s="109" t="s">
        <v>81</v>
      </c>
      <c r="B211" s="15">
        <f t="shared" si="39"/>
        <v>0</v>
      </c>
      <c r="C211" s="609" t="s">
        <v>109</v>
      </c>
      <c r="D211" s="609" t="s">
        <v>109</v>
      </c>
      <c r="E211" s="609" t="s">
        <v>109</v>
      </c>
      <c r="F211" s="609" t="s">
        <v>109</v>
      </c>
      <c r="G211" s="609" t="s">
        <v>109</v>
      </c>
      <c r="H211" s="609" t="s">
        <v>109</v>
      </c>
      <c r="I211" s="609" t="s">
        <v>109</v>
      </c>
      <c r="J211" s="609" t="s">
        <v>109</v>
      </c>
      <c r="K211" s="609" t="s">
        <v>109</v>
      </c>
      <c r="L211" s="609" t="s">
        <v>109</v>
      </c>
      <c r="M211" s="609" t="s">
        <v>109</v>
      </c>
      <c r="N211" s="609" t="s">
        <v>109</v>
      </c>
      <c r="O211" s="609" t="s">
        <v>109</v>
      </c>
      <c r="P211" s="609" t="s">
        <v>109</v>
      </c>
      <c r="Q211" s="609" t="s">
        <v>109</v>
      </c>
      <c r="R211" s="609" t="s">
        <v>109</v>
      </c>
      <c r="S211" s="609" t="s">
        <v>109</v>
      </c>
      <c r="T211" s="609" t="s">
        <v>109</v>
      </c>
      <c r="U211" s="609" t="s">
        <v>109</v>
      </c>
      <c r="V211" s="609" t="s">
        <v>109</v>
      </c>
      <c r="W211" s="609" t="s">
        <v>109</v>
      </c>
      <c r="X211" s="609" t="s">
        <v>109</v>
      </c>
      <c r="Y211" s="609" t="s">
        <v>109</v>
      </c>
      <c r="Z211" s="609" t="s">
        <v>109</v>
      </c>
      <c r="AA211" s="609" t="s">
        <v>109</v>
      </c>
      <c r="AB211" s="609" t="s">
        <v>109</v>
      </c>
      <c r="AC211" s="609" t="s">
        <v>109</v>
      </c>
      <c r="AD211" s="609" t="s">
        <v>109</v>
      </c>
      <c r="AE211" s="609" t="s">
        <v>109</v>
      </c>
      <c r="AF211" s="609" t="s">
        <v>109</v>
      </c>
      <c r="AG211" s="609" t="s">
        <v>109</v>
      </c>
      <c r="AH211" s="39">
        <f t="shared" si="40"/>
        <v>0</v>
      </c>
    </row>
    <row r="212" spans="1:36" ht="15">
      <c r="A212" s="109" t="s">
        <v>82</v>
      </c>
      <c r="B212" s="15">
        <f t="shared" si="39"/>
        <v>0</v>
      </c>
      <c r="C212" s="609" t="s">
        <v>109</v>
      </c>
      <c r="D212" s="609" t="s">
        <v>109</v>
      </c>
      <c r="E212" s="609" t="s">
        <v>109</v>
      </c>
      <c r="F212" s="609" t="s">
        <v>109</v>
      </c>
      <c r="G212" s="609" t="s">
        <v>109</v>
      </c>
      <c r="H212" s="609" t="s">
        <v>109</v>
      </c>
      <c r="I212" s="609" t="s">
        <v>109</v>
      </c>
      <c r="J212" s="609" t="s">
        <v>109</v>
      </c>
      <c r="K212" s="609" t="s">
        <v>109</v>
      </c>
      <c r="L212" s="609" t="s">
        <v>109</v>
      </c>
      <c r="M212" s="609" t="s">
        <v>109</v>
      </c>
      <c r="N212" s="609" t="s">
        <v>109</v>
      </c>
      <c r="O212" s="609" t="s">
        <v>109</v>
      </c>
      <c r="P212" s="609" t="s">
        <v>109</v>
      </c>
      <c r="Q212" s="609" t="s">
        <v>109</v>
      </c>
      <c r="R212" s="609" t="s">
        <v>109</v>
      </c>
      <c r="S212" s="609" t="s">
        <v>109</v>
      </c>
      <c r="T212" s="609" t="s">
        <v>109</v>
      </c>
      <c r="U212" s="609" t="s">
        <v>109</v>
      </c>
      <c r="V212" s="609" t="s">
        <v>109</v>
      </c>
      <c r="W212" s="609" t="s">
        <v>109</v>
      </c>
      <c r="X212" s="1091"/>
      <c r="Y212" s="1091"/>
      <c r="Z212" s="1091"/>
      <c r="AA212" s="1091"/>
      <c r="AB212" s="1091"/>
      <c r="AC212" s="1091"/>
      <c r="AD212" s="1091"/>
      <c r="AE212" s="1268"/>
      <c r="AF212" s="1091"/>
      <c r="AG212" s="1268"/>
      <c r="AH212" s="39">
        <f t="shared" si="40"/>
        <v>0</v>
      </c>
    </row>
    <row r="213" spans="1:36" ht="15">
      <c r="A213" s="109" t="s">
        <v>83</v>
      </c>
      <c r="B213" s="15">
        <f t="shared" si="39"/>
        <v>0</v>
      </c>
      <c r="C213" s="1091"/>
      <c r="D213" s="1091"/>
      <c r="E213" s="1091"/>
      <c r="F213" s="1091"/>
      <c r="G213" s="1229"/>
      <c r="H213" s="1091"/>
      <c r="I213" s="1091"/>
      <c r="J213" s="1091"/>
      <c r="K213" s="1091"/>
      <c r="L213" s="1091"/>
      <c r="M213" s="1091"/>
      <c r="N213" s="1091"/>
      <c r="O213" s="1091"/>
      <c r="P213" s="1091"/>
      <c r="Q213" s="1091"/>
      <c r="R213" s="1091"/>
      <c r="S213" s="1091"/>
      <c r="T213" s="1091"/>
      <c r="U213" s="1091"/>
      <c r="V213" s="1091"/>
      <c r="W213" s="1091"/>
      <c r="X213" s="1091"/>
      <c r="Y213" s="1229"/>
      <c r="Z213" s="1091"/>
      <c r="AA213" s="1091"/>
      <c r="AB213" s="1091"/>
      <c r="AC213" s="1091"/>
      <c r="AD213" s="1091"/>
      <c r="AE213" s="1268"/>
      <c r="AF213" s="1091"/>
      <c r="AG213" s="1268"/>
      <c r="AH213" s="39">
        <f t="shared" si="40"/>
        <v>0</v>
      </c>
    </row>
    <row r="214" spans="1:36" ht="15">
      <c r="A214" s="109" t="s">
        <v>84</v>
      </c>
      <c r="B214" s="15">
        <f t="shared" si="39"/>
        <v>0</v>
      </c>
      <c r="C214" s="1091"/>
      <c r="D214" s="1091"/>
      <c r="E214" s="1091"/>
      <c r="F214" s="1091"/>
      <c r="G214" s="1091"/>
      <c r="H214" s="1091"/>
      <c r="I214" s="1091"/>
      <c r="J214" s="1091"/>
      <c r="K214" s="1091"/>
      <c r="L214" s="1091"/>
      <c r="M214" s="1091"/>
      <c r="N214" s="1091"/>
      <c r="O214" s="1091"/>
      <c r="P214" s="1091"/>
      <c r="Q214" s="1091"/>
      <c r="R214" s="1091"/>
      <c r="S214" s="1091"/>
      <c r="T214" s="1091"/>
      <c r="U214" s="1091"/>
      <c r="V214" s="1091"/>
      <c r="W214" s="1091"/>
      <c r="X214" s="1091"/>
      <c r="Y214" s="1091"/>
      <c r="Z214" s="1091"/>
      <c r="AA214" s="1091"/>
      <c r="AB214" s="1091"/>
      <c r="AC214" s="1091"/>
      <c r="AD214" s="1091"/>
      <c r="AE214" s="1091"/>
      <c r="AF214" s="1091"/>
      <c r="AG214" s="1091"/>
      <c r="AH214" s="39">
        <f t="shared" si="40"/>
        <v>0</v>
      </c>
    </row>
    <row r="215" spans="1:36" ht="15">
      <c r="A215" s="71" t="s">
        <v>72</v>
      </c>
      <c r="B215" s="72">
        <f>SUM(B203:B214)</f>
        <v>0</v>
      </c>
      <c r="C215" s="32">
        <f>SUM(C203:C213)</f>
        <v>0</v>
      </c>
      <c r="D215" s="39">
        <f>SUM(D203:D213)</f>
        <v>0</v>
      </c>
      <c r="E215" s="39">
        <v>0</v>
      </c>
      <c r="F215" s="39">
        <f t="shared" ref="F215:AC215" si="41">SUM(F203:F213)</f>
        <v>0</v>
      </c>
      <c r="G215" s="39">
        <f t="shared" si="41"/>
        <v>0</v>
      </c>
      <c r="H215" s="39">
        <f t="shared" si="41"/>
        <v>0</v>
      </c>
      <c r="I215" s="39">
        <f t="shared" si="41"/>
        <v>0</v>
      </c>
      <c r="J215" s="39">
        <f t="shared" si="41"/>
        <v>0</v>
      </c>
      <c r="K215" s="39">
        <f t="shared" si="41"/>
        <v>0</v>
      </c>
      <c r="L215" s="39">
        <f t="shared" si="41"/>
        <v>0</v>
      </c>
      <c r="M215" s="39">
        <f t="shared" si="41"/>
        <v>0</v>
      </c>
      <c r="N215" s="39">
        <f t="shared" si="41"/>
        <v>0</v>
      </c>
      <c r="O215" s="39">
        <f t="shared" si="41"/>
        <v>0</v>
      </c>
      <c r="P215" s="39">
        <f t="shared" si="41"/>
        <v>0</v>
      </c>
      <c r="Q215" s="39">
        <f t="shared" si="41"/>
        <v>0</v>
      </c>
      <c r="R215" s="39">
        <f t="shared" si="41"/>
        <v>0</v>
      </c>
      <c r="S215" s="39">
        <f t="shared" si="41"/>
        <v>0</v>
      </c>
      <c r="T215" s="39">
        <f t="shared" si="41"/>
        <v>0</v>
      </c>
      <c r="U215" s="39">
        <f t="shared" si="41"/>
        <v>0</v>
      </c>
      <c r="V215" s="39">
        <f t="shared" si="41"/>
        <v>0</v>
      </c>
      <c r="W215" s="39">
        <f t="shared" si="41"/>
        <v>0</v>
      </c>
      <c r="X215" s="39">
        <f t="shared" si="41"/>
        <v>0</v>
      </c>
      <c r="Y215" s="39">
        <f t="shared" si="41"/>
        <v>0</v>
      </c>
      <c r="Z215" s="39">
        <f t="shared" si="41"/>
        <v>0</v>
      </c>
      <c r="AA215" s="39">
        <f t="shared" si="41"/>
        <v>0</v>
      </c>
      <c r="AB215" s="39">
        <f t="shared" si="41"/>
        <v>0</v>
      </c>
      <c r="AC215" s="39">
        <f t="shared" si="41"/>
        <v>0</v>
      </c>
      <c r="AD215" s="39">
        <v>0</v>
      </c>
      <c r="AE215" s="39">
        <f>SUM(AE203:AE213)</f>
        <v>0</v>
      </c>
      <c r="AF215" s="39">
        <f>SUM(AF203:AF213)</f>
        <v>0</v>
      </c>
      <c r="AG215" s="39">
        <f>SUM(AG203:AG213)</f>
        <v>0</v>
      </c>
      <c r="AH215" s="32">
        <f>SUM(AH203:AH213)</f>
        <v>0</v>
      </c>
    </row>
    <row r="216" spans="1:36" ht="5.0999999999999996" customHeight="1">
      <c r="A216" s="14"/>
      <c r="B216" s="14"/>
      <c r="C216" s="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
    </row>
    <row r="217" spans="1:36" ht="15">
      <c r="A217" s="3811" t="s">
        <v>962</v>
      </c>
      <c r="B217" s="3812"/>
      <c r="C217" s="3812"/>
      <c r="D217" s="3812"/>
      <c r="E217" s="3812"/>
      <c r="F217" s="3812"/>
      <c r="G217" s="3812"/>
      <c r="H217" s="3813"/>
      <c r="I217" s="1229"/>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row>
    <row r="218" spans="1:36" ht="15">
      <c r="A218" s="5" t="s">
        <v>70</v>
      </c>
      <c r="B218" s="5" t="s">
        <v>71</v>
      </c>
      <c r="C218" s="1039">
        <v>1</v>
      </c>
      <c r="D218" s="21">
        <v>2</v>
      </c>
      <c r="E218" s="21">
        <v>3</v>
      </c>
      <c r="F218" s="21">
        <v>4</v>
      </c>
      <c r="G218" s="21">
        <v>5</v>
      </c>
      <c r="H218" s="21">
        <v>6</v>
      </c>
      <c r="I218" s="21">
        <v>7</v>
      </c>
      <c r="J218" s="21">
        <v>8</v>
      </c>
      <c r="K218" s="21">
        <v>9</v>
      </c>
      <c r="L218" s="21">
        <v>10</v>
      </c>
      <c r="M218" s="21">
        <v>11</v>
      </c>
      <c r="N218" s="21">
        <v>12</v>
      </c>
      <c r="O218" s="21">
        <v>13</v>
      </c>
      <c r="P218" s="21">
        <v>14</v>
      </c>
      <c r="Q218" s="21">
        <v>15</v>
      </c>
      <c r="R218" s="21">
        <v>16</v>
      </c>
      <c r="S218" s="21">
        <v>17</v>
      </c>
      <c r="T218" s="21">
        <v>18</v>
      </c>
      <c r="U218" s="21">
        <v>19</v>
      </c>
      <c r="V218" s="21">
        <v>20</v>
      </c>
      <c r="W218" s="21">
        <v>21</v>
      </c>
      <c r="X218" s="21">
        <v>22</v>
      </c>
      <c r="Y218" s="21">
        <v>23</v>
      </c>
      <c r="Z218" s="21">
        <v>24</v>
      </c>
      <c r="AA218" s="21">
        <v>25</v>
      </c>
      <c r="AB218" s="21">
        <v>26</v>
      </c>
      <c r="AC218" s="21">
        <v>27</v>
      </c>
      <c r="AD218" s="21">
        <v>28</v>
      </c>
      <c r="AE218" s="21">
        <v>29</v>
      </c>
      <c r="AF218" s="21">
        <v>30</v>
      </c>
      <c r="AG218" s="21">
        <v>31</v>
      </c>
      <c r="AH218" s="25" t="s">
        <v>72</v>
      </c>
      <c r="AI218" s="2266" t="s">
        <v>1345</v>
      </c>
      <c r="AJ218" s="66">
        <f>(B231/COUNTIF($C$219:$AG$230,"&gt;0"))</f>
        <v>173.45649484536082</v>
      </c>
    </row>
    <row r="219" spans="1:36" ht="15">
      <c r="A219" s="120" t="s">
        <v>73</v>
      </c>
      <c r="B219" s="15">
        <f t="shared" ref="B219:B230" si="42">+AH219</f>
        <v>0</v>
      </c>
      <c r="C219" s="107" t="s">
        <v>109</v>
      </c>
      <c r="D219" s="107" t="s">
        <v>109</v>
      </c>
      <c r="E219" s="107" t="s">
        <v>109</v>
      </c>
      <c r="F219" s="107" t="s">
        <v>109</v>
      </c>
      <c r="G219" s="107" t="s">
        <v>109</v>
      </c>
      <c r="H219" s="107" t="s">
        <v>109</v>
      </c>
      <c r="I219" s="107" t="s">
        <v>109</v>
      </c>
      <c r="J219" s="107" t="s">
        <v>109</v>
      </c>
      <c r="K219" s="107" t="s">
        <v>109</v>
      </c>
      <c r="L219" s="107" t="s">
        <v>109</v>
      </c>
      <c r="M219" s="107" t="s">
        <v>109</v>
      </c>
      <c r="N219" s="107" t="s">
        <v>109</v>
      </c>
      <c r="O219" s="107" t="s">
        <v>109</v>
      </c>
      <c r="P219" s="107" t="s">
        <v>109</v>
      </c>
      <c r="Q219" s="107" t="s">
        <v>109</v>
      </c>
      <c r="R219" s="107" t="s">
        <v>109</v>
      </c>
      <c r="S219" s="107" t="s">
        <v>109</v>
      </c>
      <c r="T219" s="107" t="s">
        <v>109</v>
      </c>
      <c r="U219" s="107" t="s">
        <v>109</v>
      </c>
      <c r="V219" s="107" t="s">
        <v>109</v>
      </c>
      <c r="W219" s="107" t="s">
        <v>109</v>
      </c>
      <c r="X219" s="107" t="s">
        <v>109</v>
      </c>
      <c r="Y219" s="107" t="s">
        <v>109</v>
      </c>
      <c r="Z219" s="107" t="s">
        <v>109</v>
      </c>
      <c r="AA219" s="107" t="s">
        <v>109</v>
      </c>
      <c r="AB219" s="107" t="s">
        <v>109</v>
      </c>
      <c r="AC219" s="107" t="s">
        <v>109</v>
      </c>
      <c r="AD219" s="107" t="s">
        <v>109</v>
      </c>
      <c r="AE219" s="107" t="s">
        <v>109</v>
      </c>
      <c r="AF219" s="107" t="s">
        <v>109</v>
      </c>
      <c r="AG219" s="107" t="s">
        <v>109</v>
      </c>
      <c r="AH219" s="39">
        <f>SUM(C219:AG219)</f>
        <v>0</v>
      </c>
      <c r="AJ219" s="66">
        <f>+'Resumen RAE S.Común'!G228</f>
        <v>5.0150000000016917</v>
      </c>
    </row>
    <row r="220" spans="1:36" s="67" customFormat="1" ht="15">
      <c r="A220" s="120" t="s">
        <v>74</v>
      </c>
      <c r="B220" s="15">
        <f t="shared" si="42"/>
        <v>5583.1279999999988</v>
      </c>
      <c r="C220" s="107" t="s">
        <v>109</v>
      </c>
      <c r="D220" s="107" t="s">
        <v>109</v>
      </c>
      <c r="E220" s="107" t="s">
        <v>109</v>
      </c>
      <c r="F220" s="107" t="s">
        <v>109</v>
      </c>
      <c r="G220" s="107" t="s">
        <v>109</v>
      </c>
      <c r="H220" s="107" t="s">
        <v>109</v>
      </c>
      <c r="I220" s="107" t="s">
        <v>109</v>
      </c>
      <c r="J220" s="108">
        <v>215.98699999999999</v>
      </c>
      <c r="K220" s="108">
        <v>272.86200000000002</v>
      </c>
      <c r="L220" s="108">
        <v>246.255</v>
      </c>
      <c r="M220" s="108">
        <v>239.405</v>
      </c>
      <c r="N220" s="108">
        <v>33.755000000000003</v>
      </c>
      <c r="O220" s="108">
        <v>4.0549999999999997</v>
      </c>
      <c r="P220" s="108">
        <v>12.661</v>
      </c>
      <c r="Q220" s="108">
        <v>287.291</v>
      </c>
      <c r="R220" s="108">
        <v>505.95299999999997</v>
      </c>
      <c r="S220" s="108">
        <v>531.75099999999998</v>
      </c>
      <c r="T220" s="108">
        <v>406.61799999999999</v>
      </c>
      <c r="U220" s="108">
        <v>450.55099999999999</v>
      </c>
      <c r="V220" s="108">
        <v>257.39400000000001</v>
      </c>
      <c r="W220" s="108">
        <v>0</v>
      </c>
      <c r="X220" s="108">
        <v>0</v>
      </c>
      <c r="Y220" s="108">
        <v>0</v>
      </c>
      <c r="Z220" s="108">
        <v>505.42500000000001</v>
      </c>
      <c r="AA220" s="108">
        <v>392.73</v>
      </c>
      <c r="AB220" s="108">
        <v>396.77499999999998</v>
      </c>
      <c r="AC220" s="108">
        <v>443.47</v>
      </c>
      <c r="AD220" s="108">
        <v>380.19</v>
      </c>
      <c r="AE220" s="108"/>
      <c r="AF220" s="108"/>
      <c r="AG220" s="108"/>
      <c r="AH220" s="39">
        <f t="shared" ref="AH220:AH230" si="43">SUM(C220:AG220)</f>
        <v>5583.1279999999988</v>
      </c>
      <c r="AJ220" s="3212">
        <f>+AJ219/AJ218</f>
        <v>2.8912148861722605E-2</v>
      </c>
    </row>
    <row r="221" spans="1:36" ht="15">
      <c r="A221" s="120" t="s">
        <v>75</v>
      </c>
      <c r="B221" s="15">
        <f t="shared" si="42"/>
        <v>2258.0249999999996</v>
      </c>
      <c r="C221" s="108">
        <v>448.32400000000001</v>
      </c>
      <c r="D221" s="108">
        <v>58.262</v>
      </c>
      <c r="E221" s="108">
        <v>328.52</v>
      </c>
      <c r="F221" s="108">
        <v>456.63</v>
      </c>
      <c r="G221" s="108">
        <v>256.24</v>
      </c>
      <c r="H221" s="94">
        <v>262.06400000000002</v>
      </c>
      <c r="I221" s="94">
        <v>190.48</v>
      </c>
      <c r="J221" s="94">
        <v>46.8</v>
      </c>
      <c r="K221" s="94">
        <v>62.72</v>
      </c>
      <c r="L221" s="94">
        <v>136.80500000000001</v>
      </c>
      <c r="M221" s="94">
        <v>0</v>
      </c>
      <c r="N221" s="94">
        <v>0</v>
      </c>
      <c r="O221" s="94">
        <v>11.18</v>
      </c>
      <c r="P221" s="94">
        <v>0</v>
      </c>
      <c r="Q221" s="94">
        <v>0</v>
      </c>
      <c r="R221" s="94">
        <v>0</v>
      </c>
      <c r="S221" s="15">
        <v>0</v>
      </c>
      <c r="T221" s="15">
        <v>0</v>
      </c>
      <c r="U221" s="15">
        <v>0</v>
      </c>
      <c r="V221" s="15">
        <v>0</v>
      </c>
      <c r="W221" s="15"/>
      <c r="X221" s="15"/>
      <c r="Y221" s="15"/>
      <c r="Z221" s="15"/>
      <c r="AA221" s="15"/>
      <c r="AB221" s="15"/>
      <c r="AC221" s="1689"/>
      <c r="AD221" s="1689"/>
      <c r="AE221" s="1689"/>
      <c r="AF221" s="1689"/>
      <c r="AG221" s="1689"/>
      <c r="AH221" s="39">
        <f t="shared" si="43"/>
        <v>2258.0249999999996</v>
      </c>
    </row>
    <row r="222" spans="1:36" ht="15">
      <c r="A222" s="120" t="s">
        <v>76</v>
      </c>
      <c r="B222" s="15">
        <f t="shared" si="42"/>
        <v>2755.3360000000002</v>
      </c>
      <c r="C222" s="1689">
        <v>0</v>
      </c>
      <c r="D222" s="1689">
        <v>0</v>
      </c>
      <c r="E222" s="1689">
        <v>0</v>
      </c>
      <c r="F222" s="1689">
        <v>0</v>
      </c>
      <c r="G222" s="1689">
        <v>133.971</v>
      </c>
      <c r="H222" s="1689">
        <v>102.715</v>
      </c>
      <c r="I222" s="1689">
        <v>180.79499999999999</v>
      </c>
      <c r="J222" s="1689">
        <v>282.87200000000001</v>
      </c>
      <c r="K222" s="1689">
        <v>232.322</v>
      </c>
      <c r="L222" s="1091">
        <v>238.28299999999999</v>
      </c>
      <c r="M222" s="1091">
        <v>112.95</v>
      </c>
      <c r="N222" s="1091">
        <v>195.745</v>
      </c>
      <c r="O222" s="1091">
        <v>300.80700000000002</v>
      </c>
      <c r="P222" s="1091">
        <v>123.8</v>
      </c>
      <c r="Q222" s="1091">
        <v>257.85000000000002</v>
      </c>
      <c r="R222" s="1091">
        <v>60.48</v>
      </c>
      <c r="S222" s="1091">
        <v>0</v>
      </c>
      <c r="T222" s="1091">
        <v>0</v>
      </c>
      <c r="U222" s="1091">
        <v>0</v>
      </c>
      <c r="V222" s="1091">
        <v>0</v>
      </c>
      <c r="W222" s="1091">
        <v>51.204999999999998</v>
      </c>
      <c r="X222" s="1091">
        <v>0</v>
      </c>
      <c r="Y222" s="1091">
        <v>0</v>
      </c>
      <c r="Z222" s="1091">
        <v>56.86</v>
      </c>
      <c r="AA222" s="1091"/>
      <c r="AB222" s="1091">
        <v>110.346</v>
      </c>
      <c r="AC222" s="1091">
        <v>26.765000000000001</v>
      </c>
      <c r="AD222" s="1091">
        <v>137.95500000000001</v>
      </c>
      <c r="AE222" s="1091">
        <v>149.61500000000001</v>
      </c>
      <c r="AF222" s="1091"/>
      <c r="AG222" s="1091"/>
      <c r="AH222" s="39">
        <f t="shared" si="43"/>
        <v>2755.3360000000002</v>
      </c>
    </row>
    <row r="223" spans="1:36" s="67" customFormat="1" ht="15">
      <c r="A223" s="111" t="s">
        <v>77</v>
      </c>
      <c r="B223" s="15">
        <f t="shared" si="42"/>
        <v>1664.5370000000005</v>
      </c>
      <c r="C223" s="1091">
        <v>0</v>
      </c>
      <c r="D223" s="1091">
        <v>0</v>
      </c>
      <c r="E223" s="1091">
        <v>0</v>
      </c>
      <c r="F223" s="1091">
        <v>0</v>
      </c>
      <c r="G223" s="1091">
        <v>0</v>
      </c>
      <c r="H223" s="1091">
        <v>0</v>
      </c>
      <c r="I223" s="1091">
        <v>0</v>
      </c>
      <c r="J223" s="1091">
        <v>125.485</v>
      </c>
      <c r="K223" s="1091">
        <v>218.49600000000001</v>
      </c>
      <c r="L223" s="1091">
        <v>235.965</v>
      </c>
      <c r="M223" s="1091">
        <v>207.81</v>
      </c>
      <c r="N223" s="1091">
        <v>108.95099999999999</v>
      </c>
      <c r="O223" s="1091">
        <v>0</v>
      </c>
      <c r="P223" s="1091">
        <v>0</v>
      </c>
      <c r="Q223" s="1091">
        <v>0</v>
      </c>
      <c r="R223" s="1091">
        <v>114.8</v>
      </c>
      <c r="S223" s="1091">
        <v>157.90799999999999</v>
      </c>
      <c r="T223" s="1091">
        <v>0</v>
      </c>
      <c r="U223" s="1091">
        <v>0</v>
      </c>
      <c r="V223" s="1091">
        <v>59.015000000000001</v>
      </c>
      <c r="W223" s="1091">
        <v>130.19</v>
      </c>
      <c r="X223" s="1091">
        <v>84.122</v>
      </c>
      <c r="Y223" s="1091">
        <v>67.254999999999995</v>
      </c>
      <c r="Z223" s="1091">
        <v>107.39</v>
      </c>
      <c r="AA223" s="1091">
        <v>47.15</v>
      </c>
      <c r="AB223" s="1091">
        <v>0</v>
      </c>
      <c r="AC223" s="1091"/>
      <c r="AD223" s="1091"/>
      <c r="AE223" s="1091"/>
      <c r="AF223" s="1091"/>
      <c r="AG223" s="1091"/>
      <c r="AH223" s="39">
        <f t="shared" si="43"/>
        <v>1664.5370000000005</v>
      </c>
    </row>
    <row r="224" spans="1:36" ht="15">
      <c r="A224" s="111" t="s">
        <v>78</v>
      </c>
      <c r="B224" s="15">
        <f t="shared" si="42"/>
        <v>1087.394</v>
      </c>
      <c r="C224" s="1091">
        <v>0</v>
      </c>
      <c r="D224" s="1091">
        <v>0</v>
      </c>
      <c r="E224" s="1091">
        <v>0</v>
      </c>
      <c r="F224" s="1091">
        <v>0</v>
      </c>
      <c r="G224" s="1091">
        <v>76.731999999999999</v>
      </c>
      <c r="H224" s="1091">
        <v>0</v>
      </c>
      <c r="I224" s="1091">
        <v>0</v>
      </c>
      <c r="J224" s="1091">
        <v>0</v>
      </c>
      <c r="K224" s="1091">
        <v>0</v>
      </c>
      <c r="L224" s="1091">
        <v>0</v>
      </c>
      <c r="M224" s="1091">
        <v>0</v>
      </c>
      <c r="N224" s="1091">
        <v>79.680999999999997</v>
      </c>
      <c r="O224" s="1091">
        <v>130.34</v>
      </c>
      <c r="P224" s="1091">
        <v>0</v>
      </c>
      <c r="Q224" s="1091">
        <v>0</v>
      </c>
      <c r="R224" s="1091">
        <v>6.81</v>
      </c>
      <c r="S224" s="1091">
        <v>68.694999999999993</v>
      </c>
      <c r="T224" s="1091">
        <v>97.36</v>
      </c>
      <c r="U224" s="1091">
        <v>0</v>
      </c>
      <c r="V224" s="1091">
        <v>70.572999999999993</v>
      </c>
      <c r="W224" s="1091">
        <v>0</v>
      </c>
      <c r="X224" s="1091">
        <v>0</v>
      </c>
      <c r="Y224" s="1091">
        <v>58.646999999999998</v>
      </c>
      <c r="Z224" s="1091">
        <v>174.34800000000001</v>
      </c>
      <c r="AA224" s="1091">
        <v>133.13</v>
      </c>
      <c r="AB224" s="1091">
        <v>139.85499999999999</v>
      </c>
      <c r="AC224" s="1091">
        <v>16.733000000000001</v>
      </c>
      <c r="AD224" s="1091">
        <v>34.49</v>
      </c>
      <c r="AE224" s="1091">
        <v>0</v>
      </c>
      <c r="AF224" s="1091">
        <v>0</v>
      </c>
      <c r="AG224" s="1091"/>
      <c r="AH224" s="39">
        <f t="shared" si="43"/>
        <v>1087.394</v>
      </c>
    </row>
    <row r="225" spans="1:36" ht="15">
      <c r="A225" s="111" t="s">
        <v>79</v>
      </c>
      <c r="B225" s="15">
        <f t="shared" si="42"/>
        <v>704.9369999999999</v>
      </c>
      <c r="C225" s="1091"/>
      <c r="D225" s="1268"/>
      <c r="E225" s="1268"/>
      <c r="F225" s="1268"/>
      <c r="G225" s="1091">
        <v>46.807000000000002</v>
      </c>
      <c r="H225" s="1091"/>
      <c r="I225" s="1091"/>
      <c r="J225" s="2068">
        <v>58.07</v>
      </c>
      <c r="K225" s="2068">
        <v>16.716999999999999</v>
      </c>
      <c r="L225" s="1268">
        <v>0</v>
      </c>
      <c r="M225" s="1268">
        <v>7.3</v>
      </c>
      <c r="N225" s="1268"/>
      <c r="O225" s="1268"/>
      <c r="P225" s="1268"/>
      <c r="Q225" s="1268"/>
      <c r="R225" s="1268"/>
      <c r="S225" s="1268"/>
      <c r="T225" s="1268">
        <v>108.19499999999999</v>
      </c>
      <c r="U225" s="1268">
        <v>291.298</v>
      </c>
      <c r="V225" s="1268">
        <v>160.16999999999999</v>
      </c>
      <c r="W225" s="609">
        <v>16.38</v>
      </c>
      <c r="X225" s="609"/>
      <c r="Y225" s="609"/>
      <c r="Z225" s="609"/>
      <c r="AA225" s="609"/>
      <c r="AB225" s="609"/>
      <c r="AC225" s="609"/>
      <c r="AD225" s="609"/>
      <c r="AE225" s="609"/>
      <c r="AF225" s="609" t="s">
        <v>109</v>
      </c>
      <c r="AG225" s="609" t="s">
        <v>109</v>
      </c>
      <c r="AH225" s="39">
        <f t="shared" si="43"/>
        <v>704.9369999999999</v>
      </c>
    </row>
    <row r="226" spans="1:36" s="67" customFormat="1" ht="15">
      <c r="A226" s="111" t="s">
        <v>80</v>
      </c>
      <c r="B226" s="15">
        <f t="shared" si="42"/>
        <v>0</v>
      </c>
      <c r="C226" s="609" t="s">
        <v>109</v>
      </c>
      <c r="D226" s="609" t="s">
        <v>109</v>
      </c>
      <c r="E226" s="609" t="s">
        <v>109</v>
      </c>
      <c r="F226" s="609" t="s">
        <v>109</v>
      </c>
      <c r="G226" s="609" t="s">
        <v>109</v>
      </c>
      <c r="H226" s="609" t="s">
        <v>109</v>
      </c>
      <c r="I226" s="609" t="s">
        <v>109</v>
      </c>
      <c r="J226" s="609" t="s">
        <v>109</v>
      </c>
      <c r="K226" s="609" t="s">
        <v>109</v>
      </c>
      <c r="L226" s="609" t="s">
        <v>109</v>
      </c>
      <c r="M226" s="609" t="s">
        <v>109</v>
      </c>
      <c r="N226" s="609" t="s">
        <v>109</v>
      </c>
      <c r="O226" s="609" t="s">
        <v>109</v>
      </c>
      <c r="P226" s="609" t="s">
        <v>109</v>
      </c>
      <c r="Q226" s="609" t="s">
        <v>109</v>
      </c>
      <c r="R226" s="609" t="s">
        <v>109</v>
      </c>
      <c r="S226" s="609" t="s">
        <v>109</v>
      </c>
      <c r="T226" s="609" t="s">
        <v>109</v>
      </c>
      <c r="U226" s="609" t="s">
        <v>109</v>
      </c>
      <c r="V226" s="609" t="s">
        <v>109</v>
      </c>
      <c r="W226" s="609" t="s">
        <v>109</v>
      </c>
      <c r="X226" s="609" t="s">
        <v>109</v>
      </c>
      <c r="Y226" s="609" t="s">
        <v>109</v>
      </c>
      <c r="Z226" s="609" t="s">
        <v>109</v>
      </c>
      <c r="AA226" s="609" t="s">
        <v>109</v>
      </c>
      <c r="AB226" s="609" t="s">
        <v>109</v>
      </c>
      <c r="AC226" s="609" t="s">
        <v>109</v>
      </c>
      <c r="AD226" s="609" t="s">
        <v>109</v>
      </c>
      <c r="AE226" s="609" t="s">
        <v>109</v>
      </c>
      <c r="AF226" s="609" t="s">
        <v>109</v>
      </c>
      <c r="AG226" s="609" t="s">
        <v>109</v>
      </c>
      <c r="AH226" s="39">
        <f t="shared" si="43"/>
        <v>0</v>
      </c>
    </row>
    <row r="227" spans="1:36" ht="15">
      <c r="A227" s="109" t="s">
        <v>81</v>
      </c>
      <c r="B227" s="15">
        <f t="shared" si="42"/>
        <v>0</v>
      </c>
      <c r="C227" s="609" t="s">
        <v>109</v>
      </c>
      <c r="D227" s="609" t="s">
        <v>109</v>
      </c>
      <c r="E227" s="609" t="s">
        <v>109</v>
      </c>
      <c r="F227" s="609" t="s">
        <v>109</v>
      </c>
      <c r="G227" s="609" t="s">
        <v>109</v>
      </c>
      <c r="H227" s="609" t="s">
        <v>109</v>
      </c>
      <c r="I227" s="609" t="s">
        <v>109</v>
      </c>
      <c r="J227" s="609" t="s">
        <v>109</v>
      </c>
      <c r="K227" s="609" t="s">
        <v>109</v>
      </c>
      <c r="L227" s="609" t="s">
        <v>109</v>
      </c>
      <c r="M227" s="609" t="s">
        <v>109</v>
      </c>
      <c r="N227" s="609" t="s">
        <v>109</v>
      </c>
      <c r="O227" s="609" t="s">
        <v>109</v>
      </c>
      <c r="P227" s="609" t="s">
        <v>109</v>
      </c>
      <c r="Q227" s="609" t="s">
        <v>109</v>
      </c>
      <c r="R227" s="609" t="s">
        <v>109</v>
      </c>
      <c r="S227" s="609" t="s">
        <v>109</v>
      </c>
      <c r="T227" s="609" t="s">
        <v>109</v>
      </c>
      <c r="U227" s="609" t="s">
        <v>109</v>
      </c>
      <c r="V227" s="609" t="s">
        <v>109</v>
      </c>
      <c r="W227" s="609" t="s">
        <v>109</v>
      </c>
      <c r="X227" s="609" t="s">
        <v>109</v>
      </c>
      <c r="Y227" s="609" t="s">
        <v>109</v>
      </c>
      <c r="Z227" s="609" t="s">
        <v>109</v>
      </c>
      <c r="AA227" s="609" t="s">
        <v>109</v>
      </c>
      <c r="AB227" s="609" t="s">
        <v>109</v>
      </c>
      <c r="AC227" s="609" t="s">
        <v>109</v>
      </c>
      <c r="AD227" s="609" t="s">
        <v>109</v>
      </c>
      <c r="AE227" s="609" t="s">
        <v>109</v>
      </c>
      <c r="AF227" s="609" t="s">
        <v>109</v>
      </c>
      <c r="AG227" s="609" t="s">
        <v>109</v>
      </c>
      <c r="AH227" s="39">
        <f t="shared" si="43"/>
        <v>0</v>
      </c>
    </row>
    <row r="228" spans="1:36" ht="15">
      <c r="A228" s="109" t="s">
        <v>82</v>
      </c>
      <c r="B228" s="15">
        <f t="shared" si="42"/>
        <v>1102.4749999999999</v>
      </c>
      <c r="C228" s="609" t="s">
        <v>109</v>
      </c>
      <c r="D228" s="609" t="s">
        <v>109</v>
      </c>
      <c r="E228" s="609" t="s">
        <v>109</v>
      </c>
      <c r="F228" s="609" t="s">
        <v>109</v>
      </c>
      <c r="G228" s="609" t="s">
        <v>109</v>
      </c>
      <c r="H228" s="609" t="s">
        <v>109</v>
      </c>
      <c r="I228" s="609" t="s">
        <v>109</v>
      </c>
      <c r="J228" s="609" t="s">
        <v>109</v>
      </c>
      <c r="K228" s="609" t="s">
        <v>109</v>
      </c>
      <c r="L228" s="609" t="s">
        <v>109</v>
      </c>
      <c r="M228" s="609" t="s">
        <v>109</v>
      </c>
      <c r="N228" s="609" t="s">
        <v>109</v>
      </c>
      <c r="O228" s="609" t="s">
        <v>109</v>
      </c>
      <c r="P228" s="609" t="s">
        <v>109</v>
      </c>
      <c r="Q228" s="609" t="s">
        <v>109</v>
      </c>
      <c r="R228" s="609" t="s">
        <v>109</v>
      </c>
      <c r="S228" s="609" t="s">
        <v>109</v>
      </c>
      <c r="T228" s="609" t="s">
        <v>109</v>
      </c>
      <c r="U228" s="609" t="s">
        <v>109</v>
      </c>
      <c r="V228" s="609" t="s">
        <v>109</v>
      </c>
      <c r="W228" s="609" t="s">
        <v>109</v>
      </c>
      <c r="X228" s="1091">
        <v>243.255</v>
      </c>
      <c r="Y228" s="1091">
        <v>279.89</v>
      </c>
      <c r="Z228" s="1091">
        <v>392.09</v>
      </c>
      <c r="AA228" s="1091">
        <v>187.24</v>
      </c>
      <c r="AB228" s="1091"/>
      <c r="AC228" s="1091"/>
      <c r="AD228" s="1091"/>
      <c r="AE228" s="1268"/>
      <c r="AF228" s="1091"/>
      <c r="AG228" s="1268"/>
      <c r="AH228" s="39">
        <f t="shared" si="43"/>
        <v>1102.4749999999999</v>
      </c>
    </row>
    <row r="229" spans="1:36" ht="15">
      <c r="A229" s="109" t="s">
        <v>83</v>
      </c>
      <c r="B229" s="15">
        <f t="shared" si="42"/>
        <v>1654.8960000000002</v>
      </c>
      <c r="C229" s="1091"/>
      <c r="D229" s="1091"/>
      <c r="E229" s="1091"/>
      <c r="F229" s="1091"/>
      <c r="G229" s="1229">
        <v>347.01</v>
      </c>
      <c r="H229" s="1091"/>
      <c r="I229" s="1091"/>
      <c r="J229" s="1091">
        <v>148.88</v>
      </c>
      <c r="K229" s="1091">
        <v>402.02499999999998</v>
      </c>
      <c r="L229" s="1091">
        <v>183.9</v>
      </c>
      <c r="M229" s="1091"/>
      <c r="N229" s="1091">
        <v>9.58</v>
      </c>
      <c r="O229" s="1091">
        <v>39.585000000000001</v>
      </c>
      <c r="P229" s="1091">
        <v>88.4</v>
      </c>
      <c r="Q229" s="1091">
        <v>240.22399999999999</v>
      </c>
      <c r="R229" s="1091">
        <v>71.260000000000005</v>
      </c>
      <c r="S229" s="1091"/>
      <c r="T229" s="1091">
        <v>68.41</v>
      </c>
      <c r="U229" s="1091"/>
      <c r="V229" s="1091"/>
      <c r="W229" s="1091"/>
      <c r="X229" s="1091"/>
      <c r="Y229" s="1229"/>
      <c r="Z229" s="1091"/>
      <c r="AA229" s="1091"/>
      <c r="AB229" s="1091"/>
      <c r="AC229" s="1091"/>
      <c r="AD229" s="1091">
        <v>55.622</v>
      </c>
      <c r="AE229" s="1268"/>
      <c r="AF229" s="1091"/>
      <c r="AG229" s="1268"/>
      <c r="AH229" s="39">
        <f t="shared" si="43"/>
        <v>1654.8960000000002</v>
      </c>
    </row>
    <row r="230" spans="1:36" ht="15">
      <c r="A230" s="109" t="s">
        <v>84</v>
      </c>
      <c r="B230" s="15">
        <f t="shared" si="42"/>
        <v>14.552</v>
      </c>
      <c r="C230" s="1091"/>
      <c r="D230" s="1091"/>
      <c r="E230" s="1091"/>
      <c r="F230" s="1091"/>
      <c r="G230" s="1091"/>
      <c r="H230" s="1091"/>
      <c r="I230" s="1091"/>
      <c r="J230" s="1091"/>
      <c r="K230" s="1091"/>
      <c r="L230" s="1091"/>
      <c r="M230" s="1091"/>
      <c r="N230" s="1091"/>
      <c r="O230" s="1091"/>
      <c r="P230" s="1091"/>
      <c r="Q230" s="1091"/>
      <c r="R230" s="1091"/>
      <c r="S230" s="1091"/>
      <c r="T230" s="1091"/>
      <c r="U230" s="1091"/>
      <c r="V230" s="1091"/>
      <c r="W230" s="1091"/>
      <c r="X230" s="1091"/>
      <c r="Y230" s="1091"/>
      <c r="Z230" s="1091"/>
      <c r="AA230" s="1091"/>
      <c r="AB230" s="1091"/>
      <c r="AC230" s="1091"/>
      <c r="AD230" s="1091"/>
      <c r="AE230" s="1091"/>
      <c r="AF230" s="1091">
        <v>14.552</v>
      </c>
      <c r="AG230" s="1091"/>
      <c r="AH230" s="39">
        <f t="shared" si="43"/>
        <v>14.552</v>
      </c>
    </row>
    <row r="231" spans="1:36" ht="15">
      <c r="A231" s="71" t="s">
        <v>72</v>
      </c>
      <c r="B231" s="72">
        <f>SUM(B219:B230)</f>
        <v>16825.28</v>
      </c>
      <c r="C231" s="32">
        <f>SUM(C219:C229)</f>
        <v>448.32400000000001</v>
      </c>
      <c r="D231" s="39">
        <f>SUM(D219:D229)</f>
        <v>58.262</v>
      </c>
      <c r="E231" s="39">
        <v>0</v>
      </c>
      <c r="F231" s="39">
        <f t="shared" ref="F231:AC231" si="44">SUM(F219:F229)</f>
        <v>456.63</v>
      </c>
      <c r="G231" s="39">
        <f t="shared" si="44"/>
        <v>860.76</v>
      </c>
      <c r="H231" s="39">
        <f t="shared" si="44"/>
        <v>364.779</v>
      </c>
      <c r="I231" s="39">
        <f t="shared" si="44"/>
        <v>371.27499999999998</v>
      </c>
      <c r="J231" s="39">
        <f t="shared" si="44"/>
        <v>878.09400000000005</v>
      </c>
      <c r="K231" s="39">
        <f t="shared" si="44"/>
        <v>1205.1419999999998</v>
      </c>
      <c r="L231" s="39">
        <f t="shared" si="44"/>
        <v>1041.2080000000001</v>
      </c>
      <c r="M231" s="39">
        <f t="shared" si="44"/>
        <v>567.46499999999992</v>
      </c>
      <c r="N231" s="39">
        <f t="shared" si="44"/>
        <v>427.71199999999999</v>
      </c>
      <c r="O231" s="39">
        <f t="shared" si="44"/>
        <v>485.96700000000004</v>
      </c>
      <c r="P231" s="39">
        <f t="shared" si="44"/>
        <v>224.86099999999999</v>
      </c>
      <c r="Q231" s="39">
        <f t="shared" si="44"/>
        <v>785.36500000000001</v>
      </c>
      <c r="R231" s="39">
        <f t="shared" si="44"/>
        <v>759.30299999999988</v>
      </c>
      <c r="S231" s="39">
        <f t="shared" si="44"/>
        <v>758.35400000000004</v>
      </c>
      <c r="T231" s="39">
        <f t="shared" si="44"/>
        <v>680.58299999999997</v>
      </c>
      <c r="U231" s="39">
        <f t="shared" si="44"/>
        <v>741.84899999999993</v>
      </c>
      <c r="V231" s="39">
        <f t="shared" si="44"/>
        <v>547.15199999999993</v>
      </c>
      <c r="W231" s="39">
        <f t="shared" si="44"/>
        <v>197.77499999999998</v>
      </c>
      <c r="X231" s="39">
        <f t="shared" si="44"/>
        <v>327.37700000000001</v>
      </c>
      <c r="Y231" s="39">
        <f t="shared" si="44"/>
        <v>405.79199999999997</v>
      </c>
      <c r="Z231" s="39">
        <f t="shared" si="44"/>
        <v>1236.1129999999998</v>
      </c>
      <c r="AA231" s="39">
        <f t="shared" si="44"/>
        <v>760.25</v>
      </c>
      <c r="AB231" s="39">
        <f t="shared" si="44"/>
        <v>646.976</v>
      </c>
      <c r="AC231" s="39">
        <f t="shared" si="44"/>
        <v>486.96800000000002</v>
      </c>
      <c r="AD231" s="39">
        <v>0</v>
      </c>
      <c r="AE231" s="39">
        <f>SUM(AE219:AE229)</f>
        <v>149.61500000000001</v>
      </c>
      <c r="AF231" s="39">
        <f>SUM(AF219:AF229)</f>
        <v>0</v>
      </c>
      <c r="AG231" s="39">
        <f>SUM(AG219:AG229)</f>
        <v>0</v>
      </c>
      <c r="AH231" s="32">
        <f>SUM(AH219:AH229)</f>
        <v>16810.727999999999</v>
      </c>
    </row>
    <row r="232" spans="1:36" ht="5.0999999999999996" customHeight="1">
      <c r="A232" s="14"/>
      <c r="B232" s="14"/>
      <c r="C232" s="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
    </row>
    <row r="233" spans="1:36" ht="15">
      <c r="A233" s="3811" t="s">
        <v>101</v>
      </c>
      <c r="B233" s="3812"/>
      <c r="C233" s="3812"/>
      <c r="D233" s="3812"/>
      <c r="E233" s="3812"/>
      <c r="F233" s="3812"/>
      <c r="G233" s="3812"/>
      <c r="H233" s="3813"/>
      <c r="I233" s="1229"/>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row>
    <row r="234" spans="1:36" ht="15">
      <c r="A234" s="5" t="s">
        <v>70</v>
      </c>
      <c r="B234" s="5" t="s">
        <v>71</v>
      </c>
      <c r="C234" s="1039">
        <v>1</v>
      </c>
      <c r="D234" s="21">
        <v>2</v>
      </c>
      <c r="E234" s="21">
        <v>3</v>
      </c>
      <c r="F234" s="21">
        <v>4</v>
      </c>
      <c r="G234" s="21">
        <v>5</v>
      </c>
      <c r="H234" s="21">
        <v>6</v>
      </c>
      <c r="I234" s="21">
        <v>7</v>
      </c>
      <c r="J234" s="21">
        <v>8</v>
      </c>
      <c r="K234" s="21">
        <v>9</v>
      </c>
      <c r="L234" s="21">
        <v>10</v>
      </c>
      <c r="M234" s="21">
        <v>11</v>
      </c>
      <c r="N234" s="21">
        <v>12</v>
      </c>
      <c r="O234" s="21">
        <v>13</v>
      </c>
      <c r="P234" s="21">
        <v>14</v>
      </c>
      <c r="Q234" s="21">
        <v>15</v>
      </c>
      <c r="R234" s="21">
        <v>16</v>
      </c>
      <c r="S234" s="21">
        <v>17</v>
      </c>
      <c r="T234" s="21">
        <v>18</v>
      </c>
      <c r="U234" s="21">
        <v>19</v>
      </c>
      <c r="V234" s="21">
        <v>20</v>
      </c>
      <c r="W234" s="21">
        <v>21</v>
      </c>
      <c r="X234" s="21">
        <v>22</v>
      </c>
      <c r="Y234" s="21">
        <v>23</v>
      </c>
      <c r="Z234" s="21">
        <v>24</v>
      </c>
      <c r="AA234" s="21">
        <v>25</v>
      </c>
      <c r="AB234" s="21">
        <v>26</v>
      </c>
      <c r="AC234" s="21">
        <v>27</v>
      </c>
      <c r="AD234" s="21">
        <v>28</v>
      </c>
      <c r="AE234" s="21">
        <v>29</v>
      </c>
      <c r="AF234" s="21">
        <v>30</v>
      </c>
      <c r="AG234" s="21">
        <v>31</v>
      </c>
      <c r="AH234" s="25" t="s">
        <v>72</v>
      </c>
      <c r="AI234" s="2266" t="s">
        <v>1345</v>
      </c>
      <c r="AJ234" s="66" t="e">
        <f>(B247/COUNTIF($C$235:$AG$246,"&gt;0"))</f>
        <v>#DIV/0!</v>
      </c>
    </row>
    <row r="235" spans="1:36" ht="15">
      <c r="A235" s="120" t="s">
        <v>73</v>
      </c>
      <c r="B235" s="15">
        <f t="shared" ref="B235:B246" si="45">+AH235</f>
        <v>0</v>
      </c>
      <c r="C235" s="65" t="s">
        <v>109</v>
      </c>
      <c r="D235" s="65" t="s">
        <v>109</v>
      </c>
      <c r="E235" s="65" t="s">
        <v>109</v>
      </c>
      <c r="F235" s="65" t="s">
        <v>109</v>
      </c>
      <c r="G235" s="65" t="s">
        <v>109</v>
      </c>
      <c r="H235" s="65" t="s">
        <v>109</v>
      </c>
      <c r="I235" s="65" t="s">
        <v>109</v>
      </c>
      <c r="J235" s="65" t="s">
        <v>109</v>
      </c>
      <c r="K235" s="65" t="s">
        <v>109</v>
      </c>
      <c r="L235" s="65" t="s">
        <v>109</v>
      </c>
      <c r="M235" s="65" t="s">
        <v>109</v>
      </c>
      <c r="N235" s="65" t="s">
        <v>109</v>
      </c>
      <c r="O235" s="65" t="s">
        <v>109</v>
      </c>
      <c r="P235" s="65" t="s">
        <v>109</v>
      </c>
      <c r="Q235" s="65" t="s">
        <v>109</v>
      </c>
      <c r="R235" s="65" t="s">
        <v>109</v>
      </c>
      <c r="S235" s="65" t="s">
        <v>109</v>
      </c>
      <c r="T235" s="65" t="s">
        <v>109</v>
      </c>
      <c r="U235" s="65" t="s">
        <v>109</v>
      </c>
      <c r="V235" s="65" t="s">
        <v>109</v>
      </c>
      <c r="W235" s="65" t="s">
        <v>109</v>
      </c>
      <c r="X235" s="65" t="s">
        <v>109</v>
      </c>
      <c r="Y235" s="65" t="s">
        <v>109</v>
      </c>
      <c r="Z235" s="65" t="s">
        <v>109</v>
      </c>
      <c r="AA235" s="65" t="s">
        <v>109</v>
      </c>
      <c r="AB235" s="65" t="s">
        <v>109</v>
      </c>
      <c r="AC235" s="65" t="s">
        <v>109</v>
      </c>
      <c r="AD235" s="65" t="s">
        <v>109</v>
      </c>
      <c r="AE235" s="65" t="s">
        <v>109</v>
      </c>
      <c r="AF235" s="65" t="s">
        <v>109</v>
      </c>
      <c r="AG235" s="65" t="s">
        <v>109</v>
      </c>
      <c r="AH235" s="39">
        <f>SUM(C235:AG235)</f>
        <v>0</v>
      </c>
    </row>
    <row r="236" spans="1:36" s="67" customFormat="1" ht="15">
      <c r="A236" s="120" t="s">
        <v>74</v>
      </c>
      <c r="B236" s="15">
        <f t="shared" si="45"/>
        <v>0</v>
      </c>
      <c r="C236" s="65" t="s">
        <v>109</v>
      </c>
      <c r="D236" s="65" t="s">
        <v>109</v>
      </c>
      <c r="E236" s="65" t="s">
        <v>109</v>
      </c>
      <c r="F236" s="65" t="s">
        <v>109</v>
      </c>
      <c r="G236" s="65" t="s">
        <v>109</v>
      </c>
      <c r="H236" s="65" t="s">
        <v>109</v>
      </c>
      <c r="I236" s="65" t="s">
        <v>109</v>
      </c>
      <c r="J236" s="94"/>
      <c r="K236" s="94"/>
      <c r="L236" s="94"/>
      <c r="M236" s="94"/>
      <c r="N236" s="94"/>
      <c r="O236" s="94"/>
      <c r="P236" s="94"/>
      <c r="Q236" s="94"/>
      <c r="R236" s="94"/>
      <c r="S236" s="94"/>
      <c r="T236" s="94"/>
      <c r="U236" s="94"/>
      <c r="V236" s="94"/>
      <c r="W236" s="94"/>
      <c r="X236" s="94"/>
      <c r="Y236" s="94"/>
      <c r="Z236" s="94"/>
      <c r="AA236" s="94"/>
      <c r="AB236" s="94"/>
      <c r="AC236" s="94"/>
      <c r="AD236" s="94"/>
      <c r="AE236" s="94"/>
      <c r="AF236" s="94"/>
      <c r="AG236" s="94"/>
      <c r="AH236" s="39">
        <f t="shared" ref="AH236:AH246" si="46">SUM(C236:AG236)</f>
        <v>0</v>
      </c>
    </row>
    <row r="237" spans="1:36" ht="15">
      <c r="A237" s="120" t="s">
        <v>75</v>
      </c>
      <c r="B237" s="15">
        <f t="shared" si="45"/>
        <v>0</v>
      </c>
      <c r="C237" s="94"/>
      <c r="D237" s="94"/>
      <c r="E237" s="94"/>
      <c r="F237" s="94"/>
      <c r="G237" s="94"/>
      <c r="H237" s="99"/>
      <c r="I237" s="99"/>
      <c r="J237" s="39"/>
      <c r="K237" s="39"/>
      <c r="L237" s="39"/>
      <c r="M237" s="39"/>
      <c r="N237" s="39">
        <v>0</v>
      </c>
      <c r="O237" s="39"/>
      <c r="P237" s="39"/>
      <c r="Q237" s="39"/>
      <c r="R237" s="39"/>
      <c r="S237" s="39"/>
      <c r="T237" s="39"/>
      <c r="U237" s="39"/>
      <c r="V237" s="39"/>
      <c r="W237" s="39"/>
      <c r="X237" s="39"/>
      <c r="Y237" s="39"/>
      <c r="Z237" s="39"/>
      <c r="AA237" s="39"/>
      <c r="AB237" s="39"/>
      <c r="AC237" s="1091"/>
      <c r="AD237" s="1091"/>
      <c r="AE237" s="1091"/>
      <c r="AF237" s="1091"/>
      <c r="AG237" s="1091"/>
      <c r="AH237" s="39">
        <f t="shared" si="46"/>
        <v>0</v>
      </c>
    </row>
    <row r="238" spans="1:36" ht="15">
      <c r="A238" s="120" t="s">
        <v>76</v>
      </c>
      <c r="B238" s="15">
        <f t="shared" si="45"/>
        <v>0</v>
      </c>
      <c r="C238" s="15"/>
      <c r="D238" s="15"/>
      <c r="E238" s="15"/>
      <c r="F238" s="15"/>
      <c r="G238" s="15"/>
      <c r="H238" s="15"/>
      <c r="I238" s="15"/>
      <c r="J238" s="15"/>
      <c r="K238" s="15"/>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f t="shared" si="46"/>
        <v>0</v>
      </c>
    </row>
    <row r="239" spans="1:36" s="67" customFormat="1" ht="15">
      <c r="A239" s="111" t="s">
        <v>77</v>
      </c>
      <c r="B239" s="15">
        <f t="shared" si="45"/>
        <v>0</v>
      </c>
      <c r="C239" s="35"/>
      <c r="D239" s="15"/>
      <c r="E239" s="15"/>
      <c r="F239" s="15"/>
      <c r="G239" s="15"/>
      <c r="H239" s="15"/>
      <c r="I239" s="15"/>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f t="shared" si="46"/>
        <v>0</v>
      </c>
    </row>
    <row r="240" spans="1:36" ht="15">
      <c r="A240" s="111" t="s">
        <v>78</v>
      </c>
      <c r="B240" s="15">
        <f t="shared" si="45"/>
        <v>0</v>
      </c>
      <c r="C240" s="1268"/>
      <c r="D240" s="1268"/>
      <c r="E240" s="1268"/>
      <c r="F240" s="1268"/>
      <c r="G240" s="1268"/>
      <c r="H240" s="1091"/>
      <c r="I240" s="1091"/>
      <c r="J240" s="1091"/>
      <c r="K240" s="1091"/>
      <c r="L240" s="1091"/>
      <c r="M240" s="1091"/>
      <c r="N240" s="1091"/>
      <c r="O240" s="1091"/>
      <c r="P240" s="1091"/>
      <c r="Q240" s="1091"/>
      <c r="R240" s="1091"/>
      <c r="S240" s="1091"/>
      <c r="T240" s="1091"/>
      <c r="U240" s="1091"/>
      <c r="V240" s="1091"/>
      <c r="W240" s="1091"/>
      <c r="X240" s="1091"/>
      <c r="Y240" s="1268"/>
      <c r="Z240" s="1268"/>
      <c r="AA240" s="1268"/>
      <c r="AB240" s="1268"/>
      <c r="AC240" s="1268"/>
      <c r="AD240" s="1268"/>
      <c r="AE240" s="1268"/>
      <c r="AF240" s="1268"/>
      <c r="AG240" s="1268"/>
      <c r="AH240" s="39">
        <f t="shared" si="46"/>
        <v>0</v>
      </c>
    </row>
    <row r="241" spans="1:36" ht="15">
      <c r="A241" s="111" t="s">
        <v>79</v>
      </c>
      <c r="B241" s="15">
        <f t="shared" si="45"/>
        <v>0</v>
      </c>
      <c r="C241" s="1091"/>
      <c r="D241" s="1268"/>
      <c r="E241" s="1268"/>
      <c r="F241" s="1268"/>
      <c r="G241" s="1091"/>
      <c r="H241" s="1091"/>
      <c r="I241" s="1091"/>
      <c r="J241" s="2068"/>
      <c r="K241" s="2068"/>
      <c r="L241" s="1268"/>
      <c r="M241" s="1268"/>
      <c r="N241" s="1268"/>
      <c r="O241" s="1268"/>
      <c r="P241" s="1268"/>
      <c r="Q241" s="1268"/>
      <c r="R241" s="1268"/>
      <c r="S241" s="1268"/>
      <c r="T241" s="1268"/>
      <c r="U241" s="1268"/>
      <c r="V241" s="1268"/>
      <c r="W241" s="1268"/>
      <c r="X241" s="1268"/>
      <c r="Y241" s="1268"/>
      <c r="Z241" s="1268"/>
      <c r="AA241" s="1268"/>
      <c r="AB241" s="1268"/>
      <c r="AC241" s="1268"/>
      <c r="AD241" s="1268"/>
      <c r="AE241" s="1268"/>
      <c r="AF241" s="65" t="s">
        <v>110</v>
      </c>
      <c r="AG241" s="65" t="s">
        <v>110</v>
      </c>
      <c r="AH241" s="39">
        <f t="shared" si="46"/>
        <v>0</v>
      </c>
    </row>
    <row r="242" spans="1:36" s="67" customFormat="1" ht="15">
      <c r="A242" s="111" t="s">
        <v>80</v>
      </c>
      <c r="B242" s="15">
        <f t="shared" si="45"/>
        <v>0</v>
      </c>
      <c r="C242" s="65" t="s">
        <v>110</v>
      </c>
      <c r="D242" s="65" t="s">
        <v>110</v>
      </c>
      <c r="E242" s="65" t="s">
        <v>110</v>
      </c>
      <c r="F242" s="65" t="s">
        <v>110</v>
      </c>
      <c r="G242" s="65" t="s">
        <v>110</v>
      </c>
      <c r="H242" s="65" t="s">
        <v>110</v>
      </c>
      <c r="I242" s="65" t="s">
        <v>110</v>
      </c>
      <c r="J242" s="65" t="s">
        <v>110</v>
      </c>
      <c r="K242" s="65" t="s">
        <v>110</v>
      </c>
      <c r="L242" s="65" t="s">
        <v>110</v>
      </c>
      <c r="M242" s="65" t="s">
        <v>110</v>
      </c>
      <c r="N242" s="65" t="s">
        <v>110</v>
      </c>
      <c r="O242" s="65" t="s">
        <v>110</v>
      </c>
      <c r="P242" s="65" t="s">
        <v>110</v>
      </c>
      <c r="Q242" s="65" t="s">
        <v>110</v>
      </c>
      <c r="R242" s="65" t="s">
        <v>110</v>
      </c>
      <c r="S242" s="65" t="s">
        <v>110</v>
      </c>
      <c r="T242" s="65" t="s">
        <v>110</v>
      </c>
      <c r="U242" s="65" t="s">
        <v>110</v>
      </c>
      <c r="V242" s="65" t="s">
        <v>110</v>
      </c>
      <c r="W242" s="65" t="s">
        <v>110</v>
      </c>
      <c r="X242" s="65" t="s">
        <v>110</v>
      </c>
      <c r="Y242" s="65" t="s">
        <v>110</v>
      </c>
      <c r="Z242" s="65" t="s">
        <v>110</v>
      </c>
      <c r="AA242" s="65" t="s">
        <v>110</v>
      </c>
      <c r="AB242" s="65" t="s">
        <v>110</v>
      </c>
      <c r="AC242" s="65" t="s">
        <v>110</v>
      </c>
      <c r="AD242" s="65" t="s">
        <v>110</v>
      </c>
      <c r="AE242" s="65" t="s">
        <v>110</v>
      </c>
      <c r="AF242" s="65" t="s">
        <v>110</v>
      </c>
      <c r="AG242" s="65" t="s">
        <v>110</v>
      </c>
      <c r="AH242" s="39">
        <f t="shared" si="46"/>
        <v>0</v>
      </c>
    </row>
    <row r="243" spans="1:36" ht="15">
      <c r="A243" s="109" t="s">
        <v>81</v>
      </c>
      <c r="B243" s="15">
        <f t="shared" si="45"/>
        <v>0</v>
      </c>
      <c r="C243" s="65" t="s">
        <v>110</v>
      </c>
      <c r="D243" s="65" t="s">
        <v>110</v>
      </c>
      <c r="E243" s="65" t="s">
        <v>110</v>
      </c>
      <c r="F243" s="65" t="s">
        <v>110</v>
      </c>
      <c r="G243" s="65" t="s">
        <v>110</v>
      </c>
      <c r="H243" s="65" t="s">
        <v>110</v>
      </c>
      <c r="I243" s="65" t="s">
        <v>110</v>
      </c>
      <c r="J243" s="65" t="s">
        <v>110</v>
      </c>
      <c r="K243" s="65" t="s">
        <v>110</v>
      </c>
      <c r="L243" s="65" t="s">
        <v>110</v>
      </c>
      <c r="M243" s="65" t="s">
        <v>110</v>
      </c>
      <c r="N243" s="65" t="s">
        <v>110</v>
      </c>
      <c r="O243" s="65" t="s">
        <v>110</v>
      </c>
      <c r="P243" s="65" t="s">
        <v>110</v>
      </c>
      <c r="Q243" s="65" t="s">
        <v>110</v>
      </c>
      <c r="R243" s="65" t="s">
        <v>110</v>
      </c>
      <c r="S243" s="65" t="s">
        <v>110</v>
      </c>
      <c r="T243" s="65" t="s">
        <v>110</v>
      </c>
      <c r="U243" s="65" t="s">
        <v>110</v>
      </c>
      <c r="V243" s="65" t="s">
        <v>110</v>
      </c>
      <c r="W243" s="65" t="s">
        <v>110</v>
      </c>
      <c r="X243" s="65" t="s">
        <v>110</v>
      </c>
      <c r="Y243" s="65" t="s">
        <v>110</v>
      </c>
      <c r="Z243" s="65" t="s">
        <v>110</v>
      </c>
      <c r="AA243" s="65" t="s">
        <v>110</v>
      </c>
      <c r="AB243" s="65" t="s">
        <v>110</v>
      </c>
      <c r="AC243" s="65" t="s">
        <v>110</v>
      </c>
      <c r="AD243" s="65" t="s">
        <v>110</v>
      </c>
      <c r="AE243" s="65" t="s">
        <v>110</v>
      </c>
      <c r="AF243" s="65" t="s">
        <v>110</v>
      </c>
      <c r="AG243" s="65" t="s">
        <v>110</v>
      </c>
      <c r="AH243" s="39">
        <f t="shared" si="46"/>
        <v>0</v>
      </c>
    </row>
    <row r="244" spans="1:36" ht="15">
      <c r="A244" s="109" t="s">
        <v>82</v>
      </c>
      <c r="B244" s="15">
        <f t="shared" si="45"/>
        <v>0</v>
      </c>
      <c r="C244" s="65" t="s">
        <v>110</v>
      </c>
      <c r="D244" s="65" t="s">
        <v>110</v>
      </c>
      <c r="E244" s="65" t="s">
        <v>110</v>
      </c>
      <c r="F244" s="65" t="s">
        <v>110</v>
      </c>
      <c r="G244" s="65" t="s">
        <v>110</v>
      </c>
      <c r="H244" s="65" t="s">
        <v>110</v>
      </c>
      <c r="I244" s="65" t="s">
        <v>110</v>
      </c>
      <c r="J244" s="65" t="s">
        <v>110</v>
      </c>
      <c r="K244" s="65" t="s">
        <v>110</v>
      </c>
      <c r="L244" s="65" t="s">
        <v>110</v>
      </c>
      <c r="M244" s="65" t="s">
        <v>110</v>
      </c>
      <c r="N244" s="65" t="s">
        <v>110</v>
      </c>
      <c r="O244" s="65" t="s">
        <v>110</v>
      </c>
      <c r="P244" s="65" t="s">
        <v>110</v>
      </c>
      <c r="Q244" s="65" t="s">
        <v>110</v>
      </c>
      <c r="R244" s="65" t="s">
        <v>110</v>
      </c>
      <c r="S244" s="65" t="s">
        <v>110</v>
      </c>
      <c r="T244" s="65" t="s">
        <v>110</v>
      </c>
      <c r="U244" s="65" t="s">
        <v>110</v>
      </c>
      <c r="V244" s="65" t="s">
        <v>110</v>
      </c>
      <c r="W244" s="65" t="s">
        <v>110</v>
      </c>
      <c r="X244" s="1091"/>
      <c r="Y244" s="1091"/>
      <c r="Z244" s="1091"/>
      <c r="AA244" s="1091"/>
      <c r="AB244" s="1091"/>
      <c r="AC244" s="1091"/>
      <c r="AD244" s="1091"/>
      <c r="AE244" s="1268"/>
      <c r="AF244" s="1091"/>
      <c r="AG244" s="1268"/>
      <c r="AH244" s="39">
        <f t="shared" si="46"/>
        <v>0</v>
      </c>
    </row>
    <row r="245" spans="1:36" ht="15">
      <c r="A245" s="109" t="s">
        <v>83</v>
      </c>
      <c r="B245" s="15">
        <f t="shared" si="45"/>
        <v>0</v>
      </c>
      <c r="C245" s="1091"/>
      <c r="D245" s="1091"/>
      <c r="E245" s="1091"/>
      <c r="F245" s="1091"/>
      <c r="G245" s="1091"/>
      <c r="H245" s="1091"/>
      <c r="I245" s="1091"/>
      <c r="J245" s="1091"/>
      <c r="K245" s="1091"/>
      <c r="L245" s="1091"/>
      <c r="M245" s="1091"/>
      <c r="N245" s="1091"/>
      <c r="O245" s="1091"/>
      <c r="P245" s="1091"/>
      <c r="Q245" s="1091"/>
      <c r="R245" s="1091"/>
      <c r="S245" s="1091"/>
      <c r="T245" s="1091"/>
      <c r="U245" s="1091"/>
      <c r="V245" s="1091"/>
      <c r="W245" s="1091"/>
      <c r="X245" s="1091"/>
      <c r="Y245" s="1091"/>
      <c r="Z245" s="1091"/>
      <c r="AA245" s="1091"/>
      <c r="AB245" s="1091"/>
      <c r="AC245" s="1091"/>
      <c r="AD245" s="1091"/>
      <c r="AE245" s="1268"/>
      <c r="AF245" s="1091"/>
      <c r="AG245" s="1268"/>
      <c r="AH245" s="39">
        <f t="shared" si="46"/>
        <v>0</v>
      </c>
    </row>
    <row r="246" spans="1:36" ht="15">
      <c r="A246" s="109" t="s">
        <v>84</v>
      </c>
      <c r="B246" s="15">
        <f t="shared" si="45"/>
        <v>0</v>
      </c>
      <c r="C246" s="1091"/>
      <c r="D246" s="1091"/>
      <c r="E246" s="1091"/>
      <c r="F246" s="1091"/>
      <c r="G246" s="1091"/>
      <c r="H246" s="1091"/>
      <c r="I246" s="1091"/>
      <c r="J246" s="1091"/>
      <c r="K246" s="1091"/>
      <c r="L246" s="1091"/>
      <c r="M246" s="1091"/>
      <c r="N246" s="1091"/>
      <c r="O246" s="1091"/>
      <c r="P246" s="1091"/>
      <c r="Q246" s="1091"/>
      <c r="R246" s="1091"/>
      <c r="S246" s="1091"/>
      <c r="T246" s="1091"/>
      <c r="U246" s="1091"/>
      <c r="V246" s="1091"/>
      <c r="W246" s="1091"/>
      <c r="X246" s="1091"/>
      <c r="Y246" s="1091"/>
      <c r="Z246" s="1091"/>
      <c r="AA246" s="1091"/>
      <c r="AB246" s="1091"/>
      <c r="AC246" s="1091"/>
      <c r="AD246" s="1091"/>
      <c r="AE246" s="1091"/>
      <c r="AF246" s="1091"/>
      <c r="AG246" s="1091"/>
      <c r="AH246" s="39">
        <f t="shared" si="46"/>
        <v>0</v>
      </c>
    </row>
    <row r="247" spans="1:36" ht="15">
      <c r="A247" s="71" t="s">
        <v>72</v>
      </c>
      <c r="B247" s="75">
        <f>SUM(B235:B246)</f>
        <v>0</v>
      </c>
      <c r="C247" s="32">
        <f>SUM(C235:C245)</f>
        <v>0</v>
      </c>
      <c r="D247" s="39">
        <f>SUM(D235:D245)</f>
        <v>0</v>
      </c>
      <c r="E247" s="39">
        <v>0</v>
      </c>
      <c r="F247" s="39">
        <f t="shared" ref="F247:AC247" si="47">SUM(F235:F245)</f>
        <v>0</v>
      </c>
      <c r="G247" s="39">
        <f t="shared" si="47"/>
        <v>0</v>
      </c>
      <c r="H247" s="39">
        <f t="shared" si="47"/>
        <v>0</v>
      </c>
      <c r="I247" s="39">
        <f t="shared" si="47"/>
        <v>0</v>
      </c>
      <c r="J247" s="39">
        <f t="shared" si="47"/>
        <v>0</v>
      </c>
      <c r="K247" s="39">
        <f t="shared" si="47"/>
        <v>0</v>
      </c>
      <c r="L247" s="39">
        <f t="shared" si="47"/>
        <v>0</v>
      </c>
      <c r="M247" s="39">
        <f t="shared" si="47"/>
        <v>0</v>
      </c>
      <c r="N247" s="39">
        <f t="shared" si="47"/>
        <v>0</v>
      </c>
      <c r="O247" s="39">
        <f t="shared" si="47"/>
        <v>0</v>
      </c>
      <c r="P247" s="39">
        <f t="shared" si="47"/>
        <v>0</v>
      </c>
      <c r="Q247" s="39">
        <f t="shared" si="47"/>
        <v>0</v>
      </c>
      <c r="R247" s="39">
        <f t="shared" si="47"/>
        <v>0</v>
      </c>
      <c r="S247" s="39">
        <f t="shared" si="47"/>
        <v>0</v>
      </c>
      <c r="T247" s="39">
        <f t="shared" si="47"/>
        <v>0</v>
      </c>
      <c r="U247" s="39">
        <f t="shared" si="47"/>
        <v>0</v>
      </c>
      <c r="V247" s="39">
        <f t="shared" si="47"/>
        <v>0</v>
      </c>
      <c r="W247" s="39">
        <f t="shared" si="47"/>
        <v>0</v>
      </c>
      <c r="X247" s="39">
        <f t="shared" si="47"/>
        <v>0</v>
      </c>
      <c r="Y247" s="39">
        <f t="shared" si="47"/>
        <v>0</v>
      </c>
      <c r="Z247" s="39">
        <f t="shared" si="47"/>
        <v>0</v>
      </c>
      <c r="AA247" s="39">
        <f t="shared" si="47"/>
        <v>0</v>
      </c>
      <c r="AB247" s="39">
        <f t="shared" si="47"/>
        <v>0</v>
      </c>
      <c r="AC247" s="39">
        <f t="shared" si="47"/>
        <v>0</v>
      </c>
      <c r="AD247" s="39">
        <v>0</v>
      </c>
      <c r="AE247" s="39">
        <f>SUM(AE235:AE245)</f>
        <v>0</v>
      </c>
      <c r="AF247" s="39">
        <f>SUM(AF235:AF245)</f>
        <v>0</v>
      </c>
      <c r="AG247" s="39">
        <f>SUM(AG235:AG245)</f>
        <v>0</v>
      </c>
      <c r="AH247" s="32">
        <f>SUM(AH235:AH245)</f>
        <v>0</v>
      </c>
    </row>
    <row r="248" spans="1:36" ht="5.0999999999999996" customHeight="1">
      <c r="A248" s="14"/>
      <c r="B248" s="14"/>
      <c r="C248" s="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
    </row>
    <row r="249" spans="1:36" ht="15">
      <c r="A249" s="3811" t="s">
        <v>103</v>
      </c>
      <c r="B249" s="3812"/>
      <c r="C249" s="3812"/>
      <c r="D249" s="3812"/>
      <c r="E249" s="3812"/>
      <c r="F249" s="3812"/>
      <c r="G249" s="3812"/>
      <c r="H249" s="3813"/>
      <c r="I249" s="1229"/>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row>
    <row r="250" spans="1:36" ht="15">
      <c r="A250" s="5" t="s">
        <v>70</v>
      </c>
      <c r="B250" s="5" t="s">
        <v>71</v>
      </c>
      <c r="C250" s="1039">
        <v>1</v>
      </c>
      <c r="D250" s="21">
        <v>2</v>
      </c>
      <c r="E250" s="21">
        <v>3</v>
      </c>
      <c r="F250" s="21">
        <v>4</v>
      </c>
      <c r="G250" s="21">
        <v>5</v>
      </c>
      <c r="H250" s="21">
        <v>6</v>
      </c>
      <c r="I250" s="21">
        <v>7</v>
      </c>
      <c r="J250" s="21">
        <v>8</v>
      </c>
      <c r="K250" s="21">
        <v>9</v>
      </c>
      <c r="L250" s="21">
        <v>10</v>
      </c>
      <c r="M250" s="21">
        <v>11</v>
      </c>
      <c r="N250" s="21">
        <v>12</v>
      </c>
      <c r="O250" s="21">
        <v>13</v>
      </c>
      <c r="P250" s="21">
        <v>14</v>
      </c>
      <c r="Q250" s="21">
        <v>15</v>
      </c>
      <c r="R250" s="21">
        <v>16</v>
      </c>
      <c r="S250" s="21">
        <v>17</v>
      </c>
      <c r="T250" s="21">
        <v>18</v>
      </c>
      <c r="U250" s="21">
        <v>19</v>
      </c>
      <c r="V250" s="21">
        <v>20</v>
      </c>
      <c r="W250" s="21">
        <v>21</v>
      </c>
      <c r="X250" s="21">
        <v>22</v>
      </c>
      <c r="Y250" s="21">
        <v>23</v>
      </c>
      <c r="Z250" s="21">
        <v>24</v>
      </c>
      <c r="AA250" s="21">
        <v>25</v>
      </c>
      <c r="AB250" s="21">
        <v>26</v>
      </c>
      <c r="AC250" s="21">
        <v>27</v>
      </c>
      <c r="AD250" s="21">
        <v>28</v>
      </c>
      <c r="AE250" s="21">
        <v>29</v>
      </c>
      <c r="AF250" s="21">
        <v>30</v>
      </c>
      <c r="AG250" s="21">
        <v>31</v>
      </c>
      <c r="AH250" s="25" t="s">
        <v>72</v>
      </c>
      <c r="AI250" s="2266" t="s">
        <v>1345</v>
      </c>
      <c r="AJ250" s="66" t="e">
        <f>(B263/COUNTIF($C$251:$AG$262,"&gt;0"))</f>
        <v>#DIV/0!</v>
      </c>
    </row>
    <row r="251" spans="1:36" ht="15">
      <c r="A251" s="120" t="s">
        <v>73</v>
      </c>
      <c r="B251" s="15">
        <f t="shared" ref="B251:B262" si="48">+AH251</f>
        <v>0</v>
      </c>
      <c r="C251" s="107" t="s">
        <v>109</v>
      </c>
      <c r="D251" s="107" t="s">
        <v>109</v>
      </c>
      <c r="E251" s="107" t="s">
        <v>109</v>
      </c>
      <c r="F251" s="107" t="s">
        <v>109</v>
      </c>
      <c r="G251" s="107" t="s">
        <v>109</v>
      </c>
      <c r="H251" s="107" t="s">
        <v>109</v>
      </c>
      <c r="I251" s="107" t="s">
        <v>109</v>
      </c>
      <c r="J251" s="107" t="s">
        <v>109</v>
      </c>
      <c r="K251" s="107" t="s">
        <v>109</v>
      </c>
      <c r="L251" s="107" t="s">
        <v>109</v>
      </c>
      <c r="M251" s="107" t="s">
        <v>109</v>
      </c>
      <c r="N251" s="107" t="s">
        <v>109</v>
      </c>
      <c r="O251" s="107" t="s">
        <v>109</v>
      </c>
      <c r="P251" s="107" t="s">
        <v>109</v>
      </c>
      <c r="Q251" s="107" t="s">
        <v>109</v>
      </c>
      <c r="R251" s="107" t="s">
        <v>109</v>
      </c>
      <c r="S251" s="107" t="s">
        <v>109</v>
      </c>
      <c r="T251" s="107" t="s">
        <v>109</v>
      </c>
      <c r="U251" s="107" t="s">
        <v>109</v>
      </c>
      <c r="V251" s="107" t="s">
        <v>109</v>
      </c>
      <c r="W251" s="107" t="s">
        <v>109</v>
      </c>
      <c r="X251" s="107" t="s">
        <v>109</v>
      </c>
      <c r="Y251" s="107" t="s">
        <v>109</v>
      </c>
      <c r="Z251" s="107" t="s">
        <v>109</v>
      </c>
      <c r="AA251" s="107" t="s">
        <v>109</v>
      </c>
      <c r="AB251" s="107" t="s">
        <v>109</v>
      </c>
      <c r="AC251" s="107" t="s">
        <v>109</v>
      </c>
      <c r="AD251" s="107" t="s">
        <v>109</v>
      </c>
      <c r="AE251" s="107" t="s">
        <v>109</v>
      </c>
      <c r="AF251" s="107" t="s">
        <v>109</v>
      </c>
      <c r="AG251" s="107" t="s">
        <v>109</v>
      </c>
      <c r="AH251" s="39">
        <f>SUM(C251:AG251)</f>
        <v>0</v>
      </c>
    </row>
    <row r="252" spans="1:36" s="67" customFormat="1" ht="15">
      <c r="A252" s="120" t="s">
        <v>74</v>
      </c>
      <c r="B252" s="15">
        <f t="shared" si="48"/>
        <v>0</v>
      </c>
      <c r="C252" s="107" t="s">
        <v>109</v>
      </c>
      <c r="D252" s="107" t="s">
        <v>109</v>
      </c>
      <c r="E252" s="107" t="s">
        <v>109</v>
      </c>
      <c r="F252" s="107" t="s">
        <v>109</v>
      </c>
      <c r="G252" s="107" t="s">
        <v>109</v>
      </c>
      <c r="H252" s="107" t="s">
        <v>109</v>
      </c>
      <c r="I252" s="107" t="s">
        <v>109</v>
      </c>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108"/>
      <c r="AH252" s="39">
        <f t="shared" ref="AH252:AH262" si="49">SUM(C252:AG252)</f>
        <v>0</v>
      </c>
    </row>
    <row r="253" spans="1:36" ht="15">
      <c r="A253" s="120" t="s">
        <v>75</v>
      </c>
      <c r="B253" s="15">
        <f t="shared" si="48"/>
        <v>0</v>
      </c>
      <c r="C253" s="108"/>
      <c r="D253" s="108"/>
      <c r="E253" s="108"/>
      <c r="F253" s="108"/>
      <c r="G253" s="108"/>
      <c r="H253" s="94"/>
      <c r="I253" s="94"/>
      <c r="J253" s="94"/>
      <c r="K253" s="94"/>
      <c r="L253" s="94"/>
      <c r="M253" s="94"/>
      <c r="N253" s="94">
        <v>0</v>
      </c>
      <c r="O253" s="94"/>
      <c r="P253" s="94"/>
      <c r="Q253" s="94"/>
      <c r="R253" s="94"/>
      <c r="S253" s="15"/>
      <c r="T253" s="15"/>
      <c r="U253" s="15"/>
      <c r="V253" s="15"/>
      <c r="W253" s="15"/>
      <c r="X253" s="15"/>
      <c r="Y253" s="15"/>
      <c r="Z253" s="15"/>
      <c r="AA253" s="15"/>
      <c r="AB253" s="15"/>
      <c r="AC253" s="1689"/>
      <c r="AD253" s="1689"/>
      <c r="AE253" s="1689"/>
      <c r="AF253" s="1689"/>
      <c r="AG253" s="1689"/>
      <c r="AH253" s="39">
        <f t="shared" si="49"/>
        <v>0</v>
      </c>
    </row>
    <row r="254" spans="1:36" ht="15">
      <c r="A254" s="120" t="s">
        <v>76</v>
      </c>
      <c r="B254" s="15">
        <f t="shared" si="48"/>
        <v>0</v>
      </c>
      <c r="C254" s="1689"/>
      <c r="D254" s="1689"/>
      <c r="E254" s="1689"/>
      <c r="F254" s="1689"/>
      <c r="G254" s="1689"/>
      <c r="H254" s="1689"/>
      <c r="I254" s="1689"/>
      <c r="J254" s="1689"/>
      <c r="K254" s="1689"/>
      <c r="L254" s="1091"/>
      <c r="M254" s="1091"/>
      <c r="N254" s="1091"/>
      <c r="O254" s="1091"/>
      <c r="P254" s="1091"/>
      <c r="Q254" s="1091"/>
      <c r="R254" s="1091"/>
      <c r="S254" s="1091"/>
      <c r="T254" s="1091"/>
      <c r="U254" s="1091"/>
      <c r="V254" s="1091"/>
      <c r="W254" s="1091"/>
      <c r="X254" s="1091"/>
      <c r="Y254" s="1091"/>
      <c r="Z254" s="1091"/>
      <c r="AA254" s="1091"/>
      <c r="AB254" s="1091"/>
      <c r="AC254" s="1091"/>
      <c r="AD254" s="1091"/>
      <c r="AE254" s="1091"/>
      <c r="AF254" s="1091"/>
      <c r="AG254" s="1091"/>
      <c r="AH254" s="39">
        <f t="shared" si="49"/>
        <v>0</v>
      </c>
    </row>
    <row r="255" spans="1:36" s="67" customFormat="1" ht="15">
      <c r="A255" s="111" t="s">
        <v>77</v>
      </c>
      <c r="B255" s="15">
        <f t="shared" si="48"/>
        <v>0</v>
      </c>
      <c r="C255" s="1091"/>
      <c r="D255" s="1091"/>
      <c r="E255" s="1091"/>
      <c r="F255" s="1091"/>
      <c r="G255" s="1091"/>
      <c r="H255" s="1091"/>
      <c r="I255" s="1091"/>
      <c r="J255" s="1091"/>
      <c r="K255" s="1091"/>
      <c r="L255" s="1091"/>
      <c r="M255" s="1091"/>
      <c r="N255" s="1091"/>
      <c r="O255" s="1091"/>
      <c r="P255" s="1091"/>
      <c r="Q255" s="1091"/>
      <c r="R255" s="1091"/>
      <c r="S255" s="1091"/>
      <c r="T255" s="1091"/>
      <c r="U255" s="1091"/>
      <c r="V255" s="1091"/>
      <c r="W255" s="1091"/>
      <c r="X255" s="1091"/>
      <c r="Y255" s="1091"/>
      <c r="Z255" s="1091"/>
      <c r="AA255" s="1091"/>
      <c r="AB255" s="1091"/>
      <c r="AC255" s="1091"/>
      <c r="AD255" s="1091"/>
      <c r="AE255" s="1091"/>
      <c r="AF255" s="1091"/>
      <c r="AG255" s="1091"/>
      <c r="AH255" s="39">
        <f t="shared" si="49"/>
        <v>0</v>
      </c>
    </row>
    <row r="256" spans="1:36" ht="15">
      <c r="A256" s="111" t="s">
        <v>78</v>
      </c>
      <c r="B256" s="15">
        <f t="shared" si="48"/>
        <v>0</v>
      </c>
      <c r="C256" s="1091"/>
      <c r="D256" s="1091"/>
      <c r="E256" s="1091"/>
      <c r="F256" s="1091"/>
      <c r="G256" s="1091"/>
      <c r="H256" s="1091"/>
      <c r="I256" s="1091"/>
      <c r="J256" s="1091"/>
      <c r="K256" s="1091"/>
      <c r="L256" s="1091"/>
      <c r="M256" s="1091"/>
      <c r="N256" s="1091"/>
      <c r="O256" s="1091"/>
      <c r="P256" s="1091"/>
      <c r="Q256" s="1091"/>
      <c r="R256" s="1091"/>
      <c r="S256" s="1091"/>
      <c r="T256" s="1091"/>
      <c r="U256" s="1091"/>
      <c r="V256" s="1091"/>
      <c r="W256" s="1091"/>
      <c r="X256" s="1091"/>
      <c r="Y256" s="1091"/>
      <c r="Z256" s="1091"/>
      <c r="AA256" s="1091"/>
      <c r="AB256" s="1091"/>
      <c r="AC256" s="1091"/>
      <c r="AD256" s="1091"/>
      <c r="AE256" s="1091"/>
      <c r="AF256" s="1091"/>
      <c r="AG256" s="1091"/>
      <c r="AH256" s="39">
        <f t="shared" si="49"/>
        <v>0</v>
      </c>
    </row>
    <row r="257" spans="1:36" ht="15">
      <c r="A257" s="111" t="s">
        <v>79</v>
      </c>
      <c r="B257" s="15">
        <f t="shared" si="48"/>
        <v>0</v>
      </c>
      <c r="C257" s="1091"/>
      <c r="D257" s="1268"/>
      <c r="E257" s="1268"/>
      <c r="F257" s="1268"/>
      <c r="G257" s="1091"/>
      <c r="H257" s="1091"/>
      <c r="I257" s="1091"/>
      <c r="J257" s="2068"/>
      <c r="K257" s="2068"/>
      <c r="L257" s="1268"/>
      <c r="M257" s="1268"/>
      <c r="N257" s="1268"/>
      <c r="O257" s="1268"/>
      <c r="P257" s="1268"/>
      <c r="Q257" s="1268"/>
      <c r="R257" s="1268"/>
      <c r="S257" s="1268"/>
      <c r="T257" s="1268"/>
      <c r="U257" s="1268"/>
      <c r="V257" s="1268"/>
      <c r="W257" s="609"/>
      <c r="X257" s="609"/>
      <c r="Y257" s="609"/>
      <c r="Z257" s="609"/>
      <c r="AA257" s="609"/>
      <c r="AB257" s="609"/>
      <c r="AC257" s="609"/>
      <c r="AD257" s="609"/>
      <c r="AE257" s="609"/>
      <c r="AF257" s="609" t="s">
        <v>109</v>
      </c>
      <c r="AG257" s="609" t="s">
        <v>109</v>
      </c>
      <c r="AH257" s="39">
        <f t="shared" si="49"/>
        <v>0</v>
      </c>
    </row>
    <row r="258" spans="1:36" s="67" customFormat="1" ht="15">
      <c r="A258" s="111" t="s">
        <v>80</v>
      </c>
      <c r="B258" s="15">
        <f t="shared" si="48"/>
        <v>0</v>
      </c>
      <c r="C258" s="609" t="s">
        <v>109</v>
      </c>
      <c r="D258" s="609" t="s">
        <v>109</v>
      </c>
      <c r="E258" s="609" t="s">
        <v>109</v>
      </c>
      <c r="F258" s="609" t="s">
        <v>109</v>
      </c>
      <c r="G258" s="609" t="s">
        <v>109</v>
      </c>
      <c r="H258" s="609" t="s">
        <v>109</v>
      </c>
      <c r="I258" s="609" t="s">
        <v>109</v>
      </c>
      <c r="J258" s="609" t="s">
        <v>109</v>
      </c>
      <c r="K258" s="609" t="s">
        <v>109</v>
      </c>
      <c r="L258" s="609" t="s">
        <v>109</v>
      </c>
      <c r="M258" s="609" t="s">
        <v>109</v>
      </c>
      <c r="N258" s="609" t="s">
        <v>109</v>
      </c>
      <c r="O258" s="609" t="s">
        <v>109</v>
      </c>
      <c r="P258" s="609" t="s">
        <v>109</v>
      </c>
      <c r="Q258" s="609" t="s">
        <v>109</v>
      </c>
      <c r="R258" s="609" t="s">
        <v>109</v>
      </c>
      <c r="S258" s="609" t="s">
        <v>109</v>
      </c>
      <c r="T258" s="609" t="s">
        <v>109</v>
      </c>
      <c r="U258" s="609" t="s">
        <v>109</v>
      </c>
      <c r="V258" s="609" t="s">
        <v>109</v>
      </c>
      <c r="W258" s="609" t="s">
        <v>109</v>
      </c>
      <c r="X258" s="609" t="s">
        <v>109</v>
      </c>
      <c r="Y258" s="609" t="s">
        <v>109</v>
      </c>
      <c r="Z258" s="609" t="s">
        <v>109</v>
      </c>
      <c r="AA258" s="609" t="s">
        <v>109</v>
      </c>
      <c r="AB258" s="609" t="s">
        <v>109</v>
      </c>
      <c r="AC258" s="609" t="s">
        <v>109</v>
      </c>
      <c r="AD258" s="609" t="s">
        <v>109</v>
      </c>
      <c r="AE258" s="609" t="s">
        <v>109</v>
      </c>
      <c r="AF258" s="609" t="s">
        <v>109</v>
      </c>
      <c r="AG258" s="609" t="s">
        <v>109</v>
      </c>
      <c r="AH258" s="39">
        <f t="shared" si="49"/>
        <v>0</v>
      </c>
    </row>
    <row r="259" spans="1:36" ht="15">
      <c r="A259" s="109" t="s">
        <v>81</v>
      </c>
      <c r="B259" s="15">
        <f t="shared" si="48"/>
        <v>0</v>
      </c>
      <c r="C259" s="609" t="s">
        <v>109</v>
      </c>
      <c r="D259" s="609" t="s">
        <v>109</v>
      </c>
      <c r="E259" s="609" t="s">
        <v>109</v>
      </c>
      <c r="F259" s="609" t="s">
        <v>109</v>
      </c>
      <c r="G259" s="609" t="s">
        <v>109</v>
      </c>
      <c r="H259" s="609" t="s">
        <v>109</v>
      </c>
      <c r="I259" s="609" t="s">
        <v>109</v>
      </c>
      <c r="J259" s="609" t="s">
        <v>109</v>
      </c>
      <c r="K259" s="609" t="s">
        <v>109</v>
      </c>
      <c r="L259" s="609" t="s">
        <v>109</v>
      </c>
      <c r="M259" s="609" t="s">
        <v>109</v>
      </c>
      <c r="N259" s="609" t="s">
        <v>109</v>
      </c>
      <c r="O259" s="609" t="s">
        <v>109</v>
      </c>
      <c r="P259" s="609" t="s">
        <v>109</v>
      </c>
      <c r="Q259" s="609" t="s">
        <v>109</v>
      </c>
      <c r="R259" s="609" t="s">
        <v>109</v>
      </c>
      <c r="S259" s="609" t="s">
        <v>109</v>
      </c>
      <c r="T259" s="609" t="s">
        <v>109</v>
      </c>
      <c r="U259" s="609" t="s">
        <v>109</v>
      </c>
      <c r="V259" s="609" t="s">
        <v>109</v>
      </c>
      <c r="W259" s="609" t="s">
        <v>109</v>
      </c>
      <c r="X259" s="609" t="s">
        <v>109</v>
      </c>
      <c r="Y259" s="609" t="s">
        <v>109</v>
      </c>
      <c r="Z259" s="609" t="s">
        <v>109</v>
      </c>
      <c r="AA259" s="609" t="s">
        <v>109</v>
      </c>
      <c r="AB259" s="609" t="s">
        <v>109</v>
      </c>
      <c r="AC259" s="609" t="s">
        <v>109</v>
      </c>
      <c r="AD259" s="609" t="s">
        <v>109</v>
      </c>
      <c r="AE259" s="609" t="s">
        <v>109</v>
      </c>
      <c r="AF259" s="609" t="s">
        <v>109</v>
      </c>
      <c r="AG259" s="609" t="s">
        <v>109</v>
      </c>
      <c r="AH259" s="39">
        <f t="shared" si="49"/>
        <v>0</v>
      </c>
    </row>
    <row r="260" spans="1:36" ht="15">
      <c r="A260" s="109" t="s">
        <v>82</v>
      </c>
      <c r="B260" s="15">
        <f t="shared" si="48"/>
        <v>0</v>
      </c>
      <c r="C260" s="609" t="s">
        <v>109</v>
      </c>
      <c r="D260" s="609" t="s">
        <v>109</v>
      </c>
      <c r="E260" s="609" t="s">
        <v>109</v>
      </c>
      <c r="F260" s="609" t="s">
        <v>109</v>
      </c>
      <c r="G260" s="609" t="s">
        <v>109</v>
      </c>
      <c r="H260" s="609" t="s">
        <v>109</v>
      </c>
      <c r="I260" s="609" t="s">
        <v>109</v>
      </c>
      <c r="J260" s="609" t="s">
        <v>109</v>
      </c>
      <c r="K260" s="609" t="s">
        <v>109</v>
      </c>
      <c r="L260" s="609" t="s">
        <v>109</v>
      </c>
      <c r="M260" s="609" t="s">
        <v>109</v>
      </c>
      <c r="N260" s="609" t="s">
        <v>109</v>
      </c>
      <c r="O260" s="609" t="s">
        <v>109</v>
      </c>
      <c r="P260" s="609" t="s">
        <v>109</v>
      </c>
      <c r="Q260" s="609" t="s">
        <v>109</v>
      </c>
      <c r="R260" s="609" t="s">
        <v>109</v>
      </c>
      <c r="S260" s="609" t="s">
        <v>109</v>
      </c>
      <c r="T260" s="609" t="s">
        <v>109</v>
      </c>
      <c r="U260" s="609" t="s">
        <v>109</v>
      </c>
      <c r="V260" s="609" t="s">
        <v>109</v>
      </c>
      <c r="W260" s="609" t="s">
        <v>109</v>
      </c>
      <c r="X260" s="1091"/>
      <c r="Y260" s="1091"/>
      <c r="Z260" s="1091"/>
      <c r="AA260" s="1091"/>
      <c r="AB260" s="1091"/>
      <c r="AC260" s="1091"/>
      <c r="AD260" s="1091"/>
      <c r="AE260" s="1268"/>
      <c r="AF260" s="1091"/>
      <c r="AG260" s="1268"/>
      <c r="AH260" s="39">
        <f t="shared" si="49"/>
        <v>0</v>
      </c>
    </row>
    <row r="261" spans="1:36" ht="15">
      <c r="A261" s="109" t="s">
        <v>83</v>
      </c>
      <c r="B261" s="15">
        <f t="shared" si="48"/>
        <v>0</v>
      </c>
      <c r="C261" s="1091"/>
      <c r="D261" s="1091"/>
      <c r="E261" s="1091"/>
      <c r="F261" s="1091"/>
      <c r="G261" s="1229"/>
      <c r="H261" s="1091"/>
      <c r="I261" s="1091"/>
      <c r="J261" s="1091"/>
      <c r="K261" s="1091"/>
      <c r="L261" s="1091"/>
      <c r="M261" s="1091"/>
      <c r="N261" s="1091"/>
      <c r="O261" s="1091"/>
      <c r="P261" s="1091"/>
      <c r="Q261" s="1091"/>
      <c r="R261" s="1091"/>
      <c r="S261" s="1091"/>
      <c r="T261" s="1091"/>
      <c r="U261" s="1091"/>
      <c r="V261" s="1091"/>
      <c r="W261" s="1091"/>
      <c r="X261" s="1091"/>
      <c r="Y261" s="1229"/>
      <c r="Z261" s="1091"/>
      <c r="AA261" s="1091"/>
      <c r="AB261" s="1091"/>
      <c r="AC261" s="1091"/>
      <c r="AD261" s="1091"/>
      <c r="AE261" s="1268"/>
      <c r="AF261" s="1091"/>
      <c r="AG261" s="1268"/>
      <c r="AH261" s="39">
        <f t="shared" si="49"/>
        <v>0</v>
      </c>
    </row>
    <row r="262" spans="1:36" ht="15">
      <c r="A262" s="109" t="s">
        <v>84</v>
      </c>
      <c r="B262" s="15">
        <f t="shared" si="48"/>
        <v>0</v>
      </c>
      <c r="C262" s="1091"/>
      <c r="D262" s="1091"/>
      <c r="E262" s="1091"/>
      <c r="F262" s="1091"/>
      <c r="G262" s="1091"/>
      <c r="H262" s="1091"/>
      <c r="I262" s="1091"/>
      <c r="J262" s="1091"/>
      <c r="K262" s="1091"/>
      <c r="L262" s="1091"/>
      <c r="M262" s="1091"/>
      <c r="N262" s="1091"/>
      <c r="O262" s="1091"/>
      <c r="P262" s="1091"/>
      <c r="Q262" s="1091"/>
      <c r="R262" s="1091"/>
      <c r="S262" s="1091"/>
      <c r="T262" s="1091"/>
      <c r="U262" s="1091"/>
      <c r="V262" s="1091"/>
      <c r="W262" s="1091"/>
      <c r="X262" s="1091"/>
      <c r="Y262" s="1091"/>
      <c r="Z262" s="1091"/>
      <c r="AA262" s="1091"/>
      <c r="AB262" s="1091"/>
      <c r="AC262" s="1091"/>
      <c r="AD262" s="1091"/>
      <c r="AE262" s="1091"/>
      <c r="AF262" s="1091"/>
      <c r="AG262" s="1091"/>
      <c r="AH262" s="39">
        <f t="shared" si="49"/>
        <v>0</v>
      </c>
    </row>
    <row r="263" spans="1:36" ht="15">
      <c r="A263" s="71" t="s">
        <v>72</v>
      </c>
      <c r="B263" s="72">
        <f>SUM(B251:B262)</f>
        <v>0</v>
      </c>
      <c r="C263" s="32">
        <f>SUM(C251:C261)</f>
        <v>0</v>
      </c>
      <c r="D263" s="39">
        <f>SUM(D251:D261)</f>
        <v>0</v>
      </c>
      <c r="E263" s="39">
        <v>0</v>
      </c>
      <c r="F263" s="39">
        <f t="shared" ref="F263:AC263" si="50">SUM(F251:F261)</f>
        <v>0</v>
      </c>
      <c r="G263" s="39">
        <f t="shared" si="50"/>
        <v>0</v>
      </c>
      <c r="H263" s="39">
        <f t="shared" si="50"/>
        <v>0</v>
      </c>
      <c r="I263" s="39">
        <f t="shared" si="50"/>
        <v>0</v>
      </c>
      <c r="J263" s="39">
        <f t="shared" si="50"/>
        <v>0</v>
      </c>
      <c r="K263" s="39">
        <f t="shared" si="50"/>
        <v>0</v>
      </c>
      <c r="L263" s="39">
        <f t="shared" si="50"/>
        <v>0</v>
      </c>
      <c r="M263" s="39">
        <f t="shared" si="50"/>
        <v>0</v>
      </c>
      <c r="N263" s="39">
        <f t="shared" si="50"/>
        <v>0</v>
      </c>
      <c r="O263" s="39">
        <f t="shared" si="50"/>
        <v>0</v>
      </c>
      <c r="P263" s="39">
        <f t="shared" si="50"/>
        <v>0</v>
      </c>
      <c r="Q263" s="39">
        <f t="shared" si="50"/>
        <v>0</v>
      </c>
      <c r="R263" s="39">
        <f t="shared" si="50"/>
        <v>0</v>
      </c>
      <c r="S263" s="39">
        <f t="shared" si="50"/>
        <v>0</v>
      </c>
      <c r="T263" s="39">
        <f t="shared" si="50"/>
        <v>0</v>
      </c>
      <c r="U263" s="39">
        <f t="shared" si="50"/>
        <v>0</v>
      </c>
      <c r="V263" s="39">
        <f t="shared" si="50"/>
        <v>0</v>
      </c>
      <c r="W263" s="39">
        <f t="shared" si="50"/>
        <v>0</v>
      </c>
      <c r="X263" s="39">
        <f t="shared" si="50"/>
        <v>0</v>
      </c>
      <c r="Y263" s="39">
        <f t="shared" si="50"/>
        <v>0</v>
      </c>
      <c r="Z263" s="39">
        <f t="shared" si="50"/>
        <v>0</v>
      </c>
      <c r="AA263" s="39">
        <f t="shared" si="50"/>
        <v>0</v>
      </c>
      <c r="AB263" s="39">
        <f t="shared" si="50"/>
        <v>0</v>
      </c>
      <c r="AC263" s="39">
        <f t="shared" si="50"/>
        <v>0</v>
      </c>
      <c r="AD263" s="39">
        <v>0</v>
      </c>
      <c r="AE263" s="39">
        <f>SUM(AE251:AE261)</f>
        <v>0</v>
      </c>
      <c r="AF263" s="39">
        <f>SUM(AF251:AF261)</f>
        <v>0</v>
      </c>
      <c r="AG263" s="39">
        <f>SUM(AG251:AG261)</f>
        <v>0</v>
      </c>
      <c r="AH263" s="32">
        <f>SUM(AH251:AH261)</f>
        <v>0</v>
      </c>
    </row>
    <row r="264" spans="1:36" ht="5.0999999999999996" customHeight="1">
      <c r="A264" s="14"/>
      <c r="B264" s="14"/>
      <c r="C264" s="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
    </row>
    <row r="265" spans="1:36" ht="15">
      <c r="A265" s="3811" t="s">
        <v>104</v>
      </c>
      <c r="B265" s="3812"/>
      <c r="C265" s="3812"/>
      <c r="D265" s="3812"/>
      <c r="E265" s="3812"/>
      <c r="F265" s="3812"/>
      <c r="G265" s="3812"/>
      <c r="H265" s="3813"/>
      <c r="I265" s="1229"/>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row>
    <row r="266" spans="1:36" ht="15">
      <c r="A266" s="5" t="s">
        <v>70</v>
      </c>
      <c r="B266" s="5" t="s">
        <v>71</v>
      </c>
      <c r="C266" s="1039">
        <v>1</v>
      </c>
      <c r="D266" s="21">
        <v>2</v>
      </c>
      <c r="E266" s="21">
        <v>3</v>
      </c>
      <c r="F266" s="21">
        <v>4</v>
      </c>
      <c r="G266" s="21">
        <v>5</v>
      </c>
      <c r="H266" s="21">
        <v>6</v>
      </c>
      <c r="I266" s="21">
        <v>7</v>
      </c>
      <c r="J266" s="21">
        <v>8</v>
      </c>
      <c r="K266" s="21">
        <v>9</v>
      </c>
      <c r="L266" s="21">
        <v>10</v>
      </c>
      <c r="M266" s="21">
        <v>11</v>
      </c>
      <c r="N266" s="21">
        <v>12</v>
      </c>
      <c r="O266" s="21">
        <v>13</v>
      </c>
      <c r="P266" s="21">
        <v>14</v>
      </c>
      <c r="Q266" s="21">
        <v>15</v>
      </c>
      <c r="R266" s="21">
        <v>16</v>
      </c>
      <c r="S266" s="21">
        <v>17</v>
      </c>
      <c r="T266" s="21">
        <v>18</v>
      </c>
      <c r="U266" s="21">
        <v>19</v>
      </c>
      <c r="V266" s="21">
        <v>20</v>
      </c>
      <c r="W266" s="21">
        <v>21</v>
      </c>
      <c r="X266" s="21">
        <v>22</v>
      </c>
      <c r="Y266" s="21">
        <v>23</v>
      </c>
      <c r="Z266" s="21">
        <v>24</v>
      </c>
      <c r="AA266" s="21">
        <v>25</v>
      </c>
      <c r="AB266" s="21">
        <v>26</v>
      </c>
      <c r="AC266" s="21">
        <v>27</v>
      </c>
      <c r="AD266" s="21">
        <v>28</v>
      </c>
      <c r="AE266" s="21">
        <v>29</v>
      </c>
      <c r="AF266" s="21">
        <v>30</v>
      </c>
      <c r="AG266" s="21">
        <v>31</v>
      </c>
      <c r="AH266" s="25" t="s">
        <v>72</v>
      </c>
      <c r="AI266" s="2266" t="s">
        <v>1345</v>
      </c>
      <c r="AJ266" s="66" t="e">
        <f>(B279/COUNTIF($C$267:$AG$278,"&gt;0"))</f>
        <v>#DIV/0!</v>
      </c>
    </row>
    <row r="267" spans="1:36" ht="15">
      <c r="A267" s="120" t="s">
        <v>73</v>
      </c>
      <c r="B267" s="15">
        <f t="shared" ref="B267:B278" si="51">+AH267</f>
        <v>0</v>
      </c>
      <c r="C267" s="107" t="s">
        <v>109</v>
      </c>
      <c r="D267" s="107" t="s">
        <v>109</v>
      </c>
      <c r="E267" s="107" t="s">
        <v>109</v>
      </c>
      <c r="F267" s="107" t="s">
        <v>109</v>
      </c>
      <c r="G267" s="107" t="s">
        <v>109</v>
      </c>
      <c r="H267" s="107" t="s">
        <v>109</v>
      </c>
      <c r="I267" s="107" t="s">
        <v>109</v>
      </c>
      <c r="J267" s="107" t="s">
        <v>109</v>
      </c>
      <c r="K267" s="107" t="s">
        <v>109</v>
      </c>
      <c r="L267" s="107" t="s">
        <v>109</v>
      </c>
      <c r="M267" s="107" t="s">
        <v>109</v>
      </c>
      <c r="N267" s="107" t="s">
        <v>109</v>
      </c>
      <c r="O267" s="107" t="s">
        <v>109</v>
      </c>
      <c r="P267" s="107" t="s">
        <v>109</v>
      </c>
      <c r="Q267" s="107" t="s">
        <v>109</v>
      </c>
      <c r="R267" s="107" t="s">
        <v>109</v>
      </c>
      <c r="S267" s="107" t="s">
        <v>109</v>
      </c>
      <c r="T267" s="107" t="s">
        <v>109</v>
      </c>
      <c r="U267" s="107" t="s">
        <v>109</v>
      </c>
      <c r="V267" s="107" t="s">
        <v>109</v>
      </c>
      <c r="W267" s="107" t="s">
        <v>109</v>
      </c>
      <c r="X267" s="107" t="s">
        <v>109</v>
      </c>
      <c r="Y267" s="107" t="s">
        <v>109</v>
      </c>
      <c r="Z267" s="107" t="s">
        <v>109</v>
      </c>
      <c r="AA267" s="107" t="s">
        <v>109</v>
      </c>
      <c r="AB267" s="107" t="s">
        <v>109</v>
      </c>
      <c r="AC267" s="107" t="s">
        <v>109</v>
      </c>
      <c r="AD267" s="107" t="s">
        <v>109</v>
      </c>
      <c r="AE267" s="107" t="s">
        <v>109</v>
      </c>
      <c r="AF267" s="107" t="s">
        <v>109</v>
      </c>
      <c r="AG267" s="107" t="s">
        <v>109</v>
      </c>
      <c r="AH267" s="39">
        <f>SUM(C267:AG267)</f>
        <v>0</v>
      </c>
    </row>
    <row r="268" spans="1:36" s="67" customFormat="1" ht="15">
      <c r="A268" s="120" t="s">
        <v>74</v>
      </c>
      <c r="B268" s="52">
        <f t="shared" si="51"/>
        <v>0</v>
      </c>
      <c r="C268" s="107" t="s">
        <v>109</v>
      </c>
      <c r="D268" s="107" t="s">
        <v>109</v>
      </c>
      <c r="E268" s="107" t="s">
        <v>109</v>
      </c>
      <c r="F268" s="107" t="s">
        <v>109</v>
      </c>
      <c r="G268" s="107" t="s">
        <v>109</v>
      </c>
      <c r="H268" s="107" t="s">
        <v>109</v>
      </c>
      <c r="I268" s="107" t="s">
        <v>109</v>
      </c>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39">
        <f t="shared" ref="AH268:AH278" si="52">SUM(C268:AG268)</f>
        <v>0</v>
      </c>
    </row>
    <row r="269" spans="1:36" ht="15">
      <c r="A269" s="120" t="s">
        <v>75</v>
      </c>
      <c r="B269" s="15">
        <f t="shared" si="51"/>
        <v>0</v>
      </c>
      <c r="C269" s="108"/>
      <c r="D269" s="108"/>
      <c r="E269" s="108"/>
      <c r="F269" s="108"/>
      <c r="G269" s="108"/>
      <c r="H269" s="94"/>
      <c r="I269" s="94"/>
      <c r="J269" s="94"/>
      <c r="K269" s="94"/>
      <c r="L269" s="94"/>
      <c r="M269" s="94"/>
      <c r="N269" s="94">
        <v>0</v>
      </c>
      <c r="O269" s="94"/>
      <c r="P269" s="94"/>
      <c r="Q269" s="94"/>
      <c r="R269" s="94"/>
      <c r="S269" s="15"/>
      <c r="T269" s="15"/>
      <c r="U269" s="15"/>
      <c r="V269" s="15"/>
      <c r="W269" s="15"/>
      <c r="X269" s="15"/>
      <c r="Y269" s="15"/>
      <c r="Z269" s="15"/>
      <c r="AA269" s="15"/>
      <c r="AB269" s="15"/>
      <c r="AC269" s="1689"/>
      <c r="AD269" s="1689"/>
      <c r="AE269" s="1689"/>
      <c r="AF269" s="1689"/>
      <c r="AG269" s="1689"/>
      <c r="AH269" s="39">
        <f t="shared" si="52"/>
        <v>0</v>
      </c>
    </row>
    <row r="270" spans="1:36" ht="15">
      <c r="A270" s="120" t="s">
        <v>76</v>
      </c>
      <c r="B270" s="15">
        <f t="shared" si="51"/>
        <v>0</v>
      </c>
      <c r="C270" s="1689"/>
      <c r="D270" s="1689"/>
      <c r="E270" s="1689"/>
      <c r="F270" s="1689"/>
      <c r="G270" s="1689"/>
      <c r="H270" s="1689"/>
      <c r="I270" s="1689"/>
      <c r="J270" s="1689"/>
      <c r="K270" s="1689"/>
      <c r="L270" s="1091"/>
      <c r="M270" s="1091"/>
      <c r="N270" s="1091"/>
      <c r="O270" s="1091"/>
      <c r="P270" s="1091"/>
      <c r="Q270" s="1091"/>
      <c r="R270" s="1091"/>
      <c r="S270" s="1091"/>
      <c r="T270" s="1091"/>
      <c r="U270" s="1091"/>
      <c r="V270" s="1091"/>
      <c r="W270" s="1091"/>
      <c r="X270" s="1091"/>
      <c r="Y270" s="1091"/>
      <c r="Z270" s="1091"/>
      <c r="AA270" s="1091"/>
      <c r="AB270" s="1091"/>
      <c r="AC270" s="1091"/>
      <c r="AD270" s="1091"/>
      <c r="AE270" s="1091"/>
      <c r="AF270" s="1091"/>
      <c r="AG270" s="1091"/>
      <c r="AH270" s="39">
        <f t="shared" si="52"/>
        <v>0</v>
      </c>
    </row>
    <row r="271" spans="1:36" s="67" customFormat="1" ht="15">
      <c r="A271" s="111" t="s">
        <v>77</v>
      </c>
      <c r="B271" s="15">
        <f t="shared" si="51"/>
        <v>0</v>
      </c>
      <c r="C271" s="1091"/>
      <c r="D271" s="1091"/>
      <c r="E271" s="1091"/>
      <c r="F271" s="1091"/>
      <c r="G271" s="1091"/>
      <c r="H271" s="1091"/>
      <c r="I271" s="1091"/>
      <c r="J271" s="1091"/>
      <c r="K271" s="1091"/>
      <c r="L271" s="1091"/>
      <c r="M271" s="1091"/>
      <c r="N271" s="1091"/>
      <c r="O271" s="1091"/>
      <c r="P271" s="1091"/>
      <c r="Q271" s="1091"/>
      <c r="R271" s="1091"/>
      <c r="S271" s="1091"/>
      <c r="T271" s="1091"/>
      <c r="U271" s="1091"/>
      <c r="V271" s="1091"/>
      <c r="W271" s="1091"/>
      <c r="X271" s="1091"/>
      <c r="Y271" s="1091"/>
      <c r="Z271" s="1091"/>
      <c r="AA271" s="1091"/>
      <c r="AB271" s="1091"/>
      <c r="AC271" s="1091"/>
      <c r="AD271" s="1091"/>
      <c r="AE271" s="1091"/>
      <c r="AF271" s="1091"/>
      <c r="AG271" s="1091"/>
      <c r="AH271" s="39">
        <f t="shared" si="52"/>
        <v>0</v>
      </c>
    </row>
    <row r="272" spans="1:36" ht="15">
      <c r="A272" s="111" t="s">
        <v>78</v>
      </c>
      <c r="B272" s="15">
        <f t="shared" si="51"/>
        <v>0</v>
      </c>
      <c r="C272" s="1091"/>
      <c r="D272" s="1091"/>
      <c r="E272" s="1091"/>
      <c r="F272" s="1091"/>
      <c r="G272" s="1091"/>
      <c r="H272" s="1091"/>
      <c r="I272" s="1091"/>
      <c r="J272" s="1091"/>
      <c r="K272" s="1091"/>
      <c r="L272" s="1091"/>
      <c r="M272" s="1091"/>
      <c r="N272" s="1091"/>
      <c r="O272" s="1091"/>
      <c r="P272" s="1091"/>
      <c r="Q272" s="1091"/>
      <c r="R272" s="1091"/>
      <c r="S272" s="1091"/>
      <c r="T272" s="1091"/>
      <c r="U272" s="1091"/>
      <c r="V272" s="1091"/>
      <c r="W272" s="1091"/>
      <c r="X272" s="1091"/>
      <c r="Y272" s="1091"/>
      <c r="Z272" s="1091"/>
      <c r="AA272" s="1091"/>
      <c r="AB272" s="1091"/>
      <c r="AC272" s="1091"/>
      <c r="AD272" s="1091"/>
      <c r="AE272" s="1091"/>
      <c r="AF272" s="1091"/>
      <c r="AG272" s="1091"/>
      <c r="AH272" s="39">
        <f t="shared" si="52"/>
        <v>0</v>
      </c>
    </row>
    <row r="273" spans="1:36" ht="15">
      <c r="A273" s="111" t="s">
        <v>79</v>
      </c>
      <c r="B273" s="15">
        <f t="shared" si="51"/>
        <v>0</v>
      </c>
      <c r="C273" s="1091"/>
      <c r="D273" s="1268"/>
      <c r="E273" s="1268"/>
      <c r="F273" s="1268"/>
      <c r="G273" s="1091"/>
      <c r="H273" s="1091"/>
      <c r="I273" s="1091"/>
      <c r="J273" s="2068"/>
      <c r="K273" s="2068"/>
      <c r="L273" s="1268"/>
      <c r="M273" s="1268"/>
      <c r="N273" s="1268"/>
      <c r="O273" s="1268"/>
      <c r="P273" s="1268"/>
      <c r="Q273" s="1268"/>
      <c r="R273" s="1268"/>
      <c r="S273" s="1268"/>
      <c r="T273" s="1268"/>
      <c r="U273" s="1268"/>
      <c r="V273" s="1268"/>
      <c r="W273" s="609"/>
      <c r="X273" s="609"/>
      <c r="Y273" s="609"/>
      <c r="Z273" s="609"/>
      <c r="AA273" s="609"/>
      <c r="AB273" s="609"/>
      <c r="AC273" s="609"/>
      <c r="AD273" s="609"/>
      <c r="AE273" s="609"/>
      <c r="AF273" s="609" t="s">
        <v>109</v>
      </c>
      <c r="AG273" s="609" t="s">
        <v>109</v>
      </c>
      <c r="AH273" s="39">
        <f t="shared" si="52"/>
        <v>0</v>
      </c>
    </row>
    <row r="274" spans="1:36" s="67" customFormat="1" ht="15">
      <c r="A274" s="111" t="s">
        <v>80</v>
      </c>
      <c r="B274" s="15">
        <f t="shared" si="51"/>
        <v>0</v>
      </c>
      <c r="C274" s="609" t="s">
        <v>109</v>
      </c>
      <c r="D274" s="609" t="s">
        <v>109</v>
      </c>
      <c r="E274" s="609" t="s">
        <v>109</v>
      </c>
      <c r="F274" s="609" t="s">
        <v>109</v>
      </c>
      <c r="G274" s="609" t="s">
        <v>109</v>
      </c>
      <c r="H274" s="609" t="s">
        <v>109</v>
      </c>
      <c r="I274" s="609" t="s">
        <v>109</v>
      </c>
      <c r="J274" s="609" t="s">
        <v>109</v>
      </c>
      <c r="K274" s="609" t="s">
        <v>109</v>
      </c>
      <c r="L274" s="609" t="s">
        <v>109</v>
      </c>
      <c r="M274" s="609" t="s">
        <v>109</v>
      </c>
      <c r="N274" s="609" t="s">
        <v>109</v>
      </c>
      <c r="O274" s="609" t="s">
        <v>109</v>
      </c>
      <c r="P274" s="609" t="s">
        <v>109</v>
      </c>
      <c r="Q274" s="609" t="s">
        <v>109</v>
      </c>
      <c r="R274" s="609" t="s">
        <v>109</v>
      </c>
      <c r="S274" s="609" t="s">
        <v>109</v>
      </c>
      <c r="T274" s="609" t="s">
        <v>109</v>
      </c>
      <c r="U274" s="609" t="s">
        <v>109</v>
      </c>
      <c r="V274" s="609" t="s">
        <v>109</v>
      </c>
      <c r="W274" s="609" t="s">
        <v>109</v>
      </c>
      <c r="X274" s="609" t="s">
        <v>109</v>
      </c>
      <c r="Y274" s="609" t="s">
        <v>109</v>
      </c>
      <c r="Z274" s="609" t="s">
        <v>109</v>
      </c>
      <c r="AA274" s="609" t="s">
        <v>109</v>
      </c>
      <c r="AB274" s="609" t="s">
        <v>109</v>
      </c>
      <c r="AC274" s="609" t="s">
        <v>109</v>
      </c>
      <c r="AD274" s="609" t="s">
        <v>109</v>
      </c>
      <c r="AE274" s="609" t="s">
        <v>109</v>
      </c>
      <c r="AF274" s="609" t="s">
        <v>109</v>
      </c>
      <c r="AG274" s="609" t="s">
        <v>109</v>
      </c>
      <c r="AH274" s="39">
        <f t="shared" si="52"/>
        <v>0</v>
      </c>
    </row>
    <row r="275" spans="1:36" ht="15">
      <c r="A275" s="109" t="s">
        <v>81</v>
      </c>
      <c r="B275" s="15">
        <f t="shared" si="51"/>
        <v>0</v>
      </c>
      <c r="C275" s="609" t="s">
        <v>109</v>
      </c>
      <c r="D275" s="609" t="s">
        <v>109</v>
      </c>
      <c r="E275" s="609" t="s">
        <v>109</v>
      </c>
      <c r="F275" s="609" t="s">
        <v>109</v>
      </c>
      <c r="G275" s="609" t="s">
        <v>109</v>
      </c>
      <c r="H275" s="609" t="s">
        <v>109</v>
      </c>
      <c r="I275" s="609" t="s">
        <v>109</v>
      </c>
      <c r="J275" s="609" t="s">
        <v>109</v>
      </c>
      <c r="K275" s="609" t="s">
        <v>109</v>
      </c>
      <c r="L275" s="609" t="s">
        <v>109</v>
      </c>
      <c r="M275" s="609" t="s">
        <v>109</v>
      </c>
      <c r="N275" s="609" t="s">
        <v>109</v>
      </c>
      <c r="O275" s="609" t="s">
        <v>109</v>
      </c>
      <c r="P275" s="609" t="s">
        <v>109</v>
      </c>
      <c r="Q275" s="609" t="s">
        <v>109</v>
      </c>
      <c r="R275" s="609" t="s">
        <v>109</v>
      </c>
      <c r="S275" s="609" t="s">
        <v>109</v>
      </c>
      <c r="T275" s="609" t="s">
        <v>109</v>
      </c>
      <c r="U275" s="609" t="s">
        <v>109</v>
      </c>
      <c r="V275" s="609" t="s">
        <v>109</v>
      </c>
      <c r="W275" s="609" t="s">
        <v>109</v>
      </c>
      <c r="X275" s="609" t="s">
        <v>109</v>
      </c>
      <c r="Y275" s="609" t="s">
        <v>109</v>
      </c>
      <c r="Z275" s="609" t="s">
        <v>109</v>
      </c>
      <c r="AA275" s="609" t="s">
        <v>109</v>
      </c>
      <c r="AB275" s="609" t="s">
        <v>109</v>
      </c>
      <c r="AC275" s="609" t="s">
        <v>109</v>
      </c>
      <c r="AD275" s="609" t="s">
        <v>109</v>
      </c>
      <c r="AE275" s="609" t="s">
        <v>109</v>
      </c>
      <c r="AF275" s="609" t="s">
        <v>109</v>
      </c>
      <c r="AG275" s="609" t="s">
        <v>109</v>
      </c>
      <c r="AH275" s="39">
        <f t="shared" si="52"/>
        <v>0</v>
      </c>
    </row>
    <row r="276" spans="1:36" ht="15">
      <c r="A276" s="109" t="s">
        <v>82</v>
      </c>
      <c r="B276" s="15">
        <f t="shared" si="51"/>
        <v>0</v>
      </c>
      <c r="C276" s="609" t="s">
        <v>109</v>
      </c>
      <c r="D276" s="609" t="s">
        <v>109</v>
      </c>
      <c r="E276" s="609" t="s">
        <v>109</v>
      </c>
      <c r="F276" s="609" t="s">
        <v>109</v>
      </c>
      <c r="G276" s="609" t="s">
        <v>109</v>
      </c>
      <c r="H276" s="609" t="s">
        <v>109</v>
      </c>
      <c r="I276" s="609" t="s">
        <v>109</v>
      </c>
      <c r="J276" s="609" t="s">
        <v>109</v>
      </c>
      <c r="K276" s="609" t="s">
        <v>109</v>
      </c>
      <c r="L276" s="609" t="s">
        <v>109</v>
      </c>
      <c r="M276" s="609" t="s">
        <v>109</v>
      </c>
      <c r="N276" s="609" t="s">
        <v>109</v>
      </c>
      <c r="O276" s="609" t="s">
        <v>109</v>
      </c>
      <c r="P276" s="609" t="s">
        <v>109</v>
      </c>
      <c r="Q276" s="609" t="s">
        <v>109</v>
      </c>
      <c r="R276" s="609" t="s">
        <v>109</v>
      </c>
      <c r="S276" s="609" t="s">
        <v>109</v>
      </c>
      <c r="T276" s="609" t="s">
        <v>109</v>
      </c>
      <c r="U276" s="609" t="s">
        <v>109</v>
      </c>
      <c r="V276" s="609" t="s">
        <v>109</v>
      </c>
      <c r="W276" s="609" t="s">
        <v>109</v>
      </c>
      <c r="X276" s="1091"/>
      <c r="Y276" s="1091"/>
      <c r="Z276" s="1091"/>
      <c r="AA276" s="1091"/>
      <c r="AB276" s="1091"/>
      <c r="AC276" s="1091"/>
      <c r="AD276" s="1091"/>
      <c r="AE276" s="1268"/>
      <c r="AF276" s="1091"/>
      <c r="AG276" s="1268"/>
      <c r="AH276" s="39">
        <f t="shared" si="52"/>
        <v>0</v>
      </c>
    </row>
    <row r="277" spans="1:36" ht="15">
      <c r="A277" s="109" t="s">
        <v>83</v>
      </c>
      <c r="B277" s="15">
        <f t="shared" si="51"/>
        <v>0</v>
      </c>
      <c r="C277" s="1091"/>
      <c r="D277" s="1091"/>
      <c r="E277" s="1091"/>
      <c r="F277" s="1091"/>
      <c r="G277" s="1229"/>
      <c r="H277" s="1091"/>
      <c r="I277" s="1091"/>
      <c r="J277" s="1091"/>
      <c r="K277" s="1091"/>
      <c r="L277" s="1091"/>
      <c r="M277" s="1091"/>
      <c r="N277" s="1091"/>
      <c r="O277" s="1091"/>
      <c r="P277" s="1091"/>
      <c r="Q277" s="1091"/>
      <c r="R277" s="1091"/>
      <c r="S277" s="1091"/>
      <c r="T277" s="1091"/>
      <c r="U277" s="1091"/>
      <c r="V277" s="1091"/>
      <c r="W277" s="1091"/>
      <c r="X277" s="1091"/>
      <c r="Y277" s="1229"/>
      <c r="Z277" s="1091"/>
      <c r="AA277" s="1091"/>
      <c r="AB277" s="1091"/>
      <c r="AC277" s="1091"/>
      <c r="AD277" s="1091"/>
      <c r="AE277" s="1268"/>
      <c r="AF277" s="1091"/>
      <c r="AG277" s="1268"/>
      <c r="AH277" s="39">
        <f t="shared" si="52"/>
        <v>0</v>
      </c>
    </row>
    <row r="278" spans="1:36" ht="15">
      <c r="A278" s="109" t="s">
        <v>84</v>
      </c>
      <c r="B278" s="15">
        <f t="shared" si="51"/>
        <v>0</v>
      </c>
      <c r="C278" s="1091"/>
      <c r="D278" s="1091"/>
      <c r="E278" s="1091"/>
      <c r="F278" s="1091"/>
      <c r="G278" s="1091"/>
      <c r="H278" s="1091"/>
      <c r="I278" s="1091"/>
      <c r="J278" s="1091"/>
      <c r="K278" s="1091"/>
      <c r="L278" s="1091"/>
      <c r="M278" s="1091"/>
      <c r="N278" s="1091"/>
      <c r="O278" s="1091"/>
      <c r="P278" s="1091"/>
      <c r="Q278" s="1091"/>
      <c r="R278" s="1091"/>
      <c r="S278" s="1091"/>
      <c r="T278" s="1091"/>
      <c r="U278" s="1091"/>
      <c r="V278" s="1091"/>
      <c r="W278" s="1091"/>
      <c r="X278" s="1091"/>
      <c r="Y278" s="1091"/>
      <c r="Z278" s="1091"/>
      <c r="AA278" s="1091"/>
      <c r="AB278" s="1091"/>
      <c r="AC278" s="1091"/>
      <c r="AD278" s="1091"/>
      <c r="AE278" s="1091"/>
      <c r="AF278" s="1091"/>
      <c r="AG278" s="1091"/>
      <c r="AH278" s="39">
        <f t="shared" si="52"/>
        <v>0</v>
      </c>
    </row>
    <row r="279" spans="1:36" ht="15">
      <c r="A279" s="71" t="s">
        <v>72</v>
      </c>
      <c r="B279" s="75">
        <f>SUM(B267:B278)</f>
        <v>0</v>
      </c>
      <c r="C279" s="32">
        <f>SUM(C267:C277)</f>
        <v>0</v>
      </c>
      <c r="D279" s="39">
        <f>SUM(D267:D277)</f>
        <v>0</v>
      </c>
      <c r="E279" s="39">
        <v>0</v>
      </c>
      <c r="F279" s="39">
        <f t="shared" ref="F279:AC279" si="53">SUM(F267:F277)</f>
        <v>0</v>
      </c>
      <c r="G279" s="39">
        <f t="shared" si="53"/>
        <v>0</v>
      </c>
      <c r="H279" s="39">
        <f t="shared" si="53"/>
        <v>0</v>
      </c>
      <c r="I279" s="39">
        <f t="shared" si="53"/>
        <v>0</v>
      </c>
      <c r="J279" s="39">
        <f t="shared" si="53"/>
        <v>0</v>
      </c>
      <c r="K279" s="39">
        <f t="shared" si="53"/>
        <v>0</v>
      </c>
      <c r="L279" s="39">
        <f t="shared" si="53"/>
        <v>0</v>
      </c>
      <c r="M279" s="39">
        <f t="shared" si="53"/>
        <v>0</v>
      </c>
      <c r="N279" s="39">
        <f t="shared" si="53"/>
        <v>0</v>
      </c>
      <c r="O279" s="39">
        <f t="shared" si="53"/>
        <v>0</v>
      </c>
      <c r="P279" s="39">
        <f t="shared" si="53"/>
        <v>0</v>
      </c>
      <c r="Q279" s="39">
        <f t="shared" si="53"/>
        <v>0</v>
      </c>
      <c r="R279" s="39">
        <f t="shared" si="53"/>
        <v>0</v>
      </c>
      <c r="S279" s="39">
        <f t="shared" si="53"/>
        <v>0</v>
      </c>
      <c r="T279" s="39">
        <f t="shared" si="53"/>
        <v>0</v>
      </c>
      <c r="U279" s="39">
        <f t="shared" si="53"/>
        <v>0</v>
      </c>
      <c r="V279" s="39">
        <f t="shared" si="53"/>
        <v>0</v>
      </c>
      <c r="W279" s="39">
        <f t="shared" si="53"/>
        <v>0</v>
      </c>
      <c r="X279" s="39">
        <f t="shared" si="53"/>
        <v>0</v>
      </c>
      <c r="Y279" s="39">
        <f t="shared" si="53"/>
        <v>0</v>
      </c>
      <c r="Z279" s="39">
        <f t="shared" si="53"/>
        <v>0</v>
      </c>
      <c r="AA279" s="39">
        <f t="shared" si="53"/>
        <v>0</v>
      </c>
      <c r="AB279" s="39">
        <f t="shared" si="53"/>
        <v>0</v>
      </c>
      <c r="AC279" s="39">
        <f t="shared" si="53"/>
        <v>0</v>
      </c>
      <c r="AD279" s="39">
        <v>0</v>
      </c>
      <c r="AE279" s="39">
        <f>SUM(AE267:AE277)</f>
        <v>0</v>
      </c>
      <c r="AF279" s="39">
        <f>SUM(AF267:AF277)</f>
        <v>0</v>
      </c>
      <c r="AG279" s="39">
        <f>SUM(AG267:AG277)</f>
        <v>0</v>
      </c>
      <c r="AH279" s="32">
        <f>SUM(AH267:AH277)</f>
        <v>0</v>
      </c>
    </row>
    <row r="280" spans="1:36" ht="14.25" customHeight="1">
      <c r="A280" s="14"/>
      <c r="B280" s="14"/>
      <c r="C280" s="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
    </row>
    <row r="281" spans="1:36" ht="15">
      <c r="A281" s="3811" t="s">
        <v>105</v>
      </c>
      <c r="B281" s="3812"/>
      <c r="C281" s="3812"/>
      <c r="D281" s="3812"/>
      <c r="E281" s="3812"/>
      <c r="F281" s="3812"/>
      <c r="G281" s="3812"/>
      <c r="H281" s="3813"/>
      <c r="I281" s="1229"/>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row>
    <row r="282" spans="1:36" ht="15">
      <c r="A282" s="5" t="s">
        <v>70</v>
      </c>
      <c r="B282" s="5" t="s">
        <v>71</v>
      </c>
      <c r="C282" s="1244">
        <v>1</v>
      </c>
      <c r="D282" s="21">
        <v>2</v>
      </c>
      <c r="E282" s="21">
        <v>3</v>
      </c>
      <c r="F282" s="21">
        <v>4</v>
      </c>
      <c r="G282" s="21">
        <v>5</v>
      </c>
      <c r="H282" s="21">
        <v>6</v>
      </c>
      <c r="I282" s="21">
        <v>7</v>
      </c>
      <c r="J282" s="21">
        <v>8</v>
      </c>
      <c r="K282" s="21">
        <v>9</v>
      </c>
      <c r="L282" s="21">
        <v>10</v>
      </c>
      <c r="M282" s="21">
        <v>11</v>
      </c>
      <c r="N282" s="21">
        <v>12</v>
      </c>
      <c r="O282" s="21">
        <v>13</v>
      </c>
      <c r="P282" s="21">
        <v>14</v>
      </c>
      <c r="Q282" s="21">
        <v>15</v>
      </c>
      <c r="R282" s="21">
        <v>16</v>
      </c>
      <c r="S282" s="21">
        <v>17</v>
      </c>
      <c r="T282" s="21">
        <v>18</v>
      </c>
      <c r="U282" s="21">
        <v>19</v>
      </c>
      <c r="V282" s="21">
        <v>20</v>
      </c>
      <c r="W282" s="21">
        <v>21</v>
      </c>
      <c r="X282" s="21">
        <v>22</v>
      </c>
      <c r="Y282" s="21">
        <v>23</v>
      </c>
      <c r="Z282" s="21">
        <v>24</v>
      </c>
      <c r="AA282" s="21">
        <v>25</v>
      </c>
      <c r="AB282" s="21">
        <v>26</v>
      </c>
      <c r="AC282" s="21">
        <v>27</v>
      </c>
      <c r="AD282" s="21">
        <v>28</v>
      </c>
      <c r="AE282" s="21">
        <v>29</v>
      </c>
      <c r="AF282" s="21">
        <v>30</v>
      </c>
      <c r="AG282" s="21">
        <v>31</v>
      </c>
      <c r="AH282" s="25" t="s">
        <v>72</v>
      </c>
      <c r="AI282" s="2266" t="s">
        <v>1345</v>
      </c>
      <c r="AJ282" s="66">
        <f>(B295/COUNTIF($C$283:$AG$294,"&gt;0"))</f>
        <v>46.176393939393947</v>
      </c>
    </row>
    <row r="283" spans="1:36" ht="15">
      <c r="A283" s="120" t="s">
        <v>73</v>
      </c>
      <c r="B283" s="15">
        <f t="shared" ref="B283:B294" si="54">+AH283</f>
        <v>0</v>
      </c>
      <c r="C283" s="65" t="s">
        <v>109</v>
      </c>
      <c r="D283" s="65" t="s">
        <v>109</v>
      </c>
      <c r="E283" s="65" t="s">
        <v>109</v>
      </c>
      <c r="F283" s="65" t="s">
        <v>109</v>
      </c>
      <c r="G283" s="65" t="s">
        <v>109</v>
      </c>
      <c r="H283" s="65" t="s">
        <v>109</v>
      </c>
      <c r="I283" s="65" t="s">
        <v>109</v>
      </c>
      <c r="J283" s="65" t="s">
        <v>109</v>
      </c>
      <c r="K283" s="65" t="s">
        <v>109</v>
      </c>
      <c r="L283" s="65" t="s">
        <v>109</v>
      </c>
      <c r="M283" s="65" t="s">
        <v>109</v>
      </c>
      <c r="N283" s="65" t="s">
        <v>109</v>
      </c>
      <c r="O283" s="65" t="s">
        <v>109</v>
      </c>
      <c r="P283" s="65" t="s">
        <v>109</v>
      </c>
      <c r="Q283" s="65" t="s">
        <v>109</v>
      </c>
      <c r="R283" s="65" t="s">
        <v>109</v>
      </c>
      <c r="S283" s="65" t="s">
        <v>109</v>
      </c>
      <c r="T283" s="65" t="s">
        <v>109</v>
      </c>
      <c r="U283" s="65" t="s">
        <v>109</v>
      </c>
      <c r="V283" s="65" t="s">
        <v>109</v>
      </c>
      <c r="W283" s="65" t="s">
        <v>109</v>
      </c>
      <c r="X283" s="65" t="s">
        <v>109</v>
      </c>
      <c r="Y283" s="65" t="s">
        <v>109</v>
      </c>
      <c r="Z283" s="65" t="s">
        <v>109</v>
      </c>
      <c r="AA283" s="65" t="s">
        <v>109</v>
      </c>
      <c r="AB283" s="65" t="s">
        <v>109</v>
      </c>
      <c r="AC283" s="65" t="s">
        <v>109</v>
      </c>
      <c r="AD283" s="65" t="s">
        <v>109</v>
      </c>
      <c r="AE283" s="65" t="s">
        <v>109</v>
      </c>
      <c r="AF283" s="65" t="s">
        <v>109</v>
      </c>
      <c r="AG283" s="65" t="s">
        <v>109</v>
      </c>
      <c r="AH283" s="39">
        <f>SUM(C283:AG283)</f>
        <v>0</v>
      </c>
      <c r="AJ283" s="66">
        <f>+'Resumen RAE S.Común'!G232</f>
        <v>0.91299999999989723</v>
      </c>
    </row>
    <row r="284" spans="1:36" ht="15">
      <c r="A284" s="120" t="s">
        <v>74</v>
      </c>
      <c r="B284" s="15">
        <f t="shared" si="54"/>
        <v>539.73699999999997</v>
      </c>
      <c r="C284" s="65" t="s">
        <v>109</v>
      </c>
      <c r="D284" s="65" t="s">
        <v>109</v>
      </c>
      <c r="E284" s="65" t="s">
        <v>109</v>
      </c>
      <c r="F284" s="65" t="s">
        <v>109</v>
      </c>
      <c r="G284" s="65" t="s">
        <v>109</v>
      </c>
      <c r="H284" s="65" t="s">
        <v>109</v>
      </c>
      <c r="I284" s="65" t="s">
        <v>109</v>
      </c>
      <c r="J284" s="94">
        <v>61.706000000000003</v>
      </c>
      <c r="K284" s="94">
        <v>45.039000000000001</v>
      </c>
      <c r="L284" s="94">
        <v>59.451999999999998</v>
      </c>
      <c r="M284" s="94">
        <v>0</v>
      </c>
      <c r="N284" s="94">
        <v>66.947999999999993</v>
      </c>
      <c r="O284" s="94">
        <v>1.1100000000000001</v>
      </c>
      <c r="P284" s="94">
        <v>0</v>
      </c>
      <c r="Q284" s="94">
        <v>0</v>
      </c>
      <c r="R284" s="94">
        <v>0</v>
      </c>
      <c r="S284" s="94">
        <v>0</v>
      </c>
      <c r="T284" s="94">
        <v>0</v>
      </c>
      <c r="U284" s="94">
        <v>0</v>
      </c>
      <c r="V284" s="94">
        <v>0</v>
      </c>
      <c r="W284" s="94">
        <v>0</v>
      </c>
      <c r="X284" s="94">
        <v>0</v>
      </c>
      <c r="Y284" s="94">
        <v>0</v>
      </c>
      <c r="Z284" s="94">
        <v>40.055</v>
      </c>
      <c r="AA284" s="94">
        <v>68.05</v>
      </c>
      <c r="AB284" s="94">
        <v>70.040000000000006</v>
      </c>
      <c r="AC284" s="94">
        <v>70.33</v>
      </c>
      <c r="AD284" s="94">
        <v>57.006999999999998</v>
      </c>
      <c r="AE284" s="94"/>
      <c r="AF284" s="94"/>
      <c r="AG284" s="94"/>
      <c r="AH284" s="39">
        <f t="shared" ref="AH284:AH294" si="55">SUM(C284:AG284)</f>
        <v>539.73699999999997</v>
      </c>
      <c r="AJ284" s="1093">
        <f>+AJ283/AJ282</f>
        <v>1.9772007342067476E-2</v>
      </c>
    </row>
    <row r="285" spans="1:36" ht="15">
      <c r="A285" s="120" t="s">
        <v>75</v>
      </c>
      <c r="B285" s="15">
        <f t="shared" si="54"/>
        <v>184.71499999999997</v>
      </c>
      <c r="C285" s="94">
        <v>65.484999999999999</v>
      </c>
      <c r="D285" s="94">
        <v>0</v>
      </c>
      <c r="E285" s="94">
        <v>0</v>
      </c>
      <c r="F285" s="94">
        <v>0</v>
      </c>
      <c r="G285" s="94">
        <v>0</v>
      </c>
      <c r="H285" s="99">
        <v>0</v>
      </c>
      <c r="I285" s="99">
        <v>0</v>
      </c>
      <c r="J285" s="39">
        <v>0</v>
      </c>
      <c r="K285" s="39">
        <v>0</v>
      </c>
      <c r="L285" s="39">
        <v>0</v>
      </c>
      <c r="M285" s="39">
        <v>0</v>
      </c>
      <c r="N285" s="39">
        <v>0</v>
      </c>
      <c r="O285" s="39">
        <v>0</v>
      </c>
      <c r="P285" s="39">
        <v>0</v>
      </c>
      <c r="Q285" s="39">
        <v>0</v>
      </c>
      <c r="R285" s="39">
        <v>0</v>
      </c>
      <c r="S285" s="39">
        <v>0</v>
      </c>
      <c r="T285" s="39">
        <v>0</v>
      </c>
      <c r="U285" s="39">
        <v>0</v>
      </c>
      <c r="V285" s="39">
        <v>0</v>
      </c>
      <c r="W285" s="39">
        <v>0</v>
      </c>
      <c r="X285" s="39">
        <v>0</v>
      </c>
      <c r="Y285" s="39">
        <v>0</v>
      </c>
      <c r="Z285" s="39">
        <v>0</v>
      </c>
      <c r="AA285" s="39">
        <v>0</v>
      </c>
      <c r="AB285" s="39">
        <v>0</v>
      </c>
      <c r="AC285" s="1091">
        <v>46.12</v>
      </c>
      <c r="AD285" s="1091">
        <v>73.11</v>
      </c>
      <c r="AE285" s="1091"/>
      <c r="AF285" s="1091"/>
      <c r="AG285" s="1091"/>
      <c r="AH285" s="39">
        <f t="shared" si="55"/>
        <v>184.71499999999997</v>
      </c>
    </row>
    <row r="286" spans="1:36" ht="15">
      <c r="A286" s="120" t="s">
        <v>76</v>
      </c>
      <c r="B286" s="15">
        <f t="shared" si="54"/>
        <v>182.52099999999999</v>
      </c>
      <c r="C286" s="15">
        <v>62.95</v>
      </c>
      <c r="D286" s="15">
        <v>0</v>
      </c>
      <c r="E286" s="15">
        <v>0</v>
      </c>
      <c r="F286" s="15">
        <v>0</v>
      </c>
      <c r="G286" s="15">
        <v>0</v>
      </c>
      <c r="H286" s="15">
        <v>59.250999999999998</v>
      </c>
      <c r="I286" s="15">
        <v>60.32</v>
      </c>
      <c r="J286" s="15">
        <v>0</v>
      </c>
      <c r="K286" s="15">
        <v>0</v>
      </c>
      <c r="L286" s="39">
        <v>0</v>
      </c>
      <c r="M286" s="39">
        <v>0</v>
      </c>
      <c r="N286" s="39">
        <v>0</v>
      </c>
      <c r="O286" s="39">
        <v>0</v>
      </c>
      <c r="P286" s="39">
        <v>0</v>
      </c>
      <c r="Q286" s="39">
        <v>0</v>
      </c>
      <c r="R286" s="39">
        <v>0</v>
      </c>
      <c r="S286" s="39"/>
      <c r="T286" s="39"/>
      <c r="U286" s="39"/>
      <c r="V286" s="39"/>
      <c r="W286" s="39"/>
      <c r="X286" s="39"/>
      <c r="Y286" s="39"/>
      <c r="Z286" s="39"/>
      <c r="AA286" s="39"/>
      <c r="AB286" s="39"/>
      <c r="AC286" s="39"/>
      <c r="AD286" s="39"/>
      <c r="AE286" s="39"/>
      <c r="AF286" s="39"/>
      <c r="AG286" s="39"/>
      <c r="AH286" s="39">
        <f t="shared" si="55"/>
        <v>182.52099999999999</v>
      </c>
    </row>
    <row r="287" spans="1:36" ht="15">
      <c r="A287" s="111" t="s">
        <v>77</v>
      </c>
      <c r="B287" s="15">
        <f t="shared" si="54"/>
        <v>0.15</v>
      </c>
      <c r="C287" s="15"/>
      <c r="D287" s="15"/>
      <c r="E287" s="15"/>
      <c r="F287" s="15"/>
      <c r="G287" s="15"/>
      <c r="H287" s="15"/>
      <c r="I287" s="15">
        <v>0.15</v>
      </c>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f t="shared" si="55"/>
        <v>0.15</v>
      </c>
    </row>
    <row r="288" spans="1:36" ht="15">
      <c r="A288" s="111" t="s">
        <v>78</v>
      </c>
      <c r="B288" s="15">
        <f t="shared" si="54"/>
        <v>0</v>
      </c>
      <c r="C288" s="32"/>
      <c r="D288" s="39"/>
      <c r="E288" s="39"/>
      <c r="F288" s="39"/>
      <c r="G288" s="39"/>
      <c r="H288" s="1091"/>
      <c r="I288" s="1091"/>
      <c r="J288" s="1091"/>
      <c r="K288" s="1091"/>
      <c r="L288" s="1091"/>
      <c r="M288" s="1091"/>
      <c r="N288" s="1091"/>
      <c r="O288" s="1091"/>
      <c r="P288" s="1091"/>
      <c r="Q288" s="1091"/>
      <c r="R288" s="1091"/>
      <c r="S288" s="1091"/>
      <c r="T288" s="1091"/>
      <c r="U288" s="1091"/>
      <c r="V288" s="1091"/>
      <c r="W288" s="1091"/>
      <c r="X288" s="1091"/>
      <c r="Y288" s="1268"/>
      <c r="Z288" s="1268"/>
      <c r="AA288" s="1268"/>
      <c r="AB288" s="1268"/>
      <c r="AC288" s="1268"/>
      <c r="AD288" s="1268"/>
      <c r="AE288" s="1268"/>
      <c r="AF288" s="1268"/>
      <c r="AG288" s="1268"/>
      <c r="AH288" s="39">
        <f t="shared" si="55"/>
        <v>0</v>
      </c>
    </row>
    <row r="289" spans="1:36" ht="15">
      <c r="A289" s="111" t="s">
        <v>79</v>
      </c>
      <c r="B289" s="15">
        <f t="shared" si="54"/>
        <v>301.51800000000003</v>
      </c>
      <c r="C289" s="1091"/>
      <c r="D289" s="1268"/>
      <c r="E289" s="1268"/>
      <c r="F289" s="1268"/>
      <c r="G289" s="1091"/>
      <c r="H289" s="1091">
        <v>1.587</v>
      </c>
      <c r="I289" s="1091"/>
      <c r="J289" s="2068">
        <v>48.454999999999998</v>
      </c>
      <c r="K289" s="2068">
        <v>11.015000000000001</v>
      </c>
      <c r="L289" s="1268">
        <v>40.924999999999997</v>
      </c>
      <c r="M289" s="1268">
        <v>28.265000000000001</v>
      </c>
      <c r="N289" s="1268">
        <v>0</v>
      </c>
      <c r="O289" s="1268">
        <v>0</v>
      </c>
      <c r="P289" s="1268">
        <v>0</v>
      </c>
      <c r="Q289" s="1268">
        <v>0</v>
      </c>
      <c r="R289" s="1268">
        <v>0</v>
      </c>
      <c r="S289" s="1268">
        <v>0</v>
      </c>
      <c r="T289" s="1268">
        <v>21.594999999999999</v>
      </c>
      <c r="U289" s="1268">
        <v>57.99</v>
      </c>
      <c r="V289" s="1268">
        <v>67.915000000000006</v>
      </c>
      <c r="W289" s="1974">
        <v>0</v>
      </c>
      <c r="X289" s="1974">
        <v>14.715999999999999</v>
      </c>
      <c r="Y289" s="1974">
        <v>9.0549999999999997</v>
      </c>
      <c r="Z289" s="1974"/>
      <c r="AA289" s="1974"/>
      <c r="AB289" s="1974"/>
      <c r="AC289" s="1974"/>
      <c r="AD289" s="1974"/>
      <c r="AE289" s="1974"/>
      <c r="AF289" s="65"/>
      <c r="AG289" s="65" t="s">
        <v>110</v>
      </c>
      <c r="AH289" s="39">
        <f t="shared" si="55"/>
        <v>301.51800000000003</v>
      </c>
    </row>
    <row r="290" spans="1:36" ht="15">
      <c r="A290" s="111" t="s">
        <v>80</v>
      </c>
      <c r="B290" s="15">
        <f t="shared" si="54"/>
        <v>0</v>
      </c>
      <c r="C290" s="65" t="s">
        <v>110</v>
      </c>
      <c r="D290" s="65" t="s">
        <v>110</v>
      </c>
      <c r="E290" s="65" t="s">
        <v>110</v>
      </c>
      <c r="F290" s="65" t="s">
        <v>110</v>
      </c>
      <c r="G290" s="65" t="s">
        <v>110</v>
      </c>
      <c r="H290" s="65" t="s">
        <v>110</v>
      </c>
      <c r="I290" s="65" t="s">
        <v>110</v>
      </c>
      <c r="J290" s="65" t="s">
        <v>110</v>
      </c>
      <c r="K290" s="65" t="s">
        <v>110</v>
      </c>
      <c r="L290" s="65" t="s">
        <v>110</v>
      </c>
      <c r="M290" s="65" t="s">
        <v>110</v>
      </c>
      <c r="N290" s="65" t="s">
        <v>110</v>
      </c>
      <c r="O290" s="65" t="s">
        <v>110</v>
      </c>
      <c r="P290" s="65" t="s">
        <v>110</v>
      </c>
      <c r="Q290" s="65" t="s">
        <v>110</v>
      </c>
      <c r="R290" s="65" t="s">
        <v>110</v>
      </c>
      <c r="S290" s="65" t="s">
        <v>110</v>
      </c>
      <c r="T290" s="65" t="s">
        <v>110</v>
      </c>
      <c r="U290" s="65" t="s">
        <v>110</v>
      </c>
      <c r="V290" s="65" t="s">
        <v>110</v>
      </c>
      <c r="W290" s="65" t="s">
        <v>110</v>
      </c>
      <c r="X290" s="65" t="s">
        <v>110</v>
      </c>
      <c r="Y290" s="65" t="s">
        <v>110</v>
      </c>
      <c r="Z290" s="65" t="s">
        <v>110</v>
      </c>
      <c r="AA290" s="65" t="s">
        <v>110</v>
      </c>
      <c r="AB290" s="65" t="s">
        <v>110</v>
      </c>
      <c r="AC290" s="65" t="s">
        <v>110</v>
      </c>
      <c r="AD290" s="65" t="s">
        <v>110</v>
      </c>
      <c r="AE290" s="65" t="s">
        <v>110</v>
      </c>
      <c r="AF290" s="65" t="s">
        <v>110</v>
      </c>
      <c r="AG290" s="65" t="s">
        <v>110</v>
      </c>
      <c r="AH290" s="39">
        <f>SUM(C290:AG290)</f>
        <v>0</v>
      </c>
    </row>
    <row r="291" spans="1:36" ht="15">
      <c r="A291" s="109" t="s">
        <v>81</v>
      </c>
      <c r="B291" s="15">
        <f t="shared" si="54"/>
        <v>0</v>
      </c>
      <c r="C291" s="65" t="s">
        <v>110</v>
      </c>
      <c r="D291" s="65" t="s">
        <v>110</v>
      </c>
      <c r="E291" s="65" t="s">
        <v>110</v>
      </c>
      <c r="F291" s="65" t="s">
        <v>110</v>
      </c>
      <c r="G291" s="65" t="s">
        <v>110</v>
      </c>
      <c r="H291" s="65" t="s">
        <v>110</v>
      </c>
      <c r="I291" s="65" t="s">
        <v>110</v>
      </c>
      <c r="J291" s="65" t="s">
        <v>110</v>
      </c>
      <c r="K291" s="65" t="s">
        <v>110</v>
      </c>
      <c r="L291" s="65" t="s">
        <v>110</v>
      </c>
      <c r="M291" s="65" t="s">
        <v>110</v>
      </c>
      <c r="N291" s="65" t="s">
        <v>110</v>
      </c>
      <c r="O291" s="65" t="s">
        <v>110</v>
      </c>
      <c r="P291" s="65" t="s">
        <v>110</v>
      </c>
      <c r="Q291" s="65" t="s">
        <v>110</v>
      </c>
      <c r="R291" s="65" t="s">
        <v>110</v>
      </c>
      <c r="S291" s="65" t="s">
        <v>110</v>
      </c>
      <c r="T291" s="65" t="s">
        <v>110</v>
      </c>
      <c r="U291" s="65" t="s">
        <v>110</v>
      </c>
      <c r="V291" s="65" t="s">
        <v>110</v>
      </c>
      <c r="W291" s="65" t="s">
        <v>110</v>
      </c>
      <c r="X291" s="65" t="s">
        <v>110</v>
      </c>
      <c r="Y291" s="65" t="s">
        <v>110</v>
      </c>
      <c r="Z291" s="65" t="s">
        <v>110</v>
      </c>
      <c r="AA291" s="65" t="s">
        <v>110</v>
      </c>
      <c r="AB291" s="65" t="s">
        <v>110</v>
      </c>
      <c r="AC291" s="65" t="s">
        <v>110</v>
      </c>
      <c r="AD291" s="65" t="s">
        <v>110</v>
      </c>
      <c r="AE291" s="65" t="s">
        <v>110</v>
      </c>
      <c r="AF291" s="65" t="s">
        <v>110</v>
      </c>
      <c r="AG291" s="65" t="s">
        <v>110</v>
      </c>
      <c r="AH291" s="39">
        <f>SUM(C291:AG291)</f>
        <v>0</v>
      </c>
    </row>
    <row r="292" spans="1:36" ht="15">
      <c r="A292" s="109" t="s">
        <v>82</v>
      </c>
      <c r="B292" s="15">
        <f t="shared" si="54"/>
        <v>149.99</v>
      </c>
      <c r="C292" s="65" t="s">
        <v>110</v>
      </c>
      <c r="D292" s="65" t="s">
        <v>110</v>
      </c>
      <c r="E292" s="65" t="s">
        <v>110</v>
      </c>
      <c r="F292" s="65" t="s">
        <v>110</v>
      </c>
      <c r="G292" s="65" t="s">
        <v>110</v>
      </c>
      <c r="H292" s="65" t="s">
        <v>110</v>
      </c>
      <c r="I292" s="65" t="s">
        <v>110</v>
      </c>
      <c r="J292" s="65" t="s">
        <v>110</v>
      </c>
      <c r="K292" s="65" t="s">
        <v>110</v>
      </c>
      <c r="L292" s="65" t="s">
        <v>110</v>
      </c>
      <c r="M292" s="65" t="s">
        <v>110</v>
      </c>
      <c r="N292" s="65" t="s">
        <v>110</v>
      </c>
      <c r="O292" s="65" t="s">
        <v>110</v>
      </c>
      <c r="P292" s="65" t="s">
        <v>110</v>
      </c>
      <c r="Q292" s="65" t="s">
        <v>110</v>
      </c>
      <c r="R292" s="65" t="s">
        <v>110</v>
      </c>
      <c r="S292" s="65" t="s">
        <v>110</v>
      </c>
      <c r="T292" s="65" t="s">
        <v>110</v>
      </c>
      <c r="U292" s="65" t="s">
        <v>110</v>
      </c>
      <c r="V292" s="65" t="s">
        <v>110</v>
      </c>
      <c r="W292" s="65" t="s">
        <v>110</v>
      </c>
      <c r="X292" s="1091">
        <v>74.204999999999998</v>
      </c>
      <c r="Y292" s="1091"/>
      <c r="Z292" s="1091">
        <v>70.040000000000006</v>
      </c>
      <c r="AA292" s="1091">
        <v>5.7450000000000001</v>
      </c>
      <c r="AB292" s="1091"/>
      <c r="AC292" s="1091"/>
      <c r="AD292" s="1091"/>
      <c r="AE292" s="1268"/>
      <c r="AF292" s="1091"/>
      <c r="AG292" s="1268"/>
      <c r="AH292" s="39">
        <f t="shared" si="55"/>
        <v>149.99</v>
      </c>
    </row>
    <row r="293" spans="1:36" ht="15">
      <c r="A293" s="109" t="s">
        <v>83</v>
      </c>
      <c r="B293" s="15">
        <f t="shared" si="54"/>
        <v>165.19</v>
      </c>
      <c r="C293" s="1591"/>
      <c r="D293" s="1591"/>
      <c r="E293" s="1591"/>
      <c r="F293" s="1591"/>
      <c r="G293" s="1591"/>
      <c r="H293" s="1591"/>
      <c r="I293" s="1591"/>
      <c r="J293" s="1591">
        <v>58.39</v>
      </c>
      <c r="K293" s="1591">
        <v>101.425</v>
      </c>
      <c r="L293" s="1591"/>
      <c r="M293" s="1591"/>
      <c r="N293" s="1591"/>
      <c r="O293" s="1591"/>
      <c r="P293" s="1591"/>
      <c r="Q293" s="1591"/>
      <c r="R293" s="1591"/>
      <c r="S293" s="1591"/>
      <c r="T293" s="1591"/>
      <c r="U293" s="1591"/>
      <c r="V293" s="1591"/>
      <c r="W293" s="1591"/>
      <c r="X293" s="1591"/>
      <c r="Y293" s="1591">
        <v>5.375</v>
      </c>
      <c r="Z293" s="1591"/>
      <c r="AA293" s="1591"/>
      <c r="AB293" s="1591"/>
      <c r="AC293" s="1591"/>
      <c r="AD293" s="1591"/>
      <c r="AE293" s="1540"/>
      <c r="AF293" s="1591"/>
      <c r="AG293" s="1540"/>
      <c r="AH293" s="39">
        <f t="shared" si="55"/>
        <v>165.19</v>
      </c>
    </row>
    <row r="294" spans="1:36" ht="15">
      <c r="A294" s="109" t="s">
        <v>84</v>
      </c>
      <c r="B294" s="15">
        <f t="shared" si="54"/>
        <v>0</v>
      </c>
      <c r="C294" s="1591"/>
      <c r="D294" s="1591"/>
      <c r="E294" s="1591"/>
      <c r="F294" s="1591"/>
      <c r="G294" s="1591"/>
      <c r="H294" s="1591"/>
      <c r="I294" s="1591"/>
      <c r="J294" s="1591"/>
      <c r="K294" s="1591"/>
      <c r="L294" s="1591"/>
      <c r="M294" s="1591"/>
      <c r="N294" s="1591"/>
      <c r="O294" s="1591"/>
      <c r="P294" s="1091"/>
      <c r="Q294" s="1091"/>
      <c r="R294" s="1091"/>
      <c r="S294" s="1091"/>
      <c r="T294" s="1091"/>
      <c r="U294" s="1091"/>
      <c r="V294" s="1091"/>
      <c r="W294" s="1091"/>
      <c r="X294" s="1091"/>
      <c r="Y294" s="1091"/>
      <c r="Z294" s="1091"/>
      <c r="AA294" s="1091"/>
      <c r="AB294" s="1091"/>
      <c r="AC294" s="1091"/>
      <c r="AD294" s="1091"/>
      <c r="AE294" s="1091"/>
      <c r="AF294" s="1091"/>
      <c r="AG294" s="1091"/>
      <c r="AH294" s="39">
        <f t="shared" si="55"/>
        <v>0</v>
      </c>
    </row>
    <row r="295" spans="1:36" ht="15">
      <c r="A295" s="71" t="s">
        <v>72</v>
      </c>
      <c r="B295" s="75">
        <f>SUM(B283:B294)</f>
        <v>1523.8210000000001</v>
      </c>
      <c r="C295" s="32">
        <f>SUM(C283:C293)</f>
        <v>128.435</v>
      </c>
      <c r="D295" s="39">
        <f>SUM(D283:D293)</f>
        <v>0</v>
      </c>
      <c r="E295" s="39">
        <v>0</v>
      </c>
      <c r="F295" s="39">
        <f t="shared" ref="F295:AC295" si="56">SUM(F283:F293)</f>
        <v>0</v>
      </c>
      <c r="G295" s="39">
        <f t="shared" si="56"/>
        <v>0</v>
      </c>
      <c r="H295" s="39">
        <f t="shared" si="56"/>
        <v>60.838000000000001</v>
      </c>
      <c r="I295" s="39">
        <f t="shared" si="56"/>
        <v>60.47</v>
      </c>
      <c r="J295" s="39">
        <f t="shared" si="56"/>
        <v>168.55099999999999</v>
      </c>
      <c r="K295" s="39">
        <f t="shared" si="56"/>
        <v>157.47899999999998</v>
      </c>
      <c r="L295" s="39">
        <f t="shared" si="56"/>
        <v>100.377</v>
      </c>
      <c r="M295" s="39">
        <f t="shared" si="56"/>
        <v>28.265000000000001</v>
      </c>
      <c r="N295" s="39">
        <f t="shared" si="56"/>
        <v>66.947999999999993</v>
      </c>
      <c r="O295" s="39">
        <f t="shared" si="56"/>
        <v>1.1100000000000001</v>
      </c>
      <c r="P295" s="39">
        <f t="shared" si="56"/>
        <v>0</v>
      </c>
      <c r="Q295" s="39">
        <f t="shared" si="56"/>
        <v>0</v>
      </c>
      <c r="R295" s="39">
        <f t="shared" si="56"/>
        <v>0</v>
      </c>
      <c r="S295" s="39">
        <f t="shared" si="56"/>
        <v>0</v>
      </c>
      <c r="T295" s="39">
        <f t="shared" si="56"/>
        <v>21.594999999999999</v>
      </c>
      <c r="U295" s="39">
        <f t="shared" si="56"/>
        <v>57.99</v>
      </c>
      <c r="V295" s="39">
        <f t="shared" si="56"/>
        <v>67.915000000000006</v>
      </c>
      <c r="W295" s="39">
        <f t="shared" si="56"/>
        <v>0</v>
      </c>
      <c r="X295" s="39">
        <f t="shared" si="56"/>
        <v>88.920999999999992</v>
      </c>
      <c r="Y295" s="39">
        <f t="shared" si="56"/>
        <v>14.43</v>
      </c>
      <c r="Z295" s="39">
        <f t="shared" si="56"/>
        <v>110.095</v>
      </c>
      <c r="AA295" s="39">
        <f t="shared" si="56"/>
        <v>73.795000000000002</v>
      </c>
      <c r="AB295" s="39">
        <f t="shared" si="56"/>
        <v>70.040000000000006</v>
      </c>
      <c r="AC295" s="39">
        <f t="shared" si="56"/>
        <v>116.44999999999999</v>
      </c>
      <c r="AD295" s="39">
        <v>0</v>
      </c>
      <c r="AE295" s="39">
        <f>SUM(AE283:AE293)</f>
        <v>0</v>
      </c>
      <c r="AF295" s="39">
        <f>SUM(AF283:AF293)</f>
        <v>0</v>
      </c>
      <c r="AG295" s="39">
        <f>SUM(AG283:AG293)</f>
        <v>0</v>
      </c>
      <c r="AH295" s="32">
        <f>SUM(AH283:AH293)</f>
        <v>1523.8210000000001</v>
      </c>
    </row>
    <row r="296" spans="1:36" ht="14.25" customHeight="1">
      <c r="A296" s="14"/>
      <c r="B296" s="14"/>
      <c r="C296" s="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
    </row>
    <row r="297" spans="1:36" ht="15">
      <c r="A297" s="3811" t="s">
        <v>107</v>
      </c>
      <c r="B297" s="3812"/>
      <c r="C297" s="3812"/>
      <c r="D297" s="3812"/>
      <c r="E297" s="3812"/>
      <c r="F297" s="3812"/>
      <c r="G297" s="3812"/>
      <c r="H297" s="3813"/>
      <c r="I297" s="1229"/>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row>
    <row r="298" spans="1:36" ht="15">
      <c r="A298" s="5" t="s">
        <v>70</v>
      </c>
      <c r="B298" s="5" t="s">
        <v>71</v>
      </c>
      <c r="C298" s="1039">
        <v>1</v>
      </c>
      <c r="D298" s="21">
        <v>2</v>
      </c>
      <c r="E298" s="21">
        <v>3</v>
      </c>
      <c r="F298" s="21">
        <v>4</v>
      </c>
      <c r="G298" s="21">
        <v>5</v>
      </c>
      <c r="H298" s="21">
        <v>6</v>
      </c>
      <c r="I298" s="21">
        <v>7</v>
      </c>
      <c r="J298" s="21">
        <v>8</v>
      </c>
      <c r="K298" s="21">
        <v>9</v>
      </c>
      <c r="L298" s="21">
        <v>10</v>
      </c>
      <c r="M298" s="21">
        <v>11</v>
      </c>
      <c r="N298" s="21">
        <v>12</v>
      </c>
      <c r="O298" s="21">
        <v>13</v>
      </c>
      <c r="P298" s="21">
        <v>14</v>
      </c>
      <c r="Q298" s="21">
        <v>15</v>
      </c>
      <c r="R298" s="21">
        <v>16</v>
      </c>
      <c r="S298" s="21">
        <v>17</v>
      </c>
      <c r="T298" s="21">
        <v>18</v>
      </c>
      <c r="U298" s="21">
        <v>19</v>
      </c>
      <c r="V298" s="21">
        <v>20</v>
      </c>
      <c r="W298" s="21">
        <v>21</v>
      </c>
      <c r="X298" s="21">
        <v>22</v>
      </c>
      <c r="Y298" s="21">
        <v>23</v>
      </c>
      <c r="Z298" s="21">
        <v>24</v>
      </c>
      <c r="AA298" s="21">
        <v>25</v>
      </c>
      <c r="AB298" s="21">
        <v>26</v>
      </c>
      <c r="AC298" s="21">
        <v>27</v>
      </c>
      <c r="AD298" s="21">
        <v>28</v>
      </c>
      <c r="AE298" s="21">
        <v>29</v>
      </c>
      <c r="AF298" s="21">
        <v>30</v>
      </c>
      <c r="AG298" s="21">
        <v>31</v>
      </c>
      <c r="AH298" s="25" t="s">
        <v>72</v>
      </c>
      <c r="AI298" s="2266" t="s">
        <v>1345</v>
      </c>
      <c r="AJ298" s="66">
        <f>(B311/COUNTIF($C$299:$AG$310,"&gt;0"))</f>
        <v>37.457099999999997</v>
      </c>
    </row>
    <row r="299" spans="1:36" ht="15">
      <c r="A299" s="120" t="s">
        <v>73</v>
      </c>
      <c r="B299" s="15">
        <f t="shared" ref="B299:B310" si="57">+AH299</f>
        <v>0</v>
      </c>
      <c r="C299" s="65" t="s">
        <v>109</v>
      </c>
      <c r="D299" s="65" t="s">
        <v>109</v>
      </c>
      <c r="E299" s="65" t="s">
        <v>109</v>
      </c>
      <c r="F299" s="65" t="s">
        <v>109</v>
      </c>
      <c r="G299" s="65" t="s">
        <v>109</v>
      </c>
      <c r="H299" s="65" t="s">
        <v>109</v>
      </c>
      <c r="I299" s="65" t="s">
        <v>109</v>
      </c>
      <c r="J299" s="65" t="s">
        <v>109</v>
      </c>
      <c r="K299" s="65" t="s">
        <v>109</v>
      </c>
      <c r="L299" s="65" t="s">
        <v>109</v>
      </c>
      <c r="M299" s="65" t="s">
        <v>109</v>
      </c>
      <c r="N299" s="65" t="s">
        <v>109</v>
      </c>
      <c r="O299" s="65" t="s">
        <v>109</v>
      </c>
      <c r="P299" s="65" t="s">
        <v>109</v>
      </c>
      <c r="Q299" s="65" t="s">
        <v>109</v>
      </c>
      <c r="R299" s="65" t="s">
        <v>109</v>
      </c>
      <c r="S299" s="65" t="s">
        <v>109</v>
      </c>
      <c r="T299" s="65" t="s">
        <v>109</v>
      </c>
      <c r="U299" s="65" t="s">
        <v>109</v>
      </c>
      <c r="V299" s="65" t="s">
        <v>109</v>
      </c>
      <c r="W299" s="65" t="s">
        <v>109</v>
      </c>
      <c r="X299" s="65" t="s">
        <v>109</v>
      </c>
      <c r="Y299" s="65" t="s">
        <v>109</v>
      </c>
      <c r="Z299" s="65" t="s">
        <v>109</v>
      </c>
      <c r="AA299" s="65" t="s">
        <v>109</v>
      </c>
      <c r="AB299" s="65" t="s">
        <v>109</v>
      </c>
      <c r="AC299" s="65" t="s">
        <v>109</v>
      </c>
      <c r="AD299" s="65" t="s">
        <v>109</v>
      </c>
      <c r="AE299" s="65" t="s">
        <v>109</v>
      </c>
      <c r="AF299" s="65" t="s">
        <v>109</v>
      </c>
      <c r="AG299" s="65" t="s">
        <v>109</v>
      </c>
      <c r="AH299" s="39">
        <f>SUM(C299:AG299)</f>
        <v>0</v>
      </c>
      <c r="AJ299" s="66">
        <f>+'Resumen RAE S.Común'!G233</f>
        <v>0</v>
      </c>
    </row>
    <row r="300" spans="1:36" ht="15">
      <c r="A300" s="120" t="s">
        <v>74</v>
      </c>
      <c r="B300" s="94">
        <f t="shared" si="57"/>
        <v>0</v>
      </c>
      <c r="C300" s="65" t="s">
        <v>109</v>
      </c>
      <c r="D300" s="65" t="s">
        <v>109</v>
      </c>
      <c r="E300" s="65" t="s">
        <v>109</v>
      </c>
      <c r="F300" s="65" t="s">
        <v>109</v>
      </c>
      <c r="G300" s="65" t="s">
        <v>109</v>
      </c>
      <c r="H300" s="65" t="s">
        <v>109</v>
      </c>
      <c r="I300" s="65" t="s">
        <v>109</v>
      </c>
      <c r="J300" s="1091">
        <v>0</v>
      </c>
      <c r="K300" s="1091">
        <v>0</v>
      </c>
      <c r="L300" s="1091">
        <v>0</v>
      </c>
      <c r="M300" s="1091">
        <v>0</v>
      </c>
      <c r="N300" s="1091">
        <v>0</v>
      </c>
      <c r="O300" s="1091">
        <v>0</v>
      </c>
      <c r="P300" s="1091">
        <v>0</v>
      </c>
      <c r="Q300" s="1091">
        <v>0</v>
      </c>
      <c r="R300" s="1091">
        <v>0</v>
      </c>
      <c r="S300" s="1091">
        <v>0</v>
      </c>
      <c r="T300" s="1091">
        <v>0</v>
      </c>
      <c r="U300" s="1091">
        <v>0</v>
      </c>
      <c r="V300" s="1091">
        <v>0</v>
      </c>
      <c r="W300" s="1091">
        <v>0</v>
      </c>
      <c r="X300" s="1091">
        <v>0</v>
      </c>
      <c r="Y300" s="1091">
        <v>0</v>
      </c>
      <c r="Z300" s="1091">
        <v>0</v>
      </c>
      <c r="AA300" s="1091">
        <v>0</v>
      </c>
      <c r="AB300" s="1091">
        <v>0</v>
      </c>
      <c r="AC300" s="1091">
        <v>0</v>
      </c>
      <c r="AD300" s="1091">
        <v>0</v>
      </c>
      <c r="AE300" s="1091"/>
      <c r="AF300" s="1091"/>
      <c r="AG300" s="1091"/>
      <c r="AH300" s="39">
        <f t="shared" ref="AH300:AH310" si="58">SUM(C300:AG300)</f>
        <v>0</v>
      </c>
      <c r="AJ300" s="1093">
        <f>+AJ299/AJ298</f>
        <v>0</v>
      </c>
    </row>
    <row r="301" spans="1:36" ht="15">
      <c r="A301" s="120" t="s">
        <v>75</v>
      </c>
      <c r="B301" s="94">
        <f t="shared" si="57"/>
        <v>480.41799999999995</v>
      </c>
      <c r="C301" s="1091">
        <v>0</v>
      </c>
      <c r="D301" s="1091">
        <v>0</v>
      </c>
      <c r="E301" s="1091">
        <v>0</v>
      </c>
      <c r="F301" s="1091">
        <v>16.62</v>
      </c>
      <c r="G301" s="1091">
        <v>0</v>
      </c>
      <c r="H301" s="1268">
        <v>0</v>
      </c>
      <c r="I301" s="1268">
        <v>37.868000000000002</v>
      </c>
      <c r="J301" s="1268">
        <v>0</v>
      </c>
      <c r="K301" s="1268">
        <v>0</v>
      </c>
      <c r="L301" s="1268">
        <v>30.25</v>
      </c>
      <c r="M301" s="1268">
        <v>30.81</v>
      </c>
      <c r="N301" s="1268">
        <v>0</v>
      </c>
      <c r="O301" s="1268">
        <v>30.08</v>
      </c>
      <c r="P301" s="1268">
        <v>29.16</v>
      </c>
      <c r="Q301" s="1268">
        <v>0</v>
      </c>
      <c r="R301" s="1268">
        <v>0</v>
      </c>
      <c r="S301" s="1268">
        <v>21.35</v>
      </c>
      <c r="T301" s="1268">
        <v>29.545000000000002</v>
      </c>
      <c r="U301" s="1268">
        <v>31.675000000000001</v>
      </c>
      <c r="V301" s="1268">
        <v>15.8</v>
      </c>
      <c r="W301" s="1268">
        <v>29.515000000000001</v>
      </c>
      <c r="X301" s="1268">
        <v>32.185000000000002</v>
      </c>
      <c r="Y301" s="1268">
        <v>0</v>
      </c>
      <c r="Z301" s="1268">
        <v>31.465</v>
      </c>
      <c r="AA301" s="1268">
        <v>26.46</v>
      </c>
      <c r="AB301" s="1268">
        <v>0</v>
      </c>
      <c r="AC301" s="1091">
        <v>29.895</v>
      </c>
      <c r="AD301" s="1091">
        <v>57.74</v>
      </c>
      <c r="AE301" s="1091"/>
      <c r="AF301" s="1091"/>
      <c r="AG301" s="1091"/>
      <c r="AH301" s="39">
        <f t="shared" si="58"/>
        <v>480.41799999999995</v>
      </c>
    </row>
    <row r="302" spans="1:36" ht="15">
      <c r="A302" s="120" t="s">
        <v>76</v>
      </c>
      <c r="B302" s="94">
        <f t="shared" si="57"/>
        <v>297.70000000000005</v>
      </c>
      <c r="C302" s="1091">
        <v>45.255000000000003</v>
      </c>
      <c r="D302" s="1091">
        <v>1.6950000000000001</v>
      </c>
      <c r="E302" s="1091">
        <v>0</v>
      </c>
      <c r="F302" s="1091">
        <v>16.465</v>
      </c>
      <c r="G302" s="1091">
        <v>0</v>
      </c>
      <c r="H302" s="1091">
        <v>28.425000000000001</v>
      </c>
      <c r="I302" s="1091">
        <v>27.751000000000001</v>
      </c>
      <c r="J302" s="1091">
        <v>0</v>
      </c>
      <c r="K302" s="1091">
        <v>27.81</v>
      </c>
      <c r="L302" s="1268">
        <v>0</v>
      </c>
      <c r="M302" s="1268">
        <v>0</v>
      </c>
      <c r="N302" s="1268">
        <v>0</v>
      </c>
      <c r="O302" s="1268">
        <v>0</v>
      </c>
      <c r="P302" s="1268">
        <v>0</v>
      </c>
      <c r="Q302" s="1268">
        <v>0</v>
      </c>
      <c r="R302" s="1268">
        <v>0</v>
      </c>
      <c r="S302" s="1268">
        <v>0</v>
      </c>
      <c r="T302" s="1268">
        <v>0</v>
      </c>
      <c r="U302" s="1268">
        <v>0</v>
      </c>
      <c r="V302" s="1268">
        <v>0</v>
      </c>
      <c r="W302" s="1268">
        <v>50.49</v>
      </c>
      <c r="X302" s="1268">
        <v>0</v>
      </c>
      <c r="Y302" s="1268">
        <v>0</v>
      </c>
      <c r="Z302" s="1268">
        <v>5.3</v>
      </c>
      <c r="AA302" s="1268"/>
      <c r="AB302" s="1268"/>
      <c r="AC302" s="1268"/>
      <c r="AD302" s="1268"/>
      <c r="AE302" s="1268">
        <v>94.509</v>
      </c>
      <c r="AF302" s="1268"/>
      <c r="AG302" s="1268"/>
      <c r="AH302" s="39">
        <f t="shared" si="58"/>
        <v>297.70000000000005</v>
      </c>
    </row>
    <row r="303" spans="1:36" ht="15">
      <c r="A303" s="111" t="s">
        <v>77</v>
      </c>
      <c r="B303" s="94">
        <f t="shared" si="57"/>
        <v>130.23200000000003</v>
      </c>
      <c r="C303" s="1091">
        <v>0</v>
      </c>
      <c r="D303" s="1091">
        <v>0</v>
      </c>
      <c r="E303" s="1091">
        <v>0</v>
      </c>
      <c r="F303" s="1091">
        <v>0</v>
      </c>
      <c r="G303" s="1091">
        <v>0</v>
      </c>
      <c r="H303" s="1091">
        <v>0</v>
      </c>
      <c r="I303" s="1091">
        <v>0</v>
      </c>
      <c r="J303" s="1268">
        <v>45.277000000000001</v>
      </c>
      <c r="K303" s="1268">
        <v>0</v>
      </c>
      <c r="L303" s="1268">
        <v>38.005000000000003</v>
      </c>
      <c r="M303" s="1268">
        <v>0</v>
      </c>
      <c r="N303" s="1268">
        <v>0</v>
      </c>
      <c r="O303" s="1268">
        <v>0</v>
      </c>
      <c r="P303" s="1268">
        <v>0</v>
      </c>
      <c r="Q303" s="1268">
        <v>0</v>
      </c>
      <c r="R303" s="1268">
        <v>0</v>
      </c>
      <c r="S303" s="1268">
        <v>0</v>
      </c>
      <c r="T303" s="1268">
        <v>46.95</v>
      </c>
      <c r="U303" s="1268">
        <v>0</v>
      </c>
      <c r="V303" s="1268">
        <v>0</v>
      </c>
      <c r="W303" s="1268">
        <v>0</v>
      </c>
      <c r="X303" s="1268">
        <v>0</v>
      </c>
      <c r="Y303" s="1268">
        <v>0</v>
      </c>
      <c r="Z303" s="1268">
        <v>0</v>
      </c>
      <c r="AA303" s="1268">
        <v>0</v>
      </c>
      <c r="AB303" s="1268">
        <v>0</v>
      </c>
      <c r="AC303" s="1268"/>
      <c r="AD303" s="1268"/>
      <c r="AE303" s="1268"/>
      <c r="AF303" s="1268"/>
      <c r="AG303" s="1268"/>
      <c r="AH303" s="39">
        <f t="shared" si="58"/>
        <v>130.23200000000003</v>
      </c>
    </row>
    <row r="304" spans="1:36" ht="15">
      <c r="A304" s="111" t="s">
        <v>78</v>
      </c>
      <c r="B304" s="94">
        <f t="shared" si="57"/>
        <v>0</v>
      </c>
      <c r="C304" s="1268"/>
      <c r="D304" s="1268"/>
      <c r="E304" s="1268"/>
      <c r="F304" s="1268"/>
      <c r="G304" s="1268"/>
      <c r="H304" s="1091"/>
      <c r="I304" s="1091"/>
      <c r="J304" s="1091"/>
      <c r="K304" s="1091"/>
      <c r="L304" s="1091"/>
      <c r="M304" s="1091"/>
      <c r="N304" s="1091"/>
      <c r="O304" s="1091"/>
      <c r="P304" s="1091"/>
      <c r="Q304" s="1091"/>
      <c r="R304" s="1091"/>
      <c r="S304" s="1091"/>
      <c r="T304" s="1091"/>
      <c r="U304" s="1091"/>
      <c r="V304" s="1091"/>
      <c r="W304" s="1091"/>
      <c r="X304" s="1091"/>
      <c r="Y304" s="1268"/>
      <c r="Z304" s="1268"/>
      <c r="AA304" s="1268"/>
      <c r="AB304" s="1268"/>
      <c r="AC304" s="1268"/>
      <c r="AD304" s="1268"/>
      <c r="AE304" s="1268"/>
      <c r="AF304" s="1268"/>
      <c r="AG304" s="1268"/>
      <c r="AH304" s="39">
        <f t="shared" si="58"/>
        <v>0</v>
      </c>
    </row>
    <row r="305" spans="1:34" ht="15">
      <c r="A305" s="111" t="s">
        <v>79</v>
      </c>
      <c r="B305" s="15">
        <f t="shared" si="57"/>
        <v>0</v>
      </c>
      <c r="C305" s="1091"/>
      <c r="D305" s="1268"/>
      <c r="E305" s="1268"/>
      <c r="F305" s="1268"/>
      <c r="G305" s="1091"/>
      <c r="H305" s="1091"/>
      <c r="I305" s="1091"/>
      <c r="J305" s="2068"/>
      <c r="K305" s="2068"/>
      <c r="L305" s="1268"/>
      <c r="M305" s="1268"/>
      <c r="N305" s="1268"/>
      <c r="O305" s="1268"/>
      <c r="P305" s="1268"/>
      <c r="Q305" s="1268"/>
      <c r="R305" s="1268"/>
      <c r="S305" s="1268"/>
      <c r="T305" s="1268"/>
      <c r="U305" s="1268"/>
      <c r="V305" s="1268"/>
      <c r="W305" s="1974"/>
      <c r="X305" s="1974"/>
      <c r="Y305" s="1974"/>
      <c r="Z305" s="1974"/>
      <c r="AA305" s="1974"/>
      <c r="AB305" s="1974"/>
      <c r="AC305" s="1974"/>
      <c r="AD305" s="1974"/>
      <c r="AE305" s="1974"/>
      <c r="AF305" s="65" t="s">
        <v>110</v>
      </c>
      <c r="AG305" s="65" t="s">
        <v>110</v>
      </c>
      <c r="AH305" s="39">
        <f t="shared" si="58"/>
        <v>0</v>
      </c>
    </row>
    <row r="306" spans="1:34" ht="15">
      <c r="A306" s="111" t="s">
        <v>80</v>
      </c>
      <c r="B306" s="15">
        <f t="shared" si="57"/>
        <v>0</v>
      </c>
      <c r="C306" s="65" t="s">
        <v>110</v>
      </c>
      <c r="D306" s="65" t="s">
        <v>110</v>
      </c>
      <c r="E306" s="65" t="s">
        <v>110</v>
      </c>
      <c r="F306" s="65" t="s">
        <v>110</v>
      </c>
      <c r="G306" s="65" t="s">
        <v>110</v>
      </c>
      <c r="H306" s="65" t="s">
        <v>110</v>
      </c>
      <c r="I306" s="65" t="s">
        <v>110</v>
      </c>
      <c r="J306" s="65" t="s">
        <v>110</v>
      </c>
      <c r="K306" s="65" t="s">
        <v>110</v>
      </c>
      <c r="L306" s="65" t="s">
        <v>110</v>
      </c>
      <c r="M306" s="65" t="s">
        <v>110</v>
      </c>
      <c r="N306" s="65" t="s">
        <v>110</v>
      </c>
      <c r="O306" s="65" t="s">
        <v>110</v>
      </c>
      <c r="P306" s="65" t="s">
        <v>110</v>
      </c>
      <c r="Q306" s="65" t="s">
        <v>110</v>
      </c>
      <c r="R306" s="65" t="s">
        <v>110</v>
      </c>
      <c r="S306" s="65" t="s">
        <v>110</v>
      </c>
      <c r="T306" s="65" t="s">
        <v>110</v>
      </c>
      <c r="U306" s="65" t="s">
        <v>110</v>
      </c>
      <c r="V306" s="65" t="s">
        <v>110</v>
      </c>
      <c r="W306" s="65" t="s">
        <v>110</v>
      </c>
      <c r="X306" s="65" t="s">
        <v>110</v>
      </c>
      <c r="Y306" s="65" t="s">
        <v>110</v>
      </c>
      <c r="Z306" s="65" t="s">
        <v>110</v>
      </c>
      <c r="AA306" s="65" t="s">
        <v>110</v>
      </c>
      <c r="AB306" s="65" t="s">
        <v>110</v>
      </c>
      <c r="AC306" s="65" t="s">
        <v>110</v>
      </c>
      <c r="AD306" s="65" t="s">
        <v>110</v>
      </c>
      <c r="AE306" s="65" t="s">
        <v>110</v>
      </c>
      <c r="AF306" s="65" t="s">
        <v>110</v>
      </c>
      <c r="AG306" s="65" t="s">
        <v>110</v>
      </c>
      <c r="AH306" s="39">
        <f>SUM(C306:AG306)</f>
        <v>0</v>
      </c>
    </row>
    <row r="307" spans="1:34" ht="15">
      <c r="A307" s="109" t="s">
        <v>81</v>
      </c>
      <c r="B307" s="15">
        <f t="shared" si="57"/>
        <v>0</v>
      </c>
      <c r="C307" s="65" t="s">
        <v>110</v>
      </c>
      <c r="D307" s="65" t="s">
        <v>110</v>
      </c>
      <c r="E307" s="65" t="s">
        <v>110</v>
      </c>
      <c r="F307" s="65" t="s">
        <v>110</v>
      </c>
      <c r="G307" s="65" t="s">
        <v>110</v>
      </c>
      <c r="H307" s="65" t="s">
        <v>110</v>
      </c>
      <c r="I307" s="65" t="s">
        <v>110</v>
      </c>
      <c r="J307" s="65" t="s">
        <v>110</v>
      </c>
      <c r="K307" s="65" t="s">
        <v>110</v>
      </c>
      <c r="L307" s="65" t="s">
        <v>110</v>
      </c>
      <c r="M307" s="65" t="s">
        <v>110</v>
      </c>
      <c r="N307" s="65" t="s">
        <v>110</v>
      </c>
      <c r="O307" s="65" t="s">
        <v>110</v>
      </c>
      <c r="P307" s="65" t="s">
        <v>110</v>
      </c>
      <c r="Q307" s="65" t="s">
        <v>110</v>
      </c>
      <c r="R307" s="65" t="s">
        <v>110</v>
      </c>
      <c r="S307" s="65" t="s">
        <v>110</v>
      </c>
      <c r="T307" s="65" t="s">
        <v>110</v>
      </c>
      <c r="U307" s="65" t="s">
        <v>110</v>
      </c>
      <c r="V307" s="65" t="s">
        <v>110</v>
      </c>
      <c r="W307" s="65" t="s">
        <v>110</v>
      </c>
      <c r="X307" s="65" t="s">
        <v>110</v>
      </c>
      <c r="Y307" s="65" t="s">
        <v>110</v>
      </c>
      <c r="Z307" s="65" t="s">
        <v>110</v>
      </c>
      <c r="AA307" s="65" t="s">
        <v>110</v>
      </c>
      <c r="AB307" s="65" t="s">
        <v>110</v>
      </c>
      <c r="AC307" s="65" t="s">
        <v>110</v>
      </c>
      <c r="AD307" s="65" t="s">
        <v>110</v>
      </c>
      <c r="AE307" s="65" t="s">
        <v>110</v>
      </c>
      <c r="AF307" s="65" t="s">
        <v>110</v>
      </c>
      <c r="AG307" s="65" t="s">
        <v>110</v>
      </c>
      <c r="AH307" s="39">
        <f>SUM(C307:AG307)</f>
        <v>0</v>
      </c>
    </row>
    <row r="308" spans="1:34" ht="15">
      <c r="A308" s="109" t="s">
        <v>82</v>
      </c>
      <c r="B308" s="15">
        <f t="shared" si="57"/>
        <v>0</v>
      </c>
      <c r="C308" s="65" t="s">
        <v>110</v>
      </c>
      <c r="D308" s="65" t="s">
        <v>110</v>
      </c>
      <c r="E308" s="65" t="s">
        <v>110</v>
      </c>
      <c r="F308" s="65" t="s">
        <v>110</v>
      </c>
      <c r="G308" s="65" t="s">
        <v>110</v>
      </c>
      <c r="H308" s="65" t="s">
        <v>110</v>
      </c>
      <c r="I308" s="65" t="s">
        <v>110</v>
      </c>
      <c r="J308" s="65" t="s">
        <v>110</v>
      </c>
      <c r="K308" s="65" t="s">
        <v>110</v>
      </c>
      <c r="L308" s="65" t="s">
        <v>110</v>
      </c>
      <c r="M308" s="65" t="s">
        <v>110</v>
      </c>
      <c r="N308" s="65" t="s">
        <v>110</v>
      </c>
      <c r="O308" s="65" t="s">
        <v>110</v>
      </c>
      <c r="P308" s="65" t="s">
        <v>110</v>
      </c>
      <c r="Q308" s="65" t="s">
        <v>110</v>
      </c>
      <c r="R308" s="65" t="s">
        <v>110</v>
      </c>
      <c r="S308" s="65" t="s">
        <v>110</v>
      </c>
      <c r="T308" s="65" t="s">
        <v>110</v>
      </c>
      <c r="U308" s="65" t="s">
        <v>110</v>
      </c>
      <c r="V308" s="65" t="s">
        <v>110</v>
      </c>
      <c r="W308" s="65" t="s">
        <v>110</v>
      </c>
      <c r="X308" s="1091"/>
      <c r="Y308" s="1091"/>
      <c r="Z308" s="1091"/>
      <c r="AA308" s="1091"/>
      <c r="AB308" s="1091"/>
      <c r="AC308" s="1091"/>
      <c r="AD308" s="1091"/>
      <c r="AE308" s="1268"/>
      <c r="AF308" s="1091"/>
      <c r="AG308" s="1268"/>
      <c r="AH308" s="39">
        <f t="shared" si="58"/>
        <v>0</v>
      </c>
    </row>
    <row r="309" spans="1:34" ht="15">
      <c r="A309" s="109" t="s">
        <v>83</v>
      </c>
      <c r="B309" s="15">
        <f t="shared" si="57"/>
        <v>669.07999999999993</v>
      </c>
      <c r="C309" s="1091"/>
      <c r="D309" s="1091"/>
      <c r="E309" s="1091"/>
      <c r="F309" s="1091"/>
      <c r="G309" s="1091"/>
      <c r="H309" s="1091"/>
      <c r="I309" s="1091"/>
      <c r="J309" s="1091"/>
      <c r="K309" s="1091">
        <v>9.94</v>
      </c>
      <c r="L309" s="1091">
        <v>10.775</v>
      </c>
      <c r="M309" s="1091">
        <v>20.18</v>
      </c>
      <c r="N309" s="1091"/>
      <c r="O309" s="1091"/>
      <c r="P309" s="1091"/>
      <c r="Q309" s="1091">
        <v>22.835000000000001</v>
      </c>
      <c r="R309" s="1091">
        <v>42.68</v>
      </c>
      <c r="S309" s="1091">
        <v>69.364999999999995</v>
      </c>
      <c r="T309" s="1091"/>
      <c r="U309" s="1091"/>
      <c r="V309" s="1091">
        <v>84.57</v>
      </c>
      <c r="W309" s="1091">
        <v>0</v>
      </c>
      <c r="X309" s="1091">
        <v>115.99</v>
      </c>
      <c r="Y309" s="1091">
        <v>64.72</v>
      </c>
      <c r="Z309" s="1091">
        <v>91.64</v>
      </c>
      <c r="AA309" s="1091">
        <v>15.615</v>
      </c>
      <c r="AB309" s="1091">
        <v>24.434999999999999</v>
      </c>
      <c r="AC309" s="1091">
        <v>58.325000000000003</v>
      </c>
      <c r="AD309" s="1091">
        <v>38.01</v>
      </c>
      <c r="AE309" s="1268"/>
      <c r="AF309" s="1091"/>
      <c r="AG309" s="1268"/>
      <c r="AH309" s="39">
        <f t="shared" si="58"/>
        <v>669.07999999999993</v>
      </c>
    </row>
    <row r="310" spans="1:34" ht="15">
      <c r="A310" s="109" t="s">
        <v>84</v>
      </c>
      <c r="B310" s="15">
        <f t="shared" si="57"/>
        <v>295.42499999999995</v>
      </c>
      <c r="C310" s="1091"/>
      <c r="D310" s="1091"/>
      <c r="E310" s="1091"/>
      <c r="F310" s="1091"/>
      <c r="G310" s="1091"/>
      <c r="H310" s="1091"/>
      <c r="I310" s="1091"/>
      <c r="J310" s="1091"/>
      <c r="K310" s="1091"/>
      <c r="L310" s="1091">
        <v>5.69</v>
      </c>
      <c r="M310" s="1091">
        <v>0</v>
      </c>
      <c r="N310" s="1091">
        <v>0</v>
      </c>
      <c r="O310" s="1091">
        <v>0</v>
      </c>
      <c r="P310" s="1091">
        <v>90.045000000000002</v>
      </c>
      <c r="Q310" s="1091">
        <v>44.28</v>
      </c>
      <c r="R310" s="1091">
        <v>33.134999999999998</v>
      </c>
      <c r="S310" s="1091">
        <v>38.31</v>
      </c>
      <c r="T310" s="1091">
        <v>0</v>
      </c>
      <c r="U310" s="1091">
        <v>0</v>
      </c>
      <c r="V310" s="1091">
        <v>12.425000000000001</v>
      </c>
      <c r="W310" s="1091">
        <v>42.265000000000001</v>
      </c>
      <c r="X310" s="1091">
        <v>29.274999999999999</v>
      </c>
      <c r="Y310" s="1091"/>
      <c r="Z310" s="1091"/>
      <c r="AA310" s="1091"/>
      <c r="AB310" s="1091"/>
      <c r="AC310" s="1091"/>
      <c r="AD310" s="1091"/>
      <c r="AE310" s="1091"/>
      <c r="AF310" s="1091"/>
      <c r="AG310" s="1091"/>
      <c r="AH310" s="39">
        <f t="shared" si="58"/>
        <v>295.42499999999995</v>
      </c>
    </row>
    <row r="311" spans="1:34" ht="15">
      <c r="A311" s="71" t="s">
        <v>72</v>
      </c>
      <c r="B311" s="75">
        <f>SUM(B299:B310)</f>
        <v>1872.8549999999998</v>
      </c>
      <c r="C311" s="32">
        <f>SUM(C299:C309)</f>
        <v>45.255000000000003</v>
      </c>
      <c r="D311" s="39">
        <f>SUM(D299:D309)</f>
        <v>1.6950000000000001</v>
      </c>
      <c r="E311" s="39">
        <v>0</v>
      </c>
      <c r="F311" s="39">
        <f t="shared" ref="F311:AC311" si="59">SUM(F299:F309)</f>
        <v>33.085000000000001</v>
      </c>
      <c r="G311" s="39">
        <f t="shared" si="59"/>
        <v>0</v>
      </c>
      <c r="H311" s="39">
        <f t="shared" si="59"/>
        <v>28.425000000000001</v>
      </c>
      <c r="I311" s="39">
        <f t="shared" si="59"/>
        <v>65.619</v>
      </c>
      <c r="J311" s="39">
        <f t="shared" si="59"/>
        <v>45.277000000000001</v>
      </c>
      <c r="K311" s="39">
        <f t="shared" si="59"/>
        <v>37.75</v>
      </c>
      <c r="L311" s="39">
        <f t="shared" si="59"/>
        <v>79.03</v>
      </c>
      <c r="M311" s="39">
        <f t="shared" si="59"/>
        <v>50.989999999999995</v>
      </c>
      <c r="N311" s="39">
        <f t="shared" si="59"/>
        <v>0</v>
      </c>
      <c r="O311" s="39">
        <f t="shared" si="59"/>
        <v>30.08</v>
      </c>
      <c r="P311" s="39">
        <f t="shared" si="59"/>
        <v>29.16</v>
      </c>
      <c r="Q311" s="39">
        <f t="shared" si="59"/>
        <v>22.835000000000001</v>
      </c>
      <c r="R311" s="39">
        <f t="shared" si="59"/>
        <v>42.68</v>
      </c>
      <c r="S311" s="39">
        <f t="shared" si="59"/>
        <v>90.715000000000003</v>
      </c>
      <c r="T311" s="39">
        <f t="shared" si="59"/>
        <v>76.495000000000005</v>
      </c>
      <c r="U311" s="39">
        <f t="shared" si="59"/>
        <v>31.675000000000001</v>
      </c>
      <c r="V311" s="39">
        <f t="shared" si="59"/>
        <v>100.36999999999999</v>
      </c>
      <c r="W311" s="39">
        <f t="shared" si="59"/>
        <v>80.004999999999995</v>
      </c>
      <c r="X311" s="39">
        <f t="shared" si="59"/>
        <v>148.17500000000001</v>
      </c>
      <c r="Y311" s="39">
        <f t="shared" si="59"/>
        <v>64.72</v>
      </c>
      <c r="Z311" s="39">
        <f t="shared" si="59"/>
        <v>128.405</v>
      </c>
      <c r="AA311" s="39">
        <f t="shared" si="59"/>
        <v>42.075000000000003</v>
      </c>
      <c r="AB311" s="39">
        <f t="shared" si="59"/>
        <v>24.434999999999999</v>
      </c>
      <c r="AC311" s="39">
        <f t="shared" si="59"/>
        <v>88.22</v>
      </c>
      <c r="AD311" s="39">
        <v>0</v>
      </c>
      <c r="AE311" s="39">
        <f>SUM(AE299:AE309)</f>
        <v>94.509</v>
      </c>
      <c r="AF311" s="39">
        <f>SUM(AF299:AF309)</f>
        <v>0</v>
      </c>
      <c r="AG311" s="39">
        <f>SUM(AG299:AG309)</f>
        <v>0</v>
      </c>
      <c r="AH311" s="32">
        <f>SUM(AH299:AH309)</f>
        <v>1577.4299999999998</v>
      </c>
    </row>
    <row r="312" spans="1:34" ht="14.25" customHeight="1">
      <c r="A312" s="14"/>
      <c r="B312" s="14"/>
      <c r="C312" s="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
    </row>
    <row r="313" spans="1:34" ht="15">
      <c r="A313" s="3811"/>
      <c r="B313" s="3812"/>
      <c r="C313" s="3812"/>
      <c r="D313" s="3812"/>
      <c r="E313" s="3812"/>
      <c r="F313" s="3812"/>
      <c r="G313" s="3812"/>
      <c r="H313" s="3813"/>
      <c r="I313" s="1229"/>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row>
    <row r="314" spans="1:34" ht="15">
      <c r="A314" s="5" t="s">
        <v>70</v>
      </c>
      <c r="B314" s="5" t="s">
        <v>71</v>
      </c>
      <c r="C314" s="1039">
        <v>1</v>
      </c>
      <c r="D314" s="21">
        <v>2</v>
      </c>
      <c r="E314" s="21">
        <v>3</v>
      </c>
      <c r="F314" s="21">
        <v>4</v>
      </c>
      <c r="G314" s="21">
        <v>5</v>
      </c>
      <c r="H314" s="21">
        <v>6</v>
      </c>
      <c r="I314" s="21">
        <v>7</v>
      </c>
      <c r="J314" s="21">
        <v>8</v>
      </c>
      <c r="K314" s="21">
        <v>9</v>
      </c>
      <c r="L314" s="21">
        <v>10</v>
      </c>
      <c r="M314" s="21">
        <v>11</v>
      </c>
      <c r="N314" s="21">
        <v>12</v>
      </c>
      <c r="O314" s="21">
        <v>13</v>
      </c>
      <c r="P314" s="21">
        <v>14</v>
      </c>
      <c r="Q314" s="21">
        <v>15</v>
      </c>
      <c r="R314" s="21">
        <v>16</v>
      </c>
      <c r="S314" s="21">
        <v>17</v>
      </c>
      <c r="T314" s="21">
        <v>18</v>
      </c>
      <c r="U314" s="21">
        <v>19</v>
      </c>
      <c r="V314" s="21">
        <v>20</v>
      </c>
      <c r="W314" s="21">
        <v>21</v>
      </c>
      <c r="X314" s="21">
        <v>22</v>
      </c>
      <c r="Y314" s="21">
        <v>23</v>
      </c>
      <c r="Z314" s="21">
        <v>24</v>
      </c>
      <c r="AA314" s="21">
        <v>25</v>
      </c>
      <c r="AB314" s="21">
        <v>26</v>
      </c>
      <c r="AC314" s="21">
        <v>27</v>
      </c>
      <c r="AD314" s="21">
        <v>28</v>
      </c>
      <c r="AE314" s="21">
        <v>29</v>
      </c>
      <c r="AF314" s="21">
        <v>30</v>
      </c>
      <c r="AG314" s="21">
        <v>31</v>
      </c>
      <c r="AH314" s="25" t="s">
        <v>72</v>
      </c>
    </row>
    <row r="315" spans="1:34" ht="15">
      <c r="A315" s="120" t="s">
        <v>73</v>
      </c>
      <c r="B315" s="15">
        <f t="shared" ref="B315:B326" si="60">+AH315</f>
        <v>0</v>
      </c>
      <c r="C315" s="2467"/>
      <c r="D315" s="2467"/>
      <c r="E315" s="2467"/>
      <c r="F315" s="2467"/>
      <c r="G315" s="2467"/>
      <c r="H315" s="2467"/>
      <c r="I315" s="2467"/>
      <c r="J315" s="2467"/>
      <c r="K315" s="2467"/>
      <c r="L315" s="2467"/>
      <c r="M315" s="2467"/>
      <c r="N315" s="2467"/>
      <c r="O315" s="2467"/>
      <c r="P315" s="2467"/>
      <c r="Q315" s="2467"/>
      <c r="R315" s="2467"/>
      <c r="S315" s="2467"/>
      <c r="T315" s="2467"/>
      <c r="U315" s="2467"/>
      <c r="V315" s="2467"/>
      <c r="W315" s="2467"/>
      <c r="X315" s="2467"/>
      <c r="Y315" s="2467"/>
      <c r="Z315" s="2467"/>
      <c r="AA315" s="2467"/>
      <c r="AB315" s="2467"/>
      <c r="AC315" s="2467"/>
      <c r="AD315" s="2467"/>
      <c r="AE315" s="2467"/>
      <c r="AF315" s="2467"/>
      <c r="AG315" s="2467"/>
      <c r="AH315" s="39">
        <f>SUM(C315:AG315)</f>
        <v>0</v>
      </c>
    </row>
    <row r="316" spans="1:34" ht="15">
      <c r="A316" s="120" t="s">
        <v>74</v>
      </c>
      <c r="B316" s="15">
        <f t="shared" si="60"/>
        <v>0</v>
      </c>
      <c r="C316" s="2467"/>
      <c r="D316" s="2467"/>
      <c r="E316" s="2467"/>
      <c r="F316" s="2467"/>
      <c r="G316" s="2467"/>
      <c r="H316" s="2467"/>
      <c r="I316" s="2467"/>
      <c r="J316" s="2467"/>
      <c r="K316" s="2467"/>
      <c r="L316" s="2467"/>
      <c r="M316" s="2467"/>
      <c r="N316" s="2467"/>
      <c r="O316" s="2467"/>
      <c r="P316" s="2467"/>
      <c r="Q316" s="2467"/>
      <c r="R316" s="2467"/>
      <c r="S316" s="2467"/>
      <c r="T316" s="2467"/>
      <c r="U316" s="2467"/>
      <c r="V316" s="2467"/>
      <c r="W316" s="2467"/>
      <c r="X316" s="2467"/>
      <c r="Y316" s="2467"/>
      <c r="Z316" s="2467"/>
      <c r="AA316" s="2467"/>
      <c r="AB316" s="2467"/>
      <c r="AC316" s="2467"/>
      <c r="AD316" s="2467"/>
      <c r="AE316" s="2467"/>
      <c r="AF316" s="2467"/>
      <c r="AG316" s="2467"/>
      <c r="AH316" s="39">
        <f t="shared" ref="AH316:AH326" si="61">SUM(C316:AG316)</f>
        <v>0</v>
      </c>
    </row>
    <row r="317" spans="1:34" ht="15">
      <c r="A317" s="120" t="s">
        <v>75</v>
      </c>
      <c r="B317" s="15">
        <f t="shared" si="60"/>
        <v>0</v>
      </c>
      <c r="C317" s="2467"/>
      <c r="D317" s="2467"/>
      <c r="E317" s="2467"/>
      <c r="F317" s="2467"/>
      <c r="G317" s="2467"/>
      <c r="H317" s="2468"/>
      <c r="I317" s="2468"/>
      <c r="J317" s="2468"/>
      <c r="K317" s="2468"/>
      <c r="L317" s="2468"/>
      <c r="M317" s="2468"/>
      <c r="N317" s="2468"/>
      <c r="O317" s="2468"/>
      <c r="P317" s="2468"/>
      <c r="Q317" s="2468"/>
      <c r="R317" s="2468"/>
      <c r="S317" s="2468"/>
      <c r="T317" s="2468"/>
      <c r="U317" s="2468"/>
      <c r="V317" s="2468"/>
      <c r="W317" s="2468"/>
      <c r="X317" s="2468"/>
      <c r="Y317" s="2468"/>
      <c r="Z317" s="2468"/>
      <c r="AA317" s="2468"/>
      <c r="AB317" s="2468"/>
      <c r="AC317" s="2467"/>
      <c r="AD317" s="2467"/>
      <c r="AE317" s="2467"/>
      <c r="AF317" s="2467"/>
      <c r="AG317" s="2467"/>
      <c r="AH317" s="39">
        <f t="shared" si="61"/>
        <v>0</v>
      </c>
    </row>
    <row r="318" spans="1:34" ht="15">
      <c r="A318" s="120" t="s">
        <v>76</v>
      </c>
      <c r="B318" s="15">
        <f t="shared" si="60"/>
        <v>0</v>
      </c>
      <c r="C318" s="2467"/>
      <c r="D318" s="2467"/>
      <c r="E318" s="2467"/>
      <c r="F318" s="2467"/>
      <c r="G318" s="2467"/>
      <c r="H318" s="2467"/>
      <c r="I318" s="2467"/>
      <c r="J318" s="2467"/>
      <c r="K318" s="2467"/>
      <c r="L318" s="2468"/>
      <c r="M318" s="2468"/>
      <c r="N318" s="2468"/>
      <c r="O318" s="2468"/>
      <c r="P318" s="2468"/>
      <c r="Q318" s="2468"/>
      <c r="R318" s="2468"/>
      <c r="S318" s="2468"/>
      <c r="T318" s="2468"/>
      <c r="U318" s="2468"/>
      <c r="V318" s="2468"/>
      <c r="W318" s="2468"/>
      <c r="X318" s="2468"/>
      <c r="Y318" s="2468"/>
      <c r="Z318" s="2468"/>
      <c r="AA318" s="2468"/>
      <c r="AB318" s="2468"/>
      <c r="AC318" s="2468"/>
      <c r="AD318" s="2468"/>
      <c r="AE318" s="2468"/>
      <c r="AF318" s="2468"/>
      <c r="AG318" s="2468"/>
      <c r="AH318" s="39">
        <f t="shared" si="61"/>
        <v>0</v>
      </c>
    </row>
    <row r="319" spans="1:34" ht="15">
      <c r="A319" s="111" t="s">
        <v>77</v>
      </c>
      <c r="B319" s="15">
        <f t="shared" si="60"/>
        <v>0</v>
      </c>
      <c r="C319" s="2468"/>
      <c r="D319" s="2468"/>
      <c r="E319" s="2468"/>
      <c r="F319" s="2468"/>
      <c r="G319" s="2468"/>
      <c r="H319" s="2468"/>
      <c r="I319" s="2468"/>
      <c r="J319" s="2468"/>
      <c r="K319" s="2468"/>
      <c r="L319" s="2468"/>
      <c r="M319" s="2468"/>
      <c r="N319" s="2468"/>
      <c r="O319" s="2468"/>
      <c r="P319" s="2468"/>
      <c r="Q319" s="2468"/>
      <c r="R319" s="2468"/>
      <c r="S319" s="2468"/>
      <c r="T319" s="2468"/>
      <c r="U319" s="2468"/>
      <c r="V319" s="2468"/>
      <c r="W319" s="2468"/>
      <c r="X319" s="2468"/>
      <c r="Y319" s="2468"/>
      <c r="Z319" s="2468"/>
      <c r="AA319" s="2468"/>
      <c r="AB319" s="2468"/>
      <c r="AC319" s="2468"/>
      <c r="AD319" s="2468"/>
      <c r="AE319" s="2468"/>
      <c r="AF319" s="2468"/>
      <c r="AG319" s="2468"/>
      <c r="AH319" s="39">
        <f t="shared" si="61"/>
        <v>0</v>
      </c>
    </row>
    <row r="320" spans="1:34" ht="15">
      <c r="A320" s="111" t="s">
        <v>78</v>
      </c>
      <c r="B320" s="15">
        <f t="shared" si="60"/>
        <v>0</v>
      </c>
      <c r="C320" s="2468"/>
      <c r="D320" s="2468"/>
      <c r="E320" s="2468"/>
      <c r="F320" s="2468"/>
      <c r="G320" s="2468"/>
      <c r="H320" s="2468"/>
      <c r="I320" s="2468"/>
      <c r="J320" s="2468"/>
      <c r="K320" s="2468"/>
      <c r="L320" s="2468"/>
      <c r="M320" s="2468"/>
      <c r="N320" s="2468"/>
      <c r="O320" s="2468"/>
      <c r="P320" s="2468"/>
      <c r="Q320" s="2468"/>
      <c r="R320" s="2468"/>
      <c r="S320" s="2468"/>
      <c r="T320" s="2468"/>
      <c r="U320" s="2468"/>
      <c r="V320" s="2468"/>
      <c r="W320" s="2468"/>
      <c r="X320" s="2468"/>
      <c r="Y320" s="2468"/>
      <c r="Z320" s="2468"/>
      <c r="AA320" s="2468"/>
      <c r="AB320" s="2468"/>
      <c r="AC320" s="2468"/>
      <c r="AD320" s="2468"/>
      <c r="AE320" s="2468"/>
      <c r="AF320" s="2468"/>
      <c r="AG320" s="2468"/>
      <c r="AH320" s="39">
        <f t="shared" si="61"/>
        <v>0</v>
      </c>
    </row>
    <row r="321" spans="1:34" ht="15">
      <c r="A321" s="111" t="s">
        <v>79</v>
      </c>
      <c r="B321" s="15">
        <f t="shared" si="60"/>
        <v>0</v>
      </c>
      <c r="C321" s="2468"/>
      <c r="D321" s="2469"/>
      <c r="E321" s="2469"/>
      <c r="F321" s="2469"/>
      <c r="G321" s="2468"/>
      <c r="H321" s="2468"/>
      <c r="I321" s="2468"/>
      <c r="J321" s="2470"/>
      <c r="K321" s="2470"/>
      <c r="L321" s="2469"/>
      <c r="M321" s="2469"/>
      <c r="N321" s="2469"/>
      <c r="O321" s="2469"/>
      <c r="P321" s="2469"/>
      <c r="Q321" s="2469"/>
      <c r="R321" s="2469"/>
      <c r="S321" s="2469"/>
      <c r="T321" s="2469"/>
      <c r="U321" s="2469"/>
      <c r="V321" s="2469"/>
      <c r="W321" s="2471"/>
      <c r="X321" s="2471"/>
      <c r="Y321" s="2471"/>
      <c r="Z321" s="2471"/>
      <c r="AA321" s="2471"/>
      <c r="AB321" s="2471"/>
      <c r="AC321" s="2471"/>
      <c r="AD321" s="2471"/>
      <c r="AE321" s="2471"/>
      <c r="AF321" s="2471"/>
      <c r="AG321" s="2471"/>
      <c r="AH321" s="39">
        <f t="shared" si="61"/>
        <v>0</v>
      </c>
    </row>
    <row r="322" spans="1:34" ht="15">
      <c r="A322" s="111" t="s">
        <v>80</v>
      </c>
      <c r="B322" s="15">
        <f t="shared" si="60"/>
        <v>0</v>
      </c>
      <c r="C322" s="2471"/>
      <c r="D322" s="2471"/>
      <c r="E322" s="2471"/>
      <c r="F322" s="2471"/>
      <c r="G322" s="2471"/>
      <c r="H322" s="2471"/>
      <c r="I322" s="2471"/>
      <c r="J322" s="2471"/>
      <c r="K322" s="2471"/>
      <c r="L322" s="2471"/>
      <c r="M322" s="2471"/>
      <c r="N322" s="2471"/>
      <c r="O322" s="2471"/>
      <c r="P322" s="2471"/>
      <c r="Q322" s="2471"/>
      <c r="R322" s="2471"/>
      <c r="S322" s="2471"/>
      <c r="T322" s="2471"/>
      <c r="U322" s="2471"/>
      <c r="V322" s="2471"/>
      <c r="W322" s="2471"/>
      <c r="X322" s="2471"/>
      <c r="Y322" s="2471"/>
      <c r="Z322" s="2471"/>
      <c r="AA322" s="2471"/>
      <c r="AB322" s="2471"/>
      <c r="AC322" s="2471"/>
      <c r="AD322" s="2471"/>
      <c r="AE322" s="2471"/>
      <c r="AF322" s="2471"/>
      <c r="AG322" s="2471"/>
      <c r="AH322" s="39">
        <f t="shared" si="61"/>
        <v>0</v>
      </c>
    </row>
    <row r="323" spans="1:34" ht="15">
      <c r="A323" s="109" t="s">
        <v>81</v>
      </c>
      <c r="B323" s="15">
        <f t="shared" si="60"/>
        <v>0</v>
      </c>
      <c r="C323" s="2471"/>
      <c r="D323" s="2471"/>
      <c r="E323" s="2471"/>
      <c r="F323" s="2471"/>
      <c r="G323" s="2471"/>
      <c r="H323" s="2471"/>
      <c r="I323" s="2471"/>
      <c r="J323" s="2471"/>
      <c r="K323" s="2471"/>
      <c r="L323" s="2471"/>
      <c r="M323" s="2471"/>
      <c r="N323" s="2471"/>
      <c r="O323" s="2471"/>
      <c r="P323" s="2471"/>
      <c r="Q323" s="2471"/>
      <c r="R323" s="2471"/>
      <c r="S323" s="2471"/>
      <c r="T323" s="2471"/>
      <c r="U323" s="2471"/>
      <c r="V323" s="2471"/>
      <c r="W323" s="2471"/>
      <c r="X323" s="2471"/>
      <c r="Y323" s="2471"/>
      <c r="Z323" s="2471"/>
      <c r="AA323" s="2471"/>
      <c r="AB323" s="2471"/>
      <c r="AC323" s="2471"/>
      <c r="AD323" s="2471"/>
      <c r="AE323" s="2471"/>
      <c r="AF323" s="2471"/>
      <c r="AG323" s="2471"/>
      <c r="AH323" s="39">
        <f t="shared" si="61"/>
        <v>0</v>
      </c>
    </row>
    <row r="324" spans="1:34" ht="15">
      <c r="A324" s="109" t="s">
        <v>82</v>
      </c>
      <c r="B324" s="15">
        <f t="shared" si="60"/>
        <v>0</v>
      </c>
      <c r="C324" s="2471"/>
      <c r="D324" s="2471"/>
      <c r="E324" s="2471"/>
      <c r="F324" s="2471"/>
      <c r="G324" s="2471"/>
      <c r="H324" s="2471"/>
      <c r="I324" s="2471"/>
      <c r="J324" s="2471"/>
      <c r="K324" s="2471"/>
      <c r="L324" s="2471"/>
      <c r="M324" s="2471"/>
      <c r="N324" s="2471"/>
      <c r="O324" s="2471"/>
      <c r="P324" s="2471"/>
      <c r="Q324" s="2471"/>
      <c r="R324" s="2471"/>
      <c r="S324" s="2471"/>
      <c r="T324" s="2471"/>
      <c r="U324" s="2471"/>
      <c r="V324" s="2471"/>
      <c r="W324" s="2471"/>
      <c r="X324" s="2468"/>
      <c r="Y324" s="2468"/>
      <c r="Z324" s="2468"/>
      <c r="AA324" s="2468"/>
      <c r="AB324" s="2468"/>
      <c r="AC324" s="2468"/>
      <c r="AD324" s="2468"/>
      <c r="AE324" s="2469"/>
      <c r="AF324" s="2468"/>
      <c r="AG324" s="2469"/>
      <c r="AH324" s="39">
        <f t="shared" si="61"/>
        <v>0</v>
      </c>
    </row>
    <row r="325" spans="1:34" ht="15">
      <c r="A325" s="109" t="s">
        <v>83</v>
      </c>
      <c r="B325" s="15">
        <f t="shared" si="60"/>
        <v>0</v>
      </c>
      <c r="C325" s="2468"/>
      <c r="D325" s="2468"/>
      <c r="E325" s="2468"/>
      <c r="F325" s="2468"/>
      <c r="G325" s="2472"/>
      <c r="H325" s="2468"/>
      <c r="I325" s="2468"/>
      <c r="J325" s="2468"/>
      <c r="K325" s="2468"/>
      <c r="L325" s="2468"/>
      <c r="M325" s="2468"/>
      <c r="N325" s="2468"/>
      <c r="O325" s="2468"/>
      <c r="P325" s="2468"/>
      <c r="Q325" s="2468"/>
      <c r="R325" s="2468"/>
      <c r="S325" s="2468"/>
      <c r="T325" s="2468"/>
      <c r="U325" s="2468"/>
      <c r="V325" s="2468"/>
      <c r="W325" s="2468"/>
      <c r="X325" s="2468"/>
      <c r="Y325" s="2472"/>
      <c r="Z325" s="2468"/>
      <c r="AA325" s="2468"/>
      <c r="AB325" s="2468"/>
      <c r="AC325" s="2468"/>
      <c r="AD325" s="2468"/>
      <c r="AE325" s="2469"/>
      <c r="AF325" s="2468"/>
      <c r="AG325" s="2469"/>
      <c r="AH325" s="39">
        <f t="shared" si="61"/>
        <v>0</v>
      </c>
    </row>
    <row r="326" spans="1:34" ht="15">
      <c r="A326" s="109" t="s">
        <v>84</v>
      </c>
      <c r="B326" s="15">
        <f t="shared" si="60"/>
        <v>0</v>
      </c>
      <c r="C326" s="2468"/>
      <c r="D326" s="2468"/>
      <c r="E326" s="2468"/>
      <c r="F326" s="2468"/>
      <c r="G326" s="2468"/>
      <c r="H326" s="2468"/>
      <c r="I326" s="2468"/>
      <c r="J326" s="2468"/>
      <c r="K326" s="2468"/>
      <c r="L326" s="2468"/>
      <c r="M326" s="2468"/>
      <c r="N326" s="2468"/>
      <c r="O326" s="2468"/>
      <c r="P326" s="2468"/>
      <c r="Q326" s="2468"/>
      <c r="R326" s="2468"/>
      <c r="S326" s="2468"/>
      <c r="T326" s="2468"/>
      <c r="U326" s="2468"/>
      <c r="V326" s="2468"/>
      <c r="W326" s="2468"/>
      <c r="X326" s="2468"/>
      <c r="Y326" s="2468"/>
      <c r="Z326" s="2468"/>
      <c r="AA326" s="2468"/>
      <c r="AB326" s="2468"/>
      <c r="AC326" s="2468"/>
      <c r="AD326" s="2468"/>
      <c r="AE326" s="2468"/>
      <c r="AF326" s="2468"/>
      <c r="AG326" s="2468"/>
      <c r="AH326" s="39">
        <f t="shared" si="61"/>
        <v>0</v>
      </c>
    </row>
    <row r="327" spans="1:34" ht="15">
      <c r="A327" s="71" t="s">
        <v>72</v>
      </c>
      <c r="B327" s="75">
        <f>SUM(B315:B326)</f>
        <v>0</v>
      </c>
      <c r="C327" s="32">
        <f>SUM(C315:C325)</f>
        <v>0</v>
      </c>
      <c r="D327" s="39">
        <f>SUM(D315:D325)</f>
        <v>0</v>
      </c>
      <c r="E327" s="39">
        <v>0</v>
      </c>
      <c r="F327" s="39">
        <f t="shared" ref="F327:AC327" si="62">SUM(F315:F325)</f>
        <v>0</v>
      </c>
      <c r="G327" s="39">
        <f t="shared" si="62"/>
        <v>0</v>
      </c>
      <c r="H327" s="39">
        <f t="shared" si="62"/>
        <v>0</v>
      </c>
      <c r="I327" s="39">
        <f t="shared" si="62"/>
        <v>0</v>
      </c>
      <c r="J327" s="39">
        <f t="shared" si="62"/>
        <v>0</v>
      </c>
      <c r="K327" s="39">
        <f t="shared" si="62"/>
        <v>0</v>
      </c>
      <c r="L327" s="39">
        <f t="shared" si="62"/>
        <v>0</v>
      </c>
      <c r="M327" s="39">
        <f t="shared" si="62"/>
        <v>0</v>
      </c>
      <c r="N327" s="39">
        <f t="shared" si="62"/>
        <v>0</v>
      </c>
      <c r="O327" s="39">
        <f t="shared" si="62"/>
        <v>0</v>
      </c>
      <c r="P327" s="39">
        <f t="shared" si="62"/>
        <v>0</v>
      </c>
      <c r="Q327" s="39">
        <f t="shared" si="62"/>
        <v>0</v>
      </c>
      <c r="R327" s="39">
        <f t="shared" si="62"/>
        <v>0</v>
      </c>
      <c r="S327" s="39">
        <f t="shared" si="62"/>
        <v>0</v>
      </c>
      <c r="T327" s="39">
        <f t="shared" si="62"/>
        <v>0</v>
      </c>
      <c r="U327" s="39">
        <f t="shared" si="62"/>
        <v>0</v>
      </c>
      <c r="V327" s="39">
        <f t="shared" si="62"/>
        <v>0</v>
      </c>
      <c r="W327" s="39">
        <f t="shared" si="62"/>
        <v>0</v>
      </c>
      <c r="X327" s="39">
        <f t="shared" si="62"/>
        <v>0</v>
      </c>
      <c r="Y327" s="39">
        <f t="shared" si="62"/>
        <v>0</v>
      </c>
      <c r="Z327" s="39">
        <f t="shared" si="62"/>
        <v>0</v>
      </c>
      <c r="AA327" s="39">
        <f t="shared" si="62"/>
        <v>0</v>
      </c>
      <c r="AB327" s="39">
        <f t="shared" si="62"/>
        <v>0</v>
      </c>
      <c r="AC327" s="39">
        <f t="shared" si="62"/>
        <v>0</v>
      </c>
      <c r="AD327" s="39">
        <v>0</v>
      </c>
      <c r="AE327" s="39">
        <f>SUM(AE315:AE325)</f>
        <v>0</v>
      </c>
      <c r="AF327" s="39">
        <f>SUM(AF315:AF325)</f>
        <v>0</v>
      </c>
      <c r="AG327" s="39">
        <f>SUM(AG315:AG325)</f>
        <v>0</v>
      </c>
      <c r="AH327" s="32">
        <f>SUM(AH315:AH325)</f>
        <v>0</v>
      </c>
    </row>
    <row r="328" spans="1:34" ht="14.25" customHeight="1">
      <c r="A328" s="14"/>
      <c r="B328" s="14"/>
      <c r="C328" s="1"/>
      <c r="D328" s="11"/>
      <c r="E328" s="11"/>
      <c r="F328" s="11"/>
      <c r="G328" s="11"/>
      <c r="H328" s="11"/>
      <c r="I328" s="1229"/>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
    </row>
    <row r="329" spans="1:34" ht="15">
      <c r="A329" s="3811"/>
      <c r="B329" s="3812"/>
      <c r="C329" s="3812"/>
      <c r="D329" s="3812"/>
      <c r="E329" s="3812"/>
      <c r="F329" s="3812"/>
      <c r="G329" s="3812"/>
      <c r="H329" s="3813"/>
      <c r="I329" s="1229"/>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row>
    <row r="330" spans="1:34" ht="15">
      <c r="A330" s="5" t="s">
        <v>70</v>
      </c>
      <c r="B330" s="5" t="s">
        <v>71</v>
      </c>
      <c r="C330" s="1039">
        <v>1</v>
      </c>
      <c r="D330" s="21">
        <v>2</v>
      </c>
      <c r="E330" s="21">
        <v>3</v>
      </c>
      <c r="F330" s="21">
        <v>4</v>
      </c>
      <c r="G330" s="21">
        <v>5</v>
      </c>
      <c r="H330" s="21">
        <v>6</v>
      </c>
      <c r="I330" s="21">
        <v>7</v>
      </c>
      <c r="J330" s="21">
        <v>8</v>
      </c>
      <c r="K330" s="21">
        <v>9</v>
      </c>
      <c r="L330" s="21">
        <v>10</v>
      </c>
      <c r="M330" s="21">
        <v>11</v>
      </c>
      <c r="N330" s="21">
        <v>12</v>
      </c>
      <c r="O330" s="21">
        <v>13</v>
      </c>
      <c r="P330" s="21">
        <v>14</v>
      </c>
      <c r="Q330" s="21">
        <v>15</v>
      </c>
      <c r="R330" s="21">
        <v>16</v>
      </c>
      <c r="S330" s="21">
        <v>17</v>
      </c>
      <c r="T330" s="21">
        <v>18</v>
      </c>
      <c r="U330" s="21">
        <v>19</v>
      </c>
      <c r="V330" s="21">
        <v>20</v>
      </c>
      <c r="W330" s="21">
        <v>21</v>
      </c>
      <c r="X330" s="21">
        <v>22</v>
      </c>
      <c r="Y330" s="21">
        <v>23</v>
      </c>
      <c r="Z330" s="21">
        <v>24</v>
      </c>
      <c r="AA330" s="21">
        <v>25</v>
      </c>
      <c r="AB330" s="21">
        <v>26</v>
      </c>
      <c r="AC330" s="21">
        <v>27</v>
      </c>
      <c r="AD330" s="21">
        <v>28</v>
      </c>
      <c r="AE330" s="21">
        <v>29</v>
      </c>
      <c r="AF330" s="21">
        <v>30</v>
      </c>
      <c r="AG330" s="21">
        <v>31</v>
      </c>
      <c r="AH330" s="25" t="s">
        <v>72</v>
      </c>
    </row>
    <row r="331" spans="1:34" ht="15">
      <c r="A331" s="120" t="s">
        <v>73</v>
      </c>
      <c r="B331" s="15">
        <f t="shared" ref="B331:B342" si="63">+AH331</f>
        <v>0</v>
      </c>
      <c r="C331" s="1689"/>
      <c r="D331" s="1689"/>
      <c r="E331" s="1689"/>
      <c r="F331" s="1689"/>
      <c r="G331" s="1689"/>
      <c r="H331" s="1689"/>
      <c r="I331" s="1689"/>
      <c r="J331" s="1689"/>
      <c r="K331" s="1689"/>
      <c r="L331" s="1689"/>
      <c r="M331" s="1689"/>
      <c r="N331" s="1689"/>
      <c r="O331" s="1689"/>
      <c r="P331" s="1689"/>
      <c r="Q331" s="1689"/>
      <c r="R331" s="1689"/>
      <c r="S331" s="1689"/>
      <c r="T331" s="1689"/>
      <c r="U331" s="1689"/>
      <c r="V331" s="1689"/>
      <c r="W331" s="1689"/>
      <c r="X331" s="1689"/>
      <c r="Y331" s="1689"/>
      <c r="Z331" s="1689"/>
      <c r="AA331" s="1689"/>
      <c r="AB331" s="1689"/>
      <c r="AC331" s="1689"/>
      <c r="AD331" s="1689"/>
      <c r="AE331" s="1689"/>
      <c r="AF331" s="1689"/>
      <c r="AG331" s="1689"/>
      <c r="AH331" s="39">
        <f>SUM(C331:AG331)</f>
        <v>0</v>
      </c>
    </row>
    <row r="332" spans="1:34" ht="15">
      <c r="A332" s="120" t="s">
        <v>74</v>
      </c>
      <c r="B332" s="15">
        <f t="shared" si="63"/>
        <v>0</v>
      </c>
      <c r="C332" s="1689"/>
      <c r="D332" s="1689"/>
      <c r="E332" s="1689"/>
      <c r="F332" s="1689"/>
      <c r="G332" s="1689"/>
      <c r="H332" s="1689"/>
      <c r="I332" s="1689"/>
      <c r="J332" s="1689"/>
      <c r="K332" s="1689"/>
      <c r="L332" s="1689"/>
      <c r="M332" s="1689"/>
      <c r="N332" s="1689"/>
      <c r="O332" s="1689"/>
      <c r="P332" s="1689"/>
      <c r="Q332" s="1689"/>
      <c r="R332" s="1689"/>
      <c r="S332" s="1689"/>
      <c r="T332" s="1689"/>
      <c r="U332" s="1689"/>
      <c r="V332" s="1689"/>
      <c r="W332" s="1689"/>
      <c r="X332" s="1689"/>
      <c r="Y332" s="1689"/>
      <c r="Z332" s="1689"/>
      <c r="AA332" s="1689"/>
      <c r="AB332" s="1689"/>
      <c r="AC332" s="1689"/>
      <c r="AD332" s="1689"/>
      <c r="AE332" s="1689"/>
      <c r="AF332" s="1689"/>
      <c r="AG332" s="1689"/>
      <c r="AH332" s="39">
        <f t="shared" ref="AH332:AH342" si="64">SUM(C332:AG332)</f>
        <v>0</v>
      </c>
    </row>
    <row r="333" spans="1:34" ht="15">
      <c r="A333" s="120" t="s">
        <v>75</v>
      </c>
      <c r="B333" s="15">
        <f t="shared" si="63"/>
        <v>0</v>
      </c>
      <c r="C333" s="1689"/>
      <c r="D333" s="1689"/>
      <c r="E333" s="1689"/>
      <c r="F333" s="1689"/>
      <c r="G333" s="1689"/>
      <c r="H333" s="1091"/>
      <c r="I333" s="1091"/>
      <c r="J333" s="1091"/>
      <c r="K333" s="1091"/>
      <c r="L333" s="1091"/>
      <c r="M333" s="1091"/>
      <c r="N333" s="1091"/>
      <c r="O333" s="1091"/>
      <c r="P333" s="1091"/>
      <c r="Q333" s="1091"/>
      <c r="R333" s="1091"/>
      <c r="S333" s="1091"/>
      <c r="T333" s="1091"/>
      <c r="U333" s="1091"/>
      <c r="V333" s="1091"/>
      <c r="W333" s="1091"/>
      <c r="X333" s="1091"/>
      <c r="Y333" s="1091"/>
      <c r="Z333" s="1091"/>
      <c r="AA333" s="1091"/>
      <c r="AB333" s="1091"/>
      <c r="AC333" s="1689"/>
      <c r="AD333" s="1689"/>
      <c r="AE333" s="1689"/>
      <c r="AF333" s="1689"/>
      <c r="AG333" s="1689"/>
      <c r="AH333" s="39">
        <f t="shared" si="64"/>
        <v>0</v>
      </c>
    </row>
    <row r="334" spans="1:34" ht="15">
      <c r="A334" s="120" t="s">
        <v>76</v>
      </c>
      <c r="B334" s="15">
        <f t="shared" si="63"/>
        <v>0</v>
      </c>
      <c r="C334" s="1689"/>
      <c r="D334" s="1689"/>
      <c r="E334" s="1689"/>
      <c r="F334" s="1689"/>
      <c r="G334" s="1689"/>
      <c r="H334" s="1689"/>
      <c r="I334" s="1689"/>
      <c r="J334" s="1689"/>
      <c r="K334" s="1689"/>
      <c r="L334" s="1091"/>
      <c r="M334" s="1091"/>
      <c r="N334" s="1091"/>
      <c r="O334" s="1091"/>
      <c r="P334" s="1091"/>
      <c r="Q334" s="1091"/>
      <c r="R334" s="1091"/>
      <c r="S334" s="1091"/>
      <c r="T334" s="1091"/>
      <c r="U334" s="1091"/>
      <c r="V334" s="1091"/>
      <c r="W334" s="1091"/>
      <c r="X334" s="1091"/>
      <c r="Y334" s="1091"/>
      <c r="Z334" s="1091"/>
      <c r="AA334" s="1091"/>
      <c r="AB334" s="1091"/>
      <c r="AC334" s="1091"/>
      <c r="AD334" s="1091"/>
      <c r="AE334" s="1091"/>
      <c r="AF334" s="1091"/>
      <c r="AG334" s="1091"/>
      <c r="AH334" s="39">
        <f t="shared" si="64"/>
        <v>0</v>
      </c>
    </row>
    <row r="335" spans="1:34" ht="15">
      <c r="A335" s="111" t="s">
        <v>77</v>
      </c>
      <c r="B335" s="15">
        <f t="shared" si="63"/>
        <v>0</v>
      </c>
      <c r="C335" s="1091"/>
      <c r="D335" s="1091"/>
      <c r="E335" s="1091"/>
      <c r="F335" s="1091"/>
      <c r="G335" s="1091"/>
      <c r="H335" s="1091"/>
      <c r="I335" s="1091"/>
      <c r="J335" s="1091"/>
      <c r="K335" s="1091"/>
      <c r="L335" s="1091"/>
      <c r="M335" s="1091"/>
      <c r="N335" s="1091"/>
      <c r="O335" s="1091"/>
      <c r="P335" s="1091"/>
      <c r="Q335" s="1091"/>
      <c r="R335" s="1091"/>
      <c r="S335" s="1091"/>
      <c r="T335" s="1091"/>
      <c r="U335" s="1091"/>
      <c r="V335" s="1091"/>
      <c r="W335" s="1091"/>
      <c r="X335" s="1091"/>
      <c r="Y335" s="1091"/>
      <c r="Z335" s="1091"/>
      <c r="AA335" s="1091"/>
      <c r="AB335" s="1091"/>
      <c r="AC335" s="1091"/>
      <c r="AD335" s="1091"/>
      <c r="AE335" s="1091"/>
      <c r="AF335" s="1091"/>
      <c r="AG335" s="1091"/>
      <c r="AH335" s="39">
        <f t="shared" si="64"/>
        <v>0</v>
      </c>
    </row>
    <row r="336" spans="1:34" ht="15">
      <c r="A336" s="111" t="s">
        <v>78</v>
      </c>
      <c r="B336" s="15">
        <f t="shared" si="63"/>
        <v>0</v>
      </c>
      <c r="C336" s="1091"/>
      <c r="D336" s="1091"/>
      <c r="E336" s="1091"/>
      <c r="F336" s="1091"/>
      <c r="G336" s="1091"/>
      <c r="H336" s="1091"/>
      <c r="I336" s="1091"/>
      <c r="J336" s="1091"/>
      <c r="K336" s="1091"/>
      <c r="L336" s="1091"/>
      <c r="M336" s="1091"/>
      <c r="N336" s="1091"/>
      <c r="O336" s="1091"/>
      <c r="P336" s="1091"/>
      <c r="Q336" s="1091"/>
      <c r="R336" s="1091"/>
      <c r="S336" s="1091"/>
      <c r="T336" s="1091"/>
      <c r="U336" s="1091"/>
      <c r="V336" s="1091"/>
      <c r="W336" s="1091"/>
      <c r="X336" s="1091"/>
      <c r="Y336" s="1091"/>
      <c r="Z336" s="1091"/>
      <c r="AA336" s="1091"/>
      <c r="AB336" s="1091"/>
      <c r="AC336" s="1091"/>
      <c r="AD336" s="1091"/>
      <c r="AE336" s="1091"/>
      <c r="AF336" s="1091"/>
      <c r="AG336" s="1091"/>
      <c r="AH336" s="39">
        <f t="shared" si="64"/>
        <v>0</v>
      </c>
    </row>
    <row r="337" spans="1:36" ht="15">
      <c r="A337" s="111" t="s">
        <v>79</v>
      </c>
      <c r="B337" s="15">
        <f t="shared" si="63"/>
        <v>0</v>
      </c>
      <c r="C337" s="1091"/>
      <c r="D337" s="1268"/>
      <c r="E337" s="1268"/>
      <c r="F337" s="1268"/>
      <c r="G337" s="1091"/>
      <c r="H337" s="1091"/>
      <c r="I337" s="1091"/>
      <c r="J337" s="2068"/>
      <c r="K337" s="2068"/>
      <c r="L337" s="1268"/>
      <c r="M337" s="1268"/>
      <c r="N337" s="1268"/>
      <c r="O337" s="1268"/>
      <c r="P337" s="1268"/>
      <c r="Q337" s="1268"/>
      <c r="R337" s="1268"/>
      <c r="S337" s="1268"/>
      <c r="T337" s="1268"/>
      <c r="U337" s="1268"/>
      <c r="V337" s="1268"/>
      <c r="W337" s="2066"/>
      <c r="X337" s="2066"/>
      <c r="Y337" s="2066"/>
      <c r="Z337" s="2066"/>
      <c r="AA337" s="2066"/>
      <c r="AB337" s="2066"/>
      <c r="AC337" s="2066"/>
      <c r="AD337" s="2066"/>
      <c r="AE337" s="2066"/>
      <c r="AF337" s="2066"/>
      <c r="AG337" s="2066"/>
      <c r="AH337" s="39">
        <f t="shared" si="64"/>
        <v>0</v>
      </c>
    </row>
    <row r="338" spans="1:36" ht="15">
      <c r="A338" s="111" t="s">
        <v>80</v>
      </c>
      <c r="B338" s="15">
        <f t="shared" si="63"/>
        <v>0</v>
      </c>
      <c r="C338" s="2066"/>
      <c r="D338" s="2066"/>
      <c r="E338" s="2066"/>
      <c r="F338" s="2066"/>
      <c r="G338" s="2066"/>
      <c r="H338" s="2066"/>
      <c r="I338" s="2066"/>
      <c r="J338" s="2066"/>
      <c r="K338" s="2066"/>
      <c r="L338" s="2066"/>
      <c r="M338" s="2066"/>
      <c r="N338" s="2066"/>
      <c r="O338" s="2066"/>
      <c r="P338" s="2066"/>
      <c r="Q338" s="2066"/>
      <c r="R338" s="2066"/>
      <c r="S338" s="2066"/>
      <c r="T338" s="2066"/>
      <c r="U338" s="2066"/>
      <c r="V338" s="2066"/>
      <c r="W338" s="2066"/>
      <c r="X338" s="2066"/>
      <c r="Y338" s="2066"/>
      <c r="Z338" s="2066"/>
      <c r="AA338" s="2066"/>
      <c r="AB338" s="2066"/>
      <c r="AC338" s="2066"/>
      <c r="AD338" s="2066"/>
      <c r="AE338" s="2066"/>
      <c r="AF338" s="2066"/>
      <c r="AG338" s="2066"/>
      <c r="AH338" s="39">
        <f t="shared" si="64"/>
        <v>0</v>
      </c>
    </row>
    <row r="339" spans="1:36" ht="15">
      <c r="A339" s="109" t="s">
        <v>81</v>
      </c>
      <c r="B339" s="15">
        <f t="shared" si="63"/>
        <v>0</v>
      </c>
      <c r="C339" s="2066"/>
      <c r="D339" s="2066"/>
      <c r="E339" s="2066"/>
      <c r="F339" s="2066"/>
      <c r="G339" s="2066"/>
      <c r="H339" s="2066"/>
      <c r="I339" s="2066"/>
      <c r="J339" s="2066"/>
      <c r="K339" s="2066"/>
      <c r="L339" s="2066"/>
      <c r="M339" s="2066"/>
      <c r="N339" s="2066"/>
      <c r="O339" s="2066"/>
      <c r="P339" s="2066"/>
      <c r="Q339" s="2066"/>
      <c r="R339" s="2066"/>
      <c r="S339" s="2066"/>
      <c r="T339" s="2066"/>
      <c r="U339" s="2066"/>
      <c r="V339" s="2066"/>
      <c r="W339" s="2066"/>
      <c r="X339" s="2066"/>
      <c r="Y339" s="2066"/>
      <c r="Z339" s="2066"/>
      <c r="AA339" s="2066"/>
      <c r="AB339" s="2066"/>
      <c r="AC339" s="2066"/>
      <c r="AD339" s="2066"/>
      <c r="AE339" s="2066"/>
      <c r="AF339" s="2066"/>
      <c r="AG339" s="2066"/>
      <c r="AH339" s="39">
        <f t="shared" si="64"/>
        <v>0</v>
      </c>
    </row>
    <row r="340" spans="1:36" ht="15">
      <c r="A340" s="109" t="s">
        <v>82</v>
      </c>
      <c r="B340" s="15">
        <f t="shared" si="63"/>
        <v>0</v>
      </c>
      <c r="C340" s="2066"/>
      <c r="D340" s="2066"/>
      <c r="E340" s="2066"/>
      <c r="F340" s="2066"/>
      <c r="G340" s="2066"/>
      <c r="H340" s="2066"/>
      <c r="I340" s="2066"/>
      <c r="J340" s="2066"/>
      <c r="K340" s="2066"/>
      <c r="L340" s="2066"/>
      <c r="M340" s="2066"/>
      <c r="N340" s="2066"/>
      <c r="O340" s="2066"/>
      <c r="P340" s="2066"/>
      <c r="Q340" s="2066"/>
      <c r="R340" s="2066"/>
      <c r="S340" s="2066"/>
      <c r="T340" s="2066"/>
      <c r="U340" s="2066"/>
      <c r="V340" s="2066"/>
      <c r="W340" s="2066"/>
      <c r="X340" s="1091"/>
      <c r="Y340" s="1091"/>
      <c r="Z340" s="1091"/>
      <c r="AA340" s="1091"/>
      <c r="AB340" s="1091"/>
      <c r="AC340" s="1091"/>
      <c r="AD340" s="1091"/>
      <c r="AE340" s="1268"/>
      <c r="AF340" s="1091"/>
      <c r="AG340" s="1268"/>
      <c r="AH340" s="39">
        <f t="shared" si="64"/>
        <v>0</v>
      </c>
    </row>
    <row r="341" spans="1:36" ht="15">
      <c r="A341" s="109" t="s">
        <v>83</v>
      </c>
      <c r="B341" s="15">
        <f t="shared" si="63"/>
        <v>0</v>
      </c>
      <c r="C341" s="1091"/>
      <c r="D341" s="1091"/>
      <c r="E341" s="1091"/>
      <c r="F341" s="1091"/>
      <c r="G341" s="1229"/>
      <c r="H341" s="1091"/>
      <c r="I341" s="1091"/>
      <c r="J341" s="1091"/>
      <c r="K341" s="1091"/>
      <c r="L341" s="1091"/>
      <c r="M341" s="1091"/>
      <c r="N341" s="1091"/>
      <c r="O341" s="1091"/>
      <c r="P341" s="1091"/>
      <c r="Q341" s="1091"/>
      <c r="R341" s="1091"/>
      <c r="S341" s="1091"/>
      <c r="T341" s="1091"/>
      <c r="U341" s="1091"/>
      <c r="V341" s="1091"/>
      <c r="W341" s="1091"/>
      <c r="X341" s="1091"/>
      <c r="Y341" s="1229"/>
      <c r="Z341" s="1091"/>
      <c r="AA341" s="1091"/>
      <c r="AB341" s="1091"/>
      <c r="AC341" s="1091"/>
      <c r="AD341" s="1091"/>
      <c r="AE341" s="1268"/>
      <c r="AF341" s="1091"/>
      <c r="AG341" s="1268"/>
      <c r="AH341" s="39">
        <f t="shared" si="64"/>
        <v>0</v>
      </c>
    </row>
    <row r="342" spans="1:36" ht="15">
      <c r="A342" s="109" t="s">
        <v>84</v>
      </c>
      <c r="B342" s="15">
        <f t="shared" si="63"/>
        <v>0</v>
      </c>
      <c r="C342" s="1091"/>
      <c r="D342" s="1091"/>
      <c r="E342" s="1091"/>
      <c r="F342" s="1091"/>
      <c r="G342" s="1091"/>
      <c r="H342" s="1091"/>
      <c r="I342" s="1091"/>
      <c r="J342" s="1091"/>
      <c r="K342" s="1091"/>
      <c r="L342" s="1091"/>
      <c r="M342" s="1091"/>
      <c r="N342" s="1091"/>
      <c r="O342" s="1091"/>
      <c r="P342" s="1091"/>
      <c r="Q342" s="1091"/>
      <c r="R342" s="1091"/>
      <c r="S342" s="1091"/>
      <c r="T342" s="1091"/>
      <c r="U342" s="1091"/>
      <c r="V342" s="1091"/>
      <c r="W342" s="1091"/>
      <c r="X342" s="1091"/>
      <c r="Y342" s="1091"/>
      <c r="Z342" s="1091"/>
      <c r="AA342" s="1091"/>
      <c r="AB342" s="1091"/>
      <c r="AC342" s="1091"/>
      <c r="AD342" s="1091"/>
      <c r="AE342" s="1091"/>
      <c r="AF342" s="1091"/>
      <c r="AG342" s="1091"/>
      <c r="AH342" s="39">
        <f t="shared" si="64"/>
        <v>0</v>
      </c>
    </row>
    <row r="343" spans="1:36" ht="15">
      <c r="A343" s="71" t="s">
        <v>72</v>
      </c>
      <c r="B343" s="75">
        <f>SUM(B331:B342)</f>
        <v>0</v>
      </c>
      <c r="C343" s="32">
        <f>SUM(C331:C341)</f>
        <v>0</v>
      </c>
      <c r="D343" s="39">
        <f>SUM(D331:D341)</f>
        <v>0</v>
      </c>
      <c r="E343" s="39">
        <v>0</v>
      </c>
      <c r="F343" s="39">
        <f t="shared" ref="F343:AC343" si="65">SUM(F331:F341)</f>
        <v>0</v>
      </c>
      <c r="G343" s="39">
        <f t="shared" si="65"/>
        <v>0</v>
      </c>
      <c r="H343" s="39">
        <f t="shared" si="65"/>
        <v>0</v>
      </c>
      <c r="I343" s="39">
        <f t="shared" si="65"/>
        <v>0</v>
      </c>
      <c r="J343" s="39">
        <f t="shared" si="65"/>
        <v>0</v>
      </c>
      <c r="K343" s="39">
        <f t="shared" si="65"/>
        <v>0</v>
      </c>
      <c r="L343" s="39">
        <f t="shared" si="65"/>
        <v>0</v>
      </c>
      <c r="M343" s="39">
        <f t="shared" si="65"/>
        <v>0</v>
      </c>
      <c r="N343" s="39">
        <f t="shared" si="65"/>
        <v>0</v>
      </c>
      <c r="O343" s="39">
        <f t="shared" si="65"/>
        <v>0</v>
      </c>
      <c r="P343" s="39">
        <f t="shared" si="65"/>
        <v>0</v>
      </c>
      <c r="Q343" s="39">
        <f t="shared" si="65"/>
        <v>0</v>
      </c>
      <c r="R343" s="39">
        <f t="shared" si="65"/>
        <v>0</v>
      </c>
      <c r="S343" s="39">
        <f t="shared" si="65"/>
        <v>0</v>
      </c>
      <c r="T343" s="39">
        <f t="shared" si="65"/>
        <v>0</v>
      </c>
      <c r="U343" s="39">
        <f t="shared" si="65"/>
        <v>0</v>
      </c>
      <c r="V343" s="39">
        <f t="shared" si="65"/>
        <v>0</v>
      </c>
      <c r="W343" s="39">
        <f t="shared" si="65"/>
        <v>0</v>
      </c>
      <c r="X343" s="39">
        <f t="shared" si="65"/>
        <v>0</v>
      </c>
      <c r="Y343" s="39">
        <f t="shared" si="65"/>
        <v>0</v>
      </c>
      <c r="Z343" s="39">
        <f t="shared" si="65"/>
        <v>0</v>
      </c>
      <c r="AA343" s="39">
        <f t="shared" si="65"/>
        <v>0</v>
      </c>
      <c r="AB343" s="39">
        <f t="shared" si="65"/>
        <v>0</v>
      </c>
      <c r="AC343" s="39">
        <f t="shared" si="65"/>
        <v>0</v>
      </c>
      <c r="AD343" s="39">
        <v>0</v>
      </c>
      <c r="AE343" s="39">
        <f>SUM(AE331:AE341)</f>
        <v>0</v>
      </c>
      <c r="AF343" s="39">
        <f>SUM(AF331:AF341)</f>
        <v>0</v>
      </c>
      <c r="AG343" s="39">
        <f>SUM(AG331:AG341)</f>
        <v>0</v>
      </c>
      <c r="AH343" s="32">
        <f>SUM(AH331:AH341)</f>
        <v>0</v>
      </c>
    </row>
    <row r="344" spans="1:36" ht="14.25" customHeight="1">
      <c r="A344" s="14"/>
      <c r="B344" s="14"/>
      <c r="C344" s="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
    </row>
    <row r="345" spans="1:36" ht="15">
      <c r="A345" s="3811" t="s">
        <v>963</v>
      </c>
      <c r="B345" s="3812"/>
      <c r="C345" s="3812"/>
      <c r="D345" s="3812"/>
      <c r="E345" s="3812"/>
      <c r="F345" s="3812"/>
      <c r="G345" s="3812"/>
      <c r="H345" s="3813"/>
      <c r="I345" s="1229"/>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row>
    <row r="346" spans="1:36" ht="15">
      <c r="A346" s="5" t="s">
        <v>70</v>
      </c>
      <c r="B346" s="5" t="s">
        <v>71</v>
      </c>
      <c r="C346" s="1039">
        <v>1</v>
      </c>
      <c r="D346" s="21">
        <v>2</v>
      </c>
      <c r="E346" s="21">
        <v>3</v>
      </c>
      <c r="F346" s="21">
        <v>4</v>
      </c>
      <c r="G346" s="21">
        <v>5</v>
      </c>
      <c r="H346" s="21">
        <v>6</v>
      </c>
      <c r="I346" s="21">
        <v>7</v>
      </c>
      <c r="J346" s="21">
        <v>8</v>
      </c>
      <c r="K346" s="21">
        <v>9</v>
      </c>
      <c r="L346" s="21">
        <v>10</v>
      </c>
      <c r="M346" s="21">
        <v>11</v>
      </c>
      <c r="N346" s="21">
        <v>12</v>
      </c>
      <c r="O346" s="21">
        <v>13</v>
      </c>
      <c r="P346" s="21">
        <v>14</v>
      </c>
      <c r="Q346" s="21">
        <v>15</v>
      </c>
      <c r="R346" s="21">
        <v>16</v>
      </c>
      <c r="S346" s="21">
        <v>17</v>
      </c>
      <c r="T346" s="21">
        <v>18</v>
      </c>
      <c r="U346" s="21">
        <v>19</v>
      </c>
      <c r="V346" s="21">
        <v>20</v>
      </c>
      <c r="W346" s="21">
        <v>21</v>
      </c>
      <c r="X346" s="21">
        <v>22</v>
      </c>
      <c r="Y346" s="21">
        <v>23</v>
      </c>
      <c r="Z346" s="21">
        <v>24</v>
      </c>
      <c r="AA346" s="21">
        <v>25</v>
      </c>
      <c r="AB346" s="21">
        <v>26</v>
      </c>
      <c r="AC346" s="21">
        <v>27</v>
      </c>
      <c r="AD346" s="21">
        <v>28</v>
      </c>
      <c r="AE346" s="21">
        <v>29</v>
      </c>
      <c r="AF346" s="21">
        <v>30</v>
      </c>
      <c r="AG346" s="21">
        <v>31</v>
      </c>
      <c r="AH346" s="25" t="s">
        <v>72</v>
      </c>
      <c r="AI346" s="2266" t="s">
        <v>1345</v>
      </c>
      <c r="AJ346" s="66">
        <f>(B359/COUNTIF($C$347:$AG$358,"&gt;0"))</f>
        <v>58.578552631578951</v>
      </c>
    </row>
    <row r="347" spans="1:36" ht="15">
      <c r="A347" s="120" t="s">
        <v>73</v>
      </c>
      <c r="B347" s="15">
        <f t="shared" ref="B347:B358" si="66">+AH347</f>
        <v>0</v>
      </c>
      <c r="C347" s="107" t="s">
        <v>109</v>
      </c>
      <c r="D347" s="107" t="s">
        <v>109</v>
      </c>
      <c r="E347" s="107" t="s">
        <v>109</v>
      </c>
      <c r="F347" s="107" t="s">
        <v>109</v>
      </c>
      <c r="G347" s="107" t="s">
        <v>109</v>
      </c>
      <c r="H347" s="107" t="s">
        <v>109</v>
      </c>
      <c r="I347" s="107" t="s">
        <v>109</v>
      </c>
      <c r="J347" s="107" t="s">
        <v>109</v>
      </c>
      <c r="K347" s="107" t="s">
        <v>109</v>
      </c>
      <c r="L347" s="107" t="s">
        <v>109</v>
      </c>
      <c r="M347" s="107" t="s">
        <v>109</v>
      </c>
      <c r="N347" s="107" t="s">
        <v>109</v>
      </c>
      <c r="O347" s="107" t="s">
        <v>109</v>
      </c>
      <c r="P347" s="107" t="s">
        <v>109</v>
      </c>
      <c r="Q347" s="107" t="s">
        <v>109</v>
      </c>
      <c r="R347" s="107" t="s">
        <v>109</v>
      </c>
      <c r="S347" s="107" t="s">
        <v>109</v>
      </c>
      <c r="T347" s="107" t="s">
        <v>109</v>
      </c>
      <c r="U347" s="107" t="s">
        <v>109</v>
      </c>
      <c r="V347" s="107" t="s">
        <v>109</v>
      </c>
      <c r="W347" s="107" t="s">
        <v>109</v>
      </c>
      <c r="X347" s="107" t="s">
        <v>109</v>
      </c>
      <c r="Y347" s="107" t="s">
        <v>109</v>
      </c>
      <c r="Z347" s="107" t="s">
        <v>109</v>
      </c>
      <c r="AA347" s="107" t="s">
        <v>109</v>
      </c>
      <c r="AB347" s="107" t="s">
        <v>109</v>
      </c>
      <c r="AC347" s="107" t="s">
        <v>109</v>
      </c>
      <c r="AD347" s="107" t="s">
        <v>109</v>
      </c>
      <c r="AE347" s="107" t="s">
        <v>109</v>
      </c>
      <c r="AF347" s="107" t="s">
        <v>109</v>
      </c>
      <c r="AG347" s="107" t="s">
        <v>109</v>
      </c>
      <c r="AH347" s="39">
        <f>SUM(C347:AG347)</f>
        <v>0</v>
      </c>
    </row>
    <row r="348" spans="1:36" ht="15">
      <c r="A348" s="120" t="s">
        <v>74</v>
      </c>
      <c r="B348" s="15">
        <f t="shared" si="66"/>
        <v>0</v>
      </c>
      <c r="C348" s="107" t="s">
        <v>109</v>
      </c>
      <c r="D348" s="107" t="s">
        <v>109</v>
      </c>
      <c r="E348" s="107" t="s">
        <v>109</v>
      </c>
      <c r="F348" s="107" t="s">
        <v>109</v>
      </c>
      <c r="G348" s="107" t="s">
        <v>109</v>
      </c>
      <c r="H348" s="107" t="s">
        <v>109</v>
      </c>
      <c r="I348" s="107" t="s">
        <v>109</v>
      </c>
      <c r="J348" s="108"/>
      <c r="K348" s="108"/>
      <c r="L348" s="108"/>
      <c r="M348" s="108"/>
      <c r="N348" s="108"/>
      <c r="O348" s="108"/>
      <c r="P348" s="108"/>
      <c r="Q348" s="108"/>
      <c r="R348" s="108"/>
      <c r="S348" s="108"/>
      <c r="T348" s="108"/>
      <c r="U348" s="108"/>
      <c r="V348" s="108"/>
      <c r="W348" s="108"/>
      <c r="X348" s="108"/>
      <c r="Y348" s="108"/>
      <c r="Z348" s="108"/>
      <c r="AA348" s="108"/>
      <c r="AB348" s="108"/>
      <c r="AC348" s="108"/>
      <c r="AD348" s="108"/>
      <c r="AE348" s="108"/>
      <c r="AF348" s="108"/>
      <c r="AG348" s="108"/>
      <c r="AH348" s="39">
        <f t="shared" ref="AH348:AH358" si="67">SUM(C348:AG348)</f>
        <v>0</v>
      </c>
    </row>
    <row r="349" spans="1:36" ht="15">
      <c r="A349" s="120" t="s">
        <v>75</v>
      </c>
      <c r="B349" s="15">
        <f t="shared" si="66"/>
        <v>0</v>
      </c>
      <c r="C349" s="108"/>
      <c r="D349" s="108"/>
      <c r="E349" s="108"/>
      <c r="F349" s="108"/>
      <c r="G349" s="108"/>
      <c r="H349" s="94"/>
      <c r="I349" s="94"/>
      <c r="J349" s="94"/>
      <c r="K349" s="94"/>
      <c r="L349" s="94"/>
      <c r="M349" s="94"/>
      <c r="N349" s="94">
        <v>0</v>
      </c>
      <c r="O349" s="94"/>
      <c r="P349" s="94"/>
      <c r="Q349" s="94"/>
      <c r="R349" s="94"/>
      <c r="S349" s="15"/>
      <c r="T349" s="15"/>
      <c r="U349" s="15"/>
      <c r="V349" s="15"/>
      <c r="W349" s="15"/>
      <c r="X349" s="15"/>
      <c r="Y349" s="15"/>
      <c r="Z349" s="15"/>
      <c r="AA349" s="15"/>
      <c r="AB349" s="15"/>
      <c r="AC349" s="1689"/>
      <c r="AD349" s="1689"/>
      <c r="AE349" s="1689"/>
      <c r="AF349" s="1689"/>
      <c r="AG349" s="1689"/>
      <c r="AH349" s="39">
        <f t="shared" si="67"/>
        <v>0</v>
      </c>
    </row>
    <row r="350" spans="1:36" ht="15">
      <c r="A350" s="120" t="s">
        <v>76</v>
      </c>
      <c r="B350" s="15">
        <f t="shared" si="66"/>
        <v>0</v>
      </c>
      <c r="C350" s="1689"/>
      <c r="D350" s="1689"/>
      <c r="E350" s="1689"/>
      <c r="F350" s="1689"/>
      <c r="G350" s="1689"/>
      <c r="H350" s="1689"/>
      <c r="I350" s="1689"/>
      <c r="J350" s="1689"/>
      <c r="K350" s="1689"/>
      <c r="L350" s="1091"/>
      <c r="M350" s="1091"/>
      <c r="N350" s="1091"/>
      <c r="O350" s="1091"/>
      <c r="P350" s="1091"/>
      <c r="Q350" s="1091"/>
      <c r="R350" s="1091"/>
      <c r="S350" s="1091"/>
      <c r="T350" s="1091"/>
      <c r="U350" s="1091"/>
      <c r="V350" s="1091"/>
      <c r="W350" s="1091"/>
      <c r="X350" s="1091"/>
      <c r="Y350" s="1091"/>
      <c r="Z350" s="1091"/>
      <c r="AA350" s="1091"/>
      <c r="AB350" s="1091"/>
      <c r="AC350" s="1091"/>
      <c r="AD350" s="1091"/>
      <c r="AE350" s="1091"/>
      <c r="AF350" s="1091"/>
      <c r="AG350" s="1091"/>
      <c r="AH350" s="39">
        <f t="shared" si="67"/>
        <v>0</v>
      </c>
    </row>
    <row r="351" spans="1:36" ht="15">
      <c r="A351" s="111" t="s">
        <v>77</v>
      </c>
      <c r="B351" s="15">
        <f t="shared" si="66"/>
        <v>0</v>
      </c>
      <c r="C351" s="1091"/>
      <c r="D351" s="1091"/>
      <c r="E351" s="1091"/>
      <c r="F351" s="1091"/>
      <c r="G351" s="1091"/>
      <c r="H351" s="1091"/>
      <c r="I351" s="1091"/>
      <c r="J351" s="1091"/>
      <c r="K351" s="1091"/>
      <c r="L351" s="1091"/>
      <c r="M351" s="1091"/>
      <c r="N351" s="1091"/>
      <c r="O351" s="1091"/>
      <c r="P351" s="1091"/>
      <c r="Q351" s="1091"/>
      <c r="R351" s="1091"/>
      <c r="S351" s="1091"/>
      <c r="T351" s="1091"/>
      <c r="U351" s="1091"/>
      <c r="V351" s="1091"/>
      <c r="W351" s="1091"/>
      <c r="X351" s="1091"/>
      <c r="Y351" s="1091"/>
      <c r="Z351" s="1091"/>
      <c r="AA351" s="1091"/>
      <c r="AB351" s="1091"/>
      <c r="AC351" s="1091"/>
      <c r="AD351" s="1091"/>
      <c r="AE351" s="1091"/>
      <c r="AF351" s="1091"/>
      <c r="AG351" s="1091"/>
      <c r="AH351" s="39">
        <f t="shared" si="67"/>
        <v>0</v>
      </c>
    </row>
    <row r="352" spans="1:36" ht="15">
      <c r="A352" s="111" t="s">
        <v>78</v>
      </c>
      <c r="B352" s="15">
        <f t="shared" si="66"/>
        <v>0</v>
      </c>
      <c r="C352" s="1091"/>
      <c r="D352" s="1091"/>
      <c r="E352" s="1091"/>
      <c r="F352" s="1091"/>
      <c r="G352" s="1091"/>
      <c r="H352" s="1091"/>
      <c r="I352" s="1091"/>
      <c r="J352" s="1091"/>
      <c r="K352" s="1091"/>
      <c r="L352" s="1091"/>
      <c r="M352" s="1091"/>
      <c r="N352" s="1091"/>
      <c r="O352" s="1091"/>
      <c r="P352" s="1091"/>
      <c r="Q352" s="1091"/>
      <c r="R352" s="1091"/>
      <c r="S352" s="1091"/>
      <c r="T352" s="1091"/>
      <c r="U352" s="1091"/>
      <c r="V352" s="1091"/>
      <c r="W352" s="1091"/>
      <c r="X352" s="1091"/>
      <c r="Y352" s="1091"/>
      <c r="Z352" s="1091"/>
      <c r="AA352" s="1091"/>
      <c r="AB352" s="1091"/>
      <c r="AC352" s="1091"/>
      <c r="AD352" s="1091"/>
      <c r="AE352" s="1091"/>
      <c r="AF352" s="1091"/>
      <c r="AG352" s="1091"/>
      <c r="AH352" s="39">
        <f t="shared" si="67"/>
        <v>0</v>
      </c>
    </row>
    <row r="353" spans="1:36" ht="15">
      <c r="A353" s="111" t="s">
        <v>79</v>
      </c>
      <c r="B353" s="15">
        <f t="shared" si="66"/>
        <v>0</v>
      </c>
      <c r="C353" s="1091"/>
      <c r="D353" s="1268"/>
      <c r="E353" s="1268"/>
      <c r="F353" s="1268"/>
      <c r="G353" s="1091"/>
      <c r="H353" s="1091"/>
      <c r="I353" s="1091"/>
      <c r="J353" s="2068"/>
      <c r="K353" s="2068"/>
      <c r="L353" s="1268"/>
      <c r="M353" s="1268"/>
      <c r="N353" s="1268"/>
      <c r="O353" s="1268"/>
      <c r="P353" s="1268"/>
      <c r="Q353" s="1268"/>
      <c r="R353" s="1268"/>
      <c r="S353" s="1268"/>
      <c r="T353" s="1268"/>
      <c r="U353" s="1268"/>
      <c r="V353" s="1268"/>
      <c r="W353" s="609"/>
      <c r="X353" s="609"/>
      <c r="Y353" s="609"/>
      <c r="Z353" s="609"/>
      <c r="AA353" s="609"/>
      <c r="AB353" s="609"/>
      <c r="AC353" s="609"/>
      <c r="AD353" s="609"/>
      <c r="AE353" s="609"/>
      <c r="AF353" s="609" t="s">
        <v>109</v>
      </c>
      <c r="AG353" s="609" t="s">
        <v>109</v>
      </c>
      <c r="AH353" s="39">
        <f>SUM(C353:AG353)</f>
        <v>0</v>
      </c>
    </row>
    <row r="354" spans="1:36" ht="15">
      <c r="A354" s="111" t="s">
        <v>80</v>
      </c>
      <c r="B354" s="15">
        <f t="shared" si="66"/>
        <v>0</v>
      </c>
      <c r="C354" s="609" t="s">
        <v>109</v>
      </c>
      <c r="D354" s="609" t="s">
        <v>109</v>
      </c>
      <c r="E354" s="609" t="s">
        <v>109</v>
      </c>
      <c r="F354" s="609" t="s">
        <v>109</v>
      </c>
      <c r="G354" s="609" t="s">
        <v>109</v>
      </c>
      <c r="H354" s="609" t="s">
        <v>109</v>
      </c>
      <c r="I354" s="609" t="s">
        <v>109</v>
      </c>
      <c r="J354" s="609" t="s">
        <v>109</v>
      </c>
      <c r="K354" s="609" t="s">
        <v>109</v>
      </c>
      <c r="L354" s="609" t="s">
        <v>109</v>
      </c>
      <c r="M354" s="609" t="s">
        <v>109</v>
      </c>
      <c r="N354" s="609" t="s">
        <v>109</v>
      </c>
      <c r="O354" s="609" t="s">
        <v>109</v>
      </c>
      <c r="P354" s="609" t="s">
        <v>109</v>
      </c>
      <c r="Q354" s="609" t="s">
        <v>109</v>
      </c>
      <c r="R354" s="609" t="s">
        <v>109</v>
      </c>
      <c r="S354" s="609" t="s">
        <v>109</v>
      </c>
      <c r="T354" s="609" t="s">
        <v>109</v>
      </c>
      <c r="U354" s="609" t="s">
        <v>109</v>
      </c>
      <c r="V354" s="609" t="s">
        <v>109</v>
      </c>
      <c r="W354" s="609" t="s">
        <v>109</v>
      </c>
      <c r="X354" s="609" t="s">
        <v>109</v>
      </c>
      <c r="Y354" s="609" t="s">
        <v>109</v>
      </c>
      <c r="Z354" s="609" t="s">
        <v>109</v>
      </c>
      <c r="AA354" s="609" t="s">
        <v>109</v>
      </c>
      <c r="AB354" s="609" t="s">
        <v>109</v>
      </c>
      <c r="AC354" s="609" t="s">
        <v>109</v>
      </c>
      <c r="AD354" s="609" t="s">
        <v>109</v>
      </c>
      <c r="AE354" s="609" t="s">
        <v>109</v>
      </c>
      <c r="AF354" s="609" t="s">
        <v>109</v>
      </c>
      <c r="AG354" s="609" t="s">
        <v>109</v>
      </c>
      <c r="AH354" s="39">
        <f t="shared" si="67"/>
        <v>0</v>
      </c>
    </row>
    <row r="355" spans="1:36" ht="15">
      <c r="A355" s="109" t="s">
        <v>81</v>
      </c>
      <c r="B355" s="15">
        <f t="shared" si="66"/>
        <v>0</v>
      </c>
      <c r="C355" s="609" t="s">
        <v>109</v>
      </c>
      <c r="D355" s="609" t="s">
        <v>109</v>
      </c>
      <c r="E355" s="609" t="s">
        <v>109</v>
      </c>
      <c r="F355" s="609" t="s">
        <v>109</v>
      </c>
      <c r="G355" s="609" t="s">
        <v>109</v>
      </c>
      <c r="H355" s="609" t="s">
        <v>109</v>
      </c>
      <c r="I355" s="609" t="s">
        <v>109</v>
      </c>
      <c r="J355" s="609" t="s">
        <v>109</v>
      </c>
      <c r="K355" s="609" t="s">
        <v>109</v>
      </c>
      <c r="L355" s="609" t="s">
        <v>109</v>
      </c>
      <c r="M355" s="609" t="s">
        <v>109</v>
      </c>
      <c r="N355" s="609" t="s">
        <v>109</v>
      </c>
      <c r="O355" s="609" t="s">
        <v>109</v>
      </c>
      <c r="P355" s="609" t="s">
        <v>109</v>
      </c>
      <c r="Q355" s="609" t="s">
        <v>109</v>
      </c>
      <c r="R355" s="609" t="s">
        <v>109</v>
      </c>
      <c r="S355" s="609" t="s">
        <v>109</v>
      </c>
      <c r="T355" s="609" t="s">
        <v>109</v>
      </c>
      <c r="U355" s="609" t="s">
        <v>109</v>
      </c>
      <c r="V355" s="609" t="s">
        <v>109</v>
      </c>
      <c r="W355" s="609" t="s">
        <v>109</v>
      </c>
      <c r="X355" s="609" t="s">
        <v>109</v>
      </c>
      <c r="Y355" s="609" t="s">
        <v>109</v>
      </c>
      <c r="Z355" s="609" t="s">
        <v>109</v>
      </c>
      <c r="AA355" s="609" t="s">
        <v>109</v>
      </c>
      <c r="AB355" s="609" t="s">
        <v>109</v>
      </c>
      <c r="AC355" s="609" t="s">
        <v>109</v>
      </c>
      <c r="AD355" s="609" t="s">
        <v>109</v>
      </c>
      <c r="AE355" s="609" t="s">
        <v>109</v>
      </c>
      <c r="AF355" s="609" t="s">
        <v>109</v>
      </c>
      <c r="AG355" s="609" t="s">
        <v>109</v>
      </c>
      <c r="AH355" s="39">
        <f t="shared" si="67"/>
        <v>0</v>
      </c>
    </row>
    <row r="356" spans="1:36" ht="15">
      <c r="A356" s="109" t="s">
        <v>82</v>
      </c>
      <c r="B356" s="15">
        <f t="shared" si="66"/>
        <v>29.22</v>
      </c>
      <c r="C356" s="609" t="s">
        <v>109</v>
      </c>
      <c r="D356" s="609" t="s">
        <v>109</v>
      </c>
      <c r="E356" s="609" t="s">
        <v>109</v>
      </c>
      <c r="F356" s="609" t="s">
        <v>109</v>
      </c>
      <c r="G356" s="609" t="s">
        <v>109</v>
      </c>
      <c r="H356" s="609" t="s">
        <v>109</v>
      </c>
      <c r="I356" s="609" t="s">
        <v>109</v>
      </c>
      <c r="J356" s="609" t="s">
        <v>109</v>
      </c>
      <c r="K356" s="609" t="s">
        <v>109</v>
      </c>
      <c r="L356" s="609" t="s">
        <v>109</v>
      </c>
      <c r="M356" s="609" t="s">
        <v>109</v>
      </c>
      <c r="N356" s="609" t="s">
        <v>109</v>
      </c>
      <c r="O356" s="609" t="s">
        <v>109</v>
      </c>
      <c r="P356" s="609" t="s">
        <v>109</v>
      </c>
      <c r="Q356" s="609" t="s">
        <v>109</v>
      </c>
      <c r="R356" s="609" t="s">
        <v>109</v>
      </c>
      <c r="S356" s="609" t="s">
        <v>109</v>
      </c>
      <c r="T356" s="609" t="s">
        <v>109</v>
      </c>
      <c r="U356" s="609" t="s">
        <v>109</v>
      </c>
      <c r="V356" s="609" t="s">
        <v>109</v>
      </c>
      <c r="W356" s="609" t="s">
        <v>109</v>
      </c>
      <c r="X356" s="1091"/>
      <c r="Y356" s="1091"/>
      <c r="Z356" s="1091"/>
      <c r="AA356" s="1091">
        <v>29.22</v>
      </c>
      <c r="AB356" s="1091"/>
      <c r="AC356" s="1091"/>
      <c r="AD356" s="1091"/>
      <c r="AE356" s="1268"/>
      <c r="AF356" s="1091"/>
      <c r="AG356" s="1268"/>
      <c r="AH356" s="39">
        <f t="shared" si="67"/>
        <v>29.22</v>
      </c>
    </row>
    <row r="357" spans="1:36" ht="15">
      <c r="A357" s="109" t="s">
        <v>83</v>
      </c>
      <c r="B357" s="15">
        <f t="shared" si="66"/>
        <v>1101.6100000000001</v>
      </c>
      <c r="C357" s="1091"/>
      <c r="D357" s="1091"/>
      <c r="E357" s="1091"/>
      <c r="F357" s="1091"/>
      <c r="G357" s="1229"/>
      <c r="H357" s="1091"/>
      <c r="I357" s="1091">
        <v>33.01</v>
      </c>
      <c r="J357" s="1091">
        <v>33.515000000000001</v>
      </c>
      <c r="K357" s="1091">
        <v>39.54</v>
      </c>
      <c r="L357" s="1091">
        <v>35.524999999999999</v>
      </c>
      <c r="M357" s="1091">
        <v>35.76</v>
      </c>
      <c r="N357" s="1091"/>
      <c r="O357" s="1091"/>
      <c r="P357" s="1091">
        <v>79.81</v>
      </c>
      <c r="Q357" s="1091">
        <v>39.094999999999999</v>
      </c>
      <c r="R357" s="1091">
        <v>84.25</v>
      </c>
      <c r="S357" s="1091">
        <v>73.37</v>
      </c>
      <c r="T357" s="1091">
        <v>37.744999999999997</v>
      </c>
      <c r="U357" s="1091">
        <v>75.16</v>
      </c>
      <c r="V357" s="1091">
        <v>77.73</v>
      </c>
      <c r="W357" s="1091">
        <v>0</v>
      </c>
      <c r="X357" s="1091">
        <v>107.325</v>
      </c>
      <c r="Y357" s="1229">
        <v>78.47</v>
      </c>
      <c r="Z357" s="1091">
        <v>11.255000000000001</v>
      </c>
      <c r="AA357" s="1091">
        <v>41.494999999999997</v>
      </c>
      <c r="AB357" s="1091">
        <v>34.524999999999999</v>
      </c>
      <c r="AC357" s="1091">
        <v>79.650000000000006</v>
      </c>
      <c r="AD357" s="1091">
        <v>76.875</v>
      </c>
      <c r="AE357" s="1268">
        <v>27.504999999999999</v>
      </c>
      <c r="AF357" s="1091"/>
      <c r="AG357" s="1268"/>
      <c r="AH357" s="39">
        <f t="shared" si="67"/>
        <v>1101.6100000000001</v>
      </c>
    </row>
    <row r="358" spans="1:36" ht="15">
      <c r="A358" s="109" t="s">
        <v>84</v>
      </c>
      <c r="B358" s="15">
        <f t="shared" si="66"/>
        <v>1095.155</v>
      </c>
      <c r="C358" s="1091">
        <v>74.954999999999998</v>
      </c>
      <c r="D358" s="1091">
        <v>39.725000000000001</v>
      </c>
      <c r="E358" s="1091"/>
      <c r="F358" s="1091">
        <v>8.9149999999999991</v>
      </c>
      <c r="G358" s="1091"/>
      <c r="H358" s="1091"/>
      <c r="I358" s="1091"/>
      <c r="J358" s="1091"/>
      <c r="K358" s="1091">
        <v>82.41</v>
      </c>
      <c r="L358" s="1091">
        <v>18.574999999999999</v>
      </c>
      <c r="M358" s="1091">
        <v>0</v>
      </c>
      <c r="N358" s="1091">
        <v>0</v>
      </c>
      <c r="O358" s="1091">
        <v>0</v>
      </c>
      <c r="P358" s="1091">
        <v>79.545000000000002</v>
      </c>
      <c r="Q358" s="1091">
        <v>42.15</v>
      </c>
      <c r="R358" s="1091">
        <v>80.63</v>
      </c>
      <c r="S358" s="1091">
        <v>86.135000000000005</v>
      </c>
      <c r="T358" s="1091">
        <v>0</v>
      </c>
      <c r="U358" s="1091">
        <v>0</v>
      </c>
      <c r="V358" s="1091"/>
      <c r="W358" s="1091">
        <v>41.365000000000002</v>
      </c>
      <c r="X358" s="1091">
        <v>40.93</v>
      </c>
      <c r="Y358" s="1091">
        <v>105.23</v>
      </c>
      <c r="Z358" s="1091">
        <v>0</v>
      </c>
      <c r="AA358" s="1091">
        <v>0</v>
      </c>
      <c r="AB358" s="1091">
        <v>42.005000000000003</v>
      </c>
      <c r="AC358" s="1091">
        <v>115.785</v>
      </c>
      <c r="AD358" s="1091">
        <v>83.254999999999995</v>
      </c>
      <c r="AE358" s="1091">
        <v>113.375</v>
      </c>
      <c r="AF358" s="1091">
        <v>40.17</v>
      </c>
      <c r="AG358" s="1091">
        <v>0</v>
      </c>
      <c r="AH358" s="39">
        <f t="shared" si="67"/>
        <v>1095.155</v>
      </c>
    </row>
    <row r="359" spans="1:36" ht="15">
      <c r="A359" s="71" t="s">
        <v>72</v>
      </c>
      <c r="B359" s="75">
        <f>SUM(B347:B358)</f>
        <v>2225.9850000000001</v>
      </c>
      <c r="C359" s="32">
        <f>SUM(C347:C357)</f>
        <v>0</v>
      </c>
      <c r="D359" s="39">
        <f>SUM(D347:D357)</f>
        <v>0</v>
      </c>
      <c r="E359" s="39">
        <v>0</v>
      </c>
      <c r="F359" s="39">
        <f t="shared" ref="F359:AC359" si="68">SUM(F347:F357)</f>
        <v>0</v>
      </c>
      <c r="G359" s="39">
        <f t="shared" si="68"/>
        <v>0</v>
      </c>
      <c r="H359" s="39">
        <f t="shared" si="68"/>
        <v>0</v>
      </c>
      <c r="I359" s="39">
        <f t="shared" si="68"/>
        <v>33.01</v>
      </c>
      <c r="J359" s="39">
        <f t="shared" si="68"/>
        <v>33.515000000000001</v>
      </c>
      <c r="K359" s="39">
        <f t="shared" si="68"/>
        <v>39.54</v>
      </c>
      <c r="L359" s="39">
        <f t="shared" si="68"/>
        <v>35.524999999999999</v>
      </c>
      <c r="M359" s="39">
        <f t="shared" si="68"/>
        <v>35.76</v>
      </c>
      <c r="N359" s="39">
        <f t="shared" si="68"/>
        <v>0</v>
      </c>
      <c r="O359" s="39">
        <f t="shared" si="68"/>
        <v>0</v>
      </c>
      <c r="P359" s="39">
        <f t="shared" si="68"/>
        <v>79.81</v>
      </c>
      <c r="Q359" s="39">
        <f t="shared" si="68"/>
        <v>39.094999999999999</v>
      </c>
      <c r="R359" s="39">
        <f t="shared" si="68"/>
        <v>84.25</v>
      </c>
      <c r="S359" s="39">
        <f t="shared" si="68"/>
        <v>73.37</v>
      </c>
      <c r="T359" s="39">
        <f t="shared" si="68"/>
        <v>37.744999999999997</v>
      </c>
      <c r="U359" s="39">
        <f t="shared" si="68"/>
        <v>75.16</v>
      </c>
      <c r="V359" s="39">
        <f t="shared" si="68"/>
        <v>77.73</v>
      </c>
      <c r="W359" s="39">
        <f t="shared" si="68"/>
        <v>0</v>
      </c>
      <c r="X359" s="39">
        <f t="shared" si="68"/>
        <v>107.325</v>
      </c>
      <c r="Y359" s="39">
        <f t="shared" si="68"/>
        <v>78.47</v>
      </c>
      <c r="Z359" s="39">
        <f t="shared" si="68"/>
        <v>11.255000000000001</v>
      </c>
      <c r="AA359" s="39">
        <f t="shared" si="68"/>
        <v>70.715000000000003</v>
      </c>
      <c r="AB359" s="39">
        <f t="shared" si="68"/>
        <v>34.524999999999999</v>
      </c>
      <c r="AC359" s="39">
        <f t="shared" si="68"/>
        <v>79.650000000000006</v>
      </c>
      <c r="AD359" s="39">
        <v>0</v>
      </c>
      <c r="AE359" s="39">
        <f>SUM(AE347:AE357)</f>
        <v>27.504999999999999</v>
      </c>
      <c r="AF359" s="39">
        <f>SUM(AF347:AF357)</f>
        <v>0</v>
      </c>
      <c r="AG359" s="39">
        <f>SUM(AG347:AG357)</f>
        <v>0</v>
      </c>
      <c r="AH359" s="32">
        <f>SUM(AH347:AH357)</f>
        <v>1130.8300000000002</v>
      </c>
    </row>
    <row r="360" spans="1:36" ht="15">
      <c r="A360" s="45"/>
      <c r="B360" s="45"/>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row>
    <row r="361" spans="1:36" ht="15">
      <c r="A361" s="3818" t="s">
        <v>59</v>
      </c>
      <c r="B361" s="3819"/>
      <c r="C361" s="3819"/>
      <c r="D361" s="3819"/>
      <c r="E361" s="3819"/>
      <c r="F361" s="3819"/>
      <c r="G361" s="3819"/>
      <c r="H361" s="3819"/>
      <c r="I361" s="3819"/>
      <c r="J361" s="3819"/>
      <c r="K361" s="3819"/>
      <c r="L361" s="3819"/>
      <c r="M361" s="3819"/>
      <c r="N361" s="3819"/>
      <c r="O361" s="3819"/>
      <c r="P361" s="3819"/>
      <c r="Q361" s="3819"/>
      <c r="R361" s="3820"/>
      <c r="S361" s="11"/>
      <c r="T361" s="11"/>
      <c r="U361" s="11"/>
      <c r="V361" s="11"/>
      <c r="W361" s="11"/>
      <c r="X361" s="11"/>
      <c r="Y361" s="11"/>
      <c r="Z361" s="11"/>
      <c r="AA361" s="11"/>
      <c r="AB361" s="11"/>
      <c r="AC361" s="11"/>
      <c r="AD361" s="11"/>
      <c r="AE361" s="11"/>
      <c r="AF361" s="11"/>
      <c r="AG361" s="11"/>
      <c r="AH361" s="11"/>
    </row>
    <row r="362" spans="1:36" ht="20.399999999999999">
      <c r="A362" s="3853" t="s">
        <v>777</v>
      </c>
      <c r="B362" s="3854"/>
      <c r="C362" s="3854"/>
      <c r="D362" s="3854"/>
      <c r="E362" s="3854"/>
      <c r="F362" s="3854"/>
      <c r="G362" s="3854"/>
      <c r="H362" s="3855"/>
      <c r="I362" s="11"/>
      <c r="J362" s="11"/>
      <c r="K362" s="11"/>
      <c r="L362" s="11"/>
      <c r="M362" s="2071"/>
      <c r="N362" s="11"/>
      <c r="O362" s="11"/>
      <c r="P362" s="11"/>
      <c r="Q362" s="11"/>
      <c r="R362" s="11"/>
      <c r="S362" s="11"/>
      <c r="T362" s="11"/>
      <c r="U362" s="11"/>
      <c r="V362" s="11"/>
      <c r="W362" s="11"/>
      <c r="X362" s="11"/>
      <c r="Y362" s="11"/>
      <c r="Z362" s="11"/>
      <c r="AA362" s="11"/>
      <c r="AB362" s="11"/>
      <c r="AC362" s="11"/>
      <c r="AD362" s="11"/>
      <c r="AE362" s="11"/>
      <c r="AF362" s="11"/>
      <c r="AG362" s="11"/>
      <c r="AH362" s="11"/>
    </row>
    <row r="363" spans="1:36" ht="15">
      <c r="A363" s="5" t="s">
        <v>89</v>
      </c>
      <c r="B363" s="56" t="s">
        <v>71</v>
      </c>
      <c r="C363" s="1039">
        <v>1</v>
      </c>
      <c r="D363" s="21">
        <v>2</v>
      </c>
      <c r="E363" s="21">
        <v>3</v>
      </c>
      <c r="F363" s="21">
        <v>4</v>
      </c>
      <c r="G363" s="21">
        <v>5</v>
      </c>
      <c r="H363" s="21">
        <v>6</v>
      </c>
      <c r="I363" s="21">
        <v>7</v>
      </c>
      <c r="J363" s="21">
        <v>8</v>
      </c>
      <c r="K363" s="21">
        <v>9</v>
      </c>
      <c r="L363" s="21">
        <v>10</v>
      </c>
      <c r="M363" s="21">
        <v>11</v>
      </c>
      <c r="N363" s="21">
        <v>12</v>
      </c>
      <c r="O363" s="21">
        <v>13</v>
      </c>
      <c r="P363" s="21">
        <v>14</v>
      </c>
      <c r="Q363" s="21">
        <v>15</v>
      </c>
      <c r="R363" s="21">
        <v>16</v>
      </c>
      <c r="S363" s="21">
        <v>17</v>
      </c>
      <c r="T363" s="21">
        <v>18</v>
      </c>
      <c r="U363" s="21">
        <v>19</v>
      </c>
      <c r="V363" s="21">
        <v>20</v>
      </c>
      <c r="W363" s="21">
        <v>21</v>
      </c>
      <c r="X363" s="21">
        <v>22</v>
      </c>
      <c r="Y363" s="21">
        <v>23</v>
      </c>
      <c r="Z363" s="21">
        <v>24</v>
      </c>
      <c r="AA363" s="21">
        <v>25</v>
      </c>
      <c r="AB363" s="21">
        <v>26</v>
      </c>
      <c r="AC363" s="21">
        <v>27</v>
      </c>
      <c r="AD363" s="21">
        <v>28</v>
      </c>
      <c r="AE363" s="21">
        <v>29</v>
      </c>
      <c r="AF363" s="21">
        <v>30</v>
      </c>
      <c r="AG363" s="21">
        <v>31</v>
      </c>
      <c r="AH363" s="25" t="s">
        <v>72</v>
      </c>
      <c r="AI363" s="2266" t="s">
        <v>1345</v>
      </c>
      <c r="AJ363" s="66">
        <f>(B376/COUNTIF($C$364:$AG$375,"&gt;0"))</f>
        <v>9.6233095238095228</v>
      </c>
    </row>
    <row r="364" spans="1:36" ht="15">
      <c r="A364" s="1039" t="s">
        <v>73</v>
      </c>
      <c r="B364" s="97">
        <f t="shared" ref="B364:B375" si="69">+AH364</f>
        <v>1.256</v>
      </c>
      <c r="C364" s="1091"/>
      <c r="D364" s="1091"/>
      <c r="E364" s="1091"/>
      <c r="F364" s="1091"/>
      <c r="G364" s="1091"/>
      <c r="H364" s="1091"/>
      <c r="I364" s="1091"/>
      <c r="J364" s="1091"/>
      <c r="K364" s="1091"/>
      <c r="L364" s="1091"/>
      <c r="M364" s="1091"/>
      <c r="N364" s="1091"/>
      <c r="O364" s="1091"/>
      <c r="P364" s="1091"/>
      <c r="Q364" s="1091"/>
      <c r="R364" s="1091"/>
      <c r="S364" s="1091"/>
      <c r="T364" s="1091"/>
      <c r="U364" s="1091"/>
      <c r="V364" s="1091"/>
      <c r="W364" s="1091"/>
      <c r="X364" s="1091"/>
      <c r="Y364" s="1091"/>
      <c r="Z364" s="1091"/>
      <c r="AA364" s="1091"/>
      <c r="AB364" s="1091"/>
      <c r="AC364" s="1091"/>
      <c r="AD364" s="1091">
        <v>1.1990000000000001</v>
      </c>
      <c r="AE364" s="1091"/>
      <c r="AF364" s="1091">
        <v>5.7000000000000002E-2</v>
      </c>
      <c r="AG364" s="1091"/>
      <c r="AH364" s="39">
        <f t="shared" ref="AH364:AH375" si="70">SUM(C364:AG364)</f>
        <v>1.256</v>
      </c>
      <c r="AJ364" s="66">
        <f>+'Resumen RAE S.Común'!G258</f>
        <v>67.013000000000005</v>
      </c>
    </row>
    <row r="365" spans="1:36" ht="15">
      <c r="A365" s="1039" t="s">
        <v>74</v>
      </c>
      <c r="B365" s="97">
        <f t="shared" si="69"/>
        <v>17.164000000000001</v>
      </c>
      <c r="C365" s="1091"/>
      <c r="D365" s="1091"/>
      <c r="E365" s="1091"/>
      <c r="F365" s="1091"/>
      <c r="G365" s="1091"/>
      <c r="H365" s="1091"/>
      <c r="I365" s="1091"/>
      <c r="J365" s="1091"/>
      <c r="K365" s="1091"/>
      <c r="L365" s="1091"/>
      <c r="M365" s="1091">
        <v>0.53300000000000003</v>
      </c>
      <c r="N365" s="1091"/>
      <c r="O365" s="1091"/>
      <c r="P365" s="1091"/>
      <c r="Q365" s="1091"/>
      <c r="R365" s="1091"/>
      <c r="S365" s="1091"/>
      <c r="T365" s="1091"/>
      <c r="U365" s="1091"/>
      <c r="V365" s="1091"/>
      <c r="W365" s="1091"/>
      <c r="X365" s="1091"/>
      <c r="Y365" s="1091"/>
      <c r="Z365" s="1091"/>
      <c r="AA365" s="1091"/>
      <c r="AB365" s="1091">
        <v>13.964</v>
      </c>
      <c r="AC365" s="1091"/>
      <c r="AD365" s="1091">
        <v>2.6669999999999998</v>
      </c>
      <c r="AE365" s="1091"/>
      <c r="AF365" s="1091"/>
      <c r="AG365" s="1091"/>
      <c r="AH365" s="39">
        <f t="shared" si="70"/>
        <v>17.164000000000001</v>
      </c>
      <c r="AJ365" s="1093">
        <f>+AJ364/AJ363</f>
        <v>6.9636126567684133</v>
      </c>
    </row>
    <row r="366" spans="1:36" ht="15">
      <c r="A366" s="1039" t="s">
        <v>75</v>
      </c>
      <c r="B366" s="97">
        <f t="shared" si="69"/>
        <v>29.275000000000002</v>
      </c>
      <c r="C366" s="1689">
        <v>3.2429999999999999</v>
      </c>
      <c r="D366" s="1689"/>
      <c r="E366" s="1689"/>
      <c r="F366" s="1689"/>
      <c r="G366" s="1689">
        <v>1.883</v>
      </c>
      <c r="H366" s="1091">
        <v>21.62</v>
      </c>
      <c r="I366" s="1091"/>
      <c r="J366" s="1091"/>
      <c r="K366" s="1091"/>
      <c r="L366" s="1091"/>
      <c r="M366" s="1091">
        <v>2.5289999999999999</v>
      </c>
      <c r="N366" s="1091"/>
      <c r="O366" s="1091"/>
      <c r="P366" s="1091"/>
      <c r="Q366" s="1084"/>
      <c r="R366" s="1084"/>
      <c r="S366" s="1084"/>
      <c r="T366" s="1084"/>
      <c r="U366" s="1084"/>
      <c r="V366" s="1084"/>
      <c r="W366" s="1084"/>
      <c r="X366" s="1084"/>
      <c r="Y366" s="1084"/>
      <c r="Z366" s="1084"/>
      <c r="AA366" s="1084"/>
      <c r="AB366" s="1084"/>
      <c r="AC366" s="1084"/>
      <c r="AD366" s="1084"/>
      <c r="AE366" s="1084"/>
      <c r="AF366" s="1084"/>
      <c r="AG366" s="1084"/>
      <c r="AH366" s="39">
        <f t="shared" si="70"/>
        <v>29.275000000000002</v>
      </c>
    </row>
    <row r="367" spans="1:36" ht="15">
      <c r="A367" s="1039" t="s">
        <v>76</v>
      </c>
      <c r="B367" s="97">
        <f t="shared" si="69"/>
        <v>0</v>
      </c>
      <c r="C367" s="1084"/>
      <c r="D367" s="1084"/>
      <c r="E367" s="1084"/>
      <c r="F367" s="1084"/>
      <c r="G367" s="1084"/>
      <c r="H367" s="1084"/>
      <c r="I367" s="1084"/>
      <c r="J367" s="1084"/>
      <c r="K367" s="1084"/>
      <c r="L367" s="1084"/>
      <c r="M367" s="1084"/>
      <c r="N367" s="1084"/>
      <c r="O367" s="1084"/>
      <c r="P367" s="1084"/>
      <c r="Q367" s="1084"/>
      <c r="R367" s="1084"/>
      <c r="S367" s="1084"/>
      <c r="T367" s="1084"/>
      <c r="U367" s="1084"/>
      <c r="V367" s="1084"/>
      <c r="W367" s="1084"/>
      <c r="X367" s="1084"/>
      <c r="Y367" s="1084"/>
      <c r="Z367" s="1084"/>
      <c r="AA367" s="1084"/>
      <c r="AB367" s="1084"/>
      <c r="AC367" s="1084"/>
      <c r="AD367" s="1084"/>
      <c r="AE367" s="1084"/>
      <c r="AF367" s="1084" t="s">
        <v>110</v>
      </c>
      <c r="AG367" s="1084" t="s">
        <v>110</v>
      </c>
      <c r="AH367" s="39">
        <f t="shared" si="70"/>
        <v>0</v>
      </c>
    </row>
    <row r="368" spans="1:36" ht="15">
      <c r="A368" s="1039" t="s">
        <v>77</v>
      </c>
      <c r="B368" s="97">
        <f>+AH368</f>
        <v>167.96600000000001</v>
      </c>
      <c r="C368" s="1084" t="s">
        <v>110</v>
      </c>
      <c r="D368" s="1084" t="s">
        <v>110</v>
      </c>
      <c r="E368" s="1084" t="s">
        <v>110</v>
      </c>
      <c r="F368" s="1084" t="s">
        <v>110</v>
      </c>
      <c r="G368" s="1084" t="s">
        <v>110</v>
      </c>
      <c r="H368" s="1084" t="s">
        <v>110</v>
      </c>
      <c r="I368" s="1084" t="s">
        <v>110</v>
      </c>
      <c r="J368" s="1084" t="s">
        <v>110</v>
      </c>
      <c r="K368" s="1084" t="s">
        <v>110</v>
      </c>
      <c r="L368" s="1084" t="s">
        <v>110</v>
      </c>
      <c r="M368" s="1084" t="s">
        <v>110</v>
      </c>
      <c r="N368" s="1084" t="s">
        <v>110</v>
      </c>
      <c r="O368" s="1084" t="s">
        <v>110</v>
      </c>
      <c r="P368" s="1084" t="s">
        <v>110</v>
      </c>
      <c r="Q368" s="1084" t="s">
        <v>110</v>
      </c>
      <c r="R368" s="1091"/>
      <c r="S368" s="1091"/>
      <c r="T368" s="1091">
        <v>6.8979999999999997</v>
      </c>
      <c r="U368" s="1091"/>
      <c r="V368" s="1091">
        <v>3.7570000000000001</v>
      </c>
      <c r="W368" s="1091">
        <v>3.3149999999999999</v>
      </c>
      <c r="X368" s="1091">
        <v>80.90100000000001</v>
      </c>
      <c r="Y368" s="1091">
        <v>39.644999999999996</v>
      </c>
      <c r="Z368" s="1091">
        <v>4.2889999999999997</v>
      </c>
      <c r="AA368" s="1091"/>
      <c r="AB368" s="1091"/>
      <c r="AC368" s="1091"/>
      <c r="AD368" s="1091">
        <v>29.161000000000001</v>
      </c>
      <c r="AE368" s="1091"/>
      <c r="AF368" s="1091"/>
      <c r="AG368" s="1091"/>
      <c r="AH368" s="39">
        <f>SUM(C368:AG368)</f>
        <v>167.96600000000001</v>
      </c>
    </row>
    <row r="369" spans="1:36" ht="15">
      <c r="A369" s="1039" t="s">
        <v>78</v>
      </c>
      <c r="B369" s="97">
        <f t="shared" si="69"/>
        <v>19.788000000000004</v>
      </c>
      <c r="C369" s="35"/>
      <c r="D369" s="15"/>
      <c r="E369" s="15"/>
      <c r="F369" s="15"/>
      <c r="G369" s="15">
        <v>1.7</v>
      </c>
      <c r="H369" s="15"/>
      <c r="I369" s="15"/>
      <c r="J369" s="15"/>
      <c r="K369" s="15"/>
      <c r="L369" s="15">
        <v>4.25</v>
      </c>
      <c r="M369" s="15"/>
      <c r="N369" s="15"/>
      <c r="O369" s="15"/>
      <c r="P369" s="15"/>
      <c r="Q369" s="15"/>
      <c r="R369" s="15">
        <v>7.8879999999999999</v>
      </c>
      <c r="S369" s="15">
        <v>2.9750000000000001</v>
      </c>
      <c r="T369" s="15"/>
      <c r="U369" s="15">
        <v>2.9750000000000001</v>
      </c>
      <c r="V369" s="15"/>
      <c r="W369" s="15"/>
      <c r="X369" s="15"/>
      <c r="Y369" s="15"/>
      <c r="Z369" s="15"/>
      <c r="AA369" s="15"/>
      <c r="AB369" s="15"/>
      <c r="AC369" s="15"/>
      <c r="AD369" s="15"/>
      <c r="AE369" s="15"/>
      <c r="AF369" s="15"/>
      <c r="AG369" s="15"/>
      <c r="AH369" s="39">
        <f t="shared" si="70"/>
        <v>19.788000000000004</v>
      </c>
    </row>
    <row r="370" spans="1:36" ht="15">
      <c r="A370" s="1522" t="s">
        <v>79</v>
      </c>
      <c r="B370" s="19">
        <f t="shared" si="69"/>
        <v>37.500999999999998</v>
      </c>
      <c r="C370" s="35"/>
      <c r="D370" s="39">
        <v>5.1680000000000001</v>
      </c>
      <c r="E370" s="39"/>
      <c r="F370" s="39"/>
      <c r="G370" s="15"/>
      <c r="H370" s="15">
        <v>2.5499999999999998</v>
      </c>
      <c r="I370" s="15"/>
      <c r="J370" s="43">
        <v>2.16</v>
      </c>
      <c r="K370" s="43">
        <v>5.9180000000000001</v>
      </c>
      <c r="L370" s="39"/>
      <c r="M370" s="39"/>
      <c r="N370" s="39"/>
      <c r="O370" s="39"/>
      <c r="P370" s="39"/>
      <c r="Q370" s="39"/>
      <c r="R370" s="39">
        <v>4.67</v>
      </c>
      <c r="S370" s="39">
        <v>2.72</v>
      </c>
      <c r="T370" s="39">
        <v>1.343</v>
      </c>
      <c r="U370" s="39">
        <v>4.0369999999999999</v>
      </c>
      <c r="V370" s="39"/>
      <c r="W370" s="897">
        <v>2.448</v>
      </c>
      <c r="X370" s="897">
        <v>3.23</v>
      </c>
      <c r="Y370" s="897">
        <v>3.2569999999999997</v>
      </c>
      <c r="Z370" s="897"/>
      <c r="AA370" s="897"/>
      <c r="AB370" s="897"/>
      <c r="AC370" s="897"/>
      <c r="AD370" s="897"/>
      <c r="AE370" s="897"/>
      <c r="AF370" s="897"/>
      <c r="AG370" s="897"/>
      <c r="AH370" s="39">
        <f t="shared" si="70"/>
        <v>37.500999999999998</v>
      </c>
    </row>
    <row r="371" spans="1:36" ht="15">
      <c r="A371" s="1522" t="s">
        <v>80</v>
      </c>
      <c r="B371" s="100">
        <f t="shared" si="69"/>
        <v>0</v>
      </c>
      <c r="C371" s="897" t="s">
        <v>110</v>
      </c>
      <c r="D371" s="897" t="s">
        <v>110</v>
      </c>
      <c r="E371" s="897" t="s">
        <v>110</v>
      </c>
      <c r="F371" s="897" t="s">
        <v>110</v>
      </c>
      <c r="G371" s="897" t="s">
        <v>110</v>
      </c>
      <c r="H371" s="897" t="s">
        <v>110</v>
      </c>
      <c r="I371" s="897" t="s">
        <v>110</v>
      </c>
      <c r="J371" s="897" t="s">
        <v>110</v>
      </c>
      <c r="K371" s="897" t="s">
        <v>110</v>
      </c>
      <c r="L371" s="897" t="s">
        <v>110</v>
      </c>
      <c r="M371" s="897" t="s">
        <v>110</v>
      </c>
      <c r="N371" s="897" t="s">
        <v>110</v>
      </c>
      <c r="O371" s="897" t="s">
        <v>110</v>
      </c>
      <c r="P371" s="897" t="s">
        <v>110</v>
      </c>
      <c r="Q371" s="897" t="s">
        <v>110</v>
      </c>
      <c r="R371" s="897" t="s">
        <v>110</v>
      </c>
      <c r="S371" s="897" t="s">
        <v>110</v>
      </c>
      <c r="T371" s="897" t="s">
        <v>110</v>
      </c>
      <c r="U371" s="897" t="s">
        <v>110</v>
      </c>
      <c r="V371" s="897" t="s">
        <v>110</v>
      </c>
      <c r="W371" s="897" t="s">
        <v>110</v>
      </c>
      <c r="X371" s="897" t="s">
        <v>110</v>
      </c>
      <c r="Y371" s="897" t="s">
        <v>110</v>
      </c>
      <c r="Z371" s="897" t="s">
        <v>110</v>
      </c>
      <c r="AA371" s="897" t="s">
        <v>110</v>
      </c>
      <c r="AB371" s="897" t="s">
        <v>110</v>
      </c>
      <c r="AC371" s="897" t="s">
        <v>110</v>
      </c>
      <c r="AD371" s="897" t="s">
        <v>110</v>
      </c>
      <c r="AE371" s="897" t="s">
        <v>110</v>
      </c>
      <c r="AF371" s="897" t="s">
        <v>110</v>
      </c>
      <c r="AG371" s="897" t="s">
        <v>110</v>
      </c>
      <c r="AH371" s="39">
        <f t="shared" si="70"/>
        <v>0</v>
      </c>
    </row>
    <row r="372" spans="1:36" ht="15">
      <c r="A372" s="1522" t="s">
        <v>81</v>
      </c>
      <c r="B372" s="100">
        <f t="shared" si="69"/>
        <v>0</v>
      </c>
      <c r="C372" s="32"/>
      <c r="D372" s="39"/>
      <c r="E372" s="39"/>
      <c r="F372" s="39"/>
      <c r="G372" s="39"/>
      <c r="H372" s="39"/>
      <c r="I372" s="39"/>
      <c r="J372" s="43"/>
      <c r="K372" s="43"/>
      <c r="L372" s="15"/>
      <c r="M372" s="15"/>
      <c r="N372" s="15"/>
      <c r="O372" s="15"/>
      <c r="P372" s="15"/>
      <c r="Q372" s="897" t="s">
        <v>110</v>
      </c>
      <c r="R372" s="897" t="s">
        <v>110</v>
      </c>
      <c r="S372" s="897" t="s">
        <v>110</v>
      </c>
      <c r="T372" s="897" t="s">
        <v>110</v>
      </c>
      <c r="U372" s="897" t="s">
        <v>110</v>
      </c>
      <c r="V372" s="897" t="s">
        <v>110</v>
      </c>
      <c r="W372" s="897" t="s">
        <v>110</v>
      </c>
      <c r="X372" s="897" t="s">
        <v>110</v>
      </c>
      <c r="Y372" s="897" t="s">
        <v>110</v>
      </c>
      <c r="Z372" s="897" t="s">
        <v>110</v>
      </c>
      <c r="AA372" s="897" t="s">
        <v>110</v>
      </c>
      <c r="AB372" s="897" t="s">
        <v>110</v>
      </c>
      <c r="AC372" s="897" t="s">
        <v>110</v>
      </c>
      <c r="AD372" s="897" t="s">
        <v>110</v>
      </c>
      <c r="AE372" s="897" t="s">
        <v>110</v>
      </c>
      <c r="AF372" s="897" t="s">
        <v>110</v>
      </c>
      <c r="AG372" s="897" t="s">
        <v>110</v>
      </c>
      <c r="AH372" s="39">
        <f t="shared" si="70"/>
        <v>0</v>
      </c>
    </row>
    <row r="373" spans="1:36" ht="15">
      <c r="A373" s="1522" t="s">
        <v>82</v>
      </c>
      <c r="B373" s="100">
        <f t="shared" si="69"/>
        <v>3.55</v>
      </c>
      <c r="C373" s="35"/>
      <c r="D373" s="897"/>
      <c r="E373" s="897"/>
      <c r="F373" s="897"/>
      <c r="G373" s="897"/>
      <c r="H373" s="897"/>
      <c r="I373" s="897"/>
      <c r="J373" s="897"/>
      <c r="K373" s="897"/>
      <c r="L373" s="897">
        <v>3.55</v>
      </c>
      <c r="M373" s="897" t="s">
        <v>110</v>
      </c>
      <c r="N373" s="897" t="s">
        <v>110</v>
      </c>
      <c r="O373" s="897" t="s">
        <v>110</v>
      </c>
      <c r="P373" s="897" t="s">
        <v>110</v>
      </c>
      <c r="Q373" s="897" t="s">
        <v>110</v>
      </c>
      <c r="R373" s="897" t="s">
        <v>110</v>
      </c>
      <c r="S373" s="897" t="s">
        <v>110</v>
      </c>
      <c r="T373" s="897" t="s">
        <v>110</v>
      </c>
      <c r="U373" s="897" t="s">
        <v>110</v>
      </c>
      <c r="V373" s="897" t="s">
        <v>110</v>
      </c>
      <c r="W373" s="897" t="s">
        <v>110</v>
      </c>
      <c r="X373" s="897" t="s">
        <v>110</v>
      </c>
      <c r="Y373" s="897" t="s">
        <v>110</v>
      </c>
      <c r="Z373" s="897" t="s">
        <v>110</v>
      </c>
      <c r="AA373" s="897" t="s">
        <v>110</v>
      </c>
      <c r="AB373" s="897" t="s">
        <v>110</v>
      </c>
      <c r="AC373" s="897" t="s">
        <v>110</v>
      </c>
      <c r="AD373" s="897" t="s">
        <v>110</v>
      </c>
      <c r="AE373" s="897" t="s">
        <v>110</v>
      </c>
      <c r="AF373" s="897" t="s">
        <v>110</v>
      </c>
      <c r="AG373" s="897" t="s">
        <v>110</v>
      </c>
      <c r="AH373" s="39">
        <f t="shared" si="70"/>
        <v>3.55</v>
      </c>
    </row>
    <row r="374" spans="1:36" ht="15">
      <c r="A374" s="1522" t="s">
        <v>83</v>
      </c>
      <c r="B374" s="19">
        <f t="shared" si="69"/>
        <v>109.407</v>
      </c>
      <c r="C374" s="65"/>
      <c r="D374" s="65"/>
      <c r="E374" s="65"/>
      <c r="F374" s="65"/>
      <c r="G374" s="65"/>
      <c r="H374" s="65"/>
      <c r="I374" s="65"/>
      <c r="J374" s="65"/>
      <c r="K374" s="65"/>
      <c r="L374" s="65"/>
      <c r="M374" s="65"/>
      <c r="N374" s="65"/>
      <c r="O374" s="65"/>
      <c r="P374" s="65"/>
      <c r="Q374" s="65">
        <v>5.3</v>
      </c>
      <c r="R374" s="15"/>
      <c r="S374" s="15"/>
      <c r="T374" s="15">
        <v>25.556999999999999</v>
      </c>
      <c r="U374" s="15"/>
      <c r="V374" s="15">
        <v>21.634</v>
      </c>
      <c r="W374" s="15">
        <v>27.102</v>
      </c>
      <c r="X374" s="15">
        <v>5.3860000000000001</v>
      </c>
      <c r="Y374" s="11"/>
      <c r="Z374" s="15"/>
      <c r="AA374" s="15">
        <v>0.83199999999999996</v>
      </c>
      <c r="AB374" s="15">
        <v>23.596</v>
      </c>
      <c r="AC374" s="15"/>
      <c r="AD374" s="15"/>
      <c r="AE374" s="39"/>
      <c r="AF374" s="15"/>
      <c r="AG374" s="39"/>
      <c r="AH374" s="39">
        <f t="shared" si="70"/>
        <v>109.407</v>
      </c>
    </row>
    <row r="375" spans="1:36" ht="15">
      <c r="A375" s="1522" t="s">
        <v>84</v>
      </c>
      <c r="B375" s="19">
        <f t="shared" si="69"/>
        <v>18.271999999999998</v>
      </c>
      <c r="C375" s="35"/>
      <c r="D375" s="15"/>
      <c r="E375" s="15"/>
      <c r="F375" s="15"/>
      <c r="G375" s="15"/>
      <c r="H375" s="15"/>
      <c r="I375" s="15"/>
      <c r="J375" s="15"/>
      <c r="K375" s="15"/>
      <c r="L375" s="15"/>
      <c r="M375" s="15"/>
      <c r="N375" s="15"/>
      <c r="O375" s="15"/>
      <c r="P375" s="15"/>
      <c r="Q375" s="15">
        <v>13.458</v>
      </c>
      <c r="R375" s="15">
        <v>4.8140000000000001</v>
      </c>
      <c r="S375" s="15"/>
      <c r="T375" s="15"/>
      <c r="U375" s="15"/>
      <c r="V375" s="15"/>
      <c r="W375" s="15"/>
      <c r="X375" s="15"/>
      <c r="Y375" s="15"/>
      <c r="Z375" s="15"/>
      <c r="AA375" s="15"/>
      <c r="AB375" s="15"/>
      <c r="AC375" s="15"/>
      <c r="AD375" s="15"/>
      <c r="AE375" s="39"/>
      <c r="AF375" s="15"/>
      <c r="AG375" s="39"/>
      <c r="AH375" s="39">
        <f t="shared" si="70"/>
        <v>18.271999999999998</v>
      </c>
    </row>
    <row r="376" spans="1:36" ht="15">
      <c r="A376" s="71" t="s">
        <v>72</v>
      </c>
      <c r="B376" s="73">
        <f>SUM(B364:B375)</f>
        <v>404.17899999999997</v>
      </c>
      <c r="C376" s="32">
        <f>SUM(C364:C374)</f>
        <v>3.2429999999999999</v>
      </c>
      <c r="D376" s="39">
        <f>SUM(D364:D374)</f>
        <v>5.1680000000000001</v>
      </c>
      <c r="E376" s="39">
        <v>0</v>
      </c>
      <c r="F376" s="39">
        <f t="shared" ref="F376:AC376" si="71">SUM(F364:F374)</f>
        <v>0</v>
      </c>
      <c r="G376" s="39">
        <f t="shared" si="71"/>
        <v>3.5830000000000002</v>
      </c>
      <c r="H376" s="39">
        <f t="shared" si="71"/>
        <v>24.17</v>
      </c>
      <c r="I376" s="39">
        <f t="shared" si="71"/>
        <v>0</v>
      </c>
      <c r="J376" s="39">
        <f t="shared" si="71"/>
        <v>2.16</v>
      </c>
      <c r="K376" s="39">
        <f t="shared" si="71"/>
        <v>5.9180000000000001</v>
      </c>
      <c r="L376" s="39">
        <f t="shared" si="71"/>
        <v>7.8</v>
      </c>
      <c r="M376" s="39">
        <f t="shared" si="71"/>
        <v>3.0619999999999998</v>
      </c>
      <c r="N376" s="39">
        <f t="shared" si="71"/>
        <v>0</v>
      </c>
      <c r="O376" s="39">
        <f t="shared" si="71"/>
        <v>0</v>
      </c>
      <c r="P376" s="39">
        <f t="shared" si="71"/>
        <v>0</v>
      </c>
      <c r="Q376" s="39">
        <f t="shared" si="71"/>
        <v>5.3</v>
      </c>
      <c r="R376" s="39">
        <f t="shared" si="71"/>
        <v>12.558</v>
      </c>
      <c r="S376" s="39">
        <f t="shared" si="71"/>
        <v>5.6950000000000003</v>
      </c>
      <c r="T376" s="39">
        <f t="shared" si="71"/>
        <v>33.798000000000002</v>
      </c>
      <c r="U376" s="39">
        <f t="shared" si="71"/>
        <v>7.0120000000000005</v>
      </c>
      <c r="V376" s="39">
        <f t="shared" si="71"/>
        <v>25.391000000000002</v>
      </c>
      <c r="W376" s="39">
        <f t="shared" si="71"/>
        <v>32.865000000000002</v>
      </c>
      <c r="X376" s="39">
        <f t="shared" si="71"/>
        <v>89.51700000000001</v>
      </c>
      <c r="Y376" s="39">
        <f t="shared" si="71"/>
        <v>42.901999999999994</v>
      </c>
      <c r="Z376" s="39">
        <f t="shared" si="71"/>
        <v>4.2889999999999997</v>
      </c>
      <c r="AA376" s="39">
        <f t="shared" si="71"/>
        <v>0.83199999999999996</v>
      </c>
      <c r="AB376" s="39">
        <f t="shared" si="71"/>
        <v>37.56</v>
      </c>
      <c r="AC376" s="39">
        <f t="shared" si="71"/>
        <v>0</v>
      </c>
      <c r="AD376" s="39">
        <v>0</v>
      </c>
      <c r="AE376" s="39">
        <f>SUM(AE364:AE374)</f>
        <v>0</v>
      </c>
      <c r="AF376" s="39">
        <f>SUM(AF364:AF374)</f>
        <v>5.7000000000000002E-2</v>
      </c>
      <c r="AG376" s="39">
        <f>SUM(AG364:AG374)</f>
        <v>0</v>
      </c>
      <c r="AH376" s="32">
        <f>SUM(AH364:AH374)</f>
        <v>385.90699999999998</v>
      </c>
    </row>
    <row r="377" spans="1:36" ht="16.5" customHeight="1">
      <c r="A377" s="36"/>
      <c r="B377" s="58"/>
      <c r="C377" s="36"/>
      <c r="D377" s="36"/>
      <c r="E377" s="36"/>
      <c r="F377" s="36"/>
      <c r="G377" s="36"/>
      <c r="H377" s="36"/>
      <c r="I377" s="36"/>
      <c r="J377" s="36"/>
      <c r="K377" s="36"/>
      <c r="L377" s="36"/>
      <c r="M377" s="36"/>
      <c r="N377" s="36"/>
      <c r="O377" s="36"/>
      <c r="P377" s="36"/>
      <c r="Q377" s="36"/>
      <c r="R377" s="36"/>
      <c r="S377" s="11"/>
      <c r="T377" s="11"/>
      <c r="U377" s="11"/>
      <c r="V377" s="11"/>
      <c r="W377" s="11"/>
      <c r="X377" s="11"/>
      <c r="Y377" s="11"/>
      <c r="Z377" s="11"/>
      <c r="AA377" s="11"/>
      <c r="AB377" s="11"/>
      <c r="AC377" s="11"/>
      <c r="AD377" s="11"/>
      <c r="AE377" s="11"/>
      <c r="AF377" s="11"/>
      <c r="AG377" s="11"/>
      <c r="AH377" s="11"/>
    </row>
    <row r="378" spans="1:36" ht="20.399999999999999">
      <c r="A378" s="3853" t="s">
        <v>60</v>
      </c>
      <c r="B378" s="3854"/>
      <c r="C378" s="3854"/>
      <c r="D378" s="3854"/>
      <c r="E378" s="3854"/>
      <c r="F378" s="3854"/>
      <c r="G378" s="3854"/>
      <c r="H378" s="3855"/>
      <c r="I378" s="11"/>
      <c r="J378" s="11"/>
      <c r="K378" s="11"/>
      <c r="L378" s="11"/>
      <c r="M378" s="2071"/>
      <c r="N378" s="11"/>
      <c r="O378" s="11"/>
      <c r="P378" s="11"/>
      <c r="Q378" s="11"/>
      <c r="R378" s="11"/>
      <c r="S378" s="11"/>
      <c r="T378" s="11"/>
      <c r="U378" s="11"/>
      <c r="V378" s="11"/>
      <c r="W378" s="11"/>
      <c r="X378" s="11"/>
      <c r="Y378" s="11"/>
      <c r="Z378" s="11"/>
      <c r="AA378" s="11"/>
      <c r="AB378" s="11"/>
      <c r="AC378" s="11"/>
      <c r="AD378" s="11"/>
      <c r="AE378" s="11"/>
      <c r="AF378" s="11"/>
      <c r="AG378" s="11"/>
      <c r="AH378" s="11"/>
    </row>
    <row r="379" spans="1:36" ht="15">
      <c r="A379" s="5" t="s">
        <v>89</v>
      </c>
      <c r="B379" s="56" t="s">
        <v>71</v>
      </c>
      <c r="C379" s="1039">
        <v>1</v>
      </c>
      <c r="D379" s="21">
        <v>2</v>
      </c>
      <c r="E379" s="21">
        <v>3</v>
      </c>
      <c r="F379" s="21">
        <v>4</v>
      </c>
      <c r="G379" s="21">
        <v>5</v>
      </c>
      <c r="H379" s="21">
        <v>6</v>
      </c>
      <c r="I379" s="21">
        <v>7</v>
      </c>
      <c r="J379" s="21">
        <v>8</v>
      </c>
      <c r="K379" s="21">
        <v>9</v>
      </c>
      <c r="L379" s="21">
        <v>10</v>
      </c>
      <c r="M379" s="21">
        <v>11</v>
      </c>
      <c r="N379" s="21">
        <v>12</v>
      </c>
      <c r="O379" s="21">
        <v>13</v>
      </c>
      <c r="P379" s="21">
        <v>14</v>
      </c>
      <c r="Q379" s="21">
        <v>15</v>
      </c>
      <c r="R379" s="21">
        <v>16</v>
      </c>
      <c r="S379" s="21">
        <v>17</v>
      </c>
      <c r="T379" s="21">
        <v>18</v>
      </c>
      <c r="U379" s="21">
        <v>19</v>
      </c>
      <c r="V379" s="21">
        <v>20</v>
      </c>
      <c r="W379" s="21">
        <v>21</v>
      </c>
      <c r="X379" s="21">
        <v>22</v>
      </c>
      <c r="Y379" s="21">
        <v>23</v>
      </c>
      <c r="Z379" s="21">
        <v>24</v>
      </c>
      <c r="AA379" s="21">
        <v>25</v>
      </c>
      <c r="AB379" s="21">
        <v>26</v>
      </c>
      <c r="AC379" s="21">
        <v>27</v>
      </c>
      <c r="AD379" s="21">
        <v>28</v>
      </c>
      <c r="AE379" s="21">
        <v>29</v>
      </c>
      <c r="AF379" s="21">
        <v>30</v>
      </c>
      <c r="AG379" s="21">
        <v>31</v>
      </c>
      <c r="AH379" s="25" t="s">
        <v>72</v>
      </c>
      <c r="AI379" s="2266" t="s">
        <v>1345</v>
      </c>
      <c r="AJ379" s="66">
        <f>(B392/COUNTIF($C$380:$AG$391,"&gt;0"))</f>
        <v>10.138</v>
      </c>
    </row>
    <row r="380" spans="1:36" ht="15">
      <c r="A380" s="1039" t="s">
        <v>73</v>
      </c>
      <c r="B380" s="97">
        <f t="shared" ref="B380:B391" si="72">+AH380</f>
        <v>0</v>
      </c>
      <c r="C380" s="1091"/>
      <c r="D380" s="1091"/>
      <c r="E380" s="1091"/>
      <c r="F380" s="1091"/>
      <c r="G380" s="1091"/>
      <c r="H380" s="1091"/>
      <c r="I380" s="1091"/>
      <c r="J380" s="1091"/>
      <c r="K380" s="1091"/>
      <c r="L380" s="1091"/>
      <c r="M380" s="1091"/>
      <c r="N380" s="1091"/>
      <c r="O380" s="1091"/>
      <c r="P380" s="1091"/>
      <c r="Q380" s="1091"/>
      <c r="R380" s="1091"/>
      <c r="S380" s="1091"/>
      <c r="T380" s="1091"/>
      <c r="U380" s="1091"/>
      <c r="V380" s="1091"/>
      <c r="W380" s="1091"/>
      <c r="X380" s="1091"/>
      <c r="Y380" s="1091"/>
      <c r="Z380" s="1091"/>
      <c r="AA380" s="1091"/>
      <c r="AB380" s="1091"/>
      <c r="AC380" s="1091"/>
      <c r="AD380" s="1091"/>
      <c r="AE380" s="1091"/>
      <c r="AF380" s="1091"/>
      <c r="AG380" s="1091"/>
      <c r="AH380" s="39">
        <f t="shared" ref="AH380:AH391" si="73">SUM(C380:AG380)</f>
        <v>0</v>
      </c>
      <c r="AJ380" s="66">
        <f>+'Resumen RAE S.Común'!G259</f>
        <v>25.571999999999999</v>
      </c>
    </row>
    <row r="381" spans="1:36" ht="15">
      <c r="A381" s="1039" t="s">
        <v>74</v>
      </c>
      <c r="B381" s="97">
        <f t="shared" si="72"/>
        <v>0</v>
      </c>
      <c r="C381" s="1091"/>
      <c r="D381" s="1091"/>
      <c r="E381" s="1091"/>
      <c r="F381" s="1091"/>
      <c r="G381" s="1091"/>
      <c r="H381" s="1091"/>
      <c r="I381" s="1091"/>
      <c r="J381" s="1091"/>
      <c r="K381" s="1091"/>
      <c r="L381" s="1091"/>
      <c r="M381" s="1091"/>
      <c r="N381" s="1091"/>
      <c r="O381" s="1091"/>
      <c r="P381" s="1091"/>
      <c r="Q381" s="1091"/>
      <c r="R381" s="1091"/>
      <c r="S381" s="1091"/>
      <c r="T381" s="1091"/>
      <c r="U381" s="1091"/>
      <c r="V381" s="1091"/>
      <c r="W381" s="1091"/>
      <c r="X381" s="1091"/>
      <c r="Y381" s="1091"/>
      <c r="Z381" s="1091"/>
      <c r="AA381" s="1091"/>
      <c r="AB381" s="1091"/>
      <c r="AC381" s="1091"/>
      <c r="AD381" s="1091"/>
      <c r="AE381" s="1091"/>
      <c r="AF381" s="1091"/>
      <c r="AG381" s="1091"/>
      <c r="AH381" s="39">
        <f t="shared" si="73"/>
        <v>0</v>
      </c>
      <c r="AJ381" s="1093">
        <f>+AJ380/AJ379</f>
        <v>2.522391004142829</v>
      </c>
    </row>
    <row r="382" spans="1:36" ht="15">
      <c r="A382" s="1039" t="s">
        <v>75</v>
      </c>
      <c r="B382" s="97">
        <f t="shared" si="72"/>
        <v>0</v>
      </c>
      <c r="C382" s="1689"/>
      <c r="D382" s="1689"/>
      <c r="E382" s="1689"/>
      <c r="F382" s="1689"/>
      <c r="G382" s="1689"/>
      <c r="H382" s="1091"/>
      <c r="I382" s="1091"/>
      <c r="J382" s="1091"/>
      <c r="K382" s="1091"/>
      <c r="L382" s="1091"/>
      <c r="M382" s="1091"/>
      <c r="N382" s="1091"/>
      <c r="O382" s="1091"/>
      <c r="P382" s="1091"/>
      <c r="Q382" s="1084"/>
      <c r="R382" s="1084"/>
      <c r="S382" s="1084"/>
      <c r="T382" s="1084"/>
      <c r="U382" s="1084"/>
      <c r="V382" s="1084"/>
      <c r="W382" s="1084"/>
      <c r="X382" s="1084"/>
      <c r="Y382" s="1084"/>
      <c r="Z382" s="1084"/>
      <c r="AA382" s="1084"/>
      <c r="AB382" s="1084"/>
      <c r="AC382" s="1084"/>
      <c r="AD382" s="1084"/>
      <c r="AE382" s="1084"/>
      <c r="AF382" s="1084"/>
      <c r="AG382" s="1084"/>
      <c r="AH382" s="39">
        <f t="shared" si="73"/>
        <v>0</v>
      </c>
    </row>
    <row r="383" spans="1:36" ht="15">
      <c r="A383" s="1039" t="s">
        <v>76</v>
      </c>
      <c r="B383" s="97">
        <f t="shared" si="72"/>
        <v>0</v>
      </c>
      <c r="C383" s="1084"/>
      <c r="D383" s="1084"/>
      <c r="E383" s="1084"/>
      <c r="F383" s="1084"/>
      <c r="G383" s="1084"/>
      <c r="H383" s="1084"/>
      <c r="I383" s="1084"/>
      <c r="J383" s="1084"/>
      <c r="K383" s="1084"/>
      <c r="L383" s="1084"/>
      <c r="M383" s="1084"/>
      <c r="N383" s="1084"/>
      <c r="O383" s="1084"/>
      <c r="P383" s="1084"/>
      <c r="Q383" s="1084"/>
      <c r="R383" s="1084"/>
      <c r="S383" s="1084"/>
      <c r="T383" s="1084"/>
      <c r="U383" s="1084"/>
      <c r="V383" s="1084"/>
      <c r="W383" s="1084"/>
      <c r="X383" s="1084"/>
      <c r="Y383" s="1084"/>
      <c r="Z383" s="1084"/>
      <c r="AA383" s="1084"/>
      <c r="AB383" s="1084"/>
      <c r="AC383" s="1084"/>
      <c r="AD383" s="1084"/>
      <c r="AE383" s="1084"/>
      <c r="AF383" s="1084" t="s">
        <v>110</v>
      </c>
      <c r="AG383" s="1084" t="s">
        <v>110</v>
      </c>
      <c r="AH383" s="39">
        <f t="shared" si="73"/>
        <v>0</v>
      </c>
    </row>
    <row r="384" spans="1:36" ht="15">
      <c r="A384" s="1039" t="s">
        <v>77</v>
      </c>
      <c r="B384" s="97">
        <f t="shared" si="72"/>
        <v>19.03</v>
      </c>
      <c r="C384" s="1084" t="s">
        <v>110</v>
      </c>
      <c r="D384" s="1084" t="s">
        <v>110</v>
      </c>
      <c r="E384" s="1084" t="s">
        <v>110</v>
      </c>
      <c r="F384" s="1084" t="s">
        <v>110</v>
      </c>
      <c r="G384" s="1084" t="s">
        <v>110</v>
      </c>
      <c r="H384" s="1084" t="s">
        <v>110</v>
      </c>
      <c r="I384" s="1084" t="s">
        <v>110</v>
      </c>
      <c r="J384" s="1084" t="s">
        <v>110</v>
      </c>
      <c r="K384" s="1084" t="s">
        <v>110</v>
      </c>
      <c r="L384" s="1084" t="s">
        <v>110</v>
      </c>
      <c r="M384" s="1084" t="s">
        <v>110</v>
      </c>
      <c r="N384" s="1084" t="s">
        <v>110</v>
      </c>
      <c r="O384" s="1084" t="s">
        <v>110</v>
      </c>
      <c r="P384" s="1084" t="s">
        <v>110</v>
      </c>
      <c r="Q384" s="1084" t="s">
        <v>110</v>
      </c>
      <c r="R384" s="1091"/>
      <c r="S384" s="1091"/>
      <c r="T384" s="1091"/>
      <c r="U384" s="1091"/>
      <c r="V384" s="1091"/>
      <c r="W384" s="1091"/>
      <c r="X384" s="1091"/>
      <c r="Y384" s="1091"/>
      <c r="Z384" s="1091"/>
      <c r="AA384" s="1091"/>
      <c r="AB384" s="1091"/>
      <c r="AC384" s="1091"/>
      <c r="AD384" s="1091">
        <v>19.03</v>
      </c>
      <c r="AE384" s="1091"/>
      <c r="AF384" s="1091"/>
      <c r="AG384" s="1091"/>
      <c r="AH384" s="39">
        <f t="shared" si="73"/>
        <v>19.03</v>
      </c>
    </row>
    <row r="385" spans="1:36" ht="15">
      <c r="A385" s="1039" t="s">
        <v>78</v>
      </c>
      <c r="B385" s="97">
        <f t="shared" si="72"/>
        <v>11.384</v>
      </c>
      <c r="C385" s="35"/>
      <c r="D385" s="15"/>
      <c r="E385" s="15">
        <v>8.8559999999999999</v>
      </c>
      <c r="F385" s="15"/>
      <c r="G385" s="15"/>
      <c r="H385" s="15"/>
      <c r="I385" s="15"/>
      <c r="J385" s="15"/>
      <c r="K385" s="15"/>
      <c r="L385" s="15"/>
      <c r="M385" s="15"/>
      <c r="N385" s="15"/>
      <c r="O385" s="15"/>
      <c r="P385" s="15"/>
      <c r="Q385" s="15"/>
      <c r="R385" s="15"/>
      <c r="S385" s="15"/>
      <c r="T385" s="15">
        <v>2.528</v>
      </c>
      <c r="U385" s="15"/>
      <c r="V385" s="15"/>
      <c r="W385" s="15"/>
      <c r="X385" s="15"/>
      <c r="Y385" s="15"/>
      <c r="Z385" s="15"/>
      <c r="AA385" s="15"/>
      <c r="AB385" s="15"/>
      <c r="AC385" s="15"/>
      <c r="AD385" s="15"/>
      <c r="AE385" s="15"/>
      <c r="AF385" s="15"/>
      <c r="AG385" s="15"/>
      <c r="AH385" s="39">
        <f t="shared" si="73"/>
        <v>11.384</v>
      </c>
    </row>
    <row r="386" spans="1:36" ht="15">
      <c r="A386" s="1522" t="s">
        <v>79</v>
      </c>
      <c r="B386" s="19">
        <f t="shared" si="72"/>
        <v>0</v>
      </c>
      <c r="C386" s="35"/>
      <c r="D386" s="39"/>
      <c r="E386" s="39"/>
      <c r="F386" s="39"/>
      <c r="G386" s="15"/>
      <c r="H386" s="15"/>
      <c r="I386" s="15"/>
      <c r="J386" s="43"/>
      <c r="K386" s="43"/>
      <c r="L386" s="39"/>
      <c r="M386" s="39"/>
      <c r="N386" s="39"/>
      <c r="O386" s="39"/>
      <c r="P386" s="39"/>
      <c r="Q386" s="39"/>
      <c r="R386" s="39"/>
      <c r="S386" s="39"/>
      <c r="T386" s="39"/>
      <c r="U386" s="39"/>
      <c r="V386" s="39"/>
      <c r="W386" s="897" t="s">
        <v>110</v>
      </c>
      <c r="X386" s="897" t="s">
        <v>110</v>
      </c>
      <c r="Y386" s="897" t="s">
        <v>110</v>
      </c>
      <c r="Z386" s="897" t="s">
        <v>110</v>
      </c>
      <c r="AA386" s="897" t="s">
        <v>110</v>
      </c>
      <c r="AB386" s="897" t="s">
        <v>110</v>
      </c>
      <c r="AC386" s="897" t="s">
        <v>110</v>
      </c>
      <c r="AD386" s="897" t="s">
        <v>110</v>
      </c>
      <c r="AE386" s="897" t="s">
        <v>110</v>
      </c>
      <c r="AF386" s="897" t="s">
        <v>110</v>
      </c>
      <c r="AG386" s="897" t="s">
        <v>110</v>
      </c>
      <c r="AH386" s="39">
        <f t="shared" si="73"/>
        <v>0</v>
      </c>
    </row>
    <row r="387" spans="1:36" ht="15">
      <c r="A387" s="1522" t="s">
        <v>80</v>
      </c>
      <c r="B387" s="100">
        <f t="shared" si="72"/>
        <v>0</v>
      </c>
      <c r="C387" s="897" t="s">
        <v>110</v>
      </c>
      <c r="D387" s="897" t="s">
        <v>110</v>
      </c>
      <c r="E387" s="897" t="s">
        <v>110</v>
      </c>
      <c r="F387" s="897" t="s">
        <v>110</v>
      </c>
      <c r="G387" s="897" t="s">
        <v>110</v>
      </c>
      <c r="H387" s="897" t="s">
        <v>110</v>
      </c>
      <c r="I387" s="897" t="s">
        <v>110</v>
      </c>
      <c r="J387" s="897" t="s">
        <v>110</v>
      </c>
      <c r="K387" s="897" t="s">
        <v>110</v>
      </c>
      <c r="L387" s="897" t="s">
        <v>110</v>
      </c>
      <c r="M387" s="897" t="s">
        <v>110</v>
      </c>
      <c r="N387" s="897" t="s">
        <v>110</v>
      </c>
      <c r="O387" s="897" t="s">
        <v>110</v>
      </c>
      <c r="P387" s="897" t="s">
        <v>110</v>
      </c>
      <c r="Q387" s="897" t="s">
        <v>110</v>
      </c>
      <c r="R387" s="897" t="s">
        <v>110</v>
      </c>
      <c r="S387" s="897" t="s">
        <v>110</v>
      </c>
      <c r="T387" s="897" t="s">
        <v>110</v>
      </c>
      <c r="U387" s="897" t="s">
        <v>110</v>
      </c>
      <c r="V387" s="897" t="s">
        <v>110</v>
      </c>
      <c r="W387" s="897" t="s">
        <v>110</v>
      </c>
      <c r="X387" s="897" t="s">
        <v>110</v>
      </c>
      <c r="Y387" s="897" t="s">
        <v>110</v>
      </c>
      <c r="Z387" s="897" t="s">
        <v>110</v>
      </c>
      <c r="AA387" s="897" t="s">
        <v>110</v>
      </c>
      <c r="AB387" s="897" t="s">
        <v>110</v>
      </c>
      <c r="AC387" s="897" t="s">
        <v>110</v>
      </c>
      <c r="AD387" s="897" t="s">
        <v>110</v>
      </c>
      <c r="AE387" s="897" t="s">
        <v>110</v>
      </c>
      <c r="AF387" s="897" t="s">
        <v>110</v>
      </c>
      <c r="AG387" s="897" t="s">
        <v>110</v>
      </c>
      <c r="AH387" s="39">
        <f t="shared" si="73"/>
        <v>0</v>
      </c>
    </row>
    <row r="388" spans="1:36" ht="15">
      <c r="A388" s="1522" t="s">
        <v>81</v>
      </c>
      <c r="B388" s="100">
        <f t="shared" si="72"/>
        <v>0</v>
      </c>
      <c r="C388" s="32"/>
      <c r="D388" s="39"/>
      <c r="E388" s="39"/>
      <c r="F388" s="39"/>
      <c r="G388" s="39"/>
      <c r="H388" s="39"/>
      <c r="I388" s="39"/>
      <c r="J388" s="43"/>
      <c r="K388" s="43"/>
      <c r="L388" s="15"/>
      <c r="M388" s="15"/>
      <c r="N388" s="15"/>
      <c r="O388" s="15"/>
      <c r="P388" s="15"/>
      <c r="Q388" s="897" t="s">
        <v>110</v>
      </c>
      <c r="R388" s="897" t="s">
        <v>110</v>
      </c>
      <c r="S388" s="897" t="s">
        <v>110</v>
      </c>
      <c r="T388" s="897" t="s">
        <v>110</v>
      </c>
      <c r="U388" s="897" t="s">
        <v>110</v>
      </c>
      <c r="V388" s="897" t="s">
        <v>110</v>
      </c>
      <c r="W388" s="897" t="s">
        <v>110</v>
      </c>
      <c r="X388" s="897" t="s">
        <v>110</v>
      </c>
      <c r="Y388" s="897" t="s">
        <v>110</v>
      </c>
      <c r="Z388" s="897" t="s">
        <v>110</v>
      </c>
      <c r="AA388" s="897" t="s">
        <v>110</v>
      </c>
      <c r="AB388" s="897" t="s">
        <v>110</v>
      </c>
      <c r="AC388" s="897" t="s">
        <v>110</v>
      </c>
      <c r="AD388" s="897" t="s">
        <v>110</v>
      </c>
      <c r="AE388" s="897" t="s">
        <v>110</v>
      </c>
      <c r="AF388" s="897" t="s">
        <v>110</v>
      </c>
      <c r="AG388" s="897" t="s">
        <v>110</v>
      </c>
      <c r="AH388" s="39">
        <f t="shared" si="73"/>
        <v>0</v>
      </c>
    </row>
    <row r="389" spans="1:36" ht="15">
      <c r="A389" s="1522" t="s">
        <v>82</v>
      </c>
      <c r="B389" s="100">
        <f t="shared" si="72"/>
        <v>0</v>
      </c>
      <c r="C389" s="35"/>
      <c r="D389" s="897" t="s">
        <v>110</v>
      </c>
      <c r="E389" s="897" t="s">
        <v>110</v>
      </c>
      <c r="F389" s="897" t="s">
        <v>110</v>
      </c>
      <c r="G389" s="897" t="s">
        <v>110</v>
      </c>
      <c r="H389" s="897" t="s">
        <v>110</v>
      </c>
      <c r="I389" s="897" t="s">
        <v>110</v>
      </c>
      <c r="J389" s="897" t="s">
        <v>110</v>
      </c>
      <c r="K389" s="897" t="s">
        <v>110</v>
      </c>
      <c r="L389" s="897" t="s">
        <v>110</v>
      </c>
      <c r="M389" s="897" t="s">
        <v>110</v>
      </c>
      <c r="N389" s="897" t="s">
        <v>110</v>
      </c>
      <c r="O389" s="897" t="s">
        <v>110</v>
      </c>
      <c r="P389" s="897" t="s">
        <v>110</v>
      </c>
      <c r="Q389" s="897" t="s">
        <v>110</v>
      </c>
      <c r="R389" s="897" t="s">
        <v>110</v>
      </c>
      <c r="S389" s="897" t="s">
        <v>110</v>
      </c>
      <c r="T389" s="897" t="s">
        <v>110</v>
      </c>
      <c r="U389" s="897" t="s">
        <v>110</v>
      </c>
      <c r="V389" s="897" t="s">
        <v>110</v>
      </c>
      <c r="W389" s="897" t="s">
        <v>110</v>
      </c>
      <c r="X389" s="897" t="s">
        <v>110</v>
      </c>
      <c r="Y389" s="897" t="s">
        <v>110</v>
      </c>
      <c r="Z389" s="897" t="s">
        <v>110</v>
      </c>
      <c r="AA389" s="897" t="s">
        <v>110</v>
      </c>
      <c r="AB389" s="897" t="s">
        <v>110</v>
      </c>
      <c r="AC389" s="897" t="s">
        <v>110</v>
      </c>
      <c r="AD389" s="897" t="s">
        <v>110</v>
      </c>
      <c r="AE389" s="897" t="s">
        <v>110</v>
      </c>
      <c r="AF389" s="897" t="s">
        <v>110</v>
      </c>
      <c r="AG389" s="897" t="s">
        <v>110</v>
      </c>
      <c r="AH389" s="39">
        <f t="shared" si="73"/>
        <v>0</v>
      </c>
    </row>
    <row r="390" spans="1:36" ht="15">
      <c r="A390" s="1522" t="s">
        <v>83</v>
      </c>
      <c r="B390" s="19">
        <f t="shared" si="72"/>
        <v>0</v>
      </c>
      <c r="C390" s="65" t="s">
        <v>110</v>
      </c>
      <c r="D390" s="65" t="s">
        <v>110</v>
      </c>
      <c r="E390" s="65" t="s">
        <v>110</v>
      </c>
      <c r="F390" s="65" t="s">
        <v>110</v>
      </c>
      <c r="G390" s="65" t="s">
        <v>110</v>
      </c>
      <c r="H390" s="65" t="s">
        <v>110</v>
      </c>
      <c r="I390" s="65" t="s">
        <v>110</v>
      </c>
      <c r="J390" s="65" t="s">
        <v>110</v>
      </c>
      <c r="K390" s="65" t="s">
        <v>110</v>
      </c>
      <c r="L390" s="65" t="s">
        <v>110</v>
      </c>
      <c r="M390" s="65" t="s">
        <v>110</v>
      </c>
      <c r="N390" s="65" t="s">
        <v>110</v>
      </c>
      <c r="O390" s="65" t="s">
        <v>110</v>
      </c>
      <c r="P390" s="65" t="s">
        <v>110</v>
      </c>
      <c r="Q390" s="65" t="s">
        <v>110</v>
      </c>
      <c r="R390" s="15"/>
      <c r="S390" s="15"/>
      <c r="T390" s="15"/>
      <c r="U390" s="15"/>
      <c r="V390" s="15"/>
      <c r="W390" s="15"/>
      <c r="X390" s="15"/>
      <c r="Y390" s="11"/>
      <c r="Z390" s="15"/>
      <c r="AA390" s="15"/>
      <c r="AB390" s="15"/>
      <c r="AC390" s="15"/>
      <c r="AD390" s="15"/>
      <c r="AE390" s="39"/>
      <c r="AF390" s="15"/>
      <c r="AG390" s="39"/>
      <c r="AH390" s="39">
        <f t="shared" si="73"/>
        <v>0</v>
      </c>
    </row>
    <row r="391" spans="1:36" ht="15">
      <c r="A391" s="1522" t="s">
        <v>84</v>
      </c>
      <c r="B391" s="19">
        <f t="shared" si="72"/>
        <v>0</v>
      </c>
      <c r="C391" s="3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39"/>
      <c r="AF391" s="15"/>
      <c r="AG391" s="39"/>
      <c r="AH391" s="39">
        <f t="shared" si="73"/>
        <v>0</v>
      </c>
    </row>
    <row r="392" spans="1:36" ht="15">
      <c r="A392" s="71" t="s">
        <v>72</v>
      </c>
      <c r="B392" s="73">
        <f>SUM(B380:B391)</f>
        <v>30.414000000000001</v>
      </c>
      <c r="C392" s="32">
        <f>SUM(C380:C390)</f>
        <v>0</v>
      </c>
      <c r="D392" s="39">
        <f>SUM(D380:D390)</f>
        <v>0</v>
      </c>
      <c r="E392" s="39">
        <v>0</v>
      </c>
      <c r="F392" s="39">
        <f t="shared" ref="F392:AC392" si="74">SUM(F380:F390)</f>
        <v>0</v>
      </c>
      <c r="G392" s="39">
        <f t="shared" si="74"/>
        <v>0</v>
      </c>
      <c r="H392" s="39">
        <f t="shared" si="74"/>
        <v>0</v>
      </c>
      <c r="I392" s="39">
        <f t="shared" si="74"/>
        <v>0</v>
      </c>
      <c r="J392" s="39">
        <f t="shared" si="74"/>
        <v>0</v>
      </c>
      <c r="K392" s="39">
        <f t="shared" si="74"/>
        <v>0</v>
      </c>
      <c r="L392" s="39">
        <f t="shared" si="74"/>
        <v>0</v>
      </c>
      <c r="M392" s="39">
        <f t="shared" si="74"/>
        <v>0</v>
      </c>
      <c r="N392" s="39">
        <f t="shared" si="74"/>
        <v>0</v>
      </c>
      <c r="O392" s="39">
        <f t="shared" si="74"/>
        <v>0</v>
      </c>
      <c r="P392" s="39">
        <f t="shared" si="74"/>
        <v>0</v>
      </c>
      <c r="Q392" s="39">
        <f t="shared" si="74"/>
        <v>0</v>
      </c>
      <c r="R392" s="39">
        <f t="shared" si="74"/>
        <v>0</v>
      </c>
      <c r="S392" s="39">
        <f t="shared" si="74"/>
        <v>0</v>
      </c>
      <c r="T392" s="39">
        <f t="shared" si="74"/>
        <v>2.528</v>
      </c>
      <c r="U392" s="39">
        <f t="shared" si="74"/>
        <v>0</v>
      </c>
      <c r="V392" s="39">
        <f t="shared" si="74"/>
        <v>0</v>
      </c>
      <c r="W392" s="39">
        <f t="shared" si="74"/>
        <v>0</v>
      </c>
      <c r="X392" s="39">
        <f t="shared" si="74"/>
        <v>0</v>
      </c>
      <c r="Y392" s="39">
        <f t="shared" si="74"/>
        <v>0</v>
      </c>
      <c r="Z392" s="39">
        <f t="shared" si="74"/>
        <v>0</v>
      </c>
      <c r="AA392" s="39">
        <f t="shared" si="74"/>
        <v>0</v>
      </c>
      <c r="AB392" s="39">
        <f t="shared" si="74"/>
        <v>0</v>
      </c>
      <c r="AC392" s="39">
        <f t="shared" si="74"/>
        <v>0</v>
      </c>
      <c r="AD392" s="39">
        <v>0</v>
      </c>
      <c r="AE392" s="39">
        <f>SUM(AE380:AE390)</f>
        <v>0</v>
      </c>
      <c r="AF392" s="39">
        <f>SUM(AF380:AF390)</f>
        <v>0</v>
      </c>
      <c r="AG392" s="39">
        <f>SUM(AG380:AG390)</f>
        <v>0</v>
      </c>
      <c r="AH392" s="32">
        <f>SUM(AH380:AH390)</f>
        <v>30.414000000000001</v>
      </c>
    </row>
    <row r="393" spans="1:36" ht="15">
      <c r="A393" s="1682"/>
      <c r="B393" s="1572"/>
      <c r="C393" s="1686"/>
      <c r="D393" s="1686"/>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13"/>
    </row>
    <row r="394" spans="1:36" ht="20.399999999999999">
      <c r="A394" s="3859" t="s">
        <v>575</v>
      </c>
      <c r="B394" s="3860"/>
      <c r="C394" s="3860"/>
      <c r="D394" s="3860"/>
      <c r="E394" s="3860"/>
      <c r="F394" s="3860"/>
      <c r="G394" s="3860"/>
      <c r="H394" s="386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row>
    <row r="395" spans="1:36" ht="15">
      <c r="A395" s="5" t="s">
        <v>89</v>
      </c>
      <c r="B395" s="56" t="s">
        <v>71</v>
      </c>
      <c r="C395" s="1039">
        <v>1</v>
      </c>
      <c r="D395" s="21">
        <v>2</v>
      </c>
      <c r="E395" s="21">
        <v>3</v>
      </c>
      <c r="F395" s="21">
        <v>4</v>
      </c>
      <c r="G395" s="21">
        <v>5</v>
      </c>
      <c r="H395" s="21">
        <v>6</v>
      </c>
      <c r="I395" s="21">
        <v>7</v>
      </c>
      <c r="J395" s="21">
        <v>8</v>
      </c>
      <c r="K395" s="21">
        <v>9</v>
      </c>
      <c r="L395" s="21">
        <v>10</v>
      </c>
      <c r="M395" s="21">
        <v>11</v>
      </c>
      <c r="N395" s="21">
        <v>12</v>
      </c>
      <c r="O395" s="21">
        <v>13</v>
      </c>
      <c r="P395" s="21">
        <v>14</v>
      </c>
      <c r="Q395" s="21">
        <v>15</v>
      </c>
      <c r="R395" s="21">
        <v>16</v>
      </c>
      <c r="S395" s="21">
        <v>17</v>
      </c>
      <c r="T395" s="21">
        <v>18</v>
      </c>
      <c r="U395" s="21">
        <v>19</v>
      </c>
      <c r="V395" s="21">
        <v>20</v>
      </c>
      <c r="W395" s="21">
        <v>21</v>
      </c>
      <c r="X395" s="21">
        <v>22</v>
      </c>
      <c r="Y395" s="21">
        <v>23</v>
      </c>
      <c r="Z395" s="21">
        <v>24</v>
      </c>
      <c r="AA395" s="21">
        <v>25</v>
      </c>
      <c r="AB395" s="21">
        <v>26</v>
      </c>
      <c r="AC395" s="21">
        <v>27</v>
      </c>
      <c r="AD395" s="21">
        <v>28</v>
      </c>
      <c r="AE395" s="21">
        <v>29</v>
      </c>
      <c r="AF395" s="21">
        <v>30</v>
      </c>
      <c r="AG395" s="21">
        <v>31</v>
      </c>
      <c r="AH395" s="25" t="s">
        <v>72</v>
      </c>
      <c r="AI395" s="2266" t="s">
        <v>1345</v>
      </c>
      <c r="AJ395" s="66">
        <f>(B408/COUNTIF($C$396:$AG$407,"&gt;0"))</f>
        <v>5.8673170731707325</v>
      </c>
    </row>
    <row r="396" spans="1:36" ht="15">
      <c r="A396" s="1039" t="s">
        <v>73</v>
      </c>
      <c r="B396" s="204">
        <f t="shared" ref="B396:B407" si="75">+AH396</f>
        <v>5.48</v>
      </c>
      <c r="C396" s="1591"/>
      <c r="D396" s="1591"/>
      <c r="E396" s="1591"/>
      <c r="F396" s="1591"/>
      <c r="G396" s="1591"/>
      <c r="H396" s="1591"/>
      <c r="I396" s="1591"/>
      <c r="J396" s="1591"/>
      <c r="K396" s="1591"/>
      <c r="L396" s="1591"/>
      <c r="M396" s="1591"/>
      <c r="N396" s="1591"/>
      <c r="O396" s="1591"/>
      <c r="P396" s="1591"/>
      <c r="Q396" s="1591"/>
      <c r="R396" s="1591"/>
      <c r="S396" s="1591"/>
      <c r="T396" s="1591"/>
      <c r="U396" s="1591"/>
      <c r="V396" s="1591"/>
      <c r="W396" s="1591"/>
      <c r="X396" s="1591"/>
      <c r="Y396" s="1591"/>
      <c r="Z396" s="1591"/>
      <c r="AA396" s="1591"/>
      <c r="AB396" s="1591"/>
      <c r="AC396" s="1591"/>
      <c r="AD396" s="1591"/>
      <c r="AE396" s="1591"/>
      <c r="AF396" s="1591"/>
      <c r="AG396" s="2133">
        <v>5.48</v>
      </c>
      <c r="AH396" s="39">
        <f t="shared" ref="AH396:AH407" si="76">SUM(C396:AG396)</f>
        <v>5.48</v>
      </c>
      <c r="AJ396" s="66">
        <f>+'Resumen RAE S.Común'!G260</f>
        <v>-15.26700000000001</v>
      </c>
    </row>
    <row r="397" spans="1:36" ht="15">
      <c r="A397" s="1039" t="s">
        <v>74</v>
      </c>
      <c r="B397" s="204">
        <f t="shared" si="75"/>
        <v>22.327999999999999</v>
      </c>
      <c r="C397" s="1591"/>
      <c r="D397" s="1591"/>
      <c r="E397" s="1591"/>
      <c r="F397" s="1591"/>
      <c r="G397" s="1591"/>
      <c r="H397" s="1591">
        <v>11.247</v>
      </c>
      <c r="I397" s="1591">
        <v>9.9329999999999998</v>
      </c>
      <c r="J397" s="1591"/>
      <c r="K397" s="1591"/>
      <c r="L397" s="1591"/>
      <c r="M397" s="1591"/>
      <c r="N397" s="1591"/>
      <c r="O397" s="1591"/>
      <c r="P397" s="1591"/>
      <c r="Q397" s="1591"/>
      <c r="R397" s="1591"/>
      <c r="S397" s="1591"/>
      <c r="T397" s="1591"/>
      <c r="U397" s="1591"/>
      <c r="V397" s="1591"/>
      <c r="W397" s="1591"/>
      <c r="X397" s="1591"/>
      <c r="Y397" s="1591"/>
      <c r="Z397" s="1591"/>
      <c r="AA397" s="1591"/>
      <c r="AB397" s="1591">
        <v>1.1479999999999999</v>
      </c>
      <c r="AC397" s="1591"/>
      <c r="AD397" s="1591"/>
      <c r="AE397" s="1591"/>
      <c r="AF397" s="1591"/>
      <c r="AG397" s="1591"/>
      <c r="AH397" s="39">
        <f t="shared" si="76"/>
        <v>22.327999999999999</v>
      </c>
      <c r="AJ397" s="1093">
        <f>+AJ396/AJ395</f>
        <v>-2.6020410708347206</v>
      </c>
    </row>
    <row r="398" spans="1:36" ht="15">
      <c r="A398" s="1039" t="s">
        <v>75</v>
      </c>
      <c r="B398" s="204">
        <f t="shared" si="75"/>
        <v>39.353999999999999</v>
      </c>
      <c r="C398" s="1689"/>
      <c r="D398" s="1689"/>
      <c r="E398" s="1689"/>
      <c r="F398" s="1689"/>
      <c r="G398" s="1689"/>
      <c r="H398" s="1091"/>
      <c r="I398" s="1091"/>
      <c r="J398" s="1091"/>
      <c r="K398" s="1091"/>
      <c r="L398" s="1091"/>
      <c r="M398" s="1091">
        <v>1.974</v>
      </c>
      <c r="N398" s="1091"/>
      <c r="O398" s="1091"/>
      <c r="P398" s="1091"/>
      <c r="Q398" s="1084"/>
      <c r="R398" s="1084"/>
      <c r="S398" s="1084"/>
      <c r="T398" s="1084"/>
      <c r="U398" s="1084"/>
      <c r="V398" s="1084"/>
      <c r="W398" s="1084"/>
      <c r="X398" s="1084"/>
      <c r="Y398" s="1084"/>
      <c r="Z398" s="1084"/>
      <c r="AA398" s="1084"/>
      <c r="AB398" s="1084"/>
      <c r="AC398" s="1084"/>
      <c r="AD398" s="1084">
        <v>37.380000000000003</v>
      </c>
      <c r="AE398" s="1084"/>
      <c r="AF398" s="1084"/>
      <c r="AG398" s="1084"/>
      <c r="AH398" s="39">
        <f t="shared" si="76"/>
        <v>39.353999999999999</v>
      </c>
    </row>
    <row r="399" spans="1:36" ht="15">
      <c r="A399" s="1039" t="s">
        <v>76</v>
      </c>
      <c r="B399" s="204">
        <f t="shared" si="75"/>
        <v>14.702999999999999</v>
      </c>
      <c r="C399" s="1084"/>
      <c r="D399" s="1084"/>
      <c r="E399" s="2458">
        <v>14.702999999999999</v>
      </c>
      <c r="F399" s="1084"/>
      <c r="G399" s="1084"/>
      <c r="H399" s="1084"/>
      <c r="I399" s="1084"/>
      <c r="J399" s="1084"/>
      <c r="K399" s="1084"/>
      <c r="L399" s="1084"/>
      <c r="M399" s="1084"/>
      <c r="N399" s="1084"/>
      <c r="O399" s="1084"/>
      <c r="P399" s="1084"/>
      <c r="Q399" s="1084"/>
      <c r="R399" s="1084"/>
      <c r="S399" s="1084"/>
      <c r="T399" s="1084"/>
      <c r="U399" s="1084"/>
      <c r="V399" s="1084"/>
      <c r="W399" s="1084"/>
      <c r="X399" s="1084"/>
      <c r="Y399" s="1084"/>
      <c r="Z399" s="1084"/>
      <c r="AA399" s="1084"/>
      <c r="AB399" s="1084"/>
      <c r="AC399" s="1084"/>
      <c r="AD399" s="1084"/>
      <c r="AE399" s="1084"/>
      <c r="AF399" s="1084" t="s">
        <v>110</v>
      </c>
      <c r="AG399" s="1084" t="s">
        <v>110</v>
      </c>
      <c r="AH399" s="39">
        <f t="shared" si="76"/>
        <v>14.702999999999999</v>
      </c>
    </row>
    <row r="400" spans="1:36" ht="15">
      <c r="A400" s="1039" t="s">
        <v>77</v>
      </c>
      <c r="B400" s="204">
        <f>+AH400</f>
        <v>25.260999999999999</v>
      </c>
      <c r="C400" s="1084" t="s">
        <v>110</v>
      </c>
      <c r="D400" s="1084" t="s">
        <v>110</v>
      </c>
      <c r="E400" s="1084" t="s">
        <v>110</v>
      </c>
      <c r="F400" s="1084" t="s">
        <v>110</v>
      </c>
      <c r="G400" s="1084" t="s">
        <v>110</v>
      </c>
      <c r="H400" s="1084" t="s">
        <v>110</v>
      </c>
      <c r="I400" s="1084" t="s">
        <v>110</v>
      </c>
      <c r="J400" s="1084" t="s">
        <v>110</v>
      </c>
      <c r="K400" s="1084" t="s">
        <v>110</v>
      </c>
      <c r="L400" s="1084" t="s">
        <v>110</v>
      </c>
      <c r="M400" s="1084" t="s">
        <v>110</v>
      </c>
      <c r="N400" s="1084" t="s">
        <v>110</v>
      </c>
      <c r="O400" s="1084">
        <v>5.75</v>
      </c>
      <c r="P400" s="1084" t="s">
        <v>110</v>
      </c>
      <c r="Q400" s="1084" t="s">
        <v>110</v>
      </c>
      <c r="R400" s="1091"/>
      <c r="S400" s="1091">
        <v>1.677</v>
      </c>
      <c r="T400" s="1091">
        <v>6.1840000000000002</v>
      </c>
      <c r="U400" s="1091"/>
      <c r="V400" s="1091"/>
      <c r="W400" s="1091">
        <v>6.375</v>
      </c>
      <c r="X400" s="1091">
        <v>3.4</v>
      </c>
      <c r="Y400" s="1091"/>
      <c r="Z400" s="1091"/>
      <c r="AA400" s="1091">
        <v>1.875</v>
      </c>
      <c r="AB400" s="1091"/>
      <c r="AC400" s="1091"/>
      <c r="AD400" s="1091"/>
      <c r="AE400" s="1091"/>
      <c r="AF400" s="1091"/>
      <c r="AG400" s="1091"/>
      <c r="AH400" s="39">
        <f>SUM(C400:AG400)</f>
        <v>25.260999999999999</v>
      </c>
    </row>
    <row r="401" spans="1:36" ht="15">
      <c r="A401" s="1039" t="s">
        <v>78</v>
      </c>
      <c r="B401" s="204">
        <f t="shared" si="75"/>
        <v>32.58</v>
      </c>
      <c r="C401" s="35"/>
      <c r="D401" s="15"/>
      <c r="E401" s="15"/>
      <c r="F401" s="15"/>
      <c r="G401" s="15"/>
      <c r="H401" s="15"/>
      <c r="I401" s="15"/>
      <c r="J401" s="15"/>
      <c r="K401" s="15"/>
      <c r="L401" s="15">
        <v>3.91</v>
      </c>
      <c r="M401" s="15"/>
      <c r="N401" s="15"/>
      <c r="O401" s="15">
        <v>1.24</v>
      </c>
      <c r="P401" s="15"/>
      <c r="Q401" s="15">
        <v>7.3949999999999996</v>
      </c>
      <c r="R401" s="15"/>
      <c r="S401" s="15">
        <v>3.7</v>
      </c>
      <c r="T401" s="15">
        <v>3.5</v>
      </c>
      <c r="U401" s="15" t="s">
        <v>127</v>
      </c>
      <c r="V401" s="15">
        <v>3.4849999999999999</v>
      </c>
      <c r="W401" s="15"/>
      <c r="X401" s="15"/>
      <c r="Y401" s="15">
        <v>5.44</v>
      </c>
      <c r="Z401" s="15"/>
      <c r="AA401" s="15">
        <v>2.38</v>
      </c>
      <c r="AB401" s="15">
        <v>1.53</v>
      </c>
      <c r="AC401" s="15"/>
      <c r="AD401" s="15"/>
      <c r="AE401" s="15"/>
      <c r="AF401" s="15"/>
      <c r="AG401" s="15"/>
      <c r="AH401" s="39">
        <f t="shared" si="76"/>
        <v>32.58</v>
      </c>
    </row>
    <row r="402" spans="1:36" ht="15">
      <c r="A402" s="1522" t="s">
        <v>79</v>
      </c>
      <c r="B402" s="52">
        <f t="shared" si="75"/>
        <v>67.698999999999998</v>
      </c>
      <c r="C402" s="35">
        <v>6.5439999999999996</v>
      </c>
      <c r="D402" s="39"/>
      <c r="E402" s="39">
        <v>0.91800000000000004</v>
      </c>
      <c r="F402" s="39">
        <v>4.4740000000000002</v>
      </c>
      <c r="G402" s="15"/>
      <c r="H402" s="15">
        <v>1.466</v>
      </c>
      <c r="I402" s="15"/>
      <c r="J402" s="43">
        <v>2.4540000000000002</v>
      </c>
      <c r="K402" s="43">
        <v>15.085000000000001</v>
      </c>
      <c r="L402" s="39">
        <v>3.4180000000000001</v>
      </c>
      <c r="M402" s="39"/>
      <c r="N402" s="39"/>
      <c r="O402" s="39"/>
      <c r="P402" s="39"/>
      <c r="Q402" s="39"/>
      <c r="R402" s="39"/>
      <c r="S402" s="39"/>
      <c r="T402" s="39">
        <v>1.343</v>
      </c>
      <c r="U402" s="39"/>
      <c r="V402" s="39"/>
      <c r="W402" s="897">
        <v>3.83</v>
      </c>
      <c r="X402" s="897">
        <v>1.369</v>
      </c>
      <c r="Y402" s="897">
        <v>1.02</v>
      </c>
      <c r="Z402" s="897">
        <v>24.527999999999999</v>
      </c>
      <c r="AA402" s="897">
        <v>1.25</v>
      </c>
      <c r="AB402" s="897"/>
      <c r="AC402" s="897"/>
      <c r="AD402" s="897"/>
      <c r="AE402" s="897"/>
      <c r="AF402" s="897"/>
      <c r="AG402" s="897"/>
      <c r="AH402" s="39">
        <f t="shared" si="76"/>
        <v>67.698999999999998</v>
      </c>
    </row>
    <row r="403" spans="1:36" ht="15">
      <c r="A403" s="1522" t="s">
        <v>80</v>
      </c>
      <c r="B403" s="105">
        <f t="shared" si="75"/>
        <v>17.887999999999998</v>
      </c>
      <c r="C403" s="897"/>
      <c r="D403" s="897" t="s">
        <v>110</v>
      </c>
      <c r="E403" s="897" t="s">
        <v>110</v>
      </c>
      <c r="F403" s="897" t="s">
        <v>110</v>
      </c>
      <c r="G403" s="897" t="s">
        <v>110</v>
      </c>
      <c r="H403" s="897" t="s">
        <v>110</v>
      </c>
      <c r="I403" s="897" t="s">
        <v>110</v>
      </c>
      <c r="J403" s="897" t="s">
        <v>110</v>
      </c>
      <c r="K403" s="897" t="s">
        <v>110</v>
      </c>
      <c r="L403" s="897" t="s">
        <v>110</v>
      </c>
      <c r="M403" s="897" t="s">
        <v>110</v>
      </c>
      <c r="N403" s="897" t="s">
        <v>110</v>
      </c>
      <c r="O403" s="897" t="s">
        <v>110</v>
      </c>
      <c r="P403" s="897" t="s">
        <v>110</v>
      </c>
      <c r="Q403" s="897" t="s">
        <v>110</v>
      </c>
      <c r="R403" s="897" t="s">
        <v>110</v>
      </c>
      <c r="S403" s="897" t="s">
        <v>110</v>
      </c>
      <c r="T403" s="897" t="s">
        <v>110</v>
      </c>
      <c r="U403" s="897" t="s">
        <v>110</v>
      </c>
      <c r="V403" s="3369">
        <v>7.7619999999999996</v>
      </c>
      <c r="W403" s="897" t="s">
        <v>110</v>
      </c>
      <c r="X403" s="3369">
        <v>8.4309999999999992</v>
      </c>
      <c r="Y403" s="897" t="s">
        <v>110</v>
      </c>
      <c r="Z403" s="897" t="s">
        <v>110</v>
      </c>
      <c r="AA403" s="897" t="s">
        <v>110</v>
      </c>
      <c r="AB403" s="897" t="s">
        <v>110</v>
      </c>
      <c r="AC403" s="897" t="s">
        <v>110</v>
      </c>
      <c r="AD403" s="897" t="s">
        <v>110</v>
      </c>
      <c r="AE403" s="897" t="s">
        <v>110</v>
      </c>
      <c r="AF403" s="3369">
        <v>0.19700000000000001</v>
      </c>
      <c r="AG403" s="3369">
        <v>1.498</v>
      </c>
      <c r="AH403" s="39">
        <f t="shared" si="76"/>
        <v>17.887999999999998</v>
      </c>
    </row>
    <row r="404" spans="1:36" ht="15">
      <c r="A404" s="1522" t="s">
        <v>81</v>
      </c>
      <c r="B404" s="105">
        <f t="shared" si="75"/>
        <v>0</v>
      </c>
      <c r="C404" s="32"/>
      <c r="D404" s="39"/>
      <c r="E404" s="39"/>
      <c r="F404" s="39"/>
      <c r="G404" s="39"/>
      <c r="H404" s="39"/>
      <c r="I404" s="39"/>
      <c r="J404" s="43"/>
      <c r="K404" s="43"/>
      <c r="L404" s="15"/>
      <c r="M404" s="15"/>
      <c r="N404" s="15"/>
      <c r="O404" s="15"/>
      <c r="P404" s="15"/>
      <c r="Q404" s="897" t="s">
        <v>110</v>
      </c>
      <c r="R404" s="897" t="s">
        <v>110</v>
      </c>
      <c r="S404" s="897" t="s">
        <v>110</v>
      </c>
      <c r="T404" s="897" t="s">
        <v>110</v>
      </c>
      <c r="U404" s="897" t="s">
        <v>110</v>
      </c>
      <c r="V404" s="897" t="s">
        <v>110</v>
      </c>
      <c r="W404" s="897" t="s">
        <v>110</v>
      </c>
      <c r="X404" s="897" t="s">
        <v>110</v>
      </c>
      <c r="Y404" s="897" t="s">
        <v>110</v>
      </c>
      <c r="Z404" s="897" t="s">
        <v>110</v>
      </c>
      <c r="AA404" s="897" t="s">
        <v>110</v>
      </c>
      <c r="AB404" s="897" t="s">
        <v>110</v>
      </c>
      <c r="AC404" s="897" t="s">
        <v>110</v>
      </c>
      <c r="AD404" s="897" t="s">
        <v>110</v>
      </c>
      <c r="AE404" s="897" t="s">
        <v>110</v>
      </c>
      <c r="AF404" s="897" t="s">
        <v>110</v>
      </c>
      <c r="AG404" s="897" t="s">
        <v>110</v>
      </c>
      <c r="AH404" s="39">
        <f t="shared" si="76"/>
        <v>0</v>
      </c>
    </row>
    <row r="405" spans="1:36" ht="15">
      <c r="A405" s="1522" t="s">
        <v>82</v>
      </c>
      <c r="B405" s="105">
        <f t="shared" si="75"/>
        <v>0</v>
      </c>
      <c r="C405" s="897" t="s">
        <v>110</v>
      </c>
      <c r="D405" s="897" t="s">
        <v>110</v>
      </c>
      <c r="E405" s="897" t="s">
        <v>110</v>
      </c>
      <c r="F405" s="897" t="s">
        <v>110</v>
      </c>
      <c r="G405" s="897" t="s">
        <v>110</v>
      </c>
      <c r="H405" s="897" t="s">
        <v>110</v>
      </c>
      <c r="I405" s="897" t="s">
        <v>110</v>
      </c>
      <c r="J405" s="897" t="s">
        <v>110</v>
      </c>
      <c r="K405" s="897" t="s">
        <v>110</v>
      </c>
      <c r="L405" s="897" t="s">
        <v>110</v>
      </c>
      <c r="M405" s="897" t="s">
        <v>110</v>
      </c>
      <c r="N405" s="897" t="s">
        <v>110</v>
      </c>
      <c r="O405" s="897" t="s">
        <v>110</v>
      </c>
      <c r="P405" s="897" t="s">
        <v>110</v>
      </c>
      <c r="Q405" s="897" t="s">
        <v>110</v>
      </c>
      <c r="R405" s="897"/>
      <c r="S405" s="897" t="s">
        <v>110</v>
      </c>
      <c r="T405" s="897" t="s">
        <v>110</v>
      </c>
      <c r="U405" s="897" t="s">
        <v>110</v>
      </c>
      <c r="V405" s="897" t="s">
        <v>110</v>
      </c>
      <c r="W405" s="897" t="s">
        <v>110</v>
      </c>
      <c r="X405" s="897" t="s">
        <v>110</v>
      </c>
      <c r="Y405" s="897" t="s">
        <v>110</v>
      </c>
      <c r="Z405" s="897" t="s">
        <v>110</v>
      </c>
      <c r="AA405" s="897" t="s">
        <v>110</v>
      </c>
      <c r="AB405" s="897" t="s">
        <v>110</v>
      </c>
      <c r="AC405" s="897" t="s">
        <v>110</v>
      </c>
      <c r="AD405" s="897" t="s">
        <v>110</v>
      </c>
      <c r="AE405" s="897" t="s">
        <v>110</v>
      </c>
      <c r="AF405" s="897" t="s">
        <v>110</v>
      </c>
      <c r="AG405" s="897" t="s">
        <v>110</v>
      </c>
      <c r="AH405" s="39">
        <f t="shared" si="76"/>
        <v>0</v>
      </c>
    </row>
    <row r="406" spans="1:36" ht="15">
      <c r="A406" s="1522" t="s">
        <v>83</v>
      </c>
      <c r="B406" s="52">
        <f t="shared" si="75"/>
        <v>0</v>
      </c>
      <c r="C406" s="897" t="s">
        <v>110</v>
      </c>
      <c r="D406" s="897" t="s">
        <v>110</v>
      </c>
      <c r="E406" s="897" t="s">
        <v>110</v>
      </c>
      <c r="F406" s="897" t="s">
        <v>110</v>
      </c>
      <c r="G406" s="897" t="s">
        <v>110</v>
      </c>
      <c r="H406" s="897" t="s">
        <v>110</v>
      </c>
      <c r="I406" s="897" t="s">
        <v>110</v>
      </c>
      <c r="J406" s="897" t="s">
        <v>110</v>
      </c>
      <c r="K406" s="897" t="s">
        <v>110</v>
      </c>
      <c r="L406" s="897" t="s">
        <v>110</v>
      </c>
      <c r="M406" s="897" t="s">
        <v>110</v>
      </c>
      <c r="N406" s="897" t="s">
        <v>110</v>
      </c>
      <c r="O406" s="897" t="s">
        <v>110</v>
      </c>
      <c r="P406" s="897" t="s">
        <v>110</v>
      </c>
      <c r="Q406" s="897" t="s">
        <v>110</v>
      </c>
      <c r="R406" s="15"/>
      <c r="S406" s="15"/>
      <c r="T406" s="15"/>
      <c r="U406" s="15"/>
      <c r="V406" s="15"/>
      <c r="W406" s="15"/>
      <c r="X406" s="15"/>
      <c r="Y406" s="11"/>
      <c r="Z406" s="15"/>
      <c r="AA406" s="15"/>
      <c r="AB406" s="15"/>
      <c r="AC406" s="15"/>
      <c r="AD406" s="15"/>
      <c r="AE406" s="39"/>
      <c r="AF406" s="15"/>
      <c r="AG406" s="39"/>
      <c r="AH406" s="39">
        <f t="shared" si="76"/>
        <v>0</v>
      </c>
    </row>
    <row r="407" spans="1:36" ht="15">
      <c r="A407" s="1522" t="s">
        <v>84</v>
      </c>
      <c r="B407" s="52">
        <f t="shared" si="75"/>
        <v>15.266999999999999</v>
      </c>
      <c r="C407" s="35"/>
      <c r="D407" s="15"/>
      <c r="E407" s="15"/>
      <c r="F407" s="15"/>
      <c r="G407" s="15"/>
      <c r="H407" s="15"/>
      <c r="I407" s="15"/>
      <c r="J407" s="15"/>
      <c r="K407" s="15"/>
      <c r="L407" s="15"/>
      <c r="M407" s="15"/>
      <c r="N407" s="15"/>
      <c r="O407" s="15"/>
      <c r="P407" s="15"/>
      <c r="Q407" s="15">
        <v>11.795</v>
      </c>
      <c r="R407" s="15"/>
      <c r="S407" s="15"/>
      <c r="T407" s="15">
        <v>3.472</v>
      </c>
      <c r="U407" s="15"/>
      <c r="V407" s="15"/>
      <c r="W407" s="15"/>
      <c r="X407" s="15"/>
      <c r="Y407" s="15"/>
      <c r="Z407" s="15"/>
      <c r="AA407" s="15"/>
      <c r="AB407" s="15"/>
      <c r="AC407" s="15"/>
      <c r="AD407" s="15"/>
      <c r="AE407" s="39"/>
      <c r="AF407" s="15"/>
      <c r="AG407" s="39"/>
      <c r="AH407" s="39">
        <f t="shared" si="76"/>
        <v>15.266999999999999</v>
      </c>
    </row>
    <row r="408" spans="1:36" ht="15">
      <c r="A408" s="71" t="s">
        <v>72</v>
      </c>
      <c r="B408" s="73">
        <f>SUM(B396:B407)</f>
        <v>240.56000000000003</v>
      </c>
      <c r="C408" s="32">
        <f>SUM(C396:C406)</f>
        <v>6.5439999999999996</v>
      </c>
      <c r="D408" s="39">
        <f>SUM(D396:D406)</f>
        <v>0</v>
      </c>
      <c r="E408" s="39">
        <v>0</v>
      </c>
      <c r="F408" s="39">
        <f t="shared" ref="F408:AC408" si="77">SUM(F396:F406)</f>
        <v>4.4740000000000002</v>
      </c>
      <c r="G408" s="39">
        <f t="shared" si="77"/>
        <v>0</v>
      </c>
      <c r="H408" s="39">
        <f t="shared" si="77"/>
        <v>12.712999999999999</v>
      </c>
      <c r="I408" s="39">
        <f t="shared" si="77"/>
        <v>9.9329999999999998</v>
      </c>
      <c r="J408" s="39">
        <f t="shared" si="77"/>
        <v>2.4540000000000002</v>
      </c>
      <c r="K408" s="39">
        <f t="shared" si="77"/>
        <v>15.085000000000001</v>
      </c>
      <c r="L408" s="39">
        <f t="shared" si="77"/>
        <v>7.3280000000000003</v>
      </c>
      <c r="M408" s="39">
        <f t="shared" si="77"/>
        <v>1.974</v>
      </c>
      <c r="N408" s="39">
        <f t="shared" si="77"/>
        <v>0</v>
      </c>
      <c r="O408" s="39">
        <f t="shared" si="77"/>
        <v>6.99</v>
      </c>
      <c r="P408" s="39">
        <f t="shared" si="77"/>
        <v>0</v>
      </c>
      <c r="Q408" s="39">
        <f t="shared" si="77"/>
        <v>7.3949999999999996</v>
      </c>
      <c r="R408" s="39">
        <f t="shared" si="77"/>
        <v>0</v>
      </c>
      <c r="S408" s="39">
        <f t="shared" si="77"/>
        <v>5.3770000000000007</v>
      </c>
      <c r="T408" s="39">
        <f t="shared" si="77"/>
        <v>11.027000000000001</v>
      </c>
      <c r="U408" s="39">
        <f t="shared" si="77"/>
        <v>0</v>
      </c>
      <c r="V408" s="39">
        <f t="shared" si="77"/>
        <v>11.247</v>
      </c>
      <c r="W408" s="39">
        <f t="shared" si="77"/>
        <v>10.205</v>
      </c>
      <c r="X408" s="39">
        <f t="shared" si="77"/>
        <v>13.2</v>
      </c>
      <c r="Y408" s="39">
        <f t="shared" si="77"/>
        <v>6.4600000000000009</v>
      </c>
      <c r="Z408" s="39">
        <f t="shared" si="77"/>
        <v>24.527999999999999</v>
      </c>
      <c r="AA408" s="39">
        <f t="shared" si="77"/>
        <v>5.5049999999999999</v>
      </c>
      <c r="AB408" s="39">
        <f t="shared" si="77"/>
        <v>2.6779999999999999</v>
      </c>
      <c r="AC408" s="39">
        <f t="shared" si="77"/>
        <v>0</v>
      </c>
      <c r="AD408" s="39">
        <v>0</v>
      </c>
      <c r="AE408" s="39">
        <f>SUM(AE396:AE406)</f>
        <v>0</v>
      </c>
      <c r="AF408" s="39">
        <f>SUM(AF396:AF406)</f>
        <v>0.19700000000000001</v>
      </c>
      <c r="AG408" s="39">
        <f>SUM(AG396:AG406)</f>
        <v>6.9780000000000006</v>
      </c>
      <c r="AH408" s="32">
        <f>SUM(AH396:AH406)</f>
        <v>225.29300000000003</v>
      </c>
    </row>
    <row r="409" spans="1:36" ht="15">
      <c r="A409" s="1682"/>
      <c r="B409" s="1572"/>
      <c r="C409" s="1686"/>
      <c r="D409" s="1686"/>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13"/>
    </row>
    <row r="410" spans="1:36" ht="20.399999999999999">
      <c r="A410" s="3853" t="s">
        <v>582</v>
      </c>
      <c r="B410" s="3854"/>
      <c r="C410" s="3854"/>
      <c r="D410" s="3854"/>
      <c r="E410" s="3854"/>
      <c r="F410" s="3854"/>
      <c r="G410" s="3854"/>
      <c r="H410" s="3855"/>
      <c r="I410" s="11"/>
      <c r="J410" s="1970" t="s">
        <v>1328</v>
      </c>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row>
    <row r="411" spans="1:36" ht="15">
      <c r="A411" s="5" t="s">
        <v>89</v>
      </c>
      <c r="B411" s="56" t="s">
        <v>71</v>
      </c>
      <c r="C411" s="1039">
        <v>1</v>
      </c>
      <c r="D411" s="21">
        <v>2</v>
      </c>
      <c r="E411" s="21">
        <v>3</v>
      </c>
      <c r="F411" s="21">
        <v>4</v>
      </c>
      <c r="G411" s="21">
        <v>5</v>
      </c>
      <c r="H411" s="21">
        <v>6</v>
      </c>
      <c r="I411" s="21">
        <v>7</v>
      </c>
      <c r="J411" s="21">
        <v>8</v>
      </c>
      <c r="K411" s="21">
        <v>9</v>
      </c>
      <c r="L411" s="21">
        <v>10</v>
      </c>
      <c r="M411" s="21">
        <v>11</v>
      </c>
      <c r="N411" s="21">
        <v>12</v>
      </c>
      <c r="O411" s="21">
        <v>13</v>
      </c>
      <c r="P411" s="21">
        <v>14</v>
      </c>
      <c r="Q411" s="21">
        <v>15</v>
      </c>
      <c r="R411" s="21">
        <v>16</v>
      </c>
      <c r="S411" s="21">
        <v>17</v>
      </c>
      <c r="T411" s="21">
        <v>18</v>
      </c>
      <c r="U411" s="21">
        <v>19</v>
      </c>
      <c r="V411" s="21">
        <v>20</v>
      </c>
      <c r="W411" s="21">
        <v>21</v>
      </c>
      <c r="X411" s="21">
        <v>22</v>
      </c>
      <c r="Y411" s="21">
        <v>23</v>
      </c>
      <c r="Z411" s="21">
        <v>24</v>
      </c>
      <c r="AA411" s="21">
        <v>25</v>
      </c>
      <c r="AB411" s="21">
        <v>26</v>
      </c>
      <c r="AC411" s="21">
        <v>27</v>
      </c>
      <c r="AD411" s="21">
        <v>28</v>
      </c>
      <c r="AE411" s="21">
        <v>29</v>
      </c>
      <c r="AF411" s="21">
        <v>30</v>
      </c>
      <c r="AG411" s="21">
        <v>31</v>
      </c>
      <c r="AH411" s="25" t="s">
        <v>72</v>
      </c>
      <c r="AI411" s="2266" t="s">
        <v>1345</v>
      </c>
      <c r="AJ411" s="66">
        <f>(B424/COUNTIF($C$412:$AG$423,"&gt;0"))</f>
        <v>5.6265909090909085</v>
      </c>
    </row>
    <row r="412" spans="1:36" ht="15">
      <c r="A412" s="1039" t="s">
        <v>73</v>
      </c>
      <c r="B412" s="364">
        <f t="shared" ref="B412:B423" si="78">+AH412</f>
        <v>0</v>
      </c>
      <c r="C412" s="1591"/>
      <c r="D412" s="1591"/>
      <c r="E412" s="1591"/>
      <c r="F412" s="1591"/>
      <c r="G412" s="1591"/>
      <c r="H412" s="1591"/>
      <c r="I412" s="1591"/>
      <c r="J412" s="1591"/>
      <c r="K412" s="1591"/>
      <c r="L412" s="1591"/>
      <c r="M412" s="1591"/>
      <c r="N412" s="1591"/>
      <c r="O412" s="1591"/>
      <c r="P412" s="1591"/>
      <c r="Q412" s="1591"/>
      <c r="R412" s="1591"/>
      <c r="S412" s="1591"/>
      <c r="T412" s="1591"/>
      <c r="U412" s="1591"/>
      <c r="V412" s="1591"/>
      <c r="W412" s="1591"/>
      <c r="X412" s="1591"/>
      <c r="Y412" s="1591"/>
      <c r="Z412" s="1591"/>
      <c r="AA412" s="1591"/>
      <c r="AB412" s="1591"/>
      <c r="AC412" s="1591"/>
      <c r="AD412" s="1591"/>
      <c r="AE412" s="1591"/>
      <c r="AF412" s="1591"/>
      <c r="AG412" s="1591"/>
      <c r="AH412" s="39">
        <f>SUM(C412:AG412)</f>
        <v>0</v>
      </c>
      <c r="AJ412" s="66">
        <f>+'Resumen RAE S.Común'!G261</f>
        <v>562.06200000000001</v>
      </c>
    </row>
    <row r="413" spans="1:36" ht="15">
      <c r="A413" s="1039" t="s">
        <v>74</v>
      </c>
      <c r="B413" s="364">
        <f t="shared" si="78"/>
        <v>19.331999999999997</v>
      </c>
      <c r="C413" s="1591">
        <v>0.51</v>
      </c>
      <c r="D413" s="1591"/>
      <c r="E413" s="1591"/>
      <c r="F413" s="1591">
        <v>8.9320000000000004</v>
      </c>
      <c r="G413" s="1591">
        <v>4.1879999999999997</v>
      </c>
      <c r="H413" s="1591"/>
      <c r="I413" s="1591">
        <v>2.706</v>
      </c>
      <c r="J413" s="1591">
        <v>0.70199999999999996</v>
      </c>
      <c r="K413" s="1591"/>
      <c r="L413" s="1591"/>
      <c r="M413" s="1591"/>
      <c r="N413" s="1591"/>
      <c r="O413" s="1591">
        <v>2.294</v>
      </c>
      <c r="P413" s="1591"/>
      <c r="Q413" s="1591"/>
      <c r="R413" s="1591"/>
      <c r="S413" s="1591"/>
      <c r="T413" s="1591" t="s">
        <v>127</v>
      </c>
      <c r="U413" s="1591"/>
      <c r="V413" s="1591"/>
      <c r="W413" s="1591"/>
      <c r="X413" s="1591"/>
      <c r="Y413" s="1591"/>
      <c r="Z413" s="1591"/>
      <c r="AA413" s="1591"/>
      <c r="AB413" s="1591"/>
      <c r="AC413" s="1591"/>
      <c r="AD413" s="1591"/>
      <c r="AE413" s="1591"/>
      <c r="AF413" s="1591"/>
      <c r="AG413" s="1591"/>
      <c r="AH413" s="104">
        <f t="shared" ref="AH413:AH422" si="79">SUM(C413:AG413)</f>
        <v>19.331999999999997</v>
      </c>
      <c r="AJ413" s="1093">
        <f>+AJ412/AJ411</f>
        <v>99.893880518641211</v>
      </c>
    </row>
    <row r="414" spans="1:36" s="96" customFormat="1" ht="15">
      <c r="A414" s="1039" t="s">
        <v>75</v>
      </c>
      <c r="B414" s="364">
        <f t="shared" si="78"/>
        <v>19.146999999999998</v>
      </c>
      <c r="C414" s="1689">
        <v>0.14000000000000001</v>
      </c>
      <c r="D414" s="1689"/>
      <c r="E414" s="1689"/>
      <c r="F414" s="1689"/>
      <c r="G414" s="1689"/>
      <c r="H414" s="1091"/>
      <c r="I414" s="1091"/>
      <c r="J414" s="1091"/>
      <c r="K414" s="1091"/>
      <c r="L414" s="1091"/>
      <c r="M414" s="1091">
        <v>0.41599999999999998</v>
      </c>
      <c r="N414" s="1091"/>
      <c r="O414" s="1091"/>
      <c r="P414" s="1091"/>
      <c r="Q414" s="1084" t="s">
        <v>110</v>
      </c>
      <c r="R414" s="1084" t="s">
        <v>110</v>
      </c>
      <c r="S414" s="1084" t="s">
        <v>110</v>
      </c>
      <c r="T414" s="1084" t="s">
        <v>110</v>
      </c>
      <c r="U414" s="1084" t="s">
        <v>110</v>
      </c>
      <c r="V414" s="1084" t="s">
        <v>110</v>
      </c>
      <c r="W414" s="1084" t="s">
        <v>110</v>
      </c>
      <c r="X414" s="1084" t="s">
        <v>110</v>
      </c>
      <c r="Y414" s="1084" t="s">
        <v>110</v>
      </c>
      <c r="Z414" s="1084" t="s">
        <v>110</v>
      </c>
      <c r="AA414" s="1084" t="s">
        <v>110</v>
      </c>
      <c r="AB414" s="1084" t="s">
        <v>110</v>
      </c>
      <c r="AC414" s="1084">
        <v>15.336</v>
      </c>
      <c r="AD414" s="1084" t="s">
        <v>110</v>
      </c>
      <c r="AE414" s="1084" t="s">
        <v>110</v>
      </c>
      <c r="AF414" s="1084" t="s">
        <v>110</v>
      </c>
      <c r="AG414" s="1084">
        <v>3.2549999999999999</v>
      </c>
      <c r="AH414" s="39">
        <f t="shared" si="79"/>
        <v>19.146999999999998</v>
      </c>
    </row>
    <row r="415" spans="1:36" ht="15">
      <c r="A415" s="1039" t="s">
        <v>76</v>
      </c>
      <c r="B415" s="364">
        <f t="shared" si="78"/>
        <v>15.207000000000001</v>
      </c>
      <c r="C415" s="1084">
        <v>15.207000000000001</v>
      </c>
      <c r="D415" s="1084"/>
      <c r="E415" s="1084"/>
      <c r="F415" s="1084"/>
      <c r="G415" s="1084"/>
      <c r="H415" s="1084"/>
      <c r="I415" s="1084"/>
      <c r="J415" s="1084"/>
      <c r="K415" s="1084"/>
      <c r="L415" s="1084"/>
      <c r="M415" s="1084"/>
      <c r="N415" s="1084"/>
      <c r="O415" s="1084"/>
      <c r="P415" s="1084"/>
      <c r="Q415" s="1084"/>
      <c r="R415" s="1084"/>
      <c r="S415" s="1084"/>
      <c r="T415" s="1084"/>
      <c r="U415" s="1084"/>
      <c r="V415" s="1084"/>
      <c r="W415" s="1084"/>
      <c r="X415" s="1084"/>
      <c r="Y415" s="1084"/>
      <c r="Z415" s="1084"/>
      <c r="AA415" s="1084"/>
      <c r="AB415" s="1084"/>
      <c r="AC415" s="1084"/>
      <c r="AD415" s="1084"/>
      <c r="AE415" s="1084"/>
      <c r="AF415" s="1084" t="s">
        <v>110</v>
      </c>
      <c r="AG415" s="1084" t="s">
        <v>110</v>
      </c>
      <c r="AH415" s="39">
        <f>SUM(C415:AG415)</f>
        <v>15.207000000000001</v>
      </c>
    </row>
    <row r="416" spans="1:36" s="96" customFormat="1" ht="15">
      <c r="A416" s="1039" t="s">
        <v>77</v>
      </c>
      <c r="B416" s="364">
        <f t="shared" si="78"/>
        <v>0</v>
      </c>
      <c r="C416" s="1084" t="s">
        <v>110</v>
      </c>
      <c r="D416" s="1084" t="s">
        <v>110</v>
      </c>
      <c r="E416" s="1084" t="s">
        <v>110</v>
      </c>
      <c r="F416" s="1084" t="s">
        <v>110</v>
      </c>
      <c r="G416" s="1084" t="s">
        <v>110</v>
      </c>
      <c r="H416" s="1084" t="s">
        <v>110</v>
      </c>
      <c r="I416" s="1084" t="s">
        <v>110</v>
      </c>
      <c r="J416" s="1084" t="s">
        <v>110</v>
      </c>
      <c r="K416" s="1084" t="s">
        <v>110</v>
      </c>
      <c r="L416" s="1084" t="s">
        <v>110</v>
      </c>
      <c r="M416" s="1084" t="s">
        <v>110</v>
      </c>
      <c r="N416" s="1084" t="s">
        <v>110</v>
      </c>
      <c r="O416" s="1084" t="s">
        <v>110</v>
      </c>
      <c r="P416" s="1084" t="s">
        <v>110</v>
      </c>
      <c r="Q416" s="1084" t="s">
        <v>110</v>
      </c>
      <c r="R416" s="1091"/>
      <c r="S416" s="1091"/>
      <c r="T416" s="1091"/>
      <c r="U416" s="1091"/>
      <c r="V416" s="1091"/>
      <c r="W416" s="1091"/>
      <c r="X416" s="1091"/>
      <c r="Y416" s="1091"/>
      <c r="Z416" s="1091"/>
      <c r="AA416" s="1091"/>
      <c r="AB416" s="1091"/>
      <c r="AC416" s="1091"/>
      <c r="AD416" s="1091"/>
      <c r="AE416" s="1091"/>
      <c r="AF416" s="1091"/>
      <c r="AG416" s="1091"/>
      <c r="AH416" s="99">
        <f t="shared" si="79"/>
        <v>0</v>
      </c>
    </row>
    <row r="417" spans="1:36" ht="15">
      <c r="A417" s="1039" t="s">
        <v>78</v>
      </c>
      <c r="B417" s="364">
        <f t="shared" si="78"/>
        <v>6.3329999999999993</v>
      </c>
      <c r="C417" s="35"/>
      <c r="D417" s="15"/>
      <c r="E417" s="15"/>
      <c r="F417" s="15"/>
      <c r="G417" s="15">
        <v>5.9909999999999997</v>
      </c>
      <c r="H417" s="15"/>
      <c r="I417" s="15"/>
      <c r="J417" s="15"/>
      <c r="K417" s="15"/>
      <c r="L417" s="15"/>
      <c r="M417" s="15"/>
      <c r="N417" s="15"/>
      <c r="O417" s="15">
        <v>0.14599999999999999</v>
      </c>
      <c r="P417" s="15"/>
      <c r="Q417" s="15"/>
      <c r="R417" s="15"/>
      <c r="S417" s="15"/>
      <c r="T417" s="15"/>
      <c r="U417" s="15"/>
      <c r="V417" s="15"/>
      <c r="W417" s="15"/>
      <c r="X417" s="15"/>
      <c r="Y417" s="15"/>
      <c r="Z417" s="15">
        <v>0.19600000000000001</v>
      </c>
      <c r="AA417" s="15"/>
      <c r="AB417" s="15"/>
      <c r="AC417" s="15"/>
      <c r="AD417" s="15"/>
      <c r="AE417" s="15"/>
      <c r="AF417" s="15"/>
      <c r="AG417" s="15"/>
      <c r="AH417" s="39">
        <f t="shared" si="79"/>
        <v>6.3329999999999993</v>
      </c>
    </row>
    <row r="418" spans="1:36" s="96" customFormat="1" ht="15">
      <c r="A418" s="1522" t="s">
        <v>79</v>
      </c>
      <c r="B418" s="1090">
        <f t="shared" si="78"/>
        <v>5.5509999999999993</v>
      </c>
      <c r="C418" s="35"/>
      <c r="D418" s="39"/>
      <c r="E418" s="39"/>
      <c r="F418" s="39"/>
      <c r="G418" s="15"/>
      <c r="H418" s="15"/>
      <c r="I418" s="15"/>
      <c r="J418" s="43"/>
      <c r="K418" s="43">
        <v>1.0309999999999999</v>
      </c>
      <c r="L418" s="39">
        <v>4.5199999999999996</v>
      </c>
      <c r="M418" s="39"/>
      <c r="N418" s="39"/>
      <c r="O418" s="39"/>
      <c r="P418" s="39"/>
      <c r="Q418" s="39"/>
      <c r="R418" s="39"/>
      <c r="S418" s="39"/>
      <c r="T418" s="39"/>
      <c r="U418" s="39"/>
      <c r="V418" s="39"/>
      <c r="W418" s="897" t="s">
        <v>110</v>
      </c>
      <c r="X418" s="897" t="s">
        <v>110</v>
      </c>
      <c r="Y418" s="897" t="s">
        <v>110</v>
      </c>
      <c r="Z418" s="897" t="s">
        <v>110</v>
      </c>
      <c r="AA418" s="897" t="s">
        <v>110</v>
      </c>
      <c r="AB418" s="897" t="s">
        <v>110</v>
      </c>
      <c r="AC418" s="897" t="s">
        <v>110</v>
      </c>
      <c r="AD418" s="897" t="s">
        <v>110</v>
      </c>
      <c r="AE418" s="897" t="s">
        <v>110</v>
      </c>
      <c r="AF418" s="897" t="s">
        <v>110</v>
      </c>
      <c r="AG418" s="897" t="s">
        <v>110</v>
      </c>
      <c r="AH418" s="39">
        <f t="shared" si="79"/>
        <v>5.5509999999999993</v>
      </c>
    </row>
    <row r="419" spans="1:36" s="96" customFormat="1" ht="15">
      <c r="A419" s="1522" t="s">
        <v>80</v>
      </c>
      <c r="B419" s="1090">
        <f t="shared" si="78"/>
        <v>0</v>
      </c>
      <c r="C419" s="897" t="s">
        <v>110</v>
      </c>
      <c r="D419" s="897" t="s">
        <v>110</v>
      </c>
      <c r="E419" s="897" t="s">
        <v>110</v>
      </c>
      <c r="F419" s="897" t="s">
        <v>110</v>
      </c>
      <c r="G419" s="897" t="s">
        <v>110</v>
      </c>
      <c r="H419" s="897" t="s">
        <v>110</v>
      </c>
      <c r="I419" s="897" t="s">
        <v>110</v>
      </c>
      <c r="J419" s="897" t="s">
        <v>110</v>
      </c>
      <c r="K419" s="897" t="s">
        <v>110</v>
      </c>
      <c r="L419" s="897" t="s">
        <v>110</v>
      </c>
      <c r="M419" s="897" t="s">
        <v>110</v>
      </c>
      <c r="N419" s="897" t="s">
        <v>110</v>
      </c>
      <c r="O419" s="897" t="s">
        <v>110</v>
      </c>
      <c r="P419" s="897"/>
      <c r="Q419" s="897" t="s">
        <v>110</v>
      </c>
      <c r="R419" s="897" t="s">
        <v>110</v>
      </c>
      <c r="S419" s="897"/>
      <c r="T419" s="897" t="s">
        <v>110</v>
      </c>
      <c r="U419" s="897" t="s">
        <v>110</v>
      </c>
      <c r="V419" s="897" t="s">
        <v>110</v>
      </c>
      <c r="W419" s="897" t="s">
        <v>110</v>
      </c>
      <c r="X419" s="897" t="s">
        <v>110</v>
      </c>
      <c r="Y419" s="897" t="s">
        <v>110</v>
      </c>
      <c r="Z419" s="897" t="s">
        <v>110</v>
      </c>
      <c r="AA419" s="897" t="s">
        <v>110</v>
      </c>
      <c r="AB419" s="897" t="s">
        <v>110</v>
      </c>
      <c r="AC419" s="897" t="s">
        <v>110</v>
      </c>
      <c r="AD419" s="897" t="s">
        <v>110</v>
      </c>
      <c r="AE419" s="897" t="s">
        <v>110</v>
      </c>
      <c r="AF419" s="897" t="s">
        <v>110</v>
      </c>
      <c r="AG419" s="897" t="s">
        <v>110</v>
      </c>
      <c r="AH419" s="39">
        <f t="shared" si="79"/>
        <v>0</v>
      </c>
    </row>
    <row r="420" spans="1:36" ht="15">
      <c r="A420" s="1522" t="s">
        <v>81</v>
      </c>
      <c r="B420" s="1090">
        <f t="shared" si="78"/>
        <v>0</v>
      </c>
      <c r="C420" s="32"/>
      <c r="D420" s="39"/>
      <c r="E420" s="39"/>
      <c r="F420" s="39"/>
      <c r="G420" s="39"/>
      <c r="H420" s="39"/>
      <c r="I420" s="39"/>
      <c r="J420" s="43"/>
      <c r="K420" s="43"/>
      <c r="L420" s="15"/>
      <c r="M420" s="15"/>
      <c r="N420" s="15"/>
      <c r="O420" s="15"/>
      <c r="P420" s="15"/>
      <c r="Q420" s="897" t="s">
        <v>110</v>
      </c>
      <c r="R420" s="897" t="s">
        <v>110</v>
      </c>
      <c r="S420" s="897" t="s">
        <v>110</v>
      </c>
      <c r="T420" s="897" t="s">
        <v>110</v>
      </c>
      <c r="U420" s="897" t="s">
        <v>110</v>
      </c>
      <c r="V420" s="897" t="s">
        <v>110</v>
      </c>
      <c r="W420" s="897" t="s">
        <v>110</v>
      </c>
      <c r="X420" s="897" t="s">
        <v>110</v>
      </c>
      <c r="Y420" s="897" t="s">
        <v>110</v>
      </c>
      <c r="Z420" s="897" t="s">
        <v>110</v>
      </c>
      <c r="AA420" s="897" t="s">
        <v>110</v>
      </c>
      <c r="AB420" s="897" t="s">
        <v>110</v>
      </c>
      <c r="AC420" s="897" t="s">
        <v>110</v>
      </c>
      <c r="AD420" s="897" t="s">
        <v>110</v>
      </c>
      <c r="AE420" s="897" t="s">
        <v>110</v>
      </c>
      <c r="AF420" s="897" t="s">
        <v>110</v>
      </c>
      <c r="AG420" s="897" t="s">
        <v>110</v>
      </c>
      <c r="AH420" s="39">
        <f t="shared" si="79"/>
        <v>0</v>
      </c>
    </row>
    <row r="421" spans="1:36" ht="15">
      <c r="A421" s="1522" t="s">
        <v>82</v>
      </c>
      <c r="B421" s="1090">
        <f t="shared" si="78"/>
        <v>0</v>
      </c>
      <c r="C421" s="897" t="s">
        <v>110</v>
      </c>
      <c r="D421" s="897" t="s">
        <v>110</v>
      </c>
      <c r="E421" s="897" t="s">
        <v>110</v>
      </c>
      <c r="F421" s="897" t="s">
        <v>110</v>
      </c>
      <c r="G421" s="897" t="s">
        <v>110</v>
      </c>
      <c r="H421" s="897" t="s">
        <v>110</v>
      </c>
      <c r="I421" s="897" t="s">
        <v>110</v>
      </c>
      <c r="J421" s="897" t="s">
        <v>110</v>
      </c>
      <c r="K421" s="897" t="s">
        <v>110</v>
      </c>
      <c r="L421" s="897" t="s">
        <v>110</v>
      </c>
      <c r="M421" s="897" t="s">
        <v>110</v>
      </c>
      <c r="N421" s="897" t="s">
        <v>110</v>
      </c>
      <c r="O421" s="897" t="s">
        <v>110</v>
      </c>
      <c r="P421" s="897" t="s">
        <v>110</v>
      </c>
      <c r="Q421" s="897" t="s">
        <v>110</v>
      </c>
      <c r="R421" s="897" t="s">
        <v>110</v>
      </c>
      <c r="S421" s="897" t="s">
        <v>110</v>
      </c>
      <c r="T421" s="897" t="s">
        <v>110</v>
      </c>
      <c r="U421" s="897" t="s">
        <v>110</v>
      </c>
      <c r="V421" s="897" t="s">
        <v>110</v>
      </c>
      <c r="W421" s="897" t="s">
        <v>110</v>
      </c>
      <c r="X421" s="897" t="s">
        <v>110</v>
      </c>
      <c r="Y421" s="897" t="s">
        <v>110</v>
      </c>
      <c r="Z421" s="897" t="s">
        <v>110</v>
      </c>
      <c r="AA421" s="897" t="s">
        <v>110</v>
      </c>
      <c r="AB421" s="897" t="s">
        <v>110</v>
      </c>
      <c r="AC421" s="897" t="s">
        <v>110</v>
      </c>
      <c r="AD421" s="897" t="s">
        <v>110</v>
      </c>
      <c r="AE421" s="897" t="s">
        <v>110</v>
      </c>
      <c r="AF421" s="897" t="s">
        <v>110</v>
      </c>
      <c r="AG421" s="897" t="s">
        <v>110</v>
      </c>
      <c r="AH421" s="39">
        <f t="shared" si="79"/>
        <v>0</v>
      </c>
    </row>
    <row r="422" spans="1:36" ht="15">
      <c r="A422" s="1522" t="s">
        <v>83</v>
      </c>
      <c r="B422" s="1090">
        <f t="shared" si="78"/>
        <v>13.424000000000001</v>
      </c>
      <c r="C422" s="65" t="s">
        <v>110</v>
      </c>
      <c r="D422" s="65" t="s">
        <v>110</v>
      </c>
      <c r="E422" s="65" t="s">
        <v>110</v>
      </c>
      <c r="F422" s="65" t="s">
        <v>110</v>
      </c>
      <c r="G422" s="65" t="s">
        <v>110</v>
      </c>
      <c r="H422" s="65" t="s">
        <v>110</v>
      </c>
      <c r="I422" s="65" t="s">
        <v>110</v>
      </c>
      <c r="J422" s="65" t="s">
        <v>110</v>
      </c>
      <c r="K422" s="65" t="s">
        <v>110</v>
      </c>
      <c r="L422" s="65" t="s">
        <v>110</v>
      </c>
      <c r="M422" s="65" t="s">
        <v>110</v>
      </c>
      <c r="N422" s="65" t="s">
        <v>110</v>
      </c>
      <c r="O422" s="65" t="s">
        <v>110</v>
      </c>
      <c r="P422" s="65" t="s">
        <v>110</v>
      </c>
      <c r="Q422" s="65" t="s">
        <v>110</v>
      </c>
      <c r="R422" s="15"/>
      <c r="S422" s="15"/>
      <c r="T422" s="15"/>
      <c r="U422" s="15"/>
      <c r="V422" s="15"/>
      <c r="W422" s="15"/>
      <c r="X422" s="15"/>
      <c r="Y422" s="11"/>
      <c r="Z422" s="15">
        <v>5.8609999999999998</v>
      </c>
      <c r="AA422" s="15">
        <v>7.0730000000000004</v>
      </c>
      <c r="AB422" s="15">
        <v>0.49</v>
      </c>
      <c r="AC422" s="15"/>
      <c r="AD422" s="15"/>
      <c r="AE422" s="39"/>
      <c r="AF422" s="15"/>
      <c r="AG422" s="39"/>
      <c r="AH422" s="39">
        <f t="shared" si="79"/>
        <v>13.424000000000001</v>
      </c>
    </row>
    <row r="423" spans="1:36" ht="15">
      <c r="A423" s="1522" t="s">
        <v>84</v>
      </c>
      <c r="B423" s="1090">
        <f t="shared" si="78"/>
        <v>44.790999999999997</v>
      </c>
      <c r="C423" s="35"/>
      <c r="D423" s="15"/>
      <c r="E423" s="15"/>
      <c r="F423" s="15"/>
      <c r="G423" s="15"/>
      <c r="H423" s="15"/>
      <c r="I423" s="1091"/>
      <c r="J423" s="1091"/>
      <c r="K423" s="1091"/>
      <c r="L423" s="1091"/>
      <c r="M423" s="1091"/>
      <c r="N423" s="1091"/>
      <c r="O423" s="1091"/>
      <c r="P423" s="1091"/>
      <c r="Q423" s="1091"/>
      <c r="R423" s="1091">
        <v>2.4060000000000001</v>
      </c>
      <c r="S423" s="1091">
        <v>3.7160000000000002</v>
      </c>
      <c r="T423" s="1091">
        <v>38.668999999999997</v>
      </c>
      <c r="U423" s="1091"/>
      <c r="V423" s="1091"/>
      <c r="W423" s="1091"/>
      <c r="X423" s="1091"/>
      <c r="Y423" s="1091"/>
      <c r="Z423" s="1091"/>
      <c r="AA423" s="1091"/>
      <c r="AB423" s="1091"/>
      <c r="AC423" s="1091"/>
      <c r="AD423" s="1091"/>
      <c r="AE423" s="1268"/>
      <c r="AF423" s="1091"/>
      <c r="AG423" s="1268"/>
      <c r="AH423" s="39">
        <f>SUM(C423:AG423)</f>
        <v>44.790999999999997</v>
      </c>
    </row>
    <row r="424" spans="1:36" ht="15">
      <c r="A424" s="71" t="s">
        <v>72</v>
      </c>
      <c r="B424" s="74">
        <f>SUM(B412:B423)</f>
        <v>123.785</v>
      </c>
      <c r="C424" s="32">
        <f>SUM(C412:C422)</f>
        <v>15.857000000000001</v>
      </c>
      <c r="D424" s="39">
        <f>SUM(D412:D422)</f>
        <v>0</v>
      </c>
      <c r="E424" s="39">
        <v>0</v>
      </c>
      <c r="F424" s="39">
        <f t="shared" ref="F424:AC424" si="80">SUM(F412:F422)</f>
        <v>8.9320000000000004</v>
      </c>
      <c r="G424" s="39">
        <f t="shared" si="80"/>
        <v>10.178999999999998</v>
      </c>
      <c r="H424" s="39">
        <f t="shared" si="80"/>
        <v>0</v>
      </c>
      <c r="I424" s="39">
        <f t="shared" si="80"/>
        <v>2.706</v>
      </c>
      <c r="J424" s="39">
        <f t="shared" si="80"/>
        <v>0.70199999999999996</v>
      </c>
      <c r="K424" s="39">
        <f t="shared" si="80"/>
        <v>1.0309999999999999</v>
      </c>
      <c r="L424" s="39">
        <f t="shared" si="80"/>
        <v>4.5199999999999996</v>
      </c>
      <c r="M424" s="39">
        <f t="shared" si="80"/>
        <v>0.41599999999999998</v>
      </c>
      <c r="N424" s="39">
        <f t="shared" si="80"/>
        <v>0</v>
      </c>
      <c r="O424" s="39">
        <f t="shared" si="80"/>
        <v>2.44</v>
      </c>
      <c r="P424" s="39">
        <f t="shared" si="80"/>
        <v>0</v>
      </c>
      <c r="Q424" s="39">
        <f t="shared" si="80"/>
        <v>0</v>
      </c>
      <c r="R424" s="39">
        <f t="shared" si="80"/>
        <v>0</v>
      </c>
      <c r="S424" s="39">
        <f t="shared" si="80"/>
        <v>0</v>
      </c>
      <c r="T424" s="39">
        <f t="shared" si="80"/>
        <v>0</v>
      </c>
      <c r="U424" s="39">
        <f t="shared" si="80"/>
        <v>0</v>
      </c>
      <c r="V424" s="39">
        <f t="shared" si="80"/>
        <v>0</v>
      </c>
      <c r="W424" s="39">
        <f t="shared" si="80"/>
        <v>0</v>
      </c>
      <c r="X424" s="39">
        <f t="shared" si="80"/>
        <v>0</v>
      </c>
      <c r="Y424" s="39">
        <f t="shared" si="80"/>
        <v>0</v>
      </c>
      <c r="Z424" s="39">
        <f t="shared" si="80"/>
        <v>6.0569999999999995</v>
      </c>
      <c r="AA424" s="39">
        <f t="shared" si="80"/>
        <v>7.0730000000000004</v>
      </c>
      <c r="AB424" s="39">
        <f t="shared" si="80"/>
        <v>0.49</v>
      </c>
      <c r="AC424" s="39">
        <f t="shared" si="80"/>
        <v>15.336</v>
      </c>
      <c r="AD424" s="39">
        <v>0</v>
      </c>
      <c r="AE424" s="39">
        <f>SUM(AE412:AE422)</f>
        <v>0</v>
      </c>
      <c r="AF424" s="39">
        <f>SUM(AF412:AF422)</f>
        <v>0</v>
      </c>
      <c r="AG424" s="39">
        <f>SUM(AG412:AG422)</f>
        <v>3.2549999999999999</v>
      </c>
      <c r="AH424" s="32">
        <f>SUM(AH412:AH422)</f>
        <v>78.994</v>
      </c>
    </row>
    <row r="425" spans="1:36" ht="15">
      <c r="A425" s="1682"/>
      <c r="B425" s="1687"/>
      <c r="C425" s="1686"/>
      <c r="D425" s="1686"/>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13"/>
    </row>
    <row r="426" spans="1:36" ht="20.399999999999999">
      <c r="A426" s="3859" t="s">
        <v>579</v>
      </c>
      <c r="B426" s="3860"/>
      <c r="C426" s="3860"/>
      <c r="D426" s="3860"/>
      <c r="E426" s="3860"/>
      <c r="F426" s="3860"/>
      <c r="G426" s="3860"/>
      <c r="H426" s="386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spans="1:36" ht="15">
      <c r="A427" s="5" t="s">
        <v>89</v>
      </c>
      <c r="B427" s="56" t="s">
        <v>71</v>
      </c>
      <c r="C427" s="1039">
        <v>1</v>
      </c>
      <c r="D427" s="21">
        <v>2</v>
      </c>
      <c r="E427" s="21">
        <v>3</v>
      </c>
      <c r="F427" s="21">
        <v>4</v>
      </c>
      <c r="G427" s="21">
        <v>5</v>
      </c>
      <c r="H427" s="21">
        <v>6</v>
      </c>
      <c r="I427" s="21">
        <v>7</v>
      </c>
      <c r="J427" s="21">
        <v>8</v>
      </c>
      <c r="K427" s="21">
        <v>9</v>
      </c>
      <c r="L427" s="21">
        <v>10</v>
      </c>
      <c r="M427" s="21">
        <v>11</v>
      </c>
      <c r="N427" s="21">
        <v>12</v>
      </c>
      <c r="O427" s="21">
        <v>13</v>
      </c>
      <c r="P427" s="21">
        <v>14</v>
      </c>
      <c r="Q427" s="21">
        <v>15</v>
      </c>
      <c r="R427" s="21">
        <v>16</v>
      </c>
      <c r="S427" s="21">
        <v>17</v>
      </c>
      <c r="T427" s="21">
        <v>18</v>
      </c>
      <c r="U427" s="21">
        <v>19</v>
      </c>
      <c r="V427" s="21">
        <v>20</v>
      </c>
      <c r="W427" s="21">
        <v>21</v>
      </c>
      <c r="X427" s="21">
        <v>22</v>
      </c>
      <c r="Y427" s="21">
        <v>23</v>
      </c>
      <c r="Z427" s="21">
        <v>24</v>
      </c>
      <c r="AA427" s="21">
        <v>25</v>
      </c>
      <c r="AB427" s="21">
        <v>26</v>
      </c>
      <c r="AC427" s="21">
        <v>27</v>
      </c>
      <c r="AD427" s="21">
        <v>28</v>
      </c>
      <c r="AE427" s="21">
        <v>29</v>
      </c>
      <c r="AF427" s="21">
        <v>30</v>
      </c>
      <c r="AG427" s="21">
        <v>31</v>
      </c>
      <c r="AH427" s="25" t="s">
        <v>72</v>
      </c>
      <c r="AI427" s="2266" t="s">
        <v>1345</v>
      </c>
      <c r="AJ427" s="66">
        <f>(B440/COUNTIF($C$428:$AG$439,"&gt;0"))</f>
        <v>23.272071428571426</v>
      </c>
    </row>
    <row r="428" spans="1:36" ht="15">
      <c r="A428" s="1039" t="s">
        <v>73</v>
      </c>
      <c r="B428" s="364">
        <f t="shared" ref="B428:B439" si="81">+AH428</f>
        <v>0</v>
      </c>
      <c r="C428" s="1091"/>
      <c r="D428" s="1091"/>
      <c r="E428" s="1091"/>
      <c r="F428" s="1091"/>
      <c r="G428" s="1091"/>
      <c r="H428" s="1091"/>
      <c r="I428" s="1091"/>
      <c r="J428" s="1091"/>
      <c r="K428" s="1091"/>
      <c r="L428" s="1091"/>
      <c r="M428" s="1091"/>
      <c r="N428" s="1091"/>
      <c r="O428" s="1091"/>
      <c r="P428" s="1091"/>
      <c r="Q428" s="1091"/>
      <c r="R428" s="1091"/>
      <c r="S428" s="1091"/>
      <c r="T428" s="1091"/>
      <c r="U428" s="1091"/>
      <c r="V428" s="1091"/>
      <c r="W428" s="1091"/>
      <c r="X428" s="1091"/>
      <c r="Y428" s="1091"/>
      <c r="Z428" s="1091"/>
      <c r="AA428" s="1091"/>
      <c r="AB428" s="1091"/>
      <c r="AC428" s="1091"/>
      <c r="AD428" s="1091"/>
      <c r="AE428" s="1091"/>
      <c r="AF428" s="1091"/>
      <c r="AG428" s="1091"/>
      <c r="AH428" s="39">
        <f>SUM(C428:AG428)</f>
        <v>0</v>
      </c>
      <c r="AJ428" s="66">
        <f>+'Resumen RAE S.Común'!G262</f>
        <v>433.60100000000011</v>
      </c>
    </row>
    <row r="429" spans="1:36" ht="15">
      <c r="A429" s="1039" t="s">
        <v>74</v>
      </c>
      <c r="B429" s="364">
        <f t="shared" si="81"/>
        <v>29.427000000000003</v>
      </c>
      <c r="C429" s="1091"/>
      <c r="D429" s="1091"/>
      <c r="E429" s="1091"/>
      <c r="F429" s="1091"/>
      <c r="G429" s="1091"/>
      <c r="H429" s="1091"/>
      <c r="I429" s="1091"/>
      <c r="J429" s="1091"/>
      <c r="K429" s="1091"/>
      <c r="L429" s="1091"/>
      <c r="M429" s="1091"/>
      <c r="N429" s="1091"/>
      <c r="O429" s="1091"/>
      <c r="P429" s="1091"/>
      <c r="Q429" s="1091"/>
      <c r="R429" s="1091"/>
      <c r="S429" s="1091"/>
      <c r="T429" s="1091"/>
      <c r="U429" s="1091"/>
      <c r="V429" s="1091"/>
      <c r="W429" s="1091"/>
      <c r="X429" s="1091"/>
      <c r="Y429" s="1091"/>
      <c r="Z429" s="1091"/>
      <c r="AA429" s="1091"/>
      <c r="AB429" s="1091">
        <v>12.287000000000001</v>
      </c>
      <c r="AC429" s="1091">
        <v>17.004999999999999</v>
      </c>
      <c r="AD429" s="1091">
        <v>0.13500000000000001</v>
      </c>
      <c r="AE429" s="1091"/>
      <c r="AF429" s="1091"/>
      <c r="AG429" s="1091"/>
      <c r="AH429" s="104">
        <f t="shared" ref="AH429:AH430" si="82">SUM(C429:AG429)</f>
        <v>29.427000000000003</v>
      </c>
      <c r="AJ429" s="1093">
        <f>+AJ428/AJ427</f>
        <v>18.631818028354044</v>
      </c>
    </row>
    <row r="430" spans="1:36" ht="15">
      <c r="A430" s="1039" t="s">
        <v>75</v>
      </c>
      <c r="B430" s="364">
        <f t="shared" si="81"/>
        <v>0.192</v>
      </c>
      <c r="C430" s="1689"/>
      <c r="D430" s="1689"/>
      <c r="E430" s="1689">
        <v>0.192</v>
      </c>
      <c r="F430" s="1689"/>
      <c r="G430" s="1689"/>
      <c r="H430" s="1091"/>
      <c r="I430" s="1091"/>
      <c r="J430" s="1091"/>
      <c r="K430" s="1091"/>
      <c r="L430" s="1091"/>
      <c r="M430" s="1091"/>
      <c r="N430" s="1091"/>
      <c r="O430" s="1091"/>
      <c r="P430" s="1091"/>
      <c r="Q430" s="1084"/>
      <c r="R430" s="1084"/>
      <c r="S430" s="1084"/>
      <c r="T430" s="1084"/>
      <c r="U430" s="1084"/>
      <c r="V430" s="1084"/>
      <c r="W430" s="1084"/>
      <c r="X430" s="1084"/>
      <c r="Y430" s="1084"/>
      <c r="Z430" s="1084"/>
      <c r="AA430" s="1084"/>
      <c r="AB430" s="1084"/>
      <c r="AC430" s="1084"/>
      <c r="AD430" s="1084"/>
      <c r="AE430" s="1084"/>
      <c r="AF430" s="1084"/>
      <c r="AG430" s="1084"/>
      <c r="AH430" s="39">
        <f t="shared" si="82"/>
        <v>0.192</v>
      </c>
    </row>
    <row r="431" spans="1:36" ht="15">
      <c r="A431" s="1039" t="s">
        <v>76</v>
      </c>
      <c r="B431" s="364">
        <f t="shared" si="81"/>
        <v>0</v>
      </c>
      <c r="C431" s="1084"/>
      <c r="D431" s="1084"/>
      <c r="E431" s="1084"/>
      <c r="F431" s="1084"/>
      <c r="G431" s="1084"/>
      <c r="H431" s="1084"/>
      <c r="I431" s="1084"/>
      <c r="J431" s="1084"/>
      <c r="K431" s="1084"/>
      <c r="L431" s="1084"/>
      <c r="M431" s="1084"/>
      <c r="N431" s="1084"/>
      <c r="O431" s="1084"/>
      <c r="P431" s="1084"/>
      <c r="Q431" s="1084"/>
      <c r="R431" s="1084"/>
      <c r="S431" s="1084"/>
      <c r="T431" s="1084"/>
      <c r="U431" s="1084"/>
      <c r="V431" s="1084"/>
      <c r="W431" s="1084"/>
      <c r="X431" s="1084"/>
      <c r="Y431" s="1084"/>
      <c r="Z431" s="1084"/>
      <c r="AA431" s="1084"/>
      <c r="AB431" s="1084"/>
      <c r="AC431" s="1084"/>
      <c r="AD431" s="1084"/>
      <c r="AE431" s="1084"/>
      <c r="AF431" s="1084" t="s">
        <v>110</v>
      </c>
      <c r="AG431" s="1084" t="s">
        <v>110</v>
      </c>
      <c r="AH431" s="39">
        <f>SUM(C431:AG431)</f>
        <v>0</v>
      </c>
    </row>
    <row r="432" spans="1:36" ht="15">
      <c r="A432" s="1039" t="s">
        <v>77</v>
      </c>
      <c r="B432" s="364">
        <f>+AH432</f>
        <v>197.50899999999996</v>
      </c>
      <c r="C432" s="1084" t="s">
        <v>110</v>
      </c>
      <c r="D432" s="1084" t="s">
        <v>110</v>
      </c>
      <c r="E432" s="1084" t="s">
        <v>110</v>
      </c>
      <c r="F432" s="1084" t="s">
        <v>110</v>
      </c>
      <c r="G432" s="1084" t="s">
        <v>110</v>
      </c>
      <c r="H432" s="1084" t="s">
        <v>110</v>
      </c>
      <c r="I432" s="1084" t="s">
        <v>110</v>
      </c>
      <c r="J432" s="1084" t="s">
        <v>110</v>
      </c>
      <c r="K432" s="1084" t="s">
        <v>110</v>
      </c>
      <c r="L432" s="1084" t="s">
        <v>110</v>
      </c>
      <c r="M432" s="1084" t="s">
        <v>110</v>
      </c>
      <c r="N432" s="1084" t="s">
        <v>110</v>
      </c>
      <c r="O432" s="1084" t="s">
        <v>110</v>
      </c>
      <c r="P432" s="1084" t="s">
        <v>110</v>
      </c>
      <c r="Q432" s="1084" t="s">
        <v>110</v>
      </c>
      <c r="R432" s="1091"/>
      <c r="S432" s="1091"/>
      <c r="T432" s="1091"/>
      <c r="U432" s="1091">
        <v>52.104999999999997</v>
      </c>
      <c r="V432" s="1091"/>
      <c r="W432" s="1091">
        <v>49.21</v>
      </c>
      <c r="X432" s="1091">
        <v>32.777999999999999</v>
      </c>
      <c r="Y432" s="1091">
        <v>27.275999999999996</v>
      </c>
      <c r="Z432" s="1091"/>
      <c r="AA432" s="1091"/>
      <c r="AB432" s="1091"/>
      <c r="AC432" s="1091"/>
      <c r="AD432" s="1091">
        <v>36.14</v>
      </c>
      <c r="AE432" s="1091"/>
      <c r="AF432" s="1091"/>
      <c r="AG432" s="1091"/>
      <c r="AH432" s="99">
        <f>SUM(C432:AG432)</f>
        <v>197.50899999999996</v>
      </c>
    </row>
    <row r="433" spans="1:36" ht="15">
      <c r="A433" s="1039" t="s">
        <v>78</v>
      </c>
      <c r="B433" s="364">
        <f>+AH433</f>
        <v>1.7869999999999999</v>
      </c>
      <c r="C433" s="35"/>
      <c r="D433" s="15"/>
      <c r="E433" s="15"/>
      <c r="F433" s="15"/>
      <c r="G433" s="15">
        <v>0</v>
      </c>
      <c r="H433" s="15"/>
      <c r="I433" s="15"/>
      <c r="J433" s="15"/>
      <c r="K433" s="15"/>
      <c r="L433" s="15"/>
      <c r="M433" s="15"/>
      <c r="N433" s="15">
        <v>1.7869999999999999</v>
      </c>
      <c r="O433" s="15"/>
      <c r="P433" s="15"/>
      <c r="Q433" s="15"/>
      <c r="R433" s="15"/>
      <c r="S433" s="15"/>
      <c r="T433" s="15"/>
      <c r="U433" s="15"/>
      <c r="V433" s="15"/>
      <c r="W433" s="15"/>
      <c r="X433" s="15"/>
      <c r="Y433" s="15"/>
      <c r="Z433" s="15"/>
      <c r="AA433" s="15"/>
      <c r="AB433" s="15"/>
      <c r="AC433" s="15"/>
      <c r="AD433" s="15"/>
      <c r="AE433" s="15"/>
      <c r="AF433" s="15"/>
      <c r="AG433" s="15"/>
      <c r="AH433" s="39">
        <f t="shared" ref="AH433:AH438" si="83">SUM(C433:AG433)</f>
        <v>1.7869999999999999</v>
      </c>
    </row>
    <row r="434" spans="1:36" ht="15">
      <c r="A434" s="1522" t="s">
        <v>79</v>
      </c>
      <c r="B434" s="1090">
        <f t="shared" si="81"/>
        <v>0</v>
      </c>
      <c r="C434" s="35"/>
      <c r="D434" s="39"/>
      <c r="E434" s="39"/>
      <c r="F434" s="39"/>
      <c r="G434" s="15"/>
      <c r="H434" s="15"/>
      <c r="I434" s="15"/>
      <c r="J434" s="43"/>
      <c r="K434" s="43"/>
      <c r="L434" s="39"/>
      <c r="M434" s="39"/>
      <c r="N434" s="39"/>
      <c r="O434" s="39"/>
      <c r="P434" s="39"/>
      <c r="Q434" s="39"/>
      <c r="R434" s="39"/>
      <c r="S434" s="39"/>
      <c r="T434" s="39"/>
      <c r="U434" s="39"/>
      <c r="V434" s="39"/>
      <c r="W434" s="897" t="s">
        <v>110</v>
      </c>
      <c r="X434" s="897" t="s">
        <v>110</v>
      </c>
      <c r="Y434" s="897" t="s">
        <v>110</v>
      </c>
      <c r="Z434" s="897" t="s">
        <v>110</v>
      </c>
      <c r="AA434" s="897" t="s">
        <v>110</v>
      </c>
      <c r="AB434" s="897" t="s">
        <v>110</v>
      </c>
      <c r="AC434" s="897" t="s">
        <v>110</v>
      </c>
      <c r="AD434" s="897" t="s">
        <v>110</v>
      </c>
      <c r="AE434" s="897" t="s">
        <v>110</v>
      </c>
      <c r="AF434" s="897" t="s">
        <v>110</v>
      </c>
      <c r="AG434" s="897" t="s">
        <v>110</v>
      </c>
      <c r="AH434" s="39">
        <f t="shared" si="83"/>
        <v>0</v>
      </c>
    </row>
    <row r="435" spans="1:36" ht="15">
      <c r="A435" s="1522" t="s">
        <v>80</v>
      </c>
      <c r="B435" s="1090">
        <f t="shared" si="81"/>
        <v>16.672000000000001</v>
      </c>
      <c r="C435" s="897" t="s">
        <v>110</v>
      </c>
      <c r="D435" s="897" t="s">
        <v>110</v>
      </c>
      <c r="E435" s="897" t="s">
        <v>110</v>
      </c>
      <c r="F435" s="897" t="s">
        <v>110</v>
      </c>
      <c r="G435" s="897" t="s">
        <v>110</v>
      </c>
      <c r="H435" s="897" t="s">
        <v>110</v>
      </c>
      <c r="I435" s="897" t="s">
        <v>110</v>
      </c>
      <c r="J435" s="897" t="s">
        <v>110</v>
      </c>
      <c r="K435" s="897" t="s">
        <v>110</v>
      </c>
      <c r="L435" s="897" t="s">
        <v>110</v>
      </c>
      <c r="M435" s="897" t="s">
        <v>110</v>
      </c>
      <c r="N435" s="897" t="s">
        <v>110</v>
      </c>
      <c r="O435" s="897" t="s">
        <v>110</v>
      </c>
      <c r="P435" s="897" t="s">
        <v>110</v>
      </c>
      <c r="Q435" s="897" t="s">
        <v>110</v>
      </c>
      <c r="R435" s="897" t="s">
        <v>110</v>
      </c>
      <c r="S435" s="897" t="s">
        <v>110</v>
      </c>
      <c r="T435" s="897" t="s">
        <v>110</v>
      </c>
      <c r="U435" s="897" t="s">
        <v>110</v>
      </c>
      <c r="V435" s="897" t="s">
        <v>110</v>
      </c>
      <c r="W435" s="897" t="s">
        <v>110</v>
      </c>
      <c r="X435" s="897" t="s">
        <v>110</v>
      </c>
      <c r="Y435" s="897" t="s">
        <v>110</v>
      </c>
      <c r="Z435" s="897" t="s">
        <v>110</v>
      </c>
      <c r="AA435" s="897" t="s">
        <v>110</v>
      </c>
      <c r="AB435" s="3369">
        <v>10.247999999999999</v>
      </c>
      <c r="AC435" s="897" t="s">
        <v>110</v>
      </c>
      <c r="AD435" s="3369">
        <v>6.4240000000000004</v>
      </c>
      <c r="AE435" s="897" t="s">
        <v>110</v>
      </c>
      <c r="AF435" s="897" t="s">
        <v>110</v>
      </c>
      <c r="AG435" s="897" t="s">
        <v>110</v>
      </c>
      <c r="AH435" s="39">
        <f t="shared" si="83"/>
        <v>16.672000000000001</v>
      </c>
    </row>
    <row r="436" spans="1:36" ht="15">
      <c r="A436" s="1522" t="s">
        <v>81</v>
      </c>
      <c r="B436" s="1090">
        <f t="shared" si="81"/>
        <v>0</v>
      </c>
      <c r="C436" s="32"/>
      <c r="D436" s="39"/>
      <c r="E436" s="39"/>
      <c r="F436" s="39"/>
      <c r="G436" s="39"/>
      <c r="H436" s="39"/>
      <c r="I436" s="39"/>
      <c r="J436" s="43"/>
      <c r="K436" s="43"/>
      <c r="L436" s="15"/>
      <c r="M436" s="15"/>
      <c r="N436" s="15"/>
      <c r="O436" s="15"/>
      <c r="P436" s="15"/>
      <c r="Q436" s="897" t="s">
        <v>110</v>
      </c>
      <c r="R436" s="897" t="s">
        <v>110</v>
      </c>
      <c r="S436" s="897" t="s">
        <v>110</v>
      </c>
      <c r="T436" s="897" t="s">
        <v>110</v>
      </c>
      <c r="U436" s="897" t="s">
        <v>110</v>
      </c>
      <c r="V436" s="897" t="s">
        <v>110</v>
      </c>
      <c r="W436" s="897" t="s">
        <v>110</v>
      </c>
      <c r="X436" s="897" t="s">
        <v>110</v>
      </c>
      <c r="Y436" s="897" t="s">
        <v>110</v>
      </c>
      <c r="Z436" s="897" t="s">
        <v>110</v>
      </c>
      <c r="AA436" s="897" t="s">
        <v>110</v>
      </c>
      <c r="AB436" s="897" t="s">
        <v>110</v>
      </c>
      <c r="AC436" s="897" t="s">
        <v>110</v>
      </c>
      <c r="AD436" s="897" t="s">
        <v>110</v>
      </c>
      <c r="AE436" s="897" t="s">
        <v>110</v>
      </c>
      <c r="AF436" s="897" t="s">
        <v>110</v>
      </c>
      <c r="AG436" s="897" t="s">
        <v>110</v>
      </c>
      <c r="AH436" s="39">
        <f t="shared" si="83"/>
        <v>0</v>
      </c>
    </row>
    <row r="437" spans="1:36" ht="15">
      <c r="A437" s="1522" t="s">
        <v>82</v>
      </c>
      <c r="B437" s="1090">
        <f t="shared" si="81"/>
        <v>0</v>
      </c>
      <c r="C437" s="897" t="s">
        <v>110</v>
      </c>
      <c r="D437" s="897" t="s">
        <v>110</v>
      </c>
      <c r="E437" s="897" t="s">
        <v>110</v>
      </c>
      <c r="F437" s="897" t="s">
        <v>110</v>
      </c>
      <c r="G437" s="897" t="s">
        <v>110</v>
      </c>
      <c r="H437" s="897" t="s">
        <v>110</v>
      </c>
      <c r="I437" s="897" t="s">
        <v>110</v>
      </c>
      <c r="J437" s="897" t="s">
        <v>110</v>
      </c>
      <c r="K437" s="897" t="s">
        <v>110</v>
      </c>
      <c r="L437" s="897" t="s">
        <v>110</v>
      </c>
      <c r="M437" s="897" t="s">
        <v>110</v>
      </c>
      <c r="N437" s="897" t="s">
        <v>110</v>
      </c>
      <c r="O437" s="897" t="s">
        <v>110</v>
      </c>
      <c r="P437" s="897" t="s">
        <v>110</v>
      </c>
      <c r="Q437" s="897" t="s">
        <v>110</v>
      </c>
      <c r="R437" s="897" t="s">
        <v>110</v>
      </c>
      <c r="S437" s="897" t="s">
        <v>110</v>
      </c>
      <c r="T437" s="897" t="s">
        <v>110</v>
      </c>
      <c r="U437" s="897" t="s">
        <v>110</v>
      </c>
      <c r="V437" s="897" t="s">
        <v>110</v>
      </c>
      <c r="W437" s="897" t="s">
        <v>110</v>
      </c>
      <c r="X437" s="897" t="s">
        <v>110</v>
      </c>
      <c r="Y437" s="897" t="s">
        <v>110</v>
      </c>
      <c r="Z437" s="897" t="s">
        <v>110</v>
      </c>
      <c r="AA437" s="897" t="s">
        <v>110</v>
      </c>
      <c r="AB437" s="897" t="s">
        <v>110</v>
      </c>
      <c r="AC437" s="897" t="s">
        <v>110</v>
      </c>
      <c r="AD437" s="897" t="s">
        <v>110</v>
      </c>
      <c r="AE437" s="897" t="s">
        <v>110</v>
      </c>
      <c r="AF437" s="897" t="s">
        <v>110</v>
      </c>
      <c r="AG437" s="897" t="s">
        <v>110</v>
      </c>
      <c r="AH437" s="39">
        <f t="shared" si="83"/>
        <v>0</v>
      </c>
    </row>
    <row r="438" spans="1:36" ht="15">
      <c r="A438" s="1522" t="s">
        <v>83</v>
      </c>
      <c r="B438" s="1090">
        <f t="shared" si="81"/>
        <v>39.256999999999998</v>
      </c>
      <c r="C438" s="65" t="s">
        <v>110</v>
      </c>
      <c r="D438" s="65" t="s">
        <v>110</v>
      </c>
      <c r="E438" s="65" t="s">
        <v>110</v>
      </c>
      <c r="F438" s="65" t="s">
        <v>110</v>
      </c>
      <c r="G438" s="65" t="s">
        <v>110</v>
      </c>
      <c r="H438" s="65" t="s">
        <v>110</v>
      </c>
      <c r="I438" s="65" t="s">
        <v>110</v>
      </c>
      <c r="J438" s="65" t="s">
        <v>110</v>
      </c>
      <c r="K438" s="65" t="s">
        <v>110</v>
      </c>
      <c r="L438" s="65" t="s">
        <v>110</v>
      </c>
      <c r="M438" s="65" t="s">
        <v>110</v>
      </c>
      <c r="N438" s="65" t="s">
        <v>110</v>
      </c>
      <c r="O438" s="65" t="s">
        <v>110</v>
      </c>
      <c r="P438" s="65" t="s">
        <v>110</v>
      </c>
      <c r="Q438" s="65" t="s">
        <v>110</v>
      </c>
      <c r="R438" s="15"/>
      <c r="S438" s="15"/>
      <c r="T438" s="15"/>
      <c r="U438" s="15"/>
      <c r="V438" s="15"/>
      <c r="W438" s="15"/>
      <c r="X438" s="15"/>
      <c r="Y438" s="11"/>
      <c r="Z438" s="15"/>
      <c r="AA438" s="15"/>
      <c r="AB438" s="15">
        <v>39.256999999999998</v>
      </c>
      <c r="AC438" s="15"/>
      <c r="AD438" s="15"/>
      <c r="AE438" s="39"/>
      <c r="AF438" s="15"/>
      <c r="AG438" s="39"/>
      <c r="AH438" s="39">
        <f t="shared" si="83"/>
        <v>39.256999999999998</v>
      </c>
    </row>
    <row r="439" spans="1:36" ht="15">
      <c r="A439" s="1522" t="s">
        <v>84</v>
      </c>
      <c r="B439" s="1090">
        <f t="shared" si="81"/>
        <v>40.965000000000003</v>
      </c>
      <c r="C439" s="1091"/>
      <c r="D439" s="1091"/>
      <c r="E439" s="1091"/>
      <c r="F439" s="1091"/>
      <c r="G439" s="1091"/>
      <c r="H439" s="1091"/>
      <c r="I439" s="1091"/>
      <c r="J439" s="1091"/>
      <c r="K439" s="1091"/>
      <c r="L439" s="1091"/>
      <c r="M439" s="1091"/>
      <c r="N439" s="1091"/>
      <c r="O439" s="1091"/>
      <c r="P439" s="1091"/>
      <c r="Q439" s="1091">
        <v>40.965000000000003</v>
      </c>
      <c r="R439" s="1091"/>
      <c r="S439" s="1091"/>
      <c r="T439" s="1091"/>
      <c r="U439" s="1091"/>
      <c r="V439" s="1091"/>
      <c r="W439" s="1091"/>
      <c r="X439" s="1091"/>
      <c r="Y439" s="1091"/>
      <c r="Z439" s="1091"/>
      <c r="AA439" s="1091"/>
      <c r="AB439" s="1091"/>
      <c r="AC439" s="1091"/>
      <c r="AD439" s="1091"/>
      <c r="AE439" s="1268"/>
      <c r="AF439" s="1091"/>
      <c r="AG439" s="1268"/>
      <c r="AH439" s="39">
        <f>SUM(C439:AG439)</f>
        <v>40.965000000000003</v>
      </c>
    </row>
    <row r="440" spans="1:36" ht="15">
      <c r="A440" s="71" t="s">
        <v>72</v>
      </c>
      <c r="B440" s="74">
        <f>SUM(B428:B439)</f>
        <v>325.80899999999997</v>
      </c>
      <c r="C440" s="32">
        <f>SUM(C428:C438)</f>
        <v>0</v>
      </c>
      <c r="D440" s="39">
        <f>SUM(D428:D438)</f>
        <v>0</v>
      </c>
      <c r="E440" s="39">
        <v>0</v>
      </c>
      <c r="F440" s="39">
        <f t="shared" ref="F440:AC440" si="84">SUM(F428:F438)</f>
        <v>0</v>
      </c>
      <c r="G440" s="39">
        <f t="shared" si="84"/>
        <v>0</v>
      </c>
      <c r="H440" s="39">
        <f t="shared" si="84"/>
        <v>0</v>
      </c>
      <c r="I440" s="39">
        <f t="shared" si="84"/>
        <v>0</v>
      </c>
      <c r="J440" s="39">
        <f t="shared" si="84"/>
        <v>0</v>
      </c>
      <c r="K440" s="39">
        <f t="shared" si="84"/>
        <v>0</v>
      </c>
      <c r="L440" s="39">
        <f t="shared" si="84"/>
        <v>0</v>
      </c>
      <c r="M440" s="39">
        <f t="shared" si="84"/>
        <v>0</v>
      </c>
      <c r="N440" s="39">
        <f t="shared" si="84"/>
        <v>1.7869999999999999</v>
      </c>
      <c r="O440" s="39">
        <f t="shared" si="84"/>
        <v>0</v>
      </c>
      <c r="P440" s="39">
        <f t="shared" si="84"/>
        <v>0</v>
      </c>
      <c r="Q440" s="39">
        <f t="shared" si="84"/>
        <v>0</v>
      </c>
      <c r="R440" s="39">
        <f t="shared" si="84"/>
        <v>0</v>
      </c>
      <c r="S440" s="39">
        <f t="shared" si="84"/>
        <v>0</v>
      </c>
      <c r="T440" s="39">
        <f t="shared" si="84"/>
        <v>0</v>
      </c>
      <c r="U440" s="39">
        <f t="shared" si="84"/>
        <v>52.104999999999997</v>
      </c>
      <c r="V440" s="39">
        <f t="shared" si="84"/>
        <v>0</v>
      </c>
      <c r="W440" s="39">
        <f t="shared" si="84"/>
        <v>49.21</v>
      </c>
      <c r="X440" s="39">
        <f t="shared" si="84"/>
        <v>32.777999999999999</v>
      </c>
      <c r="Y440" s="39">
        <f t="shared" si="84"/>
        <v>27.275999999999996</v>
      </c>
      <c r="Z440" s="39">
        <f t="shared" si="84"/>
        <v>0</v>
      </c>
      <c r="AA440" s="39">
        <f t="shared" si="84"/>
        <v>0</v>
      </c>
      <c r="AB440" s="39">
        <f t="shared" si="84"/>
        <v>61.792000000000002</v>
      </c>
      <c r="AC440" s="39">
        <f t="shared" si="84"/>
        <v>17.004999999999999</v>
      </c>
      <c r="AD440" s="39">
        <v>0</v>
      </c>
      <c r="AE440" s="39">
        <f>SUM(AE428:AE438)</f>
        <v>0</v>
      </c>
      <c r="AF440" s="39">
        <f>SUM(AF428:AF438)</f>
        <v>0</v>
      </c>
      <c r="AG440" s="39">
        <f>SUM(AG428:AG438)</f>
        <v>0</v>
      </c>
      <c r="AH440" s="32">
        <f>SUM(AH428:AH438)</f>
        <v>284.84399999999994</v>
      </c>
    </row>
    <row r="441" spans="1:36" ht="15">
      <c r="A441" s="1682"/>
      <c r="B441" s="1687"/>
      <c r="C441" s="1686"/>
      <c r="D441" s="1686"/>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13"/>
    </row>
    <row r="442" spans="1:36" ht="20.399999999999999">
      <c r="A442" s="3856" t="s">
        <v>61</v>
      </c>
      <c r="B442" s="3857"/>
      <c r="C442" s="3857"/>
      <c r="D442" s="3857"/>
      <c r="E442" s="3857"/>
      <c r="F442" s="3857"/>
      <c r="G442" s="3857"/>
      <c r="H442" s="3858"/>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row>
    <row r="443" spans="1:36" ht="15">
      <c r="A443" s="5" t="s">
        <v>89</v>
      </c>
      <c r="B443" s="56" t="s">
        <v>71</v>
      </c>
      <c r="C443" s="1039">
        <v>1</v>
      </c>
      <c r="D443" s="21">
        <v>2</v>
      </c>
      <c r="E443" s="21">
        <v>3</v>
      </c>
      <c r="F443" s="21">
        <v>4</v>
      </c>
      <c r="G443" s="21">
        <v>5</v>
      </c>
      <c r="H443" s="21">
        <v>6</v>
      </c>
      <c r="I443" s="21">
        <v>7</v>
      </c>
      <c r="J443" s="21">
        <v>8</v>
      </c>
      <c r="K443" s="21">
        <v>9</v>
      </c>
      <c r="L443" s="21">
        <v>10</v>
      </c>
      <c r="M443" s="21">
        <v>11</v>
      </c>
      <c r="N443" s="21">
        <v>12</v>
      </c>
      <c r="O443" s="21">
        <v>13</v>
      </c>
      <c r="P443" s="21">
        <v>14</v>
      </c>
      <c r="Q443" s="21">
        <v>15</v>
      </c>
      <c r="R443" s="21">
        <v>16</v>
      </c>
      <c r="S443" s="21">
        <v>17</v>
      </c>
      <c r="T443" s="21">
        <v>18</v>
      </c>
      <c r="U443" s="21">
        <v>19</v>
      </c>
      <c r="V443" s="21">
        <v>20</v>
      </c>
      <c r="W443" s="21">
        <v>21</v>
      </c>
      <c r="X443" s="21">
        <v>22</v>
      </c>
      <c r="Y443" s="21">
        <v>23</v>
      </c>
      <c r="Z443" s="21">
        <v>24</v>
      </c>
      <c r="AA443" s="21">
        <v>25</v>
      </c>
      <c r="AB443" s="21">
        <v>26</v>
      </c>
      <c r="AC443" s="21">
        <v>27</v>
      </c>
      <c r="AD443" s="21">
        <v>28</v>
      </c>
      <c r="AE443" s="21">
        <v>29</v>
      </c>
      <c r="AF443" s="21">
        <v>30</v>
      </c>
      <c r="AG443" s="21">
        <v>31</v>
      </c>
      <c r="AH443" s="25" t="s">
        <v>72</v>
      </c>
      <c r="AI443" s="2266" t="s">
        <v>1345</v>
      </c>
      <c r="AJ443" s="66">
        <f>(B456/COUNTIF($C$444:$AG$455,"&gt;0"))</f>
        <v>11.769727272727271</v>
      </c>
    </row>
    <row r="444" spans="1:36" ht="15">
      <c r="A444" s="21" t="s">
        <v>73</v>
      </c>
      <c r="B444" s="97">
        <f t="shared" ref="B444:B455" si="85">+AH444</f>
        <v>24.752000000000002</v>
      </c>
      <c r="C444" s="1591"/>
      <c r="D444" s="1591"/>
      <c r="E444" s="1591"/>
      <c r="F444" s="1591"/>
      <c r="G444" s="1591"/>
      <c r="H444" s="1591"/>
      <c r="I444" s="1591"/>
      <c r="J444" s="1591"/>
      <c r="K444" s="1591"/>
      <c r="L444" s="1591"/>
      <c r="M444" s="1591"/>
      <c r="N444" s="1591"/>
      <c r="O444" s="1591"/>
      <c r="P444" s="1591"/>
      <c r="Q444" s="1591"/>
      <c r="R444" s="1591"/>
      <c r="S444" s="1591"/>
      <c r="T444" s="1591"/>
      <c r="U444" s="1591"/>
      <c r="V444" s="1591"/>
      <c r="W444" s="1591"/>
      <c r="X444" s="1591"/>
      <c r="Y444" s="1591"/>
      <c r="Z444" s="1591"/>
      <c r="AA444" s="1591"/>
      <c r="AB444" s="1591"/>
      <c r="AC444" s="1591"/>
      <c r="AD444" s="1591"/>
      <c r="AE444" s="1591"/>
      <c r="AF444" s="1591">
        <v>24.71</v>
      </c>
      <c r="AG444" s="1591">
        <v>4.2000000000000003E-2</v>
      </c>
      <c r="AH444" s="39">
        <f>SUM(C444:AG444)</f>
        <v>24.752000000000002</v>
      </c>
      <c r="AJ444" s="66">
        <f>+'Resumen RAE S.Común'!G263</f>
        <v>207.87200000000001</v>
      </c>
    </row>
    <row r="445" spans="1:36" ht="15">
      <c r="A445" s="21" t="s">
        <v>74</v>
      </c>
      <c r="B445" s="364">
        <f t="shared" si="85"/>
        <v>4.8239999999999998</v>
      </c>
      <c r="C445" s="1591" t="s">
        <v>127</v>
      </c>
      <c r="D445" s="1591" t="s">
        <v>127</v>
      </c>
      <c r="E445" s="1591" t="s">
        <v>127</v>
      </c>
      <c r="F445" s="1591" t="s">
        <v>127</v>
      </c>
      <c r="G445" s="1591" t="s">
        <v>127</v>
      </c>
      <c r="H445" s="1591">
        <v>3.7440000000000002</v>
      </c>
      <c r="I445" s="1591" t="s">
        <v>127</v>
      </c>
      <c r="J445" s="1591" t="s">
        <v>127</v>
      </c>
      <c r="K445" s="1591" t="s">
        <v>127</v>
      </c>
      <c r="L445" s="1591" t="s">
        <v>127</v>
      </c>
      <c r="M445" s="1591" t="s">
        <v>127</v>
      </c>
      <c r="N445" s="1591">
        <v>1.08</v>
      </c>
      <c r="O445" s="1591" t="s">
        <v>127</v>
      </c>
      <c r="P445" s="1591" t="s">
        <v>127</v>
      </c>
      <c r="Q445" s="1591" t="s">
        <v>127</v>
      </c>
      <c r="R445" s="1591" t="s">
        <v>127</v>
      </c>
      <c r="S445" s="1591" t="s">
        <v>127</v>
      </c>
      <c r="T445" s="1591" t="s">
        <v>127</v>
      </c>
      <c r="U445" s="1591" t="s">
        <v>127</v>
      </c>
      <c r="V445" s="1591" t="s">
        <v>127</v>
      </c>
      <c r="W445" s="1591" t="s">
        <v>127</v>
      </c>
      <c r="X445" s="1591" t="s">
        <v>127</v>
      </c>
      <c r="Y445" s="1591" t="s">
        <v>127</v>
      </c>
      <c r="Z445" s="1591" t="s">
        <v>127</v>
      </c>
      <c r="AA445" s="1591" t="s">
        <v>127</v>
      </c>
      <c r="AB445" s="1591" t="s">
        <v>127</v>
      </c>
      <c r="AC445" s="1591" t="s">
        <v>127</v>
      </c>
      <c r="AD445" s="1591" t="s">
        <v>127</v>
      </c>
      <c r="AE445" s="1591" t="s">
        <v>127</v>
      </c>
      <c r="AF445" s="1591" t="s">
        <v>127</v>
      </c>
      <c r="AG445" s="1591" t="s">
        <v>127</v>
      </c>
      <c r="AH445" s="39">
        <f t="shared" ref="AH445:AH455" si="86">SUM(C445:AG445)</f>
        <v>4.8239999999999998</v>
      </c>
      <c r="AJ445" s="1093">
        <f>+AJ444/AJ443</f>
        <v>17.661581715804029</v>
      </c>
    </row>
    <row r="446" spans="1:36" ht="15">
      <c r="A446" s="2134" t="s">
        <v>75</v>
      </c>
      <c r="B446" s="2135">
        <f t="shared" si="85"/>
        <v>0</v>
      </c>
      <c r="C446" s="2479" t="s">
        <v>1137</v>
      </c>
      <c r="D446" s="1689"/>
      <c r="E446" s="1689"/>
      <c r="F446" s="1689"/>
      <c r="G446" s="1689"/>
      <c r="H446" s="1091"/>
      <c r="I446" s="1091"/>
      <c r="J446" s="1091"/>
      <c r="K446" s="1091"/>
      <c r="L446" s="1091"/>
      <c r="M446" s="1091"/>
      <c r="N446" s="1091"/>
      <c r="O446" s="1091"/>
      <c r="P446" s="1091"/>
      <c r="Q446" s="1084"/>
      <c r="R446" s="1084"/>
      <c r="S446" s="1084"/>
      <c r="T446" s="1084"/>
      <c r="U446" s="1084"/>
      <c r="V446" s="1084"/>
      <c r="W446" s="1084"/>
      <c r="X446" s="1084"/>
      <c r="Y446" s="1084"/>
      <c r="Z446" s="1084"/>
      <c r="AA446" s="1084"/>
      <c r="AB446" s="1084"/>
      <c r="AC446" s="1084"/>
      <c r="AD446" s="1084"/>
      <c r="AE446" s="1084"/>
      <c r="AF446" s="1084"/>
      <c r="AG446" s="1084"/>
      <c r="AH446" s="39">
        <f t="shared" si="86"/>
        <v>0</v>
      </c>
    </row>
    <row r="447" spans="1:36" s="96" customFormat="1" ht="15">
      <c r="A447" s="98" t="s">
        <v>76</v>
      </c>
      <c r="B447" s="364">
        <f t="shared" si="85"/>
        <v>39.652999999999999</v>
      </c>
      <c r="C447" s="1084">
        <v>26.093</v>
      </c>
      <c r="D447" s="1084" t="s">
        <v>127</v>
      </c>
      <c r="E447" s="1084" t="s">
        <v>127</v>
      </c>
      <c r="F447" s="1084">
        <v>13.56</v>
      </c>
      <c r="G447" s="1084"/>
      <c r="H447" s="1084"/>
      <c r="I447" s="1084"/>
      <c r="J447" s="1084"/>
      <c r="K447" s="1084"/>
      <c r="L447" s="1084"/>
      <c r="M447" s="1084"/>
      <c r="N447" s="1084"/>
      <c r="O447" s="1084"/>
      <c r="P447" s="1084"/>
      <c r="Q447" s="1084"/>
      <c r="R447" s="1084"/>
      <c r="S447" s="1084"/>
      <c r="T447" s="1084"/>
      <c r="U447" s="1084"/>
      <c r="V447" s="1084"/>
      <c r="W447" s="1084"/>
      <c r="X447" s="1084"/>
      <c r="Y447" s="1084"/>
      <c r="Z447" s="1084"/>
      <c r="AA447" s="1084"/>
      <c r="AB447" s="1084"/>
      <c r="AC447" s="1084"/>
      <c r="AD447" s="1084"/>
      <c r="AE447" s="1084"/>
      <c r="AF447" s="897" t="s">
        <v>110</v>
      </c>
      <c r="AG447" s="897" t="s">
        <v>110</v>
      </c>
      <c r="AH447" s="180">
        <f t="shared" si="86"/>
        <v>39.652999999999999</v>
      </c>
    </row>
    <row r="448" spans="1:36" ht="15">
      <c r="A448" s="21" t="s">
        <v>77</v>
      </c>
      <c r="B448" s="97">
        <f t="shared" si="85"/>
        <v>0</v>
      </c>
      <c r="C448" s="1084" t="s">
        <v>110</v>
      </c>
      <c r="D448" s="1084" t="s">
        <v>110</v>
      </c>
      <c r="E448" s="1084" t="s">
        <v>110</v>
      </c>
      <c r="F448" s="1084" t="s">
        <v>110</v>
      </c>
      <c r="G448" s="1084" t="s">
        <v>110</v>
      </c>
      <c r="H448" s="1084" t="s">
        <v>110</v>
      </c>
      <c r="I448" s="1084" t="s">
        <v>110</v>
      </c>
      <c r="J448" s="1084" t="s">
        <v>110</v>
      </c>
      <c r="K448" s="1084" t="s">
        <v>110</v>
      </c>
      <c r="L448" s="1084" t="s">
        <v>110</v>
      </c>
      <c r="M448" s="1084" t="s">
        <v>110</v>
      </c>
      <c r="N448" s="1084" t="s">
        <v>110</v>
      </c>
      <c r="O448" s="1084" t="s">
        <v>110</v>
      </c>
      <c r="P448" s="1084" t="s">
        <v>110</v>
      </c>
      <c r="Q448" s="1084" t="s">
        <v>110</v>
      </c>
      <c r="R448" s="1091"/>
      <c r="S448" s="1091"/>
      <c r="T448" s="1091"/>
      <c r="U448" s="1091"/>
      <c r="V448" s="1091"/>
      <c r="W448" s="1091"/>
      <c r="X448" s="1091"/>
      <c r="Y448" s="1091"/>
      <c r="Z448" s="1091"/>
      <c r="AA448" s="1091"/>
      <c r="AB448" s="1091"/>
      <c r="AC448" s="1091"/>
      <c r="AD448" s="1091"/>
      <c r="AE448" s="1091"/>
      <c r="AF448" s="1091"/>
      <c r="AG448" s="1091"/>
      <c r="AH448" s="39">
        <f t="shared" si="86"/>
        <v>0</v>
      </c>
    </row>
    <row r="449" spans="1:122" ht="15">
      <c r="A449" s="21" t="s">
        <v>78</v>
      </c>
      <c r="B449" s="97">
        <f t="shared" si="85"/>
        <v>0</v>
      </c>
      <c r="C449" s="3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39">
        <f t="shared" si="86"/>
        <v>0</v>
      </c>
    </row>
    <row r="450" spans="1:122" ht="15">
      <c r="A450" s="21" t="s">
        <v>79</v>
      </c>
      <c r="B450" s="100">
        <f t="shared" si="85"/>
        <v>0</v>
      </c>
      <c r="C450" s="35"/>
      <c r="D450" s="39"/>
      <c r="E450" s="39"/>
      <c r="F450" s="39"/>
      <c r="G450" s="15"/>
      <c r="H450" s="15"/>
      <c r="I450" s="15"/>
      <c r="J450" s="43"/>
      <c r="K450" s="43"/>
      <c r="L450" s="39"/>
      <c r="M450" s="39"/>
      <c r="N450" s="39"/>
      <c r="O450" s="39"/>
      <c r="P450" s="39"/>
      <c r="Q450" s="39"/>
      <c r="R450" s="39"/>
      <c r="S450" s="39"/>
      <c r="T450" s="39"/>
      <c r="U450" s="39"/>
      <c r="V450" s="39"/>
      <c r="W450" s="897" t="s">
        <v>110</v>
      </c>
      <c r="X450" s="897" t="s">
        <v>110</v>
      </c>
      <c r="Y450" s="897" t="s">
        <v>110</v>
      </c>
      <c r="Z450" s="897" t="s">
        <v>110</v>
      </c>
      <c r="AA450" s="897" t="s">
        <v>110</v>
      </c>
      <c r="AB450" s="897" t="s">
        <v>110</v>
      </c>
      <c r="AC450" s="897" t="s">
        <v>110</v>
      </c>
      <c r="AD450" s="897" t="s">
        <v>110</v>
      </c>
      <c r="AE450" s="897" t="s">
        <v>110</v>
      </c>
      <c r="AF450" s="897" t="s">
        <v>110</v>
      </c>
      <c r="AG450" s="897" t="s">
        <v>110</v>
      </c>
      <c r="AH450" s="39">
        <f t="shared" si="86"/>
        <v>0</v>
      </c>
    </row>
    <row r="451" spans="1:122" s="96" customFormat="1" ht="15">
      <c r="A451" s="98" t="s">
        <v>80</v>
      </c>
      <c r="B451" s="100">
        <f t="shared" si="85"/>
        <v>0</v>
      </c>
      <c r="C451" s="897"/>
      <c r="D451" s="897" t="s">
        <v>110</v>
      </c>
      <c r="E451" s="897" t="s">
        <v>110</v>
      </c>
      <c r="F451" s="897" t="s">
        <v>110</v>
      </c>
      <c r="G451" s="897" t="s">
        <v>110</v>
      </c>
      <c r="H451" s="897" t="s">
        <v>110</v>
      </c>
      <c r="I451" s="897" t="s">
        <v>110</v>
      </c>
      <c r="J451" s="897" t="s">
        <v>110</v>
      </c>
      <c r="K451" s="897" t="s">
        <v>110</v>
      </c>
      <c r="L451" s="897" t="s">
        <v>110</v>
      </c>
      <c r="M451" s="897" t="s">
        <v>110</v>
      </c>
      <c r="N451" s="897" t="s">
        <v>110</v>
      </c>
      <c r="O451" s="897" t="s">
        <v>110</v>
      </c>
      <c r="P451" s="897" t="s">
        <v>110</v>
      </c>
      <c r="Q451" s="897" t="s">
        <v>110</v>
      </c>
      <c r="R451" s="897" t="s">
        <v>110</v>
      </c>
      <c r="S451" s="897" t="s">
        <v>110</v>
      </c>
      <c r="T451" s="897" t="s">
        <v>110</v>
      </c>
      <c r="U451" s="897" t="s">
        <v>110</v>
      </c>
      <c r="V451" s="897" t="s">
        <v>110</v>
      </c>
      <c r="W451" s="897" t="s">
        <v>110</v>
      </c>
      <c r="X451" s="897" t="s">
        <v>110</v>
      </c>
      <c r="Y451" s="897" t="s">
        <v>110</v>
      </c>
      <c r="Z451" s="897" t="s">
        <v>110</v>
      </c>
      <c r="AA451" s="897" t="s">
        <v>110</v>
      </c>
      <c r="AB451" s="897" t="s">
        <v>110</v>
      </c>
      <c r="AC451" s="897" t="s">
        <v>110</v>
      </c>
      <c r="AD451" s="897" t="s">
        <v>110</v>
      </c>
      <c r="AE451" s="897" t="s">
        <v>110</v>
      </c>
      <c r="AF451" s="897" t="s">
        <v>110</v>
      </c>
      <c r="AG451" s="897" t="s">
        <v>110</v>
      </c>
      <c r="AH451" s="99">
        <f t="shared" si="86"/>
        <v>0</v>
      </c>
    </row>
    <row r="452" spans="1:122" ht="15">
      <c r="A452" s="21" t="s">
        <v>81</v>
      </c>
      <c r="B452" s="100">
        <f t="shared" si="85"/>
        <v>0</v>
      </c>
      <c r="C452" s="32"/>
      <c r="D452" s="39"/>
      <c r="E452" s="39"/>
      <c r="F452" s="39"/>
      <c r="G452" s="39"/>
      <c r="H452" s="39"/>
      <c r="I452" s="39"/>
      <c r="J452" s="43"/>
      <c r="K452" s="43"/>
      <c r="L452" s="15"/>
      <c r="M452" s="15"/>
      <c r="N452" s="15"/>
      <c r="O452" s="15"/>
      <c r="P452" s="15"/>
      <c r="Q452" s="897" t="s">
        <v>110</v>
      </c>
      <c r="R452" s="897" t="s">
        <v>110</v>
      </c>
      <c r="S452" s="897" t="s">
        <v>110</v>
      </c>
      <c r="T452" s="897" t="s">
        <v>110</v>
      </c>
      <c r="U452" s="897" t="s">
        <v>110</v>
      </c>
      <c r="V452" s="897" t="s">
        <v>110</v>
      </c>
      <c r="W452" s="897" t="s">
        <v>110</v>
      </c>
      <c r="X452" s="897" t="s">
        <v>110</v>
      </c>
      <c r="Y452" s="897" t="s">
        <v>110</v>
      </c>
      <c r="Z452" s="897" t="s">
        <v>110</v>
      </c>
      <c r="AA452" s="897" t="s">
        <v>110</v>
      </c>
      <c r="AB452" s="897" t="s">
        <v>110</v>
      </c>
      <c r="AC452" s="897" t="s">
        <v>110</v>
      </c>
      <c r="AD452" s="897" t="s">
        <v>110</v>
      </c>
      <c r="AE452" s="897" t="s">
        <v>110</v>
      </c>
      <c r="AF452" s="897" t="s">
        <v>110</v>
      </c>
      <c r="AG452" s="897" t="s">
        <v>110</v>
      </c>
      <c r="AH452" s="39">
        <f t="shared" si="86"/>
        <v>0</v>
      </c>
    </row>
    <row r="453" spans="1:122" ht="15">
      <c r="A453" s="21" t="s">
        <v>82</v>
      </c>
      <c r="B453" s="100">
        <f t="shared" si="85"/>
        <v>0</v>
      </c>
      <c r="C453" s="897" t="s">
        <v>110</v>
      </c>
      <c r="D453" s="897" t="s">
        <v>110</v>
      </c>
      <c r="E453" s="897" t="s">
        <v>110</v>
      </c>
      <c r="F453" s="897" t="s">
        <v>110</v>
      </c>
      <c r="G453" s="897" t="s">
        <v>110</v>
      </c>
      <c r="H453" s="897" t="s">
        <v>110</v>
      </c>
      <c r="I453" s="897" t="s">
        <v>110</v>
      </c>
      <c r="J453" s="897" t="s">
        <v>110</v>
      </c>
      <c r="K453" s="897" t="s">
        <v>110</v>
      </c>
      <c r="L453" s="897" t="s">
        <v>110</v>
      </c>
      <c r="M453" s="897" t="s">
        <v>110</v>
      </c>
      <c r="N453" s="897" t="s">
        <v>110</v>
      </c>
      <c r="O453" s="897" t="s">
        <v>110</v>
      </c>
      <c r="P453" s="897" t="s">
        <v>110</v>
      </c>
      <c r="Q453" s="897" t="s">
        <v>110</v>
      </c>
      <c r="R453" s="897" t="s">
        <v>110</v>
      </c>
      <c r="S453" s="897" t="s">
        <v>110</v>
      </c>
      <c r="T453" s="897" t="s">
        <v>110</v>
      </c>
      <c r="U453" s="897" t="s">
        <v>110</v>
      </c>
      <c r="V453" s="897" t="s">
        <v>110</v>
      </c>
      <c r="W453" s="897" t="s">
        <v>110</v>
      </c>
      <c r="X453" s="897" t="s">
        <v>110</v>
      </c>
      <c r="Y453" s="897" t="s">
        <v>110</v>
      </c>
      <c r="Z453" s="897" t="s">
        <v>110</v>
      </c>
      <c r="AA453" s="897" t="s">
        <v>110</v>
      </c>
      <c r="AB453" s="897" t="s">
        <v>110</v>
      </c>
      <c r="AC453" s="897" t="s">
        <v>110</v>
      </c>
      <c r="AD453" s="897" t="s">
        <v>110</v>
      </c>
      <c r="AE453" s="897" t="s">
        <v>110</v>
      </c>
      <c r="AF453" s="897" t="s">
        <v>110</v>
      </c>
      <c r="AG453" s="897" t="s">
        <v>110</v>
      </c>
      <c r="AH453" s="39">
        <f t="shared" si="86"/>
        <v>0</v>
      </c>
    </row>
    <row r="454" spans="1:122" ht="15">
      <c r="A454" s="21" t="s">
        <v>83</v>
      </c>
      <c r="B454" s="19">
        <f t="shared" si="85"/>
        <v>3.61</v>
      </c>
      <c r="C454" s="897" t="s">
        <v>110</v>
      </c>
      <c r="D454" s="897" t="s">
        <v>110</v>
      </c>
      <c r="E454" s="897" t="s">
        <v>110</v>
      </c>
      <c r="F454" s="897" t="s">
        <v>110</v>
      </c>
      <c r="G454" s="897" t="s">
        <v>110</v>
      </c>
      <c r="H454" s="897" t="s">
        <v>110</v>
      </c>
      <c r="I454" s="897" t="s">
        <v>110</v>
      </c>
      <c r="J454" s="897" t="s">
        <v>110</v>
      </c>
      <c r="K454" s="897" t="s">
        <v>110</v>
      </c>
      <c r="L454" s="897" t="s">
        <v>110</v>
      </c>
      <c r="M454" s="897" t="s">
        <v>110</v>
      </c>
      <c r="N454" s="897" t="s">
        <v>110</v>
      </c>
      <c r="O454" s="897" t="s">
        <v>110</v>
      </c>
      <c r="P454" s="897" t="s">
        <v>110</v>
      </c>
      <c r="Q454" s="897" t="s">
        <v>110</v>
      </c>
      <c r="R454" s="15"/>
      <c r="S454" s="15"/>
      <c r="T454" s="15"/>
      <c r="U454" s="15"/>
      <c r="V454" s="15"/>
      <c r="W454" s="15"/>
      <c r="X454" s="15"/>
      <c r="Y454" s="11"/>
      <c r="Z454" s="15"/>
      <c r="AA454" s="15">
        <v>3.61</v>
      </c>
      <c r="AB454" s="15"/>
      <c r="AC454" s="15"/>
      <c r="AD454" s="15"/>
      <c r="AE454" s="39"/>
      <c r="AF454" s="15"/>
      <c r="AG454" s="39"/>
      <c r="AH454" s="39">
        <f t="shared" si="86"/>
        <v>3.61</v>
      </c>
    </row>
    <row r="455" spans="1:122" ht="15">
      <c r="A455" s="21" t="s">
        <v>84</v>
      </c>
      <c r="B455" s="19">
        <f t="shared" si="85"/>
        <v>56.628</v>
      </c>
      <c r="C455" s="35"/>
      <c r="D455" s="15"/>
      <c r="E455" s="15"/>
      <c r="F455" s="15"/>
      <c r="G455" s="15"/>
      <c r="H455" s="15"/>
      <c r="I455" s="15"/>
      <c r="J455" s="15"/>
      <c r="K455" s="15">
        <v>12.76</v>
      </c>
      <c r="L455" s="15"/>
      <c r="M455" s="15"/>
      <c r="N455" s="15"/>
      <c r="O455" s="15">
        <v>25.873000000000001</v>
      </c>
      <c r="P455" s="15"/>
      <c r="Q455" s="15"/>
      <c r="R455" s="15"/>
      <c r="S455" s="15"/>
      <c r="T455" s="15"/>
      <c r="U455" s="15"/>
      <c r="V455" s="15">
        <v>4.1920000000000002</v>
      </c>
      <c r="W455" s="15"/>
      <c r="X455" s="15">
        <v>13.803000000000001</v>
      </c>
      <c r="Y455" s="15"/>
      <c r="Z455" s="15"/>
      <c r="AA455" s="15"/>
      <c r="AB455" s="15"/>
      <c r="AC455" s="15"/>
      <c r="AD455" s="15"/>
      <c r="AE455" s="39"/>
      <c r="AF455" s="15"/>
      <c r="AG455" s="39"/>
      <c r="AH455" s="39">
        <f t="shared" si="86"/>
        <v>56.628</v>
      </c>
    </row>
    <row r="456" spans="1:122" ht="15">
      <c r="A456" s="71" t="s">
        <v>72</v>
      </c>
      <c r="B456" s="74">
        <f>SUM(B444:B455)</f>
        <v>129.46699999999998</v>
      </c>
      <c r="C456" s="32">
        <f>SUM(C444:C454)</f>
        <v>26.093</v>
      </c>
      <c r="D456" s="39">
        <f>SUM(D444:D454)</f>
        <v>0</v>
      </c>
      <c r="E456" s="39">
        <v>0</v>
      </c>
      <c r="F456" s="39">
        <f t="shared" ref="F456:AC456" si="87">SUM(F444:F454)</f>
        <v>13.56</v>
      </c>
      <c r="G456" s="39">
        <f t="shared" si="87"/>
        <v>0</v>
      </c>
      <c r="H456" s="39">
        <f t="shared" si="87"/>
        <v>3.7440000000000002</v>
      </c>
      <c r="I456" s="39">
        <f t="shared" si="87"/>
        <v>0</v>
      </c>
      <c r="J456" s="39">
        <f t="shared" si="87"/>
        <v>0</v>
      </c>
      <c r="K456" s="39">
        <f t="shared" si="87"/>
        <v>0</v>
      </c>
      <c r="L456" s="39">
        <f t="shared" si="87"/>
        <v>0</v>
      </c>
      <c r="M456" s="39">
        <f t="shared" si="87"/>
        <v>0</v>
      </c>
      <c r="N456" s="39">
        <f t="shared" si="87"/>
        <v>1.08</v>
      </c>
      <c r="O456" s="39">
        <f t="shared" si="87"/>
        <v>0</v>
      </c>
      <c r="P456" s="39">
        <f t="shared" si="87"/>
        <v>0</v>
      </c>
      <c r="Q456" s="39">
        <f t="shared" si="87"/>
        <v>0</v>
      </c>
      <c r="R456" s="39">
        <f t="shared" si="87"/>
        <v>0</v>
      </c>
      <c r="S456" s="39">
        <f t="shared" si="87"/>
        <v>0</v>
      </c>
      <c r="T456" s="39">
        <f t="shared" si="87"/>
        <v>0</v>
      </c>
      <c r="U456" s="39">
        <f t="shared" si="87"/>
        <v>0</v>
      </c>
      <c r="V456" s="39">
        <f t="shared" si="87"/>
        <v>0</v>
      </c>
      <c r="W456" s="39">
        <f t="shared" si="87"/>
        <v>0</v>
      </c>
      <c r="X456" s="39">
        <f t="shared" si="87"/>
        <v>0</v>
      </c>
      <c r="Y456" s="39">
        <f t="shared" si="87"/>
        <v>0</v>
      </c>
      <c r="Z456" s="39">
        <f t="shared" si="87"/>
        <v>0</v>
      </c>
      <c r="AA456" s="39">
        <f t="shared" si="87"/>
        <v>3.61</v>
      </c>
      <c r="AB456" s="39">
        <f t="shared" si="87"/>
        <v>0</v>
      </c>
      <c r="AC456" s="39">
        <f t="shared" si="87"/>
        <v>0</v>
      </c>
      <c r="AD456" s="39">
        <v>0</v>
      </c>
      <c r="AE456" s="39">
        <f>SUM(AE444:AE454)</f>
        <v>0</v>
      </c>
      <c r="AF456" s="39">
        <f>SUM(AF444:AF454)</f>
        <v>24.71</v>
      </c>
      <c r="AG456" s="39">
        <f>SUM(AG444:AG454)</f>
        <v>4.2000000000000003E-2</v>
      </c>
      <c r="AH456" s="32">
        <f>SUM(AH444:AH454)</f>
        <v>72.838999999999999</v>
      </c>
    </row>
    <row r="457" spans="1:122" ht="5.0999999999999996" customHeight="1">
      <c r="A457" s="14"/>
      <c r="B457" s="55"/>
      <c r="C457" s="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
    </row>
    <row r="458" spans="1:122" ht="20.399999999999999">
      <c r="A458" s="3862" t="s">
        <v>527</v>
      </c>
      <c r="B458" s="3863"/>
      <c r="C458" s="3863"/>
      <c r="D458" s="3863"/>
      <c r="E458" s="3863"/>
      <c r="F458" s="3863"/>
      <c r="G458" s="3863"/>
      <c r="H458" s="3863"/>
      <c r="I458" s="3863"/>
      <c r="J458" s="3863"/>
      <c r="K458" s="3863"/>
      <c r="L458" s="3863"/>
      <c r="M458" s="3863"/>
      <c r="N458" s="3863"/>
      <c r="O458" s="3863"/>
      <c r="P458" s="11"/>
      <c r="Q458" s="11"/>
      <c r="R458" s="11"/>
      <c r="S458" s="11"/>
      <c r="T458" s="11"/>
      <c r="U458" s="11"/>
      <c r="V458" s="11"/>
      <c r="W458" s="11"/>
      <c r="X458" s="11"/>
      <c r="Y458" s="11"/>
      <c r="Z458" s="11"/>
      <c r="AA458" s="11"/>
      <c r="AB458" s="11"/>
      <c r="AC458" s="11"/>
      <c r="AD458" s="11"/>
      <c r="AE458" s="11"/>
      <c r="AF458" s="11"/>
      <c r="AG458" s="11"/>
      <c r="AH458" s="11"/>
    </row>
    <row r="459" spans="1:122" ht="15">
      <c r="A459" s="5" t="s">
        <v>89</v>
      </c>
      <c r="B459" s="56" t="s">
        <v>71</v>
      </c>
      <c r="C459" s="1039">
        <v>1</v>
      </c>
      <c r="D459" s="21">
        <v>2</v>
      </c>
      <c r="E459" s="21">
        <v>3</v>
      </c>
      <c r="F459" s="21">
        <v>4</v>
      </c>
      <c r="G459" s="21">
        <v>5</v>
      </c>
      <c r="H459" s="21">
        <v>6</v>
      </c>
      <c r="I459" s="21">
        <v>7</v>
      </c>
      <c r="J459" s="21">
        <v>8</v>
      </c>
      <c r="K459" s="21">
        <v>9</v>
      </c>
      <c r="L459" s="21">
        <v>10</v>
      </c>
      <c r="M459" s="21">
        <v>11</v>
      </c>
      <c r="N459" s="21">
        <v>12</v>
      </c>
      <c r="O459" s="21">
        <v>13</v>
      </c>
      <c r="P459" s="21">
        <v>14</v>
      </c>
      <c r="Q459" s="21">
        <v>15</v>
      </c>
      <c r="R459" s="21">
        <v>16</v>
      </c>
      <c r="S459" s="21">
        <v>17</v>
      </c>
      <c r="T459" s="21">
        <v>18</v>
      </c>
      <c r="U459" s="21">
        <v>19</v>
      </c>
      <c r="V459" s="21">
        <v>20</v>
      </c>
      <c r="W459" s="21">
        <v>21</v>
      </c>
      <c r="X459" s="21">
        <v>22</v>
      </c>
      <c r="Y459" s="21">
        <v>23</v>
      </c>
      <c r="Z459" s="21">
        <v>24</v>
      </c>
      <c r="AA459" s="21">
        <v>25</v>
      </c>
      <c r="AB459" s="21">
        <v>26</v>
      </c>
      <c r="AC459" s="21">
        <v>27</v>
      </c>
      <c r="AD459" s="21">
        <v>28</v>
      </c>
      <c r="AE459" s="21">
        <v>29</v>
      </c>
      <c r="AF459" s="21">
        <v>30</v>
      </c>
      <c r="AG459" s="21">
        <v>31</v>
      </c>
      <c r="AH459" s="25" t="s">
        <v>72</v>
      </c>
      <c r="AI459" s="2266" t="s">
        <v>1345</v>
      </c>
      <c r="AJ459" s="66" t="e">
        <f>(B472/COUNTIF($C$460:$AG$471,"&gt;0"))</f>
        <v>#DIV/0!</v>
      </c>
    </row>
    <row r="460" spans="1:122" ht="15">
      <c r="A460" s="21" t="s">
        <v>73</v>
      </c>
      <c r="B460" s="97">
        <f t="shared" ref="B460:B471" si="88">+AH460</f>
        <v>0</v>
      </c>
      <c r="C460" s="1091"/>
      <c r="D460" s="1091"/>
      <c r="E460" s="1091"/>
      <c r="F460" s="1091"/>
      <c r="G460" s="1091"/>
      <c r="H460" s="1091"/>
      <c r="I460" s="1091"/>
      <c r="J460" s="1091"/>
      <c r="K460" s="1091"/>
      <c r="L460" s="1091"/>
      <c r="M460" s="1091"/>
      <c r="N460" s="1091"/>
      <c r="O460" s="1091"/>
      <c r="P460" s="1091"/>
      <c r="Q460" s="1091"/>
      <c r="R460" s="1091"/>
      <c r="S460" s="1091"/>
      <c r="T460" s="1091"/>
      <c r="U460" s="1091"/>
      <c r="V460" s="1091"/>
      <c r="W460" s="1091"/>
      <c r="X460" s="1091"/>
      <c r="Y460" s="1091"/>
      <c r="Z460" s="1091"/>
      <c r="AA460" s="1091"/>
      <c r="AB460" s="1091"/>
      <c r="AC460" s="1091"/>
      <c r="AD460" s="1091"/>
      <c r="AE460" s="1091"/>
      <c r="AF460" s="1091"/>
      <c r="AG460" s="1091"/>
      <c r="AH460" s="39">
        <f t="shared" ref="AH460:AH471" si="89">SUM(C460:AG460)</f>
        <v>0</v>
      </c>
    </row>
    <row r="461" spans="1:122" ht="15">
      <c r="A461" s="21" t="s">
        <v>74</v>
      </c>
      <c r="B461" s="97">
        <f t="shared" si="88"/>
        <v>0</v>
      </c>
      <c r="C461" s="1091"/>
      <c r="D461" s="1091"/>
      <c r="E461" s="1091"/>
      <c r="F461" s="1091"/>
      <c r="G461" s="1091"/>
      <c r="H461" s="1091"/>
      <c r="I461" s="1091"/>
      <c r="J461" s="1091"/>
      <c r="K461" s="1091"/>
      <c r="L461" s="1091"/>
      <c r="M461" s="1091"/>
      <c r="N461" s="1091"/>
      <c r="O461" s="1091"/>
      <c r="P461" s="1091"/>
      <c r="Q461" s="1091"/>
      <c r="R461" s="1091"/>
      <c r="S461" s="1091"/>
      <c r="T461" s="1091"/>
      <c r="U461" s="1091"/>
      <c r="V461" s="1091"/>
      <c r="W461" s="1091"/>
      <c r="X461" s="1091"/>
      <c r="Y461" s="1091"/>
      <c r="Z461" s="1091"/>
      <c r="AA461" s="1091"/>
      <c r="AB461" s="1091"/>
      <c r="AC461" s="1091"/>
      <c r="AD461" s="1091"/>
      <c r="AE461" s="1091"/>
      <c r="AF461" s="1091"/>
      <c r="AG461" s="1091"/>
      <c r="AH461" s="39">
        <f t="shared" si="89"/>
        <v>0</v>
      </c>
    </row>
    <row r="462" spans="1:122" ht="15">
      <c r="A462" s="21" t="s">
        <v>75</v>
      </c>
      <c r="B462" s="97">
        <f t="shared" si="88"/>
        <v>0</v>
      </c>
      <c r="C462" s="1689"/>
      <c r="D462" s="1689"/>
      <c r="E462" s="1689"/>
      <c r="F462" s="1689"/>
      <c r="G462" s="1689"/>
      <c r="H462" s="1091"/>
      <c r="I462" s="1091"/>
      <c r="J462" s="1091"/>
      <c r="K462" s="1091"/>
      <c r="L462" s="1091"/>
      <c r="M462" s="1091"/>
      <c r="N462" s="1091"/>
      <c r="O462" s="1091"/>
      <c r="P462" s="1091"/>
      <c r="Q462" s="1084"/>
      <c r="R462" s="1084"/>
      <c r="S462" s="1084"/>
      <c r="T462" s="1084"/>
      <c r="U462" s="1084"/>
      <c r="V462" s="1084"/>
      <c r="W462" s="1084"/>
      <c r="X462" s="1084"/>
      <c r="Y462" s="1084"/>
      <c r="Z462" s="1084"/>
      <c r="AA462" s="1084"/>
      <c r="AB462" s="1084"/>
      <c r="AC462" s="1084"/>
      <c r="AD462" s="1084"/>
      <c r="AE462" s="1084"/>
      <c r="AF462" s="1084"/>
      <c r="AG462" s="1084"/>
      <c r="AH462" s="39">
        <f t="shared" si="89"/>
        <v>0</v>
      </c>
    </row>
    <row r="463" spans="1:122" s="87" customFormat="1" ht="15">
      <c r="A463" s="98" t="s">
        <v>76</v>
      </c>
      <c r="B463" s="97">
        <f t="shared" si="88"/>
        <v>0</v>
      </c>
      <c r="C463" s="1084"/>
      <c r="D463" s="1084"/>
      <c r="E463" s="1084"/>
      <c r="F463" s="1084"/>
      <c r="G463" s="1084"/>
      <c r="H463" s="1084"/>
      <c r="I463" s="1084"/>
      <c r="J463" s="1084"/>
      <c r="K463" s="1084"/>
      <c r="L463" s="1084"/>
      <c r="M463" s="1084"/>
      <c r="N463" s="1084"/>
      <c r="O463" s="1084"/>
      <c r="P463" s="1084"/>
      <c r="Q463" s="1084"/>
      <c r="R463" s="1084"/>
      <c r="S463" s="1084"/>
      <c r="T463" s="1084"/>
      <c r="U463" s="1084"/>
      <c r="V463" s="1084"/>
      <c r="W463" s="1084"/>
      <c r="X463" s="1084"/>
      <c r="Y463" s="1084"/>
      <c r="Z463" s="1084"/>
      <c r="AA463" s="1084"/>
      <c r="AB463" s="1084"/>
      <c r="AC463" s="1084"/>
      <c r="AD463" s="1084"/>
      <c r="AE463" s="1084"/>
      <c r="AF463" s="1084" t="s">
        <v>110</v>
      </c>
      <c r="AG463" s="1084" t="s">
        <v>110</v>
      </c>
      <c r="AH463" s="1268">
        <f t="shared" si="89"/>
        <v>0</v>
      </c>
      <c r="AI463" s="1269"/>
      <c r="AJ463" s="1269"/>
      <c r="AK463" s="1269"/>
      <c r="AL463" s="1269"/>
      <c r="AM463" s="1269"/>
      <c r="AN463" s="1269"/>
      <c r="AO463" s="1269"/>
      <c r="AP463" s="1269"/>
      <c r="AQ463" s="1269"/>
      <c r="AR463" s="1269"/>
      <c r="AS463" s="1269"/>
      <c r="AT463" s="1269"/>
      <c r="AU463" s="1269"/>
      <c r="AV463" s="1269"/>
      <c r="AW463" s="1269"/>
      <c r="AX463" s="1269"/>
      <c r="AY463" s="1269"/>
      <c r="AZ463" s="1269"/>
      <c r="BA463" s="1269"/>
      <c r="BB463" s="1269"/>
      <c r="BC463" s="1269"/>
      <c r="BD463" s="1269"/>
      <c r="BE463" s="1269"/>
      <c r="BF463" s="1269"/>
      <c r="BG463" s="1269"/>
      <c r="BH463" s="1269"/>
      <c r="BI463" s="1269"/>
      <c r="BJ463" s="1269"/>
      <c r="BK463" s="1269"/>
      <c r="BL463" s="1269"/>
      <c r="BM463" s="1269"/>
      <c r="BN463" s="1269"/>
      <c r="BO463" s="1269"/>
      <c r="BP463" s="1269"/>
      <c r="BQ463" s="1269"/>
      <c r="BR463" s="1269"/>
      <c r="BS463" s="1269"/>
      <c r="BT463" s="1269"/>
      <c r="BU463" s="1269"/>
      <c r="BV463" s="1269"/>
      <c r="BW463" s="1269"/>
      <c r="BX463" s="1269"/>
      <c r="BY463" s="1269"/>
      <c r="BZ463" s="1269"/>
      <c r="CA463" s="1269"/>
      <c r="CB463" s="1269"/>
      <c r="CC463" s="1269"/>
      <c r="CD463" s="1269"/>
      <c r="CE463" s="1269"/>
      <c r="CF463" s="1269"/>
      <c r="CG463" s="1269"/>
      <c r="CH463" s="1269"/>
      <c r="CI463" s="1269"/>
      <c r="CJ463" s="1269"/>
      <c r="CK463" s="1269"/>
      <c r="CL463" s="1269"/>
      <c r="CM463" s="1269"/>
      <c r="CN463" s="1269"/>
      <c r="CO463" s="1269"/>
      <c r="CP463" s="1269"/>
      <c r="CQ463" s="1269"/>
      <c r="CR463" s="1269"/>
      <c r="CS463" s="1269"/>
      <c r="CT463" s="1269"/>
      <c r="CU463" s="1269"/>
      <c r="CV463" s="1269"/>
      <c r="CW463" s="1269"/>
      <c r="CX463" s="1269"/>
      <c r="CY463" s="1269"/>
      <c r="CZ463" s="1269"/>
      <c r="DA463" s="1269"/>
      <c r="DB463" s="1269"/>
      <c r="DC463" s="1269"/>
      <c r="DD463" s="1269"/>
      <c r="DE463" s="1269"/>
      <c r="DF463" s="1269"/>
      <c r="DG463" s="1269"/>
      <c r="DH463" s="1269"/>
      <c r="DI463" s="1269"/>
      <c r="DJ463" s="1269"/>
      <c r="DK463" s="1269"/>
      <c r="DL463" s="1269"/>
      <c r="DM463" s="1269"/>
      <c r="DN463" s="1269"/>
      <c r="DO463" s="1269"/>
      <c r="DP463" s="1269"/>
      <c r="DQ463" s="1269"/>
      <c r="DR463" s="1269"/>
    </row>
    <row r="464" spans="1:122" ht="15">
      <c r="A464" s="21" t="s">
        <v>77</v>
      </c>
      <c r="B464" s="97">
        <f t="shared" si="88"/>
        <v>0</v>
      </c>
      <c r="C464" s="1084" t="s">
        <v>110</v>
      </c>
      <c r="D464" s="1084" t="s">
        <v>110</v>
      </c>
      <c r="E464" s="1084" t="s">
        <v>110</v>
      </c>
      <c r="F464" s="1084" t="s">
        <v>110</v>
      </c>
      <c r="G464" s="1084" t="s">
        <v>110</v>
      </c>
      <c r="H464" s="1084" t="s">
        <v>110</v>
      </c>
      <c r="I464" s="1084" t="s">
        <v>110</v>
      </c>
      <c r="J464" s="1084" t="s">
        <v>110</v>
      </c>
      <c r="K464" s="1084" t="s">
        <v>110</v>
      </c>
      <c r="L464" s="1084" t="s">
        <v>110</v>
      </c>
      <c r="M464" s="1084" t="s">
        <v>110</v>
      </c>
      <c r="N464" s="1084" t="s">
        <v>110</v>
      </c>
      <c r="O464" s="1084" t="s">
        <v>110</v>
      </c>
      <c r="P464" s="1084" t="s">
        <v>110</v>
      </c>
      <c r="Q464" s="1084" t="s">
        <v>110</v>
      </c>
      <c r="R464" s="1091"/>
      <c r="S464" s="1091"/>
      <c r="T464" s="1091"/>
      <c r="U464" s="1091"/>
      <c r="V464" s="1091"/>
      <c r="W464" s="1091"/>
      <c r="X464" s="1091"/>
      <c r="Y464" s="1091"/>
      <c r="Z464" s="1091"/>
      <c r="AA464" s="1091"/>
      <c r="AB464" s="1091"/>
      <c r="AC464" s="1091"/>
      <c r="AD464" s="1091"/>
      <c r="AE464" s="1091"/>
      <c r="AF464" s="1091"/>
      <c r="AG464" s="1091"/>
      <c r="AH464" s="39">
        <f t="shared" si="89"/>
        <v>0</v>
      </c>
    </row>
    <row r="465" spans="1:36" ht="15">
      <c r="A465" s="21" t="s">
        <v>78</v>
      </c>
      <c r="B465" s="97">
        <f t="shared" si="88"/>
        <v>0</v>
      </c>
      <c r="C465" s="3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39">
        <f t="shared" si="89"/>
        <v>0</v>
      </c>
    </row>
    <row r="466" spans="1:36" ht="15">
      <c r="A466" s="21" t="s">
        <v>79</v>
      </c>
      <c r="B466" s="100">
        <f t="shared" si="88"/>
        <v>0</v>
      </c>
      <c r="C466" s="35"/>
      <c r="D466" s="39"/>
      <c r="E466" s="39"/>
      <c r="F466" s="39"/>
      <c r="G466" s="15"/>
      <c r="H466" s="15"/>
      <c r="I466" s="15"/>
      <c r="J466" s="43"/>
      <c r="K466" s="43"/>
      <c r="L466" s="39"/>
      <c r="M466" s="39"/>
      <c r="N466" s="39"/>
      <c r="O466" s="39"/>
      <c r="P466" s="39"/>
      <c r="Q466" s="39"/>
      <c r="R466" s="39"/>
      <c r="S466" s="39"/>
      <c r="T466" s="39"/>
      <c r="U466" s="39"/>
      <c r="V466" s="39"/>
      <c r="W466" s="897" t="s">
        <v>110</v>
      </c>
      <c r="X466" s="897" t="s">
        <v>110</v>
      </c>
      <c r="Y466" s="897" t="s">
        <v>110</v>
      </c>
      <c r="Z466" s="897" t="s">
        <v>110</v>
      </c>
      <c r="AA466" s="897" t="s">
        <v>110</v>
      </c>
      <c r="AB466" s="897" t="s">
        <v>110</v>
      </c>
      <c r="AC466" s="897" t="s">
        <v>110</v>
      </c>
      <c r="AD466" s="897" t="s">
        <v>110</v>
      </c>
      <c r="AE466" s="897" t="s">
        <v>110</v>
      </c>
      <c r="AF466" s="897" t="s">
        <v>110</v>
      </c>
      <c r="AG466" s="897" t="s">
        <v>110</v>
      </c>
      <c r="AH466" s="39">
        <f t="shared" si="89"/>
        <v>0</v>
      </c>
    </row>
    <row r="467" spans="1:36" ht="15">
      <c r="A467" s="21" t="s">
        <v>80</v>
      </c>
      <c r="B467" s="100">
        <f t="shared" si="88"/>
        <v>0</v>
      </c>
      <c r="C467" s="897" t="s">
        <v>110</v>
      </c>
      <c r="D467" s="897" t="s">
        <v>110</v>
      </c>
      <c r="E467" s="897" t="s">
        <v>110</v>
      </c>
      <c r="F467" s="897" t="s">
        <v>110</v>
      </c>
      <c r="G467" s="897" t="s">
        <v>110</v>
      </c>
      <c r="H467" s="897" t="s">
        <v>110</v>
      </c>
      <c r="I467" s="897" t="s">
        <v>110</v>
      </c>
      <c r="J467" s="897" t="s">
        <v>110</v>
      </c>
      <c r="K467" s="897" t="s">
        <v>110</v>
      </c>
      <c r="L467" s="897" t="s">
        <v>110</v>
      </c>
      <c r="M467" s="897" t="s">
        <v>110</v>
      </c>
      <c r="N467" s="897" t="s">
        <v>110</v>
      </c>
      <c r="O467" s="897" t="s">
        <v>110</v>
      </c>
      <c r="P467" s="897" t="s">
        <v>110</v>
      </c>
      <c r="Q467" s="897" t="s">
        <v>110</v>
      </c>
      <c r="R467" s="897" t="s">
        <v>110</v>
      </c>
      <c r="S467" s="897" t="s">
        <v>110</v>
      </c>
      <c r="T467" s="897" t="s">
        <v>110</v>
      </c>
      <c r="U467" s="897" t="s">
        <v>110</v>
      </c>
      <c r="V467" s="897" t="s">
        <v>110</v>
      </c>
      <c r="W467" s="897" t="s">
        <v>110</v>
      </c>
      <c r="X467" s="897" t="s">
        <v>110</v>
      </c>
      <c r="Y467" s="897" t="s">
        <v>110</v>
      </c>
      <c r="Z467" s="897" t="s">
        <v>110</v>
      </c>
      <c r="AA467" s="897" t="s">
        <v>110</v>
      </c>
      <c r="AB467" s="897" t="s">
        <v>110</v>
      </c>
      <c r="AC467" s="897" t="s">
        <v>110</v>
      </c>
      <c r="AD467" s="897" t="s">
        <v>110</v>
      </c>
      <c r="AE467" s="897" t="s">
        <v>110</v>
      </c>
      <c r="AF467" s="897" t="s">
        <v>110</v>
      </c>
      <c r="AG467" s="897" t="s">
        <v>110</v>
      </c>
      <c r="AH467" s="39">
        <f t="shared" si="89"/>
        <v>0</v>
      </c>
    </row>
    <row r="468" spans="1:36" ht="15">
      <c r="A468" s="21" t="s">
        <v>81</v>
      </c>
      <c r="B468" s="100">
        <f t="shared" si="88"/>
        <v>0</v>
      </c>
      <c r="C468" s="32"/>
      <c r="D468" s="39"/>
      <c r="E468" s="39"/>
      <c r="F468" s="39"/>
      <c r="G468" s="39"/>
      <c r="H468" s="39"/>
      <c r="I468" s="39"/>
      <c r="J468" s="43"/>
      <c r="K468" s="43"/>
      <c r="L468" s="15"/>
      <c r="M468" s="15"/>
      <c r="N468" s="15"/>
      <c r="O468" s="15"/>
      <c r="P468" s="15"/>
      <c r="Q468" s="897" t="s">
        <v>110</v>
      </c>
      <c r="R468" s="897" t="s">
        <v>110</v>
      </c>
      <c r="S468" s="897" t="s">
        <v>110</v>
      </c>
      <c r="T468" s="897" t="s">
        <v>110</v>
      </c>
      <c r="U468" s="897" t="s">
        <v>110</v>
      </c>
      <c r="V468" s="897" t="s">
        <v>110</v>
      </c>
      <c r="W468" s="897" t="s">
        <v>110</v>
      </c>
      <c r="X468" s="897" t="s">
        <v>110</v>
      </c>
      <c r="Y468" s="897" t="s">
        <v>110</v>
      </c>
      <c r="Z468" s="897" t="s">
        <v>110</v>
      </c>
      <c r="AA468" s="897" t="s">
        <v>110</v>
      </c>
      <c r="AB468" s="897" t="s">
        <v>110</v>
      </c>
      <c r="AC468" s="897" t="s">
        <v>110</v>
      </c>
      <c r="AD468" s="897" t="s">
        <v>110</v>
      </c>
      <c r="AE468" s="897" t="s">
        <v>110</v>
      </c>
      <c r="AF468" s="897" t="s">
        <v>110</v>
      </c>
      <c r="AG468" s="897" t="s">
        <v>110</v>
      </c>
      <c r="AH468" s="39">
        <f t="shared" si="89"/>
        <v>0</v>
      </c>
    </row>
    <row r="469" spans="1:36" ht="15">
      <c r="A469" s="21" t="s">
        <v>82</v>
      </c>
      <c r="B469" s="100">
        <f t="shared" si="88"/>
        <v>0</v>
      </c>
      <c r="C469" s="35"/>
      <c r="D469" s="897" t="s">
        <v>110</v>
      </c>
      <c r="E469" s="897" t="s">
        <v>110</v>
      </c>
      <c r="F469" s="897" t="s">
        <v>110</v>
      </c>
      <c r="G469" s="897" t="s">
        <v>110</v>
      </c>
      <c r="H469" s="897" t="s">
        <v>110</v>
      </c>
      <c r="I469" s="897" t="s">
        <v>110</v>
      </c>
      <c r="J469" s="897" t="s">
        <v>110</v>
      </c>
      <c r="K469" s="897" t="s">
        <v>110</v>
      </c>
      <c r="L469" s="897" t="s">
        <v>110</v>
      </c>
      <c r="M469" s="897" t="s">
        <v>110</v>
      </c>
      <c r="N469" s="897" t="s">
        <v>110</v>
      </c>
      <c r="O469" s="897" t="s">
        <v>110</v>
      </c>
      <c r="P469" s="897" t="s">
        <v>110</v>
      </c>
      <c r="Q469" s="897" t="s">
        <v>110</v>
      </c>
      <c r="R469" s="897" t="s">
        <v>110</v>
      </c>
      <c r="S469" s="897" t="s">
        <v>110</v>
      </c>
      <c r="T469" s="897" t="s">
        <v>110</v>
      </c>
      <c r="U469" s="897" t="s">
        <v>110</v>
      </c>
      <c r="V469" s="897" t="s">
        <v>110</v>
      </c>
      <c r="W469" s="897" t="s">
        <v>110</v>
      </c>
      <c r="X469" s="897" t="s">
        <v>110</v>
      </c>
      <c r="Y469" s="897" t="s">
        <v>110</v>
      </c>
      <c r="Z469" s="897" t="s">
        <v>110</v>
      </c>
      <c r="AA469" s="897" t="s">
        <v>110</v>
      </c>
      <c r="AB469" s="897" t="s">
        <v>110</v>
      </c>
      <c r="AC469" s="897" t="s">
        <v>110</v>
      </c>
      <c r="AD469" s="897" t="s">
        <v>110</v>
      </c>
      <c r="AE469" s="897" t="s">
        <v>110</v>
      </c>
      <c r="AF469" s="897" t="s">
        <v>110</v>
      </c>
      <c r="AG469" s="897" t="s">
        <v>110</v>
      </c>
      <c r="AH469" s="39">
        <f t="shared" si="89"/>
        <v>0</v>
      </c>
    </row>
    <row r="470" spans="1:36" ht="15">
      <c r="A470" s="21" t="s">
        <v>83</v>
      </c>
      <c r="B470" s="19">
        <f t="shared" si="88"/>
        <v>0</v>
      </c>
      <c r="C470" s="65" t="s">
        <v>110</v>
      </c>
      <c r="D470" s="65" t="s">
        <v>110</v>
      </c>
      <c r="E470" s="65" t="s">
        <v>110</v>
      </c>
      <c r="F470" s="65" t="s">
        <v>110</v>
      </c>
      <c r="G470" s="65" t="s">
        <v>110</v>
      </c>
      <c r="H470" s="65" t="s">
        <v>110</v>
      </c>
      <c r="I470" s="65" t="s">
        <v>110</v>
      </c>
      <c r="J470" s="65" t="s">
        <v>110</v>
      </c>
      <c r="K470" s="65" t="s">
        <v>110</v>
      </c>
      <c r="L470" s="65" t="s">
        <v>110</v>
      </c>
      <c r="M470" s="65" t="s">
        <v>110</v>
      </c>
      <c r="N470" s="65" t="s">
        <v>110</v>
      </c>
      <c r="O470" s="65" t="s">
        <v>110</v>
      </c>
      <c r="P470" s="65" t="s">
        <v>110</v>
      </c>
      <c r="Q470" s="65" t="s">
        <v>110</v>
      </c>
      <c r="R470" s="15"/>
      <c r="S470" s="15"/>
      <c r="T470" s="15"/>
      <c r="U470" s="15"/>
      <c r="V470" s="15"/>
      <c r="W470" s="15"/>
      <c r="X470" s="15"/>
      <c r="Y470" s="11"/>
      <c r="Z470" s="15"/>
      <c r="AA470" s="15"/>
      <c r="AB470" s="15"/>
      <c r="AC470" s="15"/>
      <c r="AD470" s="15"/>
      <c r="AE470" s="39"/>
      <c r="AF470" s="15"/>
      <c r="AG470" s="39"/>
      <c r="AH470" s="39">
        <f t="shared" si="89"/>
        <v>0</v>
      </c>
    </row>
    <row r="471" spans="1:36" ht="15">
      <c r="A471" s="21" t="s">
        <v>84</v>
      </c>
      <c r="B471" s="19">
        <f t="shared" si="88"/>
        <v>0</v>
      </c>
      <c r="C471" s="3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39"/>
      <c r="AF471" s="15"/>
      <c r="AG471" s="39"/>
      <c r="AH471" s="39">
        <f t="shared" si="89"/>
        <v>0</v>
      </c>
    </row>
    <row r="472" spans="1:36" ht="15">
      <c r="A472" s="71" t="s">
        <v>72</v>
      </c>
      <c r="B472" s="73">
        <f>SUM(B460:B471)</f>
        <v>0</v>
      </c>
      <c r="C472" s="32">
        <f>SUM(C460:C470)</f>
        <v>0</v>
      </c>
      <c r="D472" s="39">
        <f>SUM(D460:D470)</f>
        <v>0</v>
      </c>
      <c r="E472" s="39">
        <v>0</v>
      </c>
      <c r="F472" s="39">
        <f t="shared" ref="F472:AC472" si="90">SUM(F460:F470)</f>
        <v>0</v>
      </c>
      <c r="G472" s="39">
        <f t="shared" si="90"/>
        <v>0</v>
      </c>
      <c r="H472" s="39">
        <f t="shared" si="90"/>
        <v>0</v>
      </c>
      <c r="I472" s="39">
        <f t="shared" si="90"/>
        <v>0</v>
      </c>
      <c r="J472" s="39">
        <f t="shared" si="90"/>
        <v>0</v>
      </c>
      <c r="K472" s="39">
        <f t="shared" si="90"/>
        <v>0</v>
      </c>
      <c r="L472" s="39">
        <f t="shared" si="90"/>
        <v>0</v>
      </c>
      <c r="M472" s="39">
        <f t="shared" si="90"/>
        <v>0</v>
      </c>
      <c r="N472" s="39">
        <f t="shared" si="90"/>
        <v>0</v>
      </c>
      <c r="O472" s="39">
        <f t="shared" si="90"/>
        <v>0</v>
      </c>
      <c r="P472" s="39">
        <f t="shared" si="90"/>
        <v>0</v>
      </c>
      <c r="Q472" s="39">
        <f t="shared" si="90"/>
        <v>0</v>
      </c>
      <c r="R472" s="39">
        <f t="shared" si="90"/>
        <v>0</v>
      </c>
      <c r="S472" s="39">
        <f t="shared" si="90"/>
        <v>0</v>
      </c>
      <c r="T472" s="39">
        <f t="shared" si="90"/>
        <v>0</v>
      </c>
      <c r="U472" s="39">
        <f t="shared" si="90"/>
        <v>0</v>
      </c>
      <c r="V472" s="39">
        <f t="shared" si="90"/>
        <v>0</v>
      </c>
      <c r="W472" s="39">
        <f t="shared" si="90"/>
        <v>0</v>
      </c>
      <c r="X472" s="39">
        <f t="shared" si="90"/>
        <v>0</v>
      </c>
      <c r="Y472" s="39">
        <f t="shared" si="90"/>
        <v>0</v>
      </c>
      <c r="Z472" s="39">
        <f t="shared" si="90"/>
        <v>0</v>
      </c>
      <c r="AA472" s="39">
        <f t="shared" si="90"/>
        <v>0</v>
      </c>
      <c r="AB472" s="39">
        <f t="shared" si="90"/>
        <v>0</v>
      </c>
      <c r="AC472" s="39">
        <f t="shared" si="90"/>
        <v>0</v>
      </c>
      <c r="AD472" s="39">
        <v>0</v>
      </c>
      <c r="AE472" s="39">
        <f>SUM(AE460:AE470)</f>
        <v>0</v>
      </c>
      <c r="AF472" s="39">
        <f>SUM(AF460:AF470)</f>
        <v>0</v>
      </c>
      <c r="AG472" s="39">
        <f>SUM(AG460:AG470)</f>
        <v>0</v>
      </c>
      <c r="AH472" s="32">
        <f>SUM(AH460:AH470)</f>
        <v>0</v>
      </c>
    </row>
    <row r="473" spans="1:36" ht="5.0999999999999996" customHeight="1">
      <c r="A473" s="14"/>
      <c r="B473" s="55"/>
      <c r="C473" s="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
    </row>
    <row r="474" spans="1:36" ht="20.399999999999999">
      <c r="A474" s="3853" t="s">
        <v>97</v>
      </c>
      <c r="B474" s="3854"/>
      <c r="C474" s="3854"/>
      <c r="D474" s="3854"/>
      <c r="E474" s="3854"/>
      <c r="F474" s="3854"/>
      <c r="G474" s="3854"/>
      <c r="H474" s="3855"/>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row>
    <row r="475" spans="1:36" ht="15">
      <c r="A475" s="5" t="s">
        <v>89</v>
      </c>
      <c r="B475" s="56" t="s">
        <v>71</v>
      </c>
      <c r="C475" s="1039">
        <v>1</v>
      </c>
      <c r="D475" s="21">
        <v>2</v>
      </c>
      <c r="E475" s="21">
        <v>3</v>
      </c>
      <c r="F475" s="21">
        <v>4</v>
      </c>
      <c r="G475" s="21">
        <v>5</v>
      </c>
      <c r="H475" s="21">
        <v>6</v>
      </c>
      <c r="I475" s="21">
        <v>7</v>
      </c>
      <c r="J475" s="21">
        <v>8</v>
      </c>
      <c r="K475" s="21">
        <v>9</v>
      </c>
      <c r="L475" s="21">
        <v>10</v>
      </c>
      <c r="M475" s="21">
        <v>11</v>
      </c>
      <c r="N475" s="21">
        <v>12</v>
      </c>
      <c r="O475" s="21">
        <v>13</v>
      </c>
      <c r="P475" s="21">
        <v>14</v>
      </c>
      <c r="Q475" s="21">
        <v>15</v>
      </c>
      <c r="R475" s="21">
        <v>16</v>
      </c>
      <c r="S475" s="21">
        <v>17</v>
      </c>
      <c r="T475" s="21">
        <v>18</v>
      </c>
      <c r="U475" s="21">
        <v>19</v>
      </c>
      <c r="V475" s="21">
        <v>20</v>
      </c>
      <c r="W475" s="21">
        <v>21</v>
      </c>
      <c r="X475" s="21">
        <v>22</v>
      </c>
      <c r="Y475" s="21">
        <v>23</v>
      </c>
      <c r="Z475" s="21">
        <v>24</v>
      </c>
      <c r="AA475" s="21">
        <v>25</v>
      </c>
      <c r="AB475" s="21">
        <v>26</v>
      </c>
      <c r="AC475" s="21">
        <v>27</v>
      </c>
      <c r="AD475" s="21">
        <v>28</v>
      </c>
      <c r="AE475" s="21">
        <v>29</v>
      </c>
      <c r="AF475" s="21">
        <v>30</v>
      </c>
      <c r="AG475" s="21">
        <v>31</v>
      </c>
      <c r="AH475" s="25" t="s">
        <v>72</v>
      </c>
      <c r="AI475" s="2266" t="s">
        <v>1345</v>
      </c>
      <c r="AJ475" s="66" t="e">
        <f>(B488/COUNTIF($C$476:$AG$487,"&gt;0"))</f>
        <v>#DIV/0!</v>
      </c>
    </row>
    <row r="476" spans="1:36" ht="15">
      <c r="A476" s="21" t="s">
        <v>73</v>
      </c>
      <c r="B476" s="97">
        <f t="shared" ref="B476:B487" si="91">+AH476</f>
        <v>0</v>
      </c>
      <c r="C476" s="1091"/>
      <c r="D476" s="1091"/>
      <c r="E476" s="1091"/>
      <c r="F476" s="1091"/>
      <c r="G476" s="1091"/>
      <c r="H476" s="1091"/>
      <c r="I476" s="1091"/>
      <c r="J476" s="1091"/>
      <c r="K476" s="1091"/>
      <c r="L476" s="1091"/>
      <c r="M476" s="1091"/>
      <c r="N476" s="1091"/>
      <c r="O476" s="1091"/>
      <c r="P476" s="1091"/>
      <c r="Q476" s="1091"/>
      <c r="R476" s="1091"/>
      <c r="S476" s="1091"/>
      <c r="T476" s="1091"/>
      <c r="U476" s="1091"/>
      <c r="V476" s="1091"/>
      <c r="W476" s="1091"/>
      <c r="X476" s="1091"/>
      <c r="Y476" s="1091"/>
      <c r="Z476" s="1091"/>
      <c r="AA476" s="1091"/>
      <c r="AB476" s="1091"/>
      <c r="AC476" s="1091"/>
      <c r="AD476" s="1091"/>
      <c r="AE476" s="1091"/>
      <c r="AF476" s="1091"/>
      <c r="AG476" s="1091"/>
      <c r="AH476" s="39">
        <f>SUM(C476:AG476)</f>
        <v>0</v>
      </c>
    </row>
    <row r="477" spans="1:36" ht="15">
      <c r="A477" s="21" t="s">
        <v>74</v>
      </c>
      <c r="B477" s="97">
        <f t="shared" si="91"/>
        <v>0</v>
      </c>
      <c r="C477" s="1091"/>
      <c r="D477" s="1091"/>
      <c r="E477" s="1091"/>
      <c r="F477" s="1091"/>
      <c r="G477" s="1091"/>
      <c r="H477" s="1091"/>
      <c r="I477" s="1091"/>
      <c r="J477" s="1091"/>
      <c r="K477" s="1091"/>
      <c r="L477" s="1091"/>
      <c r="M477" s="1091"/>
      <c r="N477" s="1091"/>
      <c r="O477" s="1091"/>
      <c r="P477" s="1091"/>
      <c r="Q477" s="1091"/>
      <c r="R477" s="1091"/>
      <c r="S477" s="1091"/>
      <c r="T477" s="1091"/>
      <c r="U477" s="1091"/>
      <c r="V477" s="1091"/>
      <c r="W477" s="1091"/>
      <c r="X477" s="1091"/>
      <c r="Y477" s="1091"/>
      <c r="Z477" s="1091"/>
      <c r="AA477" s="1091"/>
      <c r="AB477" s="1091"/>
      <c r="AC477" s="1091"/>
      <c r="AD477" s="1091"/>
      <c r="AE477" s="1091"/>
      <c r="AF477" s="1091"/>
      <c r="AG477" s="1091"/>
      <c r="AH477" s="39">
        <f t="shared" ref="AH477:AH487" si="92">SUM(C477:AG477)</f>
        <v>0</v>
      </c>
    </row>
    <row r="478" spans="1:36" ht="15">
      <c r="A478" s="21" t="s">
        <v>75</v>
      </c>
      <c r="B478" s="97">
        <f t="shared" si="91"/>
        <v>0</v>
      </c>
      <c r="C478" s="1689"/>
      <c r="D478" s="1689"/>
      <c r="E478" s="1689"/>
      <c r="F478" s="1689"/>
      <c r="G478" s="1689"/>
      <c r="H478" s="1091"/>
      <c r="I478" s="1091"/>
      <c r="J478" s="1091"/>
      <c r="K478" s="1091"/>
      <c r="L478" s="1091"/>
      <c r="M478" s="1091"/>
      <c r="N478" s="1091"/>
      <c r="O478" s="1091"/>
      <c r="P478" s="1091"/>
      <c r="Q478" s="1084"/>
      <c r="R478" s="1084"/>
      <c r="S478" s="1084"/>
      <c r="T478" s="1084"/>
      <c r="U478" s="1084"/>
      <c r="V478" s="1084"/>
      <c r="W478" s="1084"/>
      <c r="X478" s="1084"/>
      <c r="Y478" s="1084"/>
      <c r="Z478" s="1084"/>
      <c r="AA478" s="1084"/>
      <c r="AB478" s="1084"/>
      <c r="AC478" s="1084"/>
      <c r="AD478" s="1084"/>
      <c r="AE478" s="1084"/>
      <c r="AF478" s="1084"/>
      <c r="AG478" s="1084"/>
      <c r="AH478" s="39">
        <f t="shared" si="92"/>
        <v>0</v>
      </c>
    </row>
    <row r="479" spans="1:36" ht="15">
      <c r="A479" s="21" t="s">
        <v>76</v>
      </c>
      <c r="B479" s="97">
        <f t="shared" si="91"/>
        <v>0</v>
      </c>
      <c r="C479" s="1084"/>
      <c r="D479" s="1084"/>
      <c r="E479" s="1084"/>
      <c r="F479" s="1084"/>
      <c r="G479" s="1084"/>
      <c r="H479" s="1084"/>
      <c r="I479" s="1084"/>
      <c r="J479" s="1084"/>
      <c r="K479" s="1084"/>
      <c r="L479" s="1084"/>
      <c r="M479" s="1084"/>
      <c r="N479" s="1084"/>
      <c r="O479" s="1084"/>
      <c r="P479" s="1084"/>
      <c r="Q479" s="1084"/>
      <c r="R479" s="1084"/>
      <c r="S479" s="1084"/>
      <c r="T479" s="1084"/>
      <c r="U479" s="1084"/>
      <c r="V479" s="1084"/>
      <c r="W479" s="1084"/>
      <c r="X479" s="1084"/>
      <c r="Y479" s="1084"/>
      <c r="Z479" s="1084"/>
      <c r="AA479" s="1084"/>
      <c r="AB479" s="1084"/>
      <c r="AC479" s="1084"/>
      <c r="AD479" s="1084"/>
      <c r="AE479" s="1084"/>
      <c r="AF479" s="1084" t="s">
        <v>110</v>
      </c>
      <c r="AG479" s="1084" t="s">
        <v>110</v>
      </c>
      <c r="AH479" s="39">
        <f t="shared" si="92"/>
        <v>0</v>
      </c>
    </row>
    <row r="480" spans="1:36" ht="15">
      <c r="A480" s="21" t="s">
        <v>77</v>
      </c>
      <c r="B480" s="97">
        <f t="shared" si="91"/>
        <v>0</v>
      </c>
      <c r="C480" s="1084" t="s">
        <v>110</v>
      </c>
      <c r="D480" s="1084" t="s">
        <v>110</v>
      </c>
      <c r="E480" s="1084" t="s">
        <v>110</v>
      </c>
      <c r="F480" s="1084" t="s">
        <v>110</v>
      </c>
      <c r="G480" s="1084" t="s">
        <v>110</v>
      </c>
      <c r="H480" s="1084" t="s">
        <v>110</v>
      </c>
      <c r="I480" s="1084" t="s">
        <v>110</v>
      </c>
      <c r="J480" s="1084" t="s">
        <v>110</v>
      </c>
      <c r="K480" s="1084" t="s">
        <v>110</v>
      </c>
      <c r="L480" s="1084" t="s">
        <v>110</v>
      </c>
      <c r="M480" s="1084" t="s">
        <v>110</v>
      </c>
      <c r="N480" s="1084" t="s">
        <v>110</v>
      </c>
      <c r="O480" s="1084" t="s">
        <v>110</v>
      </c>
      <c r="P480" s="1084" t="s">
        <v>110</v>
      </c>
      <c r="Q480" s="1084" t="s">
        <v>110</v>
      </c>
      <c r="R480" s="1091"/>
      <c r="S480" s="1091"/>
      <c r="T480" s="1091"/>
      <c r="U480" s="1091"/>
      <c r="V480" s="1091"/>
      <c r="W480" s="1091"/>
      <c r="X480" s="1091"/>
      <c r="Y480" s="1091"/>
      <c r="Z480" s="1091"/>
      <c r="AA480" s="1091"/>
      <c r="AB480" s="1091"/>
      <c r="AC480" s="1091"/>
      <c r="AD480" s="1091"/>
      <c r="AE480" s="1091"/>
      <c r="AF480" s="1091"/>
      <c r="AG480" s="1091"/>
      <c r="AH480" s="39">
        <f t="shared" si="92"/>
        <v>0</v>
      </c>
    </row>
    <row r="481" spans="1:36" ht="15">
      <c r="A481" s="21" t="s">
        <v>78</v>
      </c>
      <c r="B481" s="97">
        <f t="shared" si="91"/>
        <v>0</v>
      </c>
      <c r="C481" s="3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39">
        <f t="shared" si="92"/>
        <v>0</v>
      </c>
    </row>
    <row r="482" spans="1:36" ht="15">
      <c r="A482" s="21" t="s">
        <v>79</v>
      </c>
      <c r="B482" s="100">
        <f t="shared" si="91"/>
        <v>0</v>
      </c>
      <c r="C482" s="35"/>
      <c r="D482" s="39"/>
      <c r="E482" s="39"/>
      <c r="F482" s="39"/>
      <c r="G482" s="15"/>
      <c r="H482" s="15"/>
      <c r="I482" s="15"/>
      <c r="J482" s="43"/>
      <c r="K482" s="43"/>
      <c r="L482" s="39"/>
      <c r="M482" s="39"/>
      <c r="N482" s="39"/>
      <c r="O482" s="39"/>
      <c r="P482" s="39"/>
      <c r="Q482" s="39"/>
      <c r="R482" s="39"/>
      <c r="S482" s="39"/>
      <c r="T482" s="39"/>
      <c r="U482" s="39"/>
      <c r="V482" s="39"/>
      <c r="W482" s="897" t="s">
        <v>110</v>
      </c>
      <c r="X482" s="897" t="s">
        <v>110</v>
      </c>
      <c r="Y482" s="897" t="s">
        <v>110</v>
      </c>
      <c r="Z482" s="897" t="s">
        <v>110</v>
      </c>
      <c r="AA482" s="897" t="s">
        <v>110</v>
      </c>
      <c r="AB482" s="897" t="s">
        <v>110</v>
      </c>
      <c r="AC482" s="897" t="s">
        <v>110</v>
      </c>
      <c r="AD482" s="897" t="s">
        <v>110</v>
      </c>
      <c r="AE482" s="897" t="s">
        <v>110</v>
      </c>
      <c r="AF482" s="897" t="s">
        <v>110</v>
      </c>
      <c r="AG482" s="897" t="s">
        <v>110</v>
      </c>
      <c r="AH482" s="39">
        <f t="shared" si="92"/>
        <v>0</v>
      </c>
    </row>
    <row r="483" spans="1:36" ht="15">
      <c r="A483" s="21" t="s">
        <v>80</v>
      </c>
      <c r="B483" s="100">
        <f t="shared" si="91"/>
        <v>0</v>
      </c>
      <c r="C483" s="897" t="s">
        <v>110</v>
      </c>
      <c r="D483" s="897" t="s">
        <v>110</v>
      </c>
      <c r="E483" s="897" t="s">
        <v>110</v>
      </c>
      <c r="F483" s="897" t="s">
        <v>110</v>
      </c>
      <c r="G483" s="897" t="s">
        <v>110</v>
      </c>
      <c r="H483" s="897" t="s">
        <v>110</v>
      </c>
      <c r="I483" s="897" t="s">
        <v>110</v>
      </c>
      <c r="J483" s="897" t="s">
        <v>110</v>
      </c>
      <c r="K483" s="897" t="s">
        <v>110</v>
      </c>
      <c r="L483" s="897" t="s">
        <v>110</v>
      </c>
      <c r="M483" s="897" t="s">
        <v>110</v>
      </c>
      <c r="N483" s="897" t="s">
        <v>110</v>
      </c>
      <c r="O483" s="897" t="s">
        <v>110</v>
      </c>
      <c r="P483" s="897" t="s">
        <v>110</v>
      </c>
      <c r="Q483" s="897" t="s">
        <v>110</v>
      </c>
      <c r="R483" s="897" t="s">
        <v>110</v>
      </c>
      <c r="S483" s="897" t="s">
        <v>110</v>
      </c>
      <c r="T483" s="897" t="s">
        <v>110</v>
      </c>
      <c r="U483" s="897" t="s">
        <v>110</v>
      </c>
      <c r="V483" s="897" t="s">
        <v>110</v>
      </c>
      <c r="W483" s="897" t="s">
        <v>110</v>
      </c>
      <c r="X483" s="897" t="s">
        <v>110</v>
      </c>
      <c r="Y483" s="897" t="s">
        <v>110</v>
      </c>
      <c r="Z483" s="897" t="s">
        <v>110</v>
      </c>
      <c r="AA483" s="897" t="s">
        <v>110</v>
      </c>
      <c r="AB483" s="897" t="s">
        <v>110</v>
      </c>
      <c r="AC483" s="897" t="s">
        <v>110</v>
      </c>
      <c r="AD483" s="897" t="s">
        <v>110</v>
      </c>
      <c r="AE483" s="897" t="s">
        <v>110</v>
      </c>
      <c r="AF483" s="897" t="s">
        <v>110</v>
      </c>
      <c r="AG483" s="897" t="s">
        <v>110</v>
      </c>
      <c r="AH483" s="39">
        <f t="shared" si="92"/>
        <v>0</v>
      </c>
    </row>
    <row r="484" spans="1:36" ht="15">
      <c r="A484" s="21" t="s">
        <v>81</v>
      </c>
      <c r="B484" s="100">
        <f t="shared" si="91"/>
        <v>0</v>
      </c>
      <c r="C484" s="32"/>
      <c r="D484" s="39"/>
      <c r="E484" s="39"/>
      <c r="F484" s="39"/>
      <c r="G484" s="39"/>
      <c r="H484" s="39"/>
      <c r="I484" s="39"/>
      <c r="J484" s="43"/>
      <c r="K484" s="43"/>
      <c r="L484" s="15"/>
      <c r="M484" s="15"/>
      <c r="N484" s="15"/>
      <c r="O484" s="15"/>
      <c r="P484" s="15"/>
      <c r="Q484" s="897" t="s">
        <v>110</v>
      </c>
      <c r="R484" s="897" t="s">
        <v>110</v>
      </c>
      <c r="S484" s="897" t="s">
        <v>110</v>
      </c>
      <c r="T484" s="897" t="s">
        <v>110</v>
      </c>
      <c r="U484" s="897" t="s">
        <v>110</v>
      </c>
      <c r="V484" s="897" t="s">
        <v>110</v>
      </c>
      <c r="W484" s="897" t="s">
        <v>110</v>
      </c>
      <c r="X484" s="897" t="s">
        <v>110</v>
      </c>
      <c r="Y484" s="897" t="s">
        <v>110</v>
      </c>
      <c r="Z484" s="897" t="s">
        <v>110</v>
      </c>
      <c r="AA484" s="897" t="s">
        <v>110</v>
      </c>
      <c r="AB484" s="897" t="s">
        <v>110</v>
      </c>
      <c r="AC484" s="897" t="s">
        <v>110</v>
      </c>
      <c r="AD484" s="897" t="s">
        <v>110</v>
      </c>
      <c r="AE484" s="897" t="s">
        <v>110</v>
      </c>
      <c r="AF484" s="897" t="s">
        <v>110</v>
      </c>
      <c r="AG484" s="897" t="s">
        <v>110</v>
      </c>
      <c r="AH484" s="39">
        <f t="shared" si="92"/>
        <v>0</v>
      </c>
    </row>
    <row r="485" spans="1:36" ht="15">
      <c r="A485" s="21" t="s">
        <v>82</v>
      </c>
      <c r="B485" s="19">
        <f t="shared" si="91"/>
        <v>0</v>
      </c>
      <c r="C485" s="35"/>
      <c r="D485" s="897" t="s">
        <v>110</v>
      </c>
      <c r="E485" s="897" t="s">
        <v>110</v>
      </c>
      <c r="F485" s="897" t="s">
        <v>110</v>
      </c>
      <c r="G485" s="897" t="s">
        <v>110</v>
      </c>
      <c r="H485" s="897" t="s">
        <v>110</v>
      </c>
      <c r="I485" s="897" t="s">
        <v>110</v>
      </c>
      <c r="J485" s="897" t="s">
        <v>110</v>
      </c>
      <c r="K485" s="897" t="s">
        <v>110</v>
      </c>
      <c r="L485" s="897" t="s">
        <v>110</v>
      </c>
      <c r="M485" s="897" t="s">
        <v>110</v>
      </c>
      <c r="N485" s="897" t="s">
        <v>110</v>
      </c>
      <c r="O485" s="897" t="s">
        <v>110</v>
      </c>
      <c r="P485" s="897" t="s">
        <v>110</v>
      </c>
      <c r="Q485" s="897" t="s">
        <v>110</v>
      </c>
      <c r="R485" s="897" t="s">
        <v>110</v>
      </c>
      <c r="S485" s="897" t="s">
        <v>110</v>
      </c>
      <c r="T485" s="897" t="s">
        <v>110</v>
      </c>
      <c r="U485" s="897" t="s">
        <v>110</v>
      </c>
      <c r="V485" s="897" t="s">
        <v>110</v>
      </c>
      <c r="W485" s="897" t="s">
        <v>110</v>
      </c>
      <c r="X485" s="897" t="s">
        <v>110</v>
      </c>
      <c r="Y485" s="897" t="s">
        <v>110</v>
      </c>
      <c r="Z485" s="897" t="s">
        <v>110</v>
      </c>
      <c r="AA485" s="897" t="s">
        <v>110</v>
      </c>
      <c r="AB485" s="897" t="s">
        <v>110</v>
      </c>
      <c r="AC485" s="897" t="s">
        <v>110</v>
      </c>
      <c r="AD485" s="897" t="s">
        <v>110</v>
      </c>
      <c r="AE485" s="897" t="s">
        <v>110</v>
      </c>
      <c r="AF485" s="897" t="s">
        <v>110</v>
      </c>
      <c r="AG485" s="897" t="s">
        <v>110</v>
      </c>
      <c r="AH485" s="39">
        <f t="shared" si="92"/>
        <v>0</v>
      </c>
    </row>
    <row r="486" spans="1:36" ht="15">
      <c r="A486" s="21" t="s">
        <v>83</v>
      </c>
      <c r="B486" s="19">
        <f t="shared" si="91"/>
        <v>0</v>
      </c>
      <c r="C486" s="65" t="s">
        <v>110</v>
      </c>
      <c r="D486" s="65" t="s">
        <v>110</v>
      </c>
      <c r="E486" s="65" t="s">
        <v>110</v>
      </c>
      <c r="F486" s="65" t="s">
        <v>110</v>
      </c>
      <c r="G486" s="65" t="s">
        <v>110</v>
      </c>
      <c r="H486" s="65" t="s">
        <v>110</v>
      </c>
      <c r="I486" s="65" t="s">
        <v>110</v>
      </c>
      <c r="J486" s="65" t="s">
        <v>110</v>
      </c>
      <c r="K486" s="65" t="s">
        <v>110</v>
      </c>
      <c r="L486" s="65" t="s">
        <v>110</v>
      </c>
      <c r="M486" s="65" t="s">
        <v>110</v>
      </c>
      <c r="N486" s="65" t="s">
        <v>110</v>
      </c>
      <c r="O486" s="65" t="s">
        <v>110</v>
      </c>
      <c r="P486" s="65" t="s">
        <v>110</v>
      </c>
      <c r="Q486" s="65" t="s">
        <v>110</v>
      </c>
      <c r="R486" s="15"/>
      <c r="S486" s="15"/>
      <c r="T486" s="15"/>
      <c r="U486" s="15"/>
      <c r="V486" s="15"/>
      <c r="W486" s="15"/>
      <c r="X486" s="15"/>
      <c r="Y486" s="11"/>
      <c r="Z486" s="15"/>
      <c r="AA486" s="15"/>
      <c r="AB486" s="15"/>
      <c r="AC486" s="15"/>
      <c r="AD486" s="15"/>
      <c r="AE486" s="39"/>
      <c r="AF486" s="15"/>
      <c r="AG486" s="39"/>
      <c r="AH486" s="39">
        <f t="shared" si="92"/>
        <v>0</v>
      </c>
    </row>
    <row r="487" spans="1:36" ht="15">
      <c r="A487" s="21" t="s">
        <v>84</v>
      </c>
      <c r="B487" s="19">
        <f t="shared" si="91"/>
        <v>0</v>
      </c>
      <c r="C487" s="3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39"/>
      <c r="AF487" s="15"/>
      <c r="AG487" s="39"/>
      <c r="AH487" s="39">
        <f t="shared" si="92"/>
        <v>0</v>
      </c>
    </row>
    <row r="488" spans="1:36" ht="15">
      <c r="A488" s="71" t="s">
        <v>72</v>
      </c>
      <c r="B488" s="74">
        <f>SUM(B476:B487)</f>
        <v>0</v>
      </c>
      <c r="C488" s="32">
        <f>SUM(C476:C486)</f>
        <v>0</v>
      </c>
      <c r="D488" s="39">
        <f>SUM(D476:D486)</f>
        <v>0</v>
      </c>
      <c r="E488" s="39">
        <v>0</v>
      </c>
      <c r="F488" s="39">
        <f t="shared" ref="F488:AC488" si="93">SUM(F476:F486)</f>
        <v>0</v>
      </c>
      <c r="G488" s="39">
        <f t="shared" si="93"/>
        <v>0</v>
      </c>
      <c r="H488" s="39">
        <f t="shared" si="93"/>
        <v>0</v>
      </c>
      <c r="I488" s="39">
        <f t="shared" si="93"/>
        <v>0</v>
      </c>
      <c r="J488" s="39">
        <f t="shared" si="93"/>
        <v>0</v>
      </c>
      <c r="K488" s="39">
        <f t="shared" si="93"/>
        <v>0</v>
      </c>
      <c r="L488" s="39">
        <f t="shared" si="93"/>
        <v>0</v>
      </c>
      <c r="M488" s="39">
        <f t="shared" si="93"/>
        <v>0</v>
      </c>
      <c r="N488" s="39">
        <f t="shared" si="93"/>
        <v>0</v>
      </c>
      <c r="O488" s="39">
        <f t="shared" si="93"/>
        <v>0</v>
      </c>
      <c r="P488" s="39">
        <f t="shared" si="93"/>
        <v>0</v>
      </c>
      <c r="Q488" s="39">
        <f t="shared" si="93"/>
        <v>0</v>
      </c>
      <c r="R488" s="39">
        <f t="shared" si="93"/>
        <v>0</v>
      </c>
      <c r="S488" s="39">
        <f t="shared" si="93"/>
        <v>0</v>
      </c>
      <c r="T488" s="39">
        <f t="shared" si="93"/>
        <v>0</v>
      </c>
      <c r="U488" s="39">
        <f t="shared" si="93"/>
        <v>0</v>
      </c>
      <c r="V488" s="39">
        <f t="shared" si="93"/>
        <v>0</v>
      </c>
      <c r="W488" s="39">
        <f t="shared" si="93"/>
        <v>0</v>
      </c>
      <c r="X488" s="39">
        <f t="shared" si="93"/>
        <v>0</v>
      </c>
      <c r="Y488" s="39">
        <f t="shared" si="93"/>
        <v>0</v>
      </c>
      <c r="Z488" s="39">
        <f t="shared" si="93"/>
        <v>0</v>
      </c>
      <c r="AA488" s="39">
        <f t="shared" si="93"/>
        <v>0</v>
      </c>
      <c r="AB488" s="39">
        <f t="shared" si="93"/>
        <v>0</v>
      </c>
      <c r="AC488" s="39">
        <f t="shared" si="93"/>
        <v>0</v>
      </c>
      <c r="AD488" s="39">
        <v>0</v>
      </c>
      <c r="AE488" s="39">
        <f>SUM(AE476:AE486)</f>
        <v>0</v>
      </c>
      <c r="AF488" s="39">
        <f>SUM(AF476:AF486)</f>
        <v>0</v>
      </c>
      <c r="AG488" s="39">
        <f>SUM(AG476:AG486)</f>
        <v>0</v>
      </c>
      <c r="AH488" s="32">
        <f>SUM(AH476:AH486)</f>
        <v>0</v>
      </c>
    </row>
    <row r="489" spans="1:36" ht="5.0999999999999996" customHeight="1">
      <c r="A489" s="14"/>
      <c r="B489" s="14"/>
      <c r="C489" s="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
    </row>
    <row r="490" spans="1:36" ht="20.399999999999999">
      <c r="A490" s="3853" t="s">
        <v>62</v>
      </c>
      <c r="B490" s="3854"/>
      <c r="C490" s="3854"/>
      <c r="D490" s="3854"/>
      <c r="E490" s="3854"/>
      <c r="F490" s="3854"/>
      <c r="G490" s="3854"/>
      <c r="H490" s="3855"/>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row>
    <row r="491" spans="1:36" ht="15">
      <c r="A491" s="5" t="s">
        <v>89</v>
      </c>
      <c r="B491" s="98" t="s">
        <v>71</v>
      </c>
      <c r="C491" s="1039">
        <v>1</v>
      </c>
      <c r="D491" s="21">
        <v>2</v>
      </c>
      <c r="E491" s="21">
        <v>3</v>
      </c>
      <c r="F491" s="21">
        <v>4</v>
      </c>
      <c r="G491" s="21">
        <v>5</v>
      </c>
      <c r="H491" s="21">
        <v>6</v>
      </c>
      <c r="I491" s="21">
        <v>7</v>
      </c>
      <c r="J491" s="21">
        <v>8</v>
      </c>
      <c r="K491" s="21">
        <v>9</v>
      </c>
      <c r="L491" s="21">
        <v>10</v>
      </c>
      <c r="M491" s="21">
        <v>11</v>
      </c>
      <c r="N491" s="21">
        <v>12</v>
      </c>
      <c r="O491" s="21">
        <v>13</v>
      </c>
      <c r="P491" s="21">
        <v>14</v>
      </c>
      <c r="Q491" s="21">
        <v>15</v>
      </c>
      <c r="R491" s="21">
        <v>16</v>
      </c>
      <c r="S491" s="21">
        <v>17</v>
      </c>
      <c r="T491" s="21">
        <v>18</v>
      </c>
      <c r="U491" s="21">
        <v>19</v>
      </c>
      <c r="V491" s="21">
        <v>20</v>
      </c>
      <c r="W491" s="21">
        <v>21</v>
      </c>
      <c r="X491" s="21">
        <v>22</v>
      </c>
      <c r="Y491" s="21">
        <v>23</v>
      </c>
      <c r="Z491" s="21">
        <v>24</v>
      </c>
      <c r="AA491" s="21">
        <v>25</v>
      </c>
      <c r="AB491" s="21">
        <v>26</v>
      </c>
      <c r="AC491" s="21">
        <v>27</v>
      </c>
      <c r="AD491" s="21">
        <v>28</v>
      </c>
      <c r="AE491" s="21">
        <v>29</v>
      </c>
      <c r="AF491" s="21">
        <v>30</v>
      </c>
      <c r="AG491" s="21">
        <v>31</v>
      </c>
      <c r="AH491" s="25" t="s">
        <v>72</v>
      </c>
      <c r="AI491" s="2266" t="s">
        <v>1345</v>
      </c>
      <c r="AJ491" s="66" t="e">
        <f>(B504/COUNTIF($C$492:$AG$503,"&gt;0"))</f>
        <v>#DIV/0!</v>
      </c>
    </row>
    <row r="492" spans="1:36" ht="15">
      <c r="A492" s="21" t="s">
        <v>73</v>
      </c>
      <c r="B492" s="95">
        <f t="shared" ref="B492:B503" si="94">+AH492</f>
        <v>0</v>
      </c>
      <c r="C492" s="1091"/>
      <c r="D492" s="1091"/>
      <c r="E492" s="1091"/>
      <c r="F492" s="1091"/>
      <c r="G492" s="1091"/>
      <c r="H492" s="1091"/>
      <c r="I492" s="1091"/>
      <c r="J492" s="1091"/>
      <c r="K492" s="1091"/>
      <c r="L492" s="1091"/>
      <c r="M492" s="1091"/>
      <c r="N492" s="1091"/>
      <c r="O492" s="1091"/>
      <c r="P492" s="1091"/>
      <c r="Q492" s="1091"/>
      <c r="R492" s="1091"/>
      <c r="S492" s="1091"/>
      <c r="T492" s="1091"/>
      <c r="U492" s="1091"/>
      <c r="V492" s="1091"/>
      <c r="W492" s="1091"/>
      <c r="X492" s="1091"/>
      <c r="Y492" s="1091"/>
      <c r="Z492" s="1091"/>
      <c r="AA492" s="1091"/>
      <c r="AB492" s="1091"/>
      <c r="AC492" s="1091"/>
      <c r="AD492" s="1091"/>
      <c r="AE492" s="1091"/>
      <c r="AF492" s="1091"/>
      <c r="AG492" s="1091"/>
      <c r="AH492" s="39">
        <f>SUM(C492:AG492)</f>
        <v>0</v>
      </c>
    </row>
    <row r="493" spans="1:36" ht="15">
      <c r="A493" s="21" t="s">
        <v>74</v>
      </c>
      <c r="B493" s="204">
        <f t="shared" si="94"/>
        <v>0</v>
      </c>
      <c r="C493" s="1091"/>
      <c r="D493" s="1091"/>
      <c r="E493" s="1091"/>
      <c r="F493" s="1091"/>
      <c r="G493" s="1091"/>
      <c r="H493" s="1091"/>
      <c r="I493" s="1091"/>
      <c r="J493" s="1091"/>
      <c r="K493" s="1091"/>
      <c r="L493" s="1091"/>
      <c r="M493" s="1091"/>
      <c r="N493" s="1091"/>
      <c r="O493" s="1091"/>
      <c r="P493" s="1091"/>
      <c r="Q493" s="1091"/>
      <c r="R493" s="1091"/>
      <c r="S493" s="1091"/>
      <c r="T493" s="1091"/>
      <c r="U493" s="1091"/>
      <c r="V493" s="1091"/>
      <c r="W493" s="1091"/>
      <c r="X493" s="1091"/>
      <c r="Y493" s="1091"/>
      <c r="Z493" s="1091"/>
      <c r="AA493" s="1091"/>
      <c r="AB493" s="1091"/>
      <c r="AC493" s="1091"/>
      <c r="AD493" s="1091"/>
      <c r="AE493" s="1091"/>
      <c r="AF493" s="1091"/>
      <c r="AG493" s="1091"/>
      <c r="AH493" s="39">
        <f t="shared" ref="AH493:AH503" si="95">SUM(C493:AG493)</f>
        <v>0</v>
      </c>
    </row>
    <row r="494" spans="1:36" ht="15">
      <c r="A494" s="21" t="s">
        <v>75</v>
      </c>
      <c r="B494" s="365">
        <f t="shared" si="94"/>
        <v>0</v>
      </c>
      <c r="C494" s="1689"/>
      <c r="D494" s="1689"/>
      <c r="E494" s="1689"/>
      <c r="F494" s="1689"/>
      <c r="G494" s="1689"/>
      <c r="H494" s="1091"/>
      <c r="I494" s="1091"/>
      <c r="J494" s="1091"/>
      <c r="K494" s="1091"/>
      <c r="L494" s="1091"/>
      <c r="M494" s="1091"/>
      <c r="N494" s="1091"/>
      <c r="O494" s="1091"/>
      <c r="P494" s="1091"/>
      <c r="Q494" s="1084"/>
      <c r="R494" s="1084"/>
      <c r="S494" s="1084"/>
      <c r="T494" s="1084"/>
      <c r="U494" s="1084"/>
      <c r="V494" s="1084"/>
      <c r="W494" s="1084"/>
      <c r="X494" s="1084"/>
      <c r="Y494" s="1084"/>
      <c r="Z494" s="1084"/>
      <c r="AA494" s="1084"/>
      <c r="AB494" s="1084"/>
      <c r="AC494" s="1084"/>
      <c r="AD494" s="1084"/>
      <c r="AE494" s="1084"/>
      <c r="AF494" s="1084"/>
      <c r="AG494" s="1084"/>
      <c r="AH494" s="39">
        <f t="shared" si="95"/>
        <v>0</v>
      </c>
    </row>
    <row r="495" spans="1:36" ht="15">
      <c r="A495" s="21" t="s">
        <v>76</v>
      </c>
      <c r="B495" s="204">
        <f t="shared" si="94"/>
        <v>0</v>
      </c>
      <c r="C495" s="1084"/>
      <c r="D495" s="1084"/>
      <c r="E495" s="1084"/>
      <c r="F495" s="1084"/>
      <c r="G495" s="1084"/>
      <c r="H495" s="1084"/>
      <c r="I495" s="1084"/>
      <c r="J495" s="1084"/>
      <c r="K495" s="1084"/>
      <c r="L495" s="1084"/>
      <c r="M495" s="1084"/>
      <c r="N495" s="1084"/>
      <c r="O495" s="1084"/>
      <c r="P495" s="1084"/>
      <c r="Q495" s="1084"/>
      <c r="R495" s="1084"/>
      <c r="S495" s="1084"/>
      <c r="T495" s="1084"/>
      <c r="U495" s="1084"/>
      <c r="V495" s="1084"/>
      <c r="W495" s="1084"/>
      <c r="X495" s="1084"/>
      <c r="Y495" s="1084"/>
      <c r="Z495" s="1084"/>
      <c r="AA495" s="1084"/>
      <c r="AB495" s="1084"/>
      <c r="AC495" s="1084"/>
      <c r="AD495" s="1084"/>
      <c r="AE495" s="1084"/>
      <c r="AF495" s="1084" t="s">
        <v>110</v>
      </c>
      <c r="AG495" s="1084" t="s">
        <v>110</v>
      </c>
      <c r="AH495" s="39">
        <f t="shared" si="95"/>
        <v>0</v>
      </c>
    </row>
    <row r="496" spans="1:36" ht="15">
      <c r="A496" s="21" t="s">
        <v>77</v>
      </c>
      <c r="B496" s="204">
        <f t="shared" si="94"/>
        <v>0</v>
      </c>
      <c r="C496" s="1084" t="s">
        <v>110</v>
      </c>
      <c r="D496" s="1084" t="s">
        <v>110</v>
      </c>
      <c r="E496" s="1084" t="s">
        <v>110</v>
      </c>
      <c r="F496" s="1084" t="s">
        <v>110</v>
      </c>
      <c r="G496" s="1084" t="s">
        <v>110</v>
      </c>
      <c r="H496" s="1084" t="s">
        <v>110</v>
      </c>
      <c r="I496" s="1084" t="s">
        <v>110</v>
      </c>
      <c r="J496" s="1084" t="s">
        <v>110</v>
      </c>
      <c r="K496" s="1084" t="s">
        <v>110</v>
      </c>
      <c r="L496" s="1084" t="s">
        <v>110</v>
      </c>
      <c r="M496" s="1084" t="s">
        <v>110</v>
      </c>
      <c r="N496" s="1084" t="s">
        <v>110</v>
      </c>
      <c r="O496" s="1084" t="s">
        <v>110</v>
      </c>
      <c r="P496" s="1084" t="s">
        <v>110</v>
      </c>
      <c r="Q496" s="1084" t="s">
        <v>110</v>
      </c>
      <c r="R496" s="1091"/>
      <c r="S496" s="1091"/>
      <c r="T496" s="1091"/>
      <c r="U496" s="1091"/>
      <c r="V496" s="1091"/>
      <c r="W496" s="1091"/>
      <c r="X496" s="1091"/>
      <c r="Y496" s="1091"/>
      <c r="Z496" s="1091"/>
      <c r="AA496" s="1091"/>
      <c r="AB496" s="1091"/>
      <c r="AC496" s="1091"/>
      <c r="AD496" s="1091"/>
      <c r="AE496" s="1091"/>
      <c r="AF496" s="1091"/>
      <c r="AG496" s="1091"/>
      <c r="AH496" s="39">
        <f t="shared" si="95"/>
        <v>0</v>
      </c>
    </row>
    <row r="497" spans="1:36" ht="15">
      <c r="A497" s="21" t="s">
        <v>78</v>
      </c>
      <c r="B497" s="204">
        <f t="shared" si="94"/>
        <v>0</v>
      </c>
      <c r="C497" s="3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39">
        <f t="shared" si="95"/>
        <v>0</v>
      </c>
    </row>
    <row r="498" spans="1:36" ht="15">
      <c r="A498" s="21" t="s">
        <v>79</v>
      </c>
      <c r="B498" s="105">
        <f t="shared" si="94"/>
        <v>0</v>
      </c>
      <c r="C498" s="35"/>
      <c r="D498" s="39"/>
      <c r="E498" s="39"/>
      <c r="F498" s="39"/>
      <c r="G498" s="15"/>
      <c r="H498" s="15"/>
      <c r="I498" s="15"/>
      <c r="J498" s="43"/>
      <c r="K498" s="43"/>
      <c r="L498" s="39"/>
      <c r="M498" s="39"/>
      <c r="N498" s="39"/>
      <c r="O498" s="39"/>
      <c r="P498" s="39"/>
      <c r="Q498" s="39"/>
      <c r="R498" s="39"/>
      <c r="S498" s="39"/>
      <c r="T498" s="39"/>
      <c r="U498" s="39"/>
      <c r="V498" s="39"/>
      <c r="W498" s="897" t="s">
        <v>110</v>
      </c>
      <c r="X498" s="897" t="s">
        <v>110</v>
      </c>
      <c r="Y498" s="897" t="s">
        <v>110</v>
      </c>
      <c r="Z498" s="897" t="s">
        <v>110</v>
      </c>
      <c r="AA498" s="897" t="s">
        <v>110</v>
      </c>
      <c r="AB498" s="897" t="s">
        <v>110</v>
      </c>
      <c r="AC498" s="897" t="s">
        <v>110</v>
      </c>
      <c r="AD498" s="897" t="s">
        <v>110</v>
      </c>
      <c r="AE498" s="897" t="s">
        <v>110</v>
      </c>
      <c r="AF498" s="897" t="s">
        <v>110</v>
      </c>
      <c r="AG498" s="897" t="s">
        <v>110</v>
      </c>
      <c r="AH498" s="39">
        <f t="shared" si="95"/>
        <v>0</v>
      </c>
    </row>
    <row r="499" spans="1:36" ht="15">
      <c r="A499" s="21" t="s">
        <v>80</v>
      </c>
      <c r="B499" s="105">
        <f t="shared" si="94"/>
        <v>0</v>
      </c>
      <c r="C499" s="897" t="s">
        <v>110</v>
      </c>
      <c r="D499" s="897" t="s">
        <v>110</v>
      </c>
      <c r="E499" s="897" t="s">
        <v>110</v>
      </c>
      <c r="F499" s="897" t="s">
        <v>110</v>
      </c>
      <c r="G499" s="897" t="s">
        <v>110</v>
      </c>
      <c r="H499" s="897" t="s">
        <v>110</v>
      </c>
      <c r="I499" s="897" t="s">
        <v>110</v>
      </c>
      <c r="J499" s="897" t="s">
        <v>110</v>
      </c>
      <c r="K499" s="897" t="s">
        <v>110</v>
      </c>
      <c r="L499" s="897" t="s">
        <v>110</v>
      </c>
      <c r="M499" s="897" t="s">
        <v>110</v>
      </c>
      <c r="N499" s="897" t="s">
        <v>110</v>
      </c>
      <c r="O499" s="897" t="s">
        <v>110</v>
      </c>
      <c r="P499" s="897" t="s">
        <v>110</v>
      </c>
      <c r="Q499" s="897" t="s">
        <v>110</v>
      </c>
      <c r="R499" s="897" t="s">
        <v>110</v>
      </c>
      <c r="S499" s="897" t="s">
        <v>110</v>
      </c>
      <c r="T499" s="897" t="s">
        <v>110</v>
      </c>
      <c r="U499" s="897" t="s">
        <v>110</v>
      </c>
      <c r="V499" s="897" t="s">
        <v>110</v>
      </c>
      <c r="W499" s="897" t="s">
        <v>110</v>
      </c>
      <c r="X499" s="897" t="s">
        <v>110</v>
      </c>
      <c r="Y499" s="897" t="s">
        <v>110</v>
      </c>
      <c r="Z499" s="897" t="s">
        <v>110</v>
      </c>
      <c r="AA499" s="897" t="s">
        <v>110</v>
      </c>
      <c r="AB499" s="897" t="s">
        <v>110</v>
      </c>
      <c r="AC499" s="897" t="s">
        <v>110</v>
      </c>
      <c r="AD499" s="897" t="s">
        <v>110</v>
      </c>
      <c r="AE499" s="897" t="s">
        <v>110</v>
      </c>
      <c r="AF499" s="897" t="s">
        <v>110</v>
      </c>
      <c r="AG499" s="897" t="s">
        <v>110</v>
      </c>
      <c r="AH499" s="39">
        <f t="shared" si="95"/>
        <v>0</v>
      </c>
    </row>
    <row r="500" spans="1:36" ht="15">
      <c r="A500" s="21" t="s">
        <v>81</v>
      </c>
      <c r="B500" s="105">
        <f t="shared" si="94"/>
        <v>0</v>
      </c>
      <c r="C500" s="32"/>
      <c r="D500" s="39"/>
      <c r="E500" s="39"/>
      <c r="F500" s="39"/>
      <c r="G500" s="39"/>
      <c r="H500" s="39"/>
      <c r="I500" s="39"/>
      <c r="J500" s="43"/>
      <c r="K500" s="43"/>
      <c r="L500" s="15"/>
      <c r="M500" s="15"/>
      <c r="N500" s="15"/>
      <c r="O500" s="15"/>
      <c r="P500" s="15"/>
      <c r="Q500" s="897" t="s">
        <v>110</v>
      </c>
      <c r="R500" s="897" t="s">
        <v>110</v>
      </c>
      <c r="S500" s="897" t="s">
        <v>110</v>
      </c>
      <c r="T500" s="897" t="s">
        <v>110</v>
      </c>
      <c r="U500" s="897" t="s">
        <v>110</v>
      </c>
      <c r="V500" s="897" t="s">
        <v>110</v>
      </c>
      <c r="W500" s="897" t="s">
        <v>110</v>
      </c>
      <c r="X500" s="897" t="s">
        <v>110</v>
      </c>
      <c r="Y500" s="897" t="s">
        <v>110</v>
      </c>
      <c r="Z500" s="897" t="s">
        <v>110</v>
      </c>
      <c r="AA500" s="897" t="s">
        <v>110</v>
      </c>
      <c r="AB500" s="897" t="s">
        <v>110</v>
      </c>
      <c r="AC500" s="897" t="s">
        <v>110</v>
      </c>
      <c r="AD500" s="897" t="s">
        <v>110</v>
      </c>
      <c r="AE500" s="897" t="s">
        <v>110</v>
      </c>
      <c r="AF500" s="897" t="s">
        <v>110</v>
      </c>
      <c r="AG500" s="897" t="s">
        <v>110</v>
      </c>
      <c r="AH500" s="39">
        <f t="shared" si="95"/>
        <v>0</v>
      </c>
    </row>
    <row r="501" spans="1:36" ht="15">
      <c r="A501" s="21" t="s">
        <v>82</v>
      </c>
      <c r="B501" s="105">
        <f t="shared" si="94"/>
        <v>0</v>
      </c>
      <c r="C501" s="897" t="s">
        <v>110</v>
      </c>
      <c r="D501" s="897" t="s">
        <v>110</v>
      </c>
      <c r="E501" s="897" t="s">
        <v>110</v>
      </c>
      <c r="F501" s="897" t="s">
        <v>110</v>
      </c>
      <c r="G501" s="897" t="s">
        <v>110</v>
      </c>
      <c r="H501" s="897" t="s">
        <v>110</v>
      </c>
      <c r="I501" s="897" t="s">
        <v>110</v>
      </c>
      <c r="J501" s="897" t="s">
        <v>110</v>
      </c>
      <c r="K501" s="897" t="s">
        <v>110</v>
      </c>
      <c r="L501" s="897" t="s">
        <v>110</v>
      </c>
      <c r="M501" s="2173"/>
      <c r="N501" s="897" t="s">
        <v>110</v>
      </c>
      <c r="O501" s="897" t="s">
        <v>110</v>
      </c>
      <c r="P501" s="897" t="s">
        <v>110</v>
      </c>
      <c r="Q501" s="897" t="s">
        <v>110</v>
      </c>
      <c r="R501" s="897" t="s">
        <v>110</v>
      </c>
      <c r="S501" s="897"/>
      <c r="T501" s="897" t="s">
        <v>110</v>
      </c>
      <c r="U501" s="897" t="s">
        <v>110</v>
      </c>
      <c r="V501" s="897" t="s">
        <v>110</v>
      </c>
      <c r="W501" s="897" t="s">
        <v>110</v>
      </c>
      <c r="X501" s="897" t="s">
        <v>110</v>
      </c>
      <c r="Y501" s="897" t="s">
        <v>110</v>
      </c>
      <c r="Z501" s="897" t="s">
        <v>110</v>
      </c>
      <c r="AA501" s="897" t="s">
        <v>110</v>
      </c>
      <c r="AB501" s="897" t="s">
        <v>110</v>
      </c>
      <c r="AC501" s="897" t="s">
        <v>110</v>
      </c>
      <c r="AD501" s="897" t="s">
        <v>110</v>
      </c>
      <c r="AE501" s="897" t="s">
        <v>110</v>
      </c>
      <c r="AF501" s="897" t="s">
        <v>110</v>
      </c>
      <c r="AG501" s="897" t="s">
        <v>110</v>
      </c>
      <c r="AH501" s="39">
        <f t="shared" si="95"/>
        <v>0</v>
      </c>
    </row>
    <row r="502" spans="1:36" ht="15">
      <c r="A502" s="21" t="s">
        <v>83</v>
      </c>
      <c r="B502" s="105">
        <f t="shared" si="94"/>
        <v>0</v>
      </c>
      <c r="C502" s="65" t="s">
        <v>110</v>
      </c>
      <c r="D502" s="65" t="s">
        <v>110</v>
      </c>
      <c r="E502" s="65" t="s">
        <v>110</v>
      </c>
      <c r="F502" s="65" t="s">
        <v>110</v>
      </c>
      <c r="G502" s="65" t="s">
        <v>110</v>
      </c>
      <c r="H502" s="65" t="s">
        <v>110</v>
      </c>
      <c r="I502" s="65" t="s">
        <v>110</v>
      </c>
      <c r="J502" s="65" t="s">
        <v>110</v>
      </c>
      <c r="K502" s="65" t="s">
        <v>110</v>
      </c>
      <c r="L502" s="65" t="s">
        <v>110</v>
      </c>
      <c r="M502" s="65" t="s">
        <v>110</v>
      </c>
      <c r="N502" s="65" t="s">
        <v>110</v>
      </c>
      <c r="O502" s="65" t="s">
        <v>110</v>
      </c>
      <c r="P502" s="65" t="s">
        <v>110</v>
      </c>
      <c r="Q502" s="65" t="s">
        <v>110</v>
      </c>
      <c r="R502" s="15"/>
      <c r="S502" s="15"/>
      <c r="T502" s="15"/>
      <c r="U502" s="15"/>
      <c r="V502" s="15"/>
      <c r="W502" s="15"/>
      <c r="X502" s="15"/>
      <c r="Y502" s="11"/>
      <c r="Z502" s="15"/>
      <c r="AA502" s="15"/>
      <c r="AB502" s="15"/>
      <c r="AC502" s="15"/>
      <c r="AD502" s="15"/>
      <c r="AE502" s="39"/>
      <c r="AF502" s="15"/>
      <c r="AG502" s="39"/>
      <c r="AH502" s="39">
        <f t="shared" si="95"/>
        <v>0</v>
      </c>
    </row>
    <row r="503" spans="1:36" ht="15">
      <c r="A503" s="21" t="s">
        <v>84</v>
      </c>
      <c r="B503" s="105">
        <f t="shared" si="94"/>
        <v>0</v>
      </c>
      <c r="C503" s="3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39"/>
      <c r="AF503" s="15"/>
      <c r="AG503" s="39"/>
      <c r="AH503" s="39">
        <f t="shared" si="95"/>
        <v>0</v>
      </c>
    </row>
    <row r="504" spans="1:36" ht="15">
      <c r="A504" s="71" t="s">
        <v>72</v>
      </c>
      <c r="B504" s="72">
        <f>SUM(B492:B503)</f>
        <v>0</v>
      </c>
      <c r="C504" s="32">
        <f>SUM(C492:C502)</f>
        <v>0</v>
      </c>
      <c r="D504" s="39">
        <f>SUM(D492:D502)</f>
        <v>0</v>
      </c>
      <c r="E504" s="39">
        <v>0</v>
      </c>
      <c r="F504" s="39">
        <f t="shared" ref="F504:AC504" si="96">SUM(F492:F502)</f>
        <v>0</v>
      </c>
      <c r="G504" s="39">
        <f t="shared" si="96"/>
        <v>0</v>
      </c>
      <c r="H504" s="39">
        <f t="shared" si="96"/>
        <v>0</v>
      </c>
      <c r="I504" s="39">
        <f t="shared" si="96"/>
        <v>0</v>
      </c>
      <c r="J504" s="39">
        <f t="shared" si="96"/>
        <v>0</v>
      </c>
      <c r="K504" s="39">
        <f t="shared" si="96"/>
        <v>0</v>
      </c>
      <c r="L504" s="39">
        <f t="shared" si="96"/>
        <v>0</v>
      </c>
      <c r="M504" s="39">
        <f t="shared" si="96"/>
        <v>0</v>
      </c>
      <c r="N504" s="39">
        <f t="shared" si="96"/>
        <v>0</v>
      </c>
      <c r="O504" s="39">
        <f t="shared" si="96"/>
        <v>0</v>
      </c>
      <c r="P504" s="39">
        <f t="shared" si="96"/>
        <v>0</v>
      </c>
      <c r="Q504" s="39">
        <f t="shared" si="96"/>
        <v>0</v>
      </c>
      <c r="R504" s="39">
        <f t="shared" si="96"/>
        <v>0</v>
      </c>
      <c r="S504" s="39">
        <f t="shared" si="96"/>
        <v>0</v>
      </c>
      <c r="T504" s="39">
        <f t="shared" si="96"/>
        <v>0</v>
      </c>
      <c r="U504" s="39">
        <f t="shared" si="96"/>
        <v>0</v>
      </c>
      <c r="V504" s="39">
        <f t="shared" si="96"/>
        <v>0</v>
      </c>
      <c r="W504" s="39">
        <f t="shared" si="96"/>
        <v>0</v>
      </c>
      <c r="X504" s="39">
        <f t="shared" si="96"/>
        <v>0</v>
      </c>
      <c r="Y504" s="39">
        <f t="shared" si="96"/>
        <v>0</v>
      </c>
      <c r="Z504" s="39">
        <f t="shared" si="96"/>
        <v>0</v>
      </c>
      <c r="AA504" s="39">
        <f t="shared" si="96"/>
        <v>0</v>
      </c>
      <c r="AB504" s="39">
        <f t="shared" si="96"/>
        <v>0</v>
      </c>
      <c r="AC504" s="39">
        <f t="shared" si="96"/>
        <v>0</v>
      </c>
      <c r="AD504" s="39">
        <v>0</v>
      </c>
      <c r="AE504" s="39">
        <f>SUM(AE492:AE502)</f>
        <v>0</v>
      </c>
      <c r="AF504" s="39">
        <f>SUM(AF492:AF502)</f>
        <v>0</v>
      </c>
      <c r="AG504" s="39">
        <f>SUM(AG492:AG502)</f>
        <v>0</v>
      </c>
      <c r="AH504" s="32">
        <f>SUM(AH492:AH502)</f>
        <v>0</v>
      </c>
    </row>
    <row r="505" spans="1:36" ht="5.0999999999999996" customHeight="1">
      <c r="A505" s="14"/>
      <c r="B505" s="14"/>
      <c r="C505" s="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
    </row>
    <row r="506" spans="1:36" ht="20.399999999999999">
      <c r="A506" s="3853" t="s">
        <v>63</v>
      </c>
      <c r="B506" s="3854"/>
      <c r="C506" s="3854"/>
      <c r="D506" s="3854"/>
      <c r="E506" s="3854"/>
      <c r="F506" s="3854"/>
      <c r="G506" s="3854"/>
      <c r="H506" s="3855"/>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row>
    <row r="507" spans="1:36" ht="15">
      <c r="A507" s="5" t="s">
        <v>89</v>
      </c>
      <c r="B507" s="56" t="s">
        <v>71</v>
      </c>
      <c r="C507" s="1039">
        <v>1</v>
      </c>
      <c r="D507" s="21">
        <v>2</v>
      </c>
      <c r="E507" s="21">
        <v>3</v>
      </c>
      <c r="F507" s="21">
        <v>4</v>
      </c>
      <c r="G507" s="21">
        <v>5</v>
      </c>
      <c r="H507" s="21">
        <v>6</v>
      </c>
      <c r="I507" s="21">
        <v>7</v>
      </c>
      <c r="J507" s="21">
        <v>8</v>
      </c>
      <c r="K507" s="21">
        <v>9</v>
      </c>
      <c r="L507" s="21">
        <v>10</v>
      </c>
      <c r="M507" s="21">
        <v>11</v>
      </c>
      <c r="N507" s="21">
        <v>12</v>
      </c>
      <c r="O507" s="21">
        <v>13</v>
      </c>
      <c r="P507" s="21">
        <v>14</v>
      </c>
      <c r="Q507" s="21">
        <v>15</v>
      </c>
      <c r="R507" s="21">
        <v>16</v>
      </c>
      <c r="S507" s="21">
        <v>17</v>
      </c>
      <c r="T507" s="21">
        <v>18</v>
      </c>
      <c r="U507" s="21">
        <v>19</v>
      </c>
      <c r="V507" s="21">
        <v>20</v>
      </c>
      <c r="W507" s="21">
        <v>21</v>
      </c>
      <c r="X507" s="21">
        <v>22</v>
      </c>
      <c r="Y507" s="21">
        <v>23</v>
      </c>
      <c r="Z507" s="21">
        <v>24</v>
      </c>
      <c r="AA507" s="21">
        <v>25</v>
      </c>
      <c r="AB507" s="21">
        <v>26</v>
      </c>
      <c r="AC507" s="21">
        <v>27</v>
      </c>
      <c r="AD507" s="21">
        <v>28</v>
      </c>
      <c r="AE507" s="21">
        <v>29</v>
      </c>
      <c r="AF507" s="21">
        <v>30</v>
      </c>
      <c r="AG507" s="21">
        <v>31</v>
      </c>
      <c r="AH507" s="25" t="s">
        <v>72</v>
      </c>
      <c r="AI507" s="2266" t="s">
        <v>1345</v>
      </c>
      <c r="AJ507" s="66" t="e">
        <f>(B520/COUNTIF($C$508:$AG$519,"&gt;0"))</f>
        <v>#DIV/0!</v>
      </c>
    </row>
    <row r="508" spans="1:36" ht="15">
      <c r="A508" s="21" t="s">
        <v>73</v>
      </c>
      <c r="B508" s="97">
        <f t="shared" ref="B508:B519" si="97">+AH508</f>
        <v>0</v>
      </c>
      <c r="C508" s="1091"/>
      <c r="D508" s="1091"/>
      <c r="E508" s="1091"/>
      <c r="F508" s="1091"/>
      <c r="G508" s="1091"/>
      <c r="H508" s="1091"/>
      <c r="I508" s="1091"/>
      <c r="J508" s="1091"/>
      <c r="K508" s="1091"/>
      <c r="L508" s="1091"/>
      <c r="M508" s="1091"/>
      <c r="N508" s="1091"/>
      <c r="O508" s="1091"/>
      <c r="P508" s="1091"/>
      <c r="Q508" s="1091"/>
      <c r="R508" s="1091"/>
      <c r="S508" s="1091"/>
      <c r="T508" s="1091"/>
      <c r="U508" s="1091"/>
      <c r="V508" s="1091"/>
      <c r="W508" s="1091"/>
      <c r="X508" s="1091"/>
      <c r="Y508" s="1091"/>
      <c r="Z508" s="1091"/>
      <c r="AA508" s="1091"/>
      <c r="AB508" s="1091"/>
      <c r="AC508" s="1091"/>
      <c r="AD508" s="1091"/>
      <c r="AE508" s="1091"/>
      <c r="AF508" s="1091"/>
      <c r="AG508" s="1091"/>
      <c r="AH508" s="39">
        <f>SUM(C508:AG508)</f>
        <v>0</v>
      </c>
    </row>
    <row r="509" spans="1:36" ht="15">
      <c r="A509" s="21" t="s">
        <v>74</v>
      </c>
      <c r="B509" s="97">
        <f t="shared" si="97"/>
        <v>0</v>
      </c>
      <c r="C509" s="1091"/>
      <c r="D509" s="1091"/>
      <c r="E509" s="1091"/>
      <c r="F509" s="1091"/>
      <c r="G509" s="1091"/>
      <c r="H509" s="1091"/>
      <c r="I509" s="1091"/>
      <c r="J509" s="1091"/>
      <c r="K509" s="1091"/>
      <c r="L509" s="1091"/>
      <c r="M509" s="1091"/>
      <c r="N509" s="1091"/>
      <c r="O509" s="1091"/>
      <c r="P509" s="1091"/>
      <c r="Q509" s="1091"/>
      <c r="R509" s="1091"/>
      <c r="S509" s="1091"/>
      <c r="T509" s="1091"/>
      <c r="U509" s="1091"/>
      <c r="V509" s="1091"/>
      <c r="W509" s="1091"/>
      <c r="X509" s="1091"/>
      <c r="Y509" s="1091"/>
      <c r="Z509" s="1091"/>
      <c r="AA509" s="1091"/>
      <c r="AB509" s="1091"/>
      <c r="AC509" s="1091"/>
      <c r="AD509" s="1091"/>
      <c r="AE509" s="1091"/>
      <c r="AF509" s="1091"/>
      <c r="AG509" s="1091"/>
      <c r="AH509" s="39">
        <f t="shared" ref="AH509:AH519" si="98">SUM(C509:AG509)</f>
        <v>0</v>
      </c>
    </row>
    <row r="510" spans="1:36" ht="15">
      <c r="A510" s="21" t="s">
        <v>75</v>
      </c>
      <c r="B510" s="97">
        <f t="shared" si="97"/>
        <v>0</v>
      </c>
      <c r="C510" s="1689"/>
      <c r="D510" s="1689"/>
      <c r="E510" s="1689"/>
      <c r="F510" s="1689"/>
      <c r="G510" s="1689"/>
      <c r="H510" s="1091"/>
      <c r="I510" s="1091"/>
      <c r="J510" s="1091"/>
      <c r="K510" s="1091"/>
      <c r="L510" s="1091"/>
      <c r="M510" s="1091"/>
      <c r="N510" s="1091"/>
      <c r="O510" s="1091"/>
      <c r="P510" s="1091"/>
      <c r="Q510" s="1084"/>
      <c r="R510" s="1084"/>
      <c r="S510" s="1084"/>
      <c r="T510" s="1084"/>
      <c r="U510" s="1084"/>
      <c r="V510" s="1084"/>
      <c r="W510" s="1084"/>
      <c r="X510" s="1084"/>
      <c r="Y510" s="1084"/>
      <c r="Z510" s="1084"/>
      <c r="AA510" s="1084"/>
      <c r="AB510" s="1084"/>
      <c r="AC510" s="1084"/>
      <c r="AD510" s="1084"/>
      <c r="AE510" s="1084"/>
      <c r="AF510" s="1084"/>
      <c r="AG510" s="1084"/>
      <c r="AH510" s="39">
        <f t="shared" si="98"/>
        <v>0</v>
      </c>
    </row>
    <row r="511" spans="1:36" ht="15">
      <c r="A511" s="21" t="s">
        <v>76</v>
      </c>
      <c r="B511" s="97">
        <f t="shared" si="97"/>
        <v>0</v>
      </c>
      <c r="C511" s="1084"/>
      <c r="D511" s="1084"/>
      <c r="E511" s="1084"/>
      <c r="F511" s="1084"/>
      <c r="G511" s="1084"/>
      <c r="H511" s="1084"/>
      <c r="I511" s="1084"/>
      <c r="J511" s="1084"/>
      <c r="K511" s="1084"/>
      <c r="L511" s="1084"/>
      <c r="M511" s="1084"/>
      <c r="N511" s="1084"/>
      <c r="O511" s="1084"/>
      <c r="P511" s="1084"/>
      <c r="Q511" s="1084"/>
      <c r="R511" s="1084"/>
      <c r="S511" s="1084"/>
      <c r="T511" s="1084"/>
      <c r="U511" s="1084"/>
      <c r="V511" s="1084"/>
      <c r="W511" s="1084"/>
      <c r="X511" s="1084"/>
      <c r="Y511" s="1084"/>
      <c r="Z511" s="1084"/>
      <c r="AA511" s="1084"/>
      <c r="AB511" s="1084"/>
      <c r="AC511" s="1084"/>
      <c r="AD511" s="1084"/>
      <c r="AE511" s="1084"/>
      <c r="AF511" s="1084" t="s">
        <v>110</v>
      </c>
      <c r="AG511" s="1084" t="s">
        <v>110</v>
      </c>
      <c r="AH511" s="39">
        <f t="shared" si="98"/>
        <v>0</v>
      </c>
    </row>
    <row r="512" spans="1:36" ht="15">
      <c r="A512" s="21" t="s">
        <v>77</v>
      </c>
      <c r="B512" s="97">
        <f t="shared" si="97"/>
        <v>0</v>
      </c>
      <c r="C512" s="1084" t="s">
        <v>110</v>
      </c>
      <c r="D512" s="1084" t="s">
        <v>110</v>
      </c>
      <c r="E512" s="1084" t="s">
        <v>110</v>
      </c>
      <c r="F512" s="1084" t="s">
        <v>110</v>
      </c>
      <c r="G512" s="1084" t="s">
        <v>110</v>
      </c>
      <c r="H512" s="1084" t="s">
        <v>110</v>
      </c>
      <c r="I512" s="1084" t="s">
        <v>110</v>
      </c>
      <c r="J512" s="1084" t="s">
        <v>110</v>
      </c>
      <c r="K512" s="1084" t="s">
        <v>110</v>
      </c>
      <c r="L512" s="1084" t="s">
        <v>110</v>
      </c>
      <c r="M512" s="1084" t="s">
        <v>110</v>
      </c>
      <c r="N512" s="1084" t="s">
        <v>110</v>
      </c>
      <c r="O512" s="1084" t="s">
        <v>110</v>
      </c>
      <c r="P512" s="1084" t="s">
        <v>110</v>
      </c>
      <c r="Q512" s="1084" t="s">
        <v>110</v>
      </c>
      <c r="R512" s="1091"/>
      <c r="S512" s="1091"/>
      <c r="T512" s="1091"/>
      <c r="U512" s="1091"/>
      <c r="V512" s="1091"/>
      <c r="W512" s="1091"/>
      <c r="X512" s="1091"/>
      <c r="Y512" s="1091"/>
      <c r="Z512" s="1091"/>
      <c r="AA512" s="1091"/>
      <c r="AB512" s="1091"/>
      <c r="AC512" s="1091"/>
      <c r="AD512" s="1091"/>
      <c r="AE512" s="1091"/>
      <c r="AF512" s="1091"/>
      <c r="AG512" s="1091"/>
      <c r="AH512" s="39">
        <f t="shared" si="98"/>
        <v>0</v>
      </c>
    </row>
    <row r="513" spans="1:36" s="96" customFormat="1" ht="15">
      <c r="A513" s="98" t="s">
        <v>78</v>
      </c>
      <c r="B513" s="97">
        <f t="shared" si="97"/>
        <v>0</v>
      </c>
      <c r="C513" s="3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99">
        <f t="shared" si="98"/>
        <v>0</v>
      </c>
    </row>
    <row r="514" spans="1:36" ht="15">
      <c r="A514" s="21" t="s">
        <v>79</v>
      </c>
      <c r="B514" s="100">
        <f t="shared" si="97"/>
        <v>0</v>
      </c>
      <c r="C514" s="35"/>
      <c r="D514" s="39"/>
      <c r="E514" s="39"/>
      <c r="F514" s="39"/>
      <c r="G514" s="15"/>
      <c r="H514" s="15"/>
      <c r="I514" s="15"/>
      <c r="J514" s="43"/>
      <c r="K514" s="43"/>
      <c r="L514" s="39"/>
      <c r="M514" s="39"/>
      <c r="N514" s="39"/>
      <c r="O514" s="39"/>
      <c r="P514" s="39"/>
      <c r="Q514" s="39"/>
      <c r="R514" s="39"/>
      <c r="S514" s="39"/>
      <c r="T514" s="39"/>
      <c r="U514" s="39"/>
      <c r="V514" s="39"/>
      <c r="W514" s="897" t="s">
        <v>110</v>
      </c>
      <c r="X514" s="897" t="s">
        <v>110</v>
      </c>
      <c r="Y514" s="897" t="s">
        <v>110</v>
      </c>
      <c r="Z514" s="897" t="s">
        <v>110</v>
      </c>
      <c r="AA514" s="897" t="s">
        <v>110</v>
      </c>
      <c r="AB514" s="897" t="s">
        <v>110</v>
      </c>
      <c r="AC514" s="897" t="s">
        <v>110</v>
      </c>
      <c r="AD514" s="897" t="s">
        <v>110</v>
      </c>
      <c r="AE514" s="897" t="s">
        <v>110</v>
      </c>
      <c r="AF514" s="897" t="s">
        <v>110</v>
      </c>
      <c r="AG514" s="897" t="s">
        <v>110</v>
      </c>
      <c r="AH514" s="39">
        <f t="shared" si="98"/>
        <v>0</v>
      </c>
    </row>
    <row r="515" spans="1:36" ht="15">
      <c r="A515" s="21" t="s">
        <v>80</v>
      </c>
      <c r="B515" s="100">
        <f t="shared" si="97"/>
        <v>0</v>
      </c>
      <c r="C515" s="897" t="s">
        <v>110</v>
      </c>
      <c r="D515" s="897" t="s">
        <v>110</v>
      </c>
      <c r="E515" s="897" t="s">
        <v>110</v>
      </c>
      <c r="F515" s="897" t="s">
        <v>110</v>
      </c>
      <c r="G515" s="897" t="s">
        <v>110</v>
      </c>
      <c r="H515" s="897" t="s">
        <v>110</v>
      </c>
      <c r="I515" s="897" t="s">
        <v>110</v>
      </c>
      <c r="J515" s="897" t="s">
        <v>110</v>
      </c>
      <c r="K515" s="897" t="s">
        <v>110</v>
      </c>
      <c r="L515" s="897" t="s">
        <v>110</v>
      </c>
      <c r="M515" s="897" t="s">
        <v>110</v>
      </c>
      <c r="N515" s="897" t="s">
        <v>110</v>
      </c>
      <c r="O515" s="897" t="s">
        <v>110</v>
      </c>
      <c r="P515" s="897" t="s">
        <v>110</v>
      </c>
      <c r="Q515" s="897" t="s">
        <v>110</v>
      </c>
      <c r="R515" s="897" t="s">
        <v>110</v>
      </c>
      <c r="S515" s="897" t="s">
        <v>110</v>
      </c>
      <c r="T515" s="897" t="s">
        <v>110</v>
      </c>
      <c r="U515" s="897" t="s">
        <v>110</v>
      </c>
      <c r="V515" s="897" t="s">
        <v>110</v>
      </c>
      <c r="W515" s="897" t="s">
        <v>110</v>
      </c>
      <c r="X515" s="897" t="s">
        <v>110</v>
      </c>
      <c r="Y515" s="897" t="s">
        <v>110</v>
      </c>
      <c r="Z515" s="897" t="s">
        <v>110</v>
      </c>
      <c r="AA515" s="897" t="s">
        <v>110</v>
      </c>
      <c r="AB515" s="897" t="s">
        <v>110</v>
      </c>
      <c r="AC515" s="897" t="s">
        <v>110</v>
      </c>
      <c r="AD515" s="897" t="s">
        <v>110</v>
      </c>
      <c r="AE515" s="897" t="s">
        <v>110</v>
      </c>
      <c r="AF515" s="897" t="s">
        <v>110</v>
      </c>
      <c r="AG515" s="897" t="s">
        <v>110</v>
      </c>
      <c r="AH515" s="39">
        <f t="shared" si="98"/>
        <v>0</v>
      </c>
    </row>
    <row r="516" spans="1:36" ht="15">
      <c r="A516" s="21" t="s">
        <v>81</v>
      </c>
      <c r="B516" s="100">
        <f t="shared" si="97"/>
        <v>0</v>
      </c>
      <c r="C516" s="32"/>
      <c r="D516" s="39"/>
      <c r="E516" s="39"/>
      <c r="F516" s="39"/>
      <c r="G516" s="39"/>
      <c r="H516" s="39"/>
      <c r="I516" s="39"/>
      <c r="J516" s="43"/>
      <c r="K516" s="43"/>
      <c r="L516" s="15"/>
      <c r="M516" s="15"/>
      <c r="N516" s="15"/>
      <c r="O516" s="15"/>
      <c r="P516" s="15"/>
      <c r="Q516" s="897" t="s">
        <v>110</v>
      </c>
      <c r="R516" s="897" t="s">
        <v>110</v>
      </c>
      <c r="S516" s="897" t="s">
        <v>110</v>
      </c>
      <c r="T516" s="897" t="s">
        <v>110</v>
      </c>
      <c r="U516" s="897" t="s">
        <v>110</v>
      </c>
      <c r="V516" s="897" t="s">
        <v>110</v>
      </c>
      <c r="W516" s="897" t="s">
        <v>110</v>
      </c>
      <c r="X516" s="897" t="s">
        <v>110</v>
      </c>
      <c r="Y516" s="897" t="s">
        <v>110</v>
      </c>
      <c r="Z516" s="897" t="s">
        <v>110</v>
      </c>
      <c r="AA516" s="897" t="s">
        <v>110</v>
      </c>
      <c r="AB516" s="897" t="s">
        <v>110</v>
      </c>
      <c r="AC516" s="897" t="s">
        <v>110</v>
      </c>
      <c r="AD516" s="897" t="s">
        <v>110</v>
      </c>
      <c r="AE516" s="897" t="s">
        <v>110</v>
      </c>
      <c r="AF516" s="897" t="s">
        <v>110</v>
      </c>
      <c r="AG516" s="897" t="s">
        <v>110</v>
      </c>
      <c r="AH516" s="39">
        <f t="shared" si="98"/>
        <v>0</v>
      </c>
    </row>
    <row r="517" spans="1:36" ht="15">
      <c r="A517" s="21" t="s">
        <v>82</v>
      </c>
      <c r="B517" s="19">
        <f t="shared" si="97"/>
        <v>0</v>
      </c>
      <c r="C517" s="35"/>
      <c r="D517" s="897" t="s">
        <v>110</v>
      </c>
      <c r="E517" s="897" t="s">
        <v>110</v>
      </c>
      <c r="F517" s="897" t="s">
        <v>110</v>
      </c>
      <c r="G517" s="897" t="s">
        <v>110</v>
      </c>
      <c r="H517" s="897" t="s">
        <v>110</v>
      </c>
      <c r="I517" s="897" t="s">
        <v>110</v>
      </c>
      <c r="J517" s="897" t="s">
        <v>110</v>
      </c>
      <c r="K517" s="897" t="s">
        <v>110</v>
      </c>
      <c r="L517" s="897" t="s">
        <v>110</v>
      </c>
      <c r="M517" s="897" t="s">
        <v>110</v>
      </c>
      <c r="N517" s="897" t="s">
        <v>110</v>
      </c>
      <c r="O517" s="897" t="s">
        <v>110</v>
      </c>
      <c r="P517" s="897" t="s">
        <v>110</v>
      </c>
      <c r="Q517" s="897" t="s">
        <v>110</v>
      </c>
      <c r="R517" s="897" t="s">
        <v>110</v>
      </c>
      <c r="S517" s="897" t="s">
        <v>110</v>
      </c>
      <c r="T517" s="897" t="s">
        <v>110</v>
      </c>
      <c r="U517" s="897" t="s">
        <v>110</v>
      </c>
      <c r="V517" s="897" t="s">
        <v>110</v>
      </c>
      <c r="W517" s="897" t="s">
        <v>110</v>
      </c>
      <c r="X517" s="897" t="s">
        <v>110</v>
      </c>
      <c r="Y517" s="897" t="s">
        <v>110</v>
      </c>
      <c r="Z517" s="897" t="s">
        <v>110</v>
      </c>
      <c r="AA517" s="897" t="s">
        <v>110</v>
      </c>
      <c r="AB517" s="897" t="s">
        <v>110</v>
      </c>
      <c r="AC517" s="897" t="s">
        <v>110</v>
      </c>
      <c r="AD517" s="897" t="s">
        <v>110</v>
      </c>
      <c r="AE517" s="897" t="s">
        <v>110</v>
      </c>
      <c r="AF517" s="897" t="s">
        <v>110</v>
      </c>
      <c r="AG517" s="897" t="s">
        <v>110</v>
      </c>
      <c r="AH517" s="39">
        <f t="shared" si="98"/>
        <v>0</v>
      </c>
    </row>
    <row r="518" spans="1:36" ht="15">
      <c r="A518" s="21" t="s">
        <v>83</v>
      </c>
      <c r="B518" s="19">
        <f t="shared" si="97"/>
        <v>0</v>
      </c>
      <c r="C518" s="65" t="s">
        <v>110</v>
      </c>
      <c r="D518" s="65" t="s">
        <v>110</v>
      </c>
      <c r="E518" s="65" t="s">
        <v>110</v>
      </c>
      <c r="F518" s="65" t="s">
        <v>110</v>
      </c>
      <c r="G518" s="65" t="s">
        <v>110</v>
      </c>
      <c r="H518" s="65" t="s">
        <v>110</v>
      </c>
      <c r="I518" s="65" t="s">
        <v>110</v>
      </c>
      <c r="J518" s="65" t="s">
        <v>110</v>
      </c>
      <c r="K518" s="65" t="s">
        <v>110</v>
      </c>
      <c r="L518" s="65" t="s">
        <v>110</v>
      </c>
      <c r="M518" s="65" t="s">
        <v>110</v>
      </c>
      <c r="N518" s="65" t="s">
        <v>110</v>
      </c>
      <c r="O518" s="65" t="s">
        <v>110</v>
      </c>
      <c r="P518" s="65" t="s">
        <v>110</v>
      </c>
      <c r="Q518" s="65" t="s">
        <v>110</v>
      </c>
      <c r="R518" s="15"/>
      <c r="S518" s="15"/>
      <c r="T518" s="15"/>
      <c r="U518" s="15"/>
      <c r="V518" s="15"/>
      <c r="W518" s="15"/>
      <c r="X518" s="15"/>
      <c r="Y518" s="11"/>
      <c r="Z518" s="15"/>
      <c r="AA518" s="15"/>
      <c r="AB518" s="15"/>
      <c r="AC518" s="15"/>
      <c r="AD518" s="15"/>
      <c r="AE518" s="39"/>
      <c r="AF518" s="15"/>
      <c r="AG518" s="39"/>
      <c r="AH518" s="39">
        <f t="shared" si="98"/>
        <v>0</v>
      </c>
    </row>
    <row r="519" spans="1:36" ht="15">
      <c r="A519" s="21" t="s">
        <v>84</v>
      </c>
      <c r="B519" s="19">
        <f t="shared" si="97"/>
        <v>0</v>
      </c>
      <c r="C519" s="3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39"/>
      <c r="AF519" s="15"/>
      <c r="AG519" s="39"/>
      <c r="AH519" s="39">
        <f t="shared" si="98"/>
        <v>0</v>
      </c>
    </row>
    <row r="520" spans="1:36" ht="15">
      <c r="A520" s="71" t="s">
        <v>72</v>
      </c>
      <c r="B520" s="74">
        <f>SUM(B508:B519)</f>
        <v>0</v>
      </c>
      <c r="C520" s="32">
        <f>SUM(C508:C518)</f>
        <v>0</v>
      </c>
      <c r="D520" s="39">
        <f>SUM(D508:D518)</f>
        <v>0</v>
      </c>
      <c r="E520" s="39">
        <v>0</v>
      </c>
      <c r="F520" s="39">
        <f t="shared" ref="F520:AC520" si="99">SUM(F508:F518)</f>
        <v>0</v>
      </c>
      <c r="G520" s="39">
        <f t="shared" si="99"/>
        <v>0</v>
      </c>
      <c r="H520" s="39">
        <f t="shared" si="99"/>
        <v>0</v>
      </c>
      <c r="I520" s="39">
        <f t="shared" si="99"/>
        <v>0</v>
      </c>
      <c r="J520" s="39">
        <f t="shared" si="99"/>
        <v>0</v>
      </c>
      <c r="K520" s="39">
        <f t="shared" si="99"/>
        <v>0</v>
      </c>
      <c r="L520" s="39">
        <f t="shared" si="99"/>
        <v>0</v>
      </c>
      <c r="M520" s="39">
        <f t="shared" si="99"/>
        <v>0</v>
      </c>
      <c r="N520" s="39">
        <f t="shared" si="99"/>
        <v>0</v>
      </c>
      <c r="O520" s="39">
        <f t="shared" si="99"/>
        <v>0</v>
      </c>
      <c r="P520" s="39">
        <f t="shared" si="99"/>
        <v>0</v>
      </c>
      <c r="Q520" s="39">
        <f t="shared" si="99"/>
        <v>0</v>
      </c>
      <c r="R520" s="39">
        <f t="shared" si="99"/>
        <v>0</v>
      </c>
      <c r="S520" s="39">
        <f t="shared" si="99"/>
        <v>0</v>
      </c>
      <c r="T520" s="39">
        <f t="shared" si="99"/>
        <v>0</v>
      </c>
      <c r="U520" s="39">
        <f t="shared" si="99"/>
        <v>0</v>
      </c>
      <c r="V520" s="39">
        <f t="shared" si="99"/>
        <v>0</v>
      </c>
      <c r="W520" s="39">
        <f t="shared" si="99"/>
        <v>0</v>
      </c>
      <c r="X520" s="39">
        <f t="shared" si="99"/>
        <v>0</v>
      </c>
      <c r="Y520" s="39">
        <f t="shared" si="99"/>
        <v>0</v>
      </c>
      <c r="Z520" s="39">
        <f t="shared" si="99"/>
        <v>0</v>
      </c>
      <c r="AA520" s="39">
        <f t="shared" si="99"/>
        <v>0</v>
      </c>
      <c r="AB520" s="39">
        <f t="shared" si="99"/>
        <v>0</v>
      </c>
      <c r="AC520" s="39">
        <f t="shared" si="99"/>
        <v>0</v>
      </c>
      <c r="AD520" s="39">
        <v>0</v>
      </c>
      <c r="AE520" s="39">
        <f>SUM(AE508:AE518)</f>
        <v>0</v>
      </c>
      <c r="AF520" s="39">
        <f>SUM(AF508:AF518)</f>
        <v>0</v>
      </c>
      <c r="AG520" s="39">
        <f>SUM(AG508:AG518)</f>
        <v>0</v>
      </c>
      <c r="AH520" s="32">
        <f>SUM(AH508:AH518)</f>
        <v>0</v>
      </c>
    </row>
    <row r="521" spans="1:36" ht="5.0999999999999996" customHeight="1">
      <c r="A521" s="14"/>
      <c r="B521" s="14"/>
      <c r="C521" s="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
    </row>
    <row r="522" spans="1:36" ht="20.399999999999999">
      <c r="A522" s="3853" t="s">
        <v>98</v>
      </c>
      <c r="B522" s="3854"/>
      <c r="C522" s="3854"/>
      <c r="D522" s="3854"/>
      <c r="E522" s="3854"/>
      <c r="F522" s="3854"/>
      <c r="G522" s="3854"/>
      <c r="H522" s="3855"/>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row>
    <row r="523" spans="1:36" ht="15">
      <c r="A523" s="5" t="s">
        <v>70</v>
      </c>
      <c r="B523" s="5" t="s">
        <v>71</v>
      </c>
      <c r="C523" s="1039">
        <v>1</v>
      </c>
      <c r="D523" s="21">
        <v>2</v>
      </c>
      <c r="E523" s="21">
        <v>3</v>
      </c>
      <c r="F523" s="21">
        <v>4</v>
      </c>
      <c r="G523" s="21">
        <v>5</v>
      </c>
      <c r="H523" s="21">
        <v>6</v>
      </c>
      <c r="I523" s="21">
        <v>7</v>
      </c>
      <c r="J523" s="21">
        <v>8</v>
      </c>
      <c r="K523" s="21">
        <v>9</v>
      </c>
      <c r="L523" s="21">
        <v>10</v>
      </c>
      <c r="M523" s="21">
        <v>11</v>
      </c>
      <c r="N523" s="21">
        <v>12</v>
      </c>
      <c r="O523" s="21">
        <v>13</v>
      </c>
      <c r="P523" s="21">
        <v>14</v>
      </c>
      <c r="Q523" s="21">
        <v>15</v>
      </c>
      <c r="R523" s="21">
        <v>16</v>
      </c>
      <c r="S523" s="21">
        <v>17</v>
      </c>
      <c r="T523" s="21">
        <v>18</v>
      </c>
      <c r="U523" s="21">
        <v>19</v>
      </c>
      <c r="V523" s="21">
        <v>20</v>
      </c>
      <c r="W523" s="21">
        <v>21</v>
      </c>
      <c r="X523" s="21">
        <v>22</v>
      </c>
      <c r="Y523" s="21">
        <v>23</v>
      </c>
      <c r="Z523" s="21">
        <v>24</v>
      </c>
      <c r="AA523" s="21">
        <v>25</v>
      </c>
      <c r="AB523" s="21">
        <v>26</v>
      </c>
      <c r="AC523" s="21">
        <v>27</v>
      </c>
      <c r="AD523" s="21">
        <v>28</v>
      </c>
      <c r="AE523" s="21">
        <v>29</v>
      </c>
      <c r="AF523" s="21">
        <v>30</v>
      </c>
      <c r="AG523" s="21">
        <v>31</v>
      </c>
      <c r="AH523" s="25" t="s">
        <v>72</v>
      </c>
      <c r="AI523" s="2266" t="s">
        <v>1345</v>
      </c>
      <c r="AJ523" s="66" t="e">
        <f>(B536/COUNTIF($C$524:$AG$535,"&gt;0"))</f>
        <v>#DIV/0!</v>
      </c>
    </row>
    <row r="524" spans="1:36" ht="15">
      <c r="A524" s="21" t="s">
        <v>73</v>
      </c>
      <c r="B524" s="95">
        <f t="shared" ref="B524:B535" si="100">+AH524</f>
        <v>0</v>
      </c>
      <c r="C524" s="1091"/>
      <c r="D524" s="1091"/>
      <c r="E524" s="1091"/>
      <c r="F524" s="1091"/>
      <c r="G524" s="1091"/>
      <c r="H524" s="1091"/>
      <c r="I524" s="1091"/>
      <c r="J524" s="1091"/>
      <c r="K524" s="1091"/>
      <c r="L524" s="1091"/>
      <c r="M524" s="1091"/>
      <c r="N524" s="1091"/>
      <c r="O524" s="1091"/>
      <c r="P524" s="1091"/>
      <c r="Q524" s="1091"/>
      <c r="R524" s="1091"/>
      <c r="S524" s="1091"/>
      <c r="T524" s="1091"/>
      <c r="U524" s="1091"/>
      <c r="V524" s="1091"/>
      <c r="W524" s="1091"/>
      <c r="X524" s="1091"/>
      <c r="Y524" s="1091"/>
      <c r="Z524" s="1091"/>
      <c r="AA524" s="1091"/>
      <c r="AB524" s="1091"/>
      <c r="AC524" s="1091"/>
      <c r="AD524" s="1091"/>
      <c r="AE524" s="1091"/>
      <c r="AF524" s="1091"/>
      <c r="AG524" s="1091"/>
      <c r="AH524" s="39">
        <f>SUM(C524:AG524)</f>
        <v>0</v>
      </c>
    </row>
    <row r="525" spans="1:36" ht="15">
      <c r="A525" s="21" t="s">
        <v>74</v>
      </c>
      <c r="B525" s="95">
        <f t="shared" si="100"/>
        <v>0</v>
      </c>
      <c r="C525" s="1091"/>
      <c r="D525" s="1091"/>
      <c r="E525" s="1091"/>
      <c r="F525" s="1091"/>
      <c r="G525" s="1091"/>
      <c r="H525" s="1091"/>
      <c r="I525" s="1091"/>
      <c r="J525" s="1091"/>
      <c r="K525" s="1091"/>
      <c r="L525" s="1091"/>
      <c r="M525" s="1091"/>
      <c r="N525" s="1091"/>
      <c r="O525" s="1091"/>
      <c r="P525" s="1091"/>
      <c r="Q525" s="1091"/>
      <c r="R525" s="1091"/>
      <c r="S525" s="1091"/>
      <c r="T525" s="1091"/>
      <c r="U525" s="1091"/>
      <c r="V525" s="1091"/>
      <c r="W525" s="1091"/>
      <c r="X525" s="1091"/>
      <c r="Y525" s="1091"/>
      <c r="Z525" s="1091"/>
      <c r="AA525" s="1091"/>
      <c r="AB525" s="1091"/>
      <c r="AC525" s="1091"/>
      <c r="AD525" s="1091"/>
      <c r="AE525" s="1091"/>
      <c r="AF525" s="1091"/>
      <c r="AG525" s="1091"/>
      <c r="AH525" s="39">
        <f t="shared" ref="AH525:AH535" si="101">SUM(C525:AG525)</f>
        <v>0</v>
      </c>
    </row>
    <row r="526" spans="1:36" ht="15">
      <c r="A526" s="21" t="s">
        <v>75</v>
      </c>
      <c r="B526" s="95">
        <f t="shared" si="100"/>
        <v>0</v>
      </c>
      <c r="C526" s="1689"/>
      <c r="D526" s="1689"/>
      <c r="E526" s="1689"/>
      <c r="F526" s="1689"/>
      <c r="G526" s="1689"/>
      <c r="H526" s="1091"/>
      <c r="I526" s="1091"/>
      <c r="J526" s="1091"/>
      <c r="K526" s="1091"/>
      <c r="L526" s="1091"/>
      <c r="M526" s="1091"/>
      <c r="N526" s="1091"/>
      <c r="O526" s="1091"/>
      <c r="P526" s="1091"/>
      <c r="Q526" s="1084"/>
      <c r="R526" s="1084"/>
      <c r="S526" s="1084"/>
      <c r="T526" s="1084"/>
      <c r="U526" s="1084"/>
      <c r="V526" s="1084"/>
      <c r="W526" s="1084"/>
      <c r="X526" s="1084"/>
      <c r="Y526" s="1084"/>
      <c r="Z526" s="1084"/>
      <c r="AA526" s="1084"/>
      <c r="AB526" s="1084"/>
      <c r="AC526" s="1084"/>
      <c r="AD526" s="1084"/>
      <c r="AE526" s="1084"/>
      <c r="AF526" s="1084"/>
      <c r="AG526" s="1084"/>
      <c r="AH526" s="39">
        <f t="shared" si="101"/>
        <v>0</v>
      </c>
    </row>
    <row r="527" spans="1:36" ht="15">
      <c r="A527" s="21" t="s">
        <v>76</v>
      </c>
      <c r="B527" s="95">
        <f t="shared" si="100"/>
        <v>0</v>
      </c>
      <c r="C527" s="1084"/>
      <c r="D527" s="1084"/>
      <c r="E527" s="1084"/>
      <c r="F527" s="1084"/>
      <c r="G527" s="1084"/>
      <c r="H527" s="1084"/>
      <c r="I527" s="1084"/>
      <c r="J527" s="1084"/>
      <c r="K527" s="1084"/>
      <c r="L527" s="1084"/>
      <c r="M527" s="1084"/>
      <c r="N527" s="1084"/>
      <c r="O527" s="1084"/>
      <c r="P527" s="1084"/>
      <c r="Q527" s="1084"/>
      <c r="R527" s="1084"/>
      <c r="S527" s="1084"/>
      <c r="T527" s="1084"/>
      <c r="U527" s="1084"/>
      <c r="V527" s="1084"/>
      <c r="W527" s="1084"/>
      <c r="X527" s="1084"/>
      <c r="Y527" s="1084"/>
      <c r="Z527" s="1084"/>
      <c r="AA527" s="1084"/>
      <c r="AB527" s="1084"/>
      <c r="AC527" s="1084"/>
      <c r="AD527" s="1084"/>
      <c r="AE527" s="1084"/>
      <c r="AF527" s="1084" t="s">
        <v>110</v>
      </c>
      <c r="AG527" s="1084" t="s">
        <v>110</v>
      </c>
      <c r="AH527" s="39">
        <f t="shared" si="101"/>
        <v>0</v>
      </c>
    </row>
    <row r="528" spans="1:36" ht="15">
      <c r="A528" s="21" t="s">
        <v>77</v>
      </c>
      <c r="B528" s="95">
        <f t="shared" si="100"/>
        <v>0</v>
      </c>
      <c r="C528" s="1084" t="s">
        <v>110</v>
      </c>
      <c r="D528" s="1084" t="s">
        <v>110</v>
      </c>
      <c r="E528" s="1084" t="s">
        <v>110</v>
      </c>
      <c r="F528" s="1084" t="s">
        <v>110</v>
      </c>
      <c r="G528" s="1084" t="s">
        <v>110</v>
      </c>
      <c r="H528" s="1084" t="s">
        <v>110</v>
      </c>
      <c r="I528" s="1084" t="s">
        <v>110</v>
      </c>
      <c r="J528" s="1084" t="s">
        <v>110</v>
      </c>
      <c r="K528" s="1084" t="s">
        <v>110</v>
      </c>
      <c r="L528" s="1084" t="s">
        <v>110</v>
      </c>
      <c r="M528" s="1084" t="s">
        <v>110</v>
      </c>
      <c r="N528" s="1084" t="s">
        <v>110</v>
      </c>
      <c r="O528" s="1084" t="s">
        <v>110</v>
      </c>
      <c r="P528" s="1084" t="s">
        <v>110</v>
      </c>
      <c r="Q528" s="1084" t="s">
        <v>110</v>
      </c>
      <c r="R528" s="1091"/>
      <c r="S528" s="1091"/>
      <c r="T528" s="1091"/>
      <c r="U528" s="1091"/>
      <c r="V528" s="1091"/>
      <c r="W528" s="1091"/>
      <c r="X528" s="1091"/>
      <c r="Y528" s="1091"/>
      <c r="Z528" s="1091"/>
      <c r="AA528" s="1091"/>
      <c r="AB528" s="1091"/>
      <c r="AC528" s="1091"/>
      <c r="AD528" s="1091"/>
      <c r="AE528" s="1091"/>
      <c r="AF528" s="1091"/>
      <c r="AG528" s="1091"/>
      <c r="AH528" s="39">
        <f t="shared" si="101"/>
        <v>0</v>
      </c>
    </row>
    <row r="529" spans="1:36" ht="15">
      <c r="A529" s="21" t="s">
        <v>78</v>
      </c>
      <c r="B529" s="95">
        <f t="shared" si="100"/>
        <v>0</v>
      </c>
      <c r="C529" s="3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39">
        <f t="shared" si="101"/>
        <v>0</v>
      </c>
    </row>
    <row r="530" spans="1:36" ht="15">
      <c r="A530" s="21" t="s">
        <v>79</v>
      </c>
      <c r="B530" s="94">
        <f t="shared" si="100"/>
        <v>0</v>
      </c>
      <c r="C530" s="35"/>
      <c r="D530" s="39"/>
      <c r="E530" s="39"/>
      <c r="F530" s="39"/>
      <c r="G530" s="15"/>
      <c r="H530" s="15"/>
      <c r="I530" s="15"/>
      <c r="J530" s="43"/>
      <c r="K530" s="43"/>
      <c r="L530" s="39"/>
      <c r="M530" s="39"/>
      <c r="N530" s="39"/>
      <c r="O530" s="39"/>
      <c r="P530" s="39"/>
      <c r="Q530" s="39"/>
      <c r="R530" s="39"/>
      <c r="S530" s="39"/>
      <c r="T530" s="39"/>
      <c r="U530" s="39"/>
      <c r="V530" s="39"/>
      <c r="W530" s="897" t="s">
        <v>110</v>
      </c>
      <c r="X530" s="897" t="s">
        <v>110</v>
      </c>
      <c r="Y530" s="897" t="s">
        <v>110</v>
      </c>
      <c r="Z530" s="897" t="s">
        <v>110</v>
      </c>
      <c r="AA530" s="897" t="s">
        <v>110</v>
      </c>
      <c r="AB530" s="897" t="s">
        <v>110</v>
      </c>
      <c r="AC530" s="897" t="s">
        <v>110</v>
      </c>
      <c r="AD530" s="897" t="s">
        <v>110</v>
      </c>
      <c r="AE530" s="897" t="s">
        <v>110</v>
      </c>
      <c r="AF530" s="897" t="s">
        <v>110</v>
      </c>
      <c r="AG530" s="897" t="s">
        <v>110</v>
      </c>
      <c r="AH530" s="39">
        <f t="shared" si="101"/>
        <v>0</v>
      </c>
    </row>
    <row r="531" spans="1:36" ht="15">
      <c r="A531" s="21" t="s">
        <v>80</v>
      </c>
      <c r="B531" s="94">
        <f t="shared" si="100"/>
        <v>0</v>
      </c>
      <c r="C531" s="897" t="s">
        <v>110</v>
      </c>
      <c r="D531" s="897" t="s">
        <v>110</v>
      </c>
      <c r="E531" s="897" t="s">
        <v>110</v>
      </c>
      <c r="F531" s="897" t="s">
        <v>110</v>
      </c>
      <c r="G531" s="897" t="s">
        <v>110</v>
      </c>
      <c r="H531" s="897" t="s">
        <v>110</v>
      </c>
      <c r="I531" s="897" t="s">
        <v>110</v>
      </c>
      <c r="J531" s="897" t="s">
        <v>110</v>
      </c>
      <c r="K531" s="897" t="s">
        <v>110</v>
      </c>
      <c r="L531" s="897" t="s">
        <v>110</v>
      </c>
      <c r="M531" s="897" t="s">
        <v>110</v>
      </c>
      <c r="N531" s="897" t="s">
        <v>110</v>
      </c>
      <c r="O531" s="897" t="s">
        <v>110</v>
      </c>
      <c r="P531" s="897" t="s">
        <v>110</v>
      </c>
      <c r="Q531" s="897" t="s">
        <v>110</v>
      </c>
      <c r="R531" s="897" t="s">
        <v>110</v>
      </c>
      <c r="S531" s="897" t="s">
        <v>110</v>
      </c>
      <c r="T531" s="897" t="s">
        <v>110</v>
      </c>
      <c r="U531" s="897" t="s">
        <v>110</v>
      </c>
      <c r="V531" s="897" t="s">
        <v>110</v>
      </c>
      <c r="W531" s="897" t="s">
        <v>110</v>
      </c>
      <c r="X531" s="897" t="s">
        <v>110</v>
      </c>
      <c r="Y531" s="897" t="s">
        <v>110</v>
      </c>
      <c r="Z531" s="897" t="s">
        <v>110</v>
      </c>
      <c r="AA531" s="897" t="s">
        <v>110</v>
      </c>
      <c r="AB531" s="897" t="s">
        <v>110</v>
      </c>
      <c r="AC531" s="897" t="s">
        <v>110</v>
      </c>
      <c r="AD531" s="897" t="s">
        <v>110</v>
      </c>
      <c r="AE531" s="897" t="s">
        <v>110</v>
      </c>
      <c r="AF531" s="897" t="s">
        <v>110</v>
      </c>
      <c r="AG531" s="897" t="s">
        <v>110</v>
      </c>
      <c r="AH531" s="39">
        <f t="shared" si="101"/>
        <v>0</v>
      </c>
    </row>
    <row r="532" spans="1:36" ht="15">
      <c r="A532" s="21" t="s">
        <v>81</v>
      </c>
      <c r="B532" s="94">
        <f t="shared" si="100"/>
        <v>0</v>
      </c>
      <c r="C532" s="32"/>
      <c r="D532" s="39"/>
      <c r="E532" s="39"/>
      <c r="F532" s="39"/>
      <c r="G532" s="39"/>
      <c r="H532" s="39"/>
      <c r="I532" s="39"/>
      <c r="J532" s="43"/>
      <c r="K532" s="43"/>
      <c r="L532" s="15"/>
      <c r="M532" s="15"/>
      <c r="N532" s="15"/>
      <c r="O532" s="15"/>
      <c r="P532" s="15"/>
      <c r="Q532" s="897" t="s">
        <v>110</v>
      </c>
      <c r="R532" s="897" t="s">
        <v>110</v>
      </c>
      <c r="S532" s="897" t="s">
        <v>110</v>
      </c>
      <c r="T532" s="897" t="s">
        <v>110</v>
      </c>
      <c r="U532" s="897" t="s">
        <v>110</v>
      </c>
      <c r="V532" s="897" t="s">
        <v>110</v>
      </c>
      <c r="W532" s="897" t="s">
        <v>110</v>
      </c>
      <c r="X532" s="897" t="s">
        <v>110</v>
      </c>
      <c r="Y532" s="897" t="s">
        <v>110</v>
      </c>
      <c r="Z532" s="897" t="s">
        <v>110</v>
      </c>
      <c r="AA532" s="897" t="s">
        <v>110</v>
      </c>
      <c r="AB532" s="897" t="s">
        <v>110</v>
      </c>
      <c r="AC532" s="897" t="s">
        <v>110</v>
      </c>
      <c r="AD532" s="897" t="s">
        <v>110</v>
      </c>
      <c r="AE532" s="897" t="s">
        <v>110</v>
      </c>
      <c r="AF532" s="897" t="s">
        <v>110</v>
      </c>
      <c r="AG532" s="897" t="s">
        <v>110</v>
      </c>
      <c r="AH532" s="39">
        <f t="shared" si="101"/>
        <v>0</v>
      </c>
    </row>
    <row r="533" spans="1:36" ht="15">
      <c r="A533" s="21" t="s">
        <v>82</v>
      </c>
      <c r="B533" s="94">
        <f t="shared" si="100"/>
        <v>0</v>
      </c>
      <c r="C533" s="35"/>
      <c r="D533" s="897" t="s">
        <v>110</v>
      </c>
      <c r="E533" s="897" t="s">
        <v>110</v>
      </c>
      <c r="F533" s="897" t="s">
        <v>110</v>
      </c>
      <c r="G533" s="897" t="s">
        <v>110</v>
      </c>
      <c r="H533" s="897" t="s">
        <v>110</v>
      </c>
      <c r="I533" s="897" t="s">
        <v>110</v>
      </c>
      <c r="J533" s="897" t="s">
        <v>110</v>
      </c>
      <c r="K533" s="897" t="s">
        <v>110</v>
      </c>
      <c r="L533" s="897" t="s">
        <v>110</v>
      </c>
      <c r="M533" s="897" t="s">
        <v>110</v>
      </c>
      <c r="N533" s="897" t="s">
        <v>110</v>
      </c>
      <c r="O533" s="897" t="s">
        <v>110</v>
      </c>
      <c r="P533" s="897" t="s">
        <v>110</v>
      </c>
      <c r="Q533" s="897" t="s">
        <v>110</v>
      </c>
      <c r="R533" s="897" t="s">
        <v>110</v>
      </c>
      <c r="S533" s="897" t="s">
        <v>110</v>
      </c>
      <c r="T533" s="897" t="s">
        <v>110</v>
      </c>
      <c r="U533" s="897" t="s">
        <v>110</v>
      </c>
      <c r="V533" s="897" t="s">
        <v>110</v>
      </c>
      <c r="W533" s="897" t="s">
        <v>110</v>
      </c>
      <c r="X533" s="897" t="s">
        <v>110</v>
      </c>
      <c r="Y533" s="897" t="s">
        <v>110</v>
      </c>
      <c r="Z533" s="897" t="s">
        <v>110</v>
      </c>
      <c r="AA533" s="897" t="s">
        <v>110</v>
      </c>
      <c r="AB533" s="897" t="s">
        <v>110</v>
      </c>
      <c r="AC533" s="897" t="s">
        <v>110</v>
      </c>
      <c r="AD533" s="897" t="s">
        <v>110</v>
      </c>
      <c r="AE533" s="897" t="s">
        <v>110</v>
      </c>
      <c r="AF533" s="897" t="s">
        <v>110</v>
      </c>
      <c r="AG533" s="897" t="s">
        <v>110</v>
      </c>
      <c r="AH533" s="39">
        <f t="shared" si="101"/>
        <v>0</v>
      </c>
    </row>
    <row r="534" spans="1:36" ht="15">
      <c r="A534" s="21" t="s">
        <v>83</v>
      </c>
      <c r="B534" s="15">
        <f t="shared" si="100"/>
        <v>0</v>
      </c>
      <c r="C534" s="65" t="s">
        <v>110</v>
      </c>
      <c r="D534" s="65" t="s">
        <v>110</v>
      </c>
      <c r="E534" s="65" t="s">
        <v>110</v>
      </c>
      <c r="F534" s="65" t="s">
        <v>110</v>
      </c>
      <c r="G534" s="65" t="s">
        <v>110</v>
      </c>
      <c r="H534" s="65" t="s">
        <v>110</v>
      </c>
      <c r="I534" s="65" t="s">
        <v>110</v>
      </c>
      <c r="J534" s="65" t="s">
        <v>110</v>
      </c>
      <c r="K534" s="65" t="s">
        <v>110</v>
      </c>
      <c r="L534" s="65" t="s">
        <v>110</v>
      </c>
      <c r="M534" s="65" t="s">
        <v>110</v>
      </c>
      <c r="N534" s="65" t="s">
        <v>110</v>
      </c>
      <c r="O534" s="65" t="s">
        <v>110</v>
      </c>
      <c r="P534" s="65" t="s">
        <v>110</v>
      </c>
      <c r="Q534" s="65" t="s">
        <v>110</v>
      </c>
      <c r="R534" s="15"/>
      <c r="S534" s="15"/>
      <c r="T534" s="15"/>
      <c r="U534" s="15"/>
      <c r="V534" s="15"/>
      <c r="W534" s="15"/>
      <c r="X534" s="15"/>
      <c r="Y534" s="11"/>
      <c r="Z534" s="15"/>
      <c r="AA534" s="15"/>
      <c r="AB534" s="15"/>
      <c r="AC534" s="15"/>
      <c r="AD534" s="15"/>
      <c r="AE534" s="39"/>
      <c r="AF534" s="15"/>
      <c r="AG534" s="39"/>
      <c r="AH534" s="39">
        <f t="shared" si="101"/>
        <v>0</v>
      </c>
    </row>
    <row r="535" spans="1:36" ht="15">
      <c r="A535" s="21" t="s">
        <v>84</v>
      </c>
      <c r="B535" s="15">
        <f t="shared" si="100"/>
        <v>0</v>
      </c>
      <c r="C535" s="3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39"/>
      <c r="AF535" s="15"/>
      <c r="AG535" s="39"/>
      <c r="AH535" s="39">
        <f t="shared" si="101"/>
        <v>0</v>
      </c>
    </row>
    <row r="536" spans="1:36" ht="15">
      <c r="A536" s="71" t="s">
        <v>72</v>
      </c>
      <c r="B536" s="72">
        <f>SUM(B524:B535)</f>
        <v>0</v>
      </c>
      <c r="C536" s="32">
        <f>SUM(C524:C534)</f>
        <v>0</v>
      </c>
      <c r="D536" s="39">
        <f>SUM(D524:D534)</f>
        <v>0</v>
      </c>
      <c r="E536" s="39">
        <v>0</v>
      </c>
      <c r="F536" s="39">
        <f t="shared" ref="F536:AC536" si="102">SUM(F524:F534)</f>
        <v>0</v>
      </c>
      <c r="G536" s="39">
        <f t="shared" si="102"/>
        <v>0</v>
      </c>
      <c r="H536" s="39">
        <f t="shared" si="102"/>
        <v>0</v>
      </c>
      <c r="I536" s="39">
        <f t="shared" si="102"/>
        <v>0</v>
      </c>
      <c r="J536" s="39">
        <f t="shared" si="102"/>
        <v>0</v>
      </c>
      <c r="K536" s="39">
        <f t="shared" si="102"/>
        <v>0</v>
      </c>
      <c r="L536" s="39">
        <f t="shared" si="102"/>
        <v>0</v>
      </c>
      <c r="M536" s="39">
        <f t="shared" si="102"/>
        <v>0</v>
      </c>
      <c r="N536" s="39">
        <f t="shared" si="102"/>
        <v>0</v>
      </c>
      <c r="O536" s="39">
        <f t="shared" si="102"/>
        <v>0</v>
      </c>
      <c r="P536" s="39">
        <f t="shared" si="102"/>
        <v>0</v>
      </c>
      <c r="Q536" s="39">
        <f t="shared" si="102"/>
        <v>0</v>
      </c>
      <c r="R536" s="39">
        <f t="shared" si="102"/>
        <v>0</v>
      </c>
      <c r="S536" s="39">
        <f t="shared" si="102"/>
        <v>0</v>
      </c>
      <c r="T536" s="39">
        <f t="shared" si="102"/>
        <v>0</v>
      </c>
      <c r="U536" s="39">
        <f t="shared" si="102"/>
        <v>0</v>
      </c>
      <c r="V536" s="39">
        <f t="shared" si="102"/>
        <v>0</v>
      </c>
      <c r="W536" s="39">
        <f t="shared" si="102"/>
        <v>0</v>
      </c>
      <c r="X536" s="39">
        <f t="shared" si="102"/>
        <v>0</v>
      </c>
      <c r="Y536" s="39">
        <f t="shared" si="102"/>
        <v>0</v>
      </c>
      <c r="Z536" s="39">
        <f t="shared" si="102"/>
        <v>0</v>
      </c>
      <c r="AA536" s="39">
        <f t="shared" si="102"/>
        <v>0</v>
      </c>
      <c r="AB536" s="39">
        <f t="shared" si="102"/>
        <v>0</v>
      </c>
      <c r="AC536" s="39">
        <f t="shared" si="102"/>
        <v>0</v>
      </c>
      <c r="AD536" s="39">
        <v>0</v>
      </c>
      <c r="AE536" s="39">
        <f>SUM(AE524:AE534)</f>
        <v>0</v>
      </c>
      <c r="AF536" s="39">
        <f>SUM(AF524:AF534)</f>
        <v>0</v>
      </c>
      <c r="AG536" s="39">
        <f>SUM(AG524:AG534)</f>
        <v>0</v>
      </c>
      <c r="AH536" s="32">
        <f>SUM(AH524:AH534)</f>
        <v>0</v>
      </c>
    </row>
    <row r="537" spans="1:36" ht="5.0999999999999996" customHeight="1">
      <c r="A537" s="14"/>
      <c r="B537" s="14"/>
      <c r="C537" s="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
    </row>
    <row r="538" spans="1:36" ht="20.399999999999999">
      <c r="A538" s="3853" t="s">
        <v>121</v>
      </c>
      <c r="B538" s="3854"/>
      <c r="C538" s="3854"/>
      <c r="D538" s="3854"/>
      <c r="E538" s="3854"/>
      <c r="F538" s="3854"/>
      <c r="G538" s="3854"/>
      <c r="H538" s="3855"/>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row>
    <row r="539" spans="1:36" ht="15">
      <c r="A539" s="5" t="s">
        <v>70</v>
      </c>
      <c r="B539" s="5" t="s">
        <v>71</v>
      </c>
      <c r="C539" s="1039">
        <v>1</v>
      </c>
      <c r="D539" s="21">
        <v>2</v>
      </c>
      <c r="E539" s="21">
        <v>3</v>
      </c>
      <c r="F539" s="21">
        <v>4</v>
      </c>
      <c r="G539" s="21">
        <v>5</v>
      </c>
      <c r="H539" s="21">
        <v>6</v>
      </c>
      <c r="I539" s="21">
        <v>7</v>
      </c>
      <c r="J539" s="21">
        <v>8</v>
      </c>
      <c r="K539" s="21">
        <v>9</v>
      </c>
      <c r="L539" s="21">
        <v>10</v>
      </c>
      <c r="M539" s="21">
        <v>11</v>
      </c>
      <c r="N539" s="21">
        <v>12</v>
      </c>
      <c r="O539" s="21">
        <v>13</v>
      </c>
      <c r="P539" s="21">
        <v>14</v>
      </c>
      <c r="Q539" s="21">
        <v>15</v>
      </c>
      <c r="R539" s="21">
        <v>16</v>
      </c>
      <c r="S539" s="21">
        <v>17</v>
      </c>
      <c r="T539" s="21">
        <v>18</v>
      </c>
      <c r="U539" s="21">
        <v>19</v>
      </c>
      <c r="V539" s="21">
        <v>20</v>
      </c>
      <c r="W539" s="21">
        <v>21</v>
      </c>
      <c r="X539" s="21">
        <v>22</v>
      </c>
      <c r="Y539" s="21">
        <v>23</v>
      </c>
      <c r="Z539" s="21">
        <v>24</v>
      </c>
      <c r="AA539" s="21">
        <v>25</v>
      </c>
      <c r="AB539" s="21">
        <v>26</v>
      </c>
      <c r="AC539" s="21">
        <v>27</v>
      </c>
      <c r="AD539" s="21">
        <v>28</v>
      </c>
      <c r="AE539" s="21">
        <v>29</v>
      </c>
      <c r="AF539" s="21">
        <v>30</v>
      </c>
      <c r="AG539" s="21">
        <v>31</v>
      </c>
      <c r="AH539" s="25" t="s">
        <v>72</v>
      </c>
      <c r="AI539" s="2266" t="s">
        <v>1345</v>
      </c>
      <c r="AJ539" s="66">
        <f>(B552/COUNTIF($C$540:$AG$551,"&gt;0"))</f>
        <v>2.1313000000000004</v>
      </c>
    </row>
    <row r="540" spans="1:36" ht="15">
      <c r="A540" s="21" t="s">
        <v>73</v>
      </c>
      <c r="B540" s="204">
        <f t="shared" ref="B540:B551" si="103">+AH540</f>
        <v>0.70599999999999996</v>
      </c>
      <c r="C540" s="1091"/>
      <c r="D540" s="1091"/>
      <c r="E540" s="1091"/>
      <c r="F540" s="1091"/>
      <c r="G540" s="1091"/>
      <c r="H540" s="1091"/>
      <c r="I540" s="1091"/>
      <c r="J540" s="1091"/>
      <c r="K540" s="1091"/>
      <c r="L540" s="1091"/>
      <c r="M540" s="1091"/>
      <c r="N540" s="1091"/>
      <c r="O540" s="1091"/>
      <c r="P540" s="1091"/>
      <c r="Q540" s="1091"/>
      <c r="R540" s="1091"/>
      <c r="S540" s="1091"/>
      <c r="T540" s="1091"/>
      <c r="U540" s="1091"/>
      <c r="V540" s="1091"/>
      <c r="W540" s="1091">
        <v>0.70599999999999996</v>
      </c>
      <c r="X540" s="1091"/>
      <c r="Y540" s="1091"/>
      <c r="Z540" s="1091"/>
      <c r="AA540" s="1091"/>
      <c r="AB540" s="1091"/>
      <c r="AC540" s="1091"/>
      <c r="AD540" s="1091" t="s">
        <v>814</v>
      </c>
      <c r="AE540" s="1591"/>
      <c r="AF540" s="1091"/>
      <c r="AG540" s="1091"/>
      <c r="AH540" s="39">
        <f>SUM(C540:AG540)</f>
        <v>0.70599999999999996</v>
      </c>
      <c r="AJ540" s="2157">
        <f>+'Resumen RAE S.Común'!G269</f>
        <v>194.78</v>
      </c>
    </row>
    <row r="541" spans="1:36" ht="15">
      <c r="A541" s="21" t="s">
        <v>74</v>
      </c>
      <c r="B541" s="204">
        <f t="shared" si="103"/>
        <v>15.297000000000001</v>
      </c>
      <c r="C541" s="1091"/>
      <c r="D541" s="1091"/>
      <c r="E541" s="1091"/>
      <c r="F541" s="1091">
        <v>2.0230000000000001</v>
      </c>
      <c r="G541" s="1091" t="s">
        <v>127</v>
      </c>
      <c r="H541" s="1591">
        <v>3.3410000000000002</v>
      </c>
      <c r="I541" s="1091" t="s">
        <v>127</v>
      </c>
      <c r="J541" s="1091" t="s">
        <v>127</v>
      </c>
      <c r="K541" s="1091" t="s">
        <v>127</v>
      </c>
      <c r="L541" s="1091" t="s">
        <v>127</v>
      </c>
      <c r="M541" s="1591" t="s">
        <v>127</v>
      </c>
      <c r="N541" s="1591" t="s">
        <v>127</v>
      </c>
      <c r="O541" s="1091">
        <v>9.9329999999999998</v>
      </c>
      <c r="P541" s="1591" t="s">
        <v>127</v>
      </c>
      <c r="Q541" s="1091" t="s">
        <v>127</v>
      </c>
      <c r="R541" s="1091" t="s">
        <v>127</v>
      </c>
      <c r="S541" s="1091" t="s">
        <v>127</v>
      </c>
      <c r="T541" s="1091" t="s">
        <v>127</v>
      </c>
      <c r="U541" s="1091" t="s">
        <v>127</v>
      </c>
      <c r="V541" s="1091" t="s">
        <v>127</v>
      </c>
      <c r="W541" s="1091" t="s">
        <v>127</v>
      </c>
      <c r="X541" s="1091" t="s">
        <v>127</v>
      </c>
      <c r="Y541" s="1591" t="s">
        <v>127</v>
      </c>
      <c r="Z541" s="1091" t="s">
        <v>127</v>
      </c>
      <c r="AA541" s="1091" t="s">
        <v>127</v>
      </c>
      <c r="AB541" s="1091" t="s">
        <v>127</v>
      </c>
      <c r="AC541" s="1091"/>
      <c r="AD541" s="1091"/>
      <c r="AE541" s="1091"/>
      <c r="AF541" s="1091"/>
      <c r="AG541" s="1091"/>
      <c r="AH541" s="39">
        <f t="shared" ref="AH541:AH551" si="104">SUM(C541:AG541)</f>
        <v>15.297000000000001</v>
      </c>
      <c r="AJ541" s="1093">
        <f>+AJ540/AJ539</f>
        <v>91.390231314221353</v>
      </c>
    </row>
    <row r="542" spans="1:36" ht="15">
      <c r="A542" s="21" t="s">
        <v>75</v>
      </c>
      <c r="B542" s="204">
        <f t="shared" si="103"/>
        <v>0.84299999999999997</v>
      </c>
      <c r="C542" s="1689"/>
      <c r="D542" s="1689"/>
      <c r="E542" s="1689"/>
      <c r="F542" s="1689"/>
      <c r="G542" s="1689"/>
      <c r="H542" s="1091"/>
      <c r="I542" s="1091"/>
      <c r="J542" s="1091"/>
      <c r="K542" s="1091"/>
      <c r="L542" s="1091"/>
      <c r="M542" s="1091"/>
      <c r="N542" s="1091"/>
      <c r="O542" s="1091"/>
      <c r="P542" s="1091"/>
      <c r="Q542" s="1084"/>
      <c r="R542" s="1084"/>
      <c r="S542" s="1084"/>
      <c r="T542" s="1084"/>
      <c r="U542" s="1084"/>
      <c r="V542" s="1084"/>
      <c r="W542" s="1084"/>
      <c r="X542" s="1084"/>
      <c r="Y542" s="1084"/>
      <c r="Z542" s="1084"/>
      <c r="AA542" s="1084"/>
      <c r="AB542" s="1084"/>
      <c r="AC542" s="1084"/>
      <c r="AD542" s="1084"/>
      <c r="AE542" s="1084"/>
      <c r="AF542" s="1084"/>
      <c r="AG542" s="1084">
        <v>0.84299999999999997</v>
      </c>
      <c r="AH542" s="39">
        <f t="shared" si="104"/>
        <v>0.84299999999999997</v>
      </c>
    </row>
    <row r="543" spans="1:36" ht="15">
      <c r="A543" s="21" t="s">
        <v>76</v>
      </c>
      <c r="B543" s="204">
        <f t="shared" si="103"/>
        <v>0.49199999999999999</v>
      </c>
      <c r="C543" s="1084">
        <v>0.49199999999999999</v>
      </c>
      <c r="D543" s="1084"/>
      <c r="E543" s="1084"/>
      <c r="F543" s="1084"/>
      <c r="G543" s="1084"/>
      <c r="H543" s="1084"/>
      <c r="I543" s="1084"/>
      <c r="J543" s="1084"/>
      <c r="K543" s="1084"/>
      <c r="L543" s="1084"/>
      <c r="M543" s="1084"/>
      <c r="N543" s="1084"/>
      <c r="O543" s="1084"/>
      <c r="P543" s="1084"/>
      <c r="Q543" s="1084"/>
      <c r="R543" s="1084"/>
      <c r="S543" s="1084"/>
      <c r="T543" s="1084"/>
      <c r="U543" s="1084"/>
      <c r="V543" s="1084"/>
      <c r="W543" s="1084"/>
      <c r="X543" s="1084"/>
      <c r="Y543" s="1084"/>
      <c r="Z543" s="1084"/>
      <c r="AA543" s="1084"/>
      <c r="AB543" s="1084"/>
      <c r="AC543" s="1084"/>
      <c r="AD543" s="1084"/>
      <c r="AE543" s="1084"/>
      <c r="AF543" s="1084" t="s">
        <v>110</v>
      </c>
      <c r="AG543" s="1084" t="s">
        <v>110</v>
      </c>
      <c r="AH543" s="39">
        <f t="shared" si="104"/>
        <v>0.49199999999999999</v>
      </c>
    </row>
    <row r="544" spans="1:36" ht="15">
      <c r="A544" s="21" t="s">
        <v>77</v>
      </c>
      <c r="B544" s="204">
        <f t="shared" si="103"/>
        <v>0.38800000000000001</v>
      </c>
      <c r="C544" s="1084" t="s">
        <v>110</v>
      </c>
      <c r="D544" s="1084" t="s">
        <v>110</v>
      </c>
      <c r="E544" s="1084" t="s">
        <v>110</v>
      </c>
      <c r="F544" s="1084" t="s">
        <v>110</v>
      </c>
      <c r="G544" s="1084" t="s">
        <v>110</v>
      </c>
      <c r="H544" s="1084" t="s">
        <v>110</v>
      </c>
      <c r="I544" s="1084" t="s">
        <v>110</v>
      </c>
      <c r="J544" s="1084" t="s">
        <v>110</v>
      </c>
      <c r="K544" s="1084" t="s">
        <v>110</v>
      </c>
      <c r="L544" s="1084" t="s">
        <v>110</v>
      </c>
      <c r="M544" s="1084" t="s">
        <v>110</v>
      </c>
      <c r="N544" s="1084" t="s">
        <v>110</v>
      </c>
      <c r="O544" s="1084" t="s">
        <v>110</v>
      </c>
      <c r="P544" s="1084" t="s">
        <v>110</v>
      </c>
      <c r="Q544" s="1084" t="s">
        <v>110</v>
      </c>
      <c r="R544" s="1091"/>
      <c r="S544" s="1091"/>
      <c r="T544" s="1091"/>
      <c r="U544" s="1091"/>
      <c r="V544" s="1091"/>
      <c r="W544" s="1091"/>
      <c r="X544" s="1091"/>
      <c r="Y544" s="1091"/>
      <c r="Z544" s="1091"/>
      <c r="AA544" s="1091">
        <v>0.38800000000000001</v>
      </c>
      <c r="AB544" s="1091"/>
      <c r="AC544" s="1091"/>
      <c r="AD544" s="1091"/>
      <c r="AE544" s="1091"/>
      <c r="AF544" s="1091"/>
      <c r="AG544" s="1091"/>
      <c r="AH544" s="39">
        <f t="shared" si="104"/>
        <v>0.38800000000000001</v>
      </c>
    </row>
    <row r="545" spans="1:36" ht="15">
      <c r="A545" s="21" t="s">
        <v>78</v>
      </c>
      <c r="B545" s="204">
        <f t="shared" si="103"/>
        <v>0</v>
      </c>
      <c r="C545" s="3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39">
        <f t="shared" si="104"/>
        <v>0</v>
      </c>
    </row>
    <row r="546" spans="1:36" ht="15">
      <c r="A546" s="21" t="s">
        <v>79</v>
      </c>
      <c r="B546" s="105">
        <f t="shared" si="103"/>
        <v>0.50800000000000001</v>
      </c>
      <c r="C546" s="35"/>
      <c r="D546" s="39"/>
      <c r="E546" s="39"/>
      <c r="F546" s="39"/>
      <c r="G546" s="15"/>
      <c r="H546" s="15"/>
      <c r="I546" s="15"/>
      <c r="J546" s="43"/>
      <c r="K546" s="43">
        <v>0.50800000000000001</v>
      </c>
      <c r="L546" s="39"/>
      <c r="M546" s="39"/>
      <c r="N546" s="39"/>
      <c r="O546" s="39"/>
      <c r="P546" s="39"/>
      <c r="Q546" s="39"/>
      <c r="R546" s="39"/>
      <c r="S546" s="39"/>
      <c r="T546" s="39"/>
      <c r="U546" s="39"/>
      <c r="V546" s="39"/>
      <c r="W546" s="897" t="s">
        <v>110</v>
      </c>
      <c r="X546" s="897" t="s">
        <v>110</v>
      </c>
      <c r="Y546" s="897" t="s">
        <v>110</v>
      </c>
      <c r="Z546" s="897" t="s">
        <v>110</v>
      </c>
      <c r="AA546" s="897" t="s">
        <v>110</v>
      </c>
      <c r="AB546" s="897" t="s">
        <v>110</v>
      </c>
      <c r="AC546" s="897" t="s">
        <v>110</v>
      </c>
      <c r="AD546" s="897" t="s">
        <v>110</v>
      </c>
      <c r="AE546" s="897" t="s">
        <v>110</v>
      </c>
      <c r="AF546" s="897" t="s">
        <v>110</v>
      </c>
      <c r="AG546" s="897" t="s">
        <v>110</v>
      </c>
      <c r="AH546" s="39">
        <f t="shared" si="104"/>
        <v>0.50800000000000001</v>
      </c>
    </row>
    <row r="547" spans="1:36" ht="15">
      <c r="A547" s="21" t="s">
        <v>80</v>
      </c>
      <c r="B547" s="105">
        <f t="shared" si="103"/>
        <v>2.3490000000000002</v>
      </c>
      <c r="C547" s="897" t="s">
        <v>110</v>
      </c>
      <c r="D547" s="897" t="s">
        <v>110</v>
      </c>
      <c r="E547" s="897" t="s">
        <v>110</v>
      </c>
      <c r="F547" s="897" t="s">
        <v>110</v>
      </c>
      <c r="G547" s="897" t="s">
        <v>110</v>
      </c>
      <c r="H547" s="897" t="s">
        <v>110</v>
      </c>
      <c r="I547" s="897" t="s">
        <v>110</v>
      </c>
      <c r="J547" s="897" t="s">
        <v>110</v>
      </c>
      <c r="K547" s="897" t="s">
        <v>110</v>
      </c>
      <c r="L547" s="897" t="s">
        <v>110</v>
      </c>
      <c r="M547" s="897" t="s">
        <v>110</v>
      </c>
      <c r="N547" s="897" t="s">
        <v>110</v>
      </c>
      <c r="O547" s="897" t="s">
        <v>110</v>
      </c>
      <c r="P547" s="897" t="s">
        <v>110</v>
      </c>
      <c r="Q547" s="897" t="s">
        <v>110</v>
      </c>
      <c r="R547" s="897" t="s">
        <v>110</v>
      </c>
      <c r="S547" s="897" t="s">
        <v>110</v>
      </c>
      <c r="T547" s="897" t="s">
        <v>110</v>
      </c>
      <c r="U547" s="897" t="s">
        <v>110</v>
      </c>
      <c r="V547" s="897" t="s">
        <v>110</v>
      </c>
      <c r="W547" s="897" t="s">
        <v>110</v>
      </c>
      <c r="X547" s="897" t="s">
        <v>110</v>
      </c>
      <c r="Y547" s="897" t="s">
        <v>110</v>
      </c>
      <c r="Z547" s="897" t="s">
        <v>110</v>
      </c>
      <c r="AA547" s="897" t="s">
        <v>110</v>
      </c>
      <c r="AB547" s="897" t="s">
        <v>110</v>
      </c>
      <c r="AC547" s="897" t="s">
        <v>110</v>
      </c>
      <c r="AD547" s="897">
        <v>2.3490000000000002</v>
      </c>
      <c r="AE547" s="897" t="s">
        <v>110</v>
      </c>
      <c r="AF547" s="897" t="s">
        <v>110</v>
      </c>
      <c r="AG547" s="897" t="s">
        <v>110</v>
      </c>
      <c r="AH547" s="39">
        <f t="shared" si="104"/>
        <v>2.3490000000000002</v>
      </c>
    </row>
    <row r="548" spans="1:36" ht="15">
      <c r="A548" s="21" t="s">
        <v>81</v>
      </c>
      <c r="B548" s="105">
        <f t="shared" si="103"/>
        <v>0</v>
      </c>
      <c r="C548" s="32"/>
      <c r="D548" s="39"/>
      <c r="E548" s="39"/>
      <c r="F548" s="39"/>
      <c r="G548" s="39"/>
      <c r="H548" s="39"/>
      <c r="I548" s="39"/>
      <c r="J548" s="43"/>
      <c r="K548" s="43"/>
      <c r="L548" s="15"/>
      <c r="M548" s="15"/>
      <c r="N548" s="15"/>
      <c r="O548" s="15"/>
      <c r="P548" s="15"/>
      <c r="Q548" s="897" t="s">
        <v>110</v>
      </c>
      <c r="R548" s="897" t="s">
        <v>110</v>
      </c>
      <c r="S548" s="897" t="s">
        <v>110</v>
      </c>
      <c r="T548" s="897" t="s">
        <v>110</v>
      </c>
      <c r="U548" s="897" t="s">
        <v>110</v>
      </c>
      <c r="V548" s="897" t="s">
        <v>110</v>
      </c>
      <c r="W548" s="897" t="s">
        <v>110</v>
      </c>
      <c r="X548" s="897" t="s">
        <v>110</v>
      </c>
      <c r="Y548" s="897" t="s">
        <v>110</v>
      </c>
      <c r="Z548" s="897" t="s">
        <v>110</v>
      </c>
      <c r="AA548" s="897" t="s">
        <v>110</v>
      </c>
      <c r="AB548" s="897" t="s">
        <v>110</v>
      </c>
      <c r="AC548" s="897" t="s">
        <v>110</v>
      </c>
      <c r="AD548" s="897" t="s">
        <v>110</v>
      </c>
      <c r="AE548" s="897" t="s">
        <v>110</v>
      </c>
      <c r="AF548" s="897" t="s">
        <v>110</v>
      </c>
      <c r="AG548" s="897" t="s">
        <v>110</v>
      </c>
      <c r="AH548" s="39">
        <f t="shared" si="104"/>
        <v>0</v>
      </c>
    </row>
    <row r="549" spans="1:36" ht="15">
      <c r="A549" s="21" t="s">
        <v>82</v>
      </c>
      <c r="B549" s="105">
        <f t="shared" si="103"/>
        <v>0</v>
      </c>
      <c r="C549" s="897" t="s">
        <v>110</v>
      </c>
      <c r="D549" s="897" t="s">
        <v>110</v>
      </c>
      <c r="E549" s="897" t="s">
        <v>110</v>
      </c>
      <c r="F549" s="897" t="s">
        <v>110</v>
      </c>
      <c r="G549" s="897"/>
      <c r="H549" s="897" t="s">
        <v>110</v>
      </c>
      <c r="I549" s="897" t="s">
        <v>110</v>
      </c>
      <c r="J549" s="897" t="s">
        <v>110</v>
      </c>
      <c r="K549" s="897" t="s">
        <v>110</v>
      </c>
      <c r="L549" s="897" t="s">
        <v>110</v>
      </c>
      <c r="M549" s="897" t="s">
        <v>110</v>
      </c>
      <c r="N549" s="897" t="s">
        <v>110</v>
      </c>
      <c r="O549" s="897" t="s">
        <v>110</v>
      </c>
      <c r="P549" s="897" t="s">
        <v>110</v>
      </c>
      <c r="Q549" s="897" t="s">
        <v>110</v>
      </c>
      <c r="R549" s="897" t="s">
        <v>110</v>
      </c>
      <c r="S549" s="897"/>
      <c r="T549" s="897"/>
      <c r="U549" s="897" t="s">
        <v>110</v>
      </c>
      <c r="V549" s="897"/>
      <c r="W549" s="897" t="s">
        <v>110</v>
      </c>
      <c r="X549" s="897" t="s">
        <v>110</v>
      </c>
      <c r="Y549" s="897" t="s">
        <v>110</v>
      </c>
      <c r="Z549" s="897" t="s">
        <v>110</v>
      </c>
      <c r="AA549" s="897"/>
      <c r="AB549" s="897" t="s">
        <v>110</v>
      </c>
      <c r="AC549" s="897"/>
      <c r="AD549" s="897" t="s">
        <v>110</v>
      </c>
      <c r="AE549" s="897" t="s">
        <v>110</v>
      </c>
      <c r="AF549" s="897"/>
      <c r="AG549" s="897" t="s">
        <v>110</v>
      </c>
      <c r="AH549" s="39">
        <f t="shared" si="104"/>
        <v>0</v>
      </c>
    </row>
    <row r="550" spans="1:36" ht="15">
      <c r="A550" s="21" t="s">
        <v>83</v>
      </c>
      <c r="B550" s="52">
        <f t="shared" si="103"/>
        <v>0.73</v>
      </c>
      <c r="C550" s="65"/>
      <c r="D550" s="65" t="s">
        <v>110</v>
      </c>
      <c r="E550" s="65" t="s">
        <v>110</v>
      </c>
      <c r="F550" s="65"/>
      <c r="G550" s="65" t="s">
        <v>110</v>
      </c>
      <c r="H550" s="65" t="s">
        <v>110</v>
      </c>
      <c r="I550" s="65" t="s">
        <v>110</v>
      </c>
      <c r="J550" s="65"/>
      <c r="K550" s="65"/>
      <c r="L550" s="65"/>
      <c r="M550" s="65"/>
      <c r="N550" s="65"/>
      <c r="O550" s="65"/>
      <c r="P550" s="65"/>
      <c r="Q550" s="65"/>
      <c r="R550" s="15"/>
      <c r="S550" s="15"/>
      <c r="T550" s="15"/>
      <c r="U550" s="15"/>
      <c r="V550" s="15"/>
      <c r="W550" s="15"/>
      <c r="X550" s="15"/>
      <c r="Y550" s="11"/>
      <c r="Z550" s="15"/>
      <c r="AA550" s="15"/>
      <c r="AB550" s="15"/>
      <c r="AC550" s="15">
        <v>0.73</v>
      </c>
      <c r="AD550" s="15"/>
      <c r="AE550" s="39"/>
      <c r="AF550" s="15"/>
      <c r="AG550" s="39"/>
      <c r="AH550" s="39">
        <f t="shared" si="104"/>
        <v>0.73</v>
      </c>
    </row>
    <row r="551" spans="1:36" ht="15">
      <c r="A551" s="21" t="s">
        <v>84</v>
      </c>
      <c r="B551" s="52">
        <f t="shared" si="103"/>
        <v>0</v>
      </c>
      <c r="C551" s="1091"/>
      <c r="D551" s="1091"/>
      <c r="E551" s="1091"/>
      <c r="F551" s="1091"/>
      <c r="G551" s="1091"/>
      <c r="H551" s="1091"/>
      <c r="I551" s="1091"/>
      <c r="J551" s="1091"/>
      <c r="K551" s="1091"/>
      <c r="L551" s="1091"/>
      <c r="M551" s="1091"/>
      <c r="N551" s="1091"/>
      <c r="O551" s="1091"/>
      <c r="P551" s="1091"/>
      <c r="Q551" s="1091"/>
      <c r="R551" s="15"/>
      <c r="S551" s="15"/>
      <c r="T551" s="15"/>
      <c r="U551" s="15"/>
      <c r="V551" s="15"/>
      <c r="W551" s="15"/>
      <c r="X551" s="15"/>
      <c r="Y551" s="15"/>
      <c r="Z551" s="15"/>
      <c r="AA551" s="15"/>
      <c r="AB551" s="15"/>
      <c r="AC551" s="15"/>
      <c r="AD551" s="15"/>
      <c r="AE551" s="39"/>
      <c r="AF551" s="15"/>
      <c r="AG551" s="39"/>
      <c r="AH551" s="39">
        <f t="shared" si="104"/>
        <v>0</v>
      </c>
    </row>
    <row r="552" spans="1:36" ht="15">
      <c r="A552" s="71" t="s">
        <v>72</v>
      </c>
      <c r="B552" s="75">
        <f>SUM(B540:B551)</f>
        <v>21.313000000000002</v>
      </c>
      <c r="C552" s="32">
        <f>SUM(C540:C550)</f>
        <v>0.49199999999999999</v>
      </c>
      <c r="D552" s="39">
        <f>SUM(D540:D550)</f>
        <v>0</v>
      </c>
      <c r="E552" s="39">
        <v>0</v>
      </c>
      <c r="F552" s="39">
        <f t="shared" ref="F552:AC552" si="105">SUM(F540:F550)</f>
        <v>2.0230000000000001</v>
      </c>
      <c r="G552" s="39">
        <f t="shared" si="105"/>
        <v>0</v>
      </c>
      <c r="H552" s="39">
        <f t="shared" si="105"/>
        <v>3.3410000000000002</v>
      </c>
      <c r="I552" s="39">
        <f t="shared" si="105"/>
        <v>0</v>
      </c>
      <c r="J552" s="39">
        <f t="shared" si="105"/>
        <v>0</v>
      </c>
      <c r="K552" s="39">
        <f t="shared" si="105"/>
        <v>0.50800000000000001</v>
      </c>
      <c r="L552" s="39">
        <f t="shared" si="105"/>
        <v>0</v>
      </c>
      <c r="M552" s="39">
        <f t="shared" si="105"/>
        <v>0</v>
      </c>
      <c r="N552" s="39">
        <f t="shared" si="105"/>
        <v>0</v>
      </c>
      <c r="O552" s="39">
        <f t="shared" si="105"/>
        <v>9.9329999999999998</v>
      </c>
      <c r="P552" s="39">
        <f t="shared" si="105"/>
        <v>0</v>
      </c>
      <c r="Q552" s="39">
        <f t="shared" si="105"/>
        <v>0</v>
      </c>
      <c r="R552" s="39">
        <f t="shared" si="105"/>
        <v>0</v>
      </c>
      <c r="S552" s="39">
        <f t="shared" si="105"/>
        <v>0</v>
      </c>
      <c r="T552" s="39">
        <f t="shared" si="105"/>
        <v>0</v>
      </c>
      <c r="U552" s="39">
        <f t="shared" si="105"/>
        <v>0</v>
      </c>
      <c r="V552" s="39">
        <f t="shared" si="105"/>
        <v>0</v>
      </c>
      <c r="W552" s="39">
        <f t="shared" si="105"/>
        <v>0.70599999999999996</v>
      </c>
      <c r="X552" s="39">
        <f t="shared" si="105"/>
        <v>0</v>
      </c>
      <c r="Y552" s="39">
        <f t="shared" si="105"/>
        <v>0</v>
      </c>
      <c r="Z552" s="39">
        <f t="shared" si="105"/>
        <v>0</v>
      </c>
      <c r="AA552" s="39">
        <f t="shared" si="105"/>
        <v>0.38800000000000001</v>
      </c>
      <c r="AB552" s="39">
        <f t="shared" si="105"/>
        <v>0</v>
      </c>
      <c r="AC552" s="39">
        <f t="shared" si="105"/>
        <v>0.73</v>
      </c>
      <c r="AD552" s="39">
        <v>0</v>
      </c>
      <c r="AE552" s="39">
        <f>SUM(AE540:AE550)</f>
        <v>0</v>
      </c>
      <c r="AF552" s="39">
        <f>SUM(AF540:AF550)</f>
        <v>0</v>
      </c>
      <c r="AG552" s="39">
        <f>SUM(AG540:AG550)</f>
        <v>0.84299999999999997</v>
      </c>
      <c r="AH552" s="33">
        <f>SUM(AH540:AH550)</f>
        <v>21.313000000000002</v>
      </c>
    </row>
    <row r="553" spans="1:36" ht="8.25" customHeight="1"/>
    <row r="554" spans="1:36" ht="20.399999999999999">
      <c r="A554" s="3853" t="s">
        <v>122</v>
      </c>
      <c r="B554" s="3854"/>
      <c r="C554" s="3854"/>
      <c r="D554" s="3854"/>
      <c r="E554" s="3854"/>
      <c r="F554" s="3854"/>
      <c r="G554" s="3854"/>
      <c r="H554" s="3855"/>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row>
    <row r="555" spans="1:36" ht="15">
      <c r="A555" s="5" t="s">
        <v>70</v>
      </c>
      <c r="B555" s="5" t="s">
        <v>71</v>
      </c>
      <c r="C555" s="1039">
        <v>1</v>
      </c>
      <c r="D555" s="21">
        <v>2</v>
      </c>
      <c r="E555" s="21">
        <v>3</v>
      </c>
      <c r="F555" s="21">
        <v>4</v>
      </c>
      <c r="G555" s="21">
        <v>5</v>
      </c>
      <c r="H555" s="21">
        <v>6</v>
      </c>
      <c r="I555" s="21">
        <v>7</v>
      </c>
      <c r="J555" s="21">
        <v>8</v>
      </c>
      <c r="K555" s="21">
        <v>9</v>
      </c>
      <c r="L555" s="21">
        <v>10</v>
      </c>
      <c r="M555" s="21">
        <v>11</v>
      </c>
      <c r="N555" s="21">
        <v>12</v>
      </c>
      <c r="O555" s="21">
        <v>13</v>
      </c>
      <c r="P555" s="21">
        <v>14</v>
      </c>
      <c r="Q555" s="21">
        <v>15</v>
      </c>
      <c r="R555" s="21">
        <v>16</v>
      </c>
      <c r="S555" s="21">
        <v>17</v>
      </c>
      <c r="T555" s="21">
        <v>18</v>
      </c>
      <c r="U555" s="21">
        <v>19</v>
      </c>
      <c r="V555" s="21">
        <v>20</v>
      </c>
      <c r="W555" s="21">
        <v>21</v>
      </c>
      <c r="X555" s="21">
        <v>22</v>
      </c>
      <c r="Y555" s="21">
        <v>23</v>
      </c>
      <c r="Z555" s="21">
        <v>24</v>
      </c>
      <c r="AA555" s="21">
        <v>25</v>
      </c>
      <c r="AB555" s="21">
        <v>26</v>
      </c>
      <c r="AC555" s="21">
        <v>27</v>
      </c>
      <c r="AD555" s="21">
        <v>28</v>
      </c>
      <c r="AE555" s="21">
        <v>29</v>
      </c>
      <c r="AF555" s="21">
        <v>30</v>
      </c>
      <c r="AG555" s="21">
        <v>31</v>
      </c>
      <c r="AH555" s="25" t="s">
        <v>72</v>
      </c>
      <c r="AI555" s="2266" t="s">
        <v>1345</v>
      </c>
      <c r="AJ555" s="66">
        <f>(B568/COUNTIF($C$556:$AG$567,"&gt;0"))</f>
        <v>3.1316470588235297</v>
      </c>
    </row>
    <row r="556" spans="1:36" ht="15">
      <c r="A556" s="21" t="s">
        <v>73</v>
      </c>
      <c r="B556" s="95">
        <f t="shared" ref="B556:B567" si="106">+AH556</f>
        <v>0.68399999999999994</v>
      </c>
      <c r="C556" s="1591"/>
      <c r="D556" s="1591"/>
      <c r="E556" s="1591"/>
      <c r="F556" s="1591"/>
      <c r="G556" s="1591"/>
      <c r="H556" s="1591"/>
      <c r="I556" s="1591"/>
      <c r="J556" s="1591"/>
      <c r="K556" s="1591"/>
      <c r="L556" s="1591"/>
      <c r="M556" s="1591"/>
      <c r="N556" s="1591"/>
      <c r="O556" s="1591"/>
      <c r="P556" s="1591"/>
      <c r="Q556" s="1591"/>
      <c r="R556" s="1591"/>
      <c r="S556" s="1591"/>
      <c r="T556" s="1591"/>
      <c r="U556" s="1591"/>
      <c r="V556" s="1591"/>
      <c r="W556" s="1591"/>
      <c r="X556" s="1591"/>
      <c r="Y556" s="1591"/>
      <c r="Z556" s="1591">
        <v>0.34399999999999997</v>
      </c>
      <c r="AA556" s="1591"/>
      <c r="AB556" s="1591"/>
      <c r="AC556" s="1591"/>
      <c r="AD556" s="1591"/>
      <c r="AE556" s="1591"/>
      <c r="AF556" s="1591"/>
      <c r="AG556" s="1591">
        <v>0.34</v>
      </c>
      <c r="AH556" s="39">
        <f>SUM(C556:AG556)</f>
        <v>0.68399999999999994</v>
      </c>
      <c r="AJ556" s="2157">
        <f>+'Resumen RAE S.Común'!G270</f>
        <v>179.57400000000001</v>
      </c>
    </row>
    <row r="557" spans="1:36" ht="15">
      <c r="A557" s="21" t="s">
        <v>74</v>
      </c>
      <c r="B557" s="95">
        <f t="shared" si="106"/>
        <v>35.014000000000003</v>
      </c>
      <c r="C557" s="1591" t="s">
        <v>127</v>
      </c>
      <c r="D557" s="1591" t="s">
        <v>127</v>
      </c>
      <c r="E557" s="1591" t="s">
        <v>127</v>
      </c>
      <c r="F557" s="1591">
        <v>0.17799999999999999</v>
      </c>
      <c r="G557" s="1591">
        <v>23.276</v>
      </c>
      <c r="H557" s="1591">
        <v>11.56</v>
      </c>
      <c r="I557" s="1591" t="s">
        <v>127</v>
      </c>
      <c r="J557" s="1591" t="s">
        <v>127</v>
      </c>
      <c r="K557" s="1591" t="s">
        <v>127</v>
      </c>
      <c r="L557" s="1591" t="s">
        <v>127</v>
      </c>
      <c r="M557" s="1591" t="s">
        <v>127</v>
      </c>
      <c r="N557" s="1591" t="s">
        <v>127</v>
      </c>
      <c r="O557" s="1591" t="s">
        <v>127</v>
      </c>
      <c r="P557" s="1591" t="s">
        <v>127</v>
      </c>
      <c r="Q557" s="1591" t="s">
        <v>127</v>
      </c>
      <c r="R557" s="1591" t="s">
        <v>127</v>
      </c>
      <c r="S557" s="1591" t="s">
        <v>127</v>
      </c>
      <c r="T557" s="1591" t="s">
        <v>127</v>
      </c>
      <c r="U557" s="1591" t="s">
        <v>127</v>
      </c>
      <c r="V557" s="1591" t="s">
        <v>127</v>
      </c>
      <c r="W557" s="1591" t="s">
        <v>127</v>
      </c>
      <c r="X557" s="1591" t="s">
        <v>127</v>
      </c>
      <c r="Y557" s="1591" t="s">
        <v>127</v>
      </c>
      <c r="Z557" s="1591" t="s">
        <v>127</v>
      </c>
      <c r="AA557" s="1591" t="s">
        <v>127</v>
      </c>
      <c r="AB557" s="1591" t="s">
        <v>127</v>
      </c>
      <c r="AC557" s="1591"/>
      <c r="AD557" s="1591"/>
      <c r="AE557" s="1591"/>
      <c r="AF557" s="1591"/>
      <c r="AG557" s="1591"/>
      <c r="AH557" s="39">
        <f t="shared" ref="AH557:AH567" si="107">SUM(C557:AG557)</f>
        <v>35.014000000000003</v>
      </c>
      <c r="AJ557" s="1093">
        <f>+AJ556/AJ555</f>
        <v>57.341710808069422</v>
      </c>
    </row>
    <row r="558" spans="1:36" ht="15">
      <c r="A558" s="21" t="s">
        <v>75</v>
      </c>
      <c r="B558" s="95">
        <f t="shared" si="106"/>
        <v>2.2070000000000003</v>
      </c>
      <c r="C558" s="1689"/>
      <c r="D558" s="1689"/>
      <c r="E558" s="1689"/>
      <c r="F558" s="1689"/>
      <c r="G558" s="1689"/>
      <c r="H558" s="1091"/>
      <c r="I558" s="1091"/>
      <c r="J558" s="1091"/>
      <c r="K558" s="1091"/>
      <c r="L558" s="1091"/>
      <c r="M558" s="1091"/>
      <c r="N558" s="1091"/>
      <c r="O558" s="1091"/>
      <c r="P558" s="1091">
        <v>0.86</v>
      </c>
      <c r="Q558" s="1084">
        <v>0</v>
      </c>
      <c r="R558" s="1084" t="s">
        <v>110</v>
      </c>
      <c r="S558" s="1084" t="s">
        <v>110</v>
      </c>
      <c r="T558" s="1084" t="s">
        <v>110</v>
      </c>
      <c r="U558" s="1084" t="s">
        <v>110</v>
      </c>
      <c r="V558" s="1084">
        <v>1.07</v>
      </c>
      <c r="W558" s="1084" t="s">
        <v>110</v>
      </c>
      <c r="X558" s="1084" t="s">
        <v>110</v>
      </c>
      <c r="Y558" s="1084" t="s">
        <v>110</v>
      </c>
      <c r="Z558" s="1084" t="s">
        <v>110</v>
      </c>
      <c r="AA558" s="1084" t="s">
        <v>110</v>
      </c>
      <c r="AB558" s="1084" t="s">
        <v>110</v>
      </c>
      <c r="AC558" s="1084" t="s">
        <v>110</v>
      </c>
      <c r="AD558" s="1084" t="s">
        <v>110</v>
      </c>
      <c r="AE558" s="1084" t="s">
        <v>110</v>
      </c>
      <c r="AF558" s="1084" t="s">
        <v>110</v>
      </c>
      <c r="AG558" s="1084">
        <v>0.27700000000000002</v>
      </c>
      <c r="AH558" s="39">
        <f t="shared" si="107"/>
        <v>2.2070000000000003</v>
      </c>
      <c r="AI558" s="66" t="s">
        <v>815</v>
      </c>
    </row>
    <row r="559" spans="1:36" ht="15">
      <c r="A559" s="21" t="s">
        <v>76</v>
      </c>
      <c r="B559" s="204">
        <f t="shared" si="106"/>
        <v>0</v>
      </c>
      <c r="C559" s="1084"/>
      <c r="D559" s="1084"/>
      <c r="E559" s="1084"/>
      <c r="F559" s="1084"/>
      <c r="G559" s="1084"/>
      <c r="H559" s="1084"/>
      <c r="I559" s="1084"/>
      <c r="J559" s="1084"/>
      <c r="K559" s="1084"/>
      <c r="L559" s="1084"/>
      <c r="M559" s="1084"/>
      <c r="N559" s="1084"/>
      <c r="O559" s="1084"/>
      <c r="P559" s="1084"/>
      <c r="Q559" s="1084"/>
      <c r="R559" s="1084"/>
      <c r="S559" s="1084"/>
      <c r="T559" s="1084"/>
      <c r="U559" s="1084"/>
      <c r="V559" s="1084"/>
      <c r="W559" s="1084"/>
      <c r="X559" s="1084"/>
      <c r="Y559" s="1084"/>
      <c r="Z559" s="1084"/>
      <c r="AA559" s="1084"/>
      <c r="AB559" s="1084"/>
      <c r="AC559" s="1084"/>
      <c r="AD559" s="1084"/>
      <c r="AE559" s="1084"/>
      <c r="AF559" s="1084" t="s">
        <v>110</v>
      </c>
      <c r="AG559" s="1084" t="s">
        <v>110</v>
      </c>
      <c r="AH559" s="39">
        <f t="shared" si="107"/>
        <v>0</v>
      </c>
      <c r="AI559" s="66">
        <v>0.34399999999999997</v>
      </c>
    </row>
    <row r="560" spans="1:36" ht="15">
      <c r="A560" s="21" t="s">
        <v>77</v>
      </c>
      <c r="B560" s="95">
        <f t="shared" si="106"/>
        <v>0.38900000000000001</v>
      </c>
      <c r="C560" s="1084" t="s">
        <v>110</v>
      </c>
      <c r="D560" s="1084" t="s">
        <v>110</v>
      </c>
      <c r="E560" s="1084" t="s">
        <v>110</v>
      </c>
      <c r="F560" s="1084" t="s">
        <v>110</v>
      </c>
      <c r="G560" s="1084" t="s">
        <v>110</v>
      </c>
      <c r="H560" s="1084" t="s">
        <v>110</v>
      </c>
      <c r="I560" s="1084" t="s">
        <v>110</v>
      </c>
      <c r="J560" s="1084" t="s">
        <v>110</v>
      </c>
      <c r="K560" s="1084" t="s">
        <v>110</v>
      </c>
      <c r="L560" s="1084" t="s">
        <v>110</v>
      </c>
      <c r="M560" s="1084" t="s">
        <v>110</v>
      </c>
      <c r="N560" s="1084" t="s">
        <v>110</v>
      </c>
      <c r="O560" s="1084" t="s">
        <v>110</v>
      </c>
      <c r="P560" s="1084" t="s">
        <v>110</v>
      </c>
      <c r="Q560" s="1084" t="s">
        <v>110</v>
      </c>
      <c r="R560" s="1091"/>
      <c r="S560" s="1091"/>
      <c r="T560" s="1091"/>
      <c r="U560" s="1091"/>
      <c r="V560" s="1091">
        <v>0.38900000000000001</v>
      </c>
      <c r="W560" s="1091"/>
      <c r="X560" s="1091"/>
      <c r="Y560" s="1091"/>
      <c r="Z560" s="1091"/>
      <c r="AA560" s="1091"/>
      <c r="AB560" s="1091"/>
      <c r="AC560" s="1091"/>
      <c r="AD560" s="1091"/>
      <c r="AE560" s="1091"/>
      <c r="AF560" s="1091"/>
      <c r="AG560" s="1091"/>
      <c r="AH560" s="39">
        <f t="shared" si="107"/>
        <v>0.38900000000000001</v>
      </c>
    </row>
    <row r="561" spans="1:34" ht="15">
      <c r="A561" s="21" t="s">
        <v>78</v>
      </c>
      <c r="B561" s="95">
        <f t="shared" si="106"/>
        <v>0</v>
      </c>
      <c r="C561" s="3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39">
        <f t="shared" si="107"/>
        <v>0</v>
      </c>
    </row>
    <row r="562" spans="1:34" ht="15">
      <c r="A562" s="21" t="s">
        <v>79</v>
      </c>
      <c r="B562" s="94">
        <f t="shared" si="106"/>
        <v>13.899999999999999</v>
      </c>
      <c r="C562" s="35"/>
      <c r="D562" s="39"/>
      <c r="E562" s="39"/>
      <c r="F562" s="39"/>
      <c r="G562" s="15"/>
      <c r="H562" s="15"/>
      <c r="I562" s="15"/>
      <c r="J562" s="43"/>
      <c r="K562" s="43">
        <v>2.5</v>
      </c>
      <c r="L562" s="39">
        <v>3</v>
      </c>
      <c r="M562" s="39"/>
      <c r="N562" s="39"/>
      <c r="O562" s="39"/>
      <c r="P562" s="39"/>
      <c r="Q562" s="39"/>
      <c r="R562" s="39"/>
      <c r="S562" s="39"/>
      <c r="T562" s="39">
        <v>2.5</v>
      </c>
      <c r="U562" s="39">
        <v>0.7</v>
      </c>
      <c r="V562" s="39"/>
      <c r="W562" s="897">
        <v>3.2</v>
      </c>
      <c r="X562" s="897">
        <v>2</v>
      </c>
      <c r="Y562" s="897"/>
      <c r="Z562" s="897" t="s">
        <v>110</v>
      </c>
      <c r="AA562" s="897" t="s">
        <v>110</v>
      </c>
      <c r="AB562" s="897" t="s">
        <v>110</v>
      </c>
      <c r="AC562" s="897" t="s">
        <v>110</v>
      </c>
      <c r="AD562" s="897" t="s">
        <v>110</v>
      </c>
      <c r="AE562" s="897" t="s">
        <v>110</v>
      </c>
      <c r="AF562" s="897" t="s">
        <v>110</v>
      </c>
      <c r="AG562" s="897" t="s">
        <v>110</v>
      </c>
      <c r="AH562" s="39">
        <f t="shared" si="107"/>
        <v>13.899999999999999</v>
      </c>
    </row>
    <row r="563" spans="1:34" ht="15">
      <c r="A563" s="21" t="s">
        <v>80</v>
      </c>
      <c r="B563" s="94">
        <f t="shared" si="106"/>
        <v>0</v>
      </c>
      <c r="C563" s="897"/>
      <c r="D563" s="897" t="s">
        <v>110</v>
      </c>
      <c r="E563" s="897"/>
      <c r="F563" s="897" t="s">
        <v>110</v>
      </c>
      <c r="G563" s="897" t="s">
        <v>110</v>
      </c>
      <c r="H563" s="897" t="s">
        <v>110</v>
      </c>
      <c r="I563" s="897" t="s">
        <v>110</v>
      </c>
      <c r="J563" s="897" t="s">
        <v>110</v>
      </c>
      <c r="K563" s="897" t="s">
        <v>110</v>
      </c>
      <c r="L563" s="897" t="s">
        <v>110</v>
      </c>
      <c r="M563" s="897" t="s">
        <v>110</v>
      </c>
      <c r="N563" s="897" t="s">
        <v>110</v>
      </c>
      <c r="O563" s="897" t="s">
        <v>110</v>
      </c>
      <c r="P563" s="897"/>
      <c r="Q563" s="897" t="s">
        <v>110</v>
      </c>
      <c r="R563" s="897" t="s">
        <v>110</v>
      </c>
      <c r="S563" s="897" t="s">
        <v>110</v>
      </c>
      <c r="T563" s="897" t="s">
        <v>110</v>
      </c>
      <c r="U563" s="897" t="s">
        <v>110</v>
      </c>
      <c r="V563" s="897" t="s">
        <v>110</v>
      </c>
      <c r="W563" s="897" t="s">
        <v>110</v>
      </c>
      <c r="X563" s="897" t="s">
        <v>110</v>
      </c>
      <c r="Y563" s="897" t="s">
        <v>110</v>
      </c>
      <c r="Z563" s="897" t="s">
        <v>110</v>
      </c>
      <c r="AA563" s="897" t="s">
        <v>110</v>
      </c>
      <c r="AB563" s="897" t="s">
        <v>110</v>
      </c>
      <c r="AC563" s="897" t="s">
        <v>110</v>
      </c>
      <c r="AD563" s="897" t="s">
        <v>110</v>
      </c>
      <c r="AE563" s="897" t="s">
        <v>110</v>
      </c>
      <c r="AF563" s="897" t="s">
        <v>110</v>
      </c>
      <c r="AG563" s="897" t="s">
        <v>110</v>
      </c>
      <c r="AH563" s="39">
        <f t="shared" si="107"/>
        <v>0</v>
      </c>
    </row>
    <row r="564" spans="1:34" ht="15">
      <c r="A564" s="21" t="s">
        <v>81</v>
      </c>
      <c r="B564" s="94">
        <f t="shared" si="106"/>
        <v>0</v>
      </c>
      <c r="C564" s="32"/>
      <c r="D564" s="39"/>
      <c r="E564" s="39"/>
      <c r="F564" s="39"/>
      <c r="G564" s="39"/>
      <c r="H564" s="39"/>
      <c r="I564" s="39"/>
      <c r="J564" s="43"/>
      <c r="K564" s="43"/>
      <c r="L564" s="15"/>
      <c r="M564" s="15"/>
      <c r="N564" s="15"/>
      <c r="O564" s="15"/>
      <c r="P564" s="15"/>
      <c r="Q564" s="897" t="s">
        <v>110</v>
      </c>
      <c r="R564" s="897" t="s">
        <v>110</v>
      </c>
      <c r="S564" s="897" t="s">
        <v>110</v>
      </c>
      <c r="T564" s="897" t="s">
        <v>110</v>
      </c>
      <c r="U564" s="897" t="s">
        <v>110</v>
      </c>
      <c r="V564" s="897" t="s">
        <v>110</v>
      </c>
      <c r="W564" s="897" t="s">
        <v>110</v>
      </c>
      <c r="X564" s="897" t="s">
        <v>110</v>
      </c>
      <c r="Y564" s="897" t="s">
        <v>110</v>
      </c>
      <c r="Z564" s="897" t="s">
        <v>110</v>
      </c>
      <c r="AA564" s="897" t="s">
        <v>110</v>
      </c>
      <c r="AB564" s="897" t="s">
        <v>110</v>
      </c>
      <c r="AC564" s="897" t="s">
        <v>110</v>
      </c>
      <c r="AD564" s="897" t="s">
        <v>110</v>
      </c>
      <c r="AE564" s="897" t="s">
        <v>110</v>
      </c>
      <c r="AF564" s="897" t="s">
        <v>110</v>
      </c>
      <c r="AG564" s="897" t="s">
        <v>110</v>
      </c>
      <c r="AH564" s="39">
        <f t="shared" si="107"/>
        <v>0</v>
      </c>
    </row>
    <row r="565" spans="1:34" ht="15">
      <c r="A565" s="21" t="s">
        <v>82</v>
      </c>
      <c r="B565" s="94">
        <f t="shared" si="106"/>
        <v>0.95</v>
      </c>
      <c r="C565" s="897" t="s">
        <v>110</v>
      </c>
      <c r="D565" s="897" t="s">
        <v>110</v>
      </c>
      <c r="E565" s="897" t="s">
        <v>110</v>
      </c>
      <c r="F565" s="897" t="s">
        <v>110</v>
      </c>
      <c r="G565" s="897" t="s">
        <v>110</v>
      </c>
      <c r="H565" s="897" t="s">
        <v>110</v>
      </c>
      <c r="I565" s="897" t="s">
        <v>110</v>
      </c>
      <c r="J565" s="897" t="s">
        <v>110</v>
      </c>
      <c r="K565" s="897" t="s">
        <v>110</v>
      </c>
      <c r="L565" s="897" t="s">
        <v>110</v>
      </c>
      <c r="M565" s="897" t="s">
        <v>110</v>
      </c>
      <c r="N565" s="897" t="s">
        <v>110</v>
      </c>
      <c r="O565" s="897" t="s">
        <v>110</v>
      </c>
      <c r="P565" s="897" t="s">
        <v>110</v>
      </c>
      <c r="Q565" s="897" t="s">
        <v>110</v>
      </c>
      <c r="R565" s="897" t="s">
        <v>110</v>
      </c>
      <c r="S565" s="897" t="s">
        <v>110</v>
      </c>
      <c r="T565" s="897" t="s">
        <v>110</v>
      </c>
      <c r="U565" s="897" t="s">
        <v>110</v>
      </c>
      <c r="V565" s="897" t="s">
        <v>110</v>
      </c>
      <c r="W565" s="897" t="s">
        <v>110</v>
      </c>
      <c r="X565" s="897">
        <v>0.95</v>
      </c>
      <c r="Y565" s="897" t="s">
        <v>110</v>
      </c>
      <c r="Z565" s="897" t="s">
        <v>110</v>
      </c>
      <c r="AA565" s="897" t="s">
        <v>110</v>
      </c>
      <c r="AB565" s="897" t="s">
        <v>110</v>
      </c>
      <c r="AC565" s="897" t="s">
        <v>110</v>
      </c>
      <c r="AD565" s="897" t="s">
        <v>110</v>
      </c>
      <c r="AE565" s="897"/>
      <c r="AF565" s="897"/>
      <c r="AG565" s="897" t="s">
        <v>110</v>
      </c>
      <c r="AH565" s="39">
        <f t="shared" si="107"/>
        <v>0.95</v>
      </c>
    </row>
    <row r="566" spans="1:34" ht="15">
      <c r="A566" s="21" t="s">
        <v>83</v>
      </c>
      <c r="B566" s="15">
        <f t="shared" si="106"/>
        <v>9.4E-2</v>
      </c>
      <c r="C566" s="65" t="s">
        <v>110</v>
      </c>
      <c r="D566" s="65" t="s">
        <v>110</v>
      </c>
      <c r="E566" s="65" t="s">
        <v>110</v>
      </c>
      <c r="F566" s="65"/>
      <c r="G566" s="65" t="s">
        <v>110</v>
      </c>
      <c r="H566" s="65"/>
      <c r="I566" s="65" t="s">
        <v>110</v>
      </c>
      <c r="J566" s="65" t="s">
        <v>110</v>
      </c>
      <c r="K566" s="65" t="s">
        <v>110</v>
      </c>
      <c r="L566" s="65" t="s">
        <v>110</v>
      </c>
      <c r="M566" s="65" t="s">
        <v>110</v>
      </c>
      <c r="N566" s="65" t="s">
        <v>110</v>
      </c>
      <c r="O566" s="65" t="s">
        <v>110</v>
      </c>
      <c r="P566" s="65" t="s">
        <v>110</v>
      </c>
      <c r="Q566" s="65" t="s">
        <v>110</v>
      </c>
      <c r="R566" s="15"/>
      <c r="S566" s="15"/>
      <c r="T566" s="15"/>
      <c r="U566" s="15">
        <v>9.4E-2</v>
      </c>
      <c r="V566" s="15"/>
      <c r="W566" s="15"/>
      <c r="X566" s="15"/>
      <c r="Y566" s="11"/>
      <c r="Z566" s="15"/>
      <c r="AA566" s="15"/>
      <c r="AB566" s="15"/>
      <c r="AC566" s="15"/>
      <c r="AD566" s="15"/>
      <c r="AE566" s="39"/>
      <c r="AF566" s="15"/>
      <c r="AG566" s="39"/>
      <c r="AH566" s="39">
        <f t="shared" si="107"/>
        <v>9.4E-2</v>
      </c>
    </row>
    <row r="567" spans="1:34" ht="15">
      <c r="A567" s="21" t="s">
        <v>84</v>
      </c>
      <c r="B567" s="15">
        <f t="shared" si="106"/>
        <v>0</v>
      </c>
      <c r="C567" s="3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39"/>
      <c r="AF567" s="15"/>
      <c r="AG567" s="39"/>
      <c r="AH567" s="39">
        <f t="shared" si="107"/>
        <v>0</v>
      </c>
    </row>
    <row r="568" spans="1:34" ht="15">
      <c r="A568" s="71" t="s">
        <v>72</v>
      </c>
      <c r="B568" s="75">
        <f>SUM(B556:B567)</f>
        <v>53.238000000000007</v>
      </c>
      <c r="C568" s="32">
        <f>SUM(C556:C566)</f>
        <v>0</v>
      </c>
      <c r="D568" s="39">
        <f>SUM(D556:D566)</f>
        <v>0</v>
      </c>
      <c r="E568" s="39">
        <v>0</v>
      </c>
      <c r="F568" s="39">
        <f t="shared" ref="F568:AC568" si="108">SUM(F556:F566)</f>
        <v>0.17799999999999999</v>
      </c>
      <c r="G568" s="39">
        <f t="shared" si="108"/>
        <v>23.276</v>
      </c>
      <c r="H568" s="39">
        <f t="shared" si="108"/>
        <v>11.56</v>
      </c>
      <c r="I568" s="39">
        <f t="shared" si="108"/>
        <v>0</v>
      </c>
      <c r="J568" s="39">
        <f t="shared" si="108"/>
        <v>0</v>
      </c>
      <c r="K568" s="39">
        <f t="shared" si="108"/>
        <v>2.5</v>
      </c>
      <c r="L568" s="39">
        <f t="shared" si="108"/>
        <v>3</v>
      </c>
      <c r="M568" s="39">
        <f t="shared" si="108"/>
        <v>0</v>
      </c>
      <c r="N568" s="39">
        <f t="shared" si="108"/>
        <v>0</v>
      </c>
      <c r="O568" s="39">
        <f t="shared" si="108"/>
        <v>0</v>
      </c>
      <c r="P568" s="39">
        <f t="shared" si="108"/>
        <v>0.86</v>
      </c>
      <c r="Q568" s="39">
        <f t="shared" si="108"/>
        <v>0</v>
      </c>
      <c r="R568" s="39">
        <f t="shared" si="108"/>
        <v>0</v>
      </c>
      <c r="S568" s="39">
        <f t="shared" si="108"/>
        <v>0</v>
      </c>
      <c r="T568" s="39">
        <f t="shared" si="108"/>
        <v>2.5</v>
      </c>
      <c r="U568" s="39">
        <f t="shared" si="108"/>
        <v>0.79399999999999993</v>
      </c>
      <c r="V568" s="39">
        <f t="shared" si="108"/>
        <v>1.4590000000000001</v>
      </c>
      <c r="W568" s="39">
        <f t="shared" si="108"/>
        <v>3.2</v>
      </c>
      <c r="X568" s="39">
        <f t="shared" si="108"/>
        <v>2.95</v>
      </c>
      <c r="Y568" s="39">
        <f t="shared" si="108"/>
        <v>0</v>
      </c>
      <c r="Z568" s="39">
        <f t="shared" si="108"/>
        <v>0.34399999999999997</v>
      </c>
      <c r="AA568" s="39">
        <f t="shared" si="108"/>
        <v>0</v>
      </c>
      <c r="AB568" s="39">
        <f t="shared" si="108"/>
        <v>0</v>
      </c>
      <c r="AC568" s="39">
        <f t="shared" si="108"/>
        <v>0</v>
      </c>
      <c r="AD568" s="39">
        <v>0</v>
      </c>
      <c r="AE568" s="39">
        <f>SUM(AE556:AE566)</f>
        <v>0</v>
      </c>
      <c r="AF568" s="39">
        <f>SUM(AF556:AF566)</f>
        <v>0</v>
      </c>
      <c r="AG568" s="39">
        <f>SUM(AG556:AG566)</f>
        <v>0.61699999999999999</v>
      </c>
      <c r="AH568" s="32">
        <f>SUM(AH556:AH566)</f>
        <v>53.238000000000007</v>
      </c>
    </row>
  </sheetData>
  <mergeCells count="39">
    <mergeCell ref="A554:H554"/>
    <mergeCell ref="A265:H265"/>
    <mergeCell ref="A345:H345"/>
    <mergeCell ref="A361:R361"/>
    <mergeCell ref="A378:H378"/>
    <mergeCell ref="A297:H297"/>
    <mergeCell ref="A313:H313"/>
    <mergeCell ref="A490:H490"/>
    <mergeCell ref="A394:H394"/>
    <mergeCell ref="A426:H426"/>
    <mergeCell ref="A458:O458"/>
    <mergeCell ref="A362:H362"/>
    <mergeCell ref="A89:H89"/>
    <mergeCell ref="A38:R38"/>
    <mergeCell ref="A71:C71"/>
    <mergeCell ref="A522:H522"/>
    <mergeCell ref="A538:H538"/>
    <mergeCell ref="A506:H506"/>
    <mergeCell ref="A410:H410"/>
    <mergeCell ref="A442:H442"/>
    <mergeCell ref="A474:H474"/>
    <mergeCell ref="A137:H137"/>
    <mergeCell ref="A153:H153"/>
    <mergeCell ref="A169:H169"/>
    <mergeCell ref="A249:H249"/>
    <mergeCell ref="A185:H185"/>
    <mergeCell ref="A281:H281"/>
    <mergeCell ref="A105:H105"/>
    <mergeCell ref="A22:H22"/>
    <mergeCell ref="A2:T2"/>
    <mergeCell ref="A4:R4"/>
    <mergeCell ref="A6:H6"/>
    <mergeCell ref="A87:R87"/>
    <mergeCell ref="A55:I55"/>
    <mergeCell ref="A121:H121"/>
    <mergeCell ref="A329:H329"/>
    <mergeCell ref="A201:H201"/>
    <mergeCell ref="A217:H217"/>
    <mergeCell ref="A233:H233"/>
  </mergeCells>
  <phoneticPr fontId="0" type="noConversion"/>
  <pageMargins left="0.75" right="0.75" top="1" bottom="1" header="0" footer="0"/>
  <pageSetup paperSize="5"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sheetPr>
    <tabColor rgb="FFCCCC00"/>
  </sheetPr>
  <dimension ref="A2:BW116"/>
  <sheetViews>
    <sheetView zoomScale="70" zoomScaleNormal="70" workbookViewId="0">
      <selection activeCell="K126" sqref="K126"/>
    </sheetView>
  </sheetViews>
  <sheetFormatPr baseColWidth="10" defaultColWidth="11.44140625" defaultRowHeight="13.2"/>
  <cols>
    <col min="1" max="1" width="11.44140625" style="66"/>
    <col min="2" max="2" width="12.88671875" style="66" customWidth="1"/>
    <col min="3" max="36" width="11.44140625" style="66"/>
    <col min="37" max="37" width="9" style="66" customWidth="1"/>
    <col min="38" max="38" width="13.109375" style="66" customWidth="1"/>
    <col min="39" max="39" width="11.44140625" style="66"/>
    <col min="40" max="40" width="11" style="66" bestFit="1" customWidth="1"/>
    <col min="41" max="70" width="8.88671875" style="66" customWidth="1"/>
    <col min="71" max="16384" width="11.44140625" style="66"/>
  </cols>
  <sheetData>
    <row r="2" spans="1:34" ht="15">
      <c r="A2" s="3811" t="s">
        <v>740</v>
      </c>
      <c r="B2" s="3812"/>
      <c r="C2" s="3812"/>
      <c r="D2" s="3812"/>
      <c r="E2" s="3812"/>
      <c r="F2" s="3812"/>
      <c r="G2" s="3812"/>
      <c r="H2" s="3812"/>
      <c r="I2" s="3812"/>
      <c r="J2" s="3812"/>
      <c r="K2" s="3812"/>
      <c r="L2" s="3812"/>
      <c r="M2" s="3812"/>
      <c r="N2" s="3812"/>
      <c r="O2" s="3812"/>
      <c r="P2" s="3812"/>
      <c r="Q2" s="3812"/>
      <c r="R2" s="3812"/>
      <c r="S2" s="3812"/>
      <c r="T2" s="3813"/>
      <c r="U2" s="11"/>
      <c r="V2" s="11"/>
      <c r="W2" s="11"/>
      <c r="X2" s="11"/>
      <c r="Y2" s="11"/>
      <c r="Z2" s="11"/>
      <c r="AA2" s="11"/>
      <c r="AB2" s="11"/>
      <c r="AC2" s="11"/>
      <c r="AD2" s="11"/>
      <c r="AE2" s="11"/>
      <c r="AF2" s="11"/>
      <c r="AG2" s="11"/>
      <c r="AH2" s="1"/>
    </row>
    <row r="3" spans="1:34" s="67" customFormat="1" ht="15">
      <c r="A3" s="36"/>
      <c r="B3" s="36"/>
      <c r="C3" s="36"/>
      <c r="D3" s="36"/>
      <c r="E3" s="36"/>
      <c r="F3" s="36"/>
      <c r="G3" s="36"/>
      <c r="H3" s="36"/>
      <c r="I3" s="36"/>
      <c r="J3" s="36"/>
      <c r="K3" s="36"/>
      <c r="L3" s="36"/>
      <c r="M3" s="36"/>
      <c r="N3" s="36"/>
      <c r="O3" s="36"/>
      <c r="P3" s="36"/>
      <c r="Q3" s="36"/>
      <c r="R3" s="36"/>
      <c r="S3" s="36"/>
      <c r="T3" s="36"/>
      <c r="U3" s="11"/>
      <c r="V3" s="11"/>
      <c r="W3" s="11"/>
      <c r="X3" s="11"/>
      <c r="Y3" s="11"/>
      <c r="Z3" s="11"/>
      <c r="AA3" s="11"/>
      <c r="AB3" s="11"/>
      <c r="AC3" s="11"/>
      <c r="AD3" s="11"/>
      <c r="AE3" s="11"/>
      <c r="AF3" s="11"/>
      <c r="AG3" s="11"/>
      <c r="AH3" s="11"/>
    </row>
    <row r="4" spans="1:34" ht="15" hidden="1">
      <c r="A4" s="3811" t="s">
        <v>553</v>
      </c>
      <c r="B4" s="3812"/>
      <c r="C4" s="3813"/>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
    </row>
    <row r="5" spans="1:34" ht="15" hidden="1">
      <c r="A5" s="5" t="s">
        <v>70</v>
      </c>
      <c r="B5" s="21" t="s">
        <v>71</v>
      </c>
      <c r="C5" s="5">
        <v>1</v>
      </c>
      <c r="D5" s="21">
        <v>2</v>
      </c>
      <c r="E5" s="21">
        <v>3</v>
      </c>
      <c r="F5" s="21">
        <v>4</v>
      </c>
      <c r="G5" s="21">
        <v>5</v>
      </c>
      <c r="H5" s="21">
        <v>6</v>
      </c>
      <c r="I5" s="21">
        <v>7</v>
      </c>
      <c r="J5" s="21">
        <v>8</v>
      </c>
      <c r="K5" s="21">
        <v>9</v>
      </c>
      <c r="L5" s="21">
        <v>10</v>
      </c>
      <c r="M5" s="21">
        <v>11</v>
      </c>
      <c r="N5" s="21">
        <v>12</v>
      </c>
      <c r="O5" s="21">
        <v>13</v>
      </c>
      <c r="P5" s="21">
        <v>14</v>
      </c>
      <c r="Q5" s="21">
        <v>15</v>
      </c>
      <c r="R5" s="21">
        <v>16</v>
      </c>
      <c r="S5" s="21">
        <v>17</v>
      </c>
      <c r="T5" s="21">
        <v>18</v>
      </c>
      <c r="U5" s="21">
        <v>19</v>
      </c>
      <c r="V5" s="21">
        <v>20</v>
      </c>
      <c r="W5" s="21">
        <v>21</v>
      </c>
      <c r="X5" s="21">
        <v>22</v>
      </c>
      <c r="Y5" s="21">
        <v>23</v>
      </c>
      <c r="Z5" s="21">
        <v>24</v>
      </c>
      <c r="AA5" s="21">
        <v>25</v>
      </c>
      <c r="AB5" s="21">
        <v>26</v>
      </c>
      <c r="AC5" s="21">
        <v>27</v>
      </c>
      <c r="AD5" s="21">
        <v>28</v>
      </c>
      <c r="AE5" s="21">
        <v>29</v>
      </c>
      <c r="AF5" s="21">
        <v>30</v>
      </c>
      <c r="AG5" s="21">
        <v>31</v>
      </c>
      <c r="AH5" s="5" t="s">
        <v>72</v>
      </c>
    </row>
    <row r="6" spans="1:34" ht="15" hidden="1">
      <c r="A6" s="1039" t="s">
        <v>73</v>
      </c>
      <c r="B6" s="15">
        <f t="shared" ref="B6:B17" si="0">+AH6</f>
        <v>0</v>
      </c>
      <c r="C6" s="65" t="s">
        <v>109</v>
      </c>
      <c r="D6" s="65" t="s">
        <v>109</v>
      </c>
      <c r="E6" s="65" t="s">
        <v>109</v>
      </c>
      <c r="F6" s="65" t="s">
        <v>109</v>
      </c>
      <c r="G6" s="65" t="s">
        <v>109</v>
      </c>
      <c r="H6" s="65" t="s">
        <v>109</v>
      </c>
      <c r="I6" s="65" t="s">
        <v>109</v>
      </c>
      <c r="J6" s="65" t="s">
        <v>109</v>
      </c>
      <c r="K6" s="65" t="s">
        <v>109</v>
      </c>
      <c r="L6" s="65" t="s">
        <v>109</v>
      </c>
      <c r="M6" s="65" t="s">
        <v>109</v>
      </c>
      <c r="N6" s="65" t="s">
        <v>109</v>
      </c>
      <c r="O6" s="65" t="s">
        <v>109</v>
      </c>
      <c r="P6" s="65" t="s">
        <v>109</v>
      </c>
      <c r="Q6" s="65" t="s">
        <v>109</v>
      </c>
      <c r="R6" s="65" t="s">
        <v>109</v>
      </c>
      <c r="S6" s="65" t="s">
        <v>109</v>
      </c>
      <c r="T6" s="65" t="s">
        <v>109</v>
      </c>
      <c r="U6" s="65" t="s">
        <v>109</v>
      </c>
      <c r="V6" s="65" t="s">
        <v>109</v>
      </c>
      <c r="W6" s="65" t="s">
        <v>109</v>
      </c>
      <c r="X6" s="65" t="s">
        <v>109</v>
      </c>
      <c r="Y6" s="65" t="s">
        <v>109</v>
      </c>
      <c r="Z6" s="65" t="s">
        <v>109</v>
      </c>
      <c r="AA6" s="65" t="s">
        <v>109</v>
      </c>
      <c r="AB6" s="65" t="s">
        <v>109</v>
      </c>
      <c r="AC6" s="65" t="s">
        <v>109</v>
      </c>
      <c r="AD6" s="65" t="s">
        <v>109</v>
      </c>
      <c r="AE6" s="65" t="s">
        <v>109</v>
      </c>
      <c r="AF6" s="65" t="s">
        <v>109</v>
      </c>
      <c r="AG6" s="65" t="s">
        <v>109</v>
      </c>
      <c r="AH6" s="35">
        <f>SUM(C6:AG6)</f>
        <v>0</v>
      </c>
    </row>
    <row r="7" spans="1:34" ht="15" hidden="1">
      <c r="A7" s="1039" t="s">
        <v>74</v>
      </c>
      <c r="B7" s="15">
        <f t="shared" si="0"/>
        <v>0</v>
      </c>
      <c r="C7" s="65" t="s">
        <v>109</v>
      </c>
      <c r="D7" s="65" t="s">
        <v>109</v>
      </c>
      <c r="E7" s="65" t="s">
        <v>109</v>
      </c>
      <c r="F7" s="65" t="s">
        <v>109</v>
      </c>
      <c r="G7" s="65" t="s">
        <v>109</v>
      </c>
      <c r="H7" s="65" t="s">
        <v>109</v>
      </c>
      <c r="I7" s="65" t="s">
        <v>109</v>
      </c>
      <c r="J7" s="65" t="s">
        <v>109</v>
      </c>
      <c r="K7" s="65" t="s">
        <v>109</v>
      </c>
      <c r="L7" s="65" t="s">
        <v>109</v>
      </c>
      <c r="M7" s="65" t="s">
        <v>109</v>
      </c>
      <c r="N7" s="65" t="s">
        <v>109</v>
      </c>
      <c r="O7" s="65" t="s">
        <v>109</v>
      </c>
      <c r="P7" s="65" t="s">
        <v>109</v>
      </c>
      <c r="Q7" s="65" t="s">
        <v>109</v>
      </c>
      <c r="R7" s="65" t="s">
        <v>109</v>
      </c>
      <c r="S7" s="65" t="s">
        <v>109</v>
      </c>
      <c r="T7" s="65" t="s">
        <v>109</v>
      </c>
      <c r="U7" s="65" t="s">
        <v>109</v>
      </c>
      <c r="V7" s="65" t="s">
        <v>109</v>
      </c>
      <c r="W7" s="65" t="s">
        <v>109</v>
      </c>
      <c r="X7" s="65" t="s">
        <v>109</v>
      </c>
      <c r="Y7" s="65" t="s">
        <v>109</v>
      </c>
      <c r="Z7" s="65" t="s">
        <v>109</v>
      </c>
      <c r="AA7" s="65" t="s">
        <v>109</v>
      </c>
      <c r="AB7" s="65" t="s">
        <v>109</v>
      </c>
      <c r="AC7" s="65" t="s">
        <v>109</v>
      </c>
      <c r="AD7" s="65" t="s">
        <v>109</v>
      </c>
      <c r="AE7" s="65" t="s">
        <v>109</v>
      </c>
      <c r="AF7" s="65" t="s">
        <v>109</v>
      </c>
      <c r="AG7" s="65" t="s">
        <v>109</v>
      </c>
      <c r="AH7" s="35">
        <f t="shared" ref="AH7:AH17" si="1">SUM(C7:AG7)</f>
        <v>0</v>
      </c>
    </row>
    <row r="8" spans="1:34" ht="15" hidden="1">
      <c r="A8" s="1039" t="s">
        <v>75</v>
      </c>
      <c r="B8" s="15">
        <f t="shared" si="0"/>
        <v>0</v>
      </c>
      <c r="C8" s="65" t="s">
        <v>109</v>
      </c>
      <c r="D8" s="65" t="s">
        <v>109</v>
      </c>
      <c r="E8" s="65" t="s">
        <v>109</v>
      </c>
      <c r="F8" s="65" t="s">
        <v>109</v>
      </c>
      <c r="G8" s="65" t="s">
        <v>109</v>
      </c>
      <c r="H8" s="35"/>
      <c r="I8" s="15"/>
      <c r="J8" s="15"/>
      <c r="K8" s="15"/>
      <c r="L8" s="15"/>
      <c r="M8" s="15"/>
      <c r="N8" s="15"/>
      <c r="O8" s="15"/>
      <c r="P8" s="15"/>
      <c r="Q8" s="15"/>
      <c r="R8" s="15"/>
      <c r="S8" s="15"/>
      <c r="T8" s="15"/>
      <c r="U8" s="15"/>
      <c r="V8" s="15"/>
      <c r="W8" s="15"/>
      <c r="X8" s="15"/>
      <c r="Y8" s="15"/>
      <c r="Z8" s="15"/>
      <c r="AA8" s="15"/>
      <c r="AB8" s="15"/>
      <c r="AC8" s="65" t="s">
        <v>109</v>
      </c>
      <c r="AD8" s="65" t="s">
        <v>109</v>
      </c>
      <c r="AE8" s="65" t="s">
        <v>109</v>
      </c>
      <c r="AF8" s="65" t="s">
        <v>109</v>
      </c>
      <c r="AG8" s="65" t="s">
        <v>109</v>
      </c>
      <c r="AH8" s="35">
        <f t="shared" si="1"/>
        <v>0</v>
      </c>
    </row>
    <row r="9" spans="1:34" ht="15" hidden="1">
      <c r="A9" s="1039" t="s">
        <v>76</v>
      </c>
      <c r="B9" s="15">
        <f t="shared" si="0"/>
        <v>0</v>
      </c>
      <c r="C9" s="65" t="s">
        <v>109</v>
      </c>
      <c r="D9" s="65" t="s">
        <v>109</v>
      </c>
      <c r="E9" s="65" t="s">
        <v>109</v>
      </c>
      <c r="F9" s="65" t="s">
        <v>109</v>
      </c>
      <c r="G9" s="65" t="s">
        <v>109</v>
      </c>
      <c r="H9" s="65" t="s">
        <v>109</v>
      </c>
      <c r="I9" s="65" t="s">
        <v>109</v>
      </c>
      <c r="J9" s="65" t="s">
        <v>109</v>
      </c>
      <c r="K9" s="65" t="s">
        <v>109</v>
      </c>
      <c r="L9" s="15"/>
      <c r="M9" s="15"/>
      <c r="N9" s="15"/>
      <c r="O9" s="15"/>
      <c r="P9" s="15"/>
      <c r="Q9" s="15"/>
      <c r="R9" s="15"/>
      <c r="S9" s="15"/>
      <c r="T9" s="15"/>
      <c r="U9" s="15"/>
      <c r="V9" s="15"/>
      <c r="W9" s="15"/>
      <c r="X9" s="15"/>
      <c r="Y9" s="15"/>
      <c r="Z9" s="15"/>
      <c r="AA9" s="15"/>
      <c r="AB9" s="15"/>
      <c r="AC9" s="15"/>
      <c r="AD9" s="15"/>
      <c r="AE9" s="15"/>
      <c r="AF9" s="15"/>
      <c r="AG9" s="15"/>
      <c r="AH9" s="35">
        <f t="shared" si="1"/>
        <v>0</v>
      </c>
    </row>
    <row r="10" spans="1:34" ht="15" hidden="1">
      <c r="A10" s="1523" t="s">
        <v>77</v>
      </c>
      <c r="B10" s="15">
        <f t="shared" si="0"/>
        <v>0</v>
      </c>
      <c r="C10" s="35"/>
      <c r="D10" s="15"/>
      <c r="E10" s="15"/>
      <c r="F10" s="15"/>
      <c r="G10" s="15"/>
      <c r="H10" s="3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35">
        <f t="shared" si="1"/>
        <v>0</v>
      </c>
    </row>
    <row r="11" spans="1:34" ht="15" hidden="1">
      <c r="A11" s="1523" t="s">
        <v>78</v>
      </c>
      <c r="B11" s="15">
        <f t="shared" si="0"/>
        <v>0</v>
      </c>
      <c r="C11" s="35"/>
      <c r="D11" s="15"/>
      <c r="E11" s="15"/>
      <c r="F11" s="15"/>
      <c r="G11" s="15"/>
      <c r="H11" s="65" t="s">
        <v>90</v>
      </c>
      <c r="I11" s="65" t="s">
        <v>90</v>
      </c>
      <c r="J11" s="65" t="s">
        <v>90</v>
      </c>
      <c r="K11" s="65" t="s">
        <v>90</v>
      </c>
      <c r="L11" s="65" t="s">
        <v>90</v>
      </c>
      <c r="M11" s="65" t="s">
        <v>90</v>
      </c>
      <c r="N11" s="65" t="s">
        <v>90</v>
      </c>
      <c r="O11" s="65" t="s">
        <v>90</v>
      </c>
      <c r="P11" s="65" t="s">
        <v>90</v>
      </c>
      <c r="Q11" s="65" t="s">
        <v>90</v>
      </c>
      <c r="R11" s="65" t="s">
        <v>90</v>
      </c>
      <c r="S11" s="65" t="s">
        <v>90</v>
      </c>
      <c r="T11" s="65" t="s">
        <v>90</v>
      </c>
      <c r="U11" s="65" t="s">
        <v>90</v>
      </c>
      <c r="V11" s="65" t="s">
        <v>90</v>
      </c>
      <c r="W11" s="65" t="s">
        <v>90</v>
      </c>
      <c r="X11" s="65" t="s">
        <v>90</v>
      </c>
      <c r="Y11" s="15"/>
      <c r="Z11" s="15"/>
      <c r="AA11" s="15"/>
      <c r="AB11" s="15"/>
      <c r="AC11" s="15"/>
      <c r="AD11" s="15"/>
      <c r="AE11" s="15"/>
      <c r="AF11" s="15"/>
      <c r="AG11" s="15"/>
      <c r="AH11" s="35">
        <f t="shared" si="1"/>
        <v>0</v>
      </c>
    </row>
    <row r="12" spans="1:34" ht="15" hidden="1">
      <c r="A12" s="1523" t="s">
        <v>79</v>
      </c>
      <c r="B12" s="15">
        <f t="shared" si="0"/>
        <v>0</v>
      </c>
      <c r="C12" s="35"/>
      <c r="D12" s="15"/>
      <c r="E12" s="15"/>
      <c r="F12" s="15"/>
      <c r="G12" s="15"/>
      <c r="H12" s="3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35">
        <f t="shared" si="1"/>
        <v>0</v>
      </c>
    </row>
    <row r="13" spans="1:34" ht="15" hidden="1">
      <c r="A13" s="1523" t="s">
        <v>80</v>
      </c>
      <c r="B13" s="15">
        <f t="shared" si="0"/>
        <v>0</v>
      </c>
      <c r="C13" s="35"/>
      <c r="D13" s="15"/>
      <c r="E13" s="15"/>
      <c r="F13" s="15"/>
      <c r="G13" s="15"/>
      <c r="H13" s="15"/>
      <c r="I13" s="15"/>
      <c r="J13" s="752" t="s">
        <v>110</v>
      </c>
      <c r="K13" s="752" t="s">
        <v>110</v>
      </c>
      <c r="L13" s="752" t="s">
        <v>110</v>
      </c>
      <c r="M13" s="65" t="s">
        <v>110</v>
      </c>
      <c r="N13" s="65" t="s">
        <v>110</v>
      </c>
      <c r="O13" s="65" t="s">
        <v>110</v>
      </c>
      <c r="P13" s="65" t="s">
        <v>110</v>
      </c>
      <c r="Q13" s="65" t="s">
        <v>110</v>
      </c>
      <c r="R13" s="65" t="s">
        <v>110</v>
      </c>
      <c r="S13" s="65" t="s">
        <v>110</v>
      </c>
      <c r="T13" s="65" t="s">
        <v>110</v>
      </c>
      <c r="U13" s="65" t="s">
        <v>110</v>
      </c>
      <c r="V13" s="65" t="s">
        <v>110</v>
      </c>
      <c r="W13" s="65" t="s">
        <v>110</v>
      </c>
      <c r="X13" s="65" t="s">
        <v>110</v>
      </c>
      <c r="Y13" s="65" t="s">
        <v>110</v>
      </c>
      <c r="Z13" s="65" t="s">
        <v>110</v>
      </c>
      <c r="AA13" s="65" t="s">
        <v>110</v>
      </c>
      <c r="AB13" s="65" t="s">
        <v>110</v>
      </c>
      <c r="AC13" s="65" t="s">
        <v>110</v>
      </c>
      <c r="AD13" s="65" t="s">
        <v>110</v>
      </c>
      <c r="AE13" s="65" t="s">
        <v>110</v>
      </c>
      <c r="AF13" s="65" t="s">
        <v>110</v>
      </c>
      <c r="AG13" s="65" t="s">
        <v>110</v>
      </c>
      <c r="AH13" s="35">
        <f t="shared" si="1"/>
        <v>0</v>
      </c>
    </row>
    <row r="14" spans="1:34" ht="15" hidden="1">
      <c r="A14" s="1522" t="s">
        <v>81</v>
      </c>
      <c r="B14" s="15">
        <f t="shared" si="0"/>
        <v>0</v>
      </c>
      <c r="C14" s="65" t="s">
        <v>110</v>
      </c>
      <c r="D14" s="65" t="s">
        <v>110</v>
      </c>
      <c r="E14" s="65" t="s">
        <v>110</v>
      </c>
      <c r="F14" s="65" t="s">
        <v>110</v>
      </c>
      <c r="G14" s="65" t="s">
        <v>110</v>
      </c>
      <c r="H14" s="65" t="s">
        <v>110</v>
      </c>
      <c r="I14" s="65" t="s">
        <v>110</v>
      </c>
      <c r="J14" s="752" t="s">
        <v>110</v>
      </c>
      <c r="K14" s="752" t="s">
        <v>110</v>
      </c>
      <c r="L14" s="752" t="s">
        <v>110</v>
      </c>
      <c r="M14" s="65" t="s">
        <v>110</v>
      </c>
      <c r="N14" s="65" t="s">
        <v>110</v>
      </c>
      <c r="O14" s="65" t="s">
        <v>110</v>
      </c>
      <c r="P14" s="65" t="s">
        <v>110</v>
      </c>
      <c r="Q14" s="65" t="s">
        <v>110</v>
      </c>
      <c r="R14" s="65" t="s">
        <v>110</v>
      </c>
      <c r="S14" s="65" t="s">
        <v>110</v>
      </c>
      <c r="T14" s="65" t="s">
        <v>110</v>
      </c>
      <c r="U14" s="65" t="s">
        <v>110</v>
      </c>
      <c r="V14" s="65" t="s">
        <v>110</v>
      </c>
      <c r="W14" s="65" t="s">
        <v>110</v>
      </c>
      <c r="X14" s="65" t="s">
        <v>110</v>
      </c>
      <c r="Y14" s="65" t="s">
        <v>110</v>
      </c>
      <c r="Z14" s="65" t="s">
        <v>110</v>
      </c>
      <c r="AA14" s="65" t="s">
        <v>110</v>
      </c>
      <c r="AB14" s="65" t="s">
        <v>110</v>
      </c>
      <c r="AC14" s="65" t="s">
        <v>110</v>
      </c>
      <c r="AD14" s="65" t="s">
        <v>110</v>
      </c>
      <c r="AE14" s="65" t="s">
        <v>110</v>
      </c>
      <c r="AF14" s="65" t="s">
        <v>110</v>
      </c>
      <c r="AG14" s="65" t="s">
        <v>110</v>
      </c>
      <c r="AH14" s="35">
        <f t="shared" si="1"/>
        <v>0</v>
      </c>
    </row>
    <row r="15" spans="1:34" ht="15" hidden="1">
      <c r="A15" s="1522" t="s">
        <v>82</v>
      </c>
      <c r="B15" s="15">
        <f t="shared" si="0"/>
        <v>0</v>
      </c>
      <c r="C15" s="65" t="s">
        <v>110</v>
      </c>
      <c r="D15" s="65" t="s">
        <v>110</v>
      </c>
      <c r="E15" s="65" t="s">
        <v>110</v>
      </c>
      <c r="F15" s="65" t="s">
        <v>110</v>
      </c>
      <c r="G15" s="65" t="s">
        <v>110</v>
      </c>
      <c r="H15" s="65" t="s">
        <v>110</v>
      </c>
      <c r="I15" s="65" t="s">
        <v>110</v>
      </c>
      <c r="J15" s="752" t="s">
        <v>110</v>
      </c>
      <c r="K15" s="752" t="s">
        <v>110</v>
      </c>
      <c r="L15" s="752" t="s">
        <v>110</v>
      </c>
      <c r="M15" s="65" t="s">
        <v>110</v>
      </c>
      <c r="N15" s="65" t="s">
        <v>110</v>
      </c>
      <c r="O15" s="65" t="s">
        <v>110</v>
      </c>
      <c r="P15" s="65" t="s">
        <v>110</v>
      </c>
      <c r="Q15" s="65" t="s">
        <v>110</v>
      </c>
      <c r="R15" s="65" t="s">
        <v>110</v>
      </c>
      <c r="S15" s="65" t="s">
        <v>110</v>
      </c>
      <c r="T15" s="65" t="s">
        <v>110</v>
      </c>
      <c r="U15" s="65" t="s">
        <v>110</v>
      </c>
      <c r="V15" s="65" t="s">
        <v>110</v>
      </c>
      <c r="W15" s="65" t="s">
        <v>110</v>
      </c>
      <c r="X15" s="15"/>
      <c r="Y15" s="15"/>
      <c r="Z15" s="15"/>
      <c r="AA15" s="15"/>
      <c r="AB15" s="15"/>
      <c r="AC15" s="15"/>
      <c r="AD15" s="15"/>
      <c r="AE15" s="39"/>
      <c r="AF15" s="15"/>
      <c r="AG15" s="39"/>
      <c r="AH15" s="35">
        <f t="shared" si="1"/>
        <v>0</v>
      </c>
    </row>
    <row r="16" spans="1:34" ht="15" hidden="1">
      <c r="A16" s="1522" t="s">
        <v>83</v>
      </c>
      <c r="B16" s="15">
        <f t="shared" si="0"/>
        <v>0</v>
      </c>
      <c r="C16" s="35"/>
      <c r="D16" s="15"/>
      <c r="E16" s="15"/>
      <c r="F16" s="15"/>
      <c r="G16" s="15"/>
      <c r="H16" s="3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35">
        <f t="shared" si="1"/>
        <v>0</v>
      </c>
    </row>
    <row r="17" spans="1:36" ht="15" hidden="1">
      <c r="A17" s="1522" t="s">
        <v>84</v>
      </c>
      <c r="B17" s="15">
        <f t="shared" si="0"/>
        <v>0</v>
      </c>
      <c r="C17" s="35"/>
      <c r="D17" s="15"/>
      <c r="E17" s="15"/>
      <c r="F17" s="15"/>
      <c r="G17" s="15"/>
      <c r="H17" s="15"/>
      <c r="I17" s="15"/>
      <c r="J17" s="15"/>
      <c r="K17" s="15"/>
      <c r="L17" s="15"/>
      <c r="M17" s="15"/>
      <c r="N17" s="15"/>
      <c r="O17" s="15"/>
      <c r="P17" s="1084" t="s">
        <v>109</v>
      </c>
      <c r="Q17" s="1084" t="s">
        <v>109</v>
      </c>
      <c r="R17" s="1084" t="s">
        <v>109</v>
      </c>
      <c r="S17" s="1084" t="s">
        <v>109</v>
      </c>
      <c r="T17" s="1084" t="s">
        <v>109</v>
      </c>
      <c r="U17" s="1084" t="s">
        <v>109</v>
      </c>
      <c r="V17" s="1084" t="s">
        <v>109</v>
      </c>
      <c r="W17" s="1084" t="s">
        <v>109</v>
      </c>
      <c r="X17" s="1084" t="s">
        <v>109</v>
      </c>
      <c r="Y17" s="1084" t="s">
        <v>109</v>
      </c>
      <c r="Z17" s="1084" t="s">
        <v>109</v>
      </c>
      <c r="AA17" s="1084" t="s">
        <v>109</v>
      </c>
      <c r="AB17" s="1084" t="s">
        <v>109</v>
      </c>
      <c r="AC17" s="1084" t="s">
        <v>109</v>
      </c>
      <c r="AD17" s="1084" t="s">
        <v>109</v>
      </c>
      <c r="AE17" s="1084" t="s">
        <v>109</v>
      </c>
      <c r="AF17" s="1084" t="s">
        <v>109</v>
      </c>
      <c r="AG17" s="1084" t="s">
        <v>109</v>
      </c>
      <c r="AH17" s="35">
        <f t="shared" si="1"/>
        <v>0</v>
      </c>
    </row>
    <row r="18" spans="1:36" ht="15" hidden="1">
      <c r="A18" s="71" t="s">
        <v>50</v>
      </c>
      <c r="B18" s="72">
        <f t="shared" ref="B18:AH18" si="2">SUM(B6:B17)</f>
        <v>0</v>
      </c>
      <c r="C18" s="35">
        <f t="shared" si="2"/>
        <v>0</v>
      </c>
      <c r="D18" s="35">
        <f t="shared" si="2"/>
        <v>0</v>
      </c>
      <c r="E18" s="35">
        <f t="shared" si="2"/>
        <v>0</v>
      </c>
      <c r="F18" s="35">
        <f t="shared" si="2"/>
        <v>0</v>
      </c>
      <c r="G18" s="35">
        <f t="shared" si="2"/>
        <v>0</v>
      </c>
      <c r="H18" s="35">
        <f t="shared" si="2"/>
        <v>0</v>
      </c>
      <c r="I18" s="35">
        <f t="shared" si="2"/>
        <v>0</v>
      </c>
      <c r="J18" s="35">
        <f t="shared" si="2"/>
        <v>0</v>
      </c>
      <c r="K18" s="35">
        <f t="shared" si="2"/>
        <v>0</v>
      </c>
      <c r="L18" s="35">
        <f t="shared" si="2"/>
        <v>0</v>
      </c>
      <c r="M18" s="35">
        <f t="shared" si="2"/>
        <v>0</v>
      </c>
      <c r="N18" s="35">
        <f t="shared" si="2"/>
        <v>0</v>
      </c>
      <c r="O18" s="35">
        <f t="shared" si="2"/>
        <v>0</v>
      </c>
      <c r="P18" s="35">
        <f t="shared" si="2"/>
        <v>0</v>
      </c>
      <c r="Q18" s="35">
        <f t="shared" si="2"/>
        <v>0</v>
      </c>
      <c r="R18" s="35">
        <f t="shared" si="2"/>
        <v>0</v>
      </c>
      <c r="S18" s="35">
        <f t="shared" si="2"/>
        <v>0</v>
      </c>
      <c r="T18" s="35">
        <f t="shared" si="2"/>
        <v>0</v>
      </c>
      <c r="U18" s="35">
        <f t="shared" si="2"/>
        <v>0</v>
      </c>
      <c r="V18" s="35">
        <f t="shared" si="2"/>
        <v>0</v>
      </c>
      <c r="W18" s="35">
        <f t="shared" si="2"/>
        <v>0</v>
      </c>
      <c r="X18" s="35">
        <f t="shared" si="2"/>
        <v>0</v>
      </c>
      <c r="Y18" s="35">
        <f t="shared" si="2"/>
        <v>0</v>
      </c>
      <c r="Z18" s="35">
        <f t="shared" si="2"/>
        <v>0</v>
      </c>
      <c r="AA18" s="35">
        <f t="shared" si="2"/>
        <v>0</v>
      </c>
      <c r="AB18" s="35">
        <f t="shared" si="2"/>
        <v>0</v>
      </c>
      <c r="AC18" s="35">
        <f t="shared" si="2"/>
        <v>0</v>
      </c>
      <c r="AD18" s="35">
        <f t="shared" si="2"/>
        <v>0</v>
      </c>
      <c r="AE18" s="35">
        <f t="shared" si="2"/>
        <v>0</v>
      </c>
      <c r="AF18" s="35">
        <f t="shared" si="2"/>
        <v>0</v>
      </c>
      <c r="AG18" s="35">
        <f t="shared" si="2"/>
        <v>0</v>
      </c>
      <c r="AH18" s="35">
        <f t="shared" si="2"/>
        <v>0</v>
      </c>
    </row>
    <row r="19" spans="1:36" ht="15">
      <c r="A19" s="1"/>
      <c r="B19" s="1"/>
      <c r="C19" s="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
    </row>
    <row r="20" spans="1:36" ht="15">
      <c r="A20" s="3811" t="s">
        <v>67</v>
      </c>
      <c r="B20" s="3812"/>
      <c r="C20" s="3813"/>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
    </row>
    <row r="21" spans="1:36" ht="15">
      <c r="A21" s="5" t="s">
        <v>70</v>
      </c>
      <c r="B21" s="21" t="s">
        <v>71</v>
      </c>
      <c r="C21" s="5">
        <v>1</v>
      </c>
      <c r="D21" s="21">
        <v>2</v>
      </c>
      <c r="E21" s="21">
        <v>3</v>
      </c>
      <c r="F21" s="21">
        <v>4</v>
      </c>
      <c r="G21" s="21">
        <v>5</v>
      </c>
      <c r="H21" s="21">
        <v>6</v>
      </c>
      <c r="I21" s="21">
        <v>7</v>
      </c>
      <c r="J21" s="21">
        <v>8</v>
      </c>
      <c r="K21" s="21">
        <v>9</v>
      </c>
      <c r="L21" s="21">
        <v>10</v>
      </c>
      <c r="M21" s="21">
        <v>11</v>
      </c>
      <c r="N21" s="21">
        <v>12</v>
      </c>
      <c r="O21" s="21">
        <v>13</v>
      </c>
      <c r="P21" s="21">
        <v>14</v>
      </c>
      <c r="Q21" s="21">
        <v>15</v>
      </c>
      <c r="R21" s="21">
        <v>16</v>
      </c>
      <c r="S21" s="21">
        <v>17</v>
      </c>
      <c r="T21" s="21">
        <v>18</v>
      </c>
      <c r="U21" s="21">
        <v>19</v>
      </c>
      <c r="V21" s="21">
        <v>20</v>
      </c>
      <c r="W21" s="21">
        <v>21</v>
      </c>
      <c r="X21" s="21">
        <v>22</v>
      </c>
      <c r="Y21" s="21">
        <v>23</v>
      </c>
      <c r="Z21" s="21">
        <v>24</v>
      </c>
      <c r="AA21" s="21">
        <v>25</v>
      </c>
      <c r="AB21" s="21">
        <v>26</v>
      </c>
      <c r="AC21" s="21">
        <v>27</v>
      </c>
      <c r="AD21" s="21">
        <v>28</v>
      </c>
      <c r="AE21" s="21">
        <v>29</v>
      </c>
      <c r="AF21" s="21">
        <v>30</v>
      </c>
      <c r="AG21" s="21">
        <v>31</v>
      </c>
      <c r="AH21" s="5" t="s">
        <v>72</v>
      </c>
      <c r="AI21" s="2266" t="s">
        <v>1345</v>
      </c>
      <c r="AJ21" s="66" t="e">
        <f>(B34/COUNTIF($C$22:$AG$33,"&gt;0"))</f>
        <v>#DIV/0!</v>
      </c>
    </row>
    <row r="22" spans="1:36" ht="15">
      <c r="A22" s="1039" t="s">
        <v>73</v>
      </c>
      <c r="B22" s="15">
        <f t="shared" ref="B22:B33" si="3">+AH22</f>
        <v>0</v>
      </c>
      <c r="C22" s="609" t="s">
        <v>109</v>
      </c>
      <c r="D22" s="609" t="s">
        <v>109</v>
      </c>
      <c r="E22" s="609" t="s">
        <v>109</v>
      </c>
      <c r="F22" s="609" t="s">
        <v>109</v>
      </c>
      <c r="G22" s="609" t="s">
        <v>109</v>
      </c>
      <c r="H22" s="609" t="s">
        <v>109</v>
      </c>
      <c r="I22" s="609" t="s">
        <v>109</v>
      </c>
      <c r="J22" s="609" t="s">
        <v>109</v>
      </c>
      <c r="K22" s="609" t="s">
        <v>109</v>
      </c>
      <c r="L22" s="609" t="s">
        <v>109</v>
      </c>
      <c r="M22" s="609" t="s">
        <v>109</v>
      </c>
      <c r="N22" s="609" t="s">
        <v>109</v>
      </c>
      <c r="O22" s="609" t="s">
        <v>109</v>
      </c>
      <c r="P22" s="609" t="s">
        <v>109</v>
      </c>
      <c r="Q22" s="609" t="s">
        <v>109</v>
      </c>
      <c r="R22" s="609" t="s">
        <v>109</v>
      </c>
      <c r="S22" s="609" t="s">
        <v>109</v>
      </c>
      <c r="T22" s="609" t="s">
        <v>109</v>
      </c>
      <c r="U22" s="609" t="s">
        <v>109</v>
      </c>
      <c r="V22" s="609" t="s">
        <v>109</v>
      </c>
      <c r="W22" s="609" t="s">
        <v>109</v>
      </c>
      <c r="X22" s="609" t="s">
        <v>109</v>
      </c>
      <c r="Y22" s="609" t="s">
        <v>109</v>
      </c>
      <c r="Z22" s="609" t="s">
        <v>109</v>
      </c>
      <c r="AA22" s="609" t="s">
        <v>109</v>
      </c>
      <c r="AB22" s="609" t="s">
        <v>109</v>
      </c>
      <c r="AC22" s="609" t="s">
        <v>109</v>
      </c>
      <c r="AD22" s="609" t="s">
        <v>109</v>
      </c>
      <c r="AE22" s="609" t="s">
        <v>109</v>
      </c>
      <c r="AF22" s="609" t="s">
        <v>109</v>
      </c>
      <c r="AG22" s="609" t="s">
        <v>109</v>
      </c>
      <c r="AH22" s="35">
        <f>SUM(C22:AG22)</f>
        <v>0</v>
      </c>
    </row>
    <row r="23" spans="1:36" ht="15">
      <c r="A23" s="1039" t="s">
        <v>74</v>
      </c>
      <c r="B23" s="15">
        <f t="shared" si="3"/>
        <v>0</v>
      </c>
      <c r="C23" s="609" t="s">
        <v>109</v>
      </c>
      <c r="D23" s="609" t="s">
        <v>109</v>
      </c>
      <c r="E23" s="609" t="s">
        <v>109</v>
      </c>
      <c r="F23" s="609" t="s">
        <v>109</v>
      </c>
      <c r="G23" s="609" t="s">
        <v>109</v>
      </c>
      <c r="H23" s="609" t="s">
        <v>109</v>
      </c>
      <c r="I23" s="609" t="s">
        <v>109</v>
      </c>
      <c r="J23" s="609" t="s">
        <v>109</v>
      </c>
      <c r="K23" s="609" t="s">
        <v>109</v>
      </c>
      <c r="L23" s="609" t="s">
        <v>109</v>
      </c>
      <c r="M23" s="609" t="s">
        <v>109</v>
      </c>
      <c r="N23" s="609" t="s">
        <v>109</v>
      </c>
      <c r="O23" s="609" t="s">
        <v>109</v>
      </c>
      <c r="P23" s="609" t="s">
        <v>109</v>
      </c>
      <c r="Q23" s="609" t="s">
        <v>109</v>
      </c>
      <c r="R23" s="609" t="s">
        <v>109</v>
      </c>
      <c r="S23" s="609" t="s">
        <v>109</v>
      </c>
      <c r="T23" s="609" t="s">
        <v>109</v>
      </c>
      <c r="U23" s="609" t="s">
        <v>109</v>
      </c>
      <c r="V23" s="609" t="s">
        <v>109</v>
      </c>
      <c r="W23" s="609" t="s">
        <v>109</v>
      </c>
      <c r="X23" s="609" t="s">
        <v>109</v>
      </c>
      <c r="Y23" s="609" t="s">
        <v>109</v>
      </c>
      <c r="Z23" s="609" t="s">
        <v>109</v>
      </c>
      <c r="AA23" s="609" t="s">
        <v>109</v>
      </c>
      <c r="AB23" s="609" t="s">
        <v>109</v>
      </c>
      <c r="AC23" s="609" t="s">
        <v>109</v>
      </c>
      <c r="AD23" s="609" t="s">
        <v>109</v>
      </c>
      <c r="AE23" s="609" t="s">
        <v>109</v>
      </c>
      <c r="AF23" s="609" t="s">
        <v>109</v>
      </c>
      <c r="AG23" s="609" t="s">
        <v>109</v>
      </c>
      <c r="AH23" s="35">
        <f t="shared" ref="AH23:AH33" si="4">SUM(C23:AG23)</f>
        <v>0</v>
      </c>
    </row>
    <row r="24" spans="1:36" ht="15">
      <c r="A24" s="1039" t="s">
        <v>75</v>
      </c>
      <c r="B24" s="15">
        <f t="shared" si="3"/>
        <v>0</v>
      </c>
      <c r="C24" s="609" t="s">
        <v>109</v>
      </c>
      <c r="D24" s="609" t="s">
        <v>109</v>
      </c>
      <c r="E24" s="609" t="s">
        <v>109</v>
      </c>
      <c r="F24" s="609" t="s">
        <v>109</v>
      </c>
      <c r="G24" s="609" t="s">
        <v>109</v>
      </c>
      <c r="H24" s="1091"/>
      <c r="I24" s="1091"/>
      <c r="J24" s="1091"/>
      <c r="K24" s="1091"/>
      <c r="L24" s="1091"/>
      <c r="M24" s="1091"/>
      <c r="N24" s="1091"/>
      <c r="O24" s="1091"/>
      <c r="P24" s="1091"/>
      <c r="Q24" s="1091"/>
      <c r="R24" s="1091"/>
      <c r="S24" s="1091"/>
      <c r="T24" s="1091"/>
      <c r="U24" s="1591"/>
      <c r="V24" s="1091"/>
      <c r="W24" s="1091"/>
      <c r="X24" s="1091"/>
      <c r="Y24" s="1091"/>
      <c r="Z24" s="1091"/>
      <c r="AA24" s="1091"/>
      <c r="AB24" s="1091"/>
      <c r="AC24" s="1689"/>
      <c r="AD24" s="1689"/>
      <c r="AE24" s="1689"/>
      <c r="AF24" s="1689"/>
      <c r="AG24" s="1689"/>
      <c r="AH24" s="35">
        <f t="shared" si="4"/>
        <v>0</v>
      </c>
    </row>
    <row r="25" spans="1:36" ht="15">
      <c r="A25" s="1039" t="s">
        <v>76</v>
      </c>
      <c r="B25" s="15">
        <f t="shared" si="3"/>
        <v>0</v>
      </c>
      <c r="C25" s="2152"/>
      <c r="D25" s="2152"/>
      <c r="E25" s="2152"/>
      <c r="F25" s="2152"/>
      <c r="G25" s="2152"/>
      <c r="H25" s="2152"/>
      <c r="I25" s="2152"/>
      <c r="J25" s="2152"/>
      <c r="K25" s="2152"/>
      <c r="L25" s="15"/>
      <c r="M25" s="15"/>
      <c r="N25" s="15"/>
      <c r="O25" s="15"/>
      <c r="P25" s="15"/>
      <c r="Q25" s="227"/>
      <c r="R25" s="227"/>
      <c r="S25" s="125"/>
      <c r="T25" s="125"/>
      <c r="U25" s="125"/>
      <c r="V25" s="125"/>
      <c r="W25" s="125"/>
      <c r="X25" s="125"/>
      <c r="Y25" s="125"/>
      <c r="Z25" s="125"/>
      <c r="AA25" s="125"/>
      <c r="AB25" s="125"/>
      <c r="AC25" s="125"/>
      <c r="AD25" s="125"/>
      <c r="AE25" s="125"/>
      <c r="AF25" s="125"/>
      <c r="AG25" s="125"/>
      <c r="AH25" s="35">
        <f t="shared" si="4"/>
        <v>0</v>
      </c>
    </row>
    <row r="26" spans="1:36" ht="15">
      <c r="A26" s="1523" t="s">
        <v>77</v>
      </c>
      <c r="B26" s="15">
        <f t="shared" si="3"/>
        <v>0</v>
      </c>
      <c r="C26" s="2067"/>
      <c r="D26" s="2067"/>
      <c r="E26" s="2067"/>
      <c r="F26" s="2067"/>
      <c r="G26" s="2067"/>
      <c r="H26" s="1091"/>
      <c r="I26" s="1091"/>
      <c r="J26" s="1091"/>
      <c r="K26" s="1091"/>
      <c r="L26" s="1091"/>
      <c r="M26" s="1091"/>
      <c r="N26" s="1091"/>
      <c r="O26" s="1091"/>
      <c r="P26" s="1091"/>
      <c r="Q26" s="1091"/>
      <c r="R26" s="1091"/>
      <c r="S26" s="1091"/>
      <c r="T26" s="1091"/>
      <c r="U26" s="1091"/>
      <c r="V26" s="1091"/>
      <c r="W26" s="1091"/>
      <c r="X26" s="1091"/>
      <c r="Y26" s="1091"/>
      <c r="Z26" s="1091"/>
      <c r="AA26" s="1091"/>
      <c r="AB26" s="1091"/>
      <c r="AC26" s="1091"/>
      <c r="AD26" s="1091"/>
      <c r="AE26" s="1091"/>
      <c r="AF26" s="1091"/>
      <c r="AG26" s="1091"/>
      <c r="AH26" s="35">
        <f t="shared" si="4"/>
        <v>0</v>
      </c>
    </row>
    <row r="27" spans="1:36" ht="15">
      <c r="A27" s="1523" t="s">
        <v>78</v>
      </c>
      <c r="B27" s="15">
        <f t="shared" si="3"/>
        <v>0</v>
      </c>
      <c r="C27" s="1091"/>
      <c r="D27" s="1091"/>
      <c r="E27" s="1091"/>
      <c r="F27" s="1091"/>
      <c r="G27" s="1091"/>
      <c r="H27" s="1091"/>
      <c r="I27" s="1091"/>
      <c r="J27" s="1091"/>
      <c r="K27" s="1091"/>
      <c r="L27" s="1091"/>
      <c r="M27" s="1091"/>
      <c r="N27" s="1091"/>
      <c r="O27" s="1091"/>
      <c r="P27" s="1091"/>
      <c r="Q27" s="1091"/>
      <c r="R27" s="1091"/>
      <c r="S27" s="1091"/>
      <c r="T27" s="1091"/>
      <c r="U27" s="1091"/>
      <c r="V27" s="1091"/>
      <c r="W27" s="1091"/>
      <c r="X27" s="1091"/>
      <c r="Y27" s="1091"/>
      <c r="Z27" s="1091"/>
      <c r="AA27" s="1091"/>
      <c r="AB27" s="1091"/>
      <c r="AC27" s="1091"/>
      <c r="AD27" s="1091"/>
      <c r="AE27" s="1091"/>
      <c r="AF27" s="1091"/>
      <c r="AG27" s="1091"/>
      <c r="AH27" s="35">
        <f t="shared" si="4"/>
        <v>0</v>
      </c>
    </row>
    <row r="28" spans="1:36" ht="15">
      <c r="A28" s="1523" t="s">
        <v>79</v>
      </c>
      <c r="B28" s="15">
        <f t="shared" si="3"/>
        <v>0</v>
      </c>
      <c r="C28" s="1091"/>
      <c r="D28" s="1268"/>
      <c r="E28" s="1268"/>
      <c r="F28" s="1268"/>
      <c r="G28" s="1091"/>
      <c r="H28" s="1091"/>
      <c r="I28" s="1091"/>
      <c r="J28" s="2068"/>
      <c r="K28" s="2068"/>
      <c r="L28" s="1268"/>
      <c r="M28" s="1268"/>
      <c r="N28" s="1268"/>
      <c r="O28" s="1268"/>
      <c r="P28" s="1268"/>
      <c r="Q28" s="1268"/>
      <c r="R28" s="1268"/>
      <c r="S28" s="1268"/>
      <c r="T28" s="1268"/>
      <c r="U28" s="1268"/>
      <c r="V28" s="1268"/>
      <c r="W28" s="609"/>
      <c r="X28" s="609"/>
      <c r="Y28" s="609"/>
      <c r="Z28" s="609"/>
      <c r="AA28" s="609"/>
      <c r="AB28" s="609"/>
      <c r="AC28" s="609"/>
      <c r="AD28" s="609"/>
      <c r="AE28" s="609"/>
      <c r="AF28" s="609" t="s">
        <v>109</v>
      </c>
      <c r="AG28" s="609" t="s">
        <v>109</v>
      </c>
      <c r="AH28" s="35">
        <f t="shared" si="4"/>
        <v>0</v>
      </c>
    </row>
    <row r="29" spans="1:36" ht="15">
      <c r="A29" s="1523" t="s">
        <v>80</v>
      </c>
      <c r="B29" s="15">
        <f t="shared" si="3"/>
        <v>0</v>
      </c>
      <c r="C29" s="609" t="s">
        <v>109</v>
      </c>
      <c r="D29" s="609" t="s">
        <v>109</v>
      </c>
      <c r="E29" s="609" t="s">
        <v>109</v>
      </c>
      <c r="F29" s="609" t="s">
        <v>109</v>
      </c>
      <c r="G29" s="609" t="s">
        <v>109</v>
      </c>
      <c r="H29" s="609" t="s">
        <v>109</v>
      </c>
      <c r="I29" s="609" t="s">
        <v>109</v>
      </c>
      <c r="J29" s="609" t="s">
        <v>109</v>
      </c>
      <c r="K29" s="609" t="s">
        <v>109</v>
      </c>
      <c r="L29" s="609" t="s">
        <v>109</v>
      </c>
      <c r="M29" s="609" t="s">
        <v>109</v>
      </c>
      <c r="N29" s="609" t="s">
        <v>109</v>
      </c>
      <c r="O29" s="609" t="s">
        <v>109</v>
      </c>
      <c r="P29" s="609" t="s">
        <v>109</v>
      </c>
      <c r="Q29" s="609" t="s">
        <v>109</v>
      </c>
      <c r="R29" s="609" t="s">
        <v>109</v>
      </c>
      <c r="S29" s="609" t="s">
        <v>109</v>
      </c>
      <c r="T29" s="609" t="s">
        <v>109</v>
      </c>
      <c r="U29" s="609" t="s">
        <v>109</v>
      </c>
      <c r="V29" s="609" t="s">
        <v>109</v>
      </c>
      <c r="W29" s="609" t="s">
        <v>109</v>
      </c>
      <c r="X29" s="609" t="s">
        <v>109</v>
      </c>
      <c r="Y29" s="609" t="s">
        <v>109</v>
      </c>
      <c r="Z29" s="609" t="s">
        <v>109</v>
      </c>
      <c r="AA29" s="609" t="s">
        <v>109</v>
      </c>
      <c r="AB29" s="609" t="s">
        <v>109</v>
      </c>
      <c r="AC29" s="609" t="s">
        <v>109</v>
      </c>
      <c r="AD29" s="609" t="s">
        <v>109</v>
      </c>
      <c r="AE29" s="609" t="s">
        <v>109</v>
      </c>
      <c r="AF29" s="609" t="s">
        <v>109</v>
      </c>
      <c r="AG29" s="609" t="s">
        <v>109</v>
      </c>
      <c r="AH29" s="35">
        <f t="shared" si="4"/>
        <v>0</v>
      </c>
    </row>
    <row r="30" spans="1:36" ht="15">
      <c r="A30" s="1522" t="s">
        <v>81</v>
      </c>
      <c r="B30" s="15">
        <f t="shared" si="3"/>
        <v>0</v>
      </c>
      <c r="C30" s="609" t="s">
        <v>109</v>
      </c>
      <c r="D30" s="609" t="s">
        <v>109</v>
      </c>
      <c r="E30" s="609" t="s">
        <v>109</v>
      </c>
      <c r="F30" s="609" t="s">
        <v>109</v>
      </c>
      <c r="G30" s="609" t="s">
        <v>109</v>
      </c>
      <c r="H30" s="609" t="s">
        <v>109</v>
      </c>
      <c r="I30" s="609" t="s">
        <v>109</v>
      </c>
      <c r="J30" s="609" t="s">
        <v>109</v>
      </c>
      <c r="K30" s="609" t="s">
        <v>109</v>
      </c>
      <c r="L30" s="609" t="s">
        <v>109</v>
      </c>
      <c r="M30" s="609" t="s">
        <v>109</v>
      </c>
      <c r="N30" s="609" t="s">
        <v>109</v>
      </c>
      <c r="O30" s="609" t="s">
        <v>109</v>
      </c>
      <c r="P30" s="609" t="s">
        <v>109</v>
      </c>
      <c r="Q30" s="609" t="s">
        <v>109</v>
      </c>
      <c r="R30" s="609" t="s">
        <v>109</v>
      </c>
      <c r="S30" s="609" t="s">
        <v>109</v>
      </c>
      <c r="T30" s="609" t="s">
        <v>109</v>
      </c>
      <c r="U30" s="609" t="s">
        <v>109</v>
      </c>
      <c r="V30" s="609" t="s">
        <v>109</v>
      </c>
      <c r="W30" s="609" t="s">
        <v>109</v>
      </c>
      <c r="X30" s="609" t="s">
        <v>109</v>
      </c>
      <c r="Y30" s="609" t="s">
        <v>109</v>
      </c>
      <c r="Z30" s="609" t="s">
        <v>109</v>
      </c>
      <c r="AA30" s="609" t="s">
        <v>109</v>
      </c>
      <c r="AB30" s="609" t="s">
        <v>109</v>
      </c>
      <c r="AC30" s="609" t="s">
        <v>109</v>
      </c>
      <c r="AD30" s="609" t="s">
        <v>109</v>
      </c>
      <c r="AE30" s="609" t="s">
        <v>109</v>
      </c>
      <c r="AF30" s="609" t="s">
        <v>109</v>
      </c>
      <c r="AG30" s="609" t="s">
        <v>109</v>
      </c>
      <c r="AH30" s="35">
        <f t="shared" si="4"/>
        <v>0</v>
      </c>
    </row>
    <row r="31" spans="1:36" ht="15">
      <c r="A31" s="1522" t="s">
        <v>82</v>
      </c>
      <c r="B31" s="15">
        <f t="shared" si="3"/>
        <v>0</v>
      </c>
      <c r="C31" s="609" t="s">
        <v>109</v>
      </c>
      <c r="D31" s="609" t="s">
        <v>109</v>
      </c>
      <c r="E31" s="609" t="s">
        <v>109</v>
      </c>
      <c r="F31" s="609" t="s">
        <v>109</v>
      </c>
      <c r="G31" s="609" t="s">
        <v>109</v>
      </c>
      <c r="H31" s="609" t="s">
        <v>109</v>
      </c>
      <c r="I31" s="609" t="s">
        <v>109</v>
      </c>
      <c r="J31" s="609" t="s">
        <v>109</v>
      </c>
      <c r="K31" s="609" t="s">
        <v>109</v>
      </c>
      <c r="L31" s="609" t="s">
        <v>109</v>
      </c>
      <c r="M31" s="609" t="s">
        <v>109</v>
      </c>
      <c r="N31" s="609" t="s">
        <v>109</v>
      </c>
      <c r="O31" s="609" t="s">
        <v>109</v>
      </c>
      <c r="P31" s="609" t="s">
        <v>109</v>
      </c>
      <c r="Q31" s="609" t="s">
        <v>109</v>
      </c>
      <c r="R31" s="609" t="s">
        <v>109</v>
      </c>
      <c r="S31" s="609" t="s">
        <v>109</v>
      </c>
      <c r="T31" s="609" t="s">
        <v>109</v>
      </c>
      <c r="U31" s="609" t="s">
        <v>109</v>
      </c>
      <c r="V31" s="609" t="s">
        <v>109</v>
      </c>
      <c r="W31" s="609" t="s">
        <v>109</v>
      </c>
      <c r="X31" s="1091"/>
      <c r="Y31" s="1091"/>
      <c r="Z31" s="1091"/>
      <c r="AA31" s="1091"/>
      <c r="AB31" s="1091"/>
      <c r="AC31" s="1091"/>
      <c r="AD31" s="1091"/>
      <c r="AE31" s="1268"/>
      <c r="AF31" s="1091"/>
      <c r="AG31" s="1268"/>
      <c r="AH31" s="35">
        <f t="shared" si="4"/>
        <v>0</v>
      </c>
    </row>
    <row r="32" spans="1:36" ht="15">
      <c r="A32" s="1522" t="s">
        <v>83</v>
      </c>
      <c r="B32" s="15">
        <f t="shared" si="3"/>
        <v>0</v>
      </c>
      <c r="C32" s="35"/>
      <c r="D32" s="15"/>
      <c r="E32" s="15"/>
      <c r="F32" s="15"/>
      <c r="G32" s="11"/>
      <c r="H32" s="15"/>
      <c r="I32" s="15"/>
      <c r="J32" s="15"/>
      <c r="K32" s="15"/>
      <c r="L32" s="15"/>
      <c r="M32" s="15"/>
      <c r="N32" s="15"/>
      <c r="O32" s="15"/>
      <c r="P32" s="15"/>
      <c r="Q32" s="15"/>
      <c r="R32" s="15"/>
      <c r="S32" s="15"/>
      <c r="T32" s="15"/>
      <c r="U32" s="15"/>
      <c r="V32" s="15"/>
      <c r="W32" s="15"/>
      <c r="X32" s="15"/>
      <c r="Y32" s="11"/>
      <c r="Z32" s="15"/>
      <c r="AA32" s="15"/>
      <c r="AB32" s="15"/>
      <c r="AC32" s="15"/>
      <c r="AD32" s="15"/>
      <c r="AE32" s="39"/>
      <c r="AF32" s="15"/>
      <c r="AG32" s="39"/>
      <c r="AH32" s="35">
        <f t="shared" si="4"/>
        <v>0</v>
      </c>
    </row>
    <row r="33" spans="1:34" ht="15">
      <c r="A33" s="1522" t="s">
        <v>84</v>
      </c>
      <c r="B33" s="15">
        <f t="shared" si="3"/>
        <v>0</v>
      </c>
      <c r="C33" s="35"/>
      <c r="D33" s="15"/>
      <c r="E33" s="15"/>
      <c r="F33" s="15"/>
      <c r="G33" s="15"/>
      <c r="H33" s="15"/>
      <c r="I33" s="15"/>
      <c r="J33" s="15"/>
      <c r="K33" s="15"/>
      <c r="L33" s="1084" t="s">
        <v>109</v>
      </c>
      <c r="M33" s="1084" t="s">
        <v>109</v>
      </c>
      <c r="N33" s="1084" t="s">
        <v>109</v>
      </c>
      <c r="O33" s="1084" t="s">
        <v>109</v>
      </c>
      <c r="P33" s="1084" t="s">
        <v>109</v>
      </c>
      <c r="Q33" s="1084" t="s">
        <v>109</v>
      </c>
      <c r="R33" s="1084" t="s">
        <v>109</v>
      </c>
      <c r="S33" s="1084" t="s">
        <v>109</v>
      </c>
      <c r="T33" s="1084" t="s">
        <v>109</v>
      </c>
      <c r="U33" s="1084" t="s">
        <v>109</v>
      </c>
      <c r="V33" s="1084" t="s">
        <v>109</v>
      </c>
      <c r="W33" s="1084" t="s">
        <v>109</v>
      </c>
      <c r="X33" s="1084" t="s">
        <v>109</v>
      </c>
      <c r="Y33" s="1084" t="s">
        <v>109</v>
      </c>
      <c r="Z33" s="1084" t="s">
        <v>109</v>
      </c>
      <c r="AA33" s="1084" t="s">
        <v>109</v>
      </c>
      <c r="AB33" s="1084" t="s">
        <v>109</v>
      </c>
      <c r="AC33" s="1084" t="s">
        <v>109</v>
      </c>
      <c r="AD33" s="1084" t="s">
        <v>109</v>
      </c>
      <c r="AE33" s="1084" t="s">
        <v>109</v>
      </c>
      <c r="AF33" s="1084" t="s">
        <v>109</v>
      </c>
      <c r="AG33" s="1084" t="s">
        <v>109</v>
      </c>
      <c r="AH33" s="35">
        <f t="shared" si="4"/>
        <v>0</v>
      </c>
    </row>
    <row r="34" spans="1:34" ht="15">
      <c r="A34" s="71" t="s">
        <v>50</v>
      </c>
      <c r="B34" s="72">
        <f t="shared" ref="B34:AH34" si="5">SUM(B22:B33)</f>
        <v>0</v>
      </c>
      <c r="C34" s="35">
        <f t="shared" si="5"/>
        <v>0</v>
      </c>
      <c r="D34" s="35">
        <f t="shared" si="5"/>
        <v>0</v>
      </c>
      <c r="E34" s="35">
        <f t="shared" si="5"/>
        <v>0</v>
      </c>
      <c r="F34" s="35">
        <f t="shared" si="5"/>
        <v>0</v>
      </c>
      <c r="G34" s="35">
        <f t="shared" si="5"/>
        <v>0</v>
      </c>
      <c r="H34" s="35">
        <f t="shared" si="5"/>
        <v>0</v>
      </c>
      <c r="I34" s="35">
        <f t="shared" si="5"/>
        <v>0</v>
      </c>
      <c r="J34" s="35">
        <f t="shared" si="5"/>
        <v>0</v>
      </c>
      <c r="K34" s="35">
        <f t="shared" si="5"/>
        <v>0</v>
      </c>
      <c r="L34" s="35">
        <f t="shared" si="5"/>
        <v>0</v>
      </c>
      <c r="M34" s="35">
        <f t="shared" si="5"/>
        <v>0</v>
      </c>
      <c r="N34" s="35">
        <f t="shared" si="5"/>
        <v>0</v>
      </c>
      <c r="O34" s="35">
        <f t="shared" si="5"/>
        <v>0</v>
      </c>
      <c r="P34" s="35">
        <f t="shared" si="5"/>
        <v>0</v>
      </c>
      <c r="Q34" s="35">
        <f t="shared" si="5"/>
        <v>0</v>
      </c>
      <c r="R34" s="35">
        <f t="shared" si="5"/>
        <v>0</v>
      </c>
      <c r="S34" s="35">
        <f t="shared" si="5"/>
        <v>0</v>
      </c>
      <c r="T34" s="35">
        <f t="shared" si="5"/>
        <v>0</v>
      </c>
      <c r="U34" s="35">
        <f t="shared" si="5"/>
        <v>0</v>
      </c>
      <c r="V34" s="35">
        <f t="shared" si="5"/>
        <v>0</v>
      </c>
      <c r="W34" s="35">
        <f t="shared" si="5"/>
        <v>0</v>
      </c>
      <c r="X34" s="35">
        <f t="shared" si="5"/>
        <v>0</v>
      </c>
      <c r="Y34" s="35">
        <f t="shared" si="5"/>
        <v>0</v>
      </c>
      <c r="Z34" s="35">
        <f t="shared" si="5"/>
        <v>0</v>
      </c>
      <c r="AA34" s="35">
        <f t="shared" si="5"/>
        <v>0</v>
      </c>
      <c r="AB34" s="35">
        <f t="shared" si="5"/>
        <v>0</v>
      </c>
      <c r="AC34" s="35">
        <f t="shared" si="5"/>
        <v>0</v>
      </c>
      <c r="AD34" s="35">
        <f t="shared" si="5"/>
        <v>0</v>
      </c>
      <c r="AE34" s="35">
        <f t="shared" si="5"/>
        <v>0</v>
      </c>
      <c r="AF34" s="35">
        <f t="shared" si="5"/>
        <v>0</v>
      </c>
      <c r="AG34" s="35">
        <f t="shared" si="5"/>
        <v>0</v>
      </c>
      <c r="AH34" s="35">
        <f t="shared" si="5"/>
        <v>0</v>
      </c>
    </row>
    <row r="35" spans="1:34" ht="15">
      <c r="A35" s="1"/>
      <c r="B35" s="1"/>
      <c r="C35" s="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
    </row>
    <row r="36" spans="1:34" ht="15" hidden="1">
      <c r="A36" s="3811" t="s">
        <v>68</v>
      </c>
      <c r="B36" s="3812"/>
      <c r="C36" s="3813"/>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
    </row>
    <row r="37" spans="1:34" ht="15" hidden="1">
      <c r="A37" s="5" t="s">
        <v>70</v>
      </c>
      <c r="B37" s="21" t="s">
        <v>71</v>
      </c>
      <c r="C37" s="110">
        <v>1</v>
      </c>
      <c r="D37" s="21">
        <v>2</v>
      </c>
      <c r="E37" s="21">
        <v>3</v>
      </c>
      <c r="F37" s="21">
        <v>4</v>
      </c>
      <c r="G37" s="21">
        <v>5</v>
      </c>
      <c r="H37" s="21">
        <v>6</v>
      </c>
      <c r="I37" s="21">
        <v>7</v>
      </c>
      <c r="J37" s="21">
        <v>8</v>
      </c>
      <c r="K37" s="21">
        <v>9</v>
      </c>
      <c r="L37" s="21">
        <v>10</v>
      </c>
      <c r="M37" s="21">
        <v>11</v>
      </c>
      <c r="N37" s="21">
        <v>12</v>
      </c>
      <c r="O37" s="21">
        <v>13</v>
      </c>
      <c r="P37" s="21">
        <v>14</v>
      </c>
      <c r="Q37" s="21">
        <v>15</v>
      </c>
      <c r="R37" s="21">
        <v>16</v>
      </c>
      <c r="S37" s="21">
        <v>17</v>
      </c>
      <c r="T37" s="21">
        <v>18</v>
      </c>
      <c r="U37" s="21">
        <v>19</v>
      </c>
      <c r="V37" s="21">
        <v>20</v>
      </c>
      <c r="W37" s="21">
        <v>21</v>
      </c>
      <c r="X37" s="21">
        <v>22</v>
      </c>
      <c r="Y37" s="21">
        <v>23</v>
      </c>
      <c r="Z37" s="21">
        <v>24</v>
      </c>
      <c r="AA37" s="21">
        <v>25</v>
      </c>
      <c r="AB37" s="21">
        <v>26</v>
      </c>
      <c r="AC37" s="21">
        <v>27</v>
      </c>
      <c r="AD37" s="21">
        <v>28</v>
      </c>
      <c r="AE37" s="21">
        <v>29</v>
      </c>
      <c r="AF37" s="21">
        <v>30</v>
      </c>
      <c r="AG37" s="21">
        <v>31</v>
      </c>
      <c r="AH37" s="5" t="s">
        <v>72</v>
      </c>
    </row>
    <row r="38" spans="1:34" ht="15" hidden="1">
      <c r="A38" s="1039" t="s">
        <v>73</v>
      </c>
      <c r="B38" s="52">
        <f t="shared" ref="B38:B49" si="6">+AH38</f>
        <v>0</v>
      </c>
      <c r="C38" s="65" t="s">
        <v>109</v>
      </c>
      <c r="D38" s="65" t="s">
        <v>109</v>
      </c>
      <c r="E38" s="65" t="s">
        <v>109</v>
      </c>
      <c r="F38" s="65" t="s">
        <v>109</v>
      </c>
      <c r="G38" s="65" t="s">
        <v>109</v>
      </c>
      <c r="H38" s="65" t="s">
        <v>109</v>
      </c>
      <c r="I38" s="65" t="s">
        <v>109</v>
      </c>
      <c r="J38" s="65" t="s">
        <v>109</v>
      </c>
      <c r="K38" s="65" t="s">
        <v>109</v>
      </c>
      <c r="L38" s="65" t="s">
        <v>109</v>
      </c>
      <c r="M38" s="65" t="s">
        <v>109</v>
      </c>
      <c r="N38" s="65" t="s">
        <v>109</v>
      </c>
      <c r="O38" s="65" t="s">
        <v>109</v>
      </c>
      <c r="P38" s="65" t="s">
        <v>109</v>
      </c>
      <c r="Q38" s="65" t="s">
        <v>109</v>
      </c>
      <c r="R38" s="65" t="s">
        <v>109</v>
      </c>
      <c r="S38" s="65" t="s">
        <v>109</v>
      </c>
      <c r="T38" s="65" t="s">
        <v>109</v>
      </c>
      <c r="U38" s="65" t="s">
        <v>109</v>
      </c>
      <c r="V38" s="65" t="s">
        <v>109</v>
      </c>
      <c r="W38" s="65" t="s">
        <v>109</v>
      </c>
      <c r="X38" s="65" t="s">
        <v>109</v>
      </c>
      <c r="Y38" s="65" t="s">
        <v>109</v>
      </c>
      <c r="Z38" s="65" t="s">
        <v>109</v>
      </c>
      <c r="AA38" s="65" t="s">
        <v>109</v>
      </c>
      <c r="AB38" s="65" t="s">
        <v>109</v>
      </c>
      <c r="AC38" s="65" t="s">
        <v>109</v>
      </c>
      <c r="AD38" s="65" t="s">
        <v>109</v>
      </c>
      <c r="AE38" s="65" t="s">
        <v>109</v>
      </c>
      <c r="AF38" s="65" t="s">
        <v>109</v>
      </c>
      <c r="AG38" s="65" t="s">
        <v>109</v>
      </c>
      <c r="AH38" s="35">
        <f t="shared" ref="AH38:AH39" si="7">SUM(H38:AG38)</f>
        <v>0</v>
      </c>
    </row>
    <row r="39" spans="1:34" ht="15" hidden="1">
      <c r="A39" s="1039" t="s">
        <v>74</v>
      </c>
      <c r="B39" s="52">
        <f t="shared" si="6"/>
        <v>0</v>
      </c>
      <c r="C39" s="65" t="s">
        <v>109</v>
      </c>
      <c r="D39" s="65" t="s">
        <v>109</v>
      </c>
      <c r="E39" s="65" t="s">
        <v>109</v>
      </c>
      <c r="F39" s="65" t="s">
        <v>109</v>
      </c>
      <c r="G39" s="65" t="s">
        <v>109</v>
      </c>
      <c r="H39" s="65" t="s">
        <v>109</v>
      </c>
      <c r="I39" s="65" t="s">
        <v>109</v>
      </c>
      <c r="J39" s="65" t="s">
        <v>109</v>
      </c>
      <c r="K39" s="65" t="s">
        <v>109</v>
      </c>
      <c r="L39" s="65" t="s">
        <v>109</v>
      </c>
      <c r="M39" s="65" t="s">
        <v>109</v>
      </c>
      <c r="N39" s="65" t="s">
        <v>109</v>
      </c>
      <c r="O39" s="65" t="s">
        <v>109</v>
      </c>
      <c r="P39" s="65" t="s">
        <v>109</v>
      </c>
      <c r="Q39" s="65" t="s">
        <v>109</v>
      </c>
      <c r="R39" s="65" t="s">
        <v>109</v>
      </c>
      <c r="S39" s="65" t="s">
        <v>109</v>
      </c>
      <c r="T39" s="65" t="s">
        <v>109</v>
      </c>
      <c r="U39" s="65" t="s">
        <v>109</v>
      </c>
      <c r="V39" s="65" t="s">
        <v>109</v>
      </c>
      <c r="W39" s="65" t="s">
        <v>109</v>
      </c>
      <c r="X39" s="65" t="s">
        <v>109</v>
      </c>
      <c r="Y39" s="65" t="s">
        <v>109</v>
      </c>
      <c r="Z39" s="65" t="s">
        <v>109</v>
      </c>
      <c r="AA39" s="65" t="s">
        <v>109</v>
      </c>
      <c r="AB39" s="65" t="s">
        <v>109</v>
      </c>
      <c r="AC39" s="65" t="s">
        <v>109</v>
      </c>
      <c r="AD39" s="65" t="s">
        <v>109</v>
      </c>
      <c r="AE39" s="65" t="s">
        <v>109</v>
      </c>
      <c r="AF39" s="65" t="s">
        <v>109</v>
      </c>
      <c r="AG39" s="65" t="s">
        <v>109</v>
      </c>
      <c r="AH39" s="35">
        <f t="shared" si="7"/>
        <v>0</v>
      </c>
    </row>
    <row r="40" spans="1:34" ht="15" hidden="1">
      <c r="A40" s="1039" t="s">
        <v>75</v>
      </c>
      <c r="B40" s="52">
        <f t="shared" si="6"/>
        <v>0</v>
      </c>
      <c r="C40" s="65" t="s">
        <v>109</v>
      </c>
      <c r="D40" s="65" t="s">
        <v>109</v>
      </c>
      <c r="E40" s="65" t="s">
        <v>109</v>
      </c>
      <c r="F40" s="65" t="s">
        <v>109</v>
      </c>
      <c r="G40" s="65" t="s">
        <v>109</v>
      </c>
      <c r="H40" s="99"/>
      <c r="I40" s="99"/>
      <c r="J40" s="39"/>
      <c r="K40" s="39"/>
      <c r="L40" s="39"/>
      <c r="M40" s="39"/>
      <c r="N40" s="39"/>
      <c r="O40" s="39"/>
      <c r="P40" s="39"/>
      <c r="Q40" s="39"/>
      <c r="R40" s="39"/>
      <c r="S40" s="39"/>
      <c r="T40" s="39"/>
      <c r="U40" s="39"/>
      <c r="V40" s="39"/>
      <c r="W40" s="39"/>
      <c r="X40" s="39"/>
      <c r="Y40" s="39"/>
      <c r="Z40" s="39"/>
      <c r="AA40" s="39"/>
      <c r="AB40" s="39"/>
      <c r="AC40" s="65"/>
      <c r="AD40" s="65"/>
      <c r="AE40" s="65" t="s">
        <v>109</v>
      </c>
      <c r="AF40" s="65" t="s">
        <v>109</v>
      </c>
      <c r="AG40" s="65" t="s">
        <v>109</v>
      </c>
      <c r="AH40" s="35">
        <f>SUM(H40:AG40)</f>
        <v>0</v>
      </c>
    </row>
    <row r="41" spans="1:34" ht="15" hidden="1">
      <c r="A41" s="1039" t="s">
        <v>76</v>
      </c>
      <c r="B41" s="52">
        <f t="shared" si="6"/>
        <v>0</v>
      </c>
      <c r="C41" s="65" t="s">
        <v>109</v>
      </c>
      <c r="D41" s="65" t="s">
        <v>109</v>
      </c>
      <c r="E41" s="65" t="s">
        <v>109</v>
      </c>
      <c r="F41" s="65" t="s">
        <v>109</v>
      </c>
      <c r="G41" s="65" t="s">
        <v>109</v>
      </c>
      <c r="H41" s="65" t="s">
        <v>109</v>
      </c>
      <c r="I41" s="65" t="s">
        <v>109</v>
      </c>
      <c r="J41" s="65" t="s">
        <v>109</v>
      </c>
      <c r="K41" s="65" t="s">
        <v>109</v>
      </c>
      <c r="L41" s="39"/>
      <c r="M41" s="39"/>
      <c r="N41" s="39"/>
      <c r="O41" s="39"/>
      <c r="P41" s="39"/>
      <c r="Q41" s="39"/>
      <c r="R41" s="39"/>
      <c r="S41" s="39"/>
      <c r="T41" s="39"/>
      <c r="U41" s="39"/>
      <c r="V41" s="39"/>
      <c r="W41" s="39"/>
      <c r="X41" s="39"/>
      <c r="Y41" s="39"/>
      <c r="Z41" s="39"/>
      <c r="AA41" s="39"/>
      <c r="AB41" s="39"/>
      <c r="AC41" s="39"/>
      <c r="AD41" s="39"/>
      <c r="AE41" s="39"/>
      <c r="AF41" s="39"/>
      <c r="AG41" s="39"/>
      <c r="AH41" s="141">
        <f t="shared" ref="AH41:AH49" si="8">SUM(C41:AG41)</f>
        <v>0</v>
      </c>
    </row>
    <row r="42" spans="1:34" ht="15" hidden="1">
      <c r="A42" s="1523" t="s">
        <v>77</v>
      </c>
      <c r="B42" s="52">
        <f t="shared" si="6"/>
        <v>0</v>
      </c>
      <c r="C42" s="35"/>
      <c r="D42" s="15"/>
      <c r="E42" s="15"/>
      <c r="F42" s="15"/>
      <c r="G42" s="15"/>
      <c r="H42" s="15"/>
      <c r="I42" s="15"/>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5">
        <f t="shared" si="8"/>
        <v>0</v>
      </c>
    </row>
    <row r="43" spans="1:34" ht="15" hidden="1">
      <c r="A43" s="1523" t="s">
        <v>78</v>
      </c>
      <c r="B43" s="52">
        <f t="shared" si="6"/>
        <v>0</v>
      </c>
      <c r="C43" s="35"/>
      <c r="D43" s="15"/>
      <c r="E43" s="15"/>
      <c r="F43" s="15"/>
      <c r="G43" s="15"/>
      <c r="H43" s="65" t="s">
        <v>90</v>
      </c>
      <c r="I43" s="65" t="s">
        <v>90</v>
      </c>
      <c r="J43" s="65" t="s">
        <v>90</v>
      </c>
      <c r="K43" s="65" t="s">
        <v>90</v>
      </c>
      <c r="L43" s="65" t="s">
        <v>90</v>
      </c>
      <c r="M43" s="65" t="s">
        <v>90</v>
      </c>
      <c r="N43" s="65" t="s">
        <v>90</v>
      </c>
      <c r="O43" s="65" t="s">
        <v>90</v>
      </c>
      <c r="P43" s="65" t="s">
        <v>90</v>
      </c>
      <c r="Q43" s="65" t="s">
        <v>90</v>
      </c>
      <c r="R43" s="65" t="s">
        <v>90</v>
      </c>
      <c r="S43" s="65" t="s">
        <v>90</v>
      </c>
      <c r="T43" s="65" t="s">
        <v>90</v>
      </c>
      <c r="U43" s="65" t="s">
        <v>90</v>
      </c>
      <c r="V43" s="65" t="s">
        <v>90</v>
      </c>
      <c r="W43" s="65" t="s">
        <v>90</v>
      </c>
      <c r="X43" s="65" t="s">
        <v>90</v>
      </c>
      <c r="Y43" s="15"/>
      <c r="Z43" s="15"/>
      <c r="AA43" s="15"/>
      <c r="AB43" s="15"/>
      <c r="AC43" s="15"/>
      <c r="AD43" s="15"/>
      <c r="AE43" s="15"/>
      <c r="AF43" s="15"/>
      <c r="AG43" s="15"/>
      <c r="AH43" s="35">
        <f t="shared" si="8"/>
        <v>0</v>
      </c>
    </row>
    <row r="44" spans="1:34" ht="15" hidden="1">
      <c r="A44" s="1523" t="s">
        <v>79</v>
      </c>
      <c r="B44" s="52">
        <f t="shared" si="6"/>
        <v>0</v>
      </c>
      <c r="C44" s="3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35">
        <f t="shared" si="8"/>
        <v>0</v>
      </c>
    </row>
    <row r="45" spans="1:34" ht="15" hidden="1">
      <c r="A45" s="1523" t="s">
        <v>80</v>
      </c>
      <c r="B45" s="52">
        <f t="shared" si="6"/>
        <v>0</v>
      </c>
      <c r="C45" s="35"/>
      <c r="D45" s="15"/>
      <c r="E45" s="15"/>
      <c r="F45" s="15"/>
      <c r="G45" s="15"/>
      <c r="H45" s="15"/>
      <c r="I45" s="15"/>
      <c r="J45" s="752" t="s">
        <v>110</v>
      </c>
      <c r="K45" s="752" t="s">
        <v>110</v>
      </c>
      <c r="L45" s="752" t="s">
        <v>110</v>
      </c>
      <c r="M45" s="65" t="s">
        <v>110</v>
      </c>
      <c r="N45" s="65" t="s">
        <v>110</v>
      </c>
      <c r="O45" s="65" t="s">
        <v>110</v>
      </c>
      <c r="P45" s="65" t="s">
        <v>110</v>
      </c>
      <c r="Q45" s="65" t="s">
        <v>110</v>
      </c>
      <c r="R45" s="65" t="s">
        <v>110</v>
      </c>
      <c r="S45" s="65" t="s">
        <v>110</v>
      </c>
      <c r="T45" s="65" t="s">
        <v>110</v>
      </c>
      <c r="U45" s="65" t="s">
        <v>110</v>
      </c>
      <c r="V45" s="65" t="s">
        <v>110</v>
      </c>
      <c r="W45" s="65" t="s">
        <v>110</v>
      </c>
      <c r="X45" s="65" t="s">
        <v>110</v>
      </c>
      <c r="Y45" s="65" t="s">
        <v>110</v>
      </c>
      <c r="Z45" s="65" t="s">
        <v>110</v>
      </c>
      <c r="AA45" s="65" t="s">
        <v>110</v>
      </c>
      <c r="AB45" s="65" t="s">
        <v>110</v>
      </c>
      <c r="AC45" s="65" t="s">
        <v>110</v>
      </c>
      <c r="AD45" s="65" t="s">
        <v>110</v>
      </c>
      <c r="AE45" s="65" t="s">
        <v>110</v>
      </c>
      <c r="AF45" s="65" t="s">
        <v>110</v>
      </c>
      <c r="AG45" s="65" t="s">
        <v>110</v>
      </c>
      <c r="AH45" s="35">
        <f t="shared" si="8"/>
        <v>0</v>
      </c>
    </row>
    <row r="46" spans="1:34" ht="15" hidden="1">
      <c r="A46" s="1522" t="s">
        <v>81</v>
      </c>
      <c r="B46" s="52">
        <f t="shared" si="6"/>
        <v>0</v>
      </c>
      <c r="C46" s="65" t="s">
        <v>110</v>
      </c>
      <c r="D46" s="65" t="s">
        <v>110</v>
      </c>
      <c r="E46" s="65" t="s">
        <v>110</v>
      </c>
      <c r="F46" s="65" t="s">
        <v>110</v>
      </c>
      <c r="G46" s="65" t="s">
        <v>110</v>
      </c>
      <c r="H46" s="65" t="s">
        <v>110</v>
      </c>
      <c r="I46" s="65" t="s">
        <v>110</v>
      </c>
      <c r="J46" s="752" t="s">
        <v>110</v>
      </c>
      <c r="K46" s="752" t="s">
        <v>110</v>
      </c>
      <c r="L46" s="752" t="s">
        <v>110</v>
      </c>
      <c r="M46" s="65" t="s">
        <v>110</v>
      </c>
      <c r="N46" s="65" t="s">
        <v>110</v>
      </c>
      <c r="O46" s="65" t="s">
        <v>110</v>
      </c>
      <c r="P46" s="65" t="s">
        <v>110</v>
      </c>
      <c r="Q46" s="65" t="s">
        <v>110</v>
      </c>
      <c r="R46" s="65" t="s">
        <v>110</v>
      </c>
      <c r="S46" s="65" t="s">
        <v>110</v>
      </c>
      <c r="T46" s="65" t="s">
        <v>110</v>
      </c>
      <c r="U46" s="65" t="s">
        <v>110</v>
      </c>
      <c r="V46" s="65" t="s">
        <v>110</v>
      </c>
      <c r="W46" s="65" t="s">
        <v>110</v>
      </c>
      <c r="X46" s="65" t="s">
        <v>110</v>
      </c>
      <c r="Y46" s="65" t="s">
        <v>110</v>
      </c>
      <c r="Z46" s="65" t="s">
        <v>110</v>
      </c>
      <c r="AA46" s="65" t="s">
        <v>110</v>
      </c>
      <c r="AB46" s="65" t="s">
        <v>110</v>
      </c>
      <c r="AC46" s="65" t="s">
        <v>110</v>
      </c>
      <c r="AD46" s="65" t="s">
        <v>110</v>
      </c>
      <c r="AE46" s="65" t="s">
        <v>110</v>
      </c>
      <c r="AF46" s="65" t="s">
        <v>110</v>
      </c>
      <c r="AG46" s="65" t="s">
        <v>110</v>
      </c>
      <c r="AH46" s="35">
        <f t="shared" si="8"/>
        <v>0</v>
      </c>
    </row>
    <row r="47" spans="1:34" ht="15" hidden="1">
      <c r="A47" s="1522" t="s">
        <v>82</v>
      </c>
      <c r="B47" s="52">
        <f t="shared" si="6"/>
        <v>0</v>
      </c>
      <c r="C47" s="65" t="s">
        <v>110</v>
      </c>
      <c r="D47" s="65" t="s">
        <v>110</v>
      </c>
      <c r="E47" s="65" t="s">
        <v>110</v>
      </c>
      <c r="F47" s="65" t="s">
        <v>110</v>
      </c>
      <c r="G47" s="65" t="s">
        <v>110</v>
      </c>
      <c r="H47" s="65" t="s">
        <v>110</v>
      </c>
      <c r="I47" s="65" t="s">
        <v>110</v>
      </c>
      <c r="J47" s="752" t="s">
        <v>110</v>
      </c>
      <c r="K47" s="752" t="s">
        <v>110</v>
      </c>
      <c r="L47" s="752" t="s">
        <v>110</v>
      </c>
      <c r="M47" s="65" t="s">
        <v>110</v>
      </c>
      <c r="N47" s="65" t="s">
        <v>110</v>
      </c>
      <c r="O47" s="65" t="s">
        <v>110</v>
      </c>
      <c r="P47" s="65" t="s">
        <v>110</v>
      </c>
      <c r="Q47" s="65" t="s">
        <v>110</v>
      </c>
      <c r="R47" s="65" t="s">
        <v>110</v>
      </c>
      <c r="S47" s="65" t="s">
        <v>110</v>
      </c>
      <c r="T47" s="65" t="s">
        <v>110</v>
      </c>
      <c r="U47" s="65" t="s">
        <v>110</v>
      </c>
      <c r="V47" s="65" t="s">
        <v>110</v>
      </c>
      <c r="W47" s="65" t="s">
        <v>110</v>
      </c>
      <c r="X47" s="15"/>
      <c r="Y47" s="15"/>
      <c r="Z47" s="15"/>
      <c r="AA47" s="15"/>
      <c r="AB47" s="15"/>
      <c r="AC47" s="15"/>
      <c r="AD47" s="15"/>
      <c r="AE47" s="39"/>
      <c r="AF47" s="15"/>
      <c r="AG47" s="39"/>
      <c r="AH47" s="35">
        <f t="shared" si="8"/>
        <v>0</v>
      </c>
    </row>
    <row r="48" spans="1:34" ht="15" hidden="1">
      <c r="A48" s="1522" t="s">
        <v>83</v>
      </c>
      <c r="B48" s="52">
        <f t="shared" si="6"/>
        <v>0</v>
      </c>
      <c r="C48" s="3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35">
        <f t="shared" si="8"/>
        <v>0</v>
      </c>
    </row>
    <row r="49" spans="1:34" ht="15" hidden="1">
      <c r="A49" s="1522" t="s">
        <v>84</v>
      </c>
      <c r="B49" s="52">
        <f t="shared" si="6"/>
        <v>0</v>
      </c>
      <c r="C49" s="35"/>
      <c r="D49" s="15"/>
      <c r="E49" s="15"/>
      <c r="F49" s="15"/>
      <c r="G49" s="15"/>
      <c r="H49" s="15"/>
      <c r="I49" s="15"/>
      <c r="J49" s="15"/>
      <c r="K49" s="15"/>
      <c r="L49" s="15"/>
      <c r="M49" s="15"/>
      <c r="N49" s="15"/>
      <c r="O49" s="15"/>
      <c r="P49" s="1084" t="s">
        <v>109</v>
      </c>
      <c r="Q49" s="1084" t="s">
        <v>109</v>
      </c>
      <c r="R49" s="1084" t="s">
        <v>109</v>
      </c>
      <c r="S49" s="1084" t="s">
        <v>109</v>
      </c>
      <c r="T49" s="1084" t="s">
        <v>109</v>
      </c>
      <c r="U49" s="1084" t="s">
        <v>109</v>
      </c>
      <c r="V49" s="1084" t="s">
        <v>109</v>
      </c>
      <c r="W49" s="1084" t="s">
        <v>109</v>
      </c>
      <c r="X49" s="1084" t="s">
        <v>109</v>
      </c>
      <c r="Y49" s="1084" t="s">
        <v>109</v>
      </c>
      <c r="Z49" s="1084" t="s">
        <v>109</v>
      </c>
      <c r="AA49" s="1084" t="s">
        <v>109</v>
      </c>
      <c r="AB49" s="1084" t="s">
        <v>109</v>
      </c>
      <c r="AC49" s="1084" t="s">
        <v>109</v>
      </c>
      <c r="AD49" s="1084" t="s">
        <v>109</v>
      </c>
      <c r="AE49" s="1084" t="s">
        <v>109</v>
      </c>
      <c r="AF49" s="1084" t="s">
        <v>109</v>
      </c>
      <c r="AG49" s="1084" t="s">
        <v>109</v>
      </c>
      <c r="AH49" s="35">
        <f t="shared" si="8"/>
        <v>0</v>
      </c>
    </row>
    <row r="50" spans="1:34" ht="15" hidden="1">
      <c r="A50" s="71" t="s">
        <v>50</v>
      </c>
      <c r="B50" s="72">
        <f t="shared" ref="B50:AG50" si="9">SUM(B38:B49)</f>
        <v>0</v>
      </c>
      <c r="C50" s="35">
        <f t="shared" si="9"/>
        <v>0</v>
      </c>
      <c r="D50" s="35">
        <f t="shared" si="9"/>
        <v>0</v>
      </c>
      <c r="E50" s="35">
        <f t="shared" si="9"/>
        <v>0</v>
      </c>
      <c r="F50" s="35">
        <f t="shared" si="9"/>
        <v>0</v>
      </c>
      <c r="G50" s="35">
        <f t="shared" si="9"/>
        <v>0</v>
      </c>
      <c r="H50" s="35">
        <f t="shared" si="9"/>
        <v>0</v>
      </c>
      <c r="I50" s="35">
        <f t="shared" si="9"/>
        <v>0</v>
      </c>
      <c r="J50" s="35">
        <f t="shared" si="9"/>
        <v>0</v>
      </c>
      <c r="K50" s="35">
        <f t="shared" si="9"/>
        <v>0</v>
      </c>
      <c r="L50" s="35">
        <f t="shared" si="9"/>
        <v>0</v>
      </c>
      <c r="M50" s="35">
        <f t="shared" si="9"/>
        <v>0</v>
      </c>
      <c r="N50" s="35">
        <f t="shared" si="9"/>
        <v>0</v>
      </c>
      <c r="O50" s="35">
        <f t="shared" si="9"/>
        <v>0</v>
      </c>
      <c r="P50" s="35">
        <f t="shared" si="9"/>
        <v>0</v>
      </c>
      <c r="Q50" s="35">
        <f t="shared" si="9"/>
        <v>0</v>
      </c>
      <c r="R50" s="35">
        <f t="shared" si="9"/>
        <v>0</v>
      </c>
      <c r="S50" s="35">
        <f t="shared" si="9"/>
        <v>0</v>
      </c>
      <c r="T50" s="35">
        <f t="shared" si="9"/>
        <v>0</v>
      </c>
      <c r="U50" s="35">
        <f t="shared" si="9"/>
        <v>0</v>
      </c>
      <c r="V50" s="35">
        <f t="shared" si="9"/>
        <v>0</v>
      </c>
      <c r="W50" s="35">
        <f t="shared" si="9"/>
        <v>0</v>
      </c>
      <c r="X50" s="35">
        <f t="shared" si="9"/>
        <v>0</v>
      </c>
      <c r="Y50" s="35">
        <f t="shared" si="9"/>
        <v>0</v>
      </c>
      <c r="Z50" s="35">
        <f t="shared" si="9"/>
        <v>0</v>
      </c>
      <c r="AA50" s="35">
        <f t="shared" si="9"/>
        <v>0</v>
      </c>
      <c r="AB50" s="35">
        <f t="shared" si="9"/>
        <v>0</v>
      </c>
      <c r="AC50" s="35">
        <f t="shared" si="9"/>
        <v>0</v>
      </c>
      <c r="AD50" s="35">
        <f t="shared" si="9"/>
        <v>0</v>
      </c>
      <c r="AE50" s="35">
        <f t="shared" si="9"/>
        <v>0</v>
      </c>
      <c r="AF50" s="35">
        <f t="shared" si="9"/>
        <v>0</v>
      </c>
      <c r="AG50" s="35">
        <f t="shared" si="9"/>
        <v>0</v>
      </c>
      <c r="AH50" s="35">
        <f>SUM(AH38:AH49)</f>
        <v>0</v>
      </c>
    </row>
    <row r="52" spans="1:34" ht="15" hidden="1">
      <c r="A52" s="3811" t="s">
        <v>51</v>
      </c>
      <c r="B52" s="3812"/>
      <c r="C52" s="3813"/>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
    </row>
    <row r="53" spans="1:34" ht="15" hidden="1">
      <c r="A53" s="5" t="s">
        <v>70</v>
      </c>
      <c r="B53" s="21" t="s">
        <v>71</v>
      </c>
      <c r="C53" s="5">
        <v>1</v>
      </c>
      <c r="D53" s="21">
        <v>2</v>
      </c>
      <c r="E53" s="21">
        <v>3</v>
      </c>
      <c r="F53" s="21">
        <v>4</v>
      </c>
      <c r="G53" s="21">
        <v>5</v>
      </c>
      <c r="H53" s="21">
        <v>6</v>
      </c>
      <c r="I53" s="21">
        <v>7</v>
      </c>
      <c r="J53" s="21">
        <v>8</v>
      </c>
      <c r="K53" s="21">
        <v>9</v>
      </c>
      <c r="L53" s="21">
        <v>10</v>
      </c>
      <c r="M53" s="21">
        <v>11</v>
      </c>
      <c r="N53" s="21">
        <v>12</v>
      </c>
      <c r="O53" s="21">
        <v>13</v>
      </c>
      <c r="P53" s="21">
        <v>14</v>
      </c>
      <c r="Q53" s="21">
        <v>15</v>
      </c>
      <c r="R53" s="21">
        <v>16</v>
      </c>
      <c r="S53" s="21">
        <v>17</v>
      </c>
      <c r="T53" s="21">
        <v>18</v>
      </c>
      <c r="U53" s="21">
        <v>19</v>
      </c>
      <c r="V53" s="21">
        <v>20</v>
      </c>
      <c r="W53" s="21">
        <v>21</v>
      </c>
      <c r="X53" s="21">
        <v>22</v>
      </c>
      <c r="Y53" s="21">
        <v>23</v>
      </c>
      <c r="Z53" s="21">
        <v>24</v>
      </c>
      <c r="AA53" s="21">
        <v>25</v>
      </c>
      <c r="AB53" s="21">
        <v>26</v>
      </c>
      <c r="AC53" s="21">
        <v>27</v>
      </c>
      <c r="AD53" s="21">
        <v>28</v>
      </c>
      <c r="AE53" s="21">
        <v>29</v>
      </c>
      <c r="AF53" s="21">
        <v>30</v>
      </c>
      <c r="AG53" s="21">
        <v>31</v>
      </c>
      <c r="AH53" s="5" t="s">
        <v>72</v>
      </c>
    </row>
    <row r="54" spans="1:34" ht="15" hidden="1">
      <c r="A54" s="1039" t="s">
        <v>73</v>
      </c>
      <c r="B54" s="15">
        <f t="shared" ref="B54:B65" si="10">+AH54</f>
        <v>0</v>
      </c>
      <c r="C54" s="65" t="s">
        <v>109</v>
      </c>
      <c r="D54" s="65" t="s">
        <v>109</v>
      </c>
      <c r="E54" s="65" t="s">
        <v>109</v>
      </c>
      <c r="F54" s="65" t="s">
        <v>109</v>
      </c>
      <c r="G54" s="65" t="s">
        <v>109</v>
      </c>
      <c r="H54" s="65" t="s">
        <v>109</v>
      </c>
      <c r="I54" s="65" t="s">
        <v>109</v>
      </c>
      <c r="J54" s="65" t="s">
        <v>109</v>
      </c>
      <c r="K54" s="65" t="s">
        <v>109</v>
      </c>
      <c r="L54" s="65" t="s">
        <v>109</v>
      </c>
      <c r="M54" s="65" t="s">
        <v>109</v>
      </c>
      <c r="N54" s="65" t="s">
        <v>109</v>
      </c>
      <c r="O54" s="65" t="s">
        <v>109</v>
      </c>
      <c r="P54" s="65" t="s">
        <v>109</v>
      </c>
      <c r="Q54" s="65" t="s">
        <v>109</v>
      </c>
      <c r="R54" s="65" t="s">
        <v>109</v>
      </c>
      <c r="S54" s="65" t="s">
        <v>109</v>
      </c>
      <c r="T54" s="65" t="s">
        <v>109</v>
      </c>
      <c r="U54" s="65" t="s">
        <v>109</v>
      </c>
      <c r="V54" s="65" t="s">
        <v>109</v>
      </c>
      <c r="W54" s="65" t="s">
        <v>109</v>
      </c>
      <c r="X54" s="65" t="s">
        <v>109</v>
      </c>
      <c r="Y54" s="65" t="s">
        <v>109</v>
      </c>
      <c r="Z54" s="65" t="s">
        <v>109</v>
      </c>
      <c r="AA54" s="65" t="s">
        <v>109</v>
      </c>
      <c r="AB54" s="65" t="s">
        <v>109</v>
      </c>
      <c r="AC54" s="65" t="s">
        <v>109</v>
      </c>
      <c r="AD54" s="65" t="s">
        <v>109</v>
      </c>
      <c r="AE54" s="65" t="s">
        <v>109</v>
      </c>
      <c r="AF54" s="65" t="s">
        <v>109</v>
      </c>
      <c r="AG54" s="65" t="s">
        <v>109</v>
      </c>
      <c r="AH54" s="35">
        <f>SUM(C54:AG54)</f>
        <v>0</v>
      </c>
    </row>
    <row r="55" spans="1:34" ht="15" hidden="1">
      <c r="A55" s="1039" t="s">
        <v>74</v>
      </c>
      <c r="B55" s="15">
        <f t="shared" si="10"/>
        <v>0</v>
      </c>
      <c r="C55" s="65" t="s">
        <v>109</v>
      </c>
      <c r="D55" s="65" t="s">
        <v>109</v>
      </c>
      <c r="E55" s="65" t="s">
        <v>109</v>
      </c>
      <c r="F55" s="65" t="s">
        <v>109</v>
      </c>
      <c r="G55" s="65" t="s">
        <v>109</v>
      </c>
      <c r="H55" s="65" t="s">
        <v>109</v>
      </c>
      <c r="I55" s="65" t="s">
        <v>109</v>
      </c>
      <c r="J55" s="65" t="s">
        <v>109</v>
      </c>
      <c r="K55" s="65" t="s">
        <v>109</v>
      </c>
      <c r="L55" s="65" t="s">
        <v>109</v>
      </c>
      <c r="M55" s="65" t="s">
        <v>109</v>
      </c>
      <c r="N55" s="65" t="s">
        <v>109</v>
      </c>
      <c r="O55" s="65" t="s">
        <v>109</v>
      </c>
      <c r="P55" s="65" t="s">
        <v>109</v>
      </c>
      <c r="Q55" s="65" t="s">
        <v>109</v>
      </c>
      <c r="R55" s="65" t="s">
        <v>109</v>
      </c>
      <c r="S55" s="65" t="s">
        <v>109</v>
      </c>
      <c r="T55" s="65" t="s">
        <v>109</v>
      </c>
      <c r="U55" s="65" t="s">
        <v>109</v>
      </c>
      <c r="V55" s="65" t="s">
        <v>109</v>
      </c>
      <c r="W55" s="65" t="s">
        <v>109</v>
      </c>
      <c r="X55" s="65" t="s">
        <v>109</v>
      </c>
      <c r="Y55" s="65" t="s">
        <v>109</v>
      </c>
      <c r="Z55" s="65" t="s">
        <v>109</v>
      </c>
      <c r="AA55" s="65" t="s">
        <v>109</v>
      </c>
      <c r="AB55" s="65" t="s">
        <v>109</v>
      </c>
      <c r="AC55" s="65" t="s">
        <v>109</v>
      </c>
      <c r="AD55" s="65" t="s">
        <v>109</v>
      </c>
      <c r="AE55" s="65" t="s">
        <v>109</v>
      </c>
      <c r="AF55" s="65" t="s">
        <v>109</v>
      </c>
      <c r="AG55" s="65" t="s">
        <v>109</v>
      </c>
      <c r="AH55" s="35">
        <f t="shared" ref="AH55:AH65" si="11">SUM(C55:AG55)</f>
        <v>0</v>
      </c>
    </row>
    <row r="56" spans="1:34" ht="15" hidden="1">
      <c r="A56" s="1039" t="s">
        <v>75</v>
      </c>
      <c r="B56" s="15">
        <f t="shared" si="10"/>
        <v>0</v>
      </c>
      <c r="C56" s="65" t="s">
        <v>109</v>
      </c>
      <c r="D56" s="65" t="s">
        <v>109</v>
      </c>
      <c r="E56" s="65" t="s">
        <v>109</v>
      </c>
      <c r="F56" s="65" t="s">
        <v>109</v>
      </c>
      <c r="G56" s="65" t="s">
        <v>109</v>
      </c>
      <c r="H56" s="35"/>
      <c r="I56" s="15"/>
      <c r="J56" s="15"/>
      <c r="K56" s="15"/>
      <c r="L56" s="15"/>
      <c r="M56" s="15"/>
      <c r="N56" s="15"/>
      <c r="O56" s="15"/>
      <c r="P56" s="15"/>
      <c r="Q56" s="15"/>
      <c r="R56" s="15"/>
      <c r="S56" s="15"/>
      <c r="T56" s="15"/>
      <c r="U56" s="15"/>
      <c r="V56" s="15"/>
      <c r="W56" s="15"/>
      <c r="X56" s="15"/>
      <c r="Y56" s="15"/>
      <c r="Z56" s="15"/>
      <c r="AA56" s="15"/>
      <c r="AB56" s="15"/>
      <c r="AC56" s="65" t="s">
        <v>109</v>
      </c>
      <c r="AD56" s="65" t="s">
        <v>109</v>
      </c>
      <c r="AE56" s="65" t="s">
        <v>109</v>
      </c>
      <c r="AF56" s="65" t="s">
        <v>109</v>
      </c>
      <c r="AG56" s="65" t="s">
        <v>109</v>
      </c>
      <c r="AH56" s="35">
        <f t="shared" si="11"/>
        <v>0</v>
      </c>
    </row>
    <row r="57" spans="1:34" ht="15" hidden="1">
      <c r="A57" s="1039" t="s">
        <v>76</v>
      </c>
      <c r="B57" s="15">
        <f t="shared" si="10"/>
        <v>0</v>
      </c>
      <c r="C57" s="65" t="s">
        <v>109</v>
      </c>
      <c r="D57" s="65" t="s">
        <v>109</v>
      </c>
      <c r="E57" s="65" t="s">
        <v>109</v>
      </c>
      <c r="F57" s="65" t="s">
        <v>109</v>
      </c>
      <c r="G57" s="65" t="s">
        <v>109</v>
      </c>
      <c r="H57" s="65" t="s">
        <v>109</v>
      </c>
      <c r="I57" s="65" t="s">
        <v>109</v>
      </c>
      <c r="J57" s="65" t="s">
        <v>109</v>
      </c>
      <c r="K57" s="65" t="s">
        <v>109</v>
      </c>
      <c r="L57" s="15"/>
      <c r="M57" s="15"/>
      <c r="N57" s="15"/>
      <c r="O57" s="15"/>
      <c r="P57" s="15"/>
      <c r="Q57" s="15"/>
      <c r="R57" s="15"/>
      <c r="S57" s="15"/>
      <c r="T57" s="15"/>
      <c r="U57" s="15"/>
      <c r="V57" s="15"/>
      <c r="W57" s="15"/>
      <c r="X57" s="15"/>
      <c r="Y57" s="15"/>
      <c r="Z57" s="15"/>
      <c r="AA57" s="15"/>
      <c r="AB57" s="15"/>
      <c r="AC57" s="15"/>
      <c r="AD57" s="15"/>
      <c r="AE57" s="15"/>
      <c r="AF57" s="15"/>
      <c r="AG57" s="15"/>
      <c r="AH57" s="35">
        <f t="shared" si="11"/>
        <v>0</v>
      </c>
    </row>
    <row r="58" spans="1:34" ht="15" hidden="1">
      <c r="A58" s="1039" t="s">
        <v>77</v>
      </c>
      <c r="B58" s="15">
        <f t="shared" si="10"/>
        <v>0</v>
      </c>
      <c r="C58" s="35"/>
      <c r="D58" s="15"/>
      <c r="E58" s="15"/>
      <c r="F58" s="15"/>
      <c r="G58" s="15"/>
      <c r="H58" s="3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35">
        <f t="shared" si="11"/>
        <v>0</v>
      </c>
    </row>
    <row r="59" spans="1:34" ht="15" hidden="1">
      <c r="A59" s="1039" t="s">
        <v>78</v>
      </c>
      <c r="B59" s="15">
        <f t="shared" si="10"/>
        <v>0</v>
      </c>
      <c r="C59" s="35"/>
      <c r="D59" s="15"/>
      <c r="E59" s="15"/>
      <c r="F59" s="15"/>
      <c r="G59" s="15"/>
      <c r="H59" s="65" t="s">
        <v>90</v>
      </c>
      <c r="I59" s="65" t="s">
        <v>90</v>
      </c>
      <c r="J59" s="65" t="s">
        <v>90</v>
      </c>
      <c r="K59" s="65" t="s">
        <v>90</v>
      </c>
      <c r="L59" s="65" t="s">
        <v>90</v>
      </c>
      <c r="M59" s="65" t="s">
        <v>90</v>
      </c>
      <c r="N59" s="65" t="s">
        <v>90</v>
      </c>
      <c r="O59" s="65" t="s">
        <v>90</v>
      </c>
      <c r="P59" s="65" t="s">
        <v>90</v>
      </c>
      <c r="Q59" s="65" t="s">
        <v>90</v>
      </c>
      <c r="R59" s="65" t="s">
        <v>90</v>
      </c>
      <c r="S59" s="65" t="s">
        <v>90</v>
      </c>
      <c r="T59" s="65" t="s">
        <v>90</v>
      </c>
      <c r="U59" s="65" t="s">
        <v>90</v>
      </c>
      <c r="V59" s="65" t="s">
        <v>90</v>
      </c>
      <c r="W59" s="65" t="s">
        <v>90</v>
      </c>
      <c r="X59" s="65" t="s">
        <v>90</v>
      </c>
      <c r="Y59" s="15"/>
      <c r="Z59" s="15"/>
      <c r="AA59" s="15"/>
      <c r="AB59" s="15"/>
      <c r="AC59" s="15"/>
      <c r="AD59" s="15"/>
      <c r="AE59" s="15"/>
      <c r="AF59" s="15"/>
      <c r="AG59" s="15"/>
      <c r="AH59" s="35">
        <f t="shared" si="11"/>
        <v>0</v>
      </c>
    </row>
    <row r="60" spans="1:34" ht="15" hidden="1">
      <c r="A60" s="1039" t="s">
        <v>79</v>
      </c>
      <c r="B60" s="15">
        <f t="shared" si="10"/>
        <v>0</v>
      </c>
      <c r="C60" s="35"/>
      <c r="D60" s="15"/>
      <c r="E60" s="15"/>
      <c r="F60" s="15"/>
      <c r="G60" s="15"/>
      <c r="H60" s="3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35">
        <f t="shared" si="11"/>
        <v>0</v>
      </c>
    </row>
    <row r="61" spans="1:34" ht="15" hidden="1">
      <c r="A61" s="1039" t="s">
        <v>80</v>
      </c>
      <c r="B61" s="15">
        <f t="shared" si="10"/>
        <v>0</v>
      </c>
      <c r="C61" s="35"/>
      <c r="D61" s="15"/>
      <c r="E61" s="15"/>
      <c r="F61" s="15"/>
      <c r="G61" s="15"/>
      <c r="H61" s="15"/>
      <c r="I61" s="15"/>
      <c r="J61" s="752" t="s">
        <v>110</v>
      </c>
      <c r="K61" s="752" t="s">
        <v>110</v>
      </c>
      <c r="L61" s="752" t="s">
        <v>110</v>
      </c>
      <c r="M61" s="65" t="s">
        <v>110</v>
      </c>
      <c r="N61" s="65" t="s">
        <v>110</v>
      </c>
      <c r="O61" s="65" t="s">
        <v>110</v>
      </c>
      <c r="P61" s="65" t="s">
        <v>110</v>
      </c>
      <c r="Q61" s="65" t="s">
        <v>110</v>
      </c>
      <c r="R61" s="65" t="s">
        <v>110</v>
      </c>
      <c r="S61" s="65" t="s">
        <v>110</v>
      </c>
      <c r="T61" s="65" t="s">
        <v>110</v>
      </c>
      <c r="U61" s="65" t="s">
        <v>110</v>
      </c>
      <c r="V61" s="65" t="s">
        <v>110</v>
      </c>
      <c r="W61" s="65" t="s">
        <v>110</v>
      </c>
      <c r="X61" s="65" t="s">
        <v>110</v>
      </c>
      <c r="Y61" s="65" t="s">
        <v>110</v>
      </c>
      <c r="Z61" s="65" t="s">
        <v>110</v>
      </c>
      <c r="AA61" s="65" t="s">
        <v>110</v>
      </c>
      <c r="AB61" s="65" t="s">
        <v>110</v>
      </c>
      <c r="AC61" s="65" t="s">
        <v>110</v>
      </c>
      <c r="AD61" s="65" t="s">
        <v>110</v>
      </c>
      <c r="AE61" s="65" t="s">
        <v>110</v>
      </c>
      <c r="AF61" s="65" t="s">
        <v>110</v>
      </c>
      <c r="AG61" s="65" t="s">
        <v>110</v>
      </c>
      <c r="AH61" s="35">
        <f t="shared" si="11"/>
        <v>0</v>
      </c>
    </row>
    <row r="62" spans="1:34" ht="15" hidden="1">
      <c r="A62" s="1522" t="s">
        <v>81</v>
      </c>
      <c r="B62" s="15">
        <f t="shared" si="10"/>
        <v>0</v>
      </c>
      <c r="C62" s="65" t="s">
        <v>110</v>
      </c>
      <c r="D62" s="65" t="s">
        <v>110</v>
      </c>
      <c r="E62" s="65" t="s">
        <v>110</v>
      </c>
      <c r="F62" s="65" t="s">
        <v>110</v>
      </c>
      <c r="G62" s="65" t="s">
        <v>110</v>
      </c>
      <c r="H62" s="65" t="s">
        <v>110</v>
      </c>
      <c r="I62" s="65" t="s">
        <v>110</v>
      </c>
      <c r="J62" s="752" t="s">
        <v>110</v>
      </c>
      <c r="K62" s="752" t="s">
        <v>110</v>
      </c>
      <c r="L62" s="752" t="s">
        <v>110</v>
      </c>
      <c r="M62" s="65" t="s">
        <v>110</v>
      </c>
      <c r="N62" s="65" t="s">
        <v>110</v>
      </c>
      <c r="O62" s="65" t="s">
        <v>110</v>
      </c>
      <c r="P62" s="65" t="s">
        <v>110</v>
      </c>
      <c r="Q62" s="65" t="s">
        <v>110</v>
      </c>
      <c r="R62" s="65" t="s">
        <v>110</v>
      </c>
      <c r="S62" s="65" t="s">
        <v>110</v>
      </c>
      <c r="T62" s="65" t="s">
        <v>110</v>
      </c>
      <c r="U62" s="65" t="s">
        <v>110</v>
      </c>
      <c r="V62" s="65" t="s">
        <v>110</v>
      </c>
      <c r="W62" s="65" t="s">
        <v>110</v>
      </c>
      <c r="X62" s="65" t="s">
        <v>110</v>
      </c>
      <c r="Y62" s="65" t="s">
        <v>110</v>
      </c>
      <c r="Z62" s="65" t="s">
        <v>110</v>
      </c>
      <c r="AA62" s="65" t="s">
        <v>110</v>
      </c>
      <c r="AB62" s="65" t="s">
        <v>110</v>
      </c>
      <c r="AC62" s="65" t="s">
        <v>110</v>
      </c>
      <c r="AD62" s="65" t="s">
        <v>110</v>
      </c>
      <c r="AE62" s="65" t="s">
        <v>110</v>
      </c>
      <c r="AF62" s="65" t="s">
        <v>110</v>
      </c>
      <c r="AG62" s="65" t="s">
        <v>110</v>
      </c>
      <c r="AH62" s="35">
        <f t="shared" si="11"/>
        <v>0</v>
      </c>
    </row>
    <row r="63" spans="1:34" ht="15" hidden="1">
      <c r="A63" s="1522" t="s">
        <v>82</v>
      </c>
      <c r="B63" s="15">
        <f t="shared" si="10"/>
        <v>0</v>
      </c>
      <c r="C63" s="65" t="s">
        <v>110</v>
      </c>
      <c r="D63" s="65" t="s">
        <v>110</v>
      </c>
      <c r="E63" s="65" t="s">
        <v>110</v>
      </c>
      <c r="F63" s="65" t="s">
        <v>110</v>
      </c>
      <c r="G63" s="65" t="s">
        <v>110</v>
      </c>
      <c r="H63" s="65" t="s">
        <v>110</v>
      </c>
      <c r="I63" s="65" t="s">
        <v>110</v>
      </c>
      <c r="J63" s="752" t="s">
        <v>110</v>
      </c>
      <c r="K63" s="752" t="s">
        <v>110</v>
      </c>
      <c r="L63" s="752" t="s">
        <v>110</v>
      </c>
      <c r="M63" s="65" t="s">
        <v>110</v>
      </c>
      <c r="N63" s="65" t="s">
        <v>110</v>
      </c>
      <c r="O63" s="65" t="s">
        <v>110</v>
      </c>
      <c r="P63" s="65" t="s">
        <v>110</v>
      </c>
      <c r="Q63" s="65" t="s">
        <v>110</v>
      </c>
      <c r="R63" s="65" t="s">
        <v>110</v>
      </c>
      <c r="S63" s="65" t="s">
        <v>110</v>
      </c>
      <c r="T63" s="65" t="s">
        <v>110</v>
      </c>
      <c r="U63" s="65" t="s">
        <v>110</v>
      </c>
      <c r="V63" s="65" t="s">
        <v>110</v>
      </c>
      <c r="W63" s="65" t="s">
        <v>110</v>
      </c>
      <c r="X63" s="15"/>
      <c r="Y63" s="15"/>
      <c r="Z63" s="15"/>
      <c r="AA63" s="15"/>
      <c r="AB63" s="15"/>
      <c r="AC63" s="15"/>
      <c r="AD63" s="15"/>
      <c r="AE63" s="39"/>
      <c r="AF63" s="15"/>
      <c r="AG63" s="39"/>
      <c r="AH63" s="35">
        <f t="shared" si="11"/>
        <v>0</v>
      </c>
    </row>
    <row r="64" spans="1:34" ht="15" hidden="1">
      <c r="A64" s="1522" t="s">
        <v>83</v>
      </c>
      <c r="B64" s="15">
        <f t="shared" si="10"/>
        <v>0</v>
      </c>
      <c r="C64" s="35"/>
      <c r="D64" s="15"/>
      <c r="E64" s="15"/>
      <c r="F64" s="15"/>
      <c r="G64" s="15"/>
      <c r="H64" s="3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35">
        <f t="shared" si="11"/>
        <v>0</v>
      </c>
    </row>
    <row r="65" spans="1:75" ht="15" hidden="1">
      <c r="A65" s="1522" t="s">
        <v>84</v>
      </c>
      <c r="B65" s="15">
        <f t="shared" si="10"/>
        <v>0</v>
      </c>
      <c r="C65" s="35"/>
      <c r="D65" s="15"/>
      <c r="E65" s="15"/>
      <c r="F65" s="15"/>
      <c r="G65" s="15"/>
      <c r="H65" s="15"/>
      <c r="I65" s="15"/>
      <c r="J65" s="15"/>
      <c r="K65" s="15"/>
      <c r="L65" s="15"/>
      <c r="M65" s="15"/>
      <c r="N65" s="15"/>
      <c r="O65" s="15"/>
      <c r="P65" s="1084" t="s">
        <v>109</v>
      </c>
      <c r="Q65" s="1084" t="s">
        <v>109</v>
      </c>
      <c r="R65" s="1084" t="s">
        <v>109</v>
      </c>
      <c r="S65" s="1084" t="s">
        <v>109</v>
      </c>
      <c r="T65" s="1084" t="s">
        <v>109</v>
      </c>
      <c r="U65" s="1084" t="s">
        <v>109</v>
      </c>
      <c r="V65" s="1084" t="s">
        <v>109</v>
      </c>
      <c r="W65" s="1084" t="s">
        <v>109</v>
      </c>
      <c r="X65" s="1084" t="s">
        <v>109</v>
      </c>
      <c r="Y65" s="1084" t="s">
        <v>109</v>
      </c>
      <c r="Z65" s="1084" t="s">
        <v>109</v>
      </c>
      <c r="AA65" s="1084" t="s">
        <v>109</v>
      </c>
      <c r="AB65" s="1084" t="s">
        <v>109</v>
      </c>
      <c r="AC65" s="1084" t="s">
        <v>109</v>
      </c>
      <c r="AD65" s="1084" t="s">
        <v>109</v>
      </c>
      <c r="AE65" s="1084" t="s">
        <v>109</v>
      </c>
      <c r="AF65" s="1084" t="s">
        <v>109</v>
      </c>
      <c r="AG65" s="1084" t="s">
        <v>109</v>
      </c>
      <c r="AH65" s="35">
        <f t="shared" si="11"/>
        <v>0</v>
      </c>
    </row>
    <row r="66" spans="1:75" ht="15" hidden="1">
      <c r="A66" s="71" t="s">
        <v>50</v>
      </c>
      <c r="B66" s="72">
        <f t="shared" ref="B66:AH66" si="12">SUM(B54:B65)</f>
        <v>0</v>
      </c>
      <c r="C66" s="35">
        <f t="shared" si="12"/>
        <v>0</v>
      </c>
      <c r="D66" s="35">
        <f t="shared" si="12"/>
        <v>0</v>
      </c>
      <c r="E66" s="35">
        <f t="shared" si="12"/>
        <v>0</v>
      </c>
      <c r="F66" s="35">
        <f t="shared" si="12"/>
        <v>0</v>
      </c>
      <c r="G66" s="35">
        <f t="shared" si="12"/>
        <v>0</v>
      </c>
      <c r="H66" s="35">
        <f t="shared" si="12"/>
        <v>0</v>
      </c>
      <c r="I66" s="35">
        <f t="shared" si="12"/>
        <v>0</v>
      </c>
      <c r="J66" s="35">
        <f t="shared" si="12"/>
        <v>0</v>
      </c>
      <c r="K66" s="35">
        <f t="shared" si="12"/>
        <v>0</v>
      </c>
      <c r="L66" s="35">
        <f t="shared" si="12"/>
        <v>0</v>
      </c>
      <c r="M66" s="35">
        <f t="shared" si="12"/>
        <v>0</v>
      </c>
      <c r="N66" s="35">
        <f t="shared" si="12"/>
        <v>0</v>
      </c>
      <c r="O66" s="35">
        <f t="shared" si="12"/>
        <v>0</v>
      </c>
      <c r="P66" s="35">
        <f t="shared" si="12"/>
        <v>0</v>
      </c>
      <c r="Q66" s="35">
        <f t="shared" si="12"/>
        <v>0</v>
      </c>
      <c r="R66" s="35">
        <f t="shared" si="12"/>
        <v>0</v>
      </c>
      <c r="S66" s="35">
        <f t="shared" si="12"/>
        <v>0</v>
      </c>
      <c r="T66" s="35">
        <f t="shared" si="12"/>
        <v>0</v>
      </c>
      <c r="U66" s="35">
        <f t="shared" si="12"/>
        <v>0</v>
      </c>
      <c r="V66" s="35">
        <f t="shared" si="12"/>
        <v>0</v>
      </c>
      <c r="W66" s="35">
        <f t="shared" si="12"/>
        <v>0</v>
      </c>
      <c r="X66" s="35">
        <f t="shared" si="12"/>
        <v>0</v>
      </c>
      <c r="Y66" s="35">
        <f t="shared" si="12"/>
        <v>0</v>
      </c>
      <c r="Z66" s="35">
        <f t="shared" si="12"/>
        <v>0</v>
      </c>
      <c r="AA66" s="35">
        <f t="shared" si="12"/>
        <v>0</v>
      </c>
      <c r="AB66" s="35">
        <f t="shared" si="12"/>
        <v>0</v>
      </c>
      <c r="AC66" s="35">
        <f t="shared" si="12"/>
        <v>0</v>
      </c>
      <c r="AD66" s="35">
        <f t="shared" si="12"/>
        <v>0</v>
      </c>
      <c r="AE66" s="35">
        <f t="shared" si="12"/>
        <v>0</v>
      </c>
      <c r="AF66" s="35">
        <f t="shared" si="12"/>
        <v>0</v>
      </c>
      <c r="AG66" s="35">
        <f t="shared" si="12"/>
        <v>0</v>
      </c>
      <c r="AH66" s="35">
        <f t="shared" si="12"/>
        <v>0</v>
      </c>
    </row>
    <row r="67" spans="1:75" ht="15">
      <c r="A67" s="1"/>
      <c r="B67" s="1"/>
      <c r="C67" s="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
    </row>
    <row r="68" spans="1:75" ht="15">
      <c r="A68" s="3811" t="s">
        <v>87</v>
      </c>
      <c r="B68" s="3812"/>
      <c r="C68" s="3813"/>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
    </row>
    <row r="69" spans="1:75" ht="20.399999999999999">
      <c r="A69" s="5" t="s">
        <v>70</v>
      </c>
      <c r="B69" s="21" t="s">
        <v>71</v>
      </c>
      <c r="C69" s="110">
        <v>1</v>
      </c>
      <c r="D69" s="21">
        <v>2</v>
      </c>
      <c r="E69" s="21">
        <v>3</v>
      </c>
      <c r="F69" s="21">
        <v>4</v>
      </c>
      <c r="G69" s="21">
        <v>5</v>
      </c>
      <c r="H69" s="21">
        <v>6</v>
      </c>
      <c r="I69" s="21">
        <v>7</v>
      </c>
      <c r="J69" s="21">
        <v>8</v>
      </c>
      <c r="K69" s="21">
        <v>9</v>
      </c>
      <c r="L69" s="21">
        <v>10</v>
      </c>
      <c r="M69" s="21">
        <v>11</v>
      </c>
      <c r="N69" s="21">
        <v>12</v>
      </c>
      <c r="O69" s="21">
        <v>13</v>
      </c>
      <c r="P69" s="21">
        <v>14</v>
      </c>
      <c r="Q69" s="21">
        <v>15</v>
      </c>
      <c r="R69" s="21">
        <v>16</v>
      </c>
      <c r="S69" s="21">
        <v>17</v>
      </c>
      <c r="T69" s="21">
        <v>18</v>
      </c>
      <c r="U69" s="21">
        <v>19</v>
      </c>
      <c r="V69" s="21">
        <v>20</v>
      </c>
      <c r="W69" s="21">
        <v>21</v>
      </c>
      <c r="X69" s="21">
        <v>22</v>
      </c>
      <c r="Y69" s="21">
        <v>23</v>
      </c>
      <c r="Z69" s="21">
        <v>24</v>
      </c>
      <c r="AA69" s="21">
        <v>25</v>
      </c>
      <c r="AB69" s="21">
        <v>26</v>
      </c>
      <c r="AC69" s="21">
        <v>27</v>
      </c>
      <c r="AD69" s="21">
        <v>28</v>
      </c>
      <c r="AE69" s="21">
        <v>29</v>
      </c>
      <c r="AF69" s="21">
        <v>30</v>
      </c>
      <c r="AG69" s="21">
        <v>31</v>
      </c>
      <c r="AH69" s="5" t="s">
        <v>72</v>
      </c>
      <c r="AI69" s="2266" t="s">
        <v>1345</v>
      </c>
      <c r="AJ69" s="66">
        <f>(B82/COUNTIF($C$70:$AG$81,"&gt;0"))</f>
        <v>147.73608571428571</v>
      </c>
      <c r="AL69" s="3158" t="s">
        <v>721</v>
      </c>
      <c r="AN69" s="3811" t="s">
        <v>87</v>
      </c>
      <c r="AO69" s="3812"/>
      <c r="AP69" s="3813"/>
      <c r="AQ69" s="3864" t="s">
        <v>720</v>
      </c>
      <c r="AR69" s="3865"/>
      <c r="AS69" s="3865"/>
      <c r="AT69" s="3865"/>
      <c r="AU69" s="3865"/>
      <c r="AV69" s="3865"/>
      <c r="AW69" s="3865"/>
      <c r="AX69" s="3184" t="s">
        <v>1369</v>
      </c>
      <c r="AY69" s="11"/>
      <c r="AZ69" s="11"/>
      <c r="BA69" s="11"/>
      <c r="BB69" s="11"/>
      <c r="BC69" s="11"/>
      <c r="BD69" s="11"/>
      <c r="BE69" s="11"/>
      <c r="BF69" s="11"/>
      <c r="BG69" s="11"/>
      <c r="BH69" s="11"/>
      <c r="BI69" s="11"/>
      <c r="BJ69" s="11"/>
      <c r="BK69" s="11"/>
      <c r="BL69" s="11"/>
      <c r="BM69" s="11"/>
      <c r="BN69" s="11"/>
      <c r="BO69" s="11"/>
      <c r="BP69" s="11"/>
      <c r="BQ69" s="11"/>
      <c r="BR69" s="11"/>
      <c r="BS69" s="11"/>
      <c r="BT69" s="11"/>
      <c r="BU69" s="1"/>
    </row>
    <row r="70" spans="1:75" ht="15">
      <c r="A70" s="1039" t="s">
        <v>73</v>
      </c>
      <c r="B70" s="52">
        <f t="shared" ref="B70:B81" si="13">+AH70</f>
        <v>0</v>
      </c>
      <c r="C70" s="65" t="s">
        <v>109</v>
      </c>
      <c r="D70" s="65" t="s">
        <v>109</v>
      </c>
      <c r="E70" s="65" t="s">
        <v>109</v>
      </c>
      <c r="F70" s="65" t="s">
        <v>109</v>
      </c>
      <c r="G70" s="65" t="s">
        <v>109</v>
      </c>
      <c r="H70" s="65" t="s">
        <v>109</v>
      </c>
      <c r="I70" s="65" t="s">
        <v>109</v>
      </c>
      <c r="J70" s="65" t="s">
        <v>109</v>
      </c>
      <c r="K70" s="65" t="s">
        <v>109</v>
      </c>
      <c r="L70" s="65" t="s">
        <v>109</v>
      </c>
      <c r="M70" s="65" t="s">
        <v>109</v>
      </c>
      <c r="N70" s="65" t="s">
        <v>109</v>
      </c>
      <c r="O70" s="65" t="s">
        <v>109</v>
      </c>
      <c r="P70" s="65" t="s">
        <v>109</v>
      </c>
      <c r="Q70" s="65" t="s">
        <v>109</v>
      </c>
      <c r="R70" s="65" t="s">
        <v>109</v>
      </c>
      <c r="S70" s="65" t="s">
        <v>109</v>
      </c>
      <c r="T70" s="65" t="s">
        <v>109</v>
      </c>
      <c r="U70" s="65" t="s">
        <v>109</v>
      </c>
      <c r="V70" s="65" t="s">
        <v>109</v>
      </c>
      <c r="W70" s="65" t="s">
        <v>109</v>
      </c>
      <c r="X70" s="65" t="s">
        <v>109</v>
      </c>
      <c r="Y70" s="65" t="s">
        <v>109</v>
      </c>
      <c r="Z70" s="65" t="s">
        <v>109</v>
      </c>
      <c r="AA70" s="65" t="s">
        <v>109</v>
      </c>
      <c r="AB70" s="65" t="s">
        <v>109</v>
      </c>
      <c r="AC70" s="65" t="s">
        <v>109</v>
      </c>
      <c r="AD70" s="65" t="s">
        <v>109</v>
      </c>
      <c r="AE70" s="65" t="s">
        <v>109</v>
      </c>
      <c r="AF70" s="65" t="s">
        <v>109</v>
      </c>
      <c r="AG70" s="65" t="s">
        <v>109</v>
      </c>
      <c r="AH70" s="35">
        <f t="shared" ref="AH70:AH71" si="14">SUM(H70:AG70)</f>
        <v>0</v>
      </c>
      <c r="AJ70" s="69">
        <f>+'Res. Global'!J73</f>
        <v>2.0509999999994761</v>
      </c>
      <c r="AL70" s="2132"/>
      <c r="AN70" s="5" t="s">
        <v>70</v>
      </c>
      <c r="AO70" s="21" t="s">
        <v>71</v>
      </c>
      <c r="AP70" s="110">
        <v>1</v>
      </c>
      <c r="AQ70" s="21">
        <v>2</v>
      </c>
      <c r="AR70" s="21">
        <v>3</v>
      </c>
      <c r="AS70" s="21">
        <v>4</v>
      </c>
      <c r="AT70" s="21">
        <v>5</v>
      </c>
      <c r="AU70" s="21">
        <v>6</v>
      </c>
      <c r="AV70" s="21">
        <v>7</v>
      </c>
      <c r="AW70" s="21">
        <v>8</v>
      </c>
      <c r="AX70" s="21">
        <v>9</v>
      </c>
      <c r="AY70" s="21">
        <v>10</v>
      </c>
      <c r="AZ70" s="21">
        <v>11</v>
      </c>
      <c r="BA70" s="21">
        <v>12</v>
      </c>
      <c r="BB70" s="21">
        <v>13</v>
      </c>
      <c r="BC70" s="21">
        <v>14</v>
      </c>
      <c r="BD70" s="21">
        <v>15</v>
      </c>
      <c r="BE70" s="21">
        <v>16</v>
      </c>
      <c r="BF70" s="21">
        <v>17</v>
      </c>
      <c r="BG70" s="21">
        <v>18</v>
      </c>
      <c r="BH70" s="21">
        <v>19</v>
      </c>
      <c r="BI70" s="21">
        <v>20</v>
      </c>
      <c r="BJ70" s="21">
        <v>21</v>
      </c>
      <c r="BK70" s="21">
        <v>22</v>
      </c>
      <c r="BL70" s="21">
        <v>23</v>
      </c>
      <c r="BM70" s="21">
        <v>24</v>
      </c>
      <c r="BN70" s="21">
        <v>25</v>
      </c>
      <c r="BO70" s="21">
        <v>26</v>
      </c>
      <c r="BP70" s="21">
        <v>27</v>
      </c>
      <c r="BQ70" s="21">
        <v>28</v>
      </c>
      <c r="BR70" s="21">
        <v>29</v>
      </c>
      <c r="BS70" s="21">
        <v>30</v>
      </c>
      <c r="BT70" s="21">
        <v>31</v>
      </c>
      <c r="BU70" s="5" t="s">
        <v>72</v>
      </c>
      <c r="BV70" s="2266" t="s">
        <v>1345</v>
      </c>
      <c r="BW70" s="66">
        <f>(AO83/COUNTIF($AP$71:$BT$82,"&gt;0"))</f>
        <v>2601.1860000000001</v>
      </c>
    </row>
    <row r="71" spans="1:75" ht="15">
      <c r="A71" s="1039" t="s">
        <v>74</v>
      </c>
      <c r="B71" s="52">
        <f t="shared" si="13"/>
        <v>0</v>
      </c>
      <c r="C71" s="65" t="s">
        <v>109</v>
      </c>
      <c r="D71" s="65" t="s">
        <v>109</v>
      </c>
      <c r="E71" s="65" t="s">
        <v>109</v>
      </c>
      <c r="F71" s="65" t="s">
        <v>109</v>
      </c>
      <c r="G71" s="65" t="s">
        <v>109</v>
      </c>
      <c r="H71" s="65" t="s">
        <v>109</v>
      </c>
      <c r="I71" s="65" t="s">
        <v>109</v>
      </c>
      <c r="J71" s="65" t="s">
        <v>109</v>
      </c>
      <c r="K71" s="65" t="s">
        <v>109</v>
      </c>
      <c r="L71" s="65" t="s">
        <v>109</v>
      </c>
      <c r="M71" s="65" t="s">
        <v>109</v>
      </c>
      <c r="N71" s="65" t="s">
        <v>109</v>
      </c>
      <c r="O71" s="65" t="s">
        <v>109</v>
      </c>
      <c r="P71" s="65" t="s">
        <v>109</v>
      </c>
      <c r="Q71" s="65" t="s">
        <v>109</v>
      </c>
      <c r="R71" s="65" t="s">
        <v>109</v>
      </c>
      <c r="S71" s="65" t="s">
        <v>109</v>
      </c>
      <c r="T71" s="65" t="s">
        <v>109</v>
      </c>
      <c r="U71" s="65" t="s">
        <v>109</v>
      </c>
      <c r="V71" s="65" t="s">
        <v>109</v>
      </c>
      <c r="W71" s="65" t="s">
        <v>109</v>
      </c>
      <c r="X71" s="65" t="s">
        <v>109</v>
      </c>
      <c r="Y71" s="65" t="s">
        <v>109</v>
      </c>
      <c r="Z71" s="65" t="s">
        <v>109</v>
      </c>
      <c r="AA71" s="65" t="s">
        <v>109</v>
      </c>
      <c r="AB71" s="65" t="s">
        <v>109</v>
      </c>
      <c r="AC71" s="65" t="s">
        <v>109</v>
      </c>
      <c r="AD71" s="65" t="s">
        <v>109</v>
      </c>
      <c r="AE71" s="65" t="s">
        <v>109</v>
      </c>
      <c r="AF71" s="65" t="s">
        <v>109</v>
      </c>
      <c r="AG71" s="65" t="s">
        <v>109</v>
      </c>
      <c r="AH71" s="35">
        <f t="shared" si="14"/>
        <v>0</v>
      </c>
      <c r="AJ71" s="66">
        <f>+AJ70/AJ69</f>
        <v>1.3882864095682139E-2</v>
      </c>
      <c r="AL71" s="2187">
        <f>+AH70+AO71</f>
        <v>0</v>
      </c>
      <c r="AN71" s="1039" t="s">
        <v>73</v>
      </c>
      <c r="AO71" s="52">
        <f t="shared" ref="AO71:AO82" si="15">+BU71</f>
        <v>0</v>
      </c>
      <c r="AP71" s="65" t="s">
        <v>109</v>
      </c>
      <c r="AQ71" s="65" t="s">
        <v>109</v>
      </c>
      <c r="AR71" s="65" t="s">
        <v>109</v>
      </c>
      <c r="AS71" s="65" t="s">
        <v>109</v>
      </c>
      <c r="AT71" s="65" t="s">
        <v>109</v>
      </c>
      <c r="AU71" s="65" t="s">
        <v>109</v>
      </c>
      <c r="AV71" s="65" t="s">
        <v>109</v>
      </c>
      <c r="AW71" s="65" t="s">
        <v>109</v>
      </c>
      <c r="AX71" s="65" t="s">
        <v>109</v>
      </c>
      <c r="AY71" s="65" t="s">
        <v>109</v>
      </c>
      <c r="AZ71" s="65" t="s">
        <v>109</v>
      </c>
      <c r="BA71" s="65" t="s">
        <v>109</v>
      </c>
      <c r="BB71" s="65" t="s">
        <v>109</v>
      </c>
      <c r="BC71" s="65" t="s">
        <v>109</v>
      </c>
      <c r="BD71" s="65" t="s">
        <v>109</v>
      </c>
      <c r="BE71" s="65" t="s">
        <v>109</v>
      </c>
      <c r="BF71" s="65" t="s">
        <v>109</v>
      </c>
      <c r="BG71" s="65" t="s">
        <v>109</v>
      </c>
      <c r="BH71" s="65" t="s">
        <v>109</v>
      </c>
      <c r="BI71" s="65" t="s">
        <v>109</v>
      </c>
      <c r="BJ71" s="65" t="s">
        <v>109</v>
      </c>
      <c r="BK71" s="65" t="s">
        <v>109</v>
      </c>
      <c r="BL71" s="65" t="s">
        <v>109</v>
      </c>
      <c r="BM71" s="65" t="s">
        <v>109</v>
      </c>
      <c r="BN71" s="65" t="s">
        <v>109</v>
      </c>
      <c r="BO71" s="65" t="s">
        <v>109</v>
      </c>
      <c r="BP71" s="65" t="s">
        <v>109</v>
      </c>
      <c r="BQ71" s="65" t="s">
        <v>109</v>
      </c>
      <c r="BR71" s="65" t="s">
        <v>109</v>
      </c>
      <c r="BS71" s="65" t="s">
        <v>109</v>
      </c>
      <c r="BT71" s="65" t="s">
        <v>109</v>
      </c>
      <c r="BU71" s="35">
        <f t="shared" ref="BU71:BU72" si="16">SUM(AU71:BT71)</f>
        <v>0</v>
      </c>
    </row>
    <row r="72" spans="1:75" ht="15">
      <c r="A72" s="1039" t="s">
        <v>75</v>
      </c>
      <c r="B72" s="52">
        <f t="shared" si="13"/>
        <v>2891.6220000000003</v>
      </c>
      <c r="C72" s="65"/>
      <c r="D72" s="65"/>
      <c r="E72" s="65"/>
      <c r="F72" s="65"/>
      <c r="G72" s="65"/>
      <c r="H72" s="1268">
        <v>126.504</v>
      </c>
      <c r="I72" s="1268">
        <v>246.98400000000001</v>
      </c>
      <c r="J72" s="1268">
        <v>109.34399999999999</v>
      </c>
      <c r="K72" s="1268">
        <v>42.42</v>
      </c>
      <c r="L72" s="1268"/>
      <c r="M72" s="1268">
        <v>13.15</v>
      </c>
      <c r="N72" s="1268">
        <v>71.42</v>
      </c>
      <c r="O72" s="1268">
        <v>230.1</v>
      </c>
      <c r="P72" s="1268">
        <v>215.85</v>
      </c>
      <c r="Q72" s="1268">
        <v>220.71</v>
      </c>
      <c r="R72" s="1268"/>
      <c r="S72" s="1268">
        <v>74.099999999999994</v>
      </c>
      <c r="T72" s="1268">
        <v>248.09200000000001</v>
      </c>
      <c r="U72" s="1268">
        <v>272.565</v>
      </c>
      <c r="V72" s="1268">
        <v>143.44999999999999</v>
      </c>
      <c r="W72" s="1268">
        <v>96.39</v>
      </c>
      <c r="X72" s="1268"/>
      <c r="Y72" s="1268"/>
      <c r="Z72" s="1268">
        <v>212.08500000000001</v>
      </c>
      <c r="AA72" s="1268">
        <v>110.36</v>
      </c>
      <c r="AB72" s="1268">
        <v>225.435</v>
      </c>
      <c r="AC72" s="1091">
        <v>232.66300000000001</v>
      </c>
      <c r="AD72" s="1091"/>
      <c r="AE72" s="1091"/>
      <c r="AF72" s="1091"/>
      <c r="AG72" s="1091"/>
      <c r="AH72" s="35">
        <f>SUM(H72:AG72)</f>
        <v>2891.6220000000003</v>
      </c>
      <c r="AL72" s="2187">
        <f>+AH71+AO72</f>
        <v>0</v>
      </c>
      <c r="AN72" s="1039" t="s">
        <v>74</v>
      </c>
      <c r="AO72" s="52">
        <f t="shared" si="15"/>
        <v>0</v>
      </c>
      <c r="AP72" s="65" t="s">
        <v>109</v>
      </c>
      <c r="AQ72" s="65" t="s">
        <v>109</v>
      </c>
      <c r="AR72" s="65" t="s">
        <v>109</v>
      </c>
      <c r="AS72" s="65" t="s">
        <v>109</v>
      </c>
      <c r="AT72" s="65" t="s">
        <v>109</v>
      </c>
      <c r="AU72" s="65" t="s">
        <v>109</v>
      </c>
      <c r="AV72" s="65" t="s">
        <v>109</v>
      </c>
      <c r="AW72" s="65" t="s">
        <v>109</v>
      </c>
      <c r="AX72" s="65" t="s">
        <v>109</v>
      </c>
      <c r="AY72" s="65" t="s">
        <v>109</v>
      </c>
      <c r="AZ72" s="65" t="s">
        <v>109</v>
      </c>
      <c r="BA72" s="65" t="s">
        <v>109</v>
      </c>
      <c r="BB72" s="65" t="s">
        <v>109</v>
      </c>
      <c r="BC72" s="65" t="s">
        <v>109</v>
      </c>
      <c r="BD72" s="65" t="s">
        <v>109</v>
      </c>
      <c r="BE72" s="65" t="s">
        <v>109</v>
      </c>
      <c r="BF72" s="65" t="s">
        <v>109</v>
      </c>
      <c r="BG72" s="65" t="s">
        <v>109</v>
      </c>
      <c r="BH72" s="65" t="s">
        <v>109</v>
      </c>
      <c r="BI72" s="65" t="s">
        <v>109</v>
      </c>
      <c r="BJ72" s="65" t="s">
        <v>109</v>
      </c>
      <c r="BK72" s="65" t="s">
        <v>109</v>
      </c>
      <c r="BL72" s="65" t="s">
        <v>109</v>
      </c>
      <c r="BM72" s="65" t="s">
        <v>109</v>
      </c>
      <c r="BN72" s="65" t="s">
        <v>109</v>
      </c>
      <c r="BO72" s="65" t="s">
        <v>109</v>
      </c>
      <c r="BP72" s="65" t="s">
        <v>109</v>
      </c>
      <c r="BQ72" s="65" t="s">
        <v>109</v>
      </c>
      <c r="BR72" s="65" t="s">
        <v>109</v>
      </c>
      <c r="BS72" s="65" t="s">
        <v>109</v>
      </c>
      <c r="BT72" s="65" t="s">
        <v>109</v>
      </c>
      <c r="BU72" s="35">
        <f t="shared" si="16"/>
        <v>0</v>
      </c>
    </row>
    <row r="73" spans="1:75" ht="15">
      <c r="A73" s="1039" t="s">
        <v>76</v>
      </c>
      <c r="B73" s="52">
        <f t="shared" si="13"/>
        <v>1506.0840000000001</v>
      </c>
      <c r="C73" s="1091"/>
      <c r="D73" s="1091"/>
      <c r="E73" s="1091"/>
      <c r="F73" s="1091">
        <v>203.59100000000001</v>
      </c>
      <c r="G73" s="1091">
        <v>74.113</v>
      </c>
      <c r="H73" s="1091">
        <v>123.892</v>
      </c>
      <c r="I73" s="1091">
        <v>272.786</v>
      </c>
      <c r="J73" s="1091">
        <v>176.245</v>
      </c>
      <c r="K73" s="1091">
        <v>148.38499999999999</v>
      </c>
      <c r="L73" s="1268">
        <v>75.78</v>
      </c>
      <c r="M73" s="1268">
        <v>116.117</v>
      </c>
      <c r="N73" s="1268"/>
      <c r="O73" s="1268">
        <v>69.614999999999995</v>
      </c>
      <c r="P73" s="1268">
        <v>164.20500000000001</v>
      </c>
      <c r="Q73" s="1268">
        <v>81.355000000000004</v>
      </c>
      <c r="R73" s="1268"/>
      <c r="S73" s="1268"/>
      <c r="T73" s="1268"/>
      <c r="U73" s="1268"/>
      <c r="V73" s="1268"/>
      <c r="W73" s="1268"/>
      <c r="X73" s="1268"/>
      <c r="Y73" s="1268"/>
      <c r="Z73" s="1268"/>
      <c r="AA73" s="1268"/>
      <c r="AB73" s="1268"/>
      <c r="AC73" s="1268"/>
      <c r="AD73" s="1268"/>
      <c r="AE73" s="1268"/>
      <c r="AF73" s="1268"/>
      <c r="AG73" s="1268"/>
      <c r="AH73" s="141">
        <f t="shared" ref="AH73:AH81" si="17">SUM(C73:AG73)</f>
        <v>1506.0840000000001</v>
      </c>
      <c r="AL73" s="2187">
        <f>+AH72+AO73</f>
        <v>2891.6220000000003</v>
      </c>
      <c r="AN73" s="1039" t="s">
        <v>75</v>
      </c>
      <c r="AO73" s="52">
        <f t="shared" si="15"/>
        <v>0</v>
      </c>
      <c r="AP73" s="65" t="s">
        <v>109</v>
      </c>
      <c r="AQ73" s="65" t="s">
        <v>109</v>
      </c>
      <c r="AR73" s="65" t="s">
        <v>109</v>
      </c>
      <c r="AS73" s="65" t="s">
        <v>109</v>
      </c>
      <c r="AT73" s="65" t="s">
        <v>109</v>
      </c>
      <c r="AU73" s="1268"/>
      <c r="AV73" s="1268"/>
      <c r="AW73" s="1268"/>
      <c r="AX73" s="1268"/>
      <c r="AY73" s="1268"/>
      <c r="AZ73" s="1268"/>
      <c r="BA73" s="1268"/>
      <c r="BB73" s="1268"/>
      <c r="BC73" s="1268"/>
      <c r="BD73" s="1268"/>
      <c r="BE73" s="1268"/>
      <c r="BF73" s="1268"/>
      <c r="BG73" s="1268"/>
      <c r="BH73" s="1268"/>
      <c r="BI73" s="1268"/>
      <c r="BJ73" s="1268"/>
      <c r="BK73" s="1268"/>
      <c r="BL73" s="1268"/>
      <c r="BM73" s="1268"/>
      <c r="BN73" s="1268"/>
      <c r="BO73" s="1268"/>
      <c r="BP73" s="1091"/>
      <c r="BQ73" s="1091"/>
      <c r="BR73" s="1091"/>
      <c r="BS73" s="1091"/>
      <c r="BT73" s="1091"/>
      <c r="BU73" s="35">
        <f>SUM(AU73:BT73)</f>
        <v>0</v>
      </c>
    </row>
    <row r="74" spans="1:75" ht="15">
      <c r="A74" s="1523" t="s">
        <v>77</v>
      </c>
      <c r="B74" s="52">
        <f t="shared" si="13"/>
        <v>479.88900000000001</v>
      </c>
      <c r="C74" s="1091"/>
      <c r="D74" s="1091"/>
      <c r="E74" s="1091"/>
      <c r="F74" s="1091"/>
      <c r="G74" s="1091"/>
      <c r="H74" s="1091"/>
      <c r="I74" s="1091"/>
      <c r="J74" s="1268"/>
      <c r="K74" s="1268"/>
      <c r="L74" s="1268"/>
      <c r="M74" s="1268"/>
      <c r="N74" s="1268"/>
      <c r="O74" s="2521">
        <v>479.88900000000001</v>
      </c>
      <c r="P74" s="1268"/>
      <c r="Q74" s="1268"/>
      <c r="R74" s="1268"/>
      <c r="S74" s="1268"/>
      <c r="T74" s="1268"/>
      <c r="U74" s="1268"/>
      <c r="V74" s="1268"/>
      <c r="W74" s="1268"/>
      <c r="X74" s="1268"/>
      <c r="Y74" s="1268"/>
      <c r="Z74" s="1268"/>
      <c r="AA74" s="1268"/>
      <c r="AB74" s="1268"/>
      <c r="AC74" s="1268"/>
      <c r="AD74" s="1268"/>
      <c r="AE74" s="1268"/>
      <c r="AF74" s="1268"/>
      <c r="AG74" s="1268"/>
      <c r="AH74" s="35">
        <f t="shared" si="17"/>
        <v>479.88900000000001</v>
      </c>
      <c r="AL74" s="2187">
        <f t="shared" ref="AL74:AL81" si="18">+AH73+AO74</f>
        <v>1506.0840000000001</v>
      </c>
      <c r="AN74" s="1039" t="s">
        <v>76</v>
      </c>
      <c r="AO74" s="52">
        <f t="shared" si="15"/>
        <v>0</v>
      </c>
      <c r="AP74" s="1091"/>
      <c r="AQ74" s="1091"/>
      <c r="AR74" s="1091"/>
      <c r="AS74" s="1091"/>
      <c r="AT74" s="1091"/>
      <c r="AU74" s="1091"/>
      <c r="AV74" s="1091"/>
      <c r="AW74" s="1091"/>
      <c r="AX74" s="1091"/>
      <c r="AY74" s="1268"/>
      <c r="AZ74" s="1268"/>
      <c r="BA74" s="1268"/>
      <c r="BB74" s="1268"/>
      <c r="BC74" s="1268"/>
      <c r="BD74" s="1268"/>
      <c r="BE74" s="1268"/>
      <c r="BF74" s="1268"/>
      <c r="BG74" s="1268"/>
      <c r="BH74" s="1268"/>
      <c r="BI74" s="1268"/>
      <c r="BJ74" s="1268"/>
      <c r="BK74" s="1268"/>
      <c r="BL74" s="1268"/>
      <c r="BM74" s="1268"/>
      <c r="BN74" s="1268"/>
      <c r="BO74" s="1268"/>
      <c r="BP74" s="1268"/>
      <c r="BQ74" s="1268"/>
      <c r="BR74" s="1268"/>
      <c r="BS74" s="1268"/>
      <c r="BT74" s="1268"/>
      <c r="BU74" s="141">
        <f t="shared" ref="BU74:BU82" si="19">SUM(AP74:BT74)</f>
        <v>0</v>
      </c>
    </row>
    <row r="75" spans="1:75" ht="15">
      <c r="A75" s="1523" t="s">
        <v>78</v>
      </c>
      <c r="B75" s="52">
        <f t="shared" si="13"/>
        <v>293.16800000000001</v>
      </c>
      <c r="C75" s="1091"/>
      <c r="D75" s="1091"/>
      <c r="E75" s="1091"/>
      <c r="F75" s="1091"/>
      <c r="G75" s="1091"/>
      <c r="H75" s="1091"/>
      <c r="I75" s="1091"/>
      <c r="J75" s="1091"/>
      <c r="K75" s="1091"/>
      <c r="L75" s="1091"/>
      <c r="M75" s="1091"/>
      <c r="N75" s="1091"/>
      <c r="O75" s="1091">
        <v>41.741999999999997</v>
      </c>
      <c r="P75" s="1091"/>
      <c r="Q75" s="1091"/>
      <c r="R75" s="1091">
        <v>75.67</v>
      </c>
      <c r="S75" s="1091">
        <v>69.671999999999997</v>
      </c>
      <c r="T75" s="1091">
        <v>56.084000000000003</v>
      </c>
      <c r="U75" s="2458">
        <v>50</v>
      </c>
      <c r="V75" s="1091"/>
      <c r="W75" s="1091"/>
      <c r="X75" s="1091"/>
      <c r="Y75" s="1091"/>
      <c r="Z75" s="1091"/>
      <c r="AA75" s="1091"/>
      <c r="AB75" s="1091"/>
      <c r="AC75" s="1091"/>
      <c r="AD75" s="1091"/>
      <c r="AE75" s="1091"/>
      <c r="AF75" s="1091"/>
      <c r="AG75" s="1091"/>
      <c r="AH75" s="35">
        <f t="shared" si="17"/>
        <v>293.16800000000001</v>
      </c>
      <c r="AL75" s="2187">
        <f t="shared" si="18"/>
        <v>479.88900000000001</v>
      </c>
      <c r="AN75" s="1523" t="s">
        <v>77</v>
      </c>
      <c r="AO75" s="52">
        <f t="shared" si="15"/>
        <v>0</v>
      </c>
      <c r="AP75" s="1091"/>
      <c r="AQ75" s="1091"/>
      <c r="AR75" s="1091"/>
      <c r="AS75" s="1091"/>
      <c r="AT75" s="1091"/>
      <c r="AU75" s="1091"/>
      <c r="AV75" s="1091"/>
      <c r="AW75" s="1268"/>
      <c r="AX75" s="1268"/>
      <c r="AY75" s="1268"/>
      <c r="AZ75" s="1268"/>
      <c r="BA75" s="1268"/>
      <c r="BB75" s="1268"/>
      <c r="BC75" s="1268"/>
      <c r="BD75" s="1268"/>
      <c r="BE75" s="1268"/>
      <c r="BF75" s="1268"/>
      <c r="BG75" s="1268"/>
      <c r="BH75" s="1268"/>
      <c r="BI75" s="1268"/>
      <c r="BJ75" s="1268"/>
      <c r="BK75" s="1268"/>
      <c r="BL75" s="1268"/>
      <c r="BM75" s="1268"/>
      <c r="BN75" s="1268"/>
      <c r="BO75" s="1268"/>
      <c r="BP75" s="1268"/>
      <c r="BQ75" s="1268"/>
      <c r="BR75" s="1268"/>
      <c r="BS75" s="1268"/>
      <c r="BT75" s="1268"/>
      <c r="BU75" s="35">
        <f t="shared" si="19"/>
        <v>0</v>
      </c>
    </row>
    <row r="76" spans="1:75" ht="15">
      <c r="A76" s="1523" t="s">
        <v>79</v>
      </c>
      <c r="B76" s="52">
        <f t="shared" si="13"/>
        <v>0</v>
      </c>
      <c r="C76" s="1091"/>
      <c r="D76" s="1268"/>
      <c r="E76" s="1268"/>
      <c r="F76" s="1268"/>
      <c r="G76" s="1091"/>
      <c r="H76" s="1091"/>
      <c r="I76" s="1091"/>
      <c r="J76" s="2068"/>
      <c r="K76" s="2068"/>
      <c r="L76" s="1268"/>
      <c r="M76" s="1268"/>
      <c r="N76" s="1268"/>
      <c r="O76" s="1268"/>
      <c r="P76" s="1268"/>
      <c r="Q76" s="1268"/>
      <c r="R76" s="1268"/>
      <c r="S76" s="1268"/>
      <c r="T76" s="1268"/>
      <c r="U76" s="1268"/>
      <c r="V76" s="1268"/>
      <c r="W76" s="609"/>
      <c r="X76" s="609"/>
      <c r="Y76" s="609"/>
      <c r="Z76" s="609"/>
      <c r="AA76" s="609"/>
      <c r="AB76" s="609"/>
      <c r="AC76" s="609"/>
      <c r="AD76" s="609"/>
      <c r="AE76" s="609"/>
      <c r="AF76" s="609" t="s">
        <v>109</v>
      </c>
      <c r="AG76" s="609" t="s">
        <v>109</v>
      </c>
      <c r="AH76" s="35">
        <f t="shared" si="17"/>
        <v>0</v>
      </c>
      <c r="AL76" s="2187">
        <f t="shared" si="18"/>
        <v>293.16800000000001</v>
      </c>
      <c r="AN76" s="1523" t="s">
        <v>78</v>
      </c>
      <c r="AO76" s="52">
        <f t="shared" si="15"/>
        <v>0</v>
      </c>
      <c r="AP76" s="1091"/>
      <c r="AQ76" s="1091"/>
      <c r="AR76" s="1091"/>
      <c r="AS76" s="1091"/>
      <c r="AT76" s="1091"/>
      <c r="AU76" s="1091"/>
      <c r="AV76" s="1091"/>
      <c r="AW76" s="1091"/>
      <c r="AX76" s="1091"/>
      <c r="AY76" s="1091"/>
      <c r="AZ76" s="1091"/>
      <c r="BA76" s="1091"/>
      <c r="BB76" s="1091"/>
      <c r="BC76" s="1091"/>
      <c r="BD76" s="1091"/>
      <c r="BE76" s="1091"/>
      <c r="BF76" s="1091"/>
      <c r="BG76" s="1091"/>
      <c r="BH76" s="1091"/>
      <c r="BI76" s="1091"/>
      <c r="BJ76" s="1091"/>
      <c r="BK76" s="1091"/>
      <c r="BL76" s="1091"/>
      <c r="BM76" s="1091"/>
      <c r="BN76" s="1091"/>
      <c r="BO76" s="1091"/>
      <c r="BP76" s="1091"/>
      <c r="BQ76" s="1091"/>
      <c r="BR76" s="1091"/>
      <c r="BS76" s="1091"/>
      <c r="BT76" s="1091"/>
      <c r="BU76" s="35">
        <f t="shared" si="19"/>
        <v>0</v>
      </c>
    </row>
    <row r="77" spans="1:75" ht="15">
      <c r="A77" s="1523" t="s">
        <v>80</v>
      </c>
      <c r="B77" s="52">
        <f t="shared" si="13"/>
        <v>0</v>
      </c>
      <c r="C77" s="609" t="s">
        <v>109</v>
      </c>
      <c r="D77" s="609" t="s">
        <v>109</v>
      </c>
      <c r="E77" s="609" t="s">
        <v>109</v>
      </c>
      <c r="F77" s="609" t="s">
        <v>109</v>
      </c>
      <c r="G77" s="609" t="s">
        <v>109</v>
      </c>
      <c r="H77" s="609" t="s">
        <v>109</v>
      </c>
      <c r="I77" s="609" t="s">
        <v>109</v>
      </c>
      <c r="J77" s="609" t="s">
        <v>109</v>
      </c>
      <c r="K77" s="609" t="s">
        <v>109</v>
      </c>
      <c r="L77" s="609" t="s">
        <v>109</v>
      </c>
      <c r="M77" s="609" t="s">
        <v>109</v>
      </c>
      <c r="N77" s="609" t="s">
        <v>109</v>
      </c>
      <c r="O77" s="609" t="s">
        <v>109</v>
      </c>
      <c r="P77" s="609" t="s">
        <v>109</v>
      </c>
      <c r="Q77" s="609" t="s">
        <v>109</v>
      </c>
      <c r="R77" s="609" t="s">
        <v>109</v>
      </c>
      <c r="S77" s="609" t="s">
        <v>109</v>
      </c>
      <c r="T77" s="609" t="s">
        <v>109</v>
      </c>
      <c r="U77" s="609" t="s">
        <v>109</v>
      </c>
      <c r="V77" s="609" t="s">
        <v>109</v>
      </c>
      <c r="W77" s="609" t="s">
        <v>109</v>
      </c>
      <c r="X77" s="609" t="s">
        <v>109</v>
      </c>
      <c r="Y77" s="609" t="s">
        <v>109</v>
      </c>
      <c r="Z77" s="609" t="s">
        <v>109</v>
      </c>
      <c r="AA77" s="609" t="s">
        <v>109</v>
      </c>
      <c r="AB77" s="609" t="s">
        <v>109</v>
      </c>
      <c r="AC77" s="609" t="s">
        <v>109</v>
      </c>
      <c r="AD77" s="609" t="s">
        <v>109</v>
      </c>
      <c r="AE77" s="609" t="s">
        <v>109</v>
      </c>
      <c r="AF77" s="609" t="s">
        <v>109</v>
      </c>
      <c r="AG77" s="609" t="s">
        <v>109</v>
      </c>
      <c r="AH77" s="35">
        <f t="shared" si="17"/>
        <v>0</v>
      </c>
      <c r="AL77" s="2187">
        <f t="shared" si="18"/>
        <v>0</v>
      </c>
      <c r="AN77" s="1523" t="s">
        <v>79</v>
      </c>
      <c r="AO77" s="52">
        <f t="shared" si="15"/>
        <v>0</v>
      </c>
      <c r="AP77" s="1091"/>
      <c r="AQ77" s="3183"/>
      <c r="AR77" s="1268"/>
      <c r="AS77" s="1268"/>
      <c r="AT77" s="1091"/>
      <c r="AU77" s="1091"/>
      <c r="AV77" s="1091"/>
      <c r="AW77" s="2068"/>
      <c r="AX77" s="2068"/>
      <c r="AY77" s="1268"/>
      <c r="AZ77" s="1268"/>
      <c r="BA77" s="1268"/>
      <c r="BB77" s="1268"/>
      <c r="BC77" s="1268"/>
      <c r="BD77" s="1268"/>
      <c r="BE77" s="1268"/>
      <c r="BF77" s="1268"/>
      <c r="BG77" s="1268"/>
      <c r="BH77" s="1268"/>
      <c r="BI77" s="1268"/>
      <c r="BJ77" s="609"/>
      <c r="BK77" s="609"/>
      <c r="BL77" s="609"/>
      <c r="BM77" s="609"/>
      <c r="BN77" s="609"/>
      <c r="BO77" s="609"/>
      <c r="BP77" s="609"/>
      <c r="BQ77" s="609"/>
      <c r="BR77" s="609"/>
      <c r="BS77" s="609"/>
      <c r="BT77" s="609"/>
      <c r="BU77" s="35">
        <f t="shared" si="19"/>
        <v>0</v>
      </c>
    </row>
    <row r="78" spans="1:75" ht="15">
      <c r="A78" s="1522" t="s">
        <v>81</v>
      </c>
      <c r="B78" s="52">
        <f t="shared" si="13"/>
        <v>0</v>
      </c>
      <c r="C78" s="609" t="s">
        <v>109</v>
      </c>
      <c r="D78" s="609" t="s">
        <v>109</v>
      </c>
      <c r="E78" s="609" t="s">
        <v>109</v>
      </c>
      <c r="F78" s="609" t="s">
        <v>109</v>
      </c>
      <c r="G78" s="609" t="s">
        <v>109</v>
      </c>
      <c r="H78" s="609" t="s">
        <v>109</v>
      </c>
      <c r="I78" s="609" t="s">
        <v>109</v>
      </c>
      <c r="J78" s="609" t="s">
        <v>109</v>
      </c>
      <c r="K78" s="609" t="s">
        <v>109</v>
      </c>
      <c r="L78" s="609" t="s">
        <v>109</v>
      </c>
      <c r="M78" s="609" t="s">
        <v>109</v>
      </c>
      <c r="N78" s="609" t="s">
        <v>109</v>
      </c>
      <c r="O78" s="609" t="s">
        <v>109</v>
      </c>
      <c r="P78" s="609" t="s">
        <v>109</v>
      </c>
      <c r="Q78" s="609" t="s">
        <v>109</v>
      </c>
      <c r="R78" s="609" t="s">
        <v>109</v>
      </c>
      <c r="S78" s="609" t="s">
        <v>109</v>
      </c>
      <c r="T78" s="609" t="s">
        <v>109</v>
      </c>
      <c r="U78" s="609" t="s">
        <v>109</v>
      </c>
      <c r="V78" s="609" t="s">
        <v>109</v>
      </c>
      <c r="W78" s="609" t="s">
        <v>109</v>
      </c>
      <c r="X78" s="609" t="s">
        <v>109</v>
      </c>
      <c r="Y78" s="609" t="s">
        <v>109</v>
      </c>
      <c r="Z78" s="609" t="s">
        <v>109</v>
      </c>
      <c r="AA78" s="609" t="s">
        <v>109</v>
      </c>
      <c r="AB78" s="609" t="s">
        <v>109</v>
      </c>
      <c r="AC78" s="609" t="s">
        <v>109</v>
      </c>
      <c r="AD78" s="609" t="s">
        <v>109</v>
      </c>
      <c r="AE78" s="609" t="s">
        <v>109</v>
      </c>
      <c r="AF78" s="609" t="s">
        <v>109</v>
      </c>
      <c r="AG78" s="609" t="s">
        <v>109</v>
      </c>
      <c r="AH78" s="35">
        <f t="shared" si="17"/>
        <v>0</v>
      </c>
      <c r="AL78" s="2187">
        <f t="shared" si="18"/>
        <v>0</v>
      </c>
      <c r="AN78" s="1523" t="s">
        <v>80</v>
      </c>
      <c r="AO78" s="52">
        <f t="shared" si="15"/>
        <v>0</v>
      </c>
      <c r="AP78" s="609" t="s">
        <v>109</v>
      </c>
      <c r="AQ78" s="609" t="s">
        <v>109</v>
      </c>
      <c r="AR78" s="609" t="s">
        <v>109</v>
      </c>
      <c r="AS78" s="609" t="s">
        <v>109</v>
      </c>
      <c r="AT78" s="609" t="s">
        <v>109</v>
      </c>
      <c r="AU78" s="609" t="s">
        <v>109</v>
      </c>
      <c r="AV78" s="609" t="s">
        <v>109</v>
      </c>
      <c r="AW78" s="609" t="s">
        <v>109</v>
      </c>
      <c r="AX78" s="609" t="s">
        <v>109</v>
      </c>
      <c r="AY78" s="609" t="s">
        <v>109</v>
      </c>
      <c r="AZ78" s="609" t="s">
        <v>109</v>
      </c>
      <c r="BA78" s="609" t="s">
        <v>109</v>
      </c>
      <c r="BB78" s="609" t="s">
        <v>109</v>
      </c>
      <c r="BC78" s="609" t="s">
        <v>109</v>
      </c>
      <c r="BD78" s="609" t="s">
        <v>109</v>
      </c>
      <c r="BE78" s="609" t="s">
        <v>109</v>
      </c>
      <c r="BF78" s="609" t="s">
        <v>109</v>
      </c>
      <c r="BG78" s="609" t="s">
        <v>109</v>
      </c>
      <c r="BH78" s="609" t="s">
        <v>109</v>
      </c>
      <c r="BI78" s="609" t="s">
        <v>109</v>
      </c>
      <c r="BJ78" s="609" t="s">
        <v>109</v>
      </c>
      <c r="BK78" s="609" t="s">
        <v>109</v>
      </c>
      <c r="BL78" s="609" t="s">
        <v>109</v>
      </c>
      <c r="BM78" s="609" t="s">
        <v>109</v>
      </c>
      <c r="BN78" s="609" t="s">
        <v>109</v>
      </c>
      <c r="BO78" s="609" t="s">
        <v>109</v>
      </c>
      <c r="BP78" s="609" t="s">
        <v>109</v>
      </c>
      <c r="BQ78" s="609" t="s">
        <v>109</v>
      </c>
      <c r="BR78" s="609" t="s">
        <v>109</v>
      </c>
      <c r="BS78" s="609" t="s">
        <v>109</v>
      </c>
      <c r="BT78" s="609" t="s">
        <v>109</v>
      </c>
      <c r="BU78" s="35">
        <f t="shared" si="19"/>
        <v>0</v>
      </c>
    </row>
    <row r="79" spans="1:75" ht="15">
      <c r="A79" s="1522" t="s">
        <v>82</v>
      </c>
      <c r="B79" s="52">
        <f t="shared" si="13"/>
        <v>0</v>
      </c>
      <c r="C79" s="609" t="s">
        <v>109</v>
      </c>
      <c r="D79" s="609" t="s">
        <v>109</v>
      </c>
      <c r="E79" s="609" t="s">
        <v>109</v>
      </c>
      <c r="F79" s="609" t="s">
        <v>109</v>
      </c>
      <c r="G79" s="609" t="s">
        <v>109</v>
      </c>
      <c r="H79" s="609" t="s">
        <v>109</v>
      </c>
      <c r="I79" s="609" t="s">
        <v>109</v>
      </c>
      <c r="J79" s="609" t="s">
        <v>109</v>
      </c>
      <c r="K79" s="609" t="s">
        <v>109</v>
      </c>
      <c r="L79" s="609" t="s">
        <v>109</v>
      </c>
      <c r="M79" s="609" t="s">
        <v>109</v>
      </c>
      <c r="N79" s="609" t="s">
        <v>109</v>
      </c>
      <c r="O79" s="609" t="s">
        <v>109</v>
      </c>
      <c r="P79" s="609" t="s">
        <v>109</v>
      </c>
      <c r="Q79" s="609" t="s">
        <v>109</v>
      </c>
      <c r="R79" s="609" t="s">
        <v>109</v>
      </c>
      <c r="S79" s="609" t="s">
        <v>109</v>
      </c>
      <c r="T79" s="609" t="s">
        <v>109</v>
      </c>
      <c r="U79" s="609" t="s">
        <v>109</v>
      </c>
      <c r="V79" s="609" t="s">
        <v>109</v>
      </c>
      <c r="W79" s="609" t="s">
        <v>109</v>
      </c>
      <c r="X79" s="1091"/>
      <c r="Y79" s="1091"/>
      <c r="Z79" s="1091"/>
      <c r="AA79" s="1091"/>
      <c r="AB79" s="1091"/>
      <c r="AC79" s="1091"/>
      <c r="AD79" s="1091"/>
      <c r="AE79" s="1268"/>
      <c r="AF79" s="1091"/>
      <c r="AG79" s="1268"/>
      <c r="AH79" s="35">
        <f t="shared" si="17"/>
        <v>0</v>
      </c>
      <c r="AL79" s="2187">
        <f t="shared" si="18"/>
        <v>0</v>
      </c>
      <c r="AN79" s="1522" t="s">
        <v>81</v>
      </c>
      <c r="AO79" s="52">
        <f t="shared" si="15"/>
        <v>0</v>
      </c>
      <c r="AP79" s="609" t="s">
        <v>109</v>
      </c>
      <c r="AQ79" s="609" t="s">
        <v>109</v>
      </c>
      <c r="AR79" s="609" t="s">
        <v>109</v>
      </c>
      <c r="AS79" s="609" t="s">
        <v>109</v>
      </c>
      <c r="AT79" s="609" t="s">
        <v>109</v>
      </c>
      <c r="AU79" s="609" t="s">
        <v>109</v>
      </c>
      <c r="AV79" s="609" t="s">
        <v>109</v>
      </c>
      <c r="AW79" s="609" t="s">
        <v>109</v>
      </c>
      <c r="AX79" s="609" t="s">
        <v>109</v>
      </c>
      <c r="AY79" s="609" t="s">
        <v>109</v>
      </c>
      <c r="AZ79" s="609" t="s">
        <v>109</v>
      </c>
      <c r="BA79" s="609" t="s">
        <v>109</v>
      </c>
      <c r="BB79" s="609" t="s">
        <v>109</v>
      </c>
      <c r="BC79" s="609" t="s">
        <v>109</v>
      </c>
      <c r="BD79" s="609" t="s">
        <v>109</v>
      </c>
      <c r="BE79" s="609" t="s">
        <v>109</v>
      </c>
      <c r="BF79" s="609" t="s">
        <v>109</v>
      </c>
      <c r="BG79" s="609" t="s">
        <v>109</v>
      </c>
      <c r="BH79" s="609" t="s">
        <v>109</v>
      </c>
      <c r="BI79" s="609" t="s">
        <v>109</v>
      </c>
      <c r="BJ79" s="609" t="s">
        <v>109</v>
      </c>
      <c r="BK79" s="609" t="s">
        <v>109</v>
      </c>
      <c r="BL79" s="609" t="s">
        <v>109</v>
      </c>
      <c r="BM79" s="609" t="s">
        <v>109</v>
      </c>
      <c r="BN79" s="609" t="s">
        <v>109</v>
      </c>
      <c r="BO79" s="609" t="s">
        <v>109</v>
      </c>
      <c r="BP79" s="609" t="s">
        <v>109</v>
      </c>
      <c r="BQ79" s="609" t="s">
        <v>109</v>
      </c>
      <c r="BR79" s="609" t="s">
        <v>109</v>
      </c>
      <c r="BS79" s="609" t="s">
        <v>109</v>
      </c>
      <c r="BT79" s="609" t="s">
        <v>109</v>
      </c>
      <c r="BU79" s="35">
        <f t="shared" si="19"/>
        <v>0</v>
      </c>
    </row>
    <row r="80" spans="1:75" ht="15">
      <c r="A80" s="1522" t="s">
        <v>83</v>
      </c>
      <c r="B80" s="52">
        <f t="shared" si="13"/>
        <v>0</v>
      </c>
      <c r="C80" s="35"/>
      <c r="D80" s="15"/>
      <c r="E80" s="15"/>
      <c r="F80" s="15"/>
      <c r="G80" s="11"/>
      <c r="H80" s="15"/>
      <c r="I80" s="15"/>
      <c r="J80" s="15"/>
      <c r="K80" s="15"/>
      <c r="L80" s="15"/>
      <c r="M80" s="15"/>
      <c r="N80" s="15"/>
      <c r="O80" s="15"/>
      <c r="P80" s="15"/>
      <c r="Q80" s="15"/>
      <c r="R80" s="15"/>
      <c r="S80" s="15"/>
      <c r="T80" s="15"/>
      <c r="U80" s="15"/>
      <c r="V80" s="15"/>
      <c r="W80" s="15"/>
      <c r="X80" s="15"/>
      <c r="Y80" s="11"/>
      <c r="Z80" s="15"/>
      <c r="AA80" s="15"/>
      <c r="AB80" s="15"/>
      <c r="AC80" s="15"/>
      <c r="AD80" s="15"/>
      <c r="AE80" s="39"/>
      <c r="AF80" s="15"/>
      <c r="AG80" s="39"/>
      <c r="AH80" s="35">
        <f t="shared" si="17"/>
        <v>0</v>
      </c>
      <c r="AL80" s="2187">
        <f t="shared" si="18"/>
        <v>0</v>
      </c>
      <c r="AN80" s="1522" t="s">
        <v>82</v>
      </c>
      <c r="AO80" s="52">
        <f t="shared" si="15"/>
        <v>0</v>
      </c>
      <c r="AP80" s="609" t="s">
        <v>109</v>
      </c>
      <c r="AQ80" s="609" t="s">
        <v>109</v>
      </c>
      <c r="AR80" s="609" t="s">
        <v>109</v>
      </c>
      <c r="AS80" s="609" t="s">
        <v>109</v>
      </c>
      <c r="AT80" s="609" t="s">
        <v>109</v>
      </c>
      <c r="AU80" s="609" t="s">
        <v>109</v>
      </c>
      <c r="AV80" s="609" t="s">
        <v>109</v>
      </c>
      <c r="AW80" s="609" t="s">
        <v>109</v>
      </c>
      <c r="AX80" s="609" t="s">
        <v>109</v>
      </c>
      <c r="AY80" s="609" t="s">
        <v>109</v>
      </c>
      <c r="AZ80" s="609" t="s">
        <v>109</v>
      </c>
      <c r="BA80" s="609" t="s">
        <v>109</v>
      </c>
      <c r="BB80" s="609" t="s">
        <v>109</v>
      </c>
      <c r="BC80" s="609" t="s">
        <v>109</v>
      </c>
      <c r="BD80" s="609" t="s">
        <v>109</v>
      </c>
      <c r="BE80" s="609" t="s">
        <v>109</v>
      </c>
      <c r="BF80" s="609" t="s">
        <v>109</v>
      </c>
      <c r="BG80" s="609" t="s">
        <v>109</v>
      </c>
      <c r="BH80" s="609" t="s">
        <v>109</v>
      </c>
      <c r="BI80" s="609" t="s">
        <v>109</v>
      </c>
      <c r="BJ80" s="609" t="s">
        <v>109</v>
      </c>
      <c r="BK80" s="1091"/>
      <c r="BL80" s="1091"/>
      <c r="BM80" s="1091"/>
      <c r="BN80" s="1091"/>
      <c r="BO80" s="1091"/>
      <c r="BP80" s="1091"/>
      <c r="BQ80" s="1091"/>
      <c r="BR80" s="1268"/>
      <c r="BS80" s="1091"/>
      <c r="BT80" s="1268"/>
      <c r="BU80" s="35">
        <f t="shared" si="19"/>
        <v>0</v>
      </c>
    </row>
    <row r="81" spans="1:73" ht="15">
      <c r="A81" s="1522" t="s">
        <v>84</v>
      </c>
      <c r="B81" s="52">
        <f t="shared" si="13"/>
        <v>0</v>
      </c>
      <c r="C81" s="35"/>
      <c r="D81" s="15"/>
      <c r="E81" s="15"/>
      <c r="F81" s="15"/>
      <c r="G81" s="15"/>
      <c r="H81" s="15"/>
      <c r="I81" s="15"/>
      <c r="J81" s="15"/>
      <c r="K81" s="15"/>
      <c r="L81" s="1084" t="s">
        <v>109</v>
      </c>
      <c r="M81" s="1084" t="s">
        <v>109</v>
      </c>
      <c r="N81" s="1084" t="s">
        <v>109</v>
      </c>
      <c r="O81" s="1084" t="s">
        <v>109</v>
      </c>
      <c r="P81" s="1084" t="s">
        <v>109</v>
      </c>
      <c r="Q81" s="1084" t="s">
        <v>109</v>
      </c>
      <c r="R81" s="1084" t="s">
        <v>109</v>
      </c>
      <c r="S81" s="1084" t="s">
        <v>109</v>
      </c>
      <c r="T81" s="1084" t="s">
        <v>109</v>
      </c>
      <c r="U81" s="1084" t="s">
        <v>109</v>
      </c>
      <c r="V81" s="1084" t="s">
        <v>109</v>
      </c>
      <c r="W81" s="1084" t="s">
        <v>109</v>
      </c>
      <c r="X81" s="1084" t="s">
        <v>109</v>
      </c>
      <c r="Y81" s="1084" t="s">
        <v>109</v>
      </c>
      <c r="Z81" s="1084" t="s">
        <v>109</v>
      </c>
      <c r="AA81" s="1084" t="s">
        <v>109</v>
      </c>
      <c r="AB81" s="1084" t="s">
        <v>109</v>
      </c>
      <c r="AC81" s="1084" t="s">
        <v>109</v>
      </c>
      <c r="AD81" s="1084" t="s">
        <v>109</v>
      </c>
      <c r="AE81" s="1084" t="s">
        <v>109</v>
      </c>
      <c r="AF81" s="1084" t="s">
        <v>109</v>
      </c>
      <c r="AG81" s="1084" t="s">
        <v>109</v>
      </c>
      <c r="AH81" s="35">
        <f t="shared" si="17"/>
        <v>0</v>
      </c>
      <c r="AL81" s="2187">
        <f t="shared" si="18"/>
        <v>2601.1860000000001</v>
      </c>
      <c r="AN81" s="1522" t="s">
        <v>83</v>
      </c>
      <c r="AO81" s="52">
        <f t="shared" si="15"/>
        <v>2601.1860000000001</v>
      </c>
      <c r="AP81" s="35"/>
      <c r="AQ81" s="15"/>
      <c r="AR81" s="15"/>
      <c r="AS81" s="15"/>
      <c r="AT81" s="11"/>
      <c r="AU81" s="15"/>
      <c r="AV81" s="15"/>
      <c r="AW81" s="15"/>
      <c r="AX81" s="15"/>
      <c r="AY81" s="15"/>
      <c r="AZ81" s="15"/>
      <c r="BA81" s="15"/>
      <c r="BB81" s="15"/>
      <c r="BC81" s="15"/>
      <c r="BD81" s="15"/>
      <c r="BE81" s="15"/>
      <c r="BF81" s="15"/>
      <c r="BG81" s="35"/>
      <c r="BH81" s="15">
        <v>2601.1860000000001</v>
      </c>
      <c r="BI81" s="15"/>
      <c r="BJ81" s="15"/>
      <c r="BK81" s="15"/>
      <c r="BL81" s="11"/>
      <c r="BM81" s="15"/>
      <c r="BN81" s="15"/>
      <c r="BO81" s="15"/>
      <c r="BP81" s="15"/>
      <c r="BQ81" s="15"/>
      <c r="BR81" s="39"/>
      <c r="BS81" s="15"/>
      <c r="BT81" s="39"/>
      <c r="BU81" s="35">
        <f t="shared" si="19"/>
        <v>2601.1860000000001</v>
      </c>
    </row>
    <row r="82" spans="1:73" ht="15">
      <c r="A82" s="71" t="s">
        <v>50</v>
      </c>
      <c r="B82" s="72">
        <f t="shared" ref="B82:AG82" si="20">SUM(B70:B81)</f>
        <v>5170.7629999999999</v>
      </c>
      <c r="C82" s="35">
        <f t="shared" si="20"/>
        <v>0</v>
      </c>
      <c r="D82" s="35">
        <f t="shared" si="20"/>
        <v>0</v>
      </c>
      <c r="E82" s="35">
        <f t="shared" si="20"/>
        <v>0</v>
      </c>
      <c r="F82" s="35">
        <f t="shared" si="20"/>
        <v>203.59100000000001</v>
      </c>
      <c r="G82" s="35">
        <f t="shared" si="20"/>
        <v>74.113</v>
      </c>
      <c r="H82" s="35">
        <f t="shared" si="20"/>
        <v>250.39600000000002</v>
      </c>
      <c r="I82" s="35">
        <f t="shared" si="20"/>
        <v>519.77</v>
      </c>
      <c r="J82" s="35">
        <f t="shared" si="20"/>
        <v>285.589</v>
      </c>
      <c r="K82" s="35">
        <f t="shared" si="20"/>
        <v>190.80500000000001</v>
      </c>
      <c r="L82" s="35">
        <f t="shared" si="20"/>
        <v>75.78</v>
      </c>
      <c r="M82" s="35">
        <f t="shared" si="20"/>
        <v>129.267</v>
      </c>
      <c r="N82" s="35">
        <f t="shared" si="20"/>
        <v>71.42</v>
      </c>
      <c r="O82" s="35">
        <f t="shared" si="20"/>
        <v>821.346</v>
      </c>
      <c r="P82" s="35">
        <f t="shared" si="20"/>
        <v>380.05500000000001</v>
      </c>
      <c r="Q82" s="35">
        <f t="shared" si="20"/>
        <v>302.065</v>
      </c>
      <c r="R82" s="35">
        <f t="shared" si="20"/>
        <v>75.67</v>
      </c>
      <c r="S82" s="35">
        <f t="shared" si="20"/>
        <v>143.77199999999999</v>
      </c>
      <c r="T82" s="35">
        <f t="shared" si="20"/>
        <v>304.17600000000004</v>
      </c>
      <c r="U82" s="35">
        <f t="shared" si="20"/>
        <v>322.565</v>
      </c>
      <c r="V82" s="35">
        <f t="shared" si="20"/>
        <v>143.44999999999999</v>
      </c>
      <c r="W82" s="35">
        <f t="shared" si="20"/>
        <v>96.39</v>
      </c>
      <c r="X82" s="35">
        <f t="shared" si="20"/>
        <v>0</v>
      </c>
      <c r="Y82" s="35">
        <f t="shared" si="20"/>
        <v>0</v>
      </c>
      <c r="Z82" s="35">
        <f t="shared" si="20"/>
        <v>212.08500000000001</v>
      </c>
      <c r="AA82" s="35">
        <f t="shared" si="20"/>
        <v>110.36</v>
      </c>
      <c r="AB82" s="35">
        <f t="shared" si="20"/>
        <v>225.435</v>
      </c>
      <c r="AC82" s="35">
        <f t="shared" si="20"/>
        <v>232.66300000000001</v>
      </c>
      <c r="AD82" s="35">
        <f t="shared" si="20"/>
        <v>0</v>
      </c>
      <c r="AE82" s="35">
        <f t="shared" si="20"/>
        <v>0</v>
      </c>
      <c r="AF82" s="35">
        <f t="shared" si="20"/>
        <v>0</v>
      </c>
      <c r="AG82" s="35">
        <f t="shared" si="20"/>
        <v>0</v>
      </c>
      <c r="AH82" s="35">
        <f>SUM(AH70:AH81)</f>
        <v>5170.7629999999999</v>
      </c>
      <c r="AL82" s="2187">
        <f>+AH81+AO82</f>
        <v>0</v>
      </c>
      <c r="AN82" s="1522" t="s">
        <v>84</v>
      </c>
      <c r="AO82" s="52">
        <f t="shared" si="15"/>
        <v>0</v>
      </c>
      <c r="AP82" s="35"/>
      <c r="AQ82" s="15"/>
      <c r="AR82" s="15"/>
      <c r="AS82" s="15"/>
      <c r="AT82" s="15"/>
      <c r="AU82" s="15"/>
      <c r="AV82" s="15"/>
      <c r="AW82" s="15"/>
      <c r="AX82" s="15"/>
      <c r="AY82" s="1084"/>
      <c r="AZ82" s="1084"/>
      <c r="BA82" s="1084"/>
      <c r="BB82" s="1084"/>
      <c r="BC82" s="1084"/>
      <c r="BD82" s="1084"/>
      <c r="BE82" s="1084"/>
      <c r="BF82" s="1084"/>
      <c r="BG82" s="1084"/>
      <c r="BH82" s="1084"/>
      <c r="BI82" s="1084"/>
      <c r="BJ82" s="1084"/>
      <c r="BK82" s="1084"/>
      <c r="BL82" s="1084"/>
      <c r="BM82" s="1084"/>
      <c r="BN82" s="1084"/>
      <c r="BO82" s="1084"/>
      <c r="BP82" s="1084"/>
      <c r="BQ82" s="1084"/>
      <c r="BR82" s="1084"/>
      <c r="BS82" s="1084"/>
      <c r="BT82" s="1084"/>
      <c r="BU82" s="35">
        <f t="shared" si="19"/>
        <v>0</v>
      </c>
    </row>
    <row r="83" spans="1:73" ht="15">
      <c r="AL83" s="2202">
        <f>SUM(AL71:AL82)</f>
        <v>7771.9490000000005</v>
      </c>
      <c r="AN83" s="71" t="s">
        <v>50</v>
      </c>
      <c r="AO83" s="72">
        <f t="shared" ref="AO83:BT83" si="21">SUM(AO71:AO82)</f>
        <v>2601.1860000000001</v>
      </c>
      <c r="AP83" s="35">
        <f t="shared" si="21"/>
        <v>0</v>
      </c>
      <c r="AQ83" s="35">
        <f t="shared" si="21"/>
        <v>0</v>
      </c>
      <c r="AR83" s="35">
        <f t="shared" si="21"/>
        <v>0</v>
      </c>
      <c r="AS83" s="35">
        <f t="shared" si="21"/>
        <v>0</v>
      </c>
      <c r="AT83" s="35">
        <f t="shared" si="21"/>
        <v>0</v>
      </c>
      <c r="AU83" s="35">
        <f t="shared" si="21"/>
        <v>0</v>
      </c>
      <c r="AV83" s="35">
        <f t="shared" si="21"/>
        <v>0</v>
      </c>
      <c r="AW83" s="35">
        <f t="shared" si="21"/>
        <v>0</v>
      </c>
      <c r="AX83" s="35">
        <f t="shared" si="21"/>
        <v>0</v>
      </c>
      <c r="AY83" s="35">
        <f t="shared" si="21"/>
        <v>0</v>
      </c>
      <c r="AZ83" s="35">
        <f t="shared" si="21"/>
        <v>0</v>
      </c>
      <c r="BA83" s="35">
        <f t="shared" si="21"/>
        <v>0</v>
      </c>
      <c r="BB83" s="35">
        <f t="shared" si="21"/>
        <v>0</v>
      </c>
      <c r="BC83" s="35">
        <f t="shared" si="21"/>
        <v>0</v>
      </c>
      <c r="BD83" s="35">
        <f t="shared" si="21"/>
        <v>0</v>
      </c>
      <c r="BE83" s="35">
        <f t="shared" si="21"/>
        <v>0</v>
      </c>
      <c r="BF83" s="35">
        <f t="shared" si="21"/>
        <v>0</v>
      </c>
      <c r="BG83" s="35">
        <f t="shared" si="21"/>
        <v>0</v>
      </c>
      <c r="BH83" s="35">
        <f t="shared" si="21"/>
        <v>2601.1860000000001</v>
      </c>
      <c r="BI83" s="35">
        <f t="shared" si="21"/>
        <v>0</v>
      </c>
      <c r="BJ83" s="35">
        <f t="shared" si="21"/>
        <v>0</v>
      </c>
      <c r="BK83" s="35">
        <f t="shared" si="21"/>
        <v>0</v>
      </c>
      <c r="BL83" s="35">
        <f t="shared" si="21"/>
        <v>0</v>
      </c>
      <c r="BM83" s="35">
        <f t="shared" si="21"/>
        <v>0</v>
      </c>
      <c r="BN83" s="35">
        <f t="shared" si="21"/>
        <v>0</v>
      </c>
      <c r="BO83" s="35">
        <f t="shared" si="21"/>
        <v>0</v>
      </c>
      <c r="BP83" s="35">
        <f t="shared" si="21"/>
        <v>0</v>
      </c>
      <c r="BQ83" s="35">
        <f t="shared" si="21"/>
        <v>0</v>
      </c>
      <c r="BR83" s="35">
        <f t="shared" si="21"/>
        <v>0</v>
      </c>
      <c r="BS83" s="35">
        <f t="shared" si="21"/>
        <v>0</v>
      </c>
      <c r="BT83" s="35">
        <f t="shared" si="21"/>
        <v>0</v>
      </c>
      <c r="BU83" s="35">
        <f>SUM(BU71:BU82)</f>
        <v>2601.1860000000001</v>
      </c>
    </row>
    <row r="84" spans="1:73" ht="15" hidden="1">
      <c r="A84" s="3811" t="s">
        <v>53</v>
      </c>
      <c r="B84" s="3812"/>
      <c r="C84" s="3813"/>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
    </row>
    <row r="85" spans="1:73" ht="15" hidden="1">
      <c r="A85" s="5" t="s">
        <v>70</v>
      </c>
      <c r="B85" s="21" t="s">
        <v>71</v>
      </c>
      <c r="C85" s="5">
        <v>1</v>
      </c>
      <c r="D85" s="21">
        <v>2</v>
      </c>
      <c r="E85" s="21">
        <v>3</v>
      </c>
      <c r="F85" s="21">
        <v>4</v>
      </c>
      <c r="G85" s="21">
        <v>5</v>
      </c>
      <c r="H85" s="21">
        <v>6</v>
      </c>
      <c r="I85" s="21">
        <v>7</v>
      </c>
      <c r="J85" s="21">
        <v>8</v>
      </c>
      <c r="K85" s="21">
        <v>9</v>
      </c>
      <c r="L85" s="21">
        <v>10</v>
      </c>
      <c r="M85" s="21">
        <v>11</v>
      </c>
      <c r="N85" s="21">
        <v>12</v>
      </c>
      <c r="O85" s="21">
        <v>13</v>
      </c>
      <c r="P85" s="21">
        <v>14</v>
      </c>
      <c r="Q85" s="21">
        <v>15</v>
      </c>
      <c r="R85" s="21">
        <v>16</v>
      </c>
      <c r="S85" s="21">
        <v>17</v>
      </c>
      <c r="T85" s="21">
        <v>18</v>
      </c>
      <c r="U85" s="21">
        <v>19</v>
      </c>
      <c r="V85" s="21">
        <v>20</v>
      </c>
      <c r="W85" s="21">
        <v>21</v>
      </c>
      <c r="X85" s="21">
        <v>22</v>
      </c>
      <c r="Y85" s="21">
        <v>23</v>
      </c>
      <c r="Z85" s="21">
        <v>24</v>
      </c>
      <c r="AA85" s="21">
        <v>25</v>
      </c>
      <c r="AB85" s="21">
        <v>26</v>
      </c>
      <c r="AC85" s="21">
        <v>27</v>
      </c>
      <c r="AD85" s="21">
        <v>28</v>
      </c>
      <c r="AE85" s="21">
        <v>29</v>
      </c>
      <c r="AF85" s="21">
        <v>30</v>
      </c>
      <c r="AG85" s="21">
        <v>31</v>
      </c>
      <c r="AH85" s="5" t="s">
        <v>72</v>
      </c>
    </row>
    <row r="86" spans="1:73" ht="15" hidden="1">
      <c r="A86" s="1039" t="s">
        <v>73</v>
      </c>
      <c r="B86" s="15">
        <f t="shared" ref="B86:B97" si="22">+AH86</f>
        <v>0</v>
      </c>
      <c r="C86" s="65" t="s">
        <v>109</v>
      </c>
      <c r="D86" s="65" t="s">
        <v>109</v>
      </c>
      <c r="E86" s="65" t="s">
        <v>109</v>
      </c>
      <c r="F86" s="65" t="s">
        <v>109</v>
      </c>
      <c r="G86" s="65" t="s">
        <v>109</v>
      </c>
      <c r="H86" s="65" t="s">
        <v>109</v>
      </c>
      <c r="I86" s="65" t="s">
        <v>109</v>
      </c>
      <c r="J86" s="65" t="s">
        <v>109</v>
      </c>
      <c r="K86" s="65" t="s">
        <v>109</v>
      </c>
      <c r="L86" s="65" t="s">
        <v>109</v>
      </c>
      <c r="M86" s="65" t="s">
        <v>109</v>
      </c>
      <c r="N86" s="65" t="s">
        <v>109</v>
      </c>
      <c r="O86" s="65" t="s">
        <v>109</v>
      </c>
      <c r="P86" s="65" t="s">
        <v>109</v>
      </c>
      <c r="Q86" s="65" t="s">
        <v>109</v>
      </c>
      <c r="R86" s="65" t="s">
        <v>109</v>
      </c>
      <c r="S86" s="65" t="s">
        <v>109</v>
      </c>
      <c r="T86" s="65" t="s">
        <v>109</v>
      </c>
      <c r="U86" s="65" t="s">
        <v>109</v>
      </c>
      <c r="V86" s="65" t="s">
        <v>109</v>
      </c>
      <c r="W86" s="65" t="s">
        <v>109</v>
      </c>
      <c r="X86" s="65" t="s">
        <v>109</v>
      </c>
      <c r="Y86" s="65" t="s">
        <v>109</v>
      </c>
      <c r="Z86" s="65" t="s">
        <v>109</v>
      </c>
      <c r="AA86" s="65" t="s">
        <v>109</v>
      </c>
      <c r="AB86" s="65" t="s">
        <v>109</v>
      </c>
      <c r="AC86" s="65" t="s">
        <v>109</v>
      </c>
      <c r="AD86" s="65" t="s">
        <v>109</v>
      </c>
      <c r="AE86" s="65" t="s">
        <v>109</v>
      </c>
      <c r="AF86" s="65" t="s">
        <v>109</v>
      </c>
      <c r="AG86" s="65" t="s">
        <v>109</v>
      </c>
      <c r="AH86" s="35">
        <f>SUM(C86:AG86)</f>
        <v>0</v>
      </c>
    </row>
    <row r="87" spans="1:73" ht="15" hidden="1">
      <c r="A87" s="1039" t="s">
        <v>74</v>
      </c>
      <c r="B87" s="15">
        <f t="shared" si="22"/>
        <v>0</v>
      </c>
      <c r="C87" s="65" t="s">
        <v>109</v>
      </c>
      <c r="D87" s="65" t="s">
        <v>109</v>
      </c>
      <c r="E87" s="65" t="s">
        <v>109</v>
      </c>
      <c r="F87" s="65" t="s">
        <v>109</v>
      </c>
      <c r="G87" s="65" t="s">
        <v>109</v>
      </c>
      <c r="H87" s="65" t="s">
        <v>109</v>
      </c>
      <c r="I87" s="65" t="s">
        <v>109</v>
      </c>
      <c r="J87" s="65" t="s">
        <v>109</v>
      </c>
      <c r="K87" s="65" t="s">
        <v>109</v>
      </c>
      <c r="L87" s="65" t="s">
        <v>109</v>
      </c>
      <c r="M87" s="65" t="s">
        <v>109</v>
      </c>
      <c r="N87" s="65" t="s">
        <v>109</v>
      </c>
      <c r="O87" s="65" t="s">
        <v>109</v>
      </c>
      <c r="P87" s="65" t="s">
        <v>109</v>
      </c>
      <c r="Q87" s="65" t="s">
        <v>109</v>
      </c>
      <c r="R87" s="65" t="s">
        <v>109</v>
      </c>
      <c r="S87" s="65" t="s">
        <v>109</v>
      </c>
      <c r="T87" s="65" t="s">
        <v>109</v>
      </c>
      <c r="U87" s="65" t="s">
        <v>109</v>
      </c>
      <c r="V87" s="65" t="s">
        <v>109</v>
      </c>
      <c r="W87" s="65" t="s">
        <v>109</v>
      </c>
      <c r="X87" s="65" t="s">
        <v>109</v>
      </c>
      <c r="Y87" s="65" t="s">
        <v>109</v>
      </c>
      <c r="Z87" s="65" t="s">
        <v>109</v>
      </c>
      <c r="AA87" s="65" t="s">
        <v>109</v>
      </c>
      <c r="AB87" s="65" t="s">
        <v>109</v>
      </c>
      <c r="AC87" s="65" t="s">
        <v>109</v>
      </c>
      <c r="AD87" s="65" t="s">
        <v>109</v>
      </c>
      <c r="AE87" s="65" t="s">
        <v>109</v>
      </c>
      <c r="AF87" s="65" t="s">
        <v>109</v>
      </c>
      <c r="AG87" s="65" t="s">
        <v>109</v>
      </c>
      <c r="AH87" s="35">
        <f t="shared" ref="AH87:AH97" si="23">SUM(C87:AG87)</f>
        <v>0</v>
      </c>
    </row>
    <row r="88" spans="1:73" ht="15" hidden="1">
      <c r="A88" s="1039" t="s">
        <v>75</v>
      </c>
      <c r="B88" s="15">
        <f t="shared" si="22"/>
        <v>0</v>
      </c>
      <c r="C88" s="65" t="s">
        <v>109</v>
      </c>
      <c r="D88" s="65" t="s">
        <v>109</v>
      </c>
      <c r="E88" s="65" t="s">
        <v>109</v>
      </c>
      <c r="F88" s="65" t="s">
        <v>109</v>
      </c>
      <c r="G88" s="65" t="s">
        <v>109</v>
      </c>
      <c r="H88" s="35"/>
      <c r="I88" s="15"/>
      <c r="J88" s="15"/>
      <c r="K88" s="15"/>
      <c r="L88" s="15"/>
      <c r="M88" s="15"/>
      <c r="N88" s="15"/>
      <c r="O88" s="15"/>
      <c r="P88" s="15"/>
      <c r="Q88" s="15"/>
      <c r="R88" s="15"/>
      <c r="S88" s="15"/>
      <c r="T88" s="15"/>
      <c r="U88" s="15"/>
      <c r="V88" s="15"/>
      <c r="W88" s="15"/>
      <c r="X88" s="15"/>
      <c r="Y88" s="15"/>
      <c r="Z88" s="15"/>
      <c r="AA88" s="15"/>
      <c r="AB88" s="15"/>
      <c r="AC88" s="65" t="s">
        <v>109</v>
      </c>
      <c r="AD88" s="65" t="s">
        <v>109</v>
      </c>
      <c r="AE88" s="65" t="s">
        <v>109</v>
      </c>
      <c r="AF88" s="65" t="s">
        <v>109</v>
      </c>
      <c r="AG88" s="65" t="s">
        <v>109</v>
      </c>
      <c r="AH88" s="35">
        <f t="shared" si="23"/>
        <v>0</v>
      </c>
    </row>
    <row r="89" spans="1:73" ht="15" hidden="1">
      <c r="A89" s="1039" t="s">
        <v>76</v>
      </c>
      <c r="B89" s="15">
        <f t="shared" si="22"/>
        <v>0</v>
      </c>
      <c r="C89" s="65" t="s">
        <v>109</v>
      </c>
      <c r="D89" s="65" t="s">
        <v>109</v>
      </c>
      <c r="E89" s="65" t="s">
        <v>109</v>
      </c>
      <c r="F89" s="65" t="s">
        <v>109</v>
      </c>
      <c r="G89" s="65" t="s">
        <v>109</v>
      </c>
      <c r="H89" s="65" t="s">
        <v>109</v>
      </c>
      <c r="I89" s="65" t="s">
        <v>109</v>
      </c>
      <c r="J89" s="65" t="s">
        <v>109</v>
      </c>
      <c r="K89" s="65" t="s">
        <v>109</v>
      </c>
      <c r="L89" s="15"/>
      <c r="M89" s="15"/>
      <c r="N89" s="15"/>
      <c r="O89" s="15"/>
      <c r="P89" s="15"/>
      <c r="Q89" s="15"/>
      <c r="R89" s="15"/>
      <c r="S89" s="15"/>
      <c r="T89" s="15"/>
      <c r="U89" s="15"/>
      <c r="V89" s="15"/>
      <c r="W89" s="15"/>
      <c r="X89" s="15"/>
      <c r="Y89" s="15"/>
      <c r="Z89" s="15"/>
      <c r="AA89" s="15"/>
      <c r="AB89" s="15"/>
      <c r="AC89" s="15"/>
      <c r="AD89" s="15"/>
      <c r="AE89" s="15"/>
      <c r="AF89" s="15"/>
      <c r="AG89" s="15"/>
      <c r="AH89" s="35">
        <f t="shared" si="23"/>
        <v>0</v>
      </c>
    </row>
    <row r="90" spans="1:73" ht="15" hidden="1">
      <c r="A90" s="1523" t="s">
        <v>77</v>
      </c>
      <c r="B90" s="15">
        <f t="shared" si="22"/>
        <v>0</v>
      </c>
      <c r="C90" s="35"/>
      <c r="D90" s="15"/>
      <c r="E90" s="15"/>
      <c r="F90" s="15"/>
      <c r="G90" s="15"/>
      <c r="H90" s="3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35">
        <f t="shared" si="23"/>
        <v>0</v>
      </c>
    </row>
    <row r="91" spans="1:73" ht="15" hidden="1">
      <c r="A91" s="1523" t="s">
        <v>78</v>
      </c>
      <c r="B91" s="15">
        <f t="shared" si="22"/>
        <v>0</v>
      </c>
      <c r="C91" s="35"/>
      <c r="D91" s="15"/>
      <c r="E91" s="15"/>
      <c r="F91" s="15"/>
      <c r="G91" s="15"/>
      <c r="H91" s="65" t="s">
        <v>90</v>
      </c>
      <c r="I91" s="65" t="s">
        <v>90</v>
      </c>
      <c r="J91" s="65" t="s">
        <v>90</v>
      </c>
      <c r="K91" s="65" t="s">
        <v>90</v>
      </c>
      <c r="L91" s="65" t="s">
        <v>90</v>
      </c>
      <c r="M91" s="65" t="s">
        <v>90</v>
      </c>
      <c r="N91" s="65" t="s">
        <v>90</v>
      </c>
      <c r="O91" s="65" t="s">
        <v>90</v>
      </c>
      <c r="P91" s="65" t="s">
        <v>90</v>
      </c>
      <c r="Q91" s="65" t="s">
        <v>90</v>
      </c>
      <c r="R91" s="65" t="s">
        <v>90</v>
      </c>
      <c r="S91" s="65" t="s">
        <v>90</v>
      </c>
      <c r="T91" s="65" t="s">
        <v>90</v>
      </c>
      <c r="U91" s="65" t="s">
        <v>90</v>
      </c>
      <c r="V91" s="65" t="s">
        <v>90</v>
      </c>
      <c r="W91" s="65" t="s">
        <v>90</v>
      </c>
      <c r="X91" s="65" t="s">
        <v>90</v>
      </c>
      <c r="Y91" s="15"/>
      <c r="Z91" s="15"/>
      <c r="AA91" s="15"/>
      <c r="AB91" s="15"/>
      <c r="AC91" s="15"/>
      <c r="AD91" s="15"/>
      <c r="AE91" s="15"/>
      <c r="AF91" s="15"/>
      <c r="AG91" s="15"/>
      <c r="AH91" s="35">
        <f t="shared" si="23"/>
        <v>0</v>
      </c>
    </row>
    <row r="92" spans="1:73" ht="15" hidden="1">
      <c r="A92" s="1523" t="s">
        <v>79</v>
      </c>
      <c r="B92" s="15">
        <f t="shared" si="22"/>
        <v>0</v>
      </c>
      <c r="C92" s="35"/>
      <c r="D92" s="15"/>
      <c r="E92" s="15"/>
      <c r="F92" s="15"/>
      <c r="G92" s="15"/>
      <c r="H92" s="3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35">
        <f t="shared" si="23"/>
        <v>0</v>
      </c>
    </row>
    <row r="93" spans="1:73" ht="15" hidden="1">
      <c r="A93" s="1523" t="s">
        <v>80</v>
      </c>
      <c r="B93" s="15">
        <f t="shared" si="22"/>
        <v>0</v>
      </c>
      <c r="C93" s="35"/>
      <c r="D93" s="15"/>
      <c r="E93" s="15"/>
      <c r="F93" s="15"/>
      <c r="G93" s="15"/>
      <c r="H93" s="15"/>
      <c r="I93" s="15"/>
      <c r="J93" s="752" t="s">
        <v>110</v>
      </c>
      <c r="K93" s="752" t="s">
        <v>110</v>
      </c>
      <c r="L93" s="752" t="s">
        <v>110</v>
      </c>
      <c r="M93" s="65" t="s">
        <v>110</v>
      </c>
      <c r="N93" s="65" t="s">
        <v>110</v>
      </c>
      <c r="O93" s="65" t="s">
        <v>110</v>
      </c>
      <c r="P93" s="65" t="s">
        <v>110</v>
      </c>
      <c r="Q93" s="65" t="s">
        <v>110</v>
      </c>
      <c r="R93" s="65" t="s">
        <v>110</v>
      </c>
      <c r="S93" s="65" t="s">
        <v>110</v>
      </c>
      <c r="T93" s="65" t="s">
        <v>110</v>
      </c>
      <c r="U93" s="65" t="s">
        <v>110</v>
      </c>
      <c r="V93" s="65" t="s">
        <v>110</v>
      </c>
      <c r="W93" s="65" t="s">
        <v>110</v>
      </c>
      <c r="X93" s="65" t="s">
        <v>110</v>
      </c>
      <c r="Y93" s="65" t="s">
        <v>110</v>
      </c>
      <c r="Z93" s="65" t="s">
        <v>110</v>
      </c>
      <c r="AA93" s="65" t="s">
        <v>110</v>
      </c>
      <c r="AB93" s="65" t="s">
        <v>110</v>
      </c>
      <c r="AC93" s="65" t="s">
        <v>110</v>
      </c>
      <c r="AD93" s="65" t="s">
        <v>110</v>
      </c>
      <c r="AE93" s="65" t="s">
        <v>110</v>
      </c>
      <c r="AF93" s="65" t="s">
        <v>110</v>
      </c>
      <c r="AG93" s="65" t="s">
        <v>110</v>
      </c>
      <c r="AH93" s="35">
        <f t="shared" si="23"/>
        <v>0</v>
      </c>
    </row>
    <row r="94" spans="1:73" ht="15" hidden="1">
      <c r="A94" s="1522" t="s">
        <v>81</v>
      </c>
      <c r="B94" s="15">
        <f t="shared" si="22"/>
        <v>0</v>
      </c>
      <c r="C94" s="65" t="s">
        <v>110</v>
      </c>
      <c r="D94" s="65" t="s">
        <v>110</v>
      </c>
      <c r="E94" s="65" t="s">
        <v>110</v>
      </c>
      <c r="F94" s="65" t="s">
        <v>110</v>
      </c>
      <c r="G94" s="65" t="s">
        <v>110</v>
      </c>
      <c r="H94" s="65" t="s">
        <v>110</v>
      </c>
      <c r="I94" s="65" t="s">
        <v>110</v>
      </c>
      <c r="J94" s="752" t="s">
        <v>110</v>
      </c>
      <c r="K94" s="752" t="s">
        <v>110</v>
      </c>
      <c r="L94" s="752" t="s">
        <v>110</v>
      </c>
      <c r="M94" s="65" t="s">
        <v>110</v>
      </c>
      <c r="N94" s="65" t="s">
        <v>110</v>
      </c>
      <c r="O94" s="65" t="s">
        <v>110</v>
      </c>
      <c r="P94" s="65" t="s">
        <v>110</v>
      </c>
      <c r="Q94" s="65" t="s">
        <v>110</v>
      </c>
      <c r="R94" s="65" t="s">
        <v>110</v>
      </c>
      <c r="S94" s="65" t="s">
        <v>110</v>
      </c>
      <c r="T94" s="65" t="s">
        <v>110</v>
      </c>
      <c r="U94" s="65" t="s">
        <v>110</v>
      </c>
      <c r="V94" s="65" t="s">
        <v>110</v>
      </c>
      <c r="W94" s="65" t="s">
        <v>110</v>
      </c>
      <c r="X94" s="65" t="s">
        <v>110</v>
      </c>
      <c r="Y94" s="65" t="s">
        <v>110</v>
      </c>
      <c r="Z94" s="65" t="s">
        <v>110</v>
      </c>
      <c r="AA94" s="65" t="s">
        <v>110</v>
      </c>
      <c r="AB94" s="65" t="s">
        <v>110</v>
      </c>
      <c r="AC94" s="65" t="s">
        <v>110</v>
      </c>
      <c r="AD94" s="65" t="s">
        <v>110</v>
      </c>
      <c r="AE94" s="65" t="s">
        <v>110</v>
      </c>
      <c r="AF94" s="65" t="s">
        <v>110</v>
      </c>
      <c r="AG94" s="65" t="s">
        <v>110</v>
      </c>
      <c r="AH94" s="35">
        <f t="shared" si="23"/>
        <v>0</v>
      </c>
    </row>
    <row r="95" spans="1:73" ht="15" hidden="1">
      <c r="A95" s="1522" t="s">
        <v>82</v>
      </c>
      <c r="B95" s="15">
        <f t="shared" si="22"/>
        <v>0</v>
      </c>
      <c r="C95" s="65" t="s">
        <v>110</v>
      </c>
      <c r="D95" s="65" t="s">
        <v>110</v>
      </c>
      <c r="E95" s="65" t="s">
        <v>110</v>
      </c>
      <c r="F95" s="65" t="s">
        <v>110</v>
      </c>
      <c r="G95" s="65" t="s">
        <v>110</v>
      </c>
      <c r="H95" s="65" t="s">
        <v>110</v>
      </c>
      <c r="I95" s="65" t="s">
        <v>110</v>
      </c>
      <c r="J95" s="752" t="s">
        <v>110</v>
      </c>
      <c r="K95" s="752" t="s">
        <v>110</v>
      </c>
      <c r="L95" s="752" t="s">
        <v>110</v>
      </c>
      <c r="M95" s="65" t="s">
        <v>110</v>
      </c>
      <c r="N95" s="65" t="s">
        <v>110</v>
      </c>
      <c r="O95" s="65" t="s">
        <v>110</v>
      </c>
      <c r="P95" s="65" t="s">
        <v>110</v>
      </c>
      <c r="Q95" s="65" t="s">
        <v>110</v>
      </c>
      <c r="R95" s="65" t="s">
        <v>110</v>
      </c>
      <c r="S95" s="65" t="s">
        <v>110</v>
      </c>
      <c r="T95" s="65" t="s">
        <v>110</v>
      </c>
      <c r="U95" s="65" t="s">
        <v>110</v>
      </c>
      <c r="V95" s="65" t="s">
        <v>110</v>
      </c>
      <c r="W95" s="65" t="s">
        <v>110</v>
      </c>
      <c r="X95" s="15"/>
      <c r="Y95" s="15"/>
      <c r="Z95" s="15"/>
      <c r="AA95" s="15"/>
      <c r="AB95" s="15"/>
      <c r="AC95" s="15"/>
      <c r="AD95" s="15"/>
      <c r="AE95" s="39"/>
      <c r="AF95" s="15"/>
      <c r="AG95" s="39"/>
      <c r="AH95" s="35">
        <f t="shared" si="23"/>
        <v>0</v>
      </c>
    </row>
    <row r="96" spans="1:73" ht="15" hidden="1">
      <c r="A96" s="1522" t="s">
        <v>83</v>
      </c>
      <c r="B96" s="15">
        <f t="shared" si="22"/>
        <v>0</v>
      </c>
      <c r="C96" s="35"/>
      <c r="D96" s="15"/>
      <c r="E96" s="15"/>
      <c r="F96" s="15"/>
      <c r="G96" s="15"/>
      <c r="H96" s="3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35">
        <f t="shared" si="23"/>
        <v>0</v>
      </c>
    </row>
    <row r="97" spans="1:41" ht="15" hidden="1">
      <c r="A97" s="1522" t="s">
        <v>84</v>
      </c>
      <c r="B97" s="15">
        <f t="shared" si="22"/>
        <v>0</v>
      </c>
      <c r="C97" s="35"/>
      <c r="D97" s="15"/>
      <c r="E97" s="15"/>
      <c r="F97" s="15"/>
      <c r="G97" s="15"/>
      <c r="H97" s="15"/>
      <c r="I97" s="15"/>
      <c r="J97" s="15"/>
      <c r="K97" s="15"/>
      <c r="L97" s="15"/>
      <c r="M97" s="15"/>
      <c r="N97" s="15"/>
      <c r="O97" s="15"/>
      <c r="P97" s="1084" t="s">
        <v>109</v>
      </c>
      <c r="Q97" s="1084" t="s">
        <v>109</v>
      </c>
      <c r="R97" s="1084" t="s">
        <v>109</v>
      </c>
      <c r="S97" s="1084" t="s">
        <v>109</v>
      </c>
      <c r="T97" s="1084" t="s">
        <v>109</v>
      </c>
      <c r="U97" s="1084" t="s">
        <v>109</v>
      </c>
      <c r="V97" s="1084" t="s">
        <v>109</v>
      </c>
      <c r="W97" s="1084" t="s">
        <v>109</v>
      </c>
      <c r="X97" s="1084" t="s">
        <v>109</v>
      </c>
      <c r="Y97" s="1084" t="s">
        <v>109</v>
      </c>
      <c r="Z97" s="1084" t="s">
        <v>109</v>
      </c>
      <c r="AA97" s="1084" t="s">
        <v>109</v>
      </c>
      <c r="AB97" s="1084" t="s">
        <v>109</v>
      </c>
      <c r="AC97" s="1084" t="s">
        <v>109</v>
      </c>
      <c r="AD97" s="1084" t="s">
        <v>109</v>
      </c>
      <c r="AE97" s="1084" t="s">
        <v>109</v>
      </c>
      <c r="AF97" s="1084" t="s">
        <v>109</v>
      </c>
      <c r="AG97" s="1084" t="s">
        <v>109</v>
      </c>
      <c r="AH97" s="35">
        <f t="shared" si="23"/>
        <v>0</v>
      </c>
    </row>
    <row r="98" spans="1:41" ht="15" hidden="1">
      <c r="A98" s="71" t="s">
        <v>50</v>
      </c>
      <c r="B98" s="72">
        <f t="shared" ref="B98:AH98" si="24">SUM(B86:B97)</f>
        <v>0</v>
      </c>
      <c r="C98" s="35">
        <f t="shared" si="24"/>
        <v>0</v>
      </c>
      <c r="D98" s="35">
        <f t="shared" si="24"/>
        <v>0</v>
      </c>
      <c r="E98" s="35">
        <f t="shared" si="24"/>
        <v>0</v>
      </c>
      <c r="F98" s="35">
        <f t="shared" si="24"/>
        <v>0</v>
      </c>
      <c r="G98" s="35">
        <f t="shared" si="24"/>
        <v>0</v>
      </c>
      <c r="H98" s="35">
        <f t="shared" si="24"/>
        <v>0</v>
      </c>
      <c r="I98" s="35">
        <f t="shared" si="24"/>
        <v>0</v>
      </c>
      <c r="J98" s="35">
        <f t="shared" si="24"/>
        <v>0</v>
      </c>
      <c r="K98" s="35">
        <f t="shared" si="24"/>
        <v>0</v>
      </c>
      <c r="L98" s="35">
        <f t="shared" si="24"/>
        <v>0</v>
      </c>
      <c r="M98" s="35">
        <f t="shared" si="24"/>
        <v>0</v>
      </c>
      <c r="N98" s="35">
        <f t="shared" si="24"/>
        <v>0</v>
      </c>
      <c r="O98" s="35">
        <f t="shared" si="24"/>
        <v>0</v>
      </c>
      <c r="P98" s="35">
        <f t="shared" si="24"/>
        <v>0</v>
      </c>
      <c r="Q98" s="35">
        <f t="shared" si="24"/>
        <v>0</v>
      </c>
      <c r="R98" s="35">
        <f t="shared" si="24"/>
        <v>0</v>
      </c>
      <c r="S98" s="35">
        <f t="shared" si="24"/>
        <v>0</v>
      </c>
      <c r="T98" s="35">
        <f t="shared" si="24"/>
        <v>0</v>
      </c>
      <c r="U98" s="35">
        <f t="shared" si="24"/>
        <v>0</v>
      </c>
      <c r="V98" s="35">
        <f t="shared" si="24"/>
        <v>0</v>
      </c>
      <c r="W98" s="35">
        <f t="shared" si="24"/>
        <v>0</v>
      </c>
      <c r="X98" s="35">
        <f t="shared" si="24"/>
        <v>0</v>
      </c>
      <c r="Y98" s="35">
        <f t="shared" si="24"/>
        <v>0</v>
      </c>
      <c r="Z98" s="35">
        <f t="shared" si="24"/>
        <v>0</v>
      </c>
      <c r="AA98" s="35">
        <f t="shared" si="24"/>
        <v>0</v>
      </c>
      <c r="AB98" s="35">
        <f t="shared" si="24"/>
        <v>0</v>
      </c>
      <c r="AC98" s="35">
        <f t="shared" si="24"/>
        <v>0</v>
      </c>
      <c r="AD98" s="35">
        <f t="shared" si="24"/>
        <v>0</v>
      </c>
      <c r="AE98" s="35">
        <f t="shared" si="24"/>
        <v>0</v>
      </c>
      <c r="AF98" s="35">
        <f t="shared" si="24"/>
        <v>0</v>
      </c>
      <c r="AG98" s="35">
        <f t="shared" si="24"/>
        <v>0</v>
      </c>
      <c r="AH98" s="35">
        <f t="shared" si="24"/>
        <v>0</v>
      </c>
    </row>
    <row r="99" spans="1:41" ht="15">
      <c r="A99" s="1"/>
      <c r="B99" s="1"/>
      <c r="C99" s="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
      <c r="AN99" s="2266" t="s">
        <v>396</v>
      </c>
      <c r="AO99" s="66">
        <v>2602</v>
      </c>
    </row>
    <row r="100" spans="1:41" ht="15" hidden="1">
      <c r="A100" s="3811" t="s">
        <v>59</v>
      </c>
      <c r="B100" s="3812"/>
      <c r="C100" s="3813"/>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
    </row>
    <row r="101" spans="1:41" ht="15" hidden="1">
      <c r="A101" s="5" t="s">
        <v>70</v>
      </c>
      <c r="B101" s="21" t="s">
        <v>71</v>
      </c>
      <c r="C101" s="110">
        <v>1</v>
      </c>
      <c r="D101" s="21">
        <v>2</v>
      </c>
      <c r="E101" s="21">
        <v>3</v>
      </c>
      <c r="F101" s="21">
        <v>4</v>
      </c>
      <c r="G101" s="21">
        <v>5</v>
      </c>
      <c r="H101" s="21">
        <v>6</v>
      </c>
      <c r="I101" s="21">
        <v>7</v>
      </c>
      <c r="J101" s="21">
        <v>8</v>
      </c>
      <c r="K101" s="21">
        <v>9</v>
      </c>
      <c r="L101" s="21">
        <v>10</v>
      </c>
      <c r="M101" s="21">
        <v>11</v>
      </c>
      <c r="N101" s="21">
        <v>12</v>
      </c>
      <c r="O101" s="21">
        <v>13</v>
      </c>
      <c r="P101" s="21">
        <v>14</v>
      </c>
      <c r="Q101" s="21">
        <v>15</v>
      </c>
      <c r="R101" s="21">
        <v>16</v>
      </c>
      <c r="S101" s="21">
        <v>17</v>
      </c>
      <c r="T101" s="21">
        <v>18</v>
      </c>
      <c r="U101" s="21">
        <v>19</v>
      </c>
      <c r="V101" s="21">
        <v>20</v>
      </c>
      <c r="W101" s="21">
        <v>21</v>
      </c>
      <c r="X101" s="21">
        <v>22</v>
      </c>
      <c r="Y101" s="21">
        <v>23</v>
      </c>
      <c r="Z101" s="21">
        <v>24</v>
      </c>
      <c r="AA101" s="21">
        <v>25</v>
      </c>
      <c r="AB101" s="21">
        <v>26</v>
      </c>
      <c r="AC101" s="21">
        <v>27</v>
      </c>
      <c r="AD101" s="21">
        <v>28</v>
      </c>
      <c r="AE101" s="21">
        <v>29</v>
      </c>
      <c r="AF101" s="21">
        <v>30</v>
      </c>
      <c r="AG101" s="21">
        <v>31</v>
      </c>
      <c r="AH101" s="5" t="s">
        <v>72</v>
      </c>
    </row>
    <row r="102" spans="1:41" ht="15" hidden="1">
      <c r="A102" s="1039" t="s">
        <v>73</v>
      </c>
      <c r="B102" s="52">
        <f t="shared" ref="B102:B113" si="25">+AH102</f>
        <v>0</v>
      </c>
      <c r="C102" s="65" t="s">
        <v>109</v>
      </c>
      <c r="D102" s="65" t="s">
        <v>109</v>
      </c>
      <c r="E102" s="65" t="s">
        <v>109</v>
      </c>
      <c r="F102" s="65" t="s">
        <v>109</v>
      </c>
      <c r="G102" s="65" t="s">
        <v>109</v>
      </c>
      <c r="H102" s="65" t="s">
        <v>109</v>
      </c>
      <c r="I102" s="65" t="s">
        <v>109</v>
      </c>
      <c r="J102" s="65" t="s">
        <v>109</v>
      </c>
      <c r="K102" s="65" t="s">
        <v>109</v>
      </c>
      <c r="L102" s="65" t="s">
        <v>109</v>
      </c>
      <c r="M102" s="65" t="s">
        <v>109</v>
      </c>
      <c r="N102" s="65" t="s">
        <v>109</v>
      </c>
      <c r="O102" s="65" t="s">
        <v>109</v>
      </c>
      <c r="P102" s="65" t="s">
        <v>109</v>
      </c>
      <c r="Q102" s="65" t="s">
        <v>109</v>
      </c>
      <c r="R102" s="65" t="s">
        <v>109</v>
      </c>
      <c r="S102" s="65" t="s">
        <v>109</v>
      </c>
      <c r="T102" s="65" t="s">
        <v>109</v>
      </c>
      <c r="U102" s="65" t="s">
        <v>109</v>
      </c>
      <c r="V102" s="65" t="s">
        <v>109</v>
      </c>
      <c r="W102" s="65" t="s">
        <v>109</v>
      </c>
      <c r="X102" s="65" t="s">
        <v>109</v>
      </c>
      <c r="Y102" s="65" t="s">
        <v>109</v>
      </c>
      <c r="Z102" s="65" t="s">
        <v>109</v>
      </c>
      <c r="AA102" s="65" t="s">
        <v>109</v>
      </c>
      <c r="AB102" s="65" t="s">
        <v>109</v>
      </c>
      <c r="AC102" s="65" t="s">
        <v>109</v>
      </c>
      <c r="AD102" s="65" t="s">
        <v>109</v>
      </c>
      <c r="AE102" s="65" t="s">
        <v>109</v>
      </c>
      <c r="AF102" s="65" t="s">
        <v>109</v>
      </c>
      <c r="AG102" s="65" t="s">
        <v>109</v>
      </c>
      <c r="AH102" s="35">
        <f t="shared" ref="AH102:AH103" si="26">SUM(H102:AG102)</f>
        <v>0</v>
      </c>
    </row>
    <row r="103" spans="1:41" ht="15" hidden="1">
      <c r="A103" s="1039" t="s">
        <v>74</v>
      </c>
      <c r="B103" s="52">
        <f t="shared" si="25"/>
        <v>0</v>
      </c>
      <c r="C103" s="65" t="s">
        <v>109</v>
      </c>
      <c r="D103" s="65" t="s">
        <v>109</v>
      </c>
      <c r="E103" s="65" t="s">
        <v>109</v>
      </c>
      <c r="F103" s="65" t="s">
        <v>109</v>
      </c>
      <c r="G103" s="65" t="s">
        <v>109</v>
      </c>
      <c r="H103" s="65" t="s">
        <v>109</v>
      </c>
      <c r="I103" s="65" t="s">
        <v>109</v>
      </c>
      <c r="J103" s="65" t="s">
        <v>109</v>
      </c>
      <c r="K103" s="65" t="s">
        <v>109</v>
      </c>
      <c r="L103" s="65" t="s">
        <v>109</v>
      </c>
      <c r="M103" s="65" t="s">
        <v>109</v>
      </c>
      <c r="N103" s="65" t="s">
        <v>109</v>
      </c>
      <c r="O103" s="65" t="s">
        <v>109</v>
      </c>
      <c r="P103" s="65" t="s">
        <v>109</v>
      </c>
      <c r="Q103" s="65" t="s">
        <v>109</v>
      </c>
      <c r="R103" s="65" t="s">
        <v>109</v>
      </c>
      <c r="S103" s="65" t="s">
        <v>109</v>
      </c>
      <c r="T103" s="65" t="s">
        <v>109</v>
      </c>
      <c r="U103" s="65" t="s">
        <v>109</v>
      </c>
      <c r="V103" s="65" t="s">
        <v>109</v>
      </c>
      <c r="W103" s="65" t="s">
        <v>109</v>
      </c>
      <c r="X103" s="65" t="s">
        <v>109</v>
      </c>
      <c r="Y103" s="65" t="s">
        <v>109</v>
      </c>
      <c r="Z103" s="65" t="s">
        <v>109</v>
      </c>
      <c r="AA103" s="65" t="s">
        <v>109</v>
      </c>
      <c r="AB103" s="65" t="s">
        <v>109</v>
      </c>
      <c r="AC103" s="65" t="s">
        <v>109</v>
      </c>
      <c r="AD103" s="65" t="s">
        <v>109</v>
      </c>
      <c r="AE103" s="65" t="s">
        <v>109</v>
      </c>
      <c r="AF103" s="65" t="s">
        <v>109</v>
      </c>
      <c r="AG103" s="65" t="s">
        <v>109</v>
      </c>
      <c r="AH103" s="35">
        <f t="shared" si="26"/>
        <v>0</v>
      </c>
    </row>
    <row r="104" spans="1:41" ht="15" hidden="1">
      <c r="A104" s="1039" t="s">
        <v>75</v>
      </c>
      <c r="B104" s="52">
        <f t="shared" si="25"/>
        <v>0</v>
      </c>
      <c r="C104" s="65" t="s">
        <v>109</v>
      </c>
      <c r="D104" s="65" t="s">
        <v>109</v>
      </c>
      <c r="E104" s="65" t="s">
        <v>109</v>
      </c>
      <c r="F104" s="65" t="s">
        <v>109</v>
      </c>
      <c r="G104" s="65" t="s">
        <v>109</v>
      </c>
      <c r="H104" s="99"/>
      <c r="I104" s="99"/>
      <c r="J104" s="39"/>
      <c r="K104" s="39"/>
      <c r="L104" s="39"/>
      <c r="M104" s="39"/>
      <c r="N104" s="39"/>
      <c r="O104" s="39"/>
      <c r="P104" s="39"/>
      <c r="Q104" s="39"/>
      <c r="R104" s="39"/>
      <c r="S104" s="39"/>
      <c r="T104" s="39"/>
      <c r="U104" s="39"/>
      <c r="V104" s="39"/>
      <c r="W104" s="39"/>
      <c r="X104" s="39"/>
      <c r="Y104" s="39"/>
      <c r="Z104" s="39"/>
      <c r="AA104" s="39"/>
      <c r="AB104" s="39"/>
      <c r="AC104" s="65"/>
      <c r="AD104" s="65"/>
      <c r="AE104" s="65" t="s">
        <v>109</v>
      </c>
      <c r="AF104" s="65" t="s">
        <v>109</v>
      </c>
      <c r="AG104" s="65" t="s">
        <v>109</v>
      </c>
      <c r="AH104" s="35">
        <f>SUM(H104:AG104)</f>
        <v>0</v>
      </c>
    </row>
    <row r="105" spans="1:41" ht="15" hidden="1">
      <c r="A105" s="1039" t="s">
        <v>76</v>
      </c>
      <c r="B105" s="52">
        <f t="shared" si="25"/>
        <v>0</v>
      </c>
      <c r="C105" s="65" t="s">
        <v>109</v>
      </c>
      <c r="D105" s="65" t="s">
        <v>109</v>
      </c>
      <c r="E105" s="65" t="s">
        <v>109</v>
      </c>
      <c r="F105" s="65" t="s">
        <v>109</v>
      </c>
      <c r="G105" s="65" t="s">
        <v>109</v>
      </c>
      <c r="H105" s="65" t="s">
        <v>109</v>
      </c>
      <c r="I105" s="65" t="s">
        <v>109</v>
      </c>
      <c r="J105" s="65" t="s">
        <v>109</v>
      </c>
      <c r="K105" s="65" t="s">
        <v>109</v>
      </c>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141">
        <f t="shared" ref="AH105:AH113" si="27">SUM(C105:AG105)</f>
        <v>0</v>
      </c>
    </row>
    <row r="106" spans="1:41" ht="15" hidden="1">
      <c r="A106" s="1039" t="s">
        <v>77</v>
      </c>
      <c r="B106" s="52">
        <f t="shared" si="25"/>
        <v>0</v>
      </c>
      <c r="C106" s="35"/>
      <c r="D106" s="15"/>
      <c r="E106" s="15"/>
      <c r="F106" s="15"/>
      <c r="G106" s="15"/>
      <c r="H106" s="15"/>
      <c r="I106" s="15"/>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5">
        <f t="shared" si="27"/>
        <v>0</v>
      </c>
    </row>
    <row r="107" spans="1:41" ht="15" hidden="1">
      <c r="A107" s="1039" t="s">
        <v>78</v>
      </c>
      <c r="B107" s="52">
        <f t="shared" si="25"/>
        <v>0</v>
      </c>
      <c r="C107" s="35"/>
      <c r="D107" s="15"/>
      <c r="E107" s="15"/>
      <c r="F107" s="15"/>
      <c r="G107" s="15"/>
      <c r="H107" s="65" t="s">
        <v>90</v>
      </c>
      <c r="I107" s="65" t="s">
        <v>90</v>
      </c>
      <c r="J107" s="65" t="s">
        <v>90</v>
      </c>
      <c r="K107" s="65" t="s">
        <v>90</v>
      </c>
      <c r="L107" s="65" t="s">
        <v>90</v>
      </c>
      <c r="M107" s="65" t="s">
        <v>90</v>
      </c>
      <c r="N107" s="65" t="s">
        <v>90</v>
      </c>
      <c r="O107" s="65" t="s">
        <v>90</v>
      </c>
      <c r="P107" s="65" t="s">
        <v>90</v>
      </c>
      <c r="Q107" s="65" t="s">
        <v>90</v>
      </c>
      <c r="R107" s="65" t="s">
        <v>90</v>
      </c>
      <c r="S107" s="65" t="s">
        <v>90</v>
      </c>
      <c r="T107" s="65" t="s">
        <v>90</v>
      </c>
      <c r="U107" s="65" t="s">
        <v>90</v>
      </c>
      <c r="V107" s="65" t="s">
        <v>90</v>
      </c>
      <c r="W107" s="65" t="s">
        <v>90</v>
      </c>
      <c r="X107" s="65" t="s">
        <v>90</v>
      </c>
      <c r="Y107" s="15"/>
      <c r="Z107" s="15"/>
      <c r="AA107" s="15"/>
      <c r="AB107" s="15"/>
      <c r="AC107" s="15"/>
      <c r="AD107" s="15"/>
      <c r="AE107" s="15"/>
      <c r="AF107" s="15"/>
      <c r="AG107" s="15"/>
      <c r="AH107" s="35">
        <f t="shared" si="27"/>
        <v>0</v>
      </c>
    </row>
    <row r="108" spans="1:41" ht="15" hidden="1">
      <c r="A108" s="1522" t="s">
        <v>79</v>
      </c>
      <c r="B108" s="52">
        <f t="shared" si="25"/>
        <v>0</v>
      </c>
      <c r="C108" s="3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35">
        <f t="shared" si="27"/>
        <v>0</v>
      </c>
    </row>
    <row r="109" spans="1:41" ht="15" hidden="1">
      <c r="A109" s="1522" t="s">
        <v>80</v>
      </c>
      <c r="B109" s="52">
        <f t="shared" si="25"/>
        <v>0</v>
      </c>
      <c r="C109" s="35"/>
      <c r="D109" s="15"/>
      <c r="E109" s="15"/>
      <c r="F109" s="15"/>
      <c r="G109" s="15"/>
      <c r="H109" s="15"/>
      <c r="I109" s="15"/>
      <c r="J109" s="752" t="s">
        <v>110</v>
      </c>
      <c r="K109" s="752" t="s">
        <v>110</v>
      </c>
      <c r="L109" s="752" t="s">
        <v>110</v>
      </c>
      <c r="M109" s="65" t="s">
        <v>110</v>
      </c>
      <c r="N109" s="65" t="s">
        <v>110</v>
      </c>
      <c r="O109" s="65" t="s">
        <v>110</v>
      </c>
      <c r="P109" s="65" t="s">
        <v>110</v>
      </c>
      <c r="Q109" s="65" t="s">
        <v>110</v>
      </c>
      <c r="R109" s="65" t="s">
        <v>110</v>
      </c>
      <c r="S109" s="65" t="s">
        <v>110</v>
      </c>
      <c r="T109" s="65" t="s">
        <v>110</v>
      </c>
      <c r="U109" s="65" t="s">
        <v>110</v>
      </c>
      <c r="V109" s="65" t="s">
        <v>110</v>
      </c>
      <c r="W109" s="65" t="s">
        <v>110</v>
      </c>
      <c r="X109" s="65" t="s">
        <v>110</v>
      </c>
      <c r="Y109" s="65" t="s">
        <v>110</v>
      </c>
      <c r="Z109" s="65" t="s">
        <v>110</v>
      </c>
      <c r="AA109" s="65" t="s">
        <v>110</v>
      </c>
      <c r="AB109" s="65" t="s">
        <v>110</v>
      </c>
      <c r="AC109" s="65" t="s">
        <v>110</v>
      </c>
      <c r="AD109" s="65" t="s">
        <v>110</v>
      </c>
      <c r="AE109" s="65" t="s">
        <v>110</v>
      </c>
      <c r="AF109" s="65" t="s">
        <v>110</v>
      </c>
      <c r="AG109" s="65" t="s">
        <v>110</v>
      </c>
      <c r="AH109" s="35">
        <f t="shared" si="27"/>
        <v>0</v>
      </c>
    </row>
    <row r="110" spans="1:41" ht="15" hidden="1">
      <c r="A110" s="1522" t="s">
        <v>81</v>
      </c>
      <c r="B110" s="52">
        <f t="shared" si="25"/>
        <v>0</v>
      </c>
      <c r="C110" s="65" t="s">
        <v>110</v>
      </c>
      <c r="D110" s="65" t="s">
        <v>110</v>
      </c>
      <c r="E110" s="65" t="s">
        <v>110</v>
      </c>
      <c r="F110" s="65" t="s">
        <v>110</v>
      </c>
      <c r="G110" s="65" t="s">
        <v>110</v>
      </c>
      <c r="H110" s="65" t="s">
        <v>110</v>
      </c>
      <c r="I110" s="65" t="s">
        <v>110</v>
      </c>
      <c r="J110" s="752" t="s">
        <v>110</v>
      </c>
      <c r="K110" s="752" t="s">
        <v>110</v>
      </c>
      <c r="L110" s="752" t="s">
        <v>110</v>
      </c>
      <c r="M110" s="65" t="s">
        <v>110</v>
      </c>
      <c r="N110" s="65" t="s">
        <v>110</v>
      </c>
      <c r="O110" s="65" t="s">
        <v>110</v>
      </c>
      <c r="P110" s="65" t="s">
        <v>110</v>
      </c>
      <c r="Q110" s="65" t="s">
        <v>110</v>
      </c>
      <c r="R110" s="65" t="s">
        <v>110</v>
      </c>
      <c r="S110" s="65" t="s">
        <v>110</v>
      </c>
      <c r="T110" s="65" t="s">
        <v>110</v>
      </c>
      <c r="U110" s="65" t="s">
        <v>110</v>
      </c>
      <c r="V110" s="65" t="s">
        <v>110</v>
      </c>
      <c r="W110" s="65" t="s">
        <v>110</v>
      </c>
      <c r="X110" s="65" t="s">
        <v>110</v>
      </c>
      <c r="Y110" s="65" t="s">
        <v>110</v>
      </c>
      <c r="Z110" s="65" t="s">
        <v>110</v>
      </c>
      <c r="AA110" s="65" t="s">
        <v>110</v>
      </c>
      <c r="AB110" s="65" t="s">
        <v>110</v>
      </c>
      <c r="AC110" s="65" t="s">
        <v>110</v>
      </c>
      <c r="AD110" s="65" t="s">
        <v>110</v>
      </c>
      <c r="AE110" s="65" t="s">
        <v>110</v>
      </c>
      <c r="AF110" s="65" t="s">
        <v>110</v>
      </c>
      <c r="AG110" s="65" t="s">
        <v>110</v>
      </c>
      <c r="AH110" s="35">
        <f t="shared" si="27"/>
        <v>0</v>
      </c>
    </row>
    <row r="111" spans="1:41" ht="15" hidden="1">
      <c r="A111" s="1522" t="s">
        <v>82</v>
      </c>
      <c r="B111" s="52">
        <f t="shared" si="25"/>
        <v>0</v>
      </c>
      <c r="C111" s="65" t="s">
        <v>110</v>
      </c>
      <c r="D111" s="65" t="s">
        <v>110</v>
      </c>
      <c r="E111" s="65" t="s">
        <v>110</v>
      </c>
      <c r="F111" s="65" t="s">
        <v>110</v>
      </c>
      <c r="G111" s="65" t="s">
        <v>110</v>
      </c>
      <c r="H111" s="65" t="s">
        <v>110</v>
      </c>
      <c r="I111" s="65" t="s">
        <v>110</v>
      </c>
      <c r="J111" s="752" t="s">
        <v>110</v>
      </c>
      <c r="K111" s="752" t="s">
        <v>110</v>
      </c>
      <c r="L111" s="752" t="s">
        <v>110</v>
      </c>
      <c r="M111" s="65" t="s">
        <v>110</v>
      </c>
      <c r="N111" s="65" t="s">
        <v>110</v>
      </c>
      <c r="O111" s="65" t="s">
        <v>110</v>
      </c>
      <c r="P111" s="65" t="s">
        <v>110</v>
      </c>
      <c r="Q111" s="65" t="s">
        <v>110</v>
      </c>
      <c r="R111" s="65" t="s">
        <v>110</v>
      </c>
      <c r="S111" s="65" t="s">
        <v>110</v>
      </c>
      <c r="T111" s="65" t="s">
        <v>110</v>
      </c>
      <c r="U111" s="65" t="s">
        <v>110</v>
      </c>
      <c r="V111" s="65" t="s">
        <v>110</v>
      </c>
      <c r="W111" s="65" t="s">
        <v>110</v>
      </c>
      <c r="X111" s="15"/>
      <c r="Y111" s="15"/>
      <c r="Z111" s="15"/>
      <c r="AA111" s="15"/>
      <c r="AB111" s="15"/>
      <c r="AC111" s="15"/>
      <c r="AD111" s="15"/>
      <c r="AE111" s="39"/>
      <c r="AF111" s="15"/>
      <c r="AG111" s="39"/>
      <c r="AH111" s="35">
        <f t="shared" si="27"/>
        <v>0</v>
      </c>
    </row>
    <row r="112" spans="1:41" ht="15" hidden="1">
      <c r="A112" s="1522" t="s">
        <v>83</v>
      </c>
      <c r="B112" s="52">
        <f t="shared" si="25"/>
        <v>0</v>
      </c>
      <c r="C112" s="3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35">
        <f t="shared" si="27"/>
        <v>0</v>
      </c>
    </row>
    <row r="113" spans="1:34" ht="15" hidden="1">
      <c r="A113" s="1522" t="s">
        <v>84</v>
      </c>
      <c r="B113" s="52">
        <f t="shared" si="25"/>
        <v>0</v>
      </c>
      <c r="C113" s="35"/>
      <c r="D113" s="15"/>
      <c r="E113" s="15"/>
      <c r="F113" s="15"/>
      <c r="G113" s="15"/>
      <c r="H113" s="15"/>
      <c r="I113" s="15"/>
      <c r="J113" s="15"/>
      <c r="K113" s="15"/>
      <c r="L113" s="15"/>
      <c r="M113" s="15"/>
      <c r="N113" s="15"/>
      <c r="O113" s="15"/>
      <c r="P113" s="1084" t="s">
        <v>109</v>
      </c>
      <c r="Q113" s="1084" t="s">
        <v>109</v>
      </c>
      <c r="R113" s="1084" t="s">
        <v>109</v>
      </c>
      <c r="S113" s="1084" t="s">
        <v>109</v>
      </c>
      <c r="T113" s="1084" t="s">
        <v>109</v>
      </c>
      <c r="U113" s="1084" t="s">
        <v>109</v>
      </c>
      <c r="V113" s="1084" t="s">
        <v>109</v>
      </c>
      <c r="W113" s="1084" t="s">
        <v>109</v>
      </c>
      <c r="X113" s="1084" t="s">
        <v>109</v>
      </c>
      <c r="Y113" s="1084" t="s">
        <v>109</v>
      </c>
      <c r="Z113" s="1084" t="s">
        <v>109</v>
      </c>
      <c r="AA113" s="1084" t="s">
        <v>109</v>
      </c>
      <c r="AB113" s="1084" t="s">
        <v>109</v>
      </c>
      <c r="AC113" s="1084" t="s">
        <v>109</v>
      </c>
      <c r="AD113" s="1084" t="s">
        <v>109</v>
      </c>
      <c r="AE113" s="1084" t="s">
        <v>109</v>
      </c>
      <c r="AF113" s="1084" t="s">
        <v>109</v>
      </c>
      <c r="AG113" s="1084" t="s">
        <v>109</v>
      </c>
      <c r="AH113" s="35">
        <f t="shared" si="27"/>
        <v>0</v>
      </c>
    </row>
    <row r="114" spans="1:34" ht="15" hidden="1">
      <c r="A114" s="71" t="s">
        <v>50</v>
      </c>
      <c r="B114" s="72">
        <f t="shared" ref="B114:AG114" si="28">SUM(B102:B113)</f>
        <v>0</v>
      </c>
      <c r="C114" s="35">
        <f t="shared" si="28"/>
        <v>0</v>
      </c>
      <c r="D114" s="35">
        <f t="shared" si="28"/>
        <v>0</v>
      </c>
      <c r="E114" s="35">
        <f t="shared" si="28"/>
        <v>0</v>
      </c>
      <c r="F114" s="35">
        <f t="shared" si="28"/>
        <v>0</v>
      </c>
      <c r="G114" s="35">
        <f t="shared" si="28"/>
        <v>0</v>
      </c>
      <c r="H114" s="35">
        <f t="shared" si="28"/>
        <v>0</v>
      </c>
      <c r="I114" s="35">
        <f t="shared" si="28"/>
        <v>0</v>
      </c>
      <c r="J114" s="35">
        <f t="shared" si="28"/>
        <v>0</v>
      </c>
      <c r="K114" s="35">
        <f t="shared" si="28"/>
        <v>0</v>
      </c>
      <c r="L114" s="35">
        <f t="shared" si="28"/>
        <v>0</v>
      </c>
      <c r="M114" s="35">
        <f t="shared" si="28"/>
        <v>0</v>
      </c>
      <c r="N114" s="35">
        <f t="shared" si="28"/>
        <v>0</v>
      </c>
      <c r="O114" s="35">
        <f t="shared" si="28"/>
        <v>0</v>
      </c>
      <c r="P114" s="35">
        <f t="shared" si="28"/>
        <v>0</v>
      </c>
      <c r="Q114" s="35">
        <f t="shared" si="28"/>
        <v>0</v>
      </c>
      <c r="R114" s="35">
        <f t="shared" si="28"/>
        <v>0</v>
      </c>
      <c r="S114" s="35">
        <f t="shared" si="28"/>
        <v>0</v>
      </c>
      <c r="T114" s="35">
        <f t="shared" si="28"/>
        <v>0</v>
      </c>
      <c r="U114" s="35">
        <f t="shared" si="28"/>
        <v>0</v>
      </c>
      <c r="V114" s="35">
        <f t="shared" si="28"/>
        <v>0</v>
      </c>
      <c r="W114" s="35">
        <f t="shared" si="28"/>
        <v>0</v>
      </c>
      <c r="X114" s="35">
        <f t="shared" si="28"/>
        <v>0</v>
      </c>
      <c r="Y114" s="35">
        <f t="shared" si="28"/>
        <v>0</v>
      </c>
      <c r="Z114" s="35">
        <f t="shared" si="28"/>
        <v>0</v>
      </c>
      <c r="AA114" s="35">
        <f t="shared" si="28"/>
        <v>0</v>
      </c>
      <c r="AB114" s="35">
        <f t="shared" si="28"/>
        <v>0</v>
      </c>
      <c r="AC114" s="35">
        <f t="shared" si="28"/>
        <v>0</v>
      </c>
      <c r="AD114" s="35">
        <f t="shared" si="28"/>
        <v>0</v>
      </c>
      <c r="AE114" s="35">
        <f t="shared" si="28"/>
        <v>0</v>
      </c>
      <c r="AF114" s="35">
        <f t="shared" si="28"/>
        <v>0</v>
      </c>
      <c r="AG114" s="35">
        <f t="shared" si="28"/>
        <v>0</v>
      </c>
      <c r="AH114" s="35">
        <f>SUM(AH102:AH113)</f>
        <v>0</v>
      </c>
    </row>
    <row r="116" spans="1:34" ht="15">
      <c r="A116" s="1"/>
      <c r="B116" s="1"/>
      <c r="C116" s="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
    </row>
  </sheetData>
  <mergeCells count="10">
    <mergeCell ref="AN69:AP69"/>
    <mergeCell ref="AQ69:AW69"/>
    <mergeCell ref="A84:C84"/>
    <mergeCell ref="A100:C100"/>
    <mergeCell ref="A4:C4"/>
    <mergeCell ref="A2:T2"/>
    <mergeCell ref="A20:C20"/>
    <mergeCell ref="A36:C36"/>
    <mergeCell ref="A52:C52"/>
    <mergeCell ref="A68:C68"/>
  </mergeCells>
  <phoneticPr fontId="0" type="noConversion"/>
  <pageMargins left="0.75" right="0.75" top="1" bottom="1" header="0" footer="0"/>
  <pageSetup paperSize="9"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sheetPr>
    <tabColor theme="6" tint="-0.249977111117893"/>
  </sheetPr>
  <dimension ref="A1:T105"/>
  <sheetViews>
    <sheetView zoomScale="80" zoomScaleNormal="80" workbookViewId="0">
      <selection activeCell="M96" sqref="M96"/>
    </sheetView>
  </sheetViews>
  <sheetFormatPr baseColWidth="10" defaultRowHeight="13.2"/>
  <cols>
    <col min="1" max="1" width="60.88671875" customWidth="1"/>
    <col min="2" max="2" width="13.109375" customWidth="1"/>
    <col min="3" max="3" width="23.44140625" bestFit="1" customWidth="1"/>
    <col min="4" max="4" width="15.6640625" bestFit="1" customWidth="1"/>
    <col min="5" max="5" width="20.5546875" customWidth="1"/>
    <col min="6" max="6" width="20.109375" customWidth="1"/>
    <col min="7" max="7" width="13.44140625" customWidth="1"/>
    <col min="8" max="8" width="10.88671875" style="54" customWidth="1"/>
    <col min="9" max="9" width="22.88671875" customWidth="1"/>
    <col min="10" max="10" width="15.5546875" customWidth="1"/>
    <col min="11" max="11" width="10.109375" customWidth="1"/>
    <col min="12" max="12" width="15" customWidth="1"/>
    <col min="13" max="13" width="16.5546875" customWidth="1"/>
    <col min="20" max="20" width="14.6640625" customWidth="1"/>
  </cols>
  <sheetData>
    <row r="1" spans="1:12" s="1552" customFormat="1">
      <c r="H1" s="1276"/>
    </row>
    <row r="2" spans="1:12" s="1552" customFormat="1" ht="15">
      <c r="A2" s="3866" t="s">
        <v>741</v>
      </c>
      <c r="B2" s="3867"/>
      <c r="C2" s="3867"/>
      <c r="D2" s="3867"/>
      <c r="E2" s="3867"/>
      <c r="F2" s="3867"/>
      <c r="G2" s="3867"/>
      <c r="H2" s="3867"/>
      <c r="I2" s="3868"/>
    </row>
    <row r="3" spans="1:12" s="1552" customFormat="1" ht="15">
      <c r="A3" s="1516"/>
      <c r="B3" s="1516"/>
      <c r="C3" s="1516"/>
      <c r="D3" s="1516"/>
      <c r="E3" s="1516"/>
      <c r="F3" s="1516"/>
      <c r="G3" s="1516"/>
      <c r="H3" s="1516"/>
      <c r="I3" s="1516"/>
    </row>
    <row r="4" spans="1:12" s="1552" customFormat="1" ht="15">
      <c r="A4" s="3869" t="s">
        <v>111</v>
      </c>
      <c r="B4" s="3870"/>
      <c r="C4" s="1558"/>
      <c r="D4" s="1558"/>
      <c r="E4" s="1558"/>
      <c r="F4" s="1559"/>
      <c r="G4" s="1559"/>
      <c r="H4" s="1229"/>
      <c r="I4" s="1229"/>
    </row>
    <row r="5" spans="1:12" s="1552" customFormat="1" ht="15.6" thickBot="1">
      <c r="A5" s="1516"/>
      <c r="B5" s="1570"/>
      <c r="C5" s="1571"/>
      <c r="D5" s="1571"/>
      <c r="E5" s="1571"/>
      <c r="F5" s="1572"/>
      <c r="G5" s="1573"/>
      <c r="H5" s="1229"/>
      <c r="I5" s="1229"/>
      <c r="J5" s="1190"/>
      <c r="K5" s="1273"/>
      <c r="L5" s="1190"/>
    </row>
    <row r="6" spans="1:12" s="1552" customFormat="1" ht="15">
      <c r="A6" s="1259" t="s">
        <v>45</v>
      </c>
      <c r="B6" s="3192" t="s">
        <v>46</v>
      </c>
      <c r="C6" s="3200" t="s">
        <v>47</v>
      </c>
      <c r="D6" s="2486" t="s">
        <v>181</v>
      </c>
      <c r="E6" s="1560" t="s">
        <v>48</v>
      </c>
      <c r="F6" s="1259" t="s">
        <v>19</v>
      </c>
      <c r="G6" s="1259" t="s">
        <v>20</v>
      </c>
      <c r="H6" s="1259" t="s">
        <v>49</v>
      </c>
      <c r="I6" s="1561" t="s">
        <v>22</v>
      </c>
    </row>
    <row r="7" spans="1:12" s="1552" customFormat="1" ht="15">
      <c r="A7" s="1261" t="s">
        <v>112</v>
      </c>
      <c r="B7" s="1258" t="s">
        <v>587</v>
      </c>
      <c r="C7" s="3201">
        <v>614.96</v>
      </c>
      <c r="D7" s="3197"/>
      <c r="E7" s="1574">
        <f>+C7+D7</f>
        <v>614.96</v>
      </c>
      <c r="F7" s="1091">
        <f>+SUM('RAE Jurel'!B9:B18)</f>
        <v>148.68600000000001</v>
      </c>
      <c r="G7" s="1236">
        <f>+E7-F7</f>
        <v>466.274</v>
      </c>
      <c r="H7" s="2122">
        <f t="shared" ref="H7:H9" si="0">+G7/E7</f>
        <v>0.75821842071029011</v>
      </c>
      <c r="I7" s="1257"/>
      <c r="J7" s="1271"/>
      <c r="K7" s="1272"/>
      <c r="L7" s="1190"/>
    </row>
    <row r="8" spans="1:12" s="1552" customFormat="1" ht="14.25" customHeight="1">
      <c r="A8" s="1261" t="s">
        <v>114</v>
      </c>
      <c r="B8" s="1258" t="s">
        <v>587</v>
      </c>
      <c r="C8" s="3201">
        <f>4734.57-1000-500</f>
        <v>3234.5699999999997</v>
      </c>
      <c r="D8" s="3198"/>
      <c r="E8" s="1574">
        <f t="shared" ref="E8:E9" si="1">+C8+D8</f>
        <v>3234.5699999999997</v>
      </c>
      <c r="F8" s="1564">
        <f>+SUM('RAE Jurel'!B25:B34)</f>
        <v>3059.9040000000005</v>
      </c>
      <c r="G8" s="1236">
        <f>+E8-F8</f>
        <v>174.66599999999926</v>
      </c>
      <c r="H8" s="2122">
        <f t="shared" si="0"/>
        <v>5.3999758855118075E-2</v>
      </c>
      <c r="I8" s="1565"/>
      <c r="J8" s="1190"/>
      <c r="K8" s="1190"/>
      <c r="L8" s="1190"/>
    </row>
    <row r="9" spans="1:12" s="1552" customFormat="1" ht="15">
      <c r="A9" s="1261" t="s">
        <v>113</v>
      </c>
      <c r="B9" s="1258" t="s">
        <v>587</v>
      </c>
      <c r="C9" s="3201">
        <v>545.47</v>
      </c>
      <c r="D9" s="3198"/>
      <c r="E9" s="1574">
        <f t="shared" si="1"/>
        <v>545.47</v>
      </c>
      <c r="F9" s="1564">
        <f>+SUM('RAE Jurel'!B41:B50)</f>
        <v>520.755</v>
      </c>
      <c r="G9" s="1566">
        <f>+E9-F9</f>
        <v>24.715000000000032</v>
      </c>
      <c r="H9" s="2122">
        <f t="shared" si="0"/>
        <v>4.5309549562762445E-2</v>
      </c>
      <c r="I9" s="1567"/>
      <c r="J9" s="2161"/>
      <c r="K9" s="1273"/>
      <c r="L9" s="1190"/>
    </row>
    <row r="10" spans="1:12" s="1552" customFormat="1" ht="15">
      <c r="A10" s="1259" t="s">
        <v>50</v>
      </c>
      <c r="B10" s="3196" t="s">
        <v>565</v>
      </c>
      <c r="C10" s="3202">
        <f>SUM(C7:C9)</f>
        <v>4395</v>
      </c>
      <c r="D10" s="2486"/>
      <c r="E10" s="1560">
        <f>SUM(E7:E9)</f>
        <v>4395</v>
      </c>
      <c r="F10" s="3353">
        <f>SUM(F7:F9)</f>
        <v>3729.3450000000007</v>
      </c>
      <c r="G10" s="1566">
        <f>+E10-F10</f>
        <v>665.65499999999929</v>
      </c>
      <c r="H10" s="2122"/>
      <c r="I10" s="1229"/>
      <c r="J10" s="1190"/>
      <c r="K10" s="1273"/>
      <c r="L10" s="1190"/>
    </row>
    <row r="11" spans="1:12" s="1552" customFormat="1" ht="15">
      <c r="A11" s="1229"/>
      <c r="B11" s="1559"/>
      <c r="C11" s="3203"/>
      <c r="D11" s="1558"/>
      <c r="E11" s="1558"/>
      <c r="F11" s="1559"/>
      <c r="G11" s="1559"/>
      <c r="H11" s="2122"/>
      <c r="I11" s="1229"/>
      <c r="J11" s="1190"/>
      <c r="K11" s="1190"/>
      <c r="L11" s="1190"/>
    </row>
    <row r="12" spans="1:12" s="1552" customFormat="1" ht="15">
      <c r="A12" s="1259" t="s">
        <v>45</v>
      </c>
      <c r="B12" s="3192" t="s">
        <v>46</v>
      </c>
      <c r="C12" s="3202" t="s">
        <v>47</v>
      </c>
      <c r="D12" s="2486" t="s">
        <v>181</v>
      </c>
      <c r="E12" s="1560" t="s">
        <v>48</v>
      </c>
      <c r="F12" s="1259" t="s">
        <v>19</v>
      </c>
      <c r="G12" s="1259" t="s">
        <v>20</v>
      </c>
      <c r="H12" s="2122" t="s">
        <v>49</v>
      </c>
      <c r="I12" s="1561" t="s">
        <v>22</v>
      </c>
      <c r="J12" s="1190"/>
      <c r="K12" s="1190"/>
      <c r="L12" s="1190"/>
    </row>
    <row r="13" spans="1:12" s="1552" customFormat="1" ht="15">
      <c r="A13" s="1261" t="s">
        <v>112</v>
      </c>
      <c r="B13" s="1258" t="s">
        <v>40</v>
      </c>
      <c r="C13" s="3201">
        <v>32.340000000000003</v>
      </c>
      <c r="D13" s="3199"/>
      <c r="E13" s="1574">
        <f>+C13+G7+D13</f>
        <v>498.61400000000003</v>
      </c>
      <c r="F13" s="1091">
        <f>+SUM('RAE Jurel'!B19:B20)</f>
        <v>22.175000000000004</v>
      </c>
      <c r="G13" s="1236">
        <f>+E13-F13</f>
        <v>476.43900000000002</v>
      </c>
      <c r="H13" s="2122">
        <f t="shared" ref="H13:H15" si="2">+G13/E13</f>
        <v>0.95552672006802852</v>
      </c>
      <c r="I13" s="1575"/>
      <c r="J13" s="1190"/>
      <c r="K13" s="1190"/>
      <c r="L13" s="1190"/>
    </row>
    <row r="14" spans="1:12" s="1552" customFormat="1" ht="16.5" customHeight="1">
      <c r="A14" s="1261" t="s">
        <v>114</v>
      </c>
      <c r="B14" s="1258" t="s">
        <v>40</v>
      </c>
      <c r="C14" s="3201">
        <v>248.98</v>
      </c>
      <c r="D14" s="3198"/>
      <c r="E14" s="1574">
        <f t="shared" ref="E14:E15" si="3">+C14+G8+D14</f>
        <v>423.64599999999928</v>
      </c>
      <c r="F14" s="1564">
        <f>+SUM('RAE Jurel'!B35:B36)</f>
        <v>36.024999999999999</v>
      </c>
      <c r="G14" s="1236">
        <f>+E14-F14</f>
        <v>387.6209999999993</v>
      </c>
      <c r="H14" s="2122">
        <f t="shared" si="2"/>
        <v>0.9149643806385519</v>
      </c>
      <c r="I14" s="1565"/>
      <c r="J14" s="1190"/>
      <c r="K14" s="1190"/>
      <c r="L14" s="1190"/>
    </row>
    <row r="15" spans="1:12" s="1552" customFormat="1" ht="15">
      <c r="A15" s="1261" t="s">
        <v>113</v>
      </c>
      <c r="B15" s="1258" t="s">
        <v>40</v>
      </c>
      <c r="C15" s="3201">
        <v>28.68</v>
      </c>
      <c r="D15" s="3198"/>
      <c r="E15" s="1574">
        <f t="shared" si="3"/>
        <v>53.395000000000032</v>
      </c>
      <c r="F15" s="1564">
        <f>+SUM('RAE Jurel'!B51:B52)</f>
        <v>8.2080000000000002</v>
      </c>
      <c r="G15" s="1236">
        <f>+E15-F15</f>
        <v>45.187000000000033</v>
      </c>
      <c r="H15" s="2122">
        <f t="shared" si="2"/>
        <v>0.84627774136155087</v>
      </c>
      <c r="I15" s="1565"/>
      <c r="J15" s="1273"/>
      <c r="K15" s="1273"/>
      <c r="L15" s="1190"/>
    </row>
    <row r="16" spans="1:12" s="1552" customFormat="1" ht="15.6" thickBot="1">
      <c r="A16" s="1259" t="s">
        <v>50</v>
      </c>
      <c r="B16" s="3196" t="s">
        <v>40</v>
      </c>
      <c r="C16" s="3204">
        <f>SUM(C13:C15)</f>
        <v>310</v>
      </c>
      <c r="D16" s="2486">
        <f>SUM(D13:D15)</f>
        <v>0</v>
      </c>
      <c r="E16" s="1576">
        <f>SUM(E13:E15)</f>
        <v>975.65499999999929</v>
      </c>
      <c r="F16" s="1569">
        <f>SUM(F13:F15)</f>
        <v>66.408000000000001</v>
      </c>
      <c r="G16" s="1566">
        <f>+E16-F16</f>
        <v>909.24699999999928</v>
      </c>
      <c r="H16" s="2122"/>
      <c r="I16" s="1229"/>
      <c r="J16" s="1190"/>
      <c r="K16" s="1190"/>
      <c r="L16" s="1190"/>
    </row>
    <row r="17" spans="1:12" s="1552" customFormat="1" ht="15">
      <c r="A17" s="1516"/>
      <c r="B17" s="1516"/>
      <c r="C17" s="1516"/>
      <c r="D17" s="1516"/>
      <c r="E17" s="1516"/>
      <c r="F17" s="1516"/>
      <c r="G17" s="1516"/>
      <c r="H17" s="2122"/>
      <c r="I17" s="1516"/>
      <c r="J17" s="1190"/>
      <c r="K17" s="1190"/>
      <c r="L17" s="1190"/>
    </row>
    <row r="18" spans="1:12" s="1552" customFormat="1" ht="15">
      <c r="A18" s="3869" t="s">
        <v>64</v>
      </c>
      <c r="B18" s="3870"/>
      <c r="C18" s="1558"/>
      <c r="D18" s="1558"/>
      <c r="E18" s="1558"/>
      <c r="F18" s="1559"/>
      <c r="G18" s="1559"/>
      <c r="H18" s="2122"/>
      <c r="I18" s="1229"/>
      <c r="J18" s="1190"/>
      <c r="K18" s="1190"/>
      <c r="L18" s="1190"/>
    </row>
    <row r="19" spans="1:12" s="1552" customFormat="1" ht="5.0999999999999996" customHeight="1">
      <c r="A19" s="1229"/>
      <c r="B19" s="1559"/>
      <c r="C19" s="1558"/>
      <c r="D19" s="1558"/>
      <c r="E19" s="1558"/>
      <c r="F19" s="1559"/>
      <c r="G19" s="1559"/>
      <c r="H19" s="2122"/>
      <c r="I19" s="1229"/>
      <c r="J19" s="1190"/>
      <c r="K19" s="1190"/>
      <c r="L19" s="1190"/>
    </row>
    <row r="20" spans="1:12" s="1552" customFormat="1" ht="15">
      <c r="A20" s="1516"/>
      <c r="B20" s="1580"/>
      <c r="C20" s="1571"/>
      <c r="D20" s="1571"/>
      <c r="E20" s="1571"/>
      <c r="F20" s="1572"/>
      <c r="G20" s="1573"/>
      <c r="H20" s="2122"/>
      <c r="I20" s="1229"/>
      <c r="J20" s="1190"/>
      <c r="K20" s="1190"/>
      <c r="L20" s="1190"/>
    </row>
    <row r="21" spans="1:12" s="1552" customFormat="1" ht="27" customHeight="1">
      <c r="A21" s="1259" t="s">
        <v>45</v>
      </c>
      <c r="B21" s="1259" t="s">
        <v>46</v>
      </c>
      <c r="C21" s="1560" t="s">
        <v>47</v>
      </c>
      <c r="D21" s="1560" t="s">
        <v>181</v>
      </c>
      <c r="E21" s="1560" t="s">
        <v>48</v>
      </c>
      <c r="F21" s="1259" t="s">
        <v>19</v>
      </c>
      <c r="G21" s="1259" t="s">
        <v>20</v>
      </c>
      <c r="H21" s="2122" t="s">
        <v>49</v>
      </c>
      <c r="I21" s="1561" t="s">
        <v>22</v>
      </c>
      <c r="J21" s="1190"/>
      <c r="K21" s="1190"/>
      <c r="L21" s="1190"/>
    </row>
    <row r="22" spans="1:12" s="1552" customFormat="1" ht="15">
      <c r="A22" s="1557" t="s">
        <v>94</v>
      </c>
      <c r="B22" s="2043" t="s">
        <v>591</v>
      </c>
      <c r="C22" s="2037">
        <v>1209</v>
      </c>
      <c r="D22" s="1563"/>
      <c r="E22" s="1562">
        <f>+C22+D22</f>
        <v>1209</v>
      </c>
      <c r="F22" s="1091">
        <f>+SUM('RAE Jurel'!B59:B67)</f>
        <v>0</v>
      </c>
      <c r="G22" s="1577">
        <f>+E22-F22</f>
        <v>1209</v>
      </c>
      <c r="H22" s="2122">
        <f t="shared" ref="H22:H23" si="4">+G22/E22</f>
        <v>1</v>
      </c>
      <c r="I22" s="1575"/>
      <c r="J22" s="1190"/>
      <c r="K22" s="1190"/>
      <c r="L22" s="1190"/>
    </row>
    <row r="23" spans="1:12" s="1552" customFormat="1" ht="15">
      <c r="A23" s="1261" t="s">
        <v>95</v>
      </c>
      <c r="B23" s="1255" t="s">
        <v>591</v>
      </c>
      <c r="C23" s="1562">
        <v>171</v>
      </c>
      <c r="D23" s="1562"/>
      <c r="E23" s="1562">
        <f>+C23+D23</f>
        <v>171</v>
      </c>
      <c r="F23" s="1564">
        <f>+SUM('RAE Jurel'!B75:B83)</f>
        <v>30.631000000000004</v>
      </c>
      <c r="G23" s="1578">
        <f>+E23-F23</f>
        <v>140.369</v>
      </c>
      <c r="H23" s="2122">
        <f t="shared" si="4"/>
        <v>0.82087134502923975</v>
      </c>
      <c r="I23" s="1579"/>
      <c r="J23" s="1190"/>
      <c r="K23" s="1190"/>
      <c r="L23" s="1190"/>
    </row>
    <row r="24" spans="1:12" s="1552" customFormat="1" ht="15">
      <c r="A24" s="1259" t="s">
        <v>50</v>
      </c>
      <c r="B24" s="1568" t="s">
        <v>591</v>
      </c>
      <c r="C24" s="1560">
        <f>SUM(C22:C23)</f>
        <v>1380</v>
      </c>
      <c r="D24" s="1560"/>
      <c r="E24" s="1560">
        <f>SUM(E22:E23)</f>
        <v>1380</v>
      </c>
      <c r="F24" s="3354">
        <f>SUM(F22:F23)</f>
        <v>30.631000000000004</v>
      </c>
      <c r="G24" s="1566">
        <f>+E24-F24</f>
        <v>1349.3689999999999</v>
      </c>
      <c r="H24" s="2122"/>
      <c r="I24" s="1229"/>
      <c r="J24" s="1190"/>
      <c r="K24" s="1190"/>
      <c r="L24" s="1190"/>
    </row>
    <row r="25" spans="1:12" s="1552" customFormat="1" ht="15">
      <c r="A25" s="1581"/>
      <c r="B25" s="1559"/>
      <c r="C25" s="1582"/>
      <c r="D25" s="1582"/>
      <c r="E25" s="1582"/>
      <c r="F25" s="1583"/>
      <c r="G25" s="1583"/>
      <c r="H25" s="2122"/>
      <c r="I25" s="1229"/>
      <c r="J25" s="1190"/>
      <c r="K25" s="1190"/>
      <c r="L25" s="1190"/>
    </row>
    <row r="26" spans="1:12" s="1552" customFormat="1" ht="15">
      <c r="A26" s="1259" t="s">
        <v>45</v>
      </c>
      <c r="B26" s="1259" t="s">
        <v>46</v>
      </c>
      <c r="C26" s="1560" t="s">
        <v>47</v>
      </c>
      <c r="D26" s="1560" t="s">
        <v>181</v>
      </c>
      <c r="E26" s="1560" t="s">
        <v>48</v>
      </c>
      <c r="F26" s="1259" t="s">
        <v>19</v>
      </c>
      <c r="G26" s="1259" t="s">
        <v>20</v>
      </c>
      <c r="H26" s="2122" t="s">
        <v>49</v>
      </c>
      <c r="I26" s="1561" t="s">
        <v>22</v>
      </c>
      <c r="J26" s="1190"/>
      <c r="K26" s="1190"/>
      <c r="L26" s="1190"/>
    </row>
    <row r="27" spans="1:12" s="1552" customFormat="1" ht="15">
      <c r="A27" s="1557" t="s">
        <v>94</v>
      </c>
      <c r="B27" s="2043" t="s">
        <v>39</v>
      </c>
      <c r="C27" s="2037">
        <v>137</v>
      </c>
      <c r="D27" s="1562"/>
      <c r="E27" s="1562">
        <f>+C27+G22+D27</f>
        <v>1346</v>
      </c>
      <c r="F27" s="2183">
        <v>1346</v>
      </c>
      <c r="G27" s="1584">
        <f>+E27-F27</f>
        <v>0</v>
      </c>
      <c r="H27" s="2122">
        <f t="shared" ref="H27:H28" si="5">+G27/E27</f>
        <v>0</v>
      </c>
      <c r="I27" s="1575"/>
      <c r="J27" s="1190"/>
      <c r="K27" s="1190"/>
      <c r="L27" s="1190"/>
    </row>
    <row r="28" spans="1:12" s="1552" customFormat="1" ht="15">
      <c r="A28" s="1261" t="s">
        <v>95</v>
      </c>
      <c r="B28" s="1255" t="s">
        <v>39</v>
      </c>
      <c r="C28" s="1562">
        <v>9</v>
      </c>
      <c r="D28" s="1562"/>
      <c r="E28" s="1562">
        <f>+C28+G23+D28</f>
        <v>149.369</v>
      </c>
      <c r="F28" s="1564">
        <f>+SUM('RAE Jurel'!B84:B86)</f>
        <v>2.1480000000000001</v>
      </c>
      <c r="G28" s="1578">
        <f>+E28-F28</f>
        <v>147.221</v>
      </c>
      <c r="H28" s="2122">
        <f t="shared" si="5"/>
        <v>0.98561950605547344</v>
      </c>
      <c r="I28" s="1585"/>
    </row>
    <row r="29" spans="1:12" s="1552" customFormat="1" ht="21.75" customHeight="1">
      <c r="A29" s="1259" t="s">
        <v>50</v>
      </c>
      <c r="B29" s="1260" t="s">
        <v>39</v>
      </c>
      <c r="C29" s="1560">
        <f>SUM(C27:C28)</f>
        <v>146</v>
      </c>
      <c r="D29" s="1560">
        <f>SUM(D27:D28)</f>
        <v>0</v>
      </c>
      <c r="E29" s="1560">
        <f>SUM(E27:E28)</f>
        <v>1495.3689999999999</v>
      </c>
      <c r="F29" s="1586">
        <f>SUM(F27:F28)</f>
        <v>1348.1479999999999</v>
      </c>
      <c r="G29" s="1587">
        <f>SUM(G27:G28)</f>
        <v>147.221</v>
      </c>
      <c r="H29" s="2122"/>
      <c r="I29" s="1229"/>
    </row>
    <row r="30" spans="1:12" s="1552" customFormat="1" ht="15">
      <c r="A30" s="1544"/>
      <c r="B30" s="1588"/>
      <c r="C30" s="1582"/>
      <c r="D30" s="1582"/>
      <c r="E30" s="1582"/>
      <c r="F30" s="1582"/>
      <c r="G30" s="1583"/>
      <c r="H30" s="2122"/>
      <c r="I30" s="1229"/>
    </row>
    <row r="31" spans="1:12" s="1552" customFormat="1" ht="15" customHeight="1">
      <c r="A31" s="1544"/>
      <c r="B31" s="1588"/>
      <c r="C31" s="1582"/>
      <c r="D31" s="1582"/>
      <c r="E31" s="1582"/>
      <c r="F31" s="1582"/>
      <c r="G31" s="1583"/>
      <c r="H31" s="2122"/>
      <c r="I31" s="1229"/>
    </row>
    <row r="32" spans="1:12" s="1552" customFormat="1" ht="15" customHeight="1">
      <c r="A32" s="3869" t="s">
        <v>53</v>
      </c>
      <c r="B32" s="3870"/>
      <c r="C32" s="1558"/>
      <c r="D32" s="1558"/>
      <c r="E32" s="1558"/>
      <c r="F32" s="1559"/>
      <c r="G32" s="1559"/>
      <c r="H32" s="2122"/>
      <c r="I32" s="1229"/>
    </row>
    <row r="33" spans="1:15" s="1552" customFormat="1" ht="15" customHeight="1">
      <c r="A33" s="1259" t="s">
        <v>45</v>
      </c>
      <c r="B33" s="1259" t="s">
        <v>46</v>
      </c>
      <c r="C33" s="1560" t="s">
        <v>47</v>
      </c>
      <c r="D33" s="1560" t="s">
        <v>313</v>
      </c>
      <c r="E33" s="1560" t="s">
        <v>48</v>
      </c>
      <c r="F33" s="1259" t="s">
        <v>19</v>
      </c>
      <c r="G33" s="1259" t="s">
        <v>20</v>
      </c>
      <c r="H33" s="2122" t="s">
        <v>49</v>
      </c>
      <c r="I33" s="1561" t="s">
        <v>22</v>
      </c>
    </row>
    <row r="34" spans="1:15" s="1737" customFormat="1" ht="15" customHeight="1">
      <c r="A34" s="2136" t="s">
        <v>54</v>
      </c>
      <c r="B34" s="2137" t="s">
        <v>588</v>
      </c>
      <c r="C34" s="2189">
        <v>1</v>
      </c>
      <c r="D34" s="1745"/>
      <c r="E34" s="1589">
        <f>+C34+D34</f>
        <v>1</v>
      </c>
      <c r="F34" s="1574">
        <f>+SUM('RAE Jurel'!B93:B101)</f>
        <v>0</v>
      </c>
      <c r="G34" s="1574">
        <f>+E34-F34</f>
        <v>1</v>
      </c>
      <c r="H34" s="2122">
        <f t="shared" ref="H34:H50" si="6">+G34/E34</f>
        <v>1</v>
      </c>
      <c r="I34" s="1575"/>
      <c r="M34" s="2189">
        <v>7.7990000000000004</v>
      </c>
      <c r="O34" s="2191">
        <v>12.762</v>
      </c>
    </row>
    <row r="35" spans="1:15" s="1737" customFormat="1" ht="15" customHeight="1">
      <c r="A35" s="2136" t="s">
        <v>55</v>
      </c>
      <c r="B35" s="2137" t="s">
        <v>588</v>
      </c>
      <c r="C35" s="2189">
        <v>1</v>
      </c>
      <c r="D35" s="1744"/>
      <c r="E35" s="1589">
        <f t="shared" ref="E35:E50" si="7">+C35+D35</f>
        <v>1</v>
      </c>
      <c r="F35" s="1744">
        <f>+SUM('RAE Jurel'!B109:B117)</f>
        <v>0</v>
      </c>
      <c r="G35" s="1744">
        <f t="shared" ref="G35:G43" si="8">+E35-F35</f>
        <v>1</v>
      </c>
      <c r="H35" s="2122">
        <f t="shared" si="6"/>
        <v>1</v>
      </c>
      <c r="I35" s="1575"/>
      <c r="M35" s="1749">
        <v>9.9250000000000007</v>
      </c>
      <c r="O35" s="2190">
        <v>0.53600000000000003</v>
      </c>
    </row>
    <row r="36" spans="1:15" s="1737" customFormat="1" ht="15" customHeight="1">
      <c r="A36" s="2136" t="s">
        <v>56</v>
      </c>
      <c r="B36" s="2137" t="s">
        <v>588</v>
      </c>
      <c r="C36" s="2189">
        <v>1</v>
      </c>
      <c r="D36" s="1744"/>
      <c r="E36" s="1589">
        <f t="shared" si="7"/>
        <v>1</v>
      </c>
      <c r="F36" s="1744">
        <f>+SUM('RAE Jurel'!B125:B133)</f>
        <v>0</v>
      </c>
      <c r="G36" s="1744">
        <f t="shared" si="8"/>
        <v>1</v>
      </c>
      <c r="H36" s="2122">
        <f t="shared" si="6"/>
        <v>1</v>
      </c>
      <c r="I36" s="1575"/>
      <c r="M36" s="1749">
        <v>9.5000000000000001E-2</v>
      </c>
      <c r="O36" s="2190">
        <v>5.0000000000000001E-3</v>
      </c>
    </row>
    <row r="37" spans="1:15" s="1737" customFormat="1" ht="15" customHeight="1">
      <c r="A37" s="2136" t="s">
        <v>100</v>
      </c>
      <c r="B37" s="2137" t="s">
        <v>588</v>
      </c>
      <c r="C37" s="2189">
        <v>1</v>
      </c>
      <c r="D37" s="1744"/>
      <c r="E37" s="1589">
        <f t="shared" si="7"/>
        <v>1</v>
      </c>
      <c r="F37" s="1744">
        <f>+SUM('RAE Jurel'!B141:B149)</f>
        <v>0</v>
      </c>
      <c r="G37" s="1744">
        <f t="shared" si="8"/>
        <v>1</v>
      </c>
      <c r="H37" s="2122">
        <f t="shared" si="6"/>
        <v>1</v>
      </c>
      <c r="I37" s="1575"/>
      <c r="M37" s="1749">
        <v>8.7999999999999995E-2</v>
      </c>
      <c r="O37" s="2190">
        <v>5.0000000000000001E-3</v>
      </c>
    </row>
    <row r="38" spans="1:15" s="1737" customFormat="1" ht="15" customHeight="1">
      <c r="A38" s="2136" t="s">
        <v>701</v>
      </c>
      <c r="B38" s="2137" t="s">
        <v>588</v>
      </c>
      <c r="C38" s="2189">
        <v>1</v>
      </c>
      <c r="D38" s="1746"/>
      <c r="E38" s="1589">
        <f t="shared" si="7"/>
        <v>1</v>
      </c>
      <c r="F38" s="1744">
        <f>+SUM('RAE Jurel'!B157:B165)</f>
        <v>0</v>
      </c>
      <c r="G38" s="1744">
        <f t="shared" si="8"/>
        <v>1</v>
      </c>
      <c r="H38" s="2122">
        <f t="shared" si="6"/>
        <v>1</v>
      </c>
      <c r="I38" s="1575"/>
      <c r="M38" s="1749">
        <v>204.96199999999999</v>
      </c>
      <c r="O38" s="2190">
        <v>11.06</v>
      </c>
    </row>
    <row r="39" spans="1:15" s="1737" customFormat="1" ht="15" customHeight="1">
      <c r="A39" s="2136" t="s">
        <v>101</v>
      </c>
      <c r="B39" s="2137" t="s">
        <v>588</v>
      </c>
      <c r="C39" s="2189">
        <v>1</v>
      </c>
      <c r="D39" s="1744"/>
      <c r="E39" s="1589">
        <f t="shared" si="7"/>
        <v>1</v>
      </c>
      <c r="F39" s="1744">
        <f>+SUM('RAE Jurel'!B172:B181)</f>
        <v>0</v>
      </c>
      <c r="G39" s="1744">
        <f t="shared" si="8"/>
        <v>1</v>
      </c>
      <c r="H39" s="2122">
        <f t="shared" si="6"/>
        <v>1</v>
      </c>
      <c r="I39" s="1575"/>
      <c r="M39" s="1749">
        <v>7.6999999999999999E-2</v>
      </c>
      <c r="O39" s="2190">
        <v>4.0000000000000001E-3</v>
      </c>
    </row>
    <row r="40" spans="1:15" s="1737" customFormat="1" ht="15" customHeight="1">
      <c r="A40" s="2136" t="s">
        <v>102</v>
      </c>
      <c r="B40" s="2137" t="s">
        <v>588</v>
      </c>
      <c r="C40" s="2189">
        <v>1</v>
      </c>
      <c r="D40" s="1744"/>
      <c r="E40" s="1589">
        <f t="shared" si="7"/>
        <v>1</v>
      </c>
      <c r="F40" s="1744">
        <f>+SUM('RAE Jurel'!B189:B197)</f>
        <v>0</v>
      </c>
      <c r="G40" s="1744">
        <f t="shared" si="8"/>
        <v>1</v>
      </c>
      <c r="H40" s="2122">
        <f t="shared" si="6"/>
        <v>1</v>
      </c>
      <c r="I40" s="1575"/>
      <c r="M40" s="1749">
        <v>0.151</v>
      </c>
      <c r="O40" s="2190">
        <v>8.0000000000000002E-3</v>
      </c>
    </row>
    <row r="41" spans="1:15" s="1737" customFormat="1" ht="15" customHeight="1">
      <c r="A41" s="2136" t="s">
        <v>103</v>
      </c>
      <c r="B41" s="2137" t="s">
        <v>588</v>
      </c>
      <c r="C41" s="2189">
        <v>1</v>
      </c>
      <c r="D41" s="1744"/>
      <c r="E41" s="1589">
        <f t="shared" si="7"/>
        <v>1</v>
      </c>
      <c r="F41" s="1744">
        <f>+SUM('RAE Jurel'!B205:B213)</f>
        <v>0</v>
      </c>
      <c r="G41" s="1744">
        <f t="shared" si="8"/>
        <v>1</v>
      </c>
      <c r="H41" s="2122">
        <f t="shared" si="6"/>
        <v>1</v>
      </c>
      <c r="I41" s="1575"/>
      <c r="M41" s="1749">
        <v>0.155</v>
      </c>
      <c r="O41" s="2190">
        <v>8.0000000000000002E-3</v>
      </c>
    </row>
    <row r="42" spans="1:15" s="1737" customFormat="1" ht="15" customHeight="1">
      <c r="A42" s="2136" t="s">
        <v>104</v>
      </c>
      <c r="B42" s="2137" t="s">
        <v>588</v>
      </c>
      <c r="C42" s="2189">
        <v>1</v>
      </c>
      <c r="D42" s="1744"/>
      <c r="E42" s="1589">
        <f t="shared" si="7"/>
        <v>1</v>
      </c>
      <c r="F42" s="1744">
        <f>+SUM('RAE Jurel'!B221:B229)</f>
        <v>0</v>
      </c>
      <c r="G42" s="1744">
        <f t="shared" si="8"/>
        <v>1</v>
      </c>
      <c r="H42" s="2122">
        <f t="shared" si="6"/>
        <v>1</v>
      </c>
      <c r="I42" s="1575"/>
      <c r="M42" s="1749">
        <v>3.7999999999999999E-2</v>
      </c>
      <c r="O42" s="2190">
        <v>2E-3</v>
      </c>
    </row>
    <row r="43" spans="1:15" s="1737" customFormat="1" ht="15" customHeight="1">
      <c r="A43" s="2136" t="s">
        <v>105</v>
      </c>
      <c r="B43" s="2137" t="s">
        <v>588</v>
      </c>
      <c r="C43" s="2189">
        <v>1</v>
      </c>
      <c r="D43" s="1744"/>
      <c r="E43" s="1589">
        <f t="shared" si="7"/>
        <v>1</v>
      </c>
      <c r="F43" s="1744">
        <f>+SUM('RAE Jurel'!B237:B245)</f>
        <v>0</v>
      </c>
      <c r="G43" s="1744">
        <f t="shared" si="8"/>
        <v>1</v>
      </c>
      <c r="H43" s="2122">
        <f t="shared" si="6"/>
        <v>1</v>
      </c>
      <c r="I43" s="1575"/>
      <c r="M43" s="1749">
        <v>0.315</v>
      </c>
      <c r="O43" s="2190">
        <v>1.7000000000000001E-2</v>
      </c>
    </row>
    <row r="44" spans="1:15" s="1737" customFormat="1" ht="15" customHeight="1">
      <c r="A44" s="2136" t="s">
        <v>106</v>
      </c>
      <c r="B44" s="2137" t="s">
        <v>588</v>
      </c>
      <c r="C44" s="2189">
        <v>1</v>
      </c>
      <c r="D44" s="1744"/>
      <c r="E44" s="1589">
        <f t="shared" si="7"/>
        <v>1</v>
      </c>
      <c r="F44" s="1744">
        <f>+SUM('RAE Jurel'!B253:B261)</f>
        <v>0</v>
      </c>
      <c r="G44" s="1744">
        <f>+E44-F44</f>
        <v>1</v>
      </c>
      <c r="H44" s="2122">
        <f t="shared" si="6"/>
        <v>1</v>
      </c>
      <c r="I44" s="1575"/>
      <c r="M44" s="1749">
        <v>2E-3</v>
      </c>
      <c r="O44" s="2190">
        <v>0</v>
      </c>
    </row>
    <row r="45" spans="1:15" s="1737" customFormat="1" ht="15" customHeight="1">
      <c r="A45" s="2136" t="s">
        <v>107</v>
      </c>
      <c r="B45" s="2137" t="s">
        <v>588</v>
      </c>
      <c r="C45" s="2189">
        <v>1</v>
      </c>
      <c r="D45" s="1744"/>
      <c r="E45" s="1589">
        <f t="shared" si="7"/>
        <v>1</v>
      </c>
      <c r="F45" s="1744">
        <f>+SUM('RAE Jurel'!B269:B277)</f>
        <v>0</v>
      </c>
      <c r="G45" s="1744">
        <f>+E45-F45</f>
        <v>1</v>
      </c>
      <c r="H45" s="2122">
        <f t="shared" si="6"/>
        <v>1</v>
      </c>
      <c r="I45" s="1575"/>
      <c r="M45" s="1749">
        <v>0.79300000000000004</v>
      </c>
      <c r="O45" s="2190">
        <v>4.2999999999999997E-2</v>
      </c>
    </row>
    <row r="46" spans="1:15" s="1737" customFormat="1" ht="15" customHeight="1">
      <c r="A46" s="2136" t="s">
        <v>123</v>
      </c>
      <c r="B46" s="2137" t="s">
        <v>588</v>
      </c>
      <c r="C46" s="2189">
        <v>1</v>
      </c>
      <c r="D46" s="1589"/>
      <c r="E46" s="1589">
        <f t="shared" si="7"/>
        <v>1</v>
      </c>
      <c r="F46" s="1589">
        <f>+SUM('RAE Jurel'!B285:B293)</f>
        <v>0</v>
      </c>
      <c r="G46" s="1589">
        <f>+E46-F46</f>
        <v>1</v>
      </c>
      <c r="H46" s="2122">
        <f t="shared" si="6"/>
        <v>1</v>
      </c>
      <c r="I46" s="1575"/>
      <c r="M46" s="2190">
        <v>2.5910000000000002</v>
      </c>
      <c r="O46" s="2190">
        <v>0.47099999999999997</v>
      </c>
    </row>
    <row r="47" spans="1:15" s="1737" customFormat="1" ht="15" customHeight="1">
      <c r="A47" s="2136" t="s">
        <v>124</v>
      </c>
      <c r="B47" s="2137" t="s">
        <v>588</v>
      </c>
      <c r="C47" s="2189">
        <v>1</v>
      </c>
      <c r="D47" s="1574"/>
      <c r="E47" s="1589">
        <f t="shared" si="7"/>
        <v>1</v>
      </c>
      <c r="F47" s="1574">
        <f>+SUM('RAE Jurel'!B301:B309)</f>
        <v>0</v>
      </c>
      <c r="G47" s="1574">
        <f t="shared" ref="G47:G50" si="9">+E47-F47</f>
        <v>1</v>
      </c>
      <c r="H47" s="2122">
        <f t="shared" si="6"/>
        <v>1</v>
      </c>
      <c r="I47" s="1575"/>
      <c r="M47" s="2188">
        <v>0</v>
      </c>
      <c r="O47" s="2191">
        <v>0</v>
      </c>
    </row>
    <row r="48" spans="1:15" s="1737" customFormat="1" ht="15">
      <c r="A48" s="2136" t="s">
        <v>125</v>
      </c>
      <c r="B48" s="2137" t="s">
        <v>588</v>
      </c>
      <c r="C48" s="2189">
        <v>1</v>
      </c>
      <c r="D48" s="1744"/>
      <c r="E48" s="1589">
        <f t="shared" si="7"/>
        <v>1</v>
      </c>
      <c r="F48" s="1744">
        <f>+SUM('RAE Jurel'!B317:B325)</f>
        <v>0</v>
      </c>
      <c r="G48" s="1744">
        <f t="shared" si="9"/>
        <v>1</v>
      </c>
      <c r="H48" s="2122">
        <f t="shared" si="6"/>
        <v>1</v>
      </c>
      <c r="I48" s="1575"/>
      <c r="M48" s="1749">
        <v>1.7999999999999999E-2</v>
      </c>
      <c r="O48" s="2190">
        <v>1E-3</v>
      </c>
    </row>
    <row r="49" spans="1:15" s="1737" customFormat="1" ht="15" customHeight="1">
      <c r="A49" s="2136" t="s">
        <v>126</v>
      </c>
      <c r="B49" s="2137" t="s">
        <v>588</v>
      </c>
      <c r="C49" s="2189">
        <v>1</v>
      </c>
      <c r="D49" s="1744"/>
      <c r="E49" s="1589">
        <f t="shared" si="7"/>
        <v>1</v>
      </c>
      <c r="F49" s="1744">
        <f>+SUM('RAE Jurel'!B333:B341)</f>
        <v>0</v>
      </c>
      <c r="G49" s="1744">
        <f t="shared" si="9"/>
        <v>1</v>
      </c>
      <c r="H49" s="2122">
        <f t="shared" si="6"/>
        <v>1</v>
      </c>
      <c r="I49" s="1575"/>
      <c r="M49" s="1749">
        <v>2E-3</v>
      </c>
      <c r="O49" s="2190">
        <v>0</v>
      </c>
    </row>
    <row r="50" spans="1:15" s="1737" customFormat="1" ht="15" customHeight="1">
      <c r="A50" s="2136" t="s">
        <v>58</v>
      </c>
      <c r="B50" s="2137" t="s">
        <v>588</v>
      </c>
      <c r="C50" s="2189">
        <v>1</v>
      </c>
      <c r="D50" s="1744"/>
      <c r="E50" s="1589">
        <f t="shared" si="7"/>
        <v>1</v>
      </c>
      <c r="F50" s="1744">
        <f>+SUM('RAE Jurel'!B349:B357)</f>
        <v>1.4999999999999999E-2</v>
      </c>
      <c r="G50" s="1744">
        <f t="shared" si="9"/>
        <v>0.98499999999999999</v>
      </c>
      <c r="H50" s="2122">
        <f t="shared" si="6"/>
        <v>0.98499999999999999</v>
      </c>
      <c r="I50" s="1747"/>
      <c r="M50" s="1749">
        <v>0.20899999999999999</v>
      </c>
      <c r="O50" s="2190">
        <v>1.0999999999999999E-2</v>
      </c>
    </row>
    <row r="51" spans="1:15" s="1737" customFormat="1" ht="15" customHeight="1">
      <c r="A51" s="1259" t="s">
        <v>50</v>
      </c>
      <c r="B51" s="1568" t="s">
        <v>588</v>
      </c>
      <c r="C51" s="1586">
        <f>SUM(C34:C50)</f>
        <v>17</v>
      </c>
      <c r="D51" s="1586">
        <f>SUM(D34:D50)</f>
        <v>0</v>
      </c>
      <c r="E51" s="1560">
        <f>SUM(E34:E50)</f>
        <v>17</v>
      </c>
      <c r="F51" s="1560">
        <f>SUM(F34:F50)</f>
        <v>1.4999999999999999E-2</v>
      </c>
      <c r="G51" s="1560">
        <f>+E51-F51</f>
        <v>16.984999999999999</v>
      </c>
      <c r="H51" s="2122"/>
      <c r="I51" s="1229"/>
      <c r="M51" s="2176">
        <f>SUM(M34:M50)</f>
        <v>227.22000000000006</v>
      </c>
      <c r="N51" s="2176"/>
      <c r="O51" s="2176">
        <f>SUM(O34:O50)</f>
        <v>24.933</v>
      </c>
    </row>
    <row r="52" spans="1:15" s="1737" customFormat="1" ht="15" customHeight="1">
      <c r="A52" s="1581"/>
      <c r="B52" s="1559"/>
      <c r="C52" s="1582"/>
      <c r="D52" s="1582"/>
      <c r="E52" s="1582"/>
      <c r="F52" s="1583"/>
      <c r="G52" s="1583"/>
      <c r="H52" s="2122"/>
      <c r="I52" s="1229"/>
    </row>
    <row r="53" spans="1:15" s="1737" customFormat="1" ht="15" customHeight="1">
      <c r="A53" s="1259" t="s">
        <v>45</v>
      </c>
      <c r="B53" s="1259" t="s">
        <v>46</v>
      </c>
      <c r="C53" s="1560" t="s">
        <v>47</v>
      </c>
      <c r="D53" s="1560" t="s">
        <v>181</v>
      </c>
      <c r="E53" s="1560" t="s">
        <v>48</v>
      </c>
      <c r="F53" s="1259" t="s">
        <v>19</v>
      </c>
      <c r="G53" s="1259" t="s">
        <v>20</v>
      </c>
      <c r="H53" s="2122" t="s">
        <v>49</v>
      </c>
      <c r="I53" s="1561" t="s">
        <v>22</v>
      </c>
      <c r="M53" s="2176">
        <f>+M51+O51</f>
        <v>252.15300000000005</v>
      </c>
    </row>
    <row r="54" spans="1:15" s="1737" customFormat="1" ht="16.5" customHeight="1">
      <c r="A54" s="2136" t="s">
        <v>54</v>
      </c>
      <c r="B54" s="2137" t="s">
        <v>39</v>
      </c>
      <c r="C54" s="2191">
        <v>1</v>
      </c>
      <c r="D54" s="1590"/>
      <c r="E54" s="1589">
        <f t="shared" ref="E54:E70" si="10">+C54+G34+D54</f>
        <v>2</v>
      </c>
      <c r="F54" s="1091">
        <f>+SUM('RAE Jurel'!B102:B104)</f>
        <v>0</v>
      </c>
      <c r="G54" s="2183">
        <f t="shared" ref="G54:G70" si="11">+E54-F54</f>
        <v>2</v>
      </c>
      <c r="H54" s="2122">
        <f t="shared" ref="H54:H70" si="12">+G54/E54</f>
        <v>1</v>
      </c>
      <c r="I54" s="1575"/>
      <c r="J54" s="2176">
        <f>+F34+F54</f>
        <v>0</v>
      </c>
    </row>
    <row r="55" spans="1:15" s="1737" customFormat="1" ht="16.5" customHeight="1">
      <c r="A55" s="2136" t="s">
        <v>55</v>
      </c>
      <c r="B55" s="2137" t="s">
        <v>39</v>
      </c>
      <c r="C55" s="2191">
        <v>1</v>
      </c>
      <c r="D55" s="1589"/>
      <c r="E55" s="1589">
        <f t="shared" si="10"/>
        <v>2</v>
      </c>
      <c r="F55" s="1591">
        <f>+SUM('RAE Jurel'!B118:B120)</f>
        <v>0</v>
      </c>
      <c r="G55" s="1591">
        <f t="shared" si="11"/>
        <v>2</v>
      </c>
      <c r="H55" s="2122">
        <f t="shared" si="12"/>
        <v>1</v>
      </c>
      <c r="I55" s="1575"/>
      <c r="J55" s="2176">
        <f t="shared" ref="J55:J70" si="13">+F35+F55</f>
        <v>0</v>
      </c>
    </row>
    <row r="56" spans="1:15" s="1737" customFormat="1" ht="16.5" customHeight="1">
      <c r="A56" s="2136" t="s">
        <v>56</v>
      </c>
      <c r="B56" s="2137" t="s">
        <v>39</v>
      </c>
      <c r="C56" s="2191">
        <v>1</v>
      </c>
      <c r="D56" s="1589"/>
      <c r="E56" s="1589">
        <f t="shared" si="10"/>
        <v>2</v>
      </c>
      <c r="F56" s="1591">
        <f>+SUM('RAE Jurel'!B134:B136)</f>
        <v>0</v>
      </c>
      <c r="G56" s="1591">
        <f t="shared" si="11"/>
        <v>2</v>
      </c>
      <c r="H56" s="2122">
        <f t="shared" si="12"/>
        <v>1</v>
      </c>
      <c r="I56" s="1575"/>
      <c r="J56" s="2176">
        <f t="shared" si="13"/>
        <v>0</v>
      </c>
    </row>
    <row r="57" spans="1:15" s="1737" customFormat="1" ht="16.5" customHeight="1">
      <c r="A57" s="2136" t="s">
        <v>100</v>
      </c>
      <c r="B57" s="2137" t="s">
        <v>39</v>
      </c>
      <c r="C57" s="2191">
        <v>1</v>
      </c>
      <c r="D57" s="1589"/>
      <c r="E57" s="1589">
        <f t="shared" si="10"/>
        <v>2</v>
      </c>
      <c r="F57" s="1591">
        <f>+SUM('RAE Jurel'!B150:B152)</f>
        <v>0</v>
      </c>
      <c r="G57" s="1591">
        <f t="shared" si="11"/>
        <v>2</v>
      </c>
      <c r="H57" s="2122">
        <f t="shared" si="12"/>
        <v>1</v>
      </c>
      <c r="I57" s="1575"/>
      <c r="J57" s="2176">
        <f t="shared" si="13"/>
        <v>0</v>
      </c>
    </row>
    <row r="58" spans="1:15" s="1737" customFormat="1" ht="16.5" customHeight="1">
      <c r="A58" s="2136" t="s">
        <v>701</v>
      </c>
      <c r="B58" s="2137" t="s">
        <v>39</v>
      </c>
      <c r="C58" s="2191">
        <v>1</v>
      </c>
      <c r="D58" s="1590"/>
      <c r="E58" s="1589">
        <f t="shared" si="10"/>
        <v>2</v>
      </c>
      <c r="F58" s="1591">
        <f>+SUM('RAE Jurel'!B166:B168)</f>
        <v>0</v>
      </c>
      <c r="G58" s="1591">
        <f t="shared" si="11"/>
        <v>2</v>
      </c>
      <c r="H58" s="2122">
        <f t="shared" si="12"/>
        <v>1</v>
      </c>
      <c r="I58" s="1575"/>
      <c r="J58" s="2176">
        <f t="shared" si="13"/>
        <v>0</v>
      </c>
    </row>
    <row r="59" spans="1:15" s="1737" customFormat="1" ht="16.5" customHeight="1">
      <c r="A59" s="2136" t="s">
        <v>101</v>
      </c>
      <c r="B59" s="2137" t="s">
        <v>39</v>
      </c>
      <c r="C59" s="2191">
        <v>1</v>
      </c>
      <c r="D59" s="1589"/>
      <c r="E59" s="1589">
        <f t="shared" si="10"/>
        <v>2</v>
      </c>
      <c r="F59" s="1591">
        <f>+SUM('RAE Jurel'!B182:B184)</f>
        <v>0</v>
      </c>
      <c r="G59" s="1591">
        <f t="shared" si="11"/>
        <v>2</v>
      </c>
      <c r="H59" s="2122">
        <f t="shared" si="12"/>
        <v>1</v>
      </c>
      <c r="I59" s="1575"/>
      <c r="J59" s="2176">
        <f t="shared" si="13"/>
        <v>0</v>
      </c>
    </row>
    <row r="60" spans="1:15" s="1737" customFormat="1" ht="16.5" customHeight="1">
      <c r="A60" s="2136" t="s">
        <v>102</v>
      </c>
      <c r="B60" s="2137" t="s">
        <v>39</v>
      </c>
      <c r="C60" s="2191">
        <v>1</v>
      </c>
      <c r="D60" s="1589"/>
      <c r="E60" s="1589">
        <f t="shared" si="10"/>
        <v>2</v>
      </c>
      <c r="F60" s="1591">
        <f>+SUM('RAE Jurel'!B198:B200)</f>
        <v>0</v>
      </c>
      <c r="G60" s="1591">
        <f t="shared" si="11"/>
        <v>2</v>
      </c>
      <c r="H60" s="2122">
        <f t="shared" si="12"/>
        <v>1</v>
      </c>
      <c r="I60" s="1575"/>
      <c r="J60" s="2176">
        <f t="shared" si="13"/>
        <v>0</v>
      </c>
    </row>
    <row r="61" spans="1:15" s="1737" customFormat="1" ht="16.5" customHeight="1">
      <c r="A61" s="2136" t="s">
        <v>103</v>
      </c>
      <c r="B61" s="2137" t="s">
        <v>39</v>
      </c>
      <c r="C61" s="2191">
        <v>1</v>
      </c>
      <c r="D61" s="1589"/>
      <c r="E61" s="1589">
        <f t="shared" si="10"/>
        <v>2</v>
      </c>
      <c r="F61" s="1591">
        <f>+SUM('RAE Jurel'!B214:B216)</f>
        <v>0</v>
      </c>
      <c r="G61" s="1591">
        <f t="shared" si="11"/>
        <v>2</v>
      </c>
      <c r="H61" s="2122">
        <f t="shared" si="12"/>
        <v>1</v>
      </c>
      <c r="I61" s="1575"/>
      <c r="J61" s="2176">
        <f t="shared" si="13"/>
        <v>0</v>
      </c>
    </row>
    <row r="62" spans="1:15" s="1737" customFormat="1" ht="16.5" customHeight="1">
      <c r="A62" s="2136" t="s">
        <v>104</v>
      </c>
      <c r="B62" s="2137" t="s">
        <v>39</v>
      </c>
      <c r="C62" s="2191">
        <v>1</v>
      </c>
      <c r="D62" s="1589"/>
      <c r="E62" s="1589">
        <f t="shared" si="10"/>
        <v>2</v>
      </c>
      <c r="F62" s="1591">
        <f>+SUM('RAE Jurel'!B230:B232)</f>
        <v>0</v>
      </c>
      <c r="G62" s="1591">
        <f t="shared" si="11"/>
        <v>2</v>
      </c>
      <c r="H62" s="2122">
        <f t="shared" si="12"/>
        <v>1</v>
      </c>
      <c r="I62" s="1575"/>
      <c r="J62" s="2176">
        <f t="shared" si="13"/>
        <v>0</v>
      </c>
    </row>
    <row r="63" spans="1:15" s="1737" customFormat="1" ht="16.5" customHeight="1">
      <c r="A63" s="2136" t="s">
        <v>105</v>
      </c>
      <c r="B63" s="2137" t="s">
        <v>39</v>
      </c>
      <c r="C63" s="2191">
        <v>1</v>
      </c>
      <c r="D63" s="1589"/>
      <c r="E63" s="1589">
        <f t="shared" si="10"/>
        <v>2</v>
      </c>
      <c r="F63" s="1591">
        <f>+SUM('RAE Jurel'!B246:B248)</f>
        <v>0</v>
      </c>
      <c r="G63" s="1591">
        <f t="shared" si="11"/>
        <v>2</v>
      </c>
      <c r="H63" s="2122">
        <f t="shared" si="12"/>
        <v>1</v>
      </c>
      <c r="I63" s="1575"/>
      <c r="J63" s="2176">
        <f t="shared" si="13"/>
        <v>0</v>
      </c>
    </row>
    <row r="64" spans="1:15" s="1737" customFormat="1" ht="16.5" customHeight="1">
      <c r="A64" s="2136" t="s">
        <v>106</v>
      </c>
      <c r="B64" s="2137" t="s">
        <v>39</v>
      </c>
      <c r="C64" s="2191">
        <v>1</v>
      </c>
      <c r="D64" s="1589"/>
      <c r="E64" s="1589">
        <f t="shared" si="10"/>
        <v>2</v>
      </c>
      <c r="F64" s="1591">
        <f>+SUM('RAE Jurel'!B262:B264)</f>
        <v>0</v>
      </c>
      <c r="G64" s="1591">
        <f t="shared" si="11"/>
        <v>2</v>
      </c>
      <c r="H64" s="2122">
        <f t="shared" si="12"/>
        <v>1</v>
      </c>
      <c r="I64" s="1575"/>
      <c r="J64" s="2176">
        <f t="shared" si="13"/>
        <v>0</v>
      </c>
    </row>
    <row r="65" spans="1:16" s="1737" customFormat="1" ht="16.5" customHeight="1">
      <c r="A65" s="2136" t="s">
        <v>107</v>
      </c>
      <c r="B65" s="2137" t="s">
        <v>39</v>
      </c>
      <c r="C65" s="2191">
        <v>1</v>
      </c>
      <c r="D65" s="1589"/>
      <c r="E65" s="1589">
        <f t="shared" si="10"/>
        <v>2</v>
      </c>
      <c r="F65" s="1591">
        <f>+SUM('RAE Jurel'!B278:B280)</f>
        <v>0</v>
      </c>
      <c r="G65" s="1591">
        <f t="shared" si="11"/>
        <v>2</v>
      </c>
      <c r="H65" s="2122">
        <f t="shared" si="12"/>
        <v>1</v>
      </c>
      <c r="I65" s="1575"/>
      <c r="J65" s="2176">
        <f t="shared" si="13"/>
        <v>0</v>
      </c>
    </row>
    <row r="66" spans="1:16" s="1737" customFormat="1" ht="16.5" customHeight="1">
      <c r="A66" s="2136" t="s">
        <v>123</v>
      </c>
      <c r="B66" s="2137" t="s">
        <v>39</v>
      </c>
      <c r="C66" s="2191">
        <v>1</v>
      </c>
      <c r="D66" s="1589"/>
      <c r="E66" s="1589">
        <f t="shared" si="10"/>
        <v>2</v>
      </c>
      <c r="F66" s="1591">
        <f>+SUM('RAE Jurel'!B294:B296)</f>
        <v>0</v>
      </c>
      <c r="G66" s="1591">
        <f t="shared" si="11"/>
        <v>2</v>
      </c>
      <c r="H66" s="2122">
        <f t="shared" si="12"/>
        <v>1</v>
      </c>
      <c r="I66" s="1575"/>
      <c r="J66" s="2176">
        <f t="shared" si="13"/>
        <v>0</v>
      </c>
    </row>
    <row r="67" spans="1:16" s="1737" customFormat="1" ht="16.5" customHeight="1">
      <c r="A67" s="2136" t="s">
        <v>124</v>
      </c>
      <c r="B67" s="2137" t="s">
        <v>39</v>
      </c>
      <c r="C67" s="2191">
        <v>1</v>
      </c>
      <c r="D67" s="1564"/>
      <c r="E67" s="1589">
        <f t="shared" si="10"/>
        <v>2</v>
      </c>
      <c r="F67" s="1091">
        <f>+SUM('RAE Jurel'!B310:B312)</f>
        <v>0</v>
      </c>
      <c r="G67" s="1091">
        <f t="shared" si="11"/>
        <v>2</v>
      </c>
      <c r="H67" s="2122">
        <f t="shared" si="12"/>
        <v>1</v>
      </c>
      <c r="I67" s="1575"/>
      <c r="J67" s="2176">
        <f t="shared" si="13"/>
        <v>0</v>
      </c>
    </row>
    <row r="68" spans="1:16" s="1737" customFormat="1" ht="16.5" customHeight="1">
      <c r="A68" s="2136" t="s">
        <v>125</v>
      </c>
      <c r="B68" s="2137" t="s">
        <v>39</v>
      </c>
      <c r="C68" s="2191">
        <v>1</v>
      </c>
      <c r="D68" s="1589"/>
      <c r="E68" s="1589">
        <f t="shared" si="10"/>
        <v>2</v>
      </c>
      <c r="F68" s="1591">
        <f>+SUM('RAE Jurel'!B326:B328)</f>
        <v>0</v>
      </c>
      <c r="G68" s="1591">
        <f t="shared" si="11"/>
        <v>2</v>
      </c>
      <c r="H68" s="2122">
        <f t="shared" si="12"/>
        <v>1</v>
      </c>
      <c r="I68" s="1575"/>
      <c r="J68" s="2176">
        <f t="shared" si="13"/>
        <v>0</v>
      </c>
    </row>
    <row r="69" spans="1:16" s="1737" customFormat="1" ht="16.5" customHeight="1">
      <c r="A69" s="2136" t="s">
        <v>126</v>
      </c>
      <c r="B69" s="2137" t="s">
        <v>39</v>
      </c>
      <c r="C69" s="2191">
        <v>1</v>
      </c>
      <c r="D69" s="1589"/>
      <c r="E69" s="1589">
        <f t="shared" si="10"/>
        <v>2</v>
      </c>
      <c r="F69" s="1591">
        <f>+SUM('RAE Jurel'!B342:B344)</f>
        <v>0</v>
      </c>
      <c r="G69" s="1591">
        <f t="shared" si="11"/>
        <v>2</v>
      </c>
      <c r="H69" s="2122">
        <f t="shared" si="12"/>
        <v>1</v>
      </c>
      <c r="I69" s="1575"/>
      <c r="J69" s="2176">
        <f t="shared" si="13"/>
        <v>0</v>
      </c>
    </row>
    <row r="70" spans="1:16" s="1737" customFormat="1" ht="16.5" customHeight="1">
      <c r="A70" s="2136" t="s">
        <v>58</v>
      </c>
      <c r="B70" s="2137" t="s">
        <v>39</v>
      </c>
      <c r="C70" s="2191">
        <v>1</v>
      </c>
      <c r="D70" s="1589"/>
      <c r="E70" s="1589">
        <f t="shared" si="10"/>
        <v>1.9849999999999999</v>
      </c>
      <c r="F70" s="1591">
        <f>+SUM('RAE Jurel'!B358:B360)</f>
        <v>0</v>
      </c>
      <c r="G70" s="1591">
        <f t="shared" si="11"/>
        <v>1.9849999999999999</v>
      </c>
      <c r="H70" s="2122">
        <f t="shared" si="12"/>
        <v>1</v>
      </c>
      <c r="I70" s="1747"/>
      <c r="J70" s="2176">
        <f t="shared" si="13"/>
        <v>1.4999999999999999E-2</v>
      </c>
    </row>
    <row r="71" spans="1:16" s="1737" customFormat="1" ht="16.5" customHeight="1">
      <c r="A71" s="1259" t="s">
        <v>50</v>
      </c>
      <c r="B71" s="1260" t="s">
        <v>39</v>
      </c>
      <c r="C71" s="1586">
        <f>SUM(C54:C70)</f>
        <v>17</v>
      </c>
      <c r="D71" s="1586">
        <f>SUM(D54:D70)</f>
        <v>0</v>
      </c>
      <c r="E71" s="1560">
        <f>SUM(E54:E70)</f>
        <v>33.984999999999999</v>
      </c>
      <c r="F71" s="1560">
        <f>SUM(F54:F70)</f>
        <v>0</v>
      </c>
      <c r="G71" s="1560">
        <f>+E71-F71</f>
        <v>33.984999999999999</v>
      </c>
      <c r="H71" s="2122"/>
      <c r="I71" s="1229"/>
      <c r="J71" s="2176">
        <f>SUM(J54:J70)</f>
        <v>1.4999999999999999E-2</v>
      </c>
    </row>
    <row r="72" spans="1:16" s="1552" customFormat="1" ht="15">
      <c r="A72" s="1544"/>
      <c r="B72" s="1588"/>
      <c r="C72" s="1582"/>
      <c r="D72" s="1582"/>
      <c r="E72" s="1582"/>
      <c r="F72" s="1582"/>
      <c r="G72" s="1583"/>
      <c r="H72" s="2122"/>
      <c r="I72" s="1229"/>
    </row>
    <row r="73" spans="1:16" s="1552" customFormat="1" ht="15">
      <c r="A73" s="3869" t="s">
        <v>59</v>
      </c>
      <c r="B73" s="3870"/>
      <c r="C73" s="1582"/>
      <c r="D73" s="1582"/>
      <c r="E73" s="1582"/>
      <c r="F73" s="1582"/>
      <c r="G73" s="1583"/>
      <c r="H73" s="2122"/>
      <c r="I73" s="1229"/>
    </row>
    <row r="74" spans="1:16" s="1552" customFormat="1" ht="15.6" thickBot="1">
      <c r="A74" s="1581"/>
      <c r="B74" s="1559"/>
      <c r="C74" s="1582"/>
      <c r="D74" s="1582"/>
      <c r="E74" s="1582"/>
      <c r="F74" s="1583"/>
      <c r="G74" s="1583"/>
      <c r="H74" s="2122"/>
      <c r="I74" s="1229"/>
      <c r="K74" s="1593"/>
    </row>
    <row r="75" spans="1:16" s="1599" customFormat="1" ht="15">
      <c r="A75" s="1259" t="s">
        <v>45</v>
      </c>
      <c r="B75" s="2484" t="s">
        <v>46</v>
      </c>
      <c r="C75" s="3179" t="s">
        <v>47</v>
      </c>
      <c r="D75" s="2486" t="s">
        <v>181</v>
      </c>
      <c r="E75" s="1560" t="s">
        <v>48</v>
      </c>
      <c r="F75" s="1259" t="s">
        <v>19</v>
      </c>
      <c r="G75" s="1259" t="s">
        <v>20</v>
      </c>
      <c r="H75" s="2122" t="s">
        <v>49</v>
      </c>
      <c r="I75" s="1560" t="s">
        <v>22</v>
      </c>
      <c r="J75" s="1190" t="s">
        <v>696</v>
      </c>
    </row>
    <row r="76" spans="1:16" s="2262" customFormat="1" ht="15">
      <c r="A76" s="1261" t="s">
        <v>777</v>
      </c>
      <c r="B76" s="1258" t="s">
        <v>588</v>
      </c>
      <c r="C76" s="3180">
        <v>42.551000000000002</v>
      </c>
      <c r="D76" s="2487"/>
      <c r="E76" s="1589">
        <f>+C76+D76</f>
        <v>42.551000000000002</v>
      </c>
      <c r="F76" s="1591">
        <f>+SUM('RAE Jurel'!B366:B374)</f>
        <v>3.0590000000000002</v>
      </c>
      <c r="G76" s="1594">
        <f t="shared" ref="G76" si="14">+E76-F76</f>
        <v>39.492000000000004</v>
      </c>
      <c r="H76" s="2122">
        <f t="shared" ref="H76" si="15">+G76/E76</f>
        <v>0.92810979765457924</v>
      </c>
      <c r="I76" s="1596"/>
      <c r="J76" s="2262">
        <v>16.978000000000002</v>
      </c>
      <c r="N76" s="2262">
        <v>15.281000000000001</v>
      </c>
      <c r="O76" s="2262">
        <v>0.80400000000000005</v>
      </c>
      <c r="P76" s="1211">
        <f>SUM(N76:O76)</f>
        <v>16.085000000000001</v>
      </c>
    </row>
    <row r="77" spans="1:16" s="1599" customFormat="1" ht="15">
      <c r="A77" s="1261" t="s">
        <v>60</v>
      </c>
      <c r="B77" s="1258" t="s">
        <v>588</v>
      </c>
      <c r="C77" s="3180">
        <v>17.824999999999999</v>
      </c>
      <c r="D77" s="2487"/>
      <c r="E77" s="1589">
        <f>+C77+D77</f>
        <v>17.824999999999999</v>
      </c>
      <c r="F77" s="1591">
        <f>+SUM('RAE Jurel'!B382:B390)</f>
        <v>0</v>
      </c>
      <c r="G77" s="1594">
        <f t="shared" ref="G77:G84" si="16">+E77-F77</f>
        <v>17.824999999999999</v>
      </c>
      <c r="H77" s="2122">
        <f t="shared" ref="H77:H88" si="17">+G77/E77</f>
        <v>1</v>
      </c>
      <c r="I77" s="1596"/>
      <c r="J77" s="1599">
        <v>16.978000000000002</v>
      </c>
      <c r="N77" s="1599">
        <v>15.281000000000001</v>
      </c>
      <c r="O77" s="1599">
        <v>0.80400000000000005</v>
      </c>
      <c r="P77" s="1211">
        <f>SUM(N77:O77)</f>
        <v>16.085000000000001</v>
      </c>
    </row>
    <row r="78" spans="1:16" s="1683" customFormat="1" ht="15">
      <c r="A78" s="1261" t="s">
        <v>575</v>
      </c>
      <c r="B78" s="1258" t="s">
        <v>588</v>
      </c>
      <c r="C78" s="3181">
        <v>6.9119999999999999</v>
      </c>
      <c r="D78" s="2487"/>
      <c r="E78" s="1589">
        <f t="shared" ref="E78:E87" si="18">+C78+D78</f>
        <v>6.9119999999999999</v>
      </c>
      <c r="F78" s="1591">
        <f>+SUM('RAE Jurel'!B398:B406)</f>
        <v>0</v>
      </c>
      <c r="G78" s="1594">
        <f t="shared" si="16"/>
        <v>6.9119999999999999</v>
      </c>
      <c r="H78" s="2122">
        <f t="shared" si="17"/>
        <v>1</v>
      </c>
      <c r="I78" s="1596"/>
      <c r="J78" s="1683">
        <v>580.947</v>
      </c>
      <c r="K78" s="2161"/>
      <c r="N78" s="1683">
        <v>71.741</v>
      </c>
      <c r="O78" s="1683">
        <v>0.65800000000000003</v>
      </c>
      <c r="P78" s="1211">
        <f t="shared" ref="P78:P87" si="19">SUM(N78:O78)</f>
        <v>72.399000000000001</v>
      </c>
    </row>
    <row r="79" spans="1:16" s="1599" customFormat="1" ht="15">
      <c r="A79" s="1261" t="s">
        <v>523</v>
      </c>
      <c r="B79" s="1258" t="s">
        <v>588</v>
      </c>
      <c r="C79" s="3180">
        <v>0</v>
      </c>
      <c r="D79" s="2487"/>
      <c r="E79" s="1589">
        <f t="shared" si="18"/>
        <v>0</v>
      </c>
      <c r="F79" s="1591">
        <f>+SUM('RAE Jurel'!B414:B422)</f>
        <v>0</v>
      </c>
      <c r="G79" s="1594">
        <f t="shared" si="16"/>
        <v>0</v>
      </c>
      <c r="H79" s="2122" t="e">
        <f t="shared" si="17"/>
        <v>#DIV/0!</v>
      </c>
      <c r="I79" s="1054"/>
      <c r="J79" s="1599">
        <v>2083.9290000000001</v>
      </c>
      <c r="N79" s="1599">
        <v>75.63</v>
      </c>
      <c r="O79" s="1599">
        <v>98.716999999999999</v>
      </c>
      <c r="P79" s="1211">
        <f t="shared" si="19"/>
        <v>174.34699999999998</v>
      </c>
    </row>
    <row r="80" spans="1:16" s="1683" customFormat="1" ht="15">
      <c r="A80" s="1557" t="s">
        <v>576</v>
      </c>
      <c r="B80" s="1258" t="s">
        <v>588</v>
      </c>
      <c r="C80" s="3180">
        <v>181.07</v>
      </c>
      <c r="D80" s="2487"/>
      <c r="E80" s="1589">
        <f t="shared" si="18"/>
        <v>181.07</v>
      </c>
      <c r="F80" s="1591">
        <f>+SUM('RAE Jurel'!B430:B438)</f>
        <v>0</v>
      </c>
      <c r="G80" s="1594">
        <f t="shared" si="16"/>
        <v>181.07</v>
      </c>
      <c r="H80" s="2122">
        <f t="shared" si="17"/>
        <v>1</v>
      </c>
      <c r="I80" s="1054"/>
      <c r="J80" s="1683">
        <v>1410.7149999999999</v>
      </c>
      <c r="N80" s="1683">
        <v>169.70699999999999</v>
      </c>
      <c r="O80" s="1683">
        <v>66.826999999999998</v>
      </c>
      <c r="P80" s="1211">
        <f t="shared" si="19"/>
        <v>236.53399999999999</v>
      </c>
    </row>
    <row r="81" spans="1:20" s="1599" customFormat="1" ht="15">
      <c r="A81" s="1261" t="s">
        <v>96</v>
      </c>
      <c r="B81" s="1258" t="s">
        <v>588</v>
      </c>
      <c r="C81" s="3180">
        <v>0</v>
      </c>
      <c r="D81" s="2487"/>
      <c r="E81" s="1589">
        <f t="shared" si="18"/>
        <v>0</v>
      </c>
      <c r="F81" s="1591">
        <f>+SUM('RAE Jurel'!B446:B454)</f>
        <v>0</v>
      </c>
      <c r="G81" s="1594">
        <f t="shared" si="16"/>
        <v>0</v>
      </c>
      <c r="H81" s="2122" t="e">
        <f t="shared" si="17"/>
        <v>#DIV/0!</v>
      </c>
      <c r="I81" s="1597"/>
      <c r="J81" s="1599">
        <v>8.3000000000000004E-2</v>
      </c>
      <c r="N81" s="1599">
        <v>7.3999999999999996E-2</v>
      </c>
      <c r="O81" s="1599">
        <v>4.0000000000000001E-3</v>
      </c>
      <c r="P81" s="1211">
        <f t="shared" si="19"/>
        <v>7.8E-2</v>
      </c>
    </row>
    <row r="82" spans="1:20" s="1599" customFormat="1" ht="15">
      <c r="A82" s="1261" t="s">
        <v>61</v>
      </c>
      <c r="B82" s="1258" t="s">
        <v>588</v>
      </c>
      <c r="C82" s="3180">
        <v>8.6999999999999994E-2</v>
      </c>
      <c r="D82" s="2487"/>
      <c r="E82" s="1589">
        <f t="shared" si="18"/>
        <v>8.6999999999999994E-2</v>
      </c>
      <c r="F82" s="1591">
        <f>+SUM('RAE Jurel'!B478:B486)</f>
        <v>0</v>
      </c>
      <c r="G82" s="1594">
        <f t="shared" si="16"/>
        <v>8.6999999999999994E-2</v>
      </c>
      <c r="H82" s="2122">
        <f t="shared" si="17"/>
        <v>1</v>
      </c>
      <c r="I82" s="1596"/>
      <c r="J82" s="1599">
        <v>0</v>
      </c>
      <c r="N82" s="1599">
        <v>0</v>
      </c>
      <c r="O82" s="1599">
        <v>0</v>
      </c>
      <c r="P82" s="1211">
        <f t="shared" si="19"/>
        <v>0</v>
      </c>
    </row>
    <row r="83" spans="1:20" s="1599" customFormat="1" ht="15">
      <c r="A83" s="1595" t="s">
        <v>97</v>
      </c>
      <c r="B83" s="1258" t="s">
        <v>588</v>
      </c>
      <c r="C83" s="3180">
        <v>0.22700000000000001</v>
      </c>
      <c r="D83" s="2487"/>
      <c r="E83" s="1589">
        <f t="shared" si="18"/>
        <v>0.22700000000000001</v>
      </c>
      <c r="F83" s="1591">
        <f>+SUM('RAE Jurel'!B510:B518)</f>
        <v>0</v>
      </c>
      <c r="G83" s="1594">
        <f t="shared" si="16"/>
        <v>0.22700000000000001</v>
      </c>
      <c r="H83" s="2122">
        <f t="shared" si="17"/>
        <v>1</v>
      </c>
      <c r="I83" s="1596"/>
      <c r="J83" s="1599">
        <v>0.217</v>
      </c>
      <c r="N83" s="1599">
        <v>0.19500000000000001</v>
      </c>
      <c r="O83" s="1599">
        <v>0.01</v>
      </c>
      <c r="P83" s="1211">
        <f t="shared" si="19"/>
        <v>0.20500000000000002</v>
      </c>
    </row>
    <row r="84" spans="1:20" s="1599" customFormat="1" ht="15">
      <c r="A84" s="1261" t="s">
        <v>62</v>
      </c>
      <c r="B84" s="1258" t="s">
        <v>588</v>
      </c>
      <c r="C84" s="3180">
        <v>0</v>
      </c>
      <c r="D84" s="2487"/>
      <c r="E84" s="1589">
        <f t="shared" si="18"/>
        <v>0</v>
      </c>
      <c r="F84" s="1591">
        <f>+SUM('RAE Jurel'!B462:B470)</f>
        <v>0</v>
      </c>
      <c r="G84" s="1594">
        <f t="shared" si="16"/>
        <v>0</v>
      </c>
      <c r="H84" s="2122" t="e">
        <f t="shared" si="17"/>
        <v>#DIV/0!</v>
      </c>
      <c r="I84" s="1597"/>
      <c r="J84" s="1599">
        <v>40.570999999999998</v>
      </c>
      <c r="N84" s="1599">
        <v>36.515000000000001</v>
      </c>
      <c r="O84" s="1599">
        <v>1.9219999999999999</v>
      </c>
      <c r="P84" s="1211">
        <f t="shared" si="19"/>
        <v>38.436999999999998</v>
      </c>
    </row>
    <row r="85" spans="1:20" s="1599" customFormat="1" ht="15">
      <c r="A85" s="1261" t="s">
        <v>98</v>
      </c>
      <c r="B85" s="1258" t="s">
        <v>588</v>
      </c>
      <c r="C85" s="3180">
        <v>0.40100000000000002</v>
      </c>
      <c r="D85" s="2487"/>
      <c r="E85" s="1589">
        <f t="shared" si="18"/>
        <v>0.40100000000000002</v>
      </c>
      <c r="F85" s="1591">
        <f>+SUM('RAE Jurel'!B526:B534)</f>
        <v>0</v>
      </c>
      <c r="G85" s="1594">
        <f t="shared" ref="G85:G87" si="20">+E85-F85</f>
        <v>0.40100000000000002</v>
      </c>
      <c r="H85" s="2122">
        <f t="shared" si="17"/>
        <v>1</v>
      </c>
      <c r="I85" s="1596"/>
      <c r="J85" s="1599">
        <v>0.45300000000000001</v>
      </c>
      <c r="N85" s="1599">
        <v>0.40799999999999997</v>
      </c>
      <c r="O85" s="1599">
        <v>2.1000000000000001E-2</v>
      </c>
      <c r="P85" s="1211">
        <f t="shared" si="19"/>
        <v>0.42899999999999999</v>
      </c>
    </row>
    <row r="86" spans="1:20" s="1599" customFormat="1" ht="15">
      <c r="A86" s="1261" t="s">
        <v>121</v>
      </c>
      <c r="B86" s="1258" t="s">
        <v>588</v>
      </c>
      <c r="C86" s="3180">
        <v>231.768</v>
      </c>
      <c r="D86" s="2487"/>
      <c r="E86" s="1589">
        <f t="shared" si="18"/>
        <v>231.768</v>
      </c>
      <c r="F86" s="1591">
        <f>+SUM('RAE Jurel'!B542:B550)</f>
        <v>0</v>
      </c>
      <c r="G86" s="1594">
        <f t="shared" si="20"/>
        <v>231.768</v>
      </c>
      <c r="H86" s="2122">
        <f t="shared" si="17"/>
        <v>1</v>
      </c>
      <c r="I86" s="1596"/>
      <c r="J86" s="1599">
        <v>220.75899999999999</v>
      </c>
      <c r="N86" s="1599">
        <v>198.69300000000001</v>
      </c>
      <c r="O86" s="1599">
        <v>10.458</v>
      </c>
      <c r="P86" s="1211">
        <f t="shared" si="19"/>
        <v>209.15100000000001</v>
      </c>
    </row>
    <row r="87" spans="1:20" s="1599" customFormat="1" ht="15.6" thickBot="1">
      <c r="A87" s="1261" t="s">
        <v>58</v>
      </c>
      <c r="B87" s="1258" t="s">
        <v>588</v>
      </c>
      <c r="C87" s="3182">
        <v>55.332000000000001</v>
      </c>
      <c r="D87" s="2487"/>
      <c r="E87" s="1589">
        <f t="shared" si="18"/>
        <v>55.332000000000001</v>
      </c>
      <c r="F87" s="1591">
        <f>+SUM('RAE Jurel'!B494:B502)</f>
        <v>0</v>
      </c>
      <c r="G87" s="1594">
        <f t="shared" si="20"/>
        <v>55.332000000000001</v>
      </c>
      <c r="H87" s="2122">
        <f t="shared" si="17"/>
        <v>1</v>
      </c>
      <c r="I87" s="1596"/>
      <c r="J87" s="1599">
        <v>57.348999999999997</v>
      </c>
      <c r="K87" s="2161"/>
      <c r="N87" s="1599">
        <v>51.616999999999997</v>
      </c>
      <c r="O87" s="1599">
        <v>2.7170000000000001</v>
      </c>
      <c r="P87" s="1211">
        <f t="shared" si="19"/>
        <v>54.333999999999996</v>
      </c>
    </row>
    <row r="88" spans="1:20" s="1599" customFormat="1" ht="15">
      <c r="A88" s="1259" t="s">
        <v>50</v>
      </c>
      <c r="B88" s="1258" t="s">
        <v>588</v>
      </c>
      <c r="C88" s="2488">
        <f>SUM(C76:C87)</f>
        <v>536.173</v>
      </c>
      <c r="D88" s="1586">
        <f>SUM(D77:D87)</f>
        <v>0</v>
      </c>
      <c r="E88" s="1560">
        <f>SUM(E76:E87)</f>
        <v>536.173</v>
      </c>
      <c r="F88" s="1586">
        <f>SUM(F76:F87)</f>
        <v>3.0590000000000002</v>
      </c>
      <c r="G88" s="1598">
        <f>+E88-F88</f>
        <v>533.11400000000003</v>
      </c>
      <c r="H88" s="2126">
        <f t="shared" si="17"/>
        <v>0.99429475188045657</v>
      </c>
      <c r="I88" s="1229"/>
      <c r="J88" s="1599">
        <v>4412.0010000000011</v>
      </c>
      <c r="N88" s="1211">
        <f>SUM(N77:N87)</f>
        <v>619.86099999999999</v>
      </c>
      <c r="O88" s="1211">
        <f>SUM(O77:O87)</f>
        <v>182.13799999999998</v>
      </c>
      <c r="P88" s="1211">
        <f>SUM(P77:P87)</f>
        <v>801.99899999999991</v>
      </c>
    </row>
    <row r="89" spans="1:20" s="1599" customFormat="1" ht="15.6" thickBot="1">
      <c r="A89" s="1581"/>
      <c r="B89" s="1559"/>
      <c r="C89" s="1582"/>
      <c r="D89" s="1582"/>
      <c r="E89" s="1582"/>
      <c r="F89" s="1583"/>
      <c r="G89" s="1583"/>
      <c r="H89" s="2126"/>
      <c r="I89" s="1229"/>
      <c r="T89" s="2263"/>
    </row>
    <row r="90" spans="1:20" s="1599" customFormat="1" ht="15">
      <c r="A90" s="1259" t="s">
        <v>45</v>
      </c>
      <c r="B90" s="2484" t="s">
        <v>46</v>
      </c>
      <c r="C90" s="3179" t="s">
        <v>47</v>
      </c>
      <c r="D90" s="2486" t="s">
        <v>181</v>
      </c>
      <c r="E90" s="1560" t="s">
        <v>48</v>
      </c>
      <c r="F90" s="1259" t="s">
        <v>19</v>
      </c>
      <c r="G90" s="1259" t="s">
        <v>20</v>
      </c>
      <c r="H90" s="2122" t="s">
        <v>49</v>
      </c>
      <c r="I90" s="1560" t="s">
        <v>22</v>
      </c>
      <c r="T90" s="2263"/>
    </row>
    <row r="91" spans="1:20" s="2262" customFormat="1" ht="15">
      <c r="A91" s="1261" t="s">
        <v>777</v>
      </c>
      <c r="B91" s="1258" t="s">
        <v>39</v>
      </c>
      <c r="C91" s="3180">
        <v>2.2349999999999999</v>
      </c>
      <c r="D91" s="2487"/>
      <c r="E91" s="1589">
        <f t="shared" ref="E91:E102" si="21">+C91+G76+D91</f>
        <v>41.727000000000004</v>
      </c>
      <c r="F91" s="1591">
        <f>+SUM('RAE Jurel'!B375:B377)</f>
        <v>6.319</v>
      </c>
      <c r="G91" s="1594">
        <f>+E91-F91</f>
        <v>35.408000000000001</v>
      </c>
      <c r="H91" s="2122">
        <f>+G91/E91</f>
        <v>0.84856328037002415</v>
      </c>
      <c r="I91" s="1596"/>
      <c r="J91" s="2262">
        <v>0.89300000000000002</v>
      </c>
      <c r="L91" s="1593">
        <f t="shared" ref="L91:L102" si="22">+F76+F91</f>
        <v>9.3780000000000001</v>
      </c>
    </row>
    <row r="92" spans="1:20" s="1599" customFormat="1" ht="15">
      <c r="A92" s="1261" t="s">
        <v>60</v>
      </c>
      <c r="B92" s="1258" t="s">
        <v>39</v>
      </c>
      <c r="C92" s="3180">
        <v>0.93600000000000005</v>
      </c>
      <c r="D92" s="2487"/>
      <c r="E92" s="1589">
        <f t="shared" si="21"/>
        <v>18.760999999999999</v>
      </c>
      <c r="F92" s="1591">
        <f>+SUM('RAE Jurel'!B391:B393)</f>
        <v>0</v>
      </c>
      <c r="G92" s="1594">
        <f>+E92-F92</f>
        <v>18.760999999999999</v>
      </c>
      <c r="H92" s="2122">
        <f>+G92/E92</f>
        <v>1</v>
      </c>
      <c r="I92" s="1596"/>
      <c r="J92" s="1599">
        <v>0.89300000000000002</v>
      </c>
      <c r="L92" s="1593">
        <f t="shared" si="22"/>
        <v>0</v>
      </c>
    </row>
    <row r="93" spans="1:20" s="1683" customFormat="1" ht="15">
      <c r="A93" s="1261" t="s">
        <v>575</v>
      </c>
      <c r="B93" s="1258" t="s">
        <v>39</v>
      </c>
      <c r="C93" s="3180">
        <v>0</v>
      </c>
      <c r="D93" s="2487"/>
      <c r="E93" s="1589">
        <f t="shared" si="21"/>
        <v>6.9119999999999999</v>
      </c>
      <c r="F93" s="1591">
        <f>+SUM('RAE Jurel'!B407:B409)</f>
        <v>2.96</v>
      </c>
      <c r="G93" s="1594">
        <f t="shared" ref="G93:G95" si="23">+E93-F93</f>
        <v>3.952</v>
      </c>
      <c r="H93" s="2122">
        <f t="shared" ref="H93:H103" si="24">+G93/E93</f>
        <v>0.5717592592592593</v>
      </c>
      <c r="I93" s="1596"/>
      <c r="J93" s="1683">
        <v>30.547999999999998</v>
      </c>
      <c r="L93" s="1593">
        <f t="shared" si="22"/>
        <v>2.96</v>
      </c>
    </row>
    <row r="94" spans="1:20" s="1599" customFormat="1" ht="15">
      <c r="A94" s="1261" t="s">
        <v>523</v>
      </c>
      <c r="B94" s="1258" t="s">
        <v>39</v>
      </c>
      <c r="C94" s="3180">
        <v>2.76</v>
      </c>
      <c r="D94" s="2487"/>
      <c r="E94" s="1589">
        <f t="shared" si="21"/>
        <v>2.76</v>
      </c>
      <c r="F94" s="1591">
        <f>+SUM('RAE Jurel'!B423:B425)</f>
        <v>0</v>
      </c>
      <c r="G94" s="1594">
        <f t="shared" si="23"/>
        <v>2.76</v>
      </c>
      <c r="H94" s="2122">
        <f t="shared" si="24"/>
        <v>1</v>
      </c>
      <c r="I94" s="1054"/>
      <c r="J94" s="1599">
        <v>109.581</v>
      </c>
      <c r="L94" s="1593">
        <f t="shared" si="22"/>
        <v>0</v>
      </c>
    </row>
    <row r="95" spans="1:20" s="1683" customFormat="1" ht="15">
      <c r="A95" s="1557" t="s">
        <v>576</v>
      </c>
      <c r="B95" s="1258" t="s">
        <v>39</v>
      </c>
      <c r="C95" s="3180">
        <v>77.783000000000001</v>
      </c>
      <c r="D95" s="2487"/>
      <c r="E95" s="1589">
        <f t="shared" si="21"/>
        <v>258.85300000000001</v>
      </c>
      <c r="F95" s="1591">
        <f>+SUM('RAE Jurel'!B439:B441)</f>
        <v>0</v>
      </c>
      <c r="G95" s="1594">
        <f t="shared" si="23"/>
        <v>258.85300000000001</v>
      </c>
      <c r="H95" s="2122">
        <f t="shared" si="24"/>
        <v>1</v>
      </c>
      <c r="I95" s="1054"/>
      <c r="J95" s="1683">
        <v>74.180999999999997</v>
      </c>
      <c r="L95" s="1593">
        <f t="shared" si="22"/>
        <v>0</v>
      </c>
    </row>
    <row r="96" spans="1:20" s="1599" customFormat="1" ht="15">
      <c r="A96" s="1261" t="s">
        <v>96</v>
      </c>
      <c r="B96" s="1258" t="s">
        <v>39</v>
      </c>
      <c r="C96" s="3180">
        <v>5.0000000000000001E-3</v>
      </c>
      <c r="D96" s="2487"/>
      <c r="E96" s="1589">
        <f t="shared" si="21"/>
        <v>5.0000000000000001E-3</v>
      </c>
      <c r="F96" s="1591">
        <f>+SUM('RAE Jurel'!B455:B457)</f>
        <v>0</v>
      </c>
      <c r="G96" s="1594">
        <f t="shared" ref="G96:G102" si="25">+E96-F96</f>
        <v>5.0000000000000001E-3</v>
      </c>
      <c r="H96" s="2122">
        <f t="shared" si="24"/>
        <v>1</v>
      </c>
      <c r="I96" s="1597"/>
      <c r="J96" s="1599">
        <v>4.0000000000000001E-3</v>
      </c>
      <c r="L96" s="1593">
        <f t="shared" si="22"/>
        <v>0</v>
      </c>
    </row>
    <row r="97" spans="1:12" s="1599" customFormat="1" ht="15">
      <c r="A97" s="1261" t="s">
        <v>61</v>
      </c>
      <c r="B97" s="1258" t="s">
        <v>39</v>
      </c>
      <c r="C97" s="3180">
        <v>5.0000000000000001E-3</v>
      </c>
      <c r="D97" s="2487"/>
      <c r="E97" s="1589">
        <f t="shared" si="21"/>
        <v>9.1999999999999998E-2</v>
      </c>
      <c r="F97" s="1591">
        <f>+SUM('RAE Jurel'!B487:B489)</f>
        <v>0</v>
      </c>
      <c r="G97" s="1594">
        <f t="shared" si="25"/>
        <v>9.1999999999999998E-2</v>
      </c>
      <c r="H97" s="2122">
        <f t="shared" si="24"/>
        <v>1</v>
      </c>
      <c r="I97" s="1596"/>
      <c r="J97" s="1599">
        <v>0</v>
      </c>
      <c r="L97" s="1593">
        <f t="shared" si="22"/>
        <v>0</v>
      </c>
    </row>
    <row r="98" spans="1:12" s="1599" customFormat="1" ht="15">
      <c r="A98" s="1261" t="s">
        <v>97</v>
      </c>
      <c r="B98" s="1258" t="s">
        <v>39</v>
      </c>
      <c r="C98" s="3180">
        <v>1.2E-2</v>
      </c>
      <c r="D98" s="2487"/>
      <c r="E98" s="1589">
        <f t="shared" si="21"/>
        <v>0.23900000000000002</v>
      </c>
      <c r="F98" s="1591">
        <f>+SUM('RAE Jurel'!B519:B521)</f>
        <v>0</v>
      </c>
      <c r="G98" s="1594">
        <f t="shared" si="25"/>
        <v>0.23900000000000002</v>
      </c>
      <c r="H98" s="2122">
        <f t="shared" si="24"/>
        <v>1</v>
      </c>
      <c r="I98" s="1596"/>
      <c r="J98" s="1599">
        <v>1.0999999999999999E-2</v>
      </c>
      <c r="L98" s="1593">
        <f t="shared" si="22"/>
        <v>0</v>
      </c>
    </row>
    <row r="99" spans="1:12" s="1599" customFormat="1" ht="15">
      <c r="A99" s="1261" t="s">
        <v>62</v>
      </c>
      <c r="B99" s="1258" t="s">
        <v>39</v>
      </c>
      <c r="C99" s="3180">
        <v>0</v>
      </c>
      <c r="D99" s="2487"/>
      <c r="E99" s="1589">
        <f t="shared" si="21"/>
        <v>0</v>
      </c>
      <c r="F99" s="1591">
        <f>+SUM('RAE Jurel'!B471:B473)</f>
        <v>0</v>
      </c>
      <c r="G99" s="1594">
        <f t="shared" si="25"/>
        <v>0</v>
      </c>
      <c r="H99" s="2122" t="e">
        <f t="shared" si="24"/>
        <v>#DIV/0!</v>
      </c>
      <c r="I99" s="1597"/>
      <c r="J99" s="1599">
        <v>2.133</v>
      </c>
      <c r="L99" s="1593">
        <f t="shared" si="22"/>
        <v>0</v>
      </c>
    </row>
    <row r="100" spans="1:12" s="1599" customFormat="1" ht="15">
      <c r="A100" s="1261" t="s">
        <v>98</v>
      </c>
      <c r="B100" s="1258" t="s">
        <v>39</v>
      </c>
      <c r="C100" s="3180">
        <v>2.1000000000000001E-2</v>
      </c>
      <c r="D100" s="2487"/>
      <c r="E100" s="1589">
        <f t="shared" si="21"/>
        <v>0.42200000000000004</v>
      </c>
      <c r="F100" s="1591">
        <f>+SUM('RAE Jurel'!B535:B537)</f>
        <v>0</v>
      </c>
      <c r="G100" s="1594">
        <f t="shared" si="25"/>
        <v>0.42200000000000004</v>
      </c>
      <c r="H100" s="2122">
        <f t="shared" si="24"/>
        <v>1</v>
      </c>
      <c r="I100" s="1596"/>
      <c r="J100" s="1599">
        <v>2.4E-2</v>
      </c>
      <c r="L100" s="1593">
        <f t="shared" si="22"/>
        <v>0</v>
      </c>
    </row>
    <row r="101" spans="1:12" s="1599" customFormat="1" ht="15">
      <c r="A101" s="1261" t="s">
        <v>121</v>
      </c>
      <c r="B101" s="1258" t="s">
        <v>39</v>
      </c>
      <c r="C101" s="3180">
        <v>12.172000000000001</v>
      </c>
      <c r="D101" s="2487"/>
      <c r="E101" s="1589">
        <f t="shared" si="21"/>
        <v>243.94</v>
      </c>
      <c r="F101" s="1591">
        <f>+SUM('RAE Jurel'!B551:B553)</f>
        <v>0</v>
      </c>
      <c r="G101" s="1594">
        <f t="shared" si="25"/>
        <v>243.94</v>
      </c>
      <c r="H101" s="2122">
        <f t="shared" si="24"/>
        <v>1</v>
      </c>
      <c r="I101" s="1596"/>
      <c r="J101" s="1599">
        <v>11.608000000000001</v>
      </c>
      <c r="L101" s="1593">
        <f t="shared" si="22"/>
        <v>0</v>
      </c>
    </row>
    <row r="102" spans="1:12" s="1599" customFormat="1" ht="15.6" thickBot="1">
      <c r="A102" s="1261" t="s">
        <v>58</v>
      </c>
      <c r="B102" s="1258" t="s">
        <v>39</v>
      </c>
      <c r="C102" s="3182">
        <v>2.9060000000000001</v>
      </c>
      <c r="D102" s="2487"/>
      <c r="E102" s="1589">
        <f t="shared" si="21"/>
        <v>58.238</v>
      </c>
      <c r="F102" s="1591">
        <f>+SUM('RAE Jurel'!B503:B505)</f>
        <v>31.574999999999999</v>
      </c>
      <c r="G102" s="1594">
        <f t="shared" si="25"/>
        <v>26.663</v>
      </c>
      <c r="H102" s="2122">
        <f t="shared" si="24"/>
        <v>0.4578282221230125</v>
      </c>
      <c r="I102" s="1596"/>
      <c r="J102" s="1599">
        <v>3.016</v>
      </c>
      <c r="L102" s="1593">
        <f t="shared" si="22"/>
        <v>31.574999999999999</v>
      </c>
    </row>
    <row r="103" spans="1:12" s="1599" customFormat="1" ht="15">
      <c r="A103" s="1259" t="s">
        <v>50</v>
      </c>
      <c r="B103" s="1260" t="s">
        <v>39</v>
      </c>
      <c r="C103" s="2488">
        <f>SUM(C91:C102)</f>
        <v>98.834999999999994</v>
      </c>
      <c r="D103" s="1586"/>
      <c r="E103" s="1560">
        <f>SUM(E91:E102)</f>
        <v>631.94900000000007</v>
      </c>
      <c r="F103" s="1586">
        <f>SUM(F91:F102)</f>
        <v>40.853999999999999</v>
      </c>
      <c r="G103" s="1598">
        <f>+E103-F103</f>
        <v>591.09500000000003</v>
      </c>
      <c r="H103" s="1592">
        <f t="shared" si="24"/>
        <v>0.93535237811912031</v>
      </c>
      <c r="I103" s="1229"/>
      <c r="J103" s="1599">
        <v>231.99899999999997</v>
      </c>
      <c r="L103" s="1593">
        <f>SUM(L92:L102)</f>
        <v>34.534999999999997</v>
      </c>
    </row>
    <row r="104" spans="1:12" ht="15">
      <c r="A104" s="16"/>
      <c r="B104" s="8"/>
      <c r="C104" s="26"/>
      <c r="D104" s="26"/>
      <c r="E104" s="26"/>
      <c r="F104" s="27"/>
      <c r="G104" s="27">
        <f>SUM(G92:G102)</f>
        <v>555.68700000000001</v>
      </c>
      <c r="H104" s="28"/>
      <c r="I104" s="1"/>
    </row>
    <row r="105" spans="1:12">
      <c r="C105" s="184"/>
      <c r="D105" s="184"/>
    </row>
  </sheetData>
  <mergeCells count="5">
    <mergeCell ref="A2:I2"/>
    <mergeCell ref="A18:B18"/>
    <mergeCell ref="A32:B32"/>
    <mergeCell ref="A73:B73"/>
    <mergeCell ref="A4:B4"/>
  </mergeCells>
  <phoneticPr fontId="0" type="noConversion"/>
  <conditionalFormatting sqref="H7:H102">
    <cfRule type="cellIs" dxfId="143" priority="25" stopIfTrue="1" operator="lessThan">
      <formula>0</formula>
    </cfRule>
    <cfRule type="cellIs" dxfId="142" priority="26" stopIfTrue="1" operator="lessThan">
      <formula>0</formula>
    </cfRule>
  </conditionalFormatting>
  <conditionalFormatting sqref="H7:H102">
    <cfRule type="cellIs" dxfId="141" priority="24" stopIfTrue="1" operator="lessThan">
      <formula>0.05</formula>
    </cfRule>
  </conditionalFormatting>
  <conditionalFormatting sqref="H7:H102">
    <cfRule type="cellIs" dxfId="140" priority="23" operator="lessThan">
      <formula>0.5</formula>
    </cfRule>
  </conditionalFormatting>
  <conditionalFormatting sqref="H7:H102">
    <cfRule type="cellIs" dxfId="139" priority="21" operator="lessThan">
      <formula>0.2</formula>
    </cfRule>
    <cfRule type="cellIs" dxfId="138" priority="22" operator="lessThan">
      <formula>0.5</formula>
    </cfRule>
  </conditionalFormatting>
  <conditionalFormatting sqref="H7:H102">
    <cfRule type="cellIs" dxfId="137" priority="18" operator="lessThan">
      <formula>0.1</formula>
    </cfRule>
    <cfRule type="cellIs" dxfId="136" priority="19" operator="lessThan">
      <formula>0.2</formula>
    </cfRule>
    <cfRule type="cellIs" dxfId="135" priority="20" operator="lessThan">
      <formula>0.5</formula>
    </cfRule>
  </conditionalFormatting>
  <conditionalFormatting sqref="H7:H102">
    <cfRule type="cellIs" dxfId="134" priority="14" operator="lessThan">
      <formula>0.05</formula>
    </cfRule>
    <cfRule type="cellIs" dxfId="133" priority="15" operator="lessThan">
      <formula>0.1</formula>
    </cfRule>
    <cfRule type="cellIs" dxfId="132" priority="16" operator="lessThan">
      <formula>0.2</formula>
    </cfRule>
    <cfRule type="cellIs" dxfId="131" priority="17" operator="lessThan">
      <formula>0.5</formula>
    </cfRule>
  </conditionalFormatting>
  <pageMargins left="0.75" right="0.75" top="1" bottom="1" header="0" footer="0"/>
  <pageSetup paperSize="5"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sheetPr>
    <tabColor theme="6" tint="-0.249977111117893"/>
  </sheetPr>
  <dimension ref="A2:AP554"/>
  <sheetViews>
    <sheetView topLeftCell="A19" zoomScale="70" zoomScaleNormal="70" workbookViewId="0">
      <selection activeCell="T25" sqref="T25"/>
    </sheetView>
  </sheetViews>
  <sheetFormatPr baseColWidth="10" defaultColWidth="11.44140625" defaultRowHeight="15" customHeight="1"/>
  <cols>
    <col min="1" max="1" width="11.44140625" style="66"/>
    <col min="2" max="2" width="13.33203125" style="69" customWidth="1"/>
    <col min="3" max="33" width="8" style="66" customWidth="1"/>
    <col min="34" max="34" width="8.109375" style="66" bestFit="1" customWidth="1"/>
    <col min="35" max="16384" width="11.44140625" style="66"/>
  </cols>
  <sheetData>
    <row r="2" spans="1:36" ht="15" customHeight="1">
      <c r="A2" s="3811" t="s">
        <v>742</v>
      </c>
      <c r="B2" s="3812"/>
      <c r="C2" s="3812"/>
      <c r="D2" s="3812"/>
      <c r="E2" s="3812"/>
      <c r="F2" s="3812"/>
      <c r="G2" s="3812"/>
      <c r="H2" s="3812"/>
      <c r="I2" s="3812"/>
      <c r="J2" s="3812"/>
      <c r="K2" s="3812"/>
      <c r="L2" s="3812"/>
      <c r="M2" s="3812"/>
      <c r="N2" s="3812"/>
      <c r="O2" s="3812"/>
      <c r="P2" s="3812"/>
      <c r="Q2" s="3812"/>
      <c r="R2" s="3812"/>
      <c r="S2" s="3812"/>
      <c r="T2" s="3813"/>
      <c r="U2" s="11"/>
      <c r="V2" s="11"/>
      <c r="W2" s="11"/>
      <c r="X2" s="11"/>
      <c r="Y2" s="11"/>
      <c r="Z2" s="11"/>
      <c r="AA2" s="11"/>
      <c r="AB2" s="11"/>
      <c r="AC2" s="11"/>
      <c r="AD2" s="11"/>
      <c r="AE2" s="11"/>
      <c r="AF2" s="11"/>
      <c r="AG2" s="11"/>
      <c r="AH2" s="1"/>
    </row>
    <row r="3" spans="1:36" ht="15" customHeight="1">
      <c r="A3" s="114"/>
      <c r="B3" s="114"/>
      <c r="C3" s="114"/>
      <c r="D3" s="114"/>
      <c r="E3" s="114"/>
      <c r="F3" s="114"/>
      <c r="G3" s="114"/>
      <c r="H3" s="114"/>
      <c r="I3" s="114"/>
      <c r="K3" s="114"/>
      <c r="L3" s="114"/>
      <c r="M3" s="114"/>
      <c r="N3" s="114"/>
      <c r="O3" s="114"/>
      <c r="P3" s="114"/>
      <c r="Q3" s="114"/>
      <c r="R3" s="114"/>
      <c r="S3" s="114"/>
      <c r="T3" s="114"/>
      <c r="U3" s="11"/>
      <c r="V3" s="11"/>
      <c r="W3" s="11"/>
      <c r="X3" s="11"/>
      <c r="Y3" s="11"/>
      <c r="Z3" s="11"/>
      <c r="AA3" s="11"/>
      <c r="AB3" s="11"/>
      <c r="AC3" s="11"/>
      <c r="AD3" s="11"/>
      <c r="AE3" s="11"/>
      <c r="AF3" s="11"/>
      <c r="AG3" s="11"/>
      <c r="AH3" s="1"/>
    </row>
    <row r="4" spans="1:36" ht="15" customHeight="1">
      <c r="A4" s="114"/>
      <c r="B4" s="114"/>
      <c r="C4" s="114"/>
      <c r="D4" s="114"/>
      <c r="E4" s="114"/>
      <c r="F4" s="114"/>
      <c r="G4" s="114"/>
      <c r="H4" s="114"/>
      <c r="I4" s="114"/>
      <c r="J4" s="114"/>
      <c r="K4" s="114"/>
      <c r="L4" s="114"/>
      <c r="M4" s="114"/>
      <c r="N4" s="114"/>
      <c r="O4" s="114"/>
      <c r="P4" s="114"/>
      <c r="Q4" s="114"/>
      <c r="R4" s="114"/>
      <c r="S4" s="114"/>
      <c r="T4" s="114"/>
      <c r="U4" s="3871"/>
      <c r="V4" s="3871"/>
      <c r="W4" s="3871"/>
      <c r="X4" s="3871"/>
      <c r="Y4" s="3871"/>
      <c r="Z4" s="3871"/>
      <c r="AA4" s="3871"/>
      <c r="AB4" s="3871"/>
      <c r="AC4" s="11"/>
      <c r="AD4" s="11"/>
      <c r="AE4" s="11"/>
      <c r="AF4" s="11"/>
      <c r="AG4" s="11"/>
      <c r="AH4" s="1"/>
    </row>
    <row r="5" spans="1:36" ht="15" customHeight="1">
      <c r="A5" s="3818" t="s">
        <v>119</v>
      </c>
      <c r="B5" s="3819"/>
      <c r="C5" s="3819"/>
      <c r="D5" s="3819"/>
      <c r="E5" s="3819"/>
      <c r="F5" s="3819"/>
      <c r="G5" s="3819"/>
      <c r="H5" s="3819"/>
      <c r="I5" s="3819"/>
      <c r="J5" s="3819"/>
      <c r="K5" s="3819"/>
      <c r="L5" s="3819"/>
      <c r="M5" s="3819"/>
      <c r="N5" s="3819"/>
      <c r="O5" s="3819"/>
      <c r="P5" s="3819"/>
      <c r="Q5" s="3819"/>
      <c r="R5" s="3820"/>
      <c r="S5" s="114"/>
      <c r="T5" s="114"/>
      <c r="U5" s="11"/>
      <c r="V5" s="11"/>
      <c r="W5" s="11"/>
      <c r="X5" s="11"/>
      <c r="Y5" s="11"/>
      <c r="Z5" s="11"/>
      <c r="AA5" s="11"/>
      <c r="AB5" s="11"/>
      <c r="AC5" s="11"/>
      <c r="AD5" s="11"/>
      <c r="AE5" s="11"/>
      <c r="AF5" s="11"/>
      <c r="AG5" s="11"/>
      <c r="AH5" s="1"/>
      <c r="AI5" s="2266" t="s">
        <v>1346</v>
      </c>
    </row>
    <row r="6" spans="1:36" ht="5.25" customHeight="1">
      <c r="A6" s="115"/>
      <c r="B6" s="116"/>
      <c r="C6" s="116"/>
      <c r="D6" s="116"/>
      <c r="E6" s="116"/>
      <c r="F6" s="116"/>
      <c r="G6" s="116"/>
      <c r="H6" s="116"/>
      <c r="I6" s="114"/>
      <c r="J6" s="114"/>
      <c r="K6" s="114"/>
      <c r="L6" s="114"/>
      <c r="M6" s="114"/>
      <c r="N6" s="114"/>
      <c r="O6" s="114"/>
      <c r="P6" s="114"/>
      <c r="Q6" s="114"/>
      <c r="R6" s="114"/>
      <c r="S6" s="114"/>
      <c r="T6" s="114"/>
      <c r="U6" s="11"/>
      <c r="V6" s="11"/>
      <c r="W6" s="11"/>
      <c r="X6" s="11"/>
      <c r="Y6" s="11"/>
      <c r="Z6" s="11"/>
      <c r="AA6" s="11"/>
      <c r="AB6" s="11"/>
      <c r="AC6" s="11"/>
      <c r="AD6" s="11"/>
      <c r="AE6" s="11"/>
      <c r="AF6" s="11"/>
      <c r="AG6" s="11"/>
      <c r="AH6" s="1"/>
    </row>
    <row r="7" spans="1:36" ht="15" customHeight="1">
      <c r="A7" s="3875" t="s">
        <v>118</v>
      </c>
      <c r="B7" s="3876"/>
      <c r="C7" s="3876"/>
      <c r="D7" s="3876"/>
      <c r="E7" s="3876"/>
      <c r="F7" s="3876"/>
      <c r="G7" s="3876"/>
      <c r="H7" s="3877"/>
      <c r="I7" s="11"/>
      <c r="K7" s="11"/>
      <c r="L7" s="11"/>
      <c r="M7" s="11"/>
      <c r="N7" s="11"/>
      <c r="O7" s="11"/>
      <c r="P7" s="11"/>
      <c r="Q7" s="11"/>
      <c r="R7" s="11"/>
      <c r="S7" s="11"/>
      <c r="T7" s="11"/>
      <c r="U7" s="11"/>
      <c r="V7" s="11"/>
      <c r="W7" s="11"/>
      <c r="X7" s="11"/>
      <c r="Y7" s="11"/>
      <c r="Z7" s="11"/>
      <c r="AA7" s="11"/>
      <c r="AB7" s="11"/>
      <c r="AC7" s="11"/>
      <c r="AD7" s="11"/>
      <c r="AE7" s="11"/>
      <c r="AF7" s="11"/>
      <c r="AG7" s="11"/>
      <c r="AH7" s="11"/>
    </row>
    <row r="8" spans="1:36" ht="15" customHeight="1">
      <c r="A8" s="5" t="s">
        <v>70</v>
      </c>
      <c r="B8" s="5" t="s">
        <v>71</v>
      </c>
      <c r="C8" s="1054">
        <v>1</v>
      </c>
      <c r="D8" s="21">
        <v>2</v>
      </c>
      <c r="E8" s="21">
        <v>3</v>
      </c>
      <c r="F8" s="21">
        <v>4</v>
      </c>
      <c r="G8" s="21">
        <v>5</v>
      </c>
      <c r="H8" s="21">
        <v>6</v>
      </c>
      <c r="I8" s="21">
        <v>7</v>
      </c>
      <c r="J8" s="21">
        <v>8</v>
      </c>
      <c r="K8" s="21">
        <v>9</v>
      </c>
      <c r="L8" s="21">
        <v>10</v>
      </c>
      <c r="M8" s="21">
        <v>11</v>
      </c>
      <c r="N8" s="21">
        <v>12</v>
      </c>
      <c r="O8" s="21">
        <v>13</v>
      </c>
      <c r="P8" s="21">
        <v>14</v>
      </c>
      <c r="Q8" s="21">
        <v>15</v>
      </c>
      <c r="R8" s="21">
        <v>16</v>
      </c>
      <c r="S8" s="21">
        <v>17</v>
      </c>
      <c r="T8" s="21">
        <v>18</v>
      </c>
      <c r="U8" s="21">
        <v>19</v>
      </c>
      <c r="V8" s="21">
        <v>20</v>
      </c>
      <c r="W8" s="21">
        <v>21</v>
      </c>
      <c r="X8" s="21">
        <v>22</v>
      </c>
      <c r="Y8" s="21">
        <v>23</v>
      </c>
      <c r="Z8" s="21">
        <v>24</v>
      </c>
      <c r="AA8" s="21">
        <v>25</v>
      </c>
      <c r="AB8" s="21">
        <v>26</v>
      </c>
      <c r="AC8" s="21">
        <v>27</v>
      </c>
      <c r="AD8" s="21">
        <v>28</v>
      </c>
      <c r="AE8" s="21">
        <v>29</v>
      </c>
      <c r="AF8" s="21">
        <v>30</v>
      </c>
      <c r="AG8" s="21">
        <v>31</v>
      </c>
      <c r="AH8" s="25" t="s">
        <v>72</v>
      </c>
      <c r="AI8" s="2266" t="s">
        <v>1345</v>
      </c>
      <c r="AJ8" s="66">
        <f>(B21/COUNTIF($C$9:$AG$20,"&gt;0"))</f>
        <v>1.0678812499999999</v>
      </c>
    </row>
    <row r="9" spans="1:36" s="68" customFormat="1" ht="15" customHeight="1">
      <c r="A9" s="1607" t="s">
        <v>73</v>
      </c>
      <c r="B9" s="15">
        <f>+AH9</f>
        <v>30.692000000000004</v>
      </c>
      <c r="C9" s="208">
        <v>0</v>
      </c>
      <c r="D9" s="126">
        <v>0</v>
      </c>
      <c r="E9" s="126">
        <v>0</v>
      </c>
      <c r="F9" s="126">
        <v>0</v>
      </c>
      <c r="G9" s="126">
        <v>0</v>
      </c>
      <c r="H9" s="126">
        <v>0</v>
      </c>
      <c r="I9" s="167">
        <v>0</v>
      </c>
      <c r="J9" s="167">
        <v>0</v>
      </c>
      <c r="K9" s="167">
        <v>1.5</v>
      </c>
      <c r="L9" s="167">
        <v>0</v>
      </c>
      <c r="M9" s="126">
        <v>18.900000000000002</v>
      </c>
      <c r="N9" s="126">
        <v>0.3</v>
      </c>
      <c r="O9" s="126">
        <v>9.01</v>
      </c>
      <c r="P9" s="126">
        <v>0.39</v>
      </c>
      <c r="Q9" s="126">
        <v>0.1</v>
      </c>
      <c r="R9" s="126">
        <v>0.26</v>
      </c>
      <c r="S9" s="126">
        <v>0.05</v>
      </c>
      <c r="T9" s="126">
        <v>0.04</v>
      </c>
      <c r="U9" s="126">
        <v>0</v>
      </c>
      <c r="V9" s="126">
        <v>0</v>
      </c>
      <c r="W9" s="209">
        <v>0.14200000000000002</v>
      </c>
      <c r="X9" s="126">
        <v>0</v>
      </c>
      <c r="Y9" s="126">
        <v>0</v>
      </c>
      <c r="Z9" s="126">
        <v>0</v>
      </c>
      <c r="AA9" s="126">
        <v>0</v>
      </c>
      <c r="AB9" s="126">
        <v>0</v>
      </c>
      <c r="AC9" s="126">
        <v>0</v>
      </c>
      <c r="AD9" s="126">
        <v>0</v>
      </c>
      <c r="AE9" s="126">
        <v>0</v>
      </c>
      <c r="AF9" s="126">
        <v>0</v>
      </c>
      <c r="AG9" s="126">
        <v>0</v>
      </c>
      <c r="AH9" s="15">
        <f>SUM(C9:AG9)</f>
        <v>30.692000000000004</v>
      </c>
      <c r="AJ9" s="68">
        <f>+'Resumen RAE Jurel'!G13</f>
        <v>476.43900000000002</v>
      </c>
    </row>
    <row r="10" spans="1:36" ht="15" customHeight="1">
      <c r="A10" s="1607" t="s">
        <v>74</v>
      </c>
      <c r="B10" s="15">
        <f>+AH10</f>
        <v>2.375</v>
      </c>
      <c r="C10" s="94">
        <v>0</v>
      </c>
      <c r="D10" s="94">
        <v>0.01</v>
      </c>
      <c r="E10" s="94">
        <v>0</v>
      </c>
      <c r="F10" s="94">
        <v>0</v>
      </c>
      <c r="G10" s="94">
        <v>0.04</v>
      </c>
      <c r="H10" s="94">
        <v>0</v>
      </c>
      <c r="I10" s="94">
        <v>0</v>
      </c>
      <c r="J10" s="94">
        <v>0</v>
      </c>
      <c r="K10" s="94">
        <v>0.03</v>
      </c>
      <c r="L10" s="94">
        <v>0</v>
      </c>
      <c r="M10" s="94">
        <v>0.09</v>
      </c>
      <c r="N10" s="94">
        <v>0.04</v>
      </c>
      <c r="O10" s="94">
        <v>0.06</v>
      </c>
      <c r="P10" s="94">
        <v>0</v>
      </c>
      <c r="Q10" s="94">
        <v>0.02</v>
      </c>
      <c r="R10" s="94">
        <v>7.0000000000000007E-2</v>
      </c>
      <c r="S10" s="94">
        <v>0.4</v>
      </c>
      <c r="T10" s="94">
        <v>0.35</v>
      </c>
      <c r="U10" s="94">
        <v>0</v>
      </c>
      <c r="V10" s="94">
        <v>0</v>
      </c>
      <c r="W10" s="94">
        <v>0</v>
      </c>
      <c r="X10" s="94">
        <v>0.315</v>
      </c>
      <c r="Y10" s="94">
        <v>0</v>
      </c>
      <c r="Z10" s="94">
        <v>0.2</v>
      </c>
      <c r="AA10" s="94">
        <v>0.1</v>
      </c>
      <c r="AB10" s="94">
        <v>0.39999999999999997</v>
      </c>
      <c r="AC10" s="94">
        <v>0</v>
      </c>
      <c r="AD10" s="94">
        <v>0.25</v>
      </c>
      <c r="AE10" s="94"/>
      <c r="AF10" s="94"/>
      <c r="AG10" s="94"/>
      <c r="AH10" s="15">
        <f t="shared" ref="AH10:AH21" si="0">SUM(C10:AG10)</f>
        <v>2.375</v>
      </c>
      <c r="AJ10" s="1093">
        <f>+AJ9/AJ8</f>
        <v>446.15354001205662</v>
      </c>
    </row>
    <row r="11" spans="1:36" s="68" customFormat="1" ht="15" customHeight="1">
      <c r="A11" s="1607" t="s">
        <v>75</v>
      </c>
      <c r="B11" s="15">
        <f t="shared" ref="B11:B20" si="1">+AH11</f>
        <v>0.28500000000000003</v>
      </c>
      <c r="C11" s="167">
        <v>0</v>
      </c>
      <c r="D11" s="126">
        <v>0</v>
      </c>
      <c r="E11" s="179">
        <v>0</v>
      </c>
      <c r="F11" s="179">
        <v>0.2</v>
      </c>
      <c r="G11" s="179">
        <v>0</v>
      </c>
      <c r="H11" s="179">
        <v>0</v>
      </c>
      <c r="I11" s="179">
        <v>1.4999999999999999E-2</v>
      </c>
      <c r="J11" s="179">
        <v>0.01</v>
      </c>
      <c r="K11" s="179">
        <v>0</v>
      </c>
      <c r="L11" s="179">
        <v>0</v>
      </c>
      <c r="M11" s="179">
        <v>0</v>
      </c>
      <c r="N11" s="179">
        <v>0</v>
      </c>
      <c r="O11" s="179">
        <v>0</v>
      </c>
      <c r="P11" s="179">
        <v>0</v>
      </c>
      <c r="Q11" s="179">
        <v>0</v>
      </c>
      <c r="R11" s="179">
        <v>0</v>
      </c>
      <c r="S11" s="179">
        <v>0</v>
      </c>
      <c r="T11" s="179">
        <v>0</v>
      </c>
      <c r="U11" s="179">
        <v>0</v>
      </c>
      <c r="V11" s="179">
        <v>0</v>
      </c>
      <c r="W11" s="179">
        <v>0</v>
      </c>
      <c r="X11" s="179">
        <v>0</v>
      </c>
      <c r="Y11" s="179">
        <v>0</v>
      </c>
      <c r="Z11" s="179">
        <v>0</v>
      </c>
      <c r="AA11" s="179">
        <v>0</v>
      </c>
      <c r="AB11" s="179">
        <v>0</v>
      </c>
      <c r="AC11" s="179">
        <v>0</v>
      </c>
      <c r="AD11" s="179">
        <v>0</v>
      </c>
      <c r="AE11" s="179">
        <v>0.06</v>
      </c>
      <c r="AF11" s="179">
        <v>0</v>
      </c>
      <c r="AG11" s="179">
        <v>0</v>
      </c>
      <c r="AH11" s="15">
        <f t="shared" si="0"/>
        <v>0.28500000000000003</v>
      </c>
    </row>
    <row r="12" spans="1:36" s="68" customFormat="1" ht="15" customHeight="1">
      <c r="A12" s="1607" t="s">
        <v>76</v>
      </c>
      <c r="B12" s="15">
        <f t="shared" si="1"/>
        <v>1.54</v>
      </c>
      <c r="C12" s="206">
        <v>0</v>
      </c>
      <c r="D12" s="93">
        <v>0.18</v>
      </c>
      <c r="E12" s="207">
        <v>0.5</v>
      </c>
      <c r="F12" s="207">
        <v>0.8600000000000001</v>
      </c>
      <c r="G12" s="207">
        <v>0</v>
      </c>
      <c r="H12" s="207">
        <v>0</v>
      </c>
      <c r="I12" s="207">
        <v>0</v>
      </c>
      <c r="J12" s="207">
        <v>0</v>
      </c>
      <c r="K12" s="207">
        <v>0</v>
      </c>
      <c r="L12" s="207">
        <v>0</v>
      </c>
      <c r="M12" s="207">
        <v>0</v>
      </c>
      <c r="N12" s="207">
        <v>0</v>
      </c>
      <c r="O12" s="207">
        <v>0</v>
      </c>
      <c r="P12" s="207">
        <v>0</v>
      </c>
      <c r="Q12" s="207">
        <v>0</v>
      </c>
      <c r="R12" s="207">
        <v>0</v>
      </c>
      <c r="S12" s="207">
        <v>0</v>
      </c>
      <c r="T12" s="207">
        <v>0</v>
      </c>
      <c r="U12" s="207">
        <v>0</v>
      </c>
      <c r="V12" s="207">
        <v>0</v>
      </c>
      <c r="W12" s="207">
        <v>0</v>
      </c>
      <c r="X12" s="207">
        <v>0</v>
      </c>
      <c r="Y12" s="207">
        <v>0</v>
      </c>
      <c r="Z12" s="207">
        <v>0</v>
      </c>
      <c r="AA12" s="207">
        <v>0</v>
      </c>
      <c r="AB12" s="207">
        <v>0</v>
      </c>
      <c r="AC12" s="207">
        <v>0</v>
      </c>
      <c r="AD12" s="207">
        <v>0</v>
      </c>
      <c r="AE12" s="207">
        <v>0</v>
      </c>
      <c r="AF12" s="207">
        <v>0</v>
      </c>
      <c r="AG12" s="207"/>
      <c r="AH12" s="15">
        <f t="shared" si="0"/>
        <v>1.54</v>
      </c>
    </row>
    <row r="13" spans="1:36" ht="15" customHeight="1">
      <c r="A13" s="1607" t="s">
        <v>77</v>
      </c>
      <c r="B13" s="15">
        <f t="shared" si="1"/>
        <v>2.2400000000000002</v>
      </c>
      <c r="C13" s="105">
        <v>0</v>
      </c>
      <c r="D13" s="105">
        <v>0</v>
      </c>
      <c r="E13" s="105">
        <v>0</v>
      </c>
      <c r="F13" s="105">
        <v>0.15</v>
      </c>
      <c r="G13" s="105">
        <v>0.7</v>
      </c>
      <c r="H13" s="105">
        <v>0.65</v>
      </c>
      <c r="I13" s="105">
        <v>0.13500000000000001</v>
      </c>
      <c r="J13" s="105">
        <v>0.08</v>
      </c>
      <c r="K13" s="105">
        <v>0</v>
      </c>
      <c r="L13" s="105">
        <v>0</v>
      </c>
      <c r="M13" s="105">
        <v>0</v>
      </c>
      <c r="N13" s="105">
        <v>0</v>
      </c>
      <c r="O13" s="105">
        <v>0</v>
      </c>
      <c r="P13" s="105">
        <v>0</v>
      </c>
      <c r="Q13" s="105">
        <v>2.5000000000000001E-2</v>
      </c>
      <c r="R13" s="105">
        <v>0</v>
      </c>
      <c r="S13" s="105">
        <v>0</v>
      </c>
      <c r="T13" s="105">
        <v>0</v>
      </c>
      <c r="U13" s="105">
        <v>0</v>
      </c>
      <c r="V13" s="105">
        <v>0</v>
      </c>
      <c r="W13" s="105">
        <v>0</v>
      </c>
      <c r="X13" s="105">
        <v>0</v>
      </c>
      <c r="Y13" s="105">
        <v>0</v>
      </c>
      <c r="Z13" s="105">
        <v>0</v>
      </c>
      <c r="AA13" s="105">
        <v>0</v>
      </c>
      <c r="AB13" s="105">
        <v>0</v>
      </c>
      <c r="AC13" s="105">
        <v>0.3</v>
      </c>
      <c r="AD13" s="105">
        <v>0.2</v>
      </c>
      <c r="AE13" s="105">
        <v>0</v>
      </c>
      <c r="AF13" s="105">
        <v>0</v>
      </c>
      <c r="AG13" s="105">
        <v>0</v>
      </c>
      <c r="AH13" s="15">
        <f t="shared" si="0"/>
        <v>2.2400000000000002</v>
      </c>
    </row>
    <row r="14" spans="1:36" ht="15" customHeight="1">
      <c r="A14" s="1607" t="s">
        <v>78</v>
      </c>
      <c r="B14" s="15">
        <f t="shared" si="1"/>
        <v>0.38500000000000001</v>
      </c>
      <c r="C14" s="105">
        <v>0</v>
      </c>
      <c r="D14" s="105">
        <v>0</v>
      </c>
      <c r="E14" s="105">
        <v>0</v>
      </c>
      <c r="F14" s="105">
        <v>0</v>
      </c>
      <c r="G14" s="105">
        <v>0</v>
      </c>
      <c r="H14" s="105">
        <v>0</v>
      </c>
      <c r="I14" s="105">
        <v>0.01</v>
      </c>
      <c r="J14" s="105">
        <v>0</v>
      </c>
      <c r="K14" s="105">
        <v>0</v>
      </c>
      <c r="L14" s="105">
        <v>0</v>
      </c>
      <c r="M14" s="105">
        <v>0</v>
      </c>
      <c r="N14" s="105">
        <v>0</v>
      </c>
      <c r="O14" s="105">
        <v>0</v>
      </c>
      <c r="P14" s="105">
        <v>0</v>
      </c>
      <c r="Q14" s="105">
        <v>0</v>
      </c>
      <c r="R14" s="105">
        <v>2.5000000000000001E-2</v>
      </c>
      <c r="S14" s="105">
        <v>0</v>
      </c>
      <c r="T14" s="105">
        <v>0</v>
      </c>
      <c r="U14" s="105">
        <v>0</v>
      </c>
      <c r="V14" s="105">
        <v>0</v>
      </c>
      <c r="W14" s="105">
        <v>0.3</v>
      </c>
      <c r="X14" s="105">
        <v>0</v>
      </c>
      <c r="Y14" s="105">
        <v>0.03</v>
      </c>
      <c r="Z14" s="105">
        <v>0</v>
      </c>
      <c r="AA14" s="105">
        <v>0</v>
      </c>
      <c r="AB14" s="105">
        <v>0</v>
      </c>
      <c r="AC14" s="105">
        <v>0</v>
      </c>
      <c r="AD14" s="105">
        <v>0.02</v>
      </c>
      <c r="AE14" s="105">
        <v>0</v>
      </c>
      <c r="AF14" s="105">
        <v>0</v>
      </c>
      <c r="AG14" s="105"/>
      <c r="AH14" s="15">
        <f t="shared" si="0"/>
        <v>0.38500000000000001</v>
      </c>
    </row>
    <row r="15" spans="1:36" ht="15" customHeight="1">
      <c r="A15" s="1607" t="s">
        <v>79</v>
      </c>
      <c r="B15" s="15">
        <f t="shared" si="1"/>
        <v>7.1419999999999995</v>
      </c>
      <c r="C15" s="105">
        <v>0</v>
      </c>
      <c r="D15" s="105">
        <v>0</v>
      </c>
      <c r="E15" s="105">
        <v>0</v>
      </c>
      <c r="F15" s="105">
        <v>0</v>
      </c>
      <c r="G15" s="105">
        <v>0</v>
      </c>
      <c r="H15" s="105">
        <v>0</v>
      </c>
      <c r="I15" s="105">
        <v>0</v>
      </c>
      <c r="J15" s="105">
        <v>0</v>
      </c>
      <c r="K15" s="105">
        <v>0</v>
      </c>
      <c r="L15" s="105">
        <v>0</v>
      </c>
      <c r="M15" s="105">
        <v>0</v>
      </c>
      <c r="N15" s="105">
        <v>0</v>
      </c>
      <c r="O15" s="105">
        <v>4.2000000000000003E-2</v>
      </c>
      <c r="P15" s="105">
        <v>0</v>
      </c>
      <c r="Q15" s="105">
        <v>0</v>
      </c>
      <c r="R15" s="105">
        <v>0</v>
      </c>
      <c r="S15" s="105">
        <v>0</v>
      </c>
      <c r="T15" s="105">
        <v>0</v>
      </c>
      <c r="U15" s="105">
        <v>1.5</v>
      </c>
      <c r="V15" s="105">
        <v>2</v>
      </c>
      <c r="W15" s="105">
        <v>0</v>
      </c>
      <c r="X15" s="105">
        <v>0</v>
      </c>
      <c r="Y15" s="105">
        <v>0</v>
      </c>
      <c r="Z15" s="105">
        <v>0</v>
      </c>
      <c r="AA15" s="105">
        <v>3.6</v>
      </c>
      <c r="AB15" s="105">
        <v>0</v>
      </c>
      <c r="AC15" s="105">
        <v>0</v>
      </c>
      <c r="AD15" s="105">
        <v>0</v>
      </c>
      <c r="AE15" s="105">
        <v>0</v>
      </c>
      <c r="AF15" s="105">
        <v>0</v>
      </c>
      <c r="AG15" s="105">
        <v>0</v>
      </c>
      <c r="AH15" s="15">
        <f t="shared" si="0"/>
        <v>7.1419999999999995</v>
      </c>
    </row>
    <row r="16" spans="1:36" ht="15" customHeight="1">
      <c r="A16" s="1607" t="s">
        <v>80</v>
      </c>
      <c r="B16" s="15">
        <f t="shared" si="1"/>
        <v>34.454999999999998</v>
      </c>
      <c r="C16" s="105">
        <v>0</v>
      </c>
      <c r="D16" s="105">
        <v>0.2</v>
      </c>
      <c r="E16" s="105">
        <v>4.5999999999999996</v>
      </c>
      <c r="F16" s="105">
        <v>1.8</v>
      </c>
      <c r="G16" s="105">
        <v>0</v>
      </c>
      <c r="H16" s="105">
        <v>0</v>
      </c>
      <c r="I16" s="105">
        <v>0</v>
      </c>
      <c r="J16" s="105">
        <v>0</v>
      </c>
      <c r="K16" s="105">
        <v>0</v>
      </c>
      <c r="L16" s="105">
        <v>0</v>
      </c>
      <c r="M16" s="105">
        <v>0</v>
      </c>
      <c r="N16" s="105">
        <v>0</v>
      </c>
      <c r="O16" s="105">
        <v>0</v>
      </c>
      <c r="P16" s="105">
        <v>0</v>
      </c>
      <c r="Q16" s="105">
        <v>0</v>
      </c>
      <c r="R16" s="105">
        <v>1.7</v>
      </c>
      <c r="S16" s="105">
        <v>0</v>
      </c>
      <c r="T16" s="105">
        <v>0</v>
      </c>
      <c r="U16" s="105">
        <v>0</v>
      </c>
      <c r="V16" s="105">
        <v>0</v>
      </c>
      <c r="W16" s="105">
        <v>19</v>
      </c>
      <c r="X16" s="105">
        <v>0.12</v>
      </c>
      <c r="Y16" s="105">
        <v>5.5650000000000004</v>
      </c>
      <c r="Z16" s="105">
        <v>0</v>
      </c>
      <c r="AA16" s="105">
        <v>0</v>
      </c>
      <c r="AB16" s="105">
        <v>0</v>
      </c>
      <c r="AC16" s="105">
        <v>0.06</v>
      </c>
      <c r="AD16" s="105">
        <v>0.01</v>
      </c>
      <c r="AE16" s="105">
        <v>0.60000000000000009</v>
      </c>
      <c r="AF16" s="105">
        <v>0.55000000000000004</v>
      </c>
      <c r="AG16" s="105">
        <v>0.25</v>
      </c>
      <c r="AH16" s="39">
        <f t="shared" si="0"/>
        <v>34.454999999999998</v>
      </c>
    </row>
    <row r="17" spans="1:36" ht="15" customHeight="1">
      <c r="A17" s="1607" t="s">
        <v>81</v>
      </c>
      <c r="B17" s="15">
        <f t="shared" si="1"/>
        <v>6.01</v>
      </c>
      <c r="C17" s="105">
        <v>0.7</v>
      </c>
      <c r="D17" s="105">
        <v>0</v>
      </c>
      <c r="E17" s="105">
        <v>0.5</v>
      </c>
      <c r="F17" s="105">
        <v>0</v>
      </c>
      <c r="G17" s="105">
        <v>0.03</v>
      </c>
      <c r="H17" s="105">
        <v>0</v>
      </c>
      <c r="I17" s="105">
        <v>0</v>
      </c>
      <c r="J17" s="105">
        <v>0.2</v>
      </c>
      <c r="K17" s="105">
        <v>0.3</v>
      </c>
      <c r="L17" s="105">
        <v>0.25</v>
      </c>
      <c r="M17" s="105">
        <v>0</v>
      </c>
      <c r="N17" s="105">
        <v>0.5</v>
      </c>
      <c r="O17" s="105">
        <v>0</v>
      </c>
      <c r="P17" s="105">
        <v>0</v>
      </c>
      <c r="Q17" s="105">
        <v>0.09</v>
      </c>
      <c r="R17" s="105">
        <v>0.2</v>
      </c>
      <c r="S17" s="105">
        <v>0.5</v>
      </c>
      <c r="T17" s="105">
        <v>0.25</v>
      </c>
      <c r="U17" s="105">
        <v>0</v>
      </c>
      <c r="V17" s="105">
        <v>0.3</v>
      </c>
      <c r="W17" s="105">
        <v>0</v>
      </c>
      <c r="X17" s="105">
        <v>0.2</v>
      </c>
      <c r="Y17" s="105">
        <v>0</v>
      </c>
      <c r="Z17" s="105">
        <v>0.32</v>
      </c>
      <c r="AA17" s="105">
        <v>0.09</v>
      </c>
      <c r="AB17" s="105">
        <v>0.55000000000000004</v>
      </c>
      <c r="AC17" s="105">
        <v>0.54</v>
      </c>
      <c r="AD17" s="105">
        <v>0.44999999999999996</v>
      </c>
      <c r="AE17" s="105">
        <v>0.04</v>
      </c>
      <c r="AF17" s="105">
        <v>0</v>
      </c>
      <c r="AG17" s="105"/>
      <c r="AH17" s="39">
        <f t="shared" si="0"/>
        <v>6.01</v>
      </c>
    </row>
    <row r="18" spans="1:36" ht="15" customHeight="1">
      <c r="A18" s="1607" t="s">
        <v>82</v>
      </c>
      <c r="B18" s="15">
        <f t="shared" si="1"/>
        <v>63.561999999999991</v>
      </c>
      <c r="C18" s="105">
        <v>3.8</v>
      </c>
      <c r="D18" s="105">
        <v>13.8</v>
      </c>
      <c r="E18" s="105">
        <v>4.4000000000000004</v>
      </c>
      <c r="F18" s="105">
        <v>3.5000000000000004</v>
      </c>
      <c r="G18" s="105">
        <v>0.32</v>
      </c>
      <c r="H18" s="105">
        <v>0.35500000000000004</v>
      </c>
      <c r="I18" s="105">
        <v>9.59</v>
      </c>
      <c r="J18" s="105">
        <v>0.186</v>
      </c>
      <c r="K18" s="105">
        <v>6.1000000000000005</v>
      </c>
      <c r="L18" s="105">
        <v>0.6</v>
      </c>
      <c r="M18" s="105">
        <v>0.46</v>
      </c>
      <c r="N18" s="105">
        <v>0.22</v>
      </c>
      <c r="O18" s="105">
        <v>0.15</v>
      </c>
      <c r="P18" s="105">
        <v>0.7</v>
      </c>
      <c r="Q18" s="105">
        <v>0.05</v>
      </c>
      <c r="R18" s="105">
        <v>0.55000000000000004</v>
      </c>
      <c r="S18" s="105">
        <v>1</v>
      </c>
      <c r="T18" s="105">
        <v>0.5</v>
      </c>
      <c r="U18" s="105">
        <v>0.67499999999999993</v>
      </c>
      <c r="V18" s="105">
        <v>0.156</v>
      </c>
      <c r="W18" s="105">
        <v>0.19</v>
      </c>
      <c r="X18" s="105">
        <v>4.16</v>
      </c>
      <c r="Y18" s="105">
        <v>0.9</v>
      </c>
      <c r="Z18" s="105">
        <v>0.89</v>
      </c>
      <c r="AA18" s="105">
        <v>2.1700000000000004</v>
      </c>
      <c r="AB18" s="105">
        <v>0.89999999999999991</v>
      </c>
      <c r="AC18" s="105">
        <v>1.1499999999999999</v>
      </c>
      <c r="AD18" s="105">
        <v>4.8899999999999997</v>
      </c>
      <c r="AE18" s="105">
        <v>0.56999999999999995</v>
      </c>
      <c r="AF18" s="105">
        <v>7.0000000000000007E-2</v>
      </c>
      <c r="AG18" s="105">
        <v>0.56000000000000005</v>
      </c>
      <c r="AH18" s="39">
        <f t="shared" si="0"/>
        <v>63.561999999999991</v>
      </c>
    </row>
    <row r="19" spans="1:36" ht="15" customHeight="1">
      <c r="A19" s="1522" t="s">
        <v>83</v>
      </c>
      <c r="B19" s="15">
        <f t="shared" si="1"/>
        <v>8.4440000000000008</v>
      </c>
      <c r="C19" s="105">
        <v>0.2</v>
      </c>
      <c r="D19" s="105">
        <v>0.2</v>
      </c>
      <c r="E19" s="105">
        <v>0.44000000000000006</v>
      </c>
      <c r="F19" s="105">
        <v>0.56000000000000005</v>
      </c>
      <c r="G19" s="105">
        <v>0.23199999999999998</v>
      </c>
      <c r="H19" s="105">
        <v>9.5000000000000001E-2</v>
      </c>
      <c r="I19" s="105">
        <v>0.34499999999999997</v>
      </c>
      <c r="J19" s="105">
        <v>0.72</v>
      </c>
      <c r="K19" s="105">
        <v>0.96699999999999997</v>
      </c>
      <c r="L19" s="105">
        <v>1.1399999999999999</v>
      </c>
      <c r="M19" s="105">
        <v>0.25</v>
      </c>
      <c r="N19" s="105">
        <v>0.32</v>
      </c>
      <c r="O19" s="105">
        <v>0.22999999999999998</v>
      </c>
      <c r="P19" s="105">
        <v>0.09</v>
      </c>
      <c r="Q19" s="105">
        <v>0.27</v>
      </c>
      <c r="R19" s="105">
        <v>0.05</v>
      </c>
      <c r="S19" s="105">
        <v>0</v>
      </c>
      <c r="T19" s="105">
        <v>0.02</v>
      </c>
      <c r="U19" s="105">
        <v>0</v>
      </c>
      <c r="V19" s="105">
        <v>0.43000000000000005</v>
      </c>
      <c r="W19" s="105">
        <v>0.04</v>
      </c>
      <c r="X19" s="105">
        <v>0.16</v>
      </c>
      <c r="Y19" s="105">
        <v>0.29000000000000004</v>
      </c>
      <c r="Z19" s="105">
        <v>0.65</v>
      </c>
      <c r="AA19" s="105">
        <v>0.25900000000000001</v>
      </c>
      <c r="AB19" s="105">
        <v>0</v>
      </c>
      <c r="AC19" s="105">
        <v>0.09</v>
      </c>
      <c r="AD19" s="105">
        <v>0.11</v>
      </c>
      <c r="AE19" s="105">
        <v>0.22600000000000001</v>
      </c>
      <c r="AF19" s="105">
        <v>0.06</v>
      </c>
      <c r="AG19" s="105">
        <v>0</v>
      </c>
      <c r="AH19" s="39">
        <f t="shared" si="0"/>
        <v>8.4440000000000008</v>
      </c>
    </row>
    <row r="20" spans="1:36" ht="15" customHeight="1">
      <c r="A20" s="1522" t="s">
        <v>84</v>
      </c>
      <c r="B20" s="15">
        <f t="shared" si="1"/>
        <v>13.731000000000002</v>
      </c>
      <c r="C20" s="105">
        <v>0</v>
      </c>
      <c r="D20" s="105">
        <v>0.18</v>
      </c>
      <c r="E20" s="105">
        <v>0.1</v>
      </c>
      <c r="F20" s="105">
        <v>0.01</v>
      </c>
      <c r="G20" s="105">
        <v>0.54</v>
      </c>
      <c r="H20" s="105">
        <v>0.83</v>
      </c>
      <c r="I20" s="105">
        <v>0</v>
      </c>
      <c r="J20" s="105">
        <v>0.02</v>
      </c>
      <c r="K20" s="105">
        <v>1</v>
      </c>
      <c r="L20" s="105">
        <v>0.30599999999999999</v>
      </c>
      <c r="M20" s="105">
        <v>0.95000000000000007</v>
      </c>
      <c r="N20" s="105">
        <v>1.3900000000000001</v>
      </c>
      <c r="O20" s="105">
        <v>1.5300000000000002</v>
      </c>
      <c r="P20" s="105">
        <v>1.06</v>
      </c>
      <c r="Q20" s="105">
        <v>9.8000000000000004E-2</v>
      </c>
      <c r="R20" s="105">
        <v>1.29</v>
      </c>
      <c r="S20" s="105">
        <v>0.06</v>
      </c>
      <c r="T20" s="105">
        <v>0</v>
      </c>
      <c r="U20" s="105">
        <v>1.4999999999999999E-2</v>
      </c>
      <c r="V20" s="105">
        <v>0.16500000000000001</v>
      </c>
      <c r="W20" s="105">
        <v>0.03</v>
      </c>
      <c r="X20" s="105">
        <v>0</v>
      </c>
      <c r="Y20" s="105">
        <v>3.2000000000000001E-2</v>
      </c>
      <c r="Z20" s="105">
        <v>0</v>
      </c>
      <c r="AA20" s="105">
        <v>0</v>
      </c>
      <c r="AB20" s="105">
        <v>2.3E-2</v>
      </c>
      <c r="AC20" s="105">
        <v>0</v>
      </c>
      <c r="AD20" s="105">
        <v>0</v>
      </c>
      <c r="AE20" s="105">
        <v>4.08</v>
      </c>
      <c r="AF20" s="105">
        <v>2.1999999999999999E-2</v>
      </c>
      <c r="AG20" s="105">
        <v>0</v>
      </c>
      <c r="AH20" s="39">
        <f t="shared" si="0"/>
        <v>13.731000000000002</v>
      </c>
    </row>
    <row r="21" spans="1:36" ht="15" customHeight="1">
      <c r="A21" s="71" t="s">
        <v>72</v>
      </c>
      <c r="B21" s="72">
        <f>SUM(B9:B20)</f>
        <v>170.86099999999999</v>
      </c>
      <c r="C21" s="32">
        <f>SUM(C9:C20)</f>
        <v>4.7</v>
      </c>
      <c r="D21" s="32">
        <f t="shared" ref="D21:AG21" si="2">SUM(D9:D20)</f>
        <v>14.57</v>
      </c>
      <c r="E21" s="32">
        <f t="shared" si="2"/>
        <v>10.54</v>
      </c>
      <c r="F21" s="32">
        <f t="shared" si="2"/>
        <v>7.08</v>
      </c>
      <c r="G21" s="32">
        <f t="shared" si="2"/>
        <v>1.8620000000000001</v>
      </c>
      <c r="H21" s="32">
        <f t="shared" si="2"/>
        <v>1.9300000000000002</v>
      </c>
      <c r="I21" s="32">
        <f t="shared" si="2"/>
        <v>10.095000000000001</v>
      </c>
      <c r="J21" s="32">
        <f t="shared" si="2"/>
        <v>1.216</v>
      </c>
      <c r="K21" s="32">
        <f t="shared" si="2"/>
        <v>9.8970000000000002</v>
      </c>
      <c r="L21" s="32">
        <f t="shared" si="2"/>
        <v>2.2959999999999998</v>
      </c>
      <c r="M21" s="32">
        <f t="shared" si="2"/>
        <v>20.650000000000002</v>
      </c>
      <c r="N21" s="32">
        <f t="shared" si="2"/>
        <v>2.7700000000000005</v>
      </c>
      <c r="O21" s="32">
        <f>SUM(O9:O20)</f>
        <v>11.022000000000002</v>
      </c>
      <c r="P21" s="32">
        <f t="shared" si="2"/>
        <v>2.2400000000000002</v>
      </c>
      <c r="Q21" s="32">
        <f t="shared" si="2"/>
        <v>0.65300000000000002</v>
      </c>
      <c r="R21" s="32">
        <f t="shared" si="2"/>
        <v>4.1450000000000005</v>
      </c>
      <c r="S21" s="32">
        <f t="shared" si="2"/>
        <v>2.0099999999999998</v>
      </c>
      <c r="T21" s="32">
        <f t="shared" si="2"/>
        <v>1.1599999999999999</v>
      </c>
      <c r="U21" s="32">
        <f t="shared" si="2"/>
        <v>2.19</v>
      </c>
      <c r="V21" s="32">
        <f t="shared" si="2"/>
        <v>3.0510000000000002</v>
      </c>
      <c r="W21" s="32">
        <f t="shared" si="2"/>
        <v>19.702000000000002</v>
      </c>
      <c r="X21" s="32">
        <f t="shared" si="2"/>
        <v>4.9550000000000001</v>
      </c>
      <c r="Y21" s="32">
        <f t="shared" si="2"/>
        <v>6.8170000000000011</v>
      </c>
      <c r="Z21" s="32">
        <f t="shared" si="2"/>
        <v>2.06</v>
      </c>
      <c r="AA21" s="32">
        <f t="shared" si="2"/>
        <v>6.2190000000000012</v>
      </c>
      <c r="AB21" s="32">
        <f t="shared" si="2"/>
        <v>1.8729999999999998</v>
      </c>
      <c r="AC21" s="32">
        <f t="shared" si="2"/>
        <v>2.1399999999999997</v>
      </c>
      <c r="AD21" s="32">
        <f t="shared" si="2"/>
        <v>5.93</v>
      </c>
      <c r="AE21" s="32">
        <f>SUM(AE9:AE20)</f>
        <v>5.5760000000000005</v>
      </c>
      <c r="AF21" s="32">
        <f t="shared" si="2"/>
        <v>0.70200000000000018</v>
      </c>
      <c r="AG21" s="32">
        <f t="shared" si="2"/>
        <v>0.81</v>
      </c>
      <c r="AH21" s="39">
        <f t="shared" si="0"/>
        <v>170.86100000000002</v>
      </c>
    </row>
    <row r="22" spans="1:36" ht="15" customHeight="1">
      <c r="A22" s="114"/>
      <c r="B22" s="114"/>
      <c r="C22" s="114"/>
      <c r="D22" s="114"/>
      <c r="E22" s="114"/>
      <c r="F22" s="114"/>
      <c r="G22" s="114"/>
      <c r="H22" s="114"/>
      <c r="I22" s="114"/>
      <c r="J22" s="114"/>
      <c r="K22" s="114"/>
      <c r="L22" s="114"/>
      <c r="M22" s="114"/>
      <c r="N22" s="114"/>
      <c r="O22" s="114"/>
      <c r="P22" s="114"/>
      <c r="Q22" s="114"/>
      <c r="R22" s="114"/>
      <c r="S22" s="114"/>
      <c r="T22" s="114"/>
      <c r="U22" s="46"/>
      <c r="V22" s="46"/>
      <c r="W22" s="46"/>
      <c r="X22" s="46"/>
      <c r="Y22" s="46"/>
      <c r="Z22" s="46"/>
      <c r="AA22" s="46"/>
      <c r="AB22" s="46"/>
      <c r="AC22" s="46"/>
      <c r="AD22" s="46"/>
      <c r="AE22" s="46"/>
      <c r="AF22" s="46"/>
      <c r="AG22" s="46"/>
      <c r="AH22" s="46"/>
    </row>
    <row r="23" spans="1:36" ht="15" customHeight="1">
      <c r="A23" s="3811" t="s">
        <v>116</v>
      </c>
      <c r="B23" s="3812"/>
      <c r="C23" s="3812"/>
      <c r="D23" s="3812"/>
      <c r="E23" s="3812"/>
      <c r="F23" s="3812"/>
      <c r="G23" s="3812"/>
      <c r="H23" s="3813"/>
      <c r="I23" s="11"/>
      <c r="J23" s="1229"/>
      <c r="K23" s="11"/>
      <c r="L23" s="11"/>
      <c r="M23" s="11"/>
      <c r="N23" s="11"/>
      <c r="O23" s="11"/>
      <c r="P23" s="11"/>
      <c r="Q23" s="11"/>
      <c r="R23" s="11"/>
      <c r="S23" s="11"/>
      <c r="T23" s="11"/>
      <c r="U23" s="11"/>
      <c r="V23" s="11"/>
      <c r="W23" s="11"/>
      <c r="X23" s="11"/>
      <c r="Y23" s="11"/>
      <c r="Z23" s="11"/>
      <c r="AA23" s="11"/>
      <c r="AB23" s="11"/>
      <c r="AC23" s="11"/>
      <c r="AD23" s="11"/>
      <c r="AE23" s="11"/>
      <c r="AF23" s="11"/>
      <c r="AG23" s="11"/>
      <c r="AH23" s="11"/>
    </row>
    <row r="24" spans="1:36" ht="15" customHeight="1">
      <c r="A24" s="5" t="s">
        <v>70</v>
      </c>
      <c r="B24" s="5" t="s">
        <v>71</v>
      </c>
      <c r="C24" s="1054">
        <v>1</v>
      </c>
      <c r="D24" s="21">
        <v>2</v>
      </c>
      <c r="E24" s="21">
        <v>3</v>
      </c>
      <c r="F24" s="21">
        <v>4</v>
      </c>
      <c r="G24" s="21">
        <v>5</v>
      </c>
      <c r="H24" s="21">
        <v>6</v>
      </c>
      <c r="I24" s="21">
        <v>7</v>
      </c>
      <c r="J24" s="21">
        <v>8</v>
      </c>
      <c r="K24" s="21">
        <v>9</v>
      </c>
      <c r="L24" s="21">
        <v>10</v>
      </c>
      <c r="M24" s="21">
        <v>11</v>
      </c>
      <c r="N24" s="21">
        <v>12</v>
      </c>
      <c r="O24" s="21">
        <v>13</v>
      </c>
      <c r="P24" s="21">
        <v>14</v>
      </c>
      <c r="Q24" s="21">
        <v>15</v>
      </c>
      <c r="R24" s="21">
        <v>16</v>
      </c>
      <c r="S24" s="21">
        <v>17</v>
      </c>
      <c r="T24" s="21">
        <v>18</v>
      </c>
      <c r="U24" s="21">
        <v>19</v>
      </c>
      <c r="V24" s="21">
        <v>20</v>
      </c>
      <c r="W24" s="21">
        <v>21</v>
      </c>
      <c r="X24" s="21">
        <v>22</v>
      </c>
      <c r="Y24" s="21">
        <v>23</v>
      </c>
      <c r="Z24" s="21">
        <v>24</v>
      </c>
      <c r="AA24" s="21">
        <v>25</v>
      </c>
      <c r="AB24" s="21">
        <v>26</v>
      </c>
      <c r="AC24" s="21">
        <v>27</v>
      </c>
      <c r="AD24" s="21">
        <v>28</v>
      </c>
      <c r="AE24" s="21">
        <v>29</v>
      </c>
      <c r="AF24" s="21">
        <v>30</v>
      </c>
      <c r="AG24" s="21">
        <v>31</v>
      </c>
      <c r="AH24" s="25" t="s">
        <v>72</v>
      </c>
      <c r="AI24" s="2266" t="s">
        <v>1345</v>
      </c>
      <c r="AJ24" s="66">
        <f>(B37/COUNTIF($C$25:$AG$36,"&gt;0"))</f>
        <v>54.314543859649135</v>
      </c>
    </row>
    <row r="25" spans="1:36" s="68" customFormat="1" ht="15" customHeight="1">
      <c r="A25" s="1607" t="s">
        <v>73</v>
      </c>
      <c r="B25" s="15">
        <f>+AH25</f>
        <v>2127.1650000000004</v>
      </c>
      <c r="C25" s="92">
        <v>0</v>
      </c>
      <c r="D25" s="93">
        <v>42.322000000000003</v>
      </c>
      <c r="E25" s="93">
        <v>0</v>
      </c>
      <c r="F25" s="206">
        <v>0</v>
      </c>
      <c r="G25" s="93">
        <v>0</v>
      </c>
      <c r="H25" s="93">
        <v>0</v>
      </c>
      <c r="I25" s="93">
        <v>0</v>
      </c>
      <c r="J25" s="93">
        <v>8.7170000000000005</v>
      </c>
      <c r="K25" s="93">
        <v>44.087000000000003</v>
      </c>
      <c r="L25" s="93">
        <v>198.77399999999997</v>
      </c>
      <c r="M25" s="93">
        <v>154.03800000000001</v>
      </c>
      <c r="N25" s="93">
        <v>0</v>
      </c>
      <c r="O25" s="93">
        <v>167.88399999999999</v>
      </c>
      <c r="P25" s="93">
        <v>100.44699999999999</v>
      </c>
      <c r="Q25" s="93">
        <v>387.31299999999999</v>
      </c>
      <c r="R25" s="126">
        <v>131.12200000000001</v>
      </c>
      <c r="S25" s="126">
        <v>112.23</v>
      </c>
      <c r="T25" s="93">
        <v>0</v>
      </c>
      <c r="U25" s="167">
        <v>0</v>
      </c>
      <c r="V25" s="93">
        <v>0</v>
      </c>
      <c r="W25" s="206">
        <v>14.622</v>
      </c>
      <c r="X25" s="93">
        <v>40.762</v>
      </c>
      <c r="Y25" s="93">
        <v>44.427999999999997</v>
      </c>
      <c r="Z25" s="93">
        <v>85.573000000000008</v>
      </c>
      <c r="AA25" s="93">
        <v>116.06899999999999</v>
      </c>
      <c r="AB25" s="93">
        <v>0</v>
      </c>
      <c r="AC25" s="93">
        <v>95.14</v>
      </c>
      <c r="AD25" s="93">
        <v>349.35300000000001</v>
      </c>
      <c r="AE25" s="93">
        <v>0</v>
      </c>
      <c r="AF25" s="93">
        <v>34.283999999999999</v>
      </c>
      <c r="AG25" s="93">
        <v>0</v>
      </c>
      <c r="AH25" s="15">
        <f>SUM(C25:AG25)</f>
        <v>2127.1650000000004</v>
      </c>
      <c r="AJ25" s="68">
        <f>+'Resumen RAE Jurel'!G14</f>
        <v>387.6209999999993</v>
      </c>
    </row>
    <row r="26" spans="1:36" ht="15" customHeight="1">
      <c r="A26" s="1607" t="s">
        <v>74</v>
      </c>
      <c r="B26" s="15">
        <f>+AH26</f>
        <v>203.78399999999999</v>
      </c>
      <c r="C26" s="92">
        <v>0</v>
      </c>
      <c r="D26" s="93">
        <v>0</v>
      </c>
      <c r="E26" s="93">
        <v>54.164999999999999</v>
      </c>
      <c r="F26" s="93">
        <v>5.2839999999999998</v>
      </c>
      <c r="G26" s="93">
        <v>144.33499999999998</v>
      </c>
      <c r="H26" s="93">
        <v>0</v>
      </c>
      <c r="I26" s="93">
        <v>0</v>
      </c>
      <c r="J26" s="93">
        <v>0</v>
      </c>
      <c r="K26" s="93">
        <v>0</v>
      </c>
      <c r="L26" s="93">
        <v>0</v>
      </c>
      <c r="M26" s="93">
        <v>0</v>
      </c>
      <c r="N26" s="93">
        <v>0</v>
      </c>
      <c r="O26" s="93">
        <v>0</v>
      </c>
      <c r="P26" s="93">
        <v>0</v>
      </c>
      <c r="Q26" s="93">
        <v>0</v>
      </c>
      <c r="R26" s="93">
        <v>0</v>
      </c>
      <c r="S26" s="93">
        <v>0</v>
      </c>
      <c r="T26" s="93">
        <v>0</v>
      </c>
      <c r="U26" s="93">
        <v>0</v>
      </c>
      <c r="V26" s="93">
        <v>0</v>
      </c>
      <c r="W26" s="93">
        <v>0</v>
      </c>
      <c r="X26" s="93">
        <v>0</v>
      </c>
      <c r="Y26" s="93">
        <v>0</v>
      </c>
      <c r="Z26" s="93">
        <v>0</v>
      </c>
      <c r="AA26" s="93">
        <v>0</v>
      </c>
      <c r="AB26" s="93">
        <v>0</v>
      </c>
      <c r="AC26" s="93">
        <v>0</v>
      </c>
      <c r="AD26" s="93">
        <v>0</v>
      </c>
      <c r="AE26" s="93"/>
      <c r="AF26" s="93"/>
      <c r="AG26" s="93"/>
      <c r="AH26" s="39">
        <f t="shared" ref="AH26:AH37" si="3">SUM(C26:AG26)</f>
        <v>203.78399999999999</v>
      </c>
      <c r="AJ26" s="1093">
        <f>+AJ25/AJ24</f>
        <v>7.1365968018000272</v>
      </c>
    </row>
    <row r="27" spans="1:36" ht="15" customHeight="1">
      <c r="A27" s="1607" t="s">
        <v>75</v>
      </c>
      <c r="B27" s="15">
        <f t="shared" ref="B27:B36" si="4">+AH27</f>
        <v>36.875</v>
      </c>
      <c r="C27" s="167">
        <v>0</v>
      </c>
      <c r="D27" s="126">
        <v>0</v>
      </c>
      <c r="E27" s="179">
        <v>0</v>
      </c>
      <c r="F27" s="179">
        <v>0</v>
      </c>
      <c r="G27" s="179">
        <v>0</v>
      </c>
      <c r="H27" s="179">
        <v>0</v>
      </c>
      <c r="I27" s="179">
        <v>0</v>
      </c>
      <c r="J27" s="179">
        <v>0</v>
      </c>
      <c r="K27" s="179">
        <v>0</v>
      </c>
      <c r="L27" s="179">
        <v>0</v>
      </c>
      <c r="M27" s="179">
        <v>0</v>
      </c>
      <c r="N27" s="179">
        <v>0</v>
      </c>
      <c r="O27" s="179">
        <v>0</v>
      </c>
      <c r="P27" s="179">
        <v>0</v>
      </c>
      <c r="Q27" s="179">
        <v>0</v>
      </c>
      <c r="R27" s="179">
        <v>0</v>
      </c>
      <c r="S27" s="179">
        <v>0</v>
      </c>
      <c r="T27" s="179">
        <v>0</v>
      </c>
      <c r="U27" s="179">
        <v>4.82</v>
      </c>
      <c r="V27" s="179">
        <v>8.3620000000000001</v>
      </c>
      <c r="W27" s="179">
        <v>0</v>
      </c>
      <c r="X27" s="179">
        <v>0</v>
      </c>
      <c r="Y27" s="179">
        <v>0</v>
      </c>
      <c r="Z27" s="179">
        <v>0</v>
      </c>
      <c r="AA27" s="179">
        <v>7.2140000000000004</v>
      </c>
      <c r="AB27" s="179">
        <v>0.91499999999999992</v>
      </c>
      <c r="AC27" s="179">
        <v>0.66300000000000003</v>
      </c>
      <c r="AD27" s="179">
        <v>2.4529999999999998</v>
      </c>
      <c r="AE27" s="179">
        <v>0</v>
      </c>
      <c r="AF27" s="179">
        <v>0</v>
      </c>
      <c r="AG27" s="179">
        <v>12.448</v>
      </c>
      <c r="AH27" s="39">
        <f t="shared" si="3"/>
        <v>36.875</v>
      </c>
    </row>
    <row r="28" spans="1:36" ht="15" customHeight="1">
      <c r="A28" s="1607" t="s">
        <v>76</v>
      </c>
      <c r="B28" s="15">
        <f t="shared" si="4"/>
        <v>10.231999999999999</v>
      </c>
      <c r="C28" s="206">
        <v>0</v>
      </c>
      <c r="D28" s="93">
        <v>0</v>
      </c>
      <c r="E28" s="207">
        <v>2.72</v>
      </c>
      <c r="F28" s="207">
        <v>1.169</v>
      </c>
      <c r="G28" s="207">
        <v>0</v>
      </c>
      <c r="H28" s="207">
        <v>0</v>
      </c>
      <c r="I28" s="207">
        <v>0</v>
      </c>
      <c r="J28" s="207">
        <v>0</v>
      </c>
      <c r="K28" s="207">
        <v>0</v>
      </c>
      <c r="L28" s="207">
        <v>0</v>
      </c>
      <c r="M28" s="207">
        <v>0</v>
      </c>
      <c r="N28" s="207">
        <v>0</v>
      </c>
      <c r="O28" s="207">
        <v>0</v>
      </c>
      <c r="P28" s="207">
        <v>0</v>
      </c>
      <c r="Q28" s="207">
        <v>0</v>
      </c>
      <c r="R28" s="207">
        <v>0</v>
      </c>
      <c r="S28" s="207">
        <v>0</v>
      </c>
      <c r="T28" s="207">
        <v>0</v>
      </c>
      <c r="U28" s="207">
        <v>0</v>
      </c>
      <c r="V28" s="207">
        <v>0</v>
      </c>
      <c r="W28" s="207">
        <v>0</v>
      </c>
      <c r="X28" s="207">
        <v>0</v>
      </c>
      <c r="Y28" s="207">
        <v>0</v>
      </c>
      <c r="Z28" s="207">
        <v>0</v>
      </c>
      <c r="AA28" s="207">
        <v>6.343</v>
      </c>
      <c r="AB28" s="207">
        <v>0</v>
      </c>
      <c r="AC28" s="207">
        <v>0</v>
      </c>
      <c r="AD28" s="207">
        <v>0</v>
      </c>
      <c r="AE28" s="207">
        <v>0</v>
      </c>
      <c r="AF28" s="207">
        <v>0</v>
      </c>
      <c r="AG28" s="207"/>
      <c r="AH28" s="39">
        <f t="shared" si="3"/>
        <v>10.231999999999999</v>
      </c>
    </row>
    <row r="29" spans="1:36" ht="15" customHeight="1">
      <c r="A29" s="1607" t="s">
        <v>77</v>
      </c>
      <c r="B29" s="15">
        <f t="shared" si="4"/>
        <v>6.3369999999999997</v>
      </c>
      <c r="C29" s="2145">
        <v>0</v>
      </c>
      <c r="D29" s="1721">
        <v>0</v>
      </c>
      <c r="E29" s="749">
        <v>0</v>
      </c>
      <c r="F29" s="749">
        <v>0</v>
      </c>
      <c r="G29" s="207">
        <v>0</v>
      </c>
      <c r="H29" s="207">
        <v>0</v>
      </c>
      <c r="I29" s="207">
        <v>0</v>
      </c>
      <c r="J29" s="207">
        <v>1.468</v>
      </c>
      <c r="K29" s="207">
        <v>0</v>
      </c>
      <c r="L29" s="207">
        <v>0.376</v>
      </c>
      <c r="M29" s="207">
        <v>0</v>
      </c>
      <c r="N29" s="207">
        <v>0</v>
      </c>
      <c r="O29" s="207">
        <v>0</v>
      </c>
      <c r="P29" s="207">
        <v>0</v>
      </c>
      <c r="Q29" s="207">
        <v>0</v>
      </c>
      <c r="R29" s="207">
        <v>0.61499999999999999</v>
      </c>
      <c r="S29" s="207">
        <v>0.17100000000000001</v>
      </c>
      <c r="T29" s="207">
        <v>0</v>
      </c>
      <c r="U29" s="207">
        <v>0</v>
      </c>
      <c r="V29" s="207">
        <v>0</v>
      </c>
      <c r="W29" s="207">
        <v>0</v>
      </c>
      <c r="X29" s="207">
        <v>0</v>
      </c>
      <c r="Y29" s="207">
        <v>3.7070000000000003</v>
      </c>
      <c r="Z29" s="207">
        <v>0</v>
      </c>
      <c r="AA29" s="207">
        <v>0</v>
      </c>
      <c r="AB29" s="207">
        <v>0</v>
      </c>
      <c r="AC29" s="207">
        <v>0</v>
      </c>
      <c r="AD29" s="207">
        <v>0</v>
      </c>
      <c r="AE29" s="207">
        <v>0</v>
      </c>
      <c r="AF29" s="207">
        <v>0</v>
      </c>
      <c r="AG29" s="207">
        <v>0</v>
      </c>
      <c r="AH29" s="39">
        <f t="shared" si="3"/>
        <v>6.3369999999999997</v>
      </c>
    </row>
    <row r="30" spans="1:36" ht="15" customHeight="1">
      <c r="A30" s="1607" t="s">
        <v>78</v>
      </c>
      <c r="B30" s="15">
        <f t="shared" si="4"/>
        <v>33.711999999999996</v>
      </c>
      <c r="C30" s="105">
        <v>0</v>
      </c>
      <c r="D30" s="105">
        <v>0</v>
      </c>
      <c r="E30" s="105">
        <v>0</v>
      </c>
      <c r="F30" s="105">
        <v>0</v>
      </c>
      <c r="G30" s="105">
        <v>0</v>
      </c>
      <c r="H30" s="105">
        <v>0</v>
      </c>
      <c r="I30" s="105">
        <v>0</v>
      </c>
      <c r="J30" s="105">
        <v>0</v>
      </c>
      <c r="K30" s="105">
        <v>0</v>
      </c>
      <c r="L30" s="105">
        <v>0</v>
      </c>
      <c r="M30" s="105">
        <v>0</v>
      </c>
      <c r="N30" s="105">
        <v>0</v>
      </c>
      <c r="O30" s="105">
        <v>0</v>
      </c>
      <c r="P30" s="105">
        <v>0</v>
      </c>
      <c r="Q30" s="105">
        <v>0</v>
      </c>
      <c r="R30" s="105">
        <v>0</v>
      </c>
      <c r="S30" s="105">
        <v>0</v>
      </c>
      <c r="T30" s="105">
        <v>0</v>
      </c>
      <c r="U30" s="105">
        <v>0</v>
      </c>
      <c r="V30" s="105">
        <v>13.975999999999999</v>
      </c>
      <c r="W30" s="105">
        <v>0</v>
      </c>
      <c r="X30" s="105">
        <v>0</v>
      </c>
      <c r="Y30" s="105">
        <v>0.68100000000000005</v>
      </c>
      <c r="Z30" s="105">
        <v>3.5510000000000002</v>
      </c>
      <c r="AA30" s="105">
        <v>11.273</v>
      </c>
      <c r="AB30" s="105">
        <v>4.2309999999999999</v>
      </c>
      <c r="AC30" s="105">
        <v>0</v>
      </c>
      <c r="AD30" s="105">
        <v>0</v>
      </c>
      <c r="AE30" s="105">
        <v>0</v>
      </c>
      <c r="AF30" s="105">
        <v>0</v>
      </c>
      <c r="AG30" s="105"/>
      <c r="AH30" s="39">
        <f t="shared" si="3"/>
        <v>33.711999999999996</v>
      </c>
    </row>
    <row r="31" spans="1:36" ht="15" customHeight="1">
      <c r="A31" s="1607" t="s">
        <v>79</v>
      </c>
      <c r="B31" s="15">
        <f t="shared" si="4"/>
        <v>175.48499999999999</v>
      </c>
      <c r="C31" s="105">
        <v>3.4009999999999998</v>
      </c>
      <c r="D31" s="105">
        <v>0</v>
      </c>
      <c r="E31" s="105">
        <v>0</v>
      </c>
      <c r="F31" s="105">
        <v>0</v>
      </c>
      <c r="G31" s="105">
        <v>0</v>
      </c>
      <c r="H31" s="105">
        <v>0</v>
      </c>
      <c r="I31" s="105">
        <v>0</v>
      </c>
      <c r="J31" s="105">
        <v>2.1070000000000002</v>
      </c>
      <c r="K31" s="105">
        <v>0</v>
      </c>
      <c r="L31" s="105">
        <v>0</v>
      </c>
      <c r="M31" s="105">
        <v>0</v>
      </c>
      <c r="N31" s="105">
        <v>0</v>
      </c>
      <c r="O31" s="105">
        <v>0</v>
      </c>
      <c r="P31" s="105">
        <v>0</v>
      </c>
      <c r="Q31" s="105">
        <v>0</v>
      </c>
      <c r="R31" s="105">
        <v>0</v>
      </c>
      <c r="S31" s="105">
        <v>0</v>
      </c>
      <c r="T31" s="105">
        <v>0</v>
      </c>
      <c r="U31" s="105">
        <v>0</v>
      </c>
      <c r="V31" s="105">
        <v>0</v>
      </c>
      <c r="W31" s="105">
        <v>0</v>
      </c>
      <c r="X31" s="105">
        <v>0</v>
      </c>
      <c r="Y31" s="105">
        <v>0</v>
      </c>
      <c r="Z31" s="105">
        <v>117.252</v>
      </c>
      <c r="AA31" s="105">
        <v>52.725000000000001</v>
      </c>
      <c r="AB31" s="105">
        <v>0</v>
      </c>
      <c r="AC31" s="105">
        <v>0</v>
      </c>
      <c r="AD31" s="105">
        <v>0</v>
      </c>
      <c r="AE31" s="105">
        <v>0</v>
      </c>
      <c r="AF31" s="105">
        <v>0</v>
      </c>
      <c r="AG31" s="105">
        <v>0</v>
      </c>
      <c r="AH31" s="39">
        <f t="shared" si="3"/>
        <v>175.48499999999999</v>
      </c>
    </row>
    <row r="32" spans="1:36" ht="15" customHeight="1">
      <c r="A32" s="1607" t="s">
        <v>80</v>
      </c>
      <c r="B32" s="15">
        <f t="shared" si="4"/>
        <v>419.24399999999997</v>
      </c>
      <c r="C32" s="105">
        <v>0</v>
      </c>
      <c r="D32" s="105">
        <v>0</v>
      </c>
      <c r="E32" s="105">
        <v>0</v>
      </c>
      <c r="F32" s="105">
        <v>0</v>
      </c>
      <c r="G32" s="105">
        <v>0</v>
      </c>
      <c r="H32" s="105">
        <v>0</v>
      </c>
      <c r="I32" s="105">
        <v>0</v>
      </c>
      <c r="J32" s="105">
        <v>0</v>
      </c>
      <c r="K32" s="105">
        <v>0</v>
      </c>
      <c r="L32" s="105">
        <v>0</v>
      </c>
      <c r="M32" s="105">
        <v>0</v>
      </c>
      <c r="N32" s="105">
        <v>0</v>
      </c>
      <c r="O32" s="105">
        <v>0</v>
      </c>
      <c r="P32" s="105">
        <v>0</v>
      </c>
      <c r="Q32" s="105">
        <v>0</v>
      </c>
      <c r="R32" s="105">
        <v>0</v>
      </c>
      <c r="S32" s="105">
        <v>0</v>
      </c>
      <c r="T32" s="105">
        <v>0</v>
      </c>
      <c r="U32" s="105">
        <v>10.275</v>
      </c>
      <c r="V32" s="105">
        <v>288.53800000000001</v>
      </c>
      <c r="W32" s="105">
        <v>120.431</v>
      </c>
      <c r="X32" s="105">
        <v>0</v>
      </c>
      <c r="Y32" s="105">
        <v>0</v>
      </c>
      <c r="Z32" s="105">
        <v>0</v>
      </c>
      <c r="AA32" s="105">
        <v>0</v>
      </c>
      <c r="AB32" s="105">
        <v>0</v>
      </c>
      <c r="AC32" s="105">
        <v>0</v>
      </c>
      <c r="AD32" s="105">
        <v>0</v>
      </c>
      <c r="AE32" s="105">
        <v>0</v>
      </c>
      <c r="AF32" s="105">
        <v>0</v>
      </c>
      <c r="AG32" s="105">
        <v>0</v>
      </c>
      <c r="AH32" s="39">
        <f t="shared" si="3"/>
        <v>419.24399999999997</v>
      </c>
    </row>
    <row r="33" spans="1:36" ht="15" customHeight="1">
      <c r="A33" s="1607" t="s">
        <v>81</v>
      </c>
      <c r="B33" s="15">
        <f t="shared" si="4"/>
        <v>40.052999999999997</v>
      </c>
      <c r="C33" s="105">
        <v>4.2</v>
      </c>
      <c r="D33" s="105">
        <v>0</v>
      </c>
      <c r="E33" s="105">
        <v>0</v>
      </c>
      <c r="F33" s="105">
        <v>0</v>
      </c>
      <c r="G33" s="105">
        <v>0</v>
      </c>
      <c r="H33" s="105">
        <v>0</v>
      </c>
      <c r="I33" s="105">
        <v>0</v>
      </c>
      <c r="J33" s="105">
        <v>0</v>
      </c>
      <c r="K33" s="105">
        <v>0</v>
      </c>
      <c r="L33" s="105">
        <v>0</v>
      </c>
      <c r="M33" s="105">
        <v>0</v>
      </c>
      <c r="N33" s="105">
        <v>0.54</v>
      </c>
      <c r="O33" s="105">
        <v>0</v>
      </c>
      <c r="P33" s="105">
        <v>14.4</v>
      </c>
      <c r="Q33" s="105">
        <v>0</v>
      </c>
      <c r="R33" s="105">
        <v>0</v>
      </c>
      <c r="S33" s="105">
        <v>0</v>
      </c>
      <c r="T33" s="105">
        <v>0</v>
      </c>
      <c r="U33" s="105">
        <v>0</v>
      </c>
      <c r="V33" s="105">
        <v>0</v>
      </c>
      <c r="W33" s="105">
        <v>0</v>
      </c>
      <c r="X33" s="105">
        <v>20.913</v>
      </c>
      <c r="Y33" s="105">
        <v>0</v>
      </c>
      <c r="Z33" s="105">
        <v>0</v>
      </c>
      <c r="AA33" s="105">
        <v>0</v>
      </c>
      <c r="AB33" s="105">
        <v>0</v>
      </c>
      <c r="AC33" s="105">
        <v>0</v>
      </c>
      <c r="AD33" s="105">
        <v>0</v>
      </c>
      <c r="AE33" s="105">
        <v>0</v>
      </c>
      <c r="AF33" s="105">
        <v>0</v>
      </c>
      <c r="AG33" s="105"/>
      <c r="AH33" s="39">
        <f t="shared" si="3"/>
        <v>40.052999999999997</v>
      </c>
    </row>
    <row r="34" spans="1:36" ht="15" customHeight="1">
      <c r="A34" s="1607" t="s">
        <v>82</v>
      </c>
      <c r="B34" s="15">
        <f t="shared" si="4"/>
        <v>7.0170000000000003</v>
      </c>
      <c r="C34" s="105">
        <v>0</v>
      </c>
      <c r="D34" s="105">
        <v>0</v>
      </c>
      <c r="E34" s="105">
        <v>0</v>
      </c>
      <c r="F34" s="105">
        <v>0</v>
      </c>
      <c r="G34" s="105">
        <v>0</v>
      </c>
      <c r="H34" s="105">
        <v>0</v>
      </c>
      <c r="I34" s="105">
        <v>0.11700000000000001</v>
      </c>
      <c r="J34" s="105">
        <v>0</v>
      </c>
      <c r="K34" s="105">
        <v>0</v>
      </c>
      <c r="L34" s="105">
        <v>0</v>
      </c>
      <c r="M34" s="105">
        <v>0</v>
      </c>
      <c r="N34" s="105">
        <v>0</v>
      </c>
      <c r="O34" s="105">
        <v>0</v>
      </c>
      <c r="P34" s="105">
        <v>6.9</v>
      </c>
      <c r="Q34" s="105">
        <v>0</v>
      </c>
      <c r="R34" s="105">
        <v>0</v>
      </c>
      <c r="S34" s="105">
        <v>0</v>
      </c>
      <c r="T34" s="105">
        <v>0</v>
      </c>
      <c r="U34" s="105">
        <v>0</v>
      </c>
      <c r="V34" s="105">
        <v>0</v>
      </c>
      <c r="W34" s="105">
        <v>0</v>
      </c>
      <c r="X34" s="105">
        <v>0</v>
      </c>
      <c r="Y34" s="105">
        <v>0</v>
      </c>
      <c r="Z34" s="105">
        <v>0</v>
      </c>
      <c r="AA34" s="105">
        <v>0</v>
      </c>
      <c r="AB34" s="105">
        <v>0</v>
      </c>
      <c r="AC34" s="105">
        <v>0</v>
      </c>
      <c r="AD34" s="105">
        <v>0</v>
      </c>
      <c r="AE34" s="105">
        <v>0</v>
      </c>
      <c r="AF34" s="105">
        <v>0</v>
      </c>
      <c r="AG34" s="105">
        <v>0</v>
      </c>
      <c r="AH34" s="39">
        <f t="shared" si="3"/>
        <v>7.0170000000000003</v>
      </c>
    </row>
    <row r="35" spans="1:36" ht="15" customHeight="1">
      <c r="A35" s="1522" t="s">
        <v>83</v>
      </c>
      <c r="B35" s="15">
        <f t="shared" si="4"/>
        <v>0.46400000000000002</v>
      </c>
      <c r="C35" s="105">
        <v>0</v>
      </c>
      <c r="D35" s="105">
        <v>0</v>
      </c>
      <c r="E35" s="105">
        <v>0</v>
      </c>
      <c r="F35" s="105">
        <v>0</v>
      </c>
      <c r="G35" s="105">
        <v>0</v>
      </c>
      <c r="H35" s="105">
        <v>0</v>
      </c>
      <c r="I35" s="105">
        <v>0</v>
      </c>
      <c r="J35" s="105">
        <v>0</v>
      </c>
      <c r="K35" s="105">
        <v>0</v>
      </c>
      <c r="L35" s="105">
        <v>0</v>
      </c>
      <c r="M35" s="105">
        <v>0</v>
      </c>
      <c r="N35" s="105">
        <v>0</v>
      </c>
      <c r="O35" s="105">
        <v>0</v>
      </c>
      <c r="P35" s="105">
        <v>0</v>
      </c>
      <c r="Q35" s="105">
        <v>0</v>
      </c>
      <c r="R35" s="105">
        <v>0</v>
      </c>
      <c r="S35" s="105">
        <v>0</v>
      </c>
      <c r="T35" s="105">
        <v>6.4000000000000001E-2</v>
      </c>
      <c r="U35" s="105">
        <v>0</v>
      </c>
      <c r="V35" s="105">
        <v>0</v>
      </c>
      <c r="W35" s="105">
        <v>0</v>
      </c>
      <c r="X35" s="105">
        <v>0</v>
      </c>
      <c r="Y35" s="105">
        <v>0</v>
      </c>
      <c r="Z35" s="105">
        <v>0</v>
      </c>
      <c r="AA35" s="105">
        <v>0.4</v>
      </c>
      <c r="AB35" s="105">
        <v>0</v>
      </c>
      <c r="AC35" s="105">
        <v>0</v>
      </c>
      <c r="AD35" s="105">
        <v>0</v>
      </c>
      <c r="AE35" s="105">
        <v>0</v>
      </c>
      <c r="AF35" s="105">
        <v>0</v>
      </c>
      <c r="AG35" s="105"/>
      <c r="AH35" s="39">
        <f t="shared" si="3"/>
        <v>0.46400000000000002</v>
      </c>
    </row>
    <row r="36" spans="1:36" ht="15" customHeight="1">
      <c r="A36" s="1522" t="s">
        <v>84</v>
      </c>
      <c r="B36" s="15">
        <f t="shared" si="4"/>
        <v>35.561</v>
      </c>
      <c r="C36" s="105">
        <v>0</v>
      </c>
      <c r="D36" s="105">
        <v>0</v>
      </c>
      <c r="E36" s="105">
        <v>0</v>
      </c>
      <c r="F36" s="105">
        <v>0</v>
      </c>
      <c r="G36" s="105">
        <v>0</v>
      </c>
      <c r="H36" s="105">
        <v>0</v>
      </c>
      <c r="I36" s="105">
        <v>0</v>
      </c>
      <c r="J36" s="105">
        <v>0</v>
      </c>
      <c r="K36" s="105">
        <v>0</v>
      </c>
      <c r="L36" s="105">
        <v>0</v>
      </c>
      <c r="M36" s="105">
        <v>0</v>
      </c>
      <c r="N36" s="105">
        <v>0</v>
      </c>
      <c r="O36" s="105">
        <v>0</v>
      </c>
      <c r="P36" s="105">
        <v>0</v>
      </c>
      <c r="Q36" s="105">
        <v>0</v>
      </c>
      <c r="R36" s="105">
        <v>0</v>
      </c>
      <c r="S36" s="105">
        <v>0</v>
      </c>
      <c r="T36" s="105">
        <v>0</v>
      </c>
      <c r="U36" s="105">
        <v>0</v>
      </c>
      <c r="V36" s="105">
        <v>0</v>
      </c>
      <c r="W36" s="105">
        <v>0</v>
      </c>
      <c r="X36" s="105">
        <v>0</v>
      </c>
      <c r="Y36" s="105">
        <v>0</v>
      </c>
      <c r="Z36" s="105">
        <v>0</v>
      </c>
      <c r="AA36" s="105">
        <v>0</v>
      </c>
      <c r="AB36" s="105">
        <v>0</v>
      </c>
      <c r="AC36" s="105">
        <v>0</v>
      </c>
      <c r="AD36" s="105">
        <v>0</v>
      </c>
      <c r="AE36" s="105">
        <v>35.561</v>
      </c>
      <c r="AF36" s="105">
        <v>0</v>
      </c>
      <c r="AG36" s="105">
        <v>0</v>
      </c>
      <c r="AH36" s="39">
        <f t="shared" si="3"/>
        <v>35.561</v>
      </c>
    </row>
    <row r="37" spans="1:36" ht="15" customHeight="1">
      <c r="A37" s="71" t="s">
        <v>72</v>
      </c>
      <c r="B37" s="72">
        <f>SUM(B25:B36)</f>
        <v>3095.9290000000005</v>
      </c>
      <c r="C37" s="32">
        <f t="shared" ref="C37:AG37" si="5">SUM(C25:C36)</f>
        <v>7.601</v>
      </c>
      <c r="D37" s="32">
        <f t="shared" si="5"/>
        <v>42.322000000000003</v>
      </c>
      <c r="E37" s="32">
        <f t="shared" si="5"/>
        <v>56.884999999999998</v>
      </c>
      <c r="F37" s="32">
        <f t="shared" si="5"/>
        <v>6.4529999999999994</v>
      </c>
      <c r="G37" s="32">
        <f t="shared" si="5"/>
        <v>144.33499999999998</v>
      </c>
      <c r="H37" s="32">
        <f t="shared" si="5"/>
        <v>0</v>
      </c>
      <c r="I37" s="32">
        <f t="shared" si="5"/>
        <v>0.11700000000000001</v>
      </c>
      <c r="J37" s="32">
        <f t="shared" si="5"/>
        <v>12.292000000000002</v>
      </c>
      <c r="K37" s="32">
        <f t="shared" si="5"/>
        <v>44.087000000000003</v>
      </c>
      <c r="L37" s="32">
        <f t="shared" si="5"/>
        <v>199.14999999999998</v>
      </c>
      <c r="M37" s="32">
        <f t="shared" si="5"/>
        <v>154.03800000000001</v>
      </c>
      <c r="N37" s="32">
        <f t="shared" si="5"/>
        <v>0.54</v>
      </c>
      <c r="O37" s="32">
        <f t="shared" si="5"/>
        <v>167.88399999999999</v>
      </c>
      <c r="P37" s="32">
        <f t="shared" si="5"/>
        <v>121.747</v>
      </c>
      <c r="Q37" s="32">
        <f t="shared" si="5"/>
        <v>387.31299999999999</v>
      </c>
      <c r="R37" s="32">
        <f t="shared" si="5"/>
        <v>131.73700000000002</v>
      </c>
      <c r="S37" s="32">
        <f t="shared" si="5"/>
        <v>112.40100000000001</v>
      </c>
      <c r="T37" s="32">
        <f t="shared" si="5"/>
        <v>6.4000000000000001E-2</v>
      </c>
      <c r="U37" s="32">
        <f t="shared" si="5"/>
        <v>15.095000000000001</v>
      </c>
      <c r="V37" s="32">
        <f t="shared" si="5"/>
        <v>310.87600000000003</v>
      </c>
      <c r="W37" s="32">
        <f t="shared" si="5"/>
        <v>135.053</v>
      </c>
      <c r="X37" s="32">
        <f t="shared" si="5"/>
        <v>61.674999999999997</v>
      </c>
      <c r="Y37" s="32">
        <f t="shared" si="5"/>
        <v>48.815999999999995</v>
      </c>
      <c r="Z37" s="32">
        <f t="shared" si="5"/>
        <v>206.376</v>
      </c>
      <c r="AA37" s="32">
        <f t="shared" si="5"/>
        <v>194.02399999999997</v>
      </c>
      <c r="AB37" s="32">
        <f t="shared" si="5"/>
        <v>5.1459999999999999</v>
      </c>
      <c r="AC37" s="32">
        <f t="shared" si="5"/>
        <v>95.802999999999997</v>
      </c>
      <c r="AD37" s="32">
        <f t="shared" si="5"/>
        <v>351.80599999999998</v>
      </c>
      <c r="AE37" s="32">
        <f t="shared" si="5"/>
        <v>35.561</v>
      </c>
      <c r="AF37" s="32">
        <f t="shared" si="5"/>
        <v>34.283999999999999</v>
      </c>
      <c r="AG37" s="32">
        <f t="shared" si="5"/>
        <v>12.448</v>
      </c>
      <c r="AH37" s="39">
        <f t="shared" si="3"/>
        <v>3095.9290000000005</v>
      </c>
    </row>
    <row r="38" spans="1:36" ht="15" customHeight="1">
      <c r="A38" s="114"/>
      <c r="B38" s="114"/>
      <c r="C38" s="114"/>
      <c r="D38" s="114"/>
      <c r="E38" s="114"/>
      <c r="F38" s="114"/>
      <c r="G38" s="114"/>
      <c r="H38" s="114"/>
      <c r="I38" s="114"/>
      <c r="J38" s="114"/>
      <c r="K38" s="114"/>
      <c r="L38" s="114"/>
      <c r="M38" s="114"/>
      <c r="N38" s="114"/>
      <c r="O38" s="114"/>
      <c r="P38" s="114"/>
      <c r="Q38" s="114"/>
      <c r="R38" s="114"/>
      <c r="S38" s="114"/>
      <c r="T38" s="114"/>
      <c r="U38" s="46"/>
      <c r="V38" s="46"/>
      <c r="W38" s="46"/>
      <c r="X38" s="46"/>
      <c r="Y38" s="46"/>
      <c r="Z38" s="46"/>
      <c r="AA38" s="46"/>
      <c r="AB38" s="46"/>
      <c r="AC38" s="46"/>
      <c r="AD38" s="46"/>
      <c r="AE38" s="46"/>
      <c r="AF38" s="46"/>
      <c r="AG38" s="46"/>
      <c r="AH38" s="46"/>
    </row>
    <row r="39" spans="1:36" ht="15" customHeight="1">
      <c r="A39" s="3811" t="s">
        <v>117</v>
      </c>
      <c r="B39" s="3812"/>
      <c r="C39" s="3812"/>
      <c r="D39" s="3812"/>
      <c r="E39" s="3812"/>
      <c r="F39" s="3812"/>
      <c r="G39" s="3812"/>
      <c r="H39" s="3813"/>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row>
    <row r="40" spans="1:36" ht="15" customHeight="1">
      <c r="A40" s="5" t="s">
        <v>70</v>
      </c>
      <c r="B40" s="5" t="s">
        <v>71</v>
      </c>
      <c r="C40" s="1054">
        <v>1</v>
      </c>
      <c r="D40" s="21">
        <v>2</v>
      </c>
      <c r="E40" s="21">
        <v>3</v>
      </c>
      <c r="F40" s="21">
        <v>4</v>
      </c>
      <c r="G40" s="21">
        <v>5</v>
      </c>
      <c r="H40" s="21">
        <v>6</v>
      </c>
      <c r="I40" s="21">
        <v>7</v>
      </c>
      <c r="J40" s="21">
        <v>8</v>
      </c>
      <c r="K40" s="21">
        <v>9</v>
      </c>
      <c r="L40" s="21">
        <v>10</v>
      </c>
      <c r="M40" s="21">
        <v>11</v>
      </c>
      <c r="N40" s="21">
        <v>12</v>
      </c>
      <c r="O40" s="21">
        <v>13</v>
      </c>
      <c r="P40" s="21">
        <v>14</v>
      </c>
      <c r="Q40" s="21">
        <v>15</v>
      </c>
      <c r="R40" s="21">
        <v>16</v>
      </c>
      <c r="S40" s="21">
        <v>17</v>
      </c>
      <c r="T40" s="21">
        <v>18</v>
      </c>
      <c r="U40" s="21">
        <v>19</v>
      </c>
      <c r="V40" s="21">
        <v>20</v>
      </c>
      <c r="W40" s="21">
        <v>21</v>
      </c>
      <c r="X40" s="21">
        <v>22</v>
      </c>
      <c r="Y40" s="21">
        <v>23</v>
      </c>
      <c r="Z40" s="21">
        <v>24</v>
      </c>
      <c r="AA40" s="21">
        <v>25</v>
      </c>
      <c r="AB40" s="21">
        <v>26</v>
      </c>
      <c r="AC40" s="21">
        <v>27</v>
      </c>
      <c r="AD40" s="21">
        <v>28</v>
      </c>
      <c r="AE40" s="21">
        <v>29</v>
      </c>
      <c r="AF40" s="21">
        <v>30</v>
      </c>
      <c r="AG40" s="21">
        <v>31</v>
      </c>
      <c r="AH40" s="25" t="s">
        <v>72</v>
      </c>
      <c r="AI40" s="2266" t="s">
        <v>1345</v>
      </c>
      <c r="AJ40" s="66">
        <f>(B53/COUNTIF($C$41:$AG$52,"&gt;0"))</f>
        <v>3.3268113207547167</v>
      </c>
    </row>
    <row r="41" spans="1:36" ht="15" customHeight="1">
      <c r="A41" s="1607" t="s">
        <v>73</v>
      </c>
      <c r="B41" s="15">
        <f>+AH41</f>
        <v>13.384</v>
      </c>
      <c r="C41" s="1722">
        <v>0</v>
      </c>
      <c r="D41" s="1723">
        <v>0</v>
      </c>
      <c r="E41" s="1724">
        <v>0</v>
      </c>
      <c r="F41" s="1724">
        <v>0.152</v>
      </c>
      <c r="G41" s="1724">
        <v>0.05</v>
      </c>
      <c r="H41" s="1724">
        <v>0.11</v>
      </c>
      <c r="I41" s="1724">
        <v>0.25</v>
      </c>
      <c r="J41" s="1723">
        <v>0</v>
      </c>
      <c r="K41" s="1723">
        <v>0.16499999999999998</v>
      </c>
      <c r="L41" s="1723">
        <v>0.06</v>
      </c>
      <c r="M41" s="93">
        <v>0.04</v>
      </c>
      <c r="N41" s="93">
        <v>0.16</v>
      </c>
      <c r="O41" s="93">
        <v>3.5000000000000003E-2</v>
      </c>
      <c r="P41" s="93">
        <v>0.15</v>
      </c>
      <c r="Q41" s="93">
        <v>1.4999999999999999E-2</v>
      </c>
      <c r="R41" s="93">
        <v>0</v>
      </c>
      <c r="S41" s="93">
        <v>0.05</v>
      </c>
      <c r="T41" s="93">
        <v>0</v>
      </c>
      <c r="U41" s="93">
        <v>0.16500000000000001</v>
      </c>
      <c r="V41" s="93">
        <v>0.16999999999999998</v>
      </c>
      <c r="W41" s="93">
        <v>7.4999999999999997E-2</v>
      </c>
      <c r="X41" s="93">
        <v>1.4999999999999999E-2</v>
      </c>
      <c r="Y41" s="93">
        <v>0.05</v>
      </c>
      <c r="Z41" s="93">
        <v>2.5249999999999999</v>
      </c>
      <c r="AA41" s="93">
        <v>5.0200000000000005</v>
      </c>
      <c r="AB41" s="93">
        <v>0.02</v>
      </c>
      <c r="AC41" s="93">
        <v>3.5000000000000003E-2</v>
      </c>
      <c r="AD41" s="93">
        <v>3.9470000000000001</v>
      </c>
      <c r="AE41" s="93">
        <v>4.4999999999999998E-2</v>
      </c>
      <c r="AF41" s="93">
        <v>1.4999999999999999E-2</v>
      </c>
      <c r="AG41" s="93">
        <v>6.5000000000000002E-2</v>
      </c>
      <c r="AH41" s="39">
        <f>SUM(C41:AG41)</f>
        <v>13.384</v>
      </c>
      <c r="AJ41" s="66">
        <f>+'Resumen RAE Jurel'!G15</f>
        <v>45.187000000000033</v>
      </c>
    </row>
    <row r="42" spans="1:36" ht="15" customHeight="1">
      <c r="A42" s="1607" t="s">
        <v>74</v>
      </c>
      <c r="B42" s="15">
        <f>+AH42</f>
        <v>10.370000000000003</v>
      </c>
      <c r="C42" s="1721">
        <v>0.12</v>
      </c>
      <c r="D42" s="93">
        <v>0</v>
      </c>
      <c r="E42" s="93">
        <v>0.18</v>
      </c>
      <c r="F42" s="93">
        <v>7.0000000000000007E-2</v>
      </c>
      <c r="G42" s="93">
        <v>2.5000000000000001E-2</v>
      </c>
      <c r="H42" s="93">
        <v>0.155</v>
      </c>
      <c r="I42" s="93">
        <v>0.06</v>
      </c>
      <c r="J42" s="93">
        <v>0.18</v>
      </c>
      <c r="K42" s="93">
        <v>0</v>
      </c>
      <c r="L42" s="93">
        <v>0</v>
      </c>
      <c r="M42" s="93">
        <v>0.21</v>
      </c>
      <c r="N42" s="93">
        <v>0</v>
      </c>
      <c r="O42" s="93">
        <v>0</v>
      </c>
      <c r="P42" s="93">
        <v>0.80900000000000005</v>
      </c>
      <c r="Q42" s="93">
        <v>2.1799999999999997</v>
      </c>
      <c r="R42" s="93">
        <v>0.16</v>
      </c>
      <c r="S42" s="93">
        <v>1.7999999999999999E-2</v>
      </c>
      <c r="T42" s="93">
        <v>0</v>
      </c>
      <c r="U42" s="93">
        <v>0</v>
      </c>
      <c r="V42" s="93">
        <v>0.24000000000000002</v>
      </c>
      <c r="W42" s="93">
        <v>0</v>
      </c>
      <c r="X42" s="93">
        <v>0</v>
      </c>
      <c r="Y42" s="93">
        <v>0</v>
      </c>
      <c r="Z42" s="93">
        <v>5.7250000000000005</v>
      </c>
      <c r="AA42" s="93">
        <v>4.8000000000000001E-2</v>
      </c>
      <c r="AB42" s="93">
        <v>0.14000000000000001</v>
      </c>
      <c r="AC42" s="93">
        <v>0</v>
      </c>
      <c r="AD42" s="93">
        <v>0.05</v>
      </c>
      <c r="AE42" s="93"/>
      <c r="AF42" s="93"/>
      <c r="AG42" s="93"/>
      <c r="AH42" s="39">
        <f t="shared" ref="AH42:AH53" si="6">SUM(C42:AG42)</f>
        <v>10.370000000000003</v>
      </c>
      <c r="AJ42" s="1093">
        <f>+AJ41/AJ40</f>
        <v>13.582675914950585</v>
      </c>
    </row>
    <row r="43" spans="1:36" ht="15" customHeight="1">
      <c r="A43" s="1607" t="s">
        <v>75</v>
      </c>
      <c r="B43" s="15">
        <f t="shared" ref="B43:B52" si="7">+AH43</f>
        <v>22.189999999999998</v>
      </c>
      <c r="C43" s="170">
        <v>0</v>
      </c>
      <c r="D43" s="171">
        <v>0</v>
      </c>
      <c r="E43" s="172">
        <v>0</v>
      </c>
      <c r="F43" s="172">
        <v>0</v>
      </c>
      <c r="G43" s="172">
        <v>0.11800000000000001</v>
      </c>
      <c r="H43" s="172">
        <v>0</v>
      </c>
      <c r="I43" s="172">
        <v>2.5000000000000001E-2</v>
      </c>
      <c r="J43" s="172">
        <v>0</v>
      </c>
      <c r="K43" s="172">
        <v>0</v>
      </c>
      <c r="L43" s="172">
        <v>0.03</v>
      </c>
      <c r="M43" s="172">
        <v>1.4999999999999999E-2</v>
      </c>
      <c r="N43" s="172">
        <v>0</v>
      </c>
      <c r="O43" s="172">
        <v>0</v>
      </c>
      <c r="P43" s="172">
        <v>1.4999999999999999E-2</v>
      </c>
      <c r="Q43" s="172">
        <v>0</v>
      </c>
      <c r="R43" s="172">
        <v>0</v>
      </c>
      <c r="S43" s="172">
        <v>0</v>
      </c>
      <c r="T43" s="172">
        <v>0</v>
      </c>
      <c r="U43" s="172">
        <v>1.7000000000000001E-2</v>
      </c>
      <c r="V43" s="172">
        <v>0</v>
      </c>
      <c r="W43" s="172">
        <v>0</v>
      </c>
      <c r="X43" s="172">
        <v>0</v>
      </c>
      <c r="Y43" s="172">
        <v>0.08</v>
      </c>
      <c r="Z43" s="172">
        <v>18.399999999999999</v>
      </c>
      <c r="AA43" s="172">
        <v>3.36</v>
      </c>
      <c r="AB43" s="172">
        <v>0</v>
      </c>
      <c r="AC43" s="172">
        <v>0.05</v>
      </c>
      <c r="AD43" s="172">
        <v>0</v>
      </c>
      <c r="AE43" s="172">
        <v>0</v>
      </c>
      <c r="AF43" s="172">
        <v>0</v>
      </c>
      <c r="AG43" s="172">
        <v>0.08</v>
      </c>
      <c r="AH43" s="39">
        <f t="shared" si="6"/>
        <v>22.189999999999998</v>
      </c>
    </row>
    <row r="44" spans="1:36" ht="15" customHeight="1">
      <c r="A44" s="1607" t="s">
        <v>76</v>
      </c>
      <c r="B44" s="15">
        <f t="shared" si="7"/>
        <v>15.049999999999999</v>
      </c>
      <c r="C44" s="1721">
        <v>0</v>
      </c>
      <c r="D44" s="1721">
        <v>0</v>
      </c>
      <c r="E44" s="1721">
        <v>0</v>
      </c>
      <c r="F44" s="1721">
        <v>0</v>
      </c>
      <c r="G44" s="1721">
        <v>0.08</v>
      </c>
      <c r="H44" s="1721">
        <v>7.4999999999999997E-2</v>
      </c>
      <c r="I44" s="1721">
        <v>0</v>
      </c>
      <c r="J44" s="1721">
        <v>1.5</v>
      </c>
      <c r="K44" s="1721">
        <v>0</v>
      </c>
      <c r="L44" s="1721">
        <v>0</v>
      </c>
      <c r="M44" s="1721">
        <v>0</v>
      </c>
      <c r="N44" s="1721">
        <v>0.08</v>
      </c>
      <c r="O44" s="1721">
        <v>0</v>
      </c>
      <c r="P44" s="1721">
        <v>0</v>
      </c>
      <c r="Q44" s="1721">
        <v>0</v>
      </c>
      <c r="R44" s="1721">
        <v>1.7999999999999999E-2</v>
      </c>
      <c r="S44" s="1721">
        <v>1.2E-2</v>
      </c>
      <c r="T44" s="1721">
        <v>0</v>
      </c>
      <c r="U44" s="1721">
        <v>1.4999999999999999E-2</v>
      </c>
      <c r="V44" s="1721">
        <v>0</v>
      </c>
      <c r="W44" s="1721">
        <v>13.27</v>
      </c>
      <c r="X44" s="1721">
        <v>0</v>
      </c>
      <c r="Y44" s="1721">
        <v>0</v>
      </c>
      <c r="Z44" s="1721">
        <v>0</v>
      </c>
      <c r="AA44" s="1721">
        <v>0</v>
      </c>
      <c r="AB44" s="1721">
        <v>0</v>
      </c>
      <c r="AC44" s="1721">
        <v>0</v>
      </c>
      <c r="AD44" s="1721">
        <v>0</v>
      </c>
      <c r="AE44" s="1721">
        <v>0</v>
      </c>
      <c r="AF44" s="1721">
        <v>0</v>
      </c>
      <c r="AG44" s="94"/>
      <c r="AH44" s="39">
        <f t="shared" si="6"/>
        <v>15.049999999999999</v>
      </c>
    </row>
    <row r="45" spans="1:36" ht="15" customHeight="1">
      <c r="A45" s="1607" t="s">
        <v>77</v>
      </c>
      <c r="B45" s="15">
        <f t="shared" si="7"/>
        <v>0.3630000000000001</v>
      </c>
      <c r="C45" s="35">
        <v>0</v>
      </c>
      <c r="D45" s="15">
        <v>0.02</v>
      </c>
      <c r="E45" s="15">
        <v>0.1</v>
      </c>
      <c r="F45" s="15">
        <v>0</v>
      </c>
      <c r="G45" s="15">
        <v>0</v>
      </c>
      <c r="H45" s="15">
        <v>0.1</v>
      </c>
      <c r="I45" s="15">
        <v>0</v>
      </c>
      <c r="J45" s="15">
        <v>0</v>
      </c>
      <c r="K45" s="15">
        <v>0</v>
      </c>
      <c r="L45" s="15">
        <v>0</v>
      </c>
      <c r="M45" s="15">
        <v>0</v>
      </c>
      <c r="N45" s="15">
        <v>0</v>
      </c>
      <c r="O45" s="15">
        <v>0</v>
      </c>
      <c r="P45" s="15">
        <v>0</v>
      </c>
      <c r="Q45" s="15">
        <v>0</v>
      </c>
      <c r="R45" s="15">
        <v>0</v>
      </c>
      <c r="S45" s="15">
        <v>0</v>
      </c>
      <c r="T45" s="15">
        <v>0</v>
      </c>
      <c r="U45" s="15">
        <v>0</v>
      </c>
      <c r="V45" s="15">
        <v>1.7999999999999999E-2</v>
      </c>
      <c r="W45" s="15">
        <v>0.03</v>
      </c>
      <c r="X45" s="15">
        <v>3.2000000000000001E-2</v>
      </c>
      <c r="Y45" s="15">
        <v>0.02</v>
      </c>
      <c r="Z45" s="15">
        <v>0</v>
      </c>
      <c r="AA45" s="15">
        <v>0</v>
      </c>
      <c r="AB45" s="15">
        <v>8.0000000000000002E-3</v>
      </c>
      <c r="AC45" s="15">
        <v>0</v>
      </c>
      <c r="AD45" s="15">
        <v>0</v>
      </c>
      <c r="AE45" s="15">
        <v>0</v>
      </c>
      <c r="AF45" s="15">
        <v>3.5000000000000003E-2</v>
      </c>
      <c r="AG45" s="15">
        <v>0</v>
      </c>
      <c r="AH45" s="39">
        <f t="shared" si="6"/>
        <v>0.3630000000000001</v>
      </c>
    </row>
    <row r="46" spans="1:36" ht="15" customHeight="1">
      <c r="A46" s="1607" t="s">
        <v>78</v>
      </c>
      <c r="B46" s="15">
        <f t="shared" si="7"/>
        <v>0.29899999999999999</v>
      </c>
      <c r="C46" s="35">
        <v>0</v>
      </c>
      <c r="D46" s="15">
        <v>0</v>
      </c>
      <c r="E46" s="15">
        <v>0</v>
      </c>
      <c r="F46" s="15">
        <v>0</v>
      </c>
      <c r="G46" s="15">
        <v>0</v>
      </c>
      <c r="H46" s="15">
        <v>0</v>
      </c>
      <c r="I46" s="15">
        <v>0</v>
      </c>
      <c r="J46" s="15">
        <v>0</v>
      </c>
      <c r="K46" s="15">
        <v>0</v>
      </c>
      <c r="L46" s="15">
        <v>0</v>
      </c>
      <c r="M46" s="15">
        <v>0</v>
      </c>
      <c r="N46" s="15">
        <v>0</v>
      </c>
      <c r="O46" s="15">
        <v>0</v>
      </c>
      <c r="P46" s="15">
        <v>0.06</v>
      </c>
      <c r="Q46" s="15">
        <v>0.03</v>
      </c>
      <c r="R46" s="15">
        <v>0.02</v>
      </c>
      <c r="S46" s="15">
        <v>0</v>
      </c>
      <c r="T46" s="15">
        <v>0</v>
      </c>
      <c r="U46" s="15">
        <v>0</v>
      </c>
      <c r="V46" s="15">
        <v>0</v>
      </c>
      <c r="W46" s="15">
        <v>0</v>
      </c>
      <c r="X46" s="15">
        <v>0</v>
      </c>
      <c r="Y46" s="15">
        <v>0</v>
      </c>
      <c r="Z46" s="15">
        <v>0</v>
      </c>
      <c r="AA46" s="15">
        <v>0.18</v>
      </c>
      <c r="AB46" s="15">
        <v>0</v>
      </c>
      <c r="AC46" s="15">
        <v>0</v>
      </c>
      <c r="AD46" s="15">
        <v>0</v>
      </c>
      <c r="AE46" s="15">
        <v>0</v>
      </c>
      <c r="AF46" s="15">
        <v>8.9999999999999993E-3</v>
      </c>
      <c r="AG46" s="15"/>
      <c r="AH46" s="39">
        <f t="shared" si="6"/>
        <v>0.29899999999999999</v>
      </c>
    </row>
    <row r="47" spans="1:36" ht="15" customHeight="1">
      <c r="A47" s="1607" t="s">
        <v>79</v>
      </c>
      <c r="B47" s="15">
        <f t="shared" si="7"/>
        <v>140.54300000000001</v>
      </c>
      <c r="C47" s="35">
        <v>0</v>
      </c>
      <c r="D47" s="15">
        <v>0</v>
      </c>
      <c r="E47" s="15">
        <v>0</v>
      </c>
      <c r="F47" s="15">
        <v>0</v>
      </c>
      <c r="G47" s="15">
        <v>0</v>
      </c>
      <c r="H47" s="15">
        <v>0</v>
      </c>
      <c r="I47" s="15">
        <v>0</v>
      </c>
      <c r="J47" s="35">
        <v>0.15</v>
      </c>
      <c r="K47" s="35">
        <v>0</v>
      </c>
      <c r="L47" s="15">
        <v>0</v>
      </c>
      <c r="M47" s="15">
        <v>0</v>
      </c>
      <c r="N47" s="15">
        <v>0</v>
      </c>
      <c r="O47" s="15">
        <v>0</v>
      </c>
      <c r="P47" s="15">
        <v>0</v>
      </c>
      <c r="Q47" s="15">
        <v>0</v>
      </c>
      <c r="R47" s="15">
        <v>0.05</v>
      </c>
      <c r="S47" s="15">
        <v>0.6</v>
      </c>
      <c r="T47" s="15">
        <v>0.38</v>
      </c>
      <c r="U47" s="15">
        <v>0.46</v>
      </c>
      <c r="V47" s="15">
        <v>0</v>
      </c>
      <c r="W47" s="15">
        <v>0</v>
      </c>
      <c r="X47" s="15">
        <v>14.28</v>
      </c>
      <c r="Y47" s="15">
        <v>31.200000000000003</v>
      </c>
      <c r="Z47" s="15">
        <v>64.949999999999989</v>
      </c>
      <c r="AA47" s="15">
        <v>25.812999999999999</v>
      </c>
      <c r="AB47" s="15">
        <v>0</v>
      </c>
      <c r="AC47" s="15">
        <v>0.06</v>
      </c>
      <c r="AD47" s="15">
        <v>0.05</v>
      </c>
      <c r="AE47" s="15">
        <v>0</v>
      </c>
      <c r="AF47" s="15">
        <v>2.5</v>
      </c>
      <c r="AG47" s="15">
        <v>0.05</v>
      </c>
      <c r="AH47" s="39">
        <f t="shared" si="6"/>
        <v>140.54300000000001</v>
      </c>
    </row>
    <row r="48" spans="1:36" ht="15" customHeight="1">
      <c r="A48" s="1607" t="s">
        <v>80</v>
      </c>
      <c r="B48" s="15">
        <f t="shared" si="7"/>
        <v>210.03300000000002</v>
      </c>
      <c r="C48" s="35">
        <v>0</v>
      </c>
      <c r="D48" s="15">
        <v>6</v>
      </c>
      <c r="E48" s="15">
        <v>0.05</v>
      </c>
      <c r="F48" s="15">
        <v>0</v>
      </c>
      <c r="G48" s="15">
        <v>0</v>
      </c>
      <c r="H48" s="15">
        <v>0</v>
      </c>
      <c r="I48" s="15">
        <v>0</v>
      </c>
      <c r="J48" s="35">
        <v>0</v>
      </c>
      <c r="K48" s="35">
        <v>0</v>
      </c>
      <c r="L48" s="15">
        <v>0</v>
      </c>
      <c r="M48" s="15">
        <v>0</v>
      </c>
      <c r="N48" s="15">
        <v>0</v>
      </c>
      <c r="O48" s="15">
        <v>0</v>
      </c>
      <c r="P48" s="15">
        <v>0</v>
      </c>
      <c r="Q48" s="15">
        <v>0</v>
      </c>
      <c r="R48" s="15">
        <v>0</v>
      </c>
      <c r="S48" s="15">
        <v>0</v>
      </c>
      <c r="T48" s="15">
        <v>2.5</v>
      </c>
      <c r="U48" s="15">
        <v>56.040000000000006</v>
      </c>
      <c r="V48" s="15">
        <v>69.123000000000005</v>
      </c>
      <c r="W48" s="15">
        <v>74.64</v>
      </c>
      <c r="X48" s="15">
        <v>1.5</v>
      </c>
      <c r="Y48" s="15">
        <v>0</v>
      </c>
      <c r="Z48" s="15">
        <v>0</v>
      </c>
      <c r="AA48" s="15">
        <v>0</v>
      </c>
      <c r="AB48" s="15">
        <v>0</v>
      </c>
      <c r="AC48" s="15">
        <v>0</v>
      </c>
      <c r="AD48" s="15">
        <v>0.1</v>
      </c>
      <c r="AE48" s="15">
        <v>0.08</v>
      </c>
      <c r="AF48" s="15">
        <v>0</v>
      </c>
      <c r="AG48" s="15">
        <v>0</v>
      </c>
      <c r="AH48" s="39">
        <f t="shared" si="6"/>
        <v>210.03300000000002</v>
      </c>
      <c r="AJ48" s="66">
        <f>COUNT(C41:AG51)</f>
        <v>334</v>
      </c>
    </row>
    <row r="49" spans="1:36" ht="15" customHeight="1">
      <c r="A49" s="1607" t="s">
        <v>81</v>
      </c>
      <c r="B49" s="15">
        <f t="shared" si="7"/>
        <v>84.312999999999988</v>
      </c>
      <c r="C49" s="35">
        <v>19.899999999999999</v>
      </c>
      <c r="D49" s="15">
        <v>0</v>
      </c>
      <c r="E49" s="15">
        <v>0</v>
      </c>
      <c r="F49" s="15">
        <v>0</v>
      </c>
      <c r="G49" s="15">
        <v>0</v>
      </c>
      <c r="H49" s="15">
        <v>8.4999999999999992E-2</v>
      </c>
      <c r="I49" s="15">
        <v>1.7999999999999999E-2</v>
      </c>
      <c r="J49" s="35">
        <v>8.0000000000000002E-3</v>
      </c>
      <c r="K49" s="35">
        <v>0.4</v>
      </c>
      <c r="L49" s="15">
        <v>0.4</v>
      </c>
      <c r="M49" s="15">
        <v>0.1</v>
      </c>
      <c r="N49" s="15">
        <v>0.3</v>
      </c>
      <c r="O49" s="15">
        <v>6.83</v>
      </c>
      <c r="P49" s="15">
        <v>7</v>
      </c>
      <c r="Q49" s="15">
        <v>0.01</v>
      </c>
      <c r="R49" s="15">
        <v>0</v>
      </c>
      <c r="S49" s="15">
        <v>0</v>
      </c>
      <c r="T49" s="15">
        <v>0</v>
      </c>
      <c r="U49" s="15">
        <v>0</v>
      </c>
      <c r="V49" s="15">
        <v>0</v>
      </c>
      <c r="W49" s="15">
        <v>0</v>
      </c>
      <c r="X49" s="15">
        <v>48.461999999999996</v>
      </c>
      <c r="Y49" s="15">
        <v>0</v>
      </c>
      <c r="Z49" s="15">
        <v>0</v>
      </c>
      <c r="AA49" s="15">
        <v>0.5</v>
      </c>
      <c r="AB49" s="15">
        <v>0</v>
      </c>
      <c r="AC49" s="15">
        <v>0.2</v>
      </c>
      <c r="AD49" s="15">
        <v>0</v>
      </c>
      <c r="AE49" s="15">
        <v>0</v>
      </c>
      <c r="AF49" s="15">
        <v>0.1</v>
      </c>
      <c r="AG49" s="15"/>
      <c r="AH49" s="39">
        <f t="shared" si="6"/>
        <v>84.312999999999988</v>
      </c>
      <c r="AJ49" s="66">
        <f>COUNTIF(C41:AG52,"&gt;0")</f>
        <v>159</v>
      </c>
    </row>
    <row r="50" spans="1:36" ht="15" customHeight="1">
      <c r="A50" s="1607" t="s">
        <v>82</v>
      </c>
      <c r="B50" s="15">
        <f t="shared" si="7"/>
        <v>24.21</v>
      </c>
      <c r="C50" s="35">
        <v>0</v>
      </c>
      <c r="D50" s="15">
        <v>0.30099999999999999</v>
      </c>
      <c r="E50" s="15">
        <v>0</v>
      </c>
      <c r="F50" s="15">
        <v>0</v>
      </c>
      <c r="G50" s="15">
        <v>0</v>
      </c>
      <c r="H50" s="15">
        <v>0</v>
      </c>
      <c r="I50" s="15">
        <v>0.08</v>
      </c>
      <c r="J50" s="15">
        <v>0.2</v>
      </c>
      <c r="K50" s="15">
        <v>0.15000000000000002</v>
      </c>
      <c r="L50" s="15">
        <v>0.2</v>
      </c>
      <c r="M50" s="15">
        <v>0</v>
      </c>
      <c r="N50" s="15">
        <v>0</v>
      </c>
      <c r="O50" s="15">
        <v>2.6</v>
      </c>
      <c r="P50" s="15">
        <v>7.875</v>
      </c>
      <c r="Q50" s="15">
        <v>2.1640000000000001</v>
      </c>
      <c r="R50" s="15">
        <v>0.17599999999999999</v>
      </c>
      <c r="S50" s="15">
        <v>0.05</v>
      </c>
      <c r="T50" s="15">
        <v>0.35799999999999998</v>
      </c>
      <c r="U50" s="15">
        <v>2.5000000000000001E-2</v>
      </c>
      <c r="V50" s="15">
        <v>0.26500000000000001</v>
      </c>
      <c r="W50" s="15">
        <v>0.309</v>
      </c>
      <c r="X50" s="15">
        <v>0.35</v>
      </c>
      <c r="Y50" s="15">
        <v>0.2</v>
      </c>
      <c r="Z50" s="15">
        <v>0.112</v>
      </c>
      <c r="AA50" s="15">
        <v>0.37</v>
      </c>
      <c r="AB50" s="15">
        <v>0</v>
      </c>
      <c r="AC50" s="15">
        <v>8.4149999999999991</v>
      </c>
      <c r="AD50" s="15">
        <v>0</v>
      </c>
      <c r="AE50" s="15">
        <v>0</v>
      </c>
      <c r="AF50" s="15">
        <v>0</v>
      </c>
      <c r="AG50" s="15">
        <v>0.01</v>
      </c>
      <c r="AH50" s="39">
        <f t="shared" si="6"/>
        <v>24.21</v>
      </c>
    </row>
    <row r="51" spans="1:36" ht="15" customHeight="1">
      <c r="A51" s="1522" t="s">
        <v>83</v>
      </c>
      <c r="B51" s="15">
        <f t="shared" si="7"/>
        <v>2.7829999999999999</v>
      </c>
      <c r="C51" s="35">
        <v>0</v>
      </c>
      <c r="D51" s="15">
        <v>0</v>
      </c>
      <c r="E51" s="15">
        <v>1.4999999999999999E-2</v>
      </c>
      <c r="F51" s="15">
        <v>0.01</v>
      </c>
      <c r="G51" s="8">
        <v>2.7E-2</v>
      </c>
      <c r="H51" s="15">
        <v>0.03</v>
      </c>
      <c r="I51" s="15">
        <v>0</v>
      </c>
      <c r="J51" s="15">
        <v>0</v>
      </c>
      <c r="K51" s="15">
        <v>0</v>
      </c>
      <c r="L51" s="15">
        <v>0</v>
      </c>
      <c r="M51" s="15">
        <v>0</v>
      </c>
      <c r="N51" s="15">
        <v>1.4999999999999999E-2</v>
      </c>
      <c r="O51" s="15">
        <v>0</v>
      </c>
      <c r="P51" s="15">
        <v>0</v>
      </c>
      <c r="Q51" s="15">
        <v>0</v>
      </c>
      <c r="R51" s="15">
        <v>0.02</v>
      </c>
      <c r="S51" s="15">
        <v>0</v>
      </c>
      <c r="T51" s="15">
        <v>0.156</v>
      </c>
      <c r="U51" s="15">
        <v>0.02</v>
      </c>
      <c r="V51" s="15">
        <v>0.16</v>
      </c>
      <c r="W51" s="15">
        <v>0.18</v>
      </c>
      <c r="X51" s="15">
        <v>0</v>
      </c>
      <c r="Y51" s="8">
        <v>0</v>
      </c>
      <c r="Z51" s="15">
        <v>1.5</v>
      </c>
      <c r="AA51" s="15">
        <v>0</v>
      </c>
      <c r="AB51" s="15">
        <v>0.06</v>
      </c>
      <c r="AC51" s="15">
        <v>0.38</v>
      </c>
      <c r="AD51" s="15">
        <v>0</v>
      </c>
      <c r="AE51" s="15">
        <v>0.21</v>
      </c>
      <c r="AF51" s="15">
        <v>0</v>
      </c>
      <c r="AG51" s="15"/>
      <c r="AH51" s="39">
        <f t="shared" si="6"/>
        <v>2.7829999999999999</v>
      </c>
    </row>
    <row r="52" spans="1:36" ht="15" customHeight="1">
      <c r="A52" s="1522" t="s">
        <v>84</v>
      </c>
      <c r="B52" s="15">
        <f t="shared" si="7"/>
        <v>5.4249999999999998</v>
      </c>
      <c r="C52" s="35">
        <v>7.0000000000000001E-3</v>
      </c>
      <c r="D52" s="15">
        <v>0</v>
      </c>
      <c r="E52" s="15">
        <v>0</v>
      </c>
      <c r="F52" s="15">
        <v>0</v>
      </c>
      <c r="G52" s="15">
        <v>0</v>
      </c>
      <c r="H52" s="15">
        <v>0</v>
      </c>
      <c r="I52" s="15">
        <v>0.09</v>
      </c>
      <c r="J52" s="15">
        <v>6.5000000000000002E-2</v>
      </c>
      <c r="K52" s="15">
        <v>0.12</v>
      </c>
      <c r="L52" s="15">
        <v>0</v>
      </c>
      <c r="M52" s="15">
        <v>0</v>
      </c>
      <c r="N52" s="15">
        <v>0</v>
      </c>
      <c r="O52" s="15">
        <v>0</v>
      </c>
      <c r="P52" s="15">
        <v>0.09</v>
      </c>
      <c r="Q52" s="15">
        <v>0</v>
      </c>
      <c r="R52" s="15">
        <v>0</v>
      </c>
      <c r="S52" s="15">
        <v>0</v>
      </c>
      <c r="T52" s="15">
        <v>0.15</v>
      </c>
      <c r="U52" s="15">
        <v>0</v>
      </c>
      <c r="V52" s="15">
        <v>0.09</v>
      </c>
      <c r="W52" s="15">
        <v>0</v>
      </c>
      <c r="X52" s="15">
        <v>0</v>
      </c>
      <c r="Y52" s="15">
        <v>9.1999999999999998E-2</v>
      </c>
      <c r="Z52" s="15">
        <v>0</v>
      </c>
      <c r="AA52" s="15">
        <v>0</v>
      </c>
      <c r="AB52" s="15">
        <v>8.0000000000000002E-3</v>
      </c>
      <c r="AC52" s="15">
        <v>0.13500000000000001</v>
      </c>
      <c r="AD52" s="15">
        <v>0</v>
      </c>
      <c r="AE52" s="15">
        <v>3.3180000000000001</v>
      </c>
      <c r="AF52" s="15">
        <v>1.2</v>
      </c>
      <c r="AG52" s="15">
        <v>0.06</v>
      </c>
      <c r="AH52" s="39">
        <f t="shared" si="6"/>
        <v>5.4249999999999998</v>
      </c>
    </row>
    <row r="53" spans="1:36" ht="15" customHeight="1">
      <c r="A53" s="71" t="s">
        <v>72</v>
      </c>
      <c r="B53" s="72">
        <f t="shared" ref="B53:AG53" si="8">SUM(B41:B52)</f>
        <v>528.96299999999997</v>
      </c>
      <c r="C53" s="32">
        <f t="shared" si="8"/>
        <v>20.027000000000001</v>
      </c>
      <c r="D53" s="39">
        <f t="shared" si="8"/>
        <v>6.3209999999999997</v>
      </c>
      <c r="E53" s="39">
        <f t="shared" si="8"/>
        <v>0.34500000000000003</v>
      </c>
      <c r="F53" s="39">
        <f t="shared" si="8"/>
        <v>0.23200000000000001</v>
      </c>
      <c r="G53" s="39">
        <f t="shared" si="8"/>
        <v>0.30000000000000004</v>
      </c>
      <c r="H53" s="39">
        <f t="shared" si="8"/>
        <v>0.55500000000000005</v>
      </c>
      <c r="I53" s="39">
        <f t="shared" si="8"/>
        <v>0.52300000000000002</v>
      </c>
      <c r="J53" s="39">
        <f t="shared" si="8"/>
        <v>2.1029999999999998</v>
      </c>
      <c r="K53" s="39">
        <f t="shared" si="8"/>
        <v>0.83499999999999996</v>
      </c>
      <c r="L53" s="39">
        <f t="shared" si="8"/>
        <v>0.69</v>
      </c>
      <c r="M53" s="39">
        <f t="shared" si="8"/>
        <v>0.36499999999999999</v>
      </c>
      <c r="N53" s="39">
        <f t="shared" si="8"/>
        <v>0.55500000000000005</v>
      </c>
      <c r="O53" s="39">
        <f t="shared" si="8"/>
        <v>9.4649999999999999</v>
      </c>
      <c r="P53" s="39">
        <f t="shared" si="8"/>
        <v>15.999000000000001</v>
      </c>
      <c r="Q53" s="39">
        <f t="shared" si="8"/>
        <v>4.3989999999999991</v>
      </c>
      <c r="R53" s="39">
        <f t="shared" si="8"/>
        <v>0.44400000000000001</v>
      </c>
      <c r="S53" s="39">
        <f t="shared" si="8"/>
        <v>0.73</v>
      </c>
      <c r="T53" s="39">
        <f t="shared" si="8"/>
        <v>3.544</v>
      </c>
      <c r="U53" s="39">
        <f t="shared" si="8"/>
        <v>56.742000000000004</v>
      </c>
      <c r="V53" s="39">
        <f t="shared" si="8"/>
        <v>70.066000000000003</v>
      </c>
      <c r="W53" s="39">
        <f t="shared" si="8"/>
        <v>88.504000000000005</v>
      </c>
      <c r="X53" s="39">
        <f t="shared" si="8"/>
        <v>64.638999999999996</v>
      </c>
      <c r="Y53" s="39">
        <f t="shared" si="8"/>
        <v>31.641999999999999</v>
      </c>
      <c r="Z53" s="39">
        <f t="shared" si="8"/>
        <v>93.211999999999989</v>
      </c>
      <c r="AA53" s="39">
        <f t="shared" si="8"/>
        <v>35.290999999999997</v>
      </c>
      <c r="AB53" s="39">
        <f t="shared" si="8"/>
        <v>0.23600000000000002</v>
      </c>
      <c r="AC53" s="39">
        <f t="shared" si="8"/>
        <v>9.2750000000000004</v>
      </c>
      <c r="AD53" s="39">
        <f t="shared" si="8"/>
        <v>4.1469999999999994</v>
      </c>
      <c r="AE53" s="39">
        <f t="shared" si="8"/>
        <v>3.653</v>
      </c>
      <c r="AF53" s="39">
        <f t="shared" si="8"/>
        <v>3.859</v>
      </c>
      <c r="AG53" s="39">
        <f t="shared" si="8"/>
        <v>0.26500000000000001</v>
      </c>
      <c r="AH53" s="32">
        <f t="shared" si="6"/>
        <v>528.96300000000008</v>
      </c>
    </row>
    <row r="54" spans="1:36" ht="15" customHeight="1">
      <c r="A54" s="114"/>
      <c r="B54" s="114"/>
      <c r="C54" s="114"/>
      <c r="D54" s="114"/>
      <c r="E54" s="114"/>
      <c r="F54" s="114"/>
      <c r="G54" s="114"/>
      <c r="H54" s="114"/>
      <c r="I54" s="114"/>
      <c r="J54" s="114"/>
      <c r="K54" s="114"/>
      <c r="L54" s="114"/>
      <c r="M54" s="114"/>
      <c r="N54" s="114"/>
      <c r="O54" s="114"/>
      <c r="P54" s="114"/>
      <c r="Q54" s="114"/>
      <c r="R54" s="114"/>
      <c r="S54" s="114"/>
      <c r="T54" s="114"/>
      <c r="U54" s="11"/>
      <c r="V54" s="11"/>
      <c r="W54" s="11"/>
      <c r="X54" s="11"/>
      <c r="Y54" s="11"/>
      <c r="Z54" s="11"/>
      <c r="AA54" s="11"/>
      <c r="AB54" s="11"/>
      <c r="AC54" s="11"/>
      <c r="AD54" s="11"/>
      <c r="AE54" s="11"/>
      <c r="AF54" s="11"/>
      <c r="AG54" s="11"/>
      <c r="AH54" s="1"/>
    </row>
    <row r="55" spans="1:36" ht="15" customHeight="1">
      <c r="A55" s="3818" t="s">
        <v>93</v>
      </c>
      <c r="B55" s="3819"/>
      <c r="C55" s="3819"/>
      <c r="D55" s="3819"/>
      <c r="E55" s="3819"/>
      <c r="F55" s="3819"/>
      <c r="G55" s="3819"/>
      <c r="H55" s="3819"/>
      <c r="I55" s="3819"/>
      <c r="J55" s="3819"/>
      <c r="K55" s="3819"/>
      <c r="L55" s="3819"/>
      <c r="M55" s="3819"/>
      <c r="N55" s="3819"/>
      <c r="O55" s="3819"/>
      <c r="P55" s="3819"/>
      <c r="Q55" s="3819"/>
      <c r="R55" s="3820"/>
      <c r="S55" s="11"/>
      <c r="T55" s="11"/>
      <c r="U55" s="11"/>
      <c r="V55" s="11"/>
      <c r="W55" s="11"/>
      <c r="X55" s="11"/>
      <c r="Y55" s="11"/>
      <c r="Z55" s="11"/>
      <c r="AA55" s="11"/>
      <c r="AB55" s="11"/>
      <c r="AC55" s="11"/>
      <c r="AD55" s="11"/>
      <c r="AE55" s="11"/>
      <c r="AF55" s="11"/>
      <c r="AG55" s="11"/>
      <c r="AH55" s="1"/>
    </row>
    <row r="56" spans="1:36" ht="5.0999999999999996" customHeight="1">
      <c r="A56" s="36"/>
      <c r="B56" s="59"/>
      <c r="C56" s="13"/>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13"/>
    </row>
    <row r="57" spans="1:36" ht="15" customHeight="1">
      <c r="A57" s="3878" t="s">
        <v>88</v>
      </c>
      <c r="B57" s="3879"/>
      <c r="C57" s="3879"/>
      <c r="D57" s="3879"/>
      <c r="E57" s="3879"/>
      <c r="F57" s="3879"/>
      <c r="G57" s="3879"/>
      <c r="H57" s="3879"/>
      <c r="I57" s="3879"/>
      <c r="J57" s="3879"/>
      <c r="K57" s="3879"/>
      <c r="L57" s="3879"/>
      <c r="M57" s="3879"/>
      <c r="N57" s="11"/>
      <c r="O57" s="11"/>
      <c r="P57" s="11"/>
      <c r="Q57" s="11"/>
      <c r="R57" s="11"/>
      <c r="S57" s="11"/>
      <c r="T57" s="11"/>
      <c r="U57" s="11"/>
      <c r="V57" s="11"/>
      <c r="W57" s="11"/>
      <c r="X57" s="11"/>
      <c r="Y57" s="11"/>
      <c r="Z57" s="11"/>
      <c r="AA57" s="11"/>
      <c r="AB57" s="11"/>
      <c r="AC57" s="11"/>
      <c r="AD57" s="11"/>
      <c r="AE57" s="11"/>
      <c r="AF57" s="11"/>
      <c r="AG57" s="11"/>
      <c r="AH57" s="11"/>
    </row>
    <row r="58" spans="1:36" ht="15" customHeight="1">
      <c r="A58" s="5" t="s">
        <v>89</v>
      </c>
      <c r="B58" s="56" t="s">
        <v>71</v>
      </c>
      <c r="C58" s="1054">
        <v>1</v>
      </c>
      <c r="D58" s="21">
        <v>2</v>
      </c>
      <c r="E58" s="21">
        <v>3</v>
      </c>
      <c r="F58" s="21">
        <v>4</v>
      </c>
      <c r="G58" s="21">
        <v>5</v>
      </c>
      <c r="H58" s="21">
        <v>6</v>
      </c>
      <c r="I58" s="21">
        <v>7</v>
      </c>
      <c r="J58" s="21">
        <v>8</v>
      </c>
      <c r="K58" s="21">
        <v>9</v>
      </c>
      <c r="L58" s="21">
        <v>10</v>
      </c>
      <c r="M58" s="21">
        <v>11</v>
      </c>
      <c r="N58" s="21">
        <v>12</v>
      </c>
      <c r="O58" s="21">
        <v>13</v>
      </c>
      <c r="P58" s="21">
        <v>14</v>
      </c>
      <c r="Q58" s="21">
        <v>15</v>
      </c>
      <c r="R58" s="21">
        <v>16</v>
      </c>
      <c r="S58" s="21">
        <v>17</v>
      </c>
      <c r="T58" s="21">
        <v>18</v>
      </c>
      <c r="U58" s="21">
        <v>19</v>
      </c>
      <c r="V58" s="21">
        <v>20</v>
      </c>
      <c r="W58" s="21">
        <v>21</v>
      </c>
      <c r="X58" s="21">
        <v>22</v>
      </c>
      <c r="Y58" s="21">
        <v>23</v>
      </c>
      <c r="Z58" s="21">
        <v>24</v>
      </c>
      <c r="AA58" s="21">
        <v>25</v>
      </c>
      <c r="AB58" s="21">
        <v>26</v>
      </c>
      <c r="AC58" s="21">
        <v>27</v>
      </c>
      <c r="AD58" s="21">
        <v>28</v>
      </c>
      <c r="AE58" s="21">
        <v>29</v>
      </c>
      <c r="AF58" s="21">
        <v>30</v>
      </c>
      <c r="AG58" s="21">
        <v>31</v>
      </c>
      <c r="AH58" s="25" t="s">
        <v>72</v>
      </c>
      <c r="AI58" s="2266" t="s">
        <v>1345</v>
      </c>
      <c r="AJ58" s="66" t="e">
        <f>(B71/COUNTIF($C$59:$AG$70,"&gt;0"))</f>
        <v>#DIV/0!</v>
      </c>
    </row>
    <row r="59" spans="1:36" ht="15" customHeight="1">
      <c r="A59" s="1039" t="s">
        <v>73</v>
      </c>
      <c r="B59" s="100">
        <f t="shared" ref="B59:B70" si="9">+AH59</f>
        <v>0</v>
      </c>
      <c r="C59" s="1091">
        <v>0</v>
      </c>
      <c r="D59" s="1091">
        <v>0</v>
      </c>
      <c r="E59" s="15">
        <v>0</v>
      </c>
      <c r="F59" s="15">
        <v>0</v>
      </c>
      <c r="G59" s="15">
        <v>0</v>
      </c>
      <c r="H59" s="15">
        <v>0</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c r="AB59" s="15">
        <v>0</v>
      </c>
      <c r="AC59" s="15">
        <v>0</v>
      </c>
      <c r="AD59" s="15">
        <v>0</v>
      </c>
      <c r="AE59" s="15">
        <v>0</v>
      </c>
      <c r="AF59" s="15">
        <v>0</v>
      </c>
      <c r="AG59" s="15">
        <v>0</v>
      </c>
      <c r="AH59" s="39">
        <f>SUM(C59:AG59)</f>
        <v>0</v>
      </c>
    </row>
    <row r="60" spans="1:36" ht="15" customHeight="1">
      <c r="A60" s="1039" t="s">
        <v>74</v>
      </c>
      <c r="B60" s="100">
        <f t="shared" si="9"/>
        <v>0</v>
      </c>
      <c r="C60" s="1091"/>
      <c r="D60" s="1091"/>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39">
        <f t="shared" ref="AH60:AH70" si="10">SUM(C60:AG60)</f>
        <v>0</v>
      </c>
    </row>
    <row r="61" spans="1:36" ht="15" customHeight="1">
      <c r="A61" s="1039" t="s">
        <v>75</v>
      </c>
      <c r="B61" s="100">
        <f t="shared" si="9"/>
        <v>0</v>
      </c>
      <c r="C61" s="1091"/>
      <c r="D61" s="1091"/>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39">
        <f t="shared" si="10"/>
        <v>0</v>
      </c>
    </row>
    <row r="62" spans="1:36" ht="15" customHeight="1">
      <c r="A62" s="1039" t="s">
        <v>76</v>
      </c>
      <c r="B62" s="100">
        <f t="shared" si="9"/>
        <v>0</v>
      </c>
      <c r="C62" s="1091"/>
      <c r="D62" s="1091"/>
      <c r="E62" s="15"/>
      <c r="F62" s="15"/>
      <c r="G62" s="15"/>
      <c r="H62" s="15"/>
      <c r="I62" s="15"/>
      <c r="J62" s="15"/>
      <c r="K62" s="15"/>
      <c r="L62" s="236"/>
      <c r="M62" s="236"/>
      <c r="N62" s="211"/>
      <c r="O62" s="211"/>
      <c r="P62" s="211"/>
      <c r="Q62" s="211"/>
      <c r="R62" s="211"/>
      <c r="S62" s="211"/>
      <c r="T62" s="211"/>
      <c r="U62" s="211"/>
      <c r="V62" s="211"/>
      <c r="W62" s="211"/>
      <c r="X62" s="211"/>
      <c r="Y62" s="211"/>
      <c r="Z62" s="211"/>
      <c r="AA62" s="211"/>
      <c r="AB62" s="211"/>
      <c r="AC62" s="211"/>
      <c r="AD62" s="211"/>
      <c r="AE62" s="211"/>
      <c r="AF62" s="211"/>
      <c r="AG62" s="211"/>
      <c r="AH62" s="39">
        <f t="shared" si="10"/>
        <v>0</v>
      </c>
    </row>
    <row r="63" spans="1:36" ht="15" customHeight="1">
      <c r="A63" s="1039" t="s">
        <v>77</v>
      </c>
      <c r="B63" s="100">
        <f t="shared" si="9"/>
        <v>0</v>
      </c>
      <c r="C63" s="1091"/>
      <c r="D63" s="1091"/>
      <c r="E63" s="15"/>
      <c r="F63" s="15"/>
      <c r="G63" s="15"/>
      <c r="H63" s="15"/>
      <c r="I63" s="15"/>
      <c r="J63" s="15"/>
      <c r="K63" s="15"/>
      <c r="L63" s="15"/>
      <c r="M63" s="15"/>
      <c r="N63" s="211"/>
      <c r="O63" s="211"/>
      <c r="P63" s="211"/>
      <c r="Q63" s="211"/>
      <c r="R63" s="211"/>
      <c r="S63" s="211"/>
      <c r="T63" s="211"/>
      <c r="U63" s="211"/>
      <c r="V63" s="211"/>
      <c r="W63" s="211"/>
      <c r="X63" s="211"/>
      <c r="Y63" s="211"/>
      <c r="Z63" s="211"/>
      <c r="AA63" s="211"/>
      <c r="AB63" s="211"/>
      <c r="AC63" s="211"/>
      <c r="AD63" s="211"/>
      <c r="AE63" s="211"/>
      <c r="AF63" s="211"/>
      <c r="AG63" s="211"/>
      <c r="AH63" s="39">
        <f t="shared" si="10"/>
        <v>0</v>
      </c>
    </row>
    <row r="64" spans="1:36" ht="15" customHeight="1">
      <c r="A64" s="1039" t="s">
        <v>78</v>
      </c>
      <c r="B64" s="100">
        <f t="shared" si="9"/>
        <v>0</v>
      </c>
      <c r="C64" s="1091"/>
      <c r="D64" s="1091"/>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39">
        <f t="shared" si="10"/>
        <v>0</v>
      </c>
    </row>
    <row r="65" spans="1:42" ht="15" customHeight="1">
      <c r="A65" s="1039" t="s">
        <v>79</v>
      </c>
      <c r="B65" s="100">
        <f t="shared" si="9"/>
        <v>0</v>
      </c>
      <c r="C65" s="1091"/>
      <c r="D65" s="1091"/>
      <c r="E65" s="15"/>
      <c r="F65" s="15"/>
      <c r="G65" s="15"/>
      <c r="H65" s="15"/>
      <c r="I65" s="15"/>
      <c r="J65" s="35"/>
      <c r="K65" s="35"/>
      <c r="L65" s="15"/>
      <c r="M65" s="15"/>
      <c r="N65" s="15"/>
      <c r="O65" s="15"/>
      <c r="P65" s="15"/>
      <c r="Q65" s="15"/>
      <c r="R65" s="15"/>
      <c r="S65" s="15"/>
      <c r="T65" s="15"/>
      <c r="U65" s="15"/>
      <c r="V65" s="15"/>
      <c r="W65" s="15"/>
      <c r="X65" s="15"/>
      <c r="Y65" s="15"/>
      <c r="Z65" s="15"/>
      <c r="AA65" s="15"/>
      <c r="AB65" s="15"/>
      <c r="AC65" s="15"/>
      <c r="AD65" s="15"/>
      <c r="AE65" s="15"/>
      <c r="AF65" s="15"/>
      <c r="AG65" s="15"/>
      <c r="AH65" s="39">
        <f t="shared" si="10"/>
        <v>0</v>
      </c>
    </row>
    <row r="66" spans="1:42" ht="15" customHeight="1">
      <c r="A66" s="1039" t="s">
        <v>80</v>
      </c>
      <c r="B66" s="100">
        <f t="shared" si="9"/>
        <v>0</v>
      </c>
      <c r="C66" s="1091"/>
      <c r="D66" s="1091"/>
      <c r="E66" s="15"/>
      <c r="F66" s="15"/>
      <c r="G66" s="15"/>
      <c r="H66" s="15"/>
      <c r="I66" s="15"/>
      <c r="J66" s="35"/>
      <c r="K66" s="35"/>
      <c r="L66" s="15"/>
      <c r="M66" s="15"/>
      <c r="N66" s="15"/>
      <c r="O66" s="15"/>
      <c r="P66" s="15"/>
      <c r="Q66" s="15"/>
      <c r="R66" s="15"/>
      <c r="S66" s="15"/>
      <c r="T66" s="15"/>
      <c r="U66" s="15"/>
      <c r="V66" s="15"/>
      <c r="W66" s="15"/>
      <c r="X66" s="15"/>
      <c r="Y66" s="15"/>
      <c r="Z66" s="15"/>
      <c r="AA66" s="15"/>
      <c r="AB66" s="15"/>
      <c r="AC66" s="15"/>
      <c r="AD66" s="15"/>
      <c r="AE66" s="15"/>
      <c r="AF66" s="15"/>
      <c r="AG66" s="15"/>
      <c r="AH66" s="39">
        <f t="shared" si="10"/>
        <v>0</v>
      </c>
    </row>
    <row r="67" spans="1:42" ht="15" customHeight="1">
      <c r="A67" s="1039" t="s">
        <v>81</v>
      </c>
      <c r="B67" s="100">
        <f t="shared" si="9"/>
        <v>0</v>
      </c>
      <c r="C67" s="1091"/>
      <c r="D67" s="1091"/>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39">
        <f t="shared" si="10"/>
        <v>0</v>
      </c>
    </row>
    <row r="68" spans="1:42" ht="15" customHeight="1">
      <c r="A68" s="1522" t="s">
        <v>82</v>
      </c>
      <c r="B68" s="19">
        <f t="shared" si="9"/>
        <v>0</v>
      </c>
      <c r="C68" s="1091"/>
      <c r="D68" s="1091"/>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39">
        <f t="shared" si="10"/>
        <v>0</v>
      </c>
    </row>
    <row r="69" spans="1:42" ht="15" customHeight="1">
      <c r="A69" s="1522" t="s">
        <v>83</v>
      </c>
      <c r="B69" s="19">
        <f t="shared" si="9"/>
        <v>0</v>
      </c>
      <c r="C69" s="1091"/>
      <c r="D69" s="1091"/>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39"/>
      <c r="AF69" s="15"/>
      <c r="AG69" s="39"/>
      <c r="AH69" s="39">
        <f t="shared" si="10"/>
        <v>0</v>
      </c>
    </row>
    <row r="70" spans="1:42" ht="15" customHeight="1">
      <c r="A70" s="1522" t="s">
        <v>84</v>
      </c>
      <c r="B70" s="19">
        <f t="shared" si="9"/>
        <v>0</v>
      </c>
      <c r="C70" s="1091"/>
      <c r="D70" s="1091"/>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39"/>
      <c r="AF70" s="15"/>
      <c r="AG70" s="39"/>
      <c r="AH70" s="39">
        <f t="shared" si="10"/>
        <v>0</v>
      </c>
    </row>
    <row r="71" spans="1:42" ht="15" customHeight="1">
      <c r="A71" s="71" t="s">
        <v>72</v>
      </c>
      <c r="B71" s="73">
        <f>SUM(B59:B70)</f>
        <v>0</v>
      </c>
      <c r="C71" s="32">
        <f>SUM(C59:C69)</f>
        <v>0</v>
      </c>
      <c r="D71" s="39">
        <f>SUM(D59:D69)</f>
        <v>0</v>
      </c>
      <c r="E71" s="39">
        <v>0</v>
      </c>
      <c r="F71" s="39">
        <f t="shared" ref="F71:AC71" si="11">SUM(F59:F69)</f>
        <v>0</v>
      </c>
      <c r="G71" s="39">
        <f t="shared" si="11"/>
        <v>0</v>
      </c>
      <c r="H71" s="39">
        <f t="shared" si="11"/>
        <v>0</v>
      </c>
      <c r="I71" s="39">
        <f t="shared" si="11"/>
        <v>0</v>
      </c>
      <c r="J71" s="39">
        <f t="shared" si="11"/>
        <v>0</v>
      </c>
      <c r="K71" s="39">
        <f t="shared" si="11"/>
        <v>0</v>
      </c>
      <c r="L71" s="39">
        <f t="shared" si="11"/>
        <v>0</v>
      </c>
      <c r="M71" s="39">
        <f t="shared" si="11"/>
        <v>0</v>
      </c>
      <c r="N71" s="39">
        <f t="shared" si="11"/>
        <v>0</v>
      </c>
      <c r="O71" s="39">
        <f t="shared" si="11"/>
        <v>0</v>
      </c>
      <c r="P71" s="39">
        <f t="shared" si="11"/>
        <v>0</v>
      </c>
      <c r="Q71" s="39">
        <f t="shared" si="11"/>
        <v>0</v>
      </c>
      <c r="R71" s="39">
        <f t="shared" si="11"/>
        <v>0</v>
      </c>
      <c r="S71" s="39">
        <f t="shared" si="11"/>
        <v>0</v>
      </c>
      <c r="T71" s="39">
        <f t="shared" si="11"/>
        <v>0</v>
      </c>
      <c r="U71" s="39">
        <f t="shared" si="11"/>
        <v>0</v>
      </c>
      <c r="V71" s="39">
        <f t="shared" si="11"/>
        <v>0</v>
      </c>
      <c r="W71" s="39">
        <f t="shared" si="11"/>
        <v>0</v>
      </c>
      <c r="X71" s="39">
        <f t="shared" si="11"/>
        <v>0</v>
      </c>
      <c r="Y71" s="39">
        <f t="shared" si="11"/>
        <v>0</v>
      </c>
      <c r="Z71" s="39">
        <f t="shared" si="11"/>
        <v>0</v>
      </c>
      <c r="AA71" s="39">
        <f t="shared" si="11"/>
        <v>0</v>
      </c>
      <c r="AB71" s="39">
        <f t="shared" si="11"/>
        <v>0</v>
      </c>
      <c r="AC71" s="39">
        <f t="shared" si="11"/>
        <v>0</v>
      </c>
      <c r="AD71" s="39">
        <v>0</v>
      </c>
      <c r="AE71" s="39">
        <f>SUM(AE59:AE69)</f>
        <v>0</v>
      </c>
      <c r="AF71" s="39">
        <f>SUM(AF59:AF69)</f>
        <v>0</v>
      </c>
      <c r="AG71" s="39">
        <f>SUM(AG59:AG69)</f>
        <v>0</v>
      </c>
      <c r="AH71" s="32">
        <f>SUM(AH59:AH70)</f>
        <v>0</v>
      </c>
    </row>
    <row r="72" spans="1:42" ht="5.0999999999999996" customHeight="1">
      <c r="A72" s="37"/>
      <c r="B72" s="59"/>
      <c r="C72" s="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
    </row>
    <row r="73" spans="1:42" ht="15" customHeight="1">
      <c r="A73" s="3853" t="s">
        <v>58</v>
      </c>
      <c r="B73" s="3854"/>
      <c r="C73" s="3854"/>
      <c r="D73" s="3854"/>
      <c r="E73" s="3854"/>
      <c r="F73" s="3854"/>
      <c r="G73" s="3854"/>
      <c r="H73" s="3855"/>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row>
    <row r="74" spans="1:42" ht="15" customHeight="1">
      <c r="A74" s="5" t="s">
        <v>89</v>
      </c>
      <c r="B74" s="56" t="s">
        <v>71</v>
      </c>
      <c r="C74" s="1274">
        <v>1</v>
      </c>
      <c r="D74" s="47">
        <v>2</v>
      </c>
      <c r="E74" s="47">
        <v>3</v>
      </c>
      <c r="F74" s="47">
        <v>4</v>
      </c>
      <c r="G74" s="47">
        <v>5</v>
      </c>
      <c r="H74" s="47">
        <v>6</v>
      </c>
      <c r="I74" s="47">
        <v>7</v>
      </c>
      <c r="J74" s="47">
        <v>8</v>
      </c>
      <c r="K74" s="47">
        <v>9</v>
      </c>
      <c r="L74" s="47">
        <v>10</v>
      </c>
      <c r="M74" s="47">
        <v>11</v>
      </c>
      <c r="N74" s="47">
        <v>12</v>
      </c>
      <c r="O74" s="47">
        <v>13</v>
      </c>
      <c r="P74" s="47">
        <v>14</v>
      </c>
      <c r="Q74" s="47">
        <v>15</v>
      </c>
      <c r="R74" s="47">
        <v>16</v>
      </c>
      <c r="S74" s="47">
        <v>17</v>
      </c>
      <c r="T74" s="47">
        <v>18</v>
      </c>
      <c r="U74" s="47">
        <v>19</v>
      </c>
      <c r="V74" s="47">
        <v>20</v>
      </c>
      <c r="W74" s="47">
        <v>21</v>
      </c>
      <c r="X74" s="47">
        <v>22</v>
      </c>
      <c r="Y74" s="47">
        <v>23</v>
      </c>
      <c r="Z74" s="47">
        <v>24</v>
      </c>
      <c r="AA74" s="47">
        <v>25</v>
      </c>
      <c r="AB74" s="47">
        <v>26</v>
      </c>
      <c r="AC74" s="47">
        <v>27</v>
      </c>
      <c r="AD74" s="47">
        <v>28</v>
      </c>
      <c r="AE74" s="47">
        <v>29</v>
      </c>
      <c r="AF74" s="47">
        <v>30</v>
      </c>
      <c r="AG74" s="47">
        <v>31</v>
      </c>
      <c r="AH74" s="575" t="s">
        <v>72</v>
      </c>
      <c r="AI74" s="2266" t="s">
        <v>1345</v>
      </c>
      <c r="AJ74" s="66">
        <f>(B87/COUNTIF($C$75:$AG$86,"&gt;0"))</f>
        <v>0.20615723270440253</v>
      </c>
    </row>
    <row r="75" spans="1:42" ht="15" customHeight="1">
      <c r="A75" s="1039" t="s">
        <v>73</v>
      </c>
      <c r="B75" s="2121">
        <f t="shared" ref="B75:B86" si="12">+AH75</f>
        <v>3.0829999999999997</v>
      </c>
      <c r="C75" s="1601">
        <v>0</v>
      </c>
      <c r="D75" s="1601">
        <v>0</v>
      </c>
      <c r="E75" s="211">
        <v>0</v>
      </c>
      <c r="F75" s="211">
        <v>0.05</v>
      </c>
      <c r="G75" s="211">
        <v>0</v>
      </c>
      <c r="H75" s="211">
        <v>0</v>
      </c>
      <c r="I75" s="211">
        <v>0</v>
      </c>
      <c r="J75" s="211">
        <v>0.215</v>
      </c>
      <c r="K75" s="211">
        <v>0.02</v>
      </c>
      <c r="L75" s="211">
        <v>0.79600000000000004</v>
      </c>
      <c r="M75" s="211">
        <v>0.16500000000000001</v>
      </c>
      <c r="N75" s="211">
        <v>0.05</v>
      </c>
      <c r="O75" s="211">
        <v>0.15</v>
      </c>
      <c r="P75" s="211">
        <v>0.16</v>
      </c>
      <c r="Q75" s="211">
        <v>2.5000000000000001E-2</v>
      </c>
      <c r="R75" s="211">
        <v>1.4999999999999999E-2</v>
      </c>
      <c r="S75" s="211">
        <v>0.371</v>
      </c>
      <c r="T75" s="211">
        <v>0.41799999999999998</v>
      </c>
      <c r="U75" s="211">
        <v>0</v>
      </c>
      <c r="V75" s="211">
        <v>0.1</v>
      </c>
      <c r="W75" s="211">
        <v>2.9000000000000001E-2</v>
      </c>
      <c r="X75" s="211">
        <v>0.12</v>
      </c>
      <c r="Y75" s="211">
        <v>0.115</v>
      </c>
      <c r="Z75" s="211">
        <v>0.12</v>
      </c>
      <c r="AA75" s="211">
        <v>3.5000000000000003E-2</v>
      </c>
      <c r="AB75" s="211">
        <v>0</v>
      </c>
      <c r="AC75" s="211">
        <v>0</v>
      </c>
      <c r="AD75" s="211">
        <v>0</v>
      </c>
      <c r="AE75" s="211">
        <v>0.09</v>
      </c>
      <c r="AF75" s="211">
        <v>0.01</v>
      </c>
      <c r="AG75" s="211">
        <v>2.9000000000000001E-2</v>
      </c>
      <c r="AH75" s="39">
        <f>SUM(C75:AG75)</f>
        <v>3.0829999999999997</v>
      </c>
      <c r="AJ75" s="66">
        <f>+'Resumen RAE Jurel'!G28</f>
        <v>147.221</v>
      </c>
    </row>
    <row r="76" spans="1:42" ht="15" customHeight="1">
      <c r="A76" s="1039" t="s">
        <v>74</v>
      </c>
      <c r="B76" s="2121">
        <f t="shared" si="12"/>
        <v>6.3019999999999996</v>
      </c>
      <c r="C76" s="1601">
        <v>0.01</v>
      </c>
      <c r="D76" s="1601">
        <v>0</v>
      </c>
      <c r="E76" s="211">
        <v>0</v>
      </c>
      <c r="F76" s="211">
        <v>0.108</v>
      </c>
      <c r="G76" s="211">
        <v>4.8000000000000001E-2</v>
      </c>
      <c r="H76" s="211">
        <v>1.7999999999999999E-2</v>
      </c>
      <c r="I76" s="211">
        <v>0.34899999999999998</v>
      </c>
      <c r="J76" s="211">
        <v>3.5000000000000003E-2</v>
      </c>
      <c r="K76" s="211">
        <v>1.4999999999999999E-2</v>
      </c>
      <c r="L76" s="211">
        <v>0.01</v>
      </c>
      <c r="M76" s="211">
        <v>0.16</v>
      </c>
      <c r="N76" s="211">
        <v>0</v>
      </c>
      <c r="O76" s="211">
        <v>0</v>
      </c>
      <c r="P76" s="211">
        <v>5.7000000000000002E-2</v>
      </c>
      <c r="Q76" s="211">
        <v>0.3</v>
      </c>
      <c r="R76" s="211">
        <v>0</v>
      </c>
      <c r="S76" s="211">
        <v>7.1999999999999995E-2</v>
      </c>
      <c r="T76" s="211">
        <v>2.48</v>
      </c>
      <c r="U76" s="211">
        <v>1.76</v>
      </c>
      <c r="V76" s="211">
        <v>0</v>
      </c>
      <c r="W76" s="211">
        <v>0.05</v>
      </c>
      <c r="X76" s="211">
        <v>0.4</v>
      </c>
      <c r="Y76" s="211">
        <v>0</v>
      </c>
      <c r="Z76" s="211">
        <v>0.4</v>
      </c>
      <c r="AA76" s="211">
        <v>0</v>
      </c>
      <c r="AB76" s="211">
        <v>0</v>
      </c>
      <c r="AC76" s="211">
        <v>0.02</v>
      </c>
      <c r="AD76" s="211">
        <v>0.01</v>
      </c>
      <c r="AE76" s="211">
        <v>0</v>
      </c>
      <c r="AF76" s="211">
        <v>0</v>
      </c>
      <c r="AG76" s="211">
        <v>0</v>
      </c>
      <c r="AH76" s="39">
        <f t="shared" ref="AH76:AH86" si="13">SUM(C76:AG76)</f>
        <v>6.3019999999999996</v>
      </c>
      <c r="AJ76" s="1093">
        <f>+AJ75/AJ74</f>
        <v>714.1199853564782</v>
      </c>
    </row>
    <row r="77" spans="1:42" ht="15" customHeight="1">
      <c r="A77" s="1039" t="s">
        <v>75</v>
      </c>
      <c r="B77" s="2121">
        <f t="shared" si="12"/>
        <v>0.77100000000000002</v>
      </c>
      <c r="C77" s="1601">
        <v>1.6E-2</v>
      </c>
      <c r="D77" s="1601">
        <v>0</v>
      </c>
      <c r="E77" s="211">
        <v>0</v>
      </c>
      <c r="F77" s="211">
        <v>0.02</v>
      </c>
      <c r="G77" s="211">
        <v>0</v>
      </c>
      <c r="H77" s="211">
        <v>3.5000000000000003E-2</v>
      </c>
      <c r="I77" s="211">
        <v>5.0000000000000001E-3</v>
      </c>
      <c r="J77" s="211">
        <v>5.0000000000000001E-3</v>
      </c>
      <c r="K77" s="211">
        <v>0</v>
      </c>
      <c r="L77" s="211">
        <v>0</v>
      </c>
      <c r="M77" s="211">
        <v>0</v>
      </c>
      <c r="N77" s="211">
        <v>0</v>
      </c>
      <c r="O77" s="211">
        <v>0.11</v>
      </c>
      <c r="P77" s="211">
        <v>0.1</v>
      </c>
      <c r="Q77" s="211">
        <v>0.05</v>
      </c>
      <c r="R77" s="211">
        <v>0</v>
      </c>
      <c r="S77" s="211">
        <v>0</v>
      </c>
      <c r="T77" s="211">
        <v>0</v>
      </c>
      <c r="U77" s="211">
        <v>0</v>
      </c>
      <c r="V77" s="211">
        <v>0.06</v>
      </c>
      <c r="W77" s="211">
        <v>3.5000000000000003E-2</v>
      </c>
      <c r="X77" s="211">
        <v>4.4999999999999998E-2</v>
      </c>
      <c r="Y77" s="211">
        <v>0</v>
      </c>
      <c r="Z77" s="211">
        <v>0</v>
      </c>
      <c r="AA77" s="211">
        <v>0.06</v>
      </c>
      <c r="AB77" s="211">
        <v>0</v>
      </c>
      <c r="AC77" s="211">
        <v>0.02</v>
      </c>
      <c r="AD77" s="211">
        <v>0.11</v>
      </c>
      <c r="AE77" s="211">
        <v>0.1</v>
      </c>
      <c r="AF77" s="211">
        <v>0</v>
      </c>
      <c r="AG77" s="211">
        <v>0</v>
      </c>
      <c r="AH77" s="39">
        <f t="shared" si="13"/>
        <v>0.77100000000000002</v>
      </c>
      <c r="AO77" s="3157" t="s">
        <v>1341</v>
      </c>
      <c r="AP77" s="2150">
        <f>+B87</f>
        <v>32.779000000000003</v>
      </c>
    </row>
    <row r="78" spans="1:42" ht="15" customHeight="1">
      <c r="A78" s="1039" t="s">
        <v>76</v>
      </c>
      <c r="B78" s="24">
        <f t="shared" si="12"/>
        <v>2.3729999999999984</v>
      </c>
      <c r="C78" s="1602">
        <v>0</v>
      </c>
      <c r="D78" s="1603">
        <v>0</v>
      </c>
      <c r="E78" s="229">
        <v>0.01</v>
      </c>
      <c r="F78" s="229">
        <v>2.11</v>
      </c>
      <c r="G78" s="229">
        <v>0</v>
      </c>
      <c r="H78" s="229">
        <v>0</v>
      </c>
      <c r="I78" s="229">
        <v>0</v>
      </c>
      <c r="J78" s="229">
        <v>0</v>
      </c>
      <c r="K78" s="229">
        <v>0.01</v>
      </c>
      <c r="L78" s="229">
        <v>0.01</v>
      </c>
      <c r="M78" s="229">
        <v>0.02</v>
      </c>
      <c r="N78" s="229">
        <v>0</v>
      </c>
      <c r="O78" s="229">
        <v>0</v>
      </c>
      <c r="P78" s="229">
        <v>0</v>
      </c>
      <c r="Q78" s="229">
        <v>0.04</v>
      </c>
      <c r="R78" s="229">
        <v>0.01</v>
      </c>
      <c r="S78" s="229">
        <v>0.01</v>
      </c>
      <c r="T78" s="229">
        <v>0</v>
      </c>
      <c r="U78" s="229">
        <v>0</v>
      </c>
      <c r="V78" s="229">
        <v>0</v>
      </c>
      <c r="W78" s="229">
        <v>0</v>
      </c>
      <c r="X78" s="229">
        <v>0</v>
      </c>
      <c r="Y78" s="229">
        <v>0.122</v>
      </c>
      <c r="Z78" s="229">
        <v>6.0000000000000001E-3</v>
      </c>
      <c r="AA78" s="229">
        <v>1.4999999999999999E-2</v>
      </c>
      <c r="AB78" s="229">
        <v>0.01</v>
      </c>
      <c r="AC78" s="229">
        <v>0</v>
      </c>
      <c r="AD78" s="229">
        <v>0</v>
      </c>
      <c r="AE78" s="229">
        <v>0</v>
      </c>
      <c r="AF78" s="229">
        <v>0</v>
      </c>
      <c r="AG78" s="229">
        <v>0</v>
      </c>
      <c r="AH78" s="212">
        <f t="shared" si="13"/>
        <v>2.3729999999999984</v>
      </c>
      <c r="AO78" s="2266" t="s">
        <v>1342</v>
      </c>
    </row>
    <row r="79" spans="1:42" ht="15" customHeight="1">
      <c r="A79" s="1039" t="s">
        <v>77</v>
      </c>
      <c r="B79" s="24">
        <f t="shared" si="12"/>
        <v>1.3790000000000004</v>
      </c>
      <c r="C79" s="1604">
        <v>5.3999999999999999E-2</v>
      </c>
      <c r="D79" s="1605">
        <v>0</v>
      </c>
      <c r="E79" s="210">
        <v>0</v>
      </c>
      <c r="F79" s="210">
        <v>0</v>
      </c>
      <c r="G79" s="210">
        <v>0</v>
      </c>
      <c r="H79" s="210">
        <v>0</v>
      </c>
      <c r="I79" s="210">
        <v>0</v>
      </c>
      <c r="J79" s="210">
        <v>0.1</v>
      </c>
      <c r="K79" s="210">
        <v>0.126</v>
      </c>
      <c r="L79" s="210">
        <v>0.14699999999999999</v>
      </c>
      <c r="M79" s="210">
        <v>0</v>
      </c>
      <c r="N79" s="210">
        <v>2.5000000000000001E-2</v>
      </c>
      <c r="O79" s="210">
        <v>0</v>
      </c>
      <c r="P79" s="210">
        <v>0.03</v>
      </c>
      <c r="Q79" s="210">
        <v>0.05</v>
      </c>
      <c r="R79" s="210">
        <v>4.2000000000000003E-2</v>
      </c>
      <c r="S79" s="210">
        <v>2E-3</v>
      </c>
      <c r="T79" s="210">
        <v>0</v>
      </c>
      <c r="U79" s="210">
        <v>0</v>
      </c>
      <c r="V79" s="210">
        <v>0</v>
      </c>
      <c r="W79" s="210">
        <v>0</v>
      </c>
      <c r="X79" s="210">
        <v>0</v>
      </c>
      <c r="Y79" s="210">
        <v>0</v>
      </c>
      <c r="Z79" s="210">
        <v>0.2</v>
      </c>
      <c r="AA79" s="210">
        <v>1.2E-2</v>
      </c>
      <c r="AB79" s="210">
        <v>0.24099999999999999</v>
      </c>
      <c r="AC79" s="210">
        <v>0.28000000000000003</v>
      </c>
      <c r="AD79" s="210">
        <v>0</v>
      </c>
      <c r="AE79" s="210">
        <v>0</v>
      </c>
      <c r="AF79" s="210">
        <v>0.02</v>
      </c>
      <c r="AG79" s="210">
        <v>0.05</v>
      </c>
      <c r="AH79" s="39">
        <f t="shared" si="13"/>
        <v>1.3790000000000004</v>
      </c>
      <c r="AO79" s="2266" t="s">
        <v>1343</v>
      </c>
    </row>
    <row r="80" spans="1:42" ht="15" customHeight="1">
      <c r="A80" s="1039" t="s">
        <v>78</v>
      </c>
      <c r="B80" s="24">
        <f t="shared" si="12"/>
        <v>1.2990000000000002</v>
      </c>
      <c r="C80" s="1091">
        <v>0</v>
      </c>
      <c r="D80" s="1091">
        <v>0</v>
      </c>
      <c r="E80" s="15">
        <v>0.05</v>
      </c>
      <c r="F80" s="15">
        <v>0</v>
      </c>
      <c r="G80" s="15">
        <v>0</v>
      </c>
      <c r="H80" s="15">
        <v>0.01</v>
      </c>
      <c r="I80" s="15">
        <v>0</v>
      </c>
      <c r="J80" s="15">
        <v>0</v>
      </c>
      <c r="K80" s="15">
        <v>0</v>
      </c>
      <c r="L80" s="15">
        <v>0.03</v>
      </c>
      <c r="M80" s="15">
        <v>0</v>
      </c>
      <c r="N80" s="15">
        <v>0</v>
      </c>
      <c r="O80" s="15">
        <v>2.7E-2</v>
      </c>
      <c r="P80" s="15">
        <v>0</v>
      </c>
      <c r="Q80" s="15">
        <v>0.01</v>
      </c>
      <c r="R80" s="15">
        <v>0.37</v>
      </c>
      <c r="S80" s="15">
        <v>2.5000000000000001E-2</v>
      </c>
      <c r="T80" s="15">
        <v>0</v>
      </c>
      <c r="U80" s="15">
        <v>1.7999999999999999E-2</v>
      </c>
      <c r="V80" s="15">
        <v>0.26200000000000001</v>
      </c>
      <c r="W80" s="15">
        <v>0.16</v>
      </c>
      <c r="X80" s="15">
        <v>0</v>
      </c>
      <c r="Y80" s="15">
        <v>0</v>
      </c>
      <c r="Z80" s="15">
        <v>0</v>
      </c>
      <c r="AA80" s="15">
        <v>0.25</v>
      </c>
      <c r="AB80" s="15">
        <v>7.5999999999999998E-2</v>
      </c>
      <c r="AC80" s="15">
        <v>0</v>
      </c>
      <c r="AD80" s="15">
        <v>1.0999999999999999E-2</v>
      </c>
      <c r="AE80" s="15">
        <v>0</v>
      </c>
      <c r="AF80" s="15">
        <v>0</v>
      </c>
      <c r="AG80" s="15">
        <v>0</v>
      </c>
      <c r="AH80" s="39">
        <f t="shared" si="13"/>
        <v>1.2990000000000002</v>
      </c>
    </row>
    <row r="81" spans="1:42" ht="15" customHeight="1">
      <c r="A81" s="1039" t="s">
        <v>79</v>
      </c>
      <c r="B81" s="24">
        <f t="shared" si="12"/>
        <v>2.4709999999999996</v>
      </c>
      <c r="C81" s="1091">
        <v>0.05</v>
      </c>
      <c r="D81" s="1091">
        <v>0.01</v>
      </c>
      <c r="E81" s="15">
        <v>0</v>
      </c>
      <c r="F81" s="15">
        <v>0</v>
      </c>
      <c r="G81" s="15">
        <v>0</v>
      </c>
      <c r="H81" s="15">
        <v>0</v>
      </c>
      <c r="I81" s="15">
        <v>0</v>
      </c>
      <c r="J81" s="35">
        <v>0.02</v>
      </c>
      <c r="K81" s="35">
        <v>0</v>
      </c>
      <c r="L81" s="15">
        <v>1.4999999999999999E-2</v>
      </c>
      <c r="M81" s="15">
        <v>0.02</v>
      </c>
      <c r="N81" s="15">
        <v>0</v>
      </c>
      <c r="O81" s="15">
        <v>0</v>
      </c>
      <c r="P81" s="15">
        <v>0</v>
      </c>
      <c r="Q81" s="15">
        <v>0</v>
      </c>
      <c r="R81" s="15">
        <v>0</v>
      </c>
      <c r="S81" s="15">
        <v>2.5000000000000001E-2</v>
      </c>
      <c r="T81" s="15">
        <v>0</v>
      </c>
      <c r="U81" s="15">
        <v>0</v>
      </c>
      <c r="V81" s="15">
        <v>1.4999999999999999E-2</v>
      </c>
      <c r="W81" s="15">
        <v>0.06</v>
      </c>
      <c r="X81" s="15">
        <v>0</v>
      </c>
      <c r="Y81" s="15">
        <v>0.03</v>
      </c>
      <c r="Z81" s="15">
        <v>1.6E-2</v>
      </c>
      <c r="AA81" s="15">
        <v>0</v>
      </c>
      <c r="AB81" s="15">
        <v>1.96</v>
      </c>
      <c r="AC81" s="15">
        <v>0.05</v>
      </c>
      <c r="AD81" s="15">
        <v>0</v>
      </c>
      <c r="AE81" s="15">
        <v>0.15</v>
      </c>
      <c r="AF81" s="15">
        <v>0</v>
      </c>
      <c r="AG81" s="15">
        <v>0.05</v>
      </c>
      <c r="AH81" s="39">
        <f t="shared" si="13"/>
        <v>2.4709999999999996</v>
      </c>
      <c r="AO81" s="2266" t="s">
        <v>1344</v>
      </c>
      <c r="AP81" s="66">
        <f>(B87/AO82)</f>
        <v>0.20615723270440253</v>
      </c>
    </row>
    <row r="82" spans="1:42" ht="15" customHeight="1">
      <c r="A82" s="1039" t="s">
        <v>80</v>
      </c>
      <c r="B82" s="24">
        <f t="shared" si="12"/>
        <v>8.6670000000000016</v>
      </c>
      <c r="C82" s="1091">
        <v>0</v>
      </c>
      <c r="D82" s="1091">
        <v>0</v>
      </c>
      <c r="E82" s="15">
        <v>0</v>
      </c>
      <c r="F82" s="15">
        <v>0</v>
      </c>
      <c r="G82" s="15">
        <v>4.4999999999999998E-2</v>
      </c>
      <c r="H82" s="15">
        <v>0</v>
      </c>
      <c r="I82" s="15">
        <v>2</v>
      </c>
      <c r="J82" s="35">
        <v>0.21</v>
      </c>
      <c r="K82" s="35">
        <v>0.27</v>
      </c>
      <c r="L82" s="15">
        <v>0.22</v>
      </c>
      <c r="M82" s="15">
        <v>0</v>
      </c>
      <c r="N82" s="15">
        <v>0.2</v>
      </c>
      <c r="O82" s="15">
        <v>0.03</v>
      </c>
      <c r="P82" s="15">
        <v>0.08</v>
      </c>
      <c r="Q82" s="15">
        <v>0.23</v>
      </c>
      <c r="R82" s="15">
        <v>0.36</v>
      </c>
      <c r="S82" s="15">
        <v>0.27</v>
      </c>
      <c r="T82" s="15">
        <v>0</v>
      </c>
      <c r="U82" s="15">
        <v>0.12</v>
      </c>
      <c r="V82" s="15">
        <v>0</v>
      </c>
      <c r="W82" s="15">
        <v>4.2000000000000003E-2</v>
      </c>
      <c r="X82" s="15">
        <v>0.03</v>
      </c>
      <c r="Y82" s="15">
        <v>0</v>
      </c>
      <c r="Z82" s="15">
        <v>0</v>
      </c>
      <c r="AA82" s="15">
        <v>0</v>
      </c>
      <c r="AB82" s="15">
        <v>0.03</v>
      </c>
      <c r="AC82" s="15">
        <v>0.03</v>
      </c>
      <c r="AD82" s="15">
        <v>0</v>
      </c>
      <c r="AE82" s="15">
        <v>0</v>
      </c>
      <c r="AF82" s="15">
        <v>0</v>
      </c>
      <c r="AG82" s="15">
        <v>4.5</v>
      </c>
      <c r="AH82" s="39">
        <f t="shared" si="13"/>
        <v>8.6670000000000016</v>
      </c>
      <c r="AO82" s="66">
        <f>COUNTIF($C$75:$AG$86,"&gt;0")</f>
        <v>159</v>
      </c>
    </row>
    <row r="83" spans="1:42" ht="15" customHeight="1">
      <c r="A83" s="1039" t="s">
        <v>81</v>
      </c>
      <c r="B83" s="24">
        <f t="shared" si="12"/>
        <v>4.2860000000000005</v>
      </c>
      <c r="C83" s="1091">
        <v>0</v>
      </c>
      <c r="D83" s="1091">
        <v>0</v>
      </c>
      <c r="E83" s="15">
        <v>0</v>
      </c>
      <c r="F83" s="15">
        <v>0</v>
      </c>
      <c r="G83" s="15">
        <v>0.14000000000000001</v>
      </c>
      <c r="H83" s="15">
        <v>0.14000000000000001</v>
      </c>
      <c r="I83" s="15">
        <v>0</v>
      </c>
      <c r="J83" s="15">
        <v>7.0000000000000007E-2</v>
      </c>
      <c r="K83" s="15">
        <v>0</v>
      </c>
      <c r="L83" s="15">
        <v>5.0000000000000001E-3</v>
      </c>
      <c r="M83" s="15">
        <v>0</v>
      </c>
      <c r="N83" s="15">
        <v>4.2999999999999997E-2</v>
      </c>
      <c r="O83" s="15">
        <v>0.153</v>
      </c>
      <c r="P83" s="15">
        <v>0.15</v>
      </c>
      <c r="Q83" s="15">
        <v>0</v>
      </c>
      <c r="R83" s="15">
        <v>0.04</v>
      </c>
      <c r="S83" s="15">
        <v>1.4999999999999999E-2</v>
      </c>
      <c r="T83" s="15">
        <v>0</v>
      </c>
      <c r="U83" s="15">
        <v>0</v>
      </c>
      <c r="V83" s="15">
        <v>0</v>
      </c>
      <c r="W83" s="15">
        <v>0.16</v>
      </c>
      <c r="X83" s="15">
        <v>3.3</v>
      </c>
      <c r="Y83" s="15">
        <v>0.01</v>
      </c>
      <c r="Z83" s="15">
        <v>0</v>
      </c>
      <c r="AA83" s="15">
        <v>0</v>
      </c>
      <c r="AB83" s="15">
        <v>0</v>
      </c>
      <c r="AC83" s="15">
        <v>0.03</v>
      </c>
      <c r="AD83" s="15">
        <v>0</v>
      </c>
      <c r="AE83" s="15">
        <v>0.03</v>
      </c>
      <c r="AF83" s="15">
        <v>0</v>
      </c>
      <c r="AG83" s="15">
        <v>0</v>
      </c>
      <c r="AH83" s="39">
        <f t="shared" si="13"/>
        <v>4.2860000000000005</v>
      </c>
    </row>
    <row r="84" spans="1:42" ht="15" customHeight="1">
      <c r="A84" s="1522" t="s">
        <v>82</v>
      </c>
      <c r="B84" s="24">
        <f t="shared" si="12"/>
        <v>0.14000000000000001</v>
      </c>
      <c r="C84" s="1091">
        <v>0.03</v>
      </c>
      <c r="D84" s="1091">
        <v>0</v>
      </c>
      <c r="E84" s="15">
        <v>0</v>
      </c>
      <c r="F84" s="15">
        <v>0</v>
      </c>
      <c r="G84" s="15">
        <v>0</v>
      </c>
      <c r="H84" s="15">
        <v>0</v>
      </c>
      <c r="I84" s="15">
        <v>0</v>
      </c>
      <c r="J84" s="15">
        <v>0.03</v>
      </c>
      <c r="K84" s="15">
        <v>0</v>
      </c>
      <c r="L84" s="15">
        <v>0</v>
      </c>
      <c r="M84" s="15">
        <v>0</v>
      </c>
      <c r="N84" s="15">
        <v>0</v>
      </c>
      <c r="O84" s="15">
        <v>0</v>
      </c>
      <c r="P84" s="15">
        <v>0</v>
      </c>
      <c r="Q84" s="15">
        <v>0.02</v>
      </c>
      <c r="R84" s="15">
        <v>0</v>
      </c>
      <c r="S84" s="15">
        <v>0.03</v>
      </c>
      <c r="T84" s="15">
        <v>0.03</v>
      </c>
      <c r="U84" s="15">
        <v>0</v>
      </c>
      <c r="V84" s="15">
        <v>0</v>
      </c>
      <c r="W84" s="15">
        <v>0</v>
      </c>
      <c r="X84" s="15">
        <v>0</v>
      </c>
      <c r="Y84" s="15">
        <v>0</v>
      </c>
      <c r="Z84" s="15">
        <v>0</v>
      </c>
      <c r="AA84" s="15">
        <v>0</v>
      </c>
      <c r="AB84" s="15">
        <v>0</v>
      </c>
      <c r="AC84" s="15">
        <v>0</v>
      </c>
      <c r="AD84" s="15">
        <v>0</v>
      </c>
      <c r="AE84" s="15"/>
      <c r="AF84" s="15"/>
      <c r="AG84" s="15"/>
      <c r="AH84" s="39">
        <f t="shared" si="13"/>
        <v>0.14000000000000001</v>
      </c>
    </row>
    <row r="85" spans="1:42" ht="15" customHeight="1">
      <c r="A85" s="1522" t="s">
        <v>83</v>
      </c>
      <c r="B85" s="24">
        <f t="shared" si="12"/>
        <v>1.7980000000000003</v>
      </c>
      <c r="C85" s="35">
        <v>0.03</v>
      </c>
      <c r="D85" s="15">
        <v>0</v>
      </c>
      <c r="E85" s="15">
        <v>0</v>
      </c>
      <c r="F85" s="15">
        <v>0</v>
      </c>
      <c r="G85" s="15">
        <v>0</v>
      </c>
      <c r="H85" s="15">
        <v>0</v>
      </c>
      <c r="I85" s="15">
        <v>0.34</v>
      </c>
      <c r="J85" s="15">
        <v>0</v>
      </c>
      <c r="K85" s="15">
        <v>0</v>
      </c>
      <c r="L85" s="15">
        <v>0</v>
      </c>
      <c r="M85" s="15">
        <v>0.54600000000000004</v>
      </c>
      <c r="N85" s="15">
        <v>3.5999999999999997E-2</v>
      </c>
      <c r="O85" s="15">
        <v>0.18</v>
      </c>
      <c r="P85" s="15">
        <v>0.24</v>
      </c>
      <c r="Q85" s="15">
        <v>0.02</v>
      </c>
      <c r="R85" s="15">
        <v>0</v>
      </c>
      <c r="S85" s="15">
        <v>0</v>
      </c>
      <c r="T85" s="15">
        <v>7.0000000000000007E-2</v>
      </c>
      <c r="U85" s="15">
        <v>6.0000000000000001E-3</v>
      </c>
      <c r="V85" s="15">
        <v>0</v>
      </c>
      <c r="W85" s="15">
        <v>0.02</v>
      </c>
      <c r="X85" s="15">
        <v>0</v>
      </c>
      <c r="Y85" s="15">
        <v>0</v>
      </c>
      <c r="Z85" s="15">
        <v>0.3</v>
      </c>
      <c r="AA85" s="15">
        <v>0</v>
      </c>
      <c r="AB85" s="15">
        <v>0.01</v>
      </c>
      <c r="AC85" s="15">
        <v>0</v>
      </c>
      <c r="AD85" s="15">
        <v>0</v>
      </c>
      <c r="AE85" s="39">
        <v>0</v>
      </c>
      <c r="AF85" s="15">
        <v>0</v>
      </c>
      <c r="AG85" s="39">
        <v>0</v>
      </c>
      <c r="AH85" s="39">
        <f t="shared" si="13"/>
        <v>1.7980000000000003</v>
      </c>
      <c r="AO85" s="2157">
        <f>AVERAGE(C75:AG86)</f>
        <v>8.883197831978322E-2</v>
      </c>
    </row>
    <row r="86" spans="1:42" ht="15" customHeight="1">
      <c r="A86" s="1522" t="s">
        <v>84</v>
      </c>
      <c r="B86" s="24">
        <f t="shared" si="12"/>
        <v>0.21</v>
      </c>
      <c r="C86" s="35">
        <v>0</v>
      </c>
      <c r="D86" s="15">
        <v>0</v>
      </c>
      <c r="E86" s="15">
        <v>0</v>
      </c>
      <c r="F86" s="15">
        <v>0.03</v>
      </c>
      <c r="G86" s="15">
        <v>0</v>
      </c>
      <c r="H86" s="15">
        <v>0</v>
      </c>
      <c r="I86" s="15">
        <v>0</v>
      </c>
      <c r="J86" s="15">
        <v>0</v>
      </c>
      <c r="K86" s="15">
        <v>0</v>
      </c>
      <c r="L86" s="15">
        <v>0</v>
      </c>
      <c r="M86" s="15">
        <v>0</v>
      </c>
      <c r="N86" s="15">
        <v>0</v>
      </c>
      <c r="O86" s="15">
        <v>0</v>
      </c>
      <c r="P86" s="15">
        <v>0</v>
      </c>
      <c r="Q86" s="15">
        <v>0.18</v>
      </c>
      <c r="R86" s="15">
        <v>0</v>
      </c>
      <c r="S86" s="15">
        <v>0</v>
      </c>
      <c r="T86" s="15">
        <v>0</v>
      </c>
      <c r="U86" s="15">
        <v>0</v>
      </c>
      <c r="V86" s="15">
        <v>0</v>
      </c>
      <c r="W86" s="15">
        <v>0</v>
      </c>
      <c r="X86" s="15">
        <v>0</v>
      </c>
      <c r="Y86" s="15">
        <v>0</v>
      </c>
      <c r="Z86" s="15">
        <v>0</v>
      </c>
      <c r="AA86" s="15">
        <v>0</v>
      </c>
      <c r="AB86" s="15">
        <v>0</v>
      </c>
      <c r="AC86" s="15">
        <v>0</v>
      </c>
      <c r="AD86" s="15">
        <v>0</v>
      </c>
      <c r="AE86" s="39">
        <v>0</v>
      </c>
      <c r="AF86" s="15">
        <v>0</v>
      </c>
      <c r="AG86" s="39">
        <v>0</v>
      </c>
      <c r="AH86" s="39">
        <f t="shared" si="13"/>
        <v>0.21</v>
      </c>
    </row>
    <row r="87" spans="1:42" ht="15" customHeight="1">
      <c r="A87" s="71" t="s">
        <v>72</v>
      </c>
      <c r="B87" s="74">
        <f>SUM(B75:B86)</f>
        <v>32.779000000000003</v>
      </c>
      <c r="C87" s="32">
        <f>SUM(C75:C85)</f>
        <v>0.19</v>
      </c>
      <c r="D87" s="39">
        <f>SUM(D75:D85)</f>
        <v>0.01</v>
      </c>
      <c r="E87" s="39">
        <v>0</v>
      </c>
      <c r="F87" s="39">
        <f t="shared" ref="F87:AC87" si="14">SUM(F75:F85)</f>
        <v>2.2879999999999998</v>
      </c>
      <c r="G87" s="39">
        <f t="shared" si="14"/>
        <v>0.23300000000000001</v>
      </c>
      <c r="H87" s="39">
        <f t="shared" si="14"/>
        <v>0.20300000000000001</v>
      </c>
      <c r="I87" s="39">
        <f t="shared" si="14"/>
        <v>2.694</v>
      </c>
      <c r="J87" s="39">
        <f t="shared" si="14"/>
        <v>0.68500000000000005</v>
      </c>
      <c r="K87" s="39">
        <f t="shared" si="14"/>
        <v>0.44100000000000006</v>
      </c>
      <c r="L87" s="39">
        <f t="shared" si="14"/>
        <v>1.2329999999999999</v>
      </c>
      <c r="M87" s="39">
        <f t="shared" si="14"/>
        <v>0.91100000000000003</v>
      </c>
      <c r="N87" s="39">
        <f t="shared" si="14"/>
        <v>0.35399999999999998</v>
      </c>
      <c r="O87" s="39">
        <f t="shared" si="14"/>
        <v>0.65000000000000013</v>
      </c>
      <c r="P87" s="39">
        <f t="shared" si="14"/>
        <v>0.81699999999999995</v>
      </c>
      <c r="Q87" s="39">
        <f t="shared" si="14"/>
        <v>0.745</v>
      </c>
      <c r="R87" s="39">
        <f t="shared" si="14"/>
        <v>0.83699999999999997</v>
      </c>
      <c r="S87" s="39">
        <f t="shared" si="14"/>
        <v>0.82000000000000006</v>
      </c>
      <c r="T87" s="39">
        <f t="shared" si="14"/>
        <v>2.9979999999999998</v>
      </c>
      <c r="U87" s="39">
        <f t="shared" si="14"/>
        <v>1.9040000000000001</v>
      </c>
      <c r="V87" s="39">
        <f t="shared" si="14"/>
        <v>0.43700000000000006</v>
      </c>
      <c r="W87" s="39">
        <f t="shared" si="14"/>
        <v>0.55600000000000005</v>
      </c>
      <c r="X87" s="39">
        <f t="shared" si="14"/>
        <v>3.895</v>
      </c>
      <c r="Y87" s="39">
        <f t="shared" si="14"/>
        <v>0.27700000000000002</v>
      </c>
      <c r="Z87" s="39">
        <f t="shared" si="14"/>
        <v>1.042</v>
      </c>
      <c r="AA87" s="39">
        <f t="shared" si="14"/>
        <v>0.372</v>
      </c>
      <c r="AB87" s="39">
        <f t="shared" si="14"/>
        <v>2.3269999999999995</v>
      </c>
      <c r="AC87" s="39">
        <f t="shared" si="14"/>
        <v>0.43000000000000005</v>
      </c>
      <c r="AD87" s="39">
        <v>0</v>
      </c>
      <c r="AE87" s="39">
        <f>SUM(AE75:AE85)</f>
        <v>0.37</v>
      </c>
      <c r="AF87" s="39">
        <f>SUM(AF75:AF85)</f>
        <v>0.03</v>
      </c>
      <c r="AG87" s="39">
        <f>SUM(AG75:AG85)</f>
        <v>4.6289999999999996</v>
      </c>
      <c r="AH87" s="32">
        <f>SUM(AH75:AH86)</f>
        <v>32.779000000000003</v>
      </c>
    </row>
    <row r="88" spans="1:42" ht="15" customHeight="1">
      <c r="A88" s="60"/>
      <c r="B88" s="60"/>
      <c r="C88" s="60"/>
      <c r="D88" s="61"/>
      <c r="E88" s="61"/>
      <c r="F88" s="61"/>
      <c r="G88" s="61"/>
      <c r="H88" s="6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
    </row>
    <row r="89" spans="1:42" ht="15" customHeight="1">
      <c r="A89" s="3818" t="s">
        <v>53</v>
      </c>
      <c r="B89" s="3819"/>
      <c r="C89" s="3819"/>
      <c r="D89" s="3819"/>
      <c r="E89" s="3819"/>
      <c r="F89" s="3819"/>
      <c r="G89" s="3819"/>
      <c r="H89" s="3819"/>
      <c r="I89" s="3819"/>
      <c r="J89" s="3819"/>
      <c r="K89" s="3819"/>
      <c r="L89" s="3819"/>
      <c r="M89" s="3819"/>
      <c r="N89" s="3819"/>
      <c r="O89" s="3819"/>
      <c r="P89" s="3819"/>
      <c r="Q89" s="3819"/>
      <c r="R89" s="3820"/>
      <c r="S89" s="38"/>
      <c r="T89" s="38"/>
      <c r="U89" s="38"/>
      <c r="V89" s="38"/>
      <c r="W89" s="38"/>
      <c r="X89" s="38"/>
      <c r="Y89" s="38"/>
      <c r="Z89" s="38"/>
      <c r="AA89" s="38"/>
      <c r="AB89" s="38"/>
      <c r="AC89" s="38"/>
      <c r="AD89" s="38"/>
      <c r="AE89" s="38"/>
      <c r="AF89" s="38"/>
      <c r="AG89" s="38"/>
      <c r="AH89" s="13"/>
    </row>
    <row r="90" spans="1:42" ht="5.0999999999999996" customHeight="1">
      <c r="A90" s="36"/>
      <c r="B90" s="37"/>
      <c r="C90" s="13"/>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13"/>
    </row>
    <row r="91" spans="1:42">
      <c r="A91" s="3872" t="s">
        <v>54</v>
      </c>
      <c r="B91" s="3873"/>
      <c r="C91" s="3873"/>
      <c r="D91" s="3873"/>
      <c r="E91" s="3873"/>
      <c r="F91" s="3873"/>
      <c r="G91" s="3873"/>
      <c r="H91" s="3874"/>
      <c r="I91" s="29"/>
      <c r="J91" s="29"/>
      <c r="K91" s="2171" t="s">
        <v>702</v>
      </c>
      <c r="L91" s="29"/>
      <c r="M91" s="29"/>
      <c r="N91" s="29"/>
      <c r="O91" s="29"/>
      <c r="P91" s="29"/>
      <c r="Q91" s="29"/>
      <c r="R91" s="29"/>
      <c r="S91" s="11"/>
      <c r="T91" s="11"/>
      <c r="U91" s="11"/>
      <c r="V91" s="11"/>
      <c r="W91" s="11"/>
      <c r="X91" s="11"/>
      <c r="Y91" s="11"/>
      <c r="Z91" s="11"/>
      <c r="AA91" s="11"/>
      <c r="AB91" s="11"/>
      <c r="AC91" s="11"/>
      <c r="AD91" s="11"/>
      <c r="AE91" s="11"/>
      <c r="AF91" s="11"/>
      <c r="AG91" s="11"/>
      <c r="AH91" s="11"/>
    </row>
    <row r="92" spans="1:42">
      <c r="A92" s="5" t="s">
        <v>70</v>
      </c>
      <c r="B92" s="5" t="s">
        <v>71</v>
      </c>
      <c r="C92" s="98">
        <v>1</v>
      </c>
      <c r="D92" s="21">
        <v>2</v>
      </c>
      <c r="E92" s="21">
        <v>3</v>
      </c>
      <c r="F92" s="21">
        <v>4</v>
      </c>
      <c r="G92" s="21">
        <v>5</v>
      </c>
      <c r="H92" s="21">
        <v>6</v>
      </c>
      <c r="I92" s="21">
        <v>7</v>
      </c>
      <c r="J92" s="21">
        <v>8</v>
      </c>
      <c r="K92" s="21">
        <v>9</v>
      </c>
      <c r="L92" s="21">
        <v>10</v>
      </c>
      <c r="M92" s="21">
        <v>11</v>
      </c>
      <c r="N92" s="21">
        <v>12</v>
      </c>
      <c r="O92" s="21">
        <v>13</v>
      </c>
      <c r="P92" s="21">
        <v>14</v>
      </c>
      <c r="Q92" s="21">
        <v>15</v>
      </c>
      <c r="R92" s="21">
        <v>16</v>
      </c>
      <c r="S92" s="21">
        <v>17</v>
      </c>
      <c r="T92" s="21">
        <v>18</v>
      </c>
      <c r="U92" s="21">
        <v>19</v>
      </c>
      <c r="V92" s="21">
        <v>20</v>
      </c>
      <c r="W92" s="21">
        <v>21</v>
      </c>
      <c r="X92" s="21">
        <v>22</v>
      </c>
      <c r="Y92" s="21">
        <v>23</v>
      </c>
      <c r="Z92" s="21">
        <v>24</v>
      </c>
      <c r="AA92" s="21">
        <v>25</v>
      </c>
      <c r="AB92" s="21">
        <v>26</v>
      </c>
      <c r="AC92" s="21">
        <v>27</v>
      </c>
      <c r="AD92" s="21">
        <v>28</v>
      </c>
      <c r="AE92" s="21">
        <v>29</v>
      </c>
      <c r="AF92" s="21">
        <v>30</v>
      </c>
      <c r="AG92" s="21">
        <v>31</v>
      </c>
      <c r="AH92" s="25" t="s">
        <v>72</v>
      </c>
      <c r="AI92" s="2266" t="s">
        <v>1345</v>
      </c>
      <c r="AJ92" s="66" t="e">
        <f>(B105/COUNTIF($C$93:$AG$104,"&gt;0"))</f>
        <v>#DIV/0!</v>
      </c>
    </row>
    <row r="93" spans="1:42">
      <c r="A93" s="1607" t="s">
        <v>73</v>
      </c>
      <c r="B93" s="15">
        <f t="shared" ref="B93:B104" si="15">+AH93</f>
        <v>0</v>
      </c>
      <c r="C93" s="35"/>
      <c r="D93" s="39"/>
      <c r="E93" s="39"/>
      <c r="F93" s="39"/>
      <c r="G93" s="15"/>
      <c r="H93" s="15"/>
      <c r="I93" s="15"/>
      <c r="J93" s="15"/>
      <c r="K93" s="15"/>
      <c r="L93" s="15"/>
      <c r="M93" s="15"/>
      <c r="N93" s="15"/>
      <c r="O93" s="15"/>
      <c r="P93" s="15"/>
      <c r="Q93" s="39"/>
      <c r="R93" s="15"/>
      <c r="S93" s="15"/>
      <c r="T93" s="15"/>
      <c r="U93" s="15"/>
      <c r="V93" s="39"/>
      <c r="W93" s="39"/>
      <c r="X93" s="15"/>
      <c r="Y93" s="15"/>
      <c r="Z93" s="15"/>
      <c r="AA93" s="15"/>
      <c r="AB93" s="15"/>
      <c r="AC93" s="15"/>
      <c r="AD93" s="39"/>
      <c r="AE93" s="15"/>
      <c r="AF93" s="15"/>
      <c r="AG93" s="15"/>
      <c r="AH93" s="39">
        <f>SUM(C93:AG93)</f>
        <v>0</v>
      </c>
    </row>
    <row r="94" spans="1:42">
      <c r="A94" s="1607" t="s">
        <v>74</v>
      </c>
      <c r="B94" s="15">
        <f t="shared" si="15"/>
        <v>0</v>
      </c>
      <c r="C94" s="3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39">
        <f t="shared" ref="AH94:AH104" si="16">SUM(C94:AG94)</f>
        <v>0</v>
      </c>
    </row>
    <row r="95" spans="1:42">
      <c r="A95" s="1607" t="s">
        <v>75</v>
      </c>
      <c r="B95" s="15">
        <f t="shared" si="15"/>
        <v>0</v>
      </c>
      <c r="C95" s="32"/>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f>SUM(C95:AG95)</f>
        <v>0</v>
      </c>
    </row>
    <row r="96" spans="1:42">
      <c r="A96" s="1607" t="s">
        <v>76</v>
      </c>
      <c r="B96" s="15">
        <f t="shared" si="15"/>
        <v>0</v>
      </c>
      <c r="C96" s="35"/>
      <c r="D96" s="39"/>
      <c r="E96" s="39"/>
      <c r="F96" s="39"/>
      <c r="G96" s="15"/>
      <c r="H96" s="15"/>
      <c r="I96" s="15"/>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f t="shared" si="16"/>
        <v>0</v>
      </c>
    </row>
    <row r="97" spans="1:36">
      <c r="A97" s="1607" t="s">
        <v>77</v>
      </c>
      <c r="B97" s="15">
        <f t="shared" si="15"/>
        <v>0</v>
      </c>
      <c r="C97" s="35"/>
      <c r="D97" s="15"/>
      <c r="E97" s="15"/>
      <c r="F97" s="15"/>
      <c r="G97" s="15"/>
      <c r="H97" s="15"/>
      <c r="I97" s="15"/>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f t="shared" si="16"/>
        <v>0</v>
      </c>
    </row>
    <row r="98" spans="1:36">
      <c r="A98" s="1607" t="s">
        <v>78</v>
      </c>
      <c r="B98" s="15">
        <f t="shared" si="15"/>
        <v>0</v>
      </c>
      <c r="C98" s="32"/>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f t="shared" si="16"/>
        <v>0</v>
      </c>
    </row>
    <row r="99" spans="1:36">
      <c r="A99" s="1607" t="s">
        <v>79</v>
      </c>
      <c r="B99" s="15">
        <f t="shared" si="15"/>
        <v>0</v>
      </c>
      <c r="C99" s="35"/>
      <c r="D99" s="39"/>
      <c r="E99" s="39"/>
      <c r="F99" s="39"/>
      <c r="G99" s="15"/>
      <c r="H99" s="15"/>
      <c r="I99" s="15"/>
      <c r="J99" s="43"/>
      <c r="K99" s="43"/>
      <c r="L99" s="39"/>
      <c r="M99" s="39"/>
      <c r="N99" s="39"/>
      <c r="O99" s="39"/>
      <c r="P99" s="39"/>
      <c r="Q99" s="39"/>
      <c r="R99" s="39"/>
      <c r="S99" s="39"/>
      <c r="T99" s="39"/>
      <c r="U99" s="39"/>
      <c r="V99" s="39"/>
      <c r="W99" s="39"/>
      <c r="X99" s="39"/>
      <c r="Y99" s="39"/>
      <c r="Z99" s="39"/>
      <c r="AA99" s="39"/>
      <c r="AB99" s="39"/>
      <c r="AC99" s="39"/>
      <c r="AD99" s="39"/>
      <c r="AE99" s="39"/>
      <c r="AF99" s="39"/>
      <c r="AG99" s="39"/>
      <c r="AH99" s="39">
        <f t="shared" si="16"/>
        <v>0</v>
      </c>
    </row>
    <row r="100" spans="1:36">
      <c r="A100" s="1607" t="s">
        <v>80</v>
      </c>
      <c r="B100" s="15">
        <f t="shared" si="15"/>
        <v>0</v>
      </c>
      <c r="C100" s="35"/>
      <c r="D100" s="15"/>
      <c r="E100" s="15"/>
      <c r="F100" s="15"/>
      <c r="G100" s="15"/>
      <c r="H100" s="15"/>
      <c r="I100" s="15"/>
      <c r="J100" s="43"/>
      <c r="K100" s="43"/>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f t="shared" si="16"/>
        <v>0</v>
      </c>
    </row>
    <row r="101" spans="1:36">
      <c r="A101" s="1607" t="s">
        <v>81</v>
      </c>
      <c r="B101" s="15">
        <f t="shared" si="15"/>
        <v>0</v>
      </c>
      <c r="C101" s="32"/>
      <c r="D101" s="39"/>
      <c r="E101" s="39"/>
      <c r="F101" s="39"/>
      <c r="G101" s="39"/>
      <c r="H101" s="39"/>
      <c r="I101" s="39"/>
      <c r="J101" s="43"/>
      <c r="K101" s="43"/>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39">
        <f t="shared" si="16"/>
        <v>0</v>
      </c>
    </row>
    <row r="102" spans="1:36">
      <c r="A102" s="1522" t="s">
        <v>82</v>
      </c>
      <c r="B102" s="15">
        <f t="shared" si="15"/>
        <v>0</v>
      </c>
      <c r="C102" s="35"/>
      <c r="D102" s="39"/>
      <c r="E102" s="39"/>
      <c r="F102" s="39"/>
      <c r="G102" s="15"/>
      <c r="H102" s="15"/>
      <c r="I102" s="15"/>
      <c r="J102" s="15"/>
      <c r="K102" s="15"/>
      <c r="L102" s="15"/>
      <c r="M102" s="15"/>
      <c r="N102" s="15"/>
      <c r="O102" s="39"/>
      <c r="P102" s="15"/>
      <c r="Q102" s="15"/>
      <c r="R102" s="15"/>
      <c r="S102" s="15"/>
      <c r="T102" s="15"/>
      <c r="U102" s="15"/>
      <c r="V102" s="15"/>
      <c r="W102" s="15"/>
      <c r="X102" s="15"/>
      <c r="Y102" s="15"/>
      <c r="Z102" s="15"/>
      <c r="AA102" s="15"/>
      <c r="AB102" s="15"/>
      <c r="AC102" s="15"/>
      <c r="AD102" s="15"/>
      <c r="AE102" s="39"/>
      <c r="AF102" s="15"/>
      <c r="AG102" s="39"/>
      <c r="AH102" s="39">
        <f t="shared" si="16"/>
        <v>0</v>
      </c>
    </row>
    <row r="103" spans="1:36">
      <c r="A103" s="1522" t="s">
        <v>83</v>
      </c>
      <c r="B103" s="15">
        <f t="shared" si="15"/>
        <v>0</v>
      </c>
      <c r="C103" s="3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39"/>
      <c r="AF103" s="15"/>
      <c r="AG103" s="39"/>
      <c r="AH103" s="39">
        <f t="shared" si="16"/>
        <v>0</v>
      </c>
    </row>
    <row r="104" spans="1:36">
      <c r="A104" s="1522" t="s">
        <v>84</v>
      </c>
      <c r="B104" s="15">
        <f t="shared" si="15"/>
        <v>0</v>
      </c>
      <c r="C104" s="3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39"/>
      <c r="AF104" s="15"/>
      <c r="AG104" s="39"/>
      <c r="AH104" s="39">
        <f t="shared" si="16"/>
        <v>0</v>
      </c>
    </row>
    <row r="105" spans="1:36">
      <c r="A105" s="71" t="s">
        <v>72</v>
      </c>
      <c r="B105" s="72">
        <f>SUM(B93:B104)</f>
        <v>0</v>
      </c>
      <c r="C105" s="32">
        <f>SUM(C93:C103)</f>
        <v>0</v>
      </c>
      <c r="D105" s="39">
        <f>SUM(D93:D103)</f>
        <v>0</v>
      </c>
      <c r="E105" s="39">
        <v>0</v>
      </c>
      <c r="F105" s="39">
        <f t="shared" ref="F105:AC105" si="17">SUM(F93:F103)</f>
        <v>0</v>
      </c>
      <c r="G105" s="39">
        <f t="shared" si="17"/>
        <v>0</v>
      </c>
      <c r="H105" s="39">
        <f t="shared" si="17"/>
        <v>0</v>
      </c>
      <c r="I105" s="39">
        <f t="shared" si="17"/>
        <v>0</v>
      </c>
      <c r="J105" s="39">
        <f t="shared" si="17"/>
        <v>0</v>
      </c>
      <c r="K105" s="39">
        <f t="shared" si="17"/>
        <v>0</v>
      </c>
      <c r="L105" s="39">
        <f t="shared" si="17"/>
        <v>0</v>
      </c>
      <c r="M105" s="39">
        <f t="shared" si="17"/>
        <v>0</v>
      </c>
      <c r="N105" s="39">
        <f t="shared" si="17"/>
        <v>0</v>
      </c>
      <c r="O105" s="39">
        <f t="shared" si="17"/>
        <v>0</v>
      </c>
      <c r="P105" s="39">
        <f t="shared" si="17"/>
        <v>0</v>
      </c>
      <c r="Q105" s="39">
        <f t="shared" si="17"/>
        <v>0</v>
      </c>
      <c r="R105" s="39">
        <f t="shared" si="17"/>
        <v>0</v>
      </c>
      <c r="S105" s="39">
        <f t="shared" si="17"/>
        <v>0</v>
      </c>
      <c r="T105" s="39">
        <f t="shared" si="17"/>
        <v>0</v>
      </c>
      <c r="U105" s="39">
        <f t="shared" si="17"/>
        <v>0</v>
      </c>
      <c r="V105" s="39">
        <f t="shared" si="17"/>
        <v>0</v>
      </c>
      <c r="W105" s="39">
        <f t="shared" si="17"/>
        <v>0</v>
      </c>
      <c r="X105" s="39">
        <f t="shared" si="17"/>
        <v>0</v>
      </c>
      <c r="Y105" s="39">
        <f t="shared" si="17"/>
        <v>0</v>
      </c>
      <c r="Z105" s="39">
        <f t="shared" si="17"/>
        <v>0</v>
      </c>
      <c r="AA105" s="39">
        <f t="shared" si="17"/>
        <v>0</v>
      </c>
      <c r="AB105" s="39">
        <f t="shared" si="17"/>
        <v>0</v>
      </c>
      <c r="AC105" s="39">
        <f t="shared" si="17"/>
        <v>0</v>
      </c>
      <c r="AD105" s="39">
        <v>0</v>
      </c>
      <c r="AE105" s="39">
        <f>SUM(AE93:AE103)</f>
        <v>0</v>
      </c>
      <c r="AF105" s="39">
        <f>SUM(AF93:AF103)</f>
        <v>0</v>
      </c>
      <c r="AG105" s="39">
        <f>SUM(AG93:AG103)</f>
        <v>0</v>
      </c>
      <c r="AH105" s="32">
        <f>SUM(AH93:AH103)</f>
        <v>0</v>
      </c>
    </row>
    <row r="106" spans="1:36" ht="5.0999999999999996" customHeight="1">
      <c r="A106" s="36"/>
      <c r="B106" s="37"/>
      <c r="C106" s="13"/>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13"/>
    </row>
    <row r="107" spans="1:36">
      <c r="A107" s="3872" t="s">
        <v>55</v>
      </c>
      <c r="B107" s="3873"/>
      <c r="C107" s="3873"/>
      <c r="D107" s="3873"/>
      <c r="E107" s="3873"/>
      <c r="F107" s="3873"/>
      <c r="G107" s="3873"/>
      <c r="H107" s="3874"/>
      <c r="I107" s="29"/>
      <c r="J107" s="29"/>
      <c r="K107" s="29"/>
      <c r="L107" s="29"/>
      <c r="M107" s="29"/>
      <c r="N107" s="29"/>
      <c r="O107" s="29"/>
      <c r="P107" s="29"/>
      <c r="Q107" s="29"/>
      <c r="R107" s="29"/>
      <c r="S107" s="11"/>
      <c r="T107" s="11"/>
      <c r="U107" s="11"/>
      <c r="V107" s="11"/>
      <c r="W107" s="11"/>
      <c r="X107" s="11"/>
      <c r="Y107" s="11"/>
      <c r="Z107" s="11"/>
      <c r="AA107" s="11"/>
      <c r="AB107" s="11"/>
      <c r="AC107" s="11"/>
      <c r="AD107" s="11"/>
      <c r="AE107" s="11"/>
      <c r="AF107" s="11"/>
      <c r="AG107" s="11"/>
      <c r="AH107" s="11"/>
    </row>
    <row r="108" spans="1:36">
      <c r="A108" s="5" t="s">
        <v>70</v>
      </c>
      <c r="B108" s="5" t="s">
        <v>71</v>
      </c>
      <c r="C108" s="98">
        <v>1</v>
      </c>
      <c r="D108" s="21">
        <v>2</v>
      </c>
      <c r="E108" s="21">
        <v>3</v>
      </c>
      <c r="F108" s="21">
        <v>4</v>
      </c>
      <c r="G108" s="21">
        <v>5</v>
      </c>
      <c r="H108" s="21">
        <v>6</v>
      </c>
      <c r="I108" s="21">
        <v>7</v>
      </c>
      <c r="J108" s="21">
        <v>8</v>
      </c>
      <c r="K108" s="21">
        <v>9</v>
      </c>
      <c r="L108" s="21">
        <v>10</v>
      </c>
      <c r="M108" s="21">
        <v>11</v>
      </c>
      <c r="N108" s="21">
        <v>12</v>
      </c>
      <c r="O108" s="21">
        <v>13</v>
      </c>
      <c r="P108" s="21">
        <v>14</v>
      </c>
      <c r="Q108" s="21">
        <v>15</v>
      </c>
      <c r="R108" s="21">
        <v>16</v>
      </c>
      <c r="S108" s="21">
        <v>17</v>
      </c>
      <c r="T108" s="21">
        <v>18</v>
      </c>
      <c r="U108" s="21">
        <v>19</v>
      </c>
      <c r="V108" s="21">
        <v>20</v>
      </c>
      <c r="W108" s="21">
        <v>21</v>
      </c>
      <c r="X108" s="21">
        <v>22</v>
      </c>
      <c r="Y108" s="21">
        <v>23</v>
      </c>
      <c r="Z108" s="21">
        <v>24</v>
      </c>
      <c r="AA108" s="21">
        <v>25</v>
      </c>
      <c r="AB108" s="21">
        <v>26</v>
      </c>
      <c r="AC108" s="21">
        <v>27</v>
      </c>
      <c r="AD108" s="21">
        <v>28</v>
      </c>
      <c r="AE108" s="21">
        <v>29</v>
      </c>
      <c r="AF108" s="21">
        <v>30</v>
      </c>
      <c r="AG108" s="21">
        <v>31</v>
      </c>
      <c r="AH108" s="25" t="s">
        <v>72</v>
      </c>
      <c r="AI108" s="2266" t="s">
        <v>1345</v>
      </c>
      <c r="AJ108" s="66" t="e">
        <f>(B121/COUNTIF($C$109:$AG$120,"&gt;0"))</f>
        <v>#DIV/0!</v>
      </c>
    </row>
    <row r="109" spans="1:36">
      <c r="A109" s="1607" t="s">
        <v>73</v>
      </c>
      <c r="B109" s="15">
        <f t="shared" ref="B109:B120" si="18">+AH109</f>
        <v>0</v>
      </c>
      <c r="C109" s="35"/>
      <c r="D109" s="39"/>
      <c r="E109" s="39"/>
      <c r="F109" s="39"/>
      <c r="G109" s="15"/>
      <c r="H109" s="15"/>
      <c r="I109" s="15"/>
      <c r="J109" s="15"/>
      <c r="K109" s="15"/>
      <c r="L109" s="15"/>
      <c r="M109" s="15"/>
      <c r="N109" s="15"/>
      <c r="O109" s="15"/>
      <c r="P109" s="15"/>
      <c r="Q109" s="39"/>
      <c r="R109" s="15"/>
      <c r="S109" s="15"/>
      <c r="T109" s="15"/>
      <c r="U109" s="15"/>
      <c r="V109" s="39"/>
      <c r="W109" s="39"/>
      <c r="X109" s="15"/>
      <c r="Y109" s="15"/>
      <c r="Z109" s="15"/>
      <c r="AA109" s="15"/>
      <c r="AB109" s="15"/>
      <c r="AC109" s="15"/>
      <c r="AD109" s="39"/>
      <c r="AE109" s="15"/>
      <c r="AF109" s="15"/>
      <c r="AG109" s="15"/>
      <c r="AH109" s="39">
        <f>SUM(C109:AG109)</f>
        <v>0</v>
      </c>
    </row>
    <row r="110" spans="1:36">
      <c r="A110" s="1607" t="s">
        <v>74</v>
      </c>
      <c r="B110" s="15">
        <f t="shared" si="18"/>
        <v>0</v>
      </c>
      <c r="C110" s="3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39">
        <f>SUM(C110:AG110)</f>
        <v>0</v>
      </c>
    </row>
    <row r="111" spans="1:36">
      <c r="A111" s="1607" t="s">
        <v>75</v>
      </c>
      <c r="B111" s="15">
        <f t="shared" si="18"/>
        <v>0</v>
      </c>
      <c r="C111" s="32"/>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f>SUM(C111:AG111)</f>
        <v>0</v>
      </c>
    </row>
    <row r="112" spans="1:36">
      <c r="A112" s="1607" t="s">
        <v>76</v>
      </c>
      <c r="B112" s="15">
        <f t="shared" si="18"/>
        <v>0</v>
      </c>
      <c r="C112" s="35"/>
      <c r="D112" s="39"/>
      <c r="E112" s="39"/>
      <c r="F112" s="39"/>
      <c r="G112" s="15"/>
      <c r="H112" s="15"/>
      <c r="I112" s="15"/>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f t="shared" ref="AH112:AH120" si="19">SUM(C112:AG112)</f>
        <v>0</v>
      </c>
    </row>
    <row r="113" spans="1:36">
      <c r="A113" s="1607" t="s">
        <v>77</v>
      </c>
      <c r="B113" s="15">
        <f t="shared" si="18"/>
        <v>0</v>
      </c>
      <c r="C113" s="35"/>
      <c r="D113" s="15"/>
      <c r="E113" s="15"/>
      <c r="F113" s="15"/>
      <c r="G113" s="15"/>
      <c r="H113" s="15"/>
      <c r="I113" s="15"/>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f t="shared" si="19"/>
        <v>0</v>
      </c>
    </row>
    <row r="114" spans="1:36">
      <c r="A114" s="1607" t="s">
        <v>78</v>
      </c>
      <c r="B114" s="15">
        <f t="shared" si="18"/>
        <v>0</v>
      </c>
      <c r="C114" s="32"/>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f t="shared" si="19"/>
        <v>0</v>
      </c>
    </row>
    <row r="115" spans="1:36">
      <c r="A115" s="1607" t="s">
        <v>79</v>
      </c>
      <c r="B115" s="15">
        <f t="shared" si="18"/>
        <v>0</v>
      </c>
      <c r="C115" s="35"/>
      <c r="D115" s="39"/>
      <c r="E115" s="39"/>
      <c r="F115" s="39"/>
      <c r="G115" s="15"/>
      <c r="H115" s="15"/>
      <c r="I115" s="15"/>
      <c r="J115" s="43"/>
      <c r="K115" s="43"/>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f t="shared" si="19"/>
        <v>0</v>
      </c>
    </row>
    <row r="116" spans="1:36">
      <c r="A116" s="1607" t="s">
        <v>80</v>
      </c>
      <c r="B116" s="15">
        <f t="shared" si="18"/>
        <v>0</v>
      </c>
      <c r="C116" s="35"/>
      <c r="D116" s="15"/>
      <c r="E116" s="15"/>
      <c r="F116" s="15"/>
      <c r="G116" s="15"/>
      <c r="H116" s="15"/>
      <c r="I116" s="15"/>
      <c r="J116" s="43"/>
      <c r="K116" s="43"/>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f t="shared" si="19"/>
        <v>0</v>
      </c>
    </row>
    <row r="117" spans="1:36">
      <c r="A117" s="1607" t="s">
        <v>81</v>
      </c>
      <c r="B117" s="15">
        <f t="shared" si="18"/>
        <v>0</v>
      </c>
      <c r="C117" s="32"/>
      <c r="D117" s="39"/>
      <c r="E117" s="39"/>
      <c r="F117" s="39"/>
      <c r="G117" s="39"/>
      <c r="H117" s="39"/>
      <c r="I117" s="39"/>
      <c r="J117" s="43"/>
      <c r="K117" s="43"/>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39">
        <f t="shared" si="19"/>
        <v>0</v>
      </c>
    </row>
    <row r="118" spans="1:36">
      <c r="A118" s="1522" t="s">
        <v>82</v>
      </c>
      <c r="B118" s="15">
        <f t="shared" si="18"/>
        <v>0</v>
      </c>
      <c r="C118" s="35"/>
      <c r="D118" s="39"/>
      <c r="E118" s="39"/>
      <c r="F118" s="39"/>
      <c r="G118" s="15"/>
      <c r="H118" s="15"/>
      <c r="I118" s="15"/>
      <c r="J118" s="15"/>
      <c r="K118" s="15"/>
      <c r="L118" s="15"/>
      <c r="M118" s="15"/>
      <c r="N118" s="15"/>
      <c r="O118" s="39"/>
      <c r="P118" s="15"/>
      <c r="Q118" s="15"/>
      <c r="R118" s="15"/>
      <c r="S118" s="15"/>
      <c r="T118" s="15"/>
      <c r="U118" s="15"/>
      <c r="V118" s="15"/>
      <c r="W118" s="15"/>
      <c r="X118" s="15"/>
      <c r="Y118" s="15"/>
      <c r="Z118" s="15"/>
      <c r="AA118" s="15"/>
      <c r="AB118" s="15"/>
      <c r="AC118" s="15"/>
      <c r="AD118" s="15"/>
      <c r="AE118" s="39"/>
      <c r="AF118" s="15"/>
      <c r="AG118" s="39"/>
      <c r="AH118" s="39">
        <f t="shared" si="19"/>
        <v>0</v>
      </c>
    </row>
    <row r="119" spans="1:36">
      <c r="A119" s="1522" t="s">
        <v>83</v>
      </c>
      <c r="B119" s="15">
        <f t="shared" si="18"/>
        <v>0</v>
      </c>
      <c r="C119" s="3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39"/>
      <c r="AF119" s="15"/>
      <c r="AG119" s="39"/>
      <c r="AH119" s="39">
        <f t="shared" si="19"/>
        <v>0</v>
      </c>
    </row>
    <row r="120" spans="1:36">
      <c r="A120" s="1522" t="s">
        <v>84</v>
      </c>
      <c r="B120" s="15">
        <f t="shared" si="18"/>
        <v>0</v>
      </c>
      <c r="C120" s="3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39"/>
      <c r="AF120" s="15"/>
      <c r="AG120" s="39"/>
      <c r="AH120" s="39">
        <f t="shared" si="19"/>
        <v>0</v>
      </c>
    </row>
    <row r="121" spans="1:36">
      <c r="A121" s="71" t="s">
        <v>72</v>
      </c>
      <c r="B121" s="72">
        <f>SUM(B109:B120)</f>
        <v>0</v>
      </c>
      <c r="C121" s="32">
        <f>SUM(C109:C119)</f>
        <v>0</v>
      </c>
      <c r="D121" s="39">
        <f>SUM(D109:D119)</f>
        <v>0</v>
      </c>
      <c r="E121" s="39">
        <v>0</v>
      </c>
      <c r="F121" s="39">
        <f t="shared" ref="F121:AC121" si="20">SUM(F109:F119)</f>
        <v>0</v>
      </c>
      <c r="G121" s="39">
        <f t="shared" si="20"/>
        <v>0</v>
      </c>
      <c r="H121" s="39">
        <f t="shared" si="20"/>
        <v>0</v>
      </c>
      <c r="I121" s="39">
        <f t="shared" si="20"/>
        <v>0</v>
      </c>
      <c r="J121" s="39">
        <f t="shared" si="20"/>
        <v>0</v>
      </c>
      <c r="K121" s="39">
        <f t="shared" si="20"/>
        <v>0</v>
      </c>
      <c r="L121" s="39">
        <f t="shared" si="20"/>
        <v>0</v>
      </c>
      <c r="M121" s="39">
        <f t="shared" si="20"/>
        <v>0</v>
      </c>
      <c r="N121" s="39">
        <f t="shared" si="20"/>
        <v>0</v>
      </c>
      <c r="O121" s="39">
        <f t="shared" si="20"/>
        <v>0</v>
      </c>
      <c r="P121" s="39">
        <f t="shared" si="20"/>
        <v>0</v>
      </c>
      <c r="Q121" s="39">
        <f t="shared" si="20"/>
        <v>0</v>
      </c>
      <c r="R121" s="39">
        <f t="shared" si="20"/>
        <v>0</v>
      </c>
      <c r="S121" s="39">
        <f t="shared" si="20"/>
        <v>0</v>
      </c>
      <c r="T121" s="39">
        <f t="shared" si="20"/>
        <v>0</v>
      </c>
      <c r="U121" s="39">
        <f t="shared" si="20"/>
        <v>0</v>
      </c>
      <c r="V121" s="39">
        <f t="shared" si="20"/>
        <v>0</v>
      </c>
      <c r="W121" s="39">
        <f t="shared" si="20"/>
        <v>0</v>
      </c>
      <c r="X121" s="39">
        <f t="shared" si="20"/>
        <v>0</v>
      </c>
      <c r="Y121" s="39">
        <f t="shared" si="20"/>
        <v>0</v>
      </c>
      <c r="Z121" s="39">
        <f t="shared" si="20"/>
        <v>0</v>
      </c>
      <c r="AA121" s="39">
        <f t="shared" si="20"/>
        <v>0</v>
      </c>
      <c r="AB121" s="39">
        <f t="shared" si="20"/>
        <v>0</v>
      </c>
      <c r="AC121" s="39">
        <f t="shared" si="20"/>
        <v>0</v>
      </c>
      <c r="AD121" s="39">
        <v>0</v>
      </c>
      <c r="AE121" s="39">
        <f>SUM(AE109:AE119)</f>
        <v>0</v>
      </c>
      <c r="AF121" s="39">
        <f>SUM(AF109:AF119)</f>
        <v>0</v>
      </c>
      <c r="AG121" s="39">
        <f>SUM(AG109:AG119)</f>
        <v>0</v>
      </c>
      <c r="AH121" s="32">
        <f>SUM(AH109:AH119)</f>
        <v>0</v>
      </c>
    </row>
    <row r="122" spans="1:36" ht="5.0999999999999996" customHeight="1">
      <c r="A122" s="36"/>
      <c r="B122" s="37"/>
      <c r="C122" s="13"/>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13"/>
    </row>
    <row r="123" spans="1:36">
      <c r="A123" s="3872" t="s">
        <v>56</v>
      </c>
      <c r="B123" s="3873"/>
      <c r="C123" s="3873"/>
      <c r="D123" s="3873"/>
      <c r="E123" s="3873"/>
      <c r="F123" s="3873"/>
      <c r="G123" s="3873"/>
      <c r="H123" s="3874"/>
      <c r="I123" s="29"/>
      <c r="J123" s="29"/>
      <c r="K123" s="29"/>
      <c r="L123" s="29"/>
      <c r="M123" s="29"/>
      <c r="N123" s="29"/>
      <c r="O123" s="29"/>
      <c r="P123" s="29"/>
      <c r="Q123" s="29"/>
      <c r="R123" s="29"/>
      <c r="S123" s="11"/>
      <c r="T123" s="11"/>
      <c r="U123" s="11"/>
      <c r="V123" s="11"/>
      <c r="W123" s="11"/>
      <c r="X123" s="11"/>
      <c r="Y123" s="11"/>
      <c r="Z123" s="11"/>
      <c r="AA123" s="11"/>
      <c r="AB123" s="11"/>
      <c r="AC123" s="11"/>
      <c r="AD123" s="11"/>
      <c r="AE123" s="11"/>
      <c r="AF123" s="11"/>
      <c r="AG123" s="11"/>
      <c r="AH123" s="11"/>
    </row>
    <row r="124" spans="1:36">
      <c r="A124" s="5" t="s">
        <v>70</v>
      </c>
      <c r="B124" s="5" t="s">
        <v>71</v>
      </c>
      <c r="C124" s="98">
        <v>1</v>
      </c>
      <c r="D124" s="21">
        <v>2</v>
      </c>
      <c r="E124" s="21">
        <v>3</v>
      </c>
      <c r="F124" s="21">
        <v>4</v>
      </c>
      <c r="G124" s="21">
        <v>5</v>
      </c>
      <c r="H124" s="21">
        <v>6</v>
      </c>
      <c r="I124" s="21">
        <v>7</v>
      </c>
      <c r="J124" s="21">
        <v>8</v>
      </c>
      <c r="K124" s="21">
        <v>9</v>
      </c>
      <c r="L124" s="21">
        <v>10</v>
      </c>
      <c r="M124" s="21">
        <v>11</v>
      </c>
      <c r="N124" s="21">
        <v>12</v>
      </c>
      <c r="O124" s="21">
        <v>13</v>
      </c>
      <c r="P124" s="21">
        <v>14</v>
      </c>
      <c r="Q124" s="21">
        <v>15</v>
      </c>
      <c r="R124" s="21">
        <v>16</v>
      </c>
      <c r="S124" s="21">
        <v>17</v>
      </c>
      <c r="T124" s="21">
        <v>18</v>
      </c>
      <c r="U124" s="21">
        <v>19</v>
      </c>
      <c r="V124" s="21">
        <v>20</v>
      </c>
      <c r="W124" s="21">
        <v>21</v>
      </c>
      <c r="X124" s="21">
        <v>22</v>
      </c>
      <c r="Y124" s="21">
        <v>23</v>
      </c>
      <c r="Z124" s="21">
        <v>24</v>
      </c>
      <c r="AA124" s="21">
        <v>25</v>
      </c>
      <c r="AB124" s="21">
        <v>26</v>
      </c>
      <c r="AC124" s="21">
        <v>27</v>
      </c>
      <c r="AD124" s="21">
        <v>28</v>
      </c>
      <c r="AE124" s="21">
        <v>29</v>
      </c>
      <c r="AF124" s="21">
        <v>30</v>
      </c>
      <c r="AG124" s="21">
        <v>31</v>
      </c>
      <c r="AH124" s="25" t="s">
        <v>72</v>
      </c>
      <c r="AI124" s="2266" t="s">
        <v>1345</v>
      </c>
      <c r="AJ124" s="66" t="e">
        <f>(B137/COUNTIF($C$125:$AG$136,"&gt;0"))</f>
        <v>#DIV/0!</v>
      </c>
    </row>
    <row r="125" spans="1:36">
      <c r="A125" s="1607" t="s">
        <v>73</v>
      </c>
      <c r="B125" s="15">
        <f t="shared" ref="B125:B136" si="21">+AH125</f>
        <v>0</v>
      </c>
      <c r="C125" s="35"/>
      <c r="D125" s="39"/>
      <c r="E125" s="39"/>
      <c r="F125" s="39"/>
      <c r="G125" s="15"/>
      <c r="H125" s="15"/>
      <c r="I125" s="15"/>
      <c r="J125" s="15"/>
      <c r="K125" s="15"/>
      <c r="L125" s="15"/>
      <c r="M125" s="15"/>
      <c r="N125" s="15"/>
      <c r="O125" s="15"/>
      <c r="P125" s="15"/>
      <c r="Q125" s="39"/>
      <c r="R125" s="15"/>
      <c r="S125" s="15"/>
      <c r="T125" s="15"/>
      <c r="U125" s="15"/>
      <c r="V125" s="39"/>
      <c r="W125" s="39"/>
      <c r="X125" s="15"/>
      <c r="Y125" s="15"/>
      <c r="Z125" s="15"/>
      <c r="AA125" s="15"/>
      <c r="AB125" s="15"/>
      <c r="AC125" s="15"/>
      <c r="AD125" s="39"/>
      <c r="AE125" s="15"/>
      <c r="AF125" s="15"/>
      <c r="AG125" s="15"/>
      <c r="AH125" s="39">
        <f>SUM(C125:AG125)</f>
        <v>0</v>
      </c>
    </row>
    <row r="126" spans="1:36">
      <c r="A126" s="1607" t="s">
        <v>74</v>
      </c>
      <c r="B126" s="15">
        <f t="shared" si="21"/>
        <v>0</v>
      </c>
      <c r="C126" s="3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39">
        <f>SUM(C126:AG126)</f>
        <v>0</v>
      </c>
    </row>
    <row r="127" spans="1:36">
      <c r="A127" s="1607" t="s">
        <v>75</v>
      </c>
      <c r="B127" s="15">
        <f t="shared" si="21"/>
        <v>0</v>
      </c>
      <c r="C127" s="32"/>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f>SUM(C127:AG127)</f>
        <v>0</v>
      </c>
    </row>
    <row r="128" spans="1:36">
      <c r="A128" s="1607" t="s">
        <v>76</v>
      </c>
      <c r="B128" s="15">
        <f t="shared" si="21"/>
        <v>0</v>
      </c>
      <c r="C128" s="35"/>
      <c r="D128" s="39"/>
      <c r="E128" s="39"/>
      <c r="F128" s="39"/>
      <c r="G128" s="15"/>
      <c r="H128" s="15"/>
      <c r="I128" s="15"/>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f t="shared" ref="AH128:AH136" si="22">SUM(C128:AG128)</f>
        <v>0</v>
      </c>
    </row>
    <row r="129" spans="1:36">
      <c r="A129" s="1607" t="s">
        <v>77</v>
      </c>
      <c r="B129" s="15">
        <f t="shared" si="21"/>
        <v>0</v>
      </c>
      <c r="C129" s="35"/>
      <c r="D129" s="15"/>
      <c r="E129" s="15"/>
      <c r="F129" s="15"/>
      <c r="G129" s="15"/>
      <c r="H129" s="15"/>
      <c r="I129" s="15"/>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f t="shared" si="22"/>
        <v>0</v>
      </c>
    </row>
    <row r="130" spans="1:36">
      <c r="A130" s="1607" t="s">
        <v>78</v>
      </c>
      <c r="B130" s="15">
        <f t="shared" si="21"/>
        <v>0</v>
      </c>
      <c r="C130" s="32"/>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f t="shared" si="22"/>
        <v>0</v>
      </c>
    </row>
    <row r="131" spans="1:36">
      <c r="A131" s="1607" t="s">
        <v>79</v>
      </c>
      <c r="B131" s="15">
        <f t="shared" si="21"/>
        <v>0</v>
      </c>
      <c r="C131" s="35"/>
      <c r="D131" s="39"/>
      <c r="E131" s="39"/>
      <c r="F131" s="39"/>
      <c r="G131" s="15"/>
      <c r="H131" s="15"/>
      <c r="I131" s="15"/>
      <c r="J131" s="43"/>
      <c r="K131" s="43"/>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f t="shared" si="22"/>
        <v>0</v>
      </c>
    </row>
    <row r="132" spans="1:36">
      <c r="A132" s="1607" t="s">
        <v>80</v>
      </c>
      <c r="B132" s="15">
        <f t="shared" si="21"/>
        <v>0</v>
      </c>
      <c r="C132" s="35"/>
      <c r="D132" s="15"/>
      <c r="E132" s="15"/>
      <c r="F132" s="15"/>
      <c r="G132" s="15"/>
      <c r="H132" s="15"/>
      <c r="I132" s="15"/>
      <c r="J132" s="43"/>
      <c r="K132" s="43"/>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f t="shared" si="22"/>
        <v>0</v>
      </c>
    </row>
    <row r="133" spans="1:36">
      <c r="A133" s="1607" t="s">
        <v>81</v>
      </c>
      <c r="B133" s="15">
        <f t="shared" si="21"/>
        <v>0</v>
      </c>
      <c r="C133" s="32"/>
      <c r="D133" s="39"/>
      <c r="E133" s="39"/>
      <c r="F133" s="39"/>
      <c r="G133" s="39"/>
      <c r="H133" s="39"/>
      <c r="I133" s="39"/>
      <c r="J133" s="43"/>
      <c r="K133" s="43"/>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39">
        <f t="shared" si="22"/>
        <v>0</v>
      </c>
    </row>
    <row r="134" spans="1:36">
      <c r="A134" s="1522" t="s">
        <v>82</v>
      </c>
      <c r="B134" s="15">
        <f t="shared" si="21"/>
        <v>0</v>
      </c>
      <c r="C134" s="35"/>
      <c r="D134" s="39"/>
      <c r="E134" s="39"/>
      <c r="F134" s="39"/>
      <c r="G134" s="15"/>
      <c r="H134" s="15"/>
      <c r="I134" s="15"/>
      <c r="J134" s="15"/>
      <c r="K134" s="15"/>
      <c r="L134" s="15"/>
      <c r="M134" s="15"/>
      <c r="N134" s="15"/>
      <c r="O134" s="39"/>
      <c r="P134" s="15"/>
      <c r="Q134" s="15"/>
      <c r="R134" s="15"/>
      <c r="S134" s="15"/>
      <c r="T134" s="15"/>
      <c r="U134" s="15"/>
      <c r="V134" s="15"/>
      <c r="W134" s="15"/>
      <c r="X134" s="15"/>
      <c r="Y134" s="15"/>
      <c r="Z134" s="15"/>
      <c r="AA134" s="15"/>
      <c r="AB134" s="15"/>
      <c r="AC134" s="15"/>
      <c r="AD134" s="15"/>
      <c r="AE134" s="39"/>
      <c r="AF134" s="15"/>
      <c r="AG134" s="39"/>
      <c r="AH134" s="39">
        <f t="shared" si="22"/>
        <v>0</v>
      </c>
    </row>
    <row r="135" spans="1:36">
      <c r="A135" s="1522" t="s">
        <v>83</v>
      </c>
      <c r="B135" s="15">
        <f t="shared" si="21"/>
        <v>0</v>
      </c>
      <c r="C135" s="3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39"/>
      <c r="AF135" s="15"/>
      <c r="AG135" s="39"/>
      <c r="AH135" s="39">
        <f t="shared" si="22"/>
        <v>0</v>
      </c>
    </row>
    <row r="136" spans="1:36">
      <c r="A136" s="1522" t="s">
        <v>84</v>
      </c>
      <c r="B136" s="15">
        <f t="shared" si="21"/>
        <v>0</v>
      </c>
      <c r="C136" s="3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39"/>
      <c r="AF136" s="15"/>
      <c r="AG136" s="39"/>
      <c r="AH136" s="39">
        <f t="shared" si="22"/>
        <v>0</v>
      </c>
    </row>
    <row r="137" spans="1:36">
      <c r="A137" s="71" t="s">
        <v>72</v>
      </c>
      <c r="B137" s="72">
        <f>SUM(B125:B136)</f>
        <v>0</v>
      </c>
      <c r="C137" s="32">
        <f>SUM(C125:C135)</f>
        <v>0</v>
      </c>
      <c r="D137" s="39">
        <f>SUM(D125:D135)</f>
        <v>0</v>
      </c>
      <c r="E137" s="39">
        <v>0</v>
      </c>
      <c r="F137" s="39">
        <f t="shared" ref="F137:AC137" si="23">SUM(F125:F135)</f>
        <v>0</v>
      </c>
      <c r="G137" s="39">
        <f t="shared" si="23"/>
        <v>0</v>
      </c>
      <c r="H137" s="39">
        <f t="shared" si="23"/>
        <v>0</v>
      </c>
      <c r="I137" s="39">
        <f t="shared" si="23"/>
        <v>0</v>
      </c>
      <c r="J137" s="39">
        <f t="shared" si="23"/>
        <v>0</v>
      </c>
      <c r="K137" s="39">
        <f t="shared" si="23"/>
        <v>0</v>
      </c>
      <c r="L137" s="39">
        <f t="shared" si="23"/>
        <v>0</v>
      </c>
      <c r="M137" s="39">
        <f t="shared" si="23"/>
        <v>0</v>
      </c>
      <c r="N137" s="39">
        <f t="shared" si="23"/>
        <v>0</v>
      </c>
      <c r="O137" s="39">
        <f t="shared" si="23"/>
        <v>0</v>
      </c>
      <c r="P137" s="39">
        <f t="shared" si="23"/>
        <v>0</v>
      </c>
      <c r="Q137" s="39">
        <f t="shared" si="23"/>
        <v>0</v>
      </c>
      <c r="R137" s="39">
        <f t="shared" si="23"/>
        <v>0</v>
      </c>
      <c r="S137" s="39">
        <f t="shared" si="23"/>
        <v>0</v>
      </c>
      <c r="T137" s="39">
        <f t="shared" si="23"/>
        <v>0</v>
      </c>
      <c r="U137" s="39">
        <f t="shared" si="23"/>
        <v>0</v>
      </c>
      <c r="V137" s="39">
        <f t="shared" si="23"/>
        <v>0</v>
      </c>
      <c r="W137" s="39">
        <f t="shared" si="23"/>
        <v>0</v>
      </c>
      <c r="X137" s="39">
        <f t="shared" si="23"/>
        <v>0</v>
      </c>
      <c r="Y137" s="39">
        <f t="shared" si="23"/>
        <v>0</v>
      </c>
      <c r="Z137" s="39">
        <f t="shared" si="23"/>
        <v>0</v>
      </c>
      <c r="AA137" s="39">
        <f t="shared" si="23"/>
        <v>0</v>
      </c>
      <c r="AB137" s="39">
        <f t="shared" si="23"/>
        <v>0</v>
      </c>
      <c r="AC137" s="39">
        <f t="shared" si="23"/>
        <v>0</v>
      </c>
      <c r="AD137" s="39">
        <v>0</v>
      </c>
      <c r="AE137" s="39">
        <f>SUM(AE125:AE135)</f>
        <v>0</v>
      </c>
      <c r="AF137" s="39">
        <f>SUM(AF125:AF135)</f>
        <v>0</v>
      </c>
      <c r="AG137" s="39">
        <f>SUM(AG125:AG135)</f>
        <v>0</v>
      </c>
      <c r="AH137" s="32">
        <f>SUM(AH125:AH135)</f>
        <v>0</v>
      </c>
    </row>
    <row r="138" spans="1:36" ht="5.0999999999999996" customHeight="1">
      <c r="A138" s="36"/>
      <c r="B138" s="37"/>
      <c r="C138" s="13"/>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13"/>
    </row>
    <row r="139" spans="1:36">
      <c r="A139" s="3872" t="s">
        <v>100</v>
      </c>
      <c r="B139" s="3873"/>
      <c r="C139" s="3873"/>
      <c r="D139" s="3873"/>
      <c r="E139" s="3873"/>
      <c r="F139" s="3873"/>
      <c r="G139" s="3873"/>
      <c r="H139" s="3874"/>
      <c r="I139" s="29"/>
      <c r="J139" s="29"/>
      <c r="K139" s="29"/>
      <c r="L139" s="29"/>
      <c r="M139" s="29"/>
      <c r="N139" s="29"/>
      <c r="O139" s="29"/>
      <c r="P139" s="29"/>
      <c r="Q139" s="29"/>
      <c r="R139" s="29"/>
      <c r="S139" s="11"/>
      <c r="T139" s="11"/>
      <c r="U139" s="11"/>
      <c r="V139" s="11"/>
      <c r="W139" s="11"/>
      <c r="X139" s="11"/>
      <c r="Y139" s="11"/>
      <c r="Z139" s="11"/>
      <c r="AA139" s="11"/>
      <c r="AB139" s="11"/>
      <c r="AC139" s="11"/>
      <c r="AD139" s="11"/>
      <c r="AE139" s="11"/>
      <c r="AF139" s="11"/>
      <c r="AG139" s="11"/>
      <c r="AH139" s="11"/>
    </row>
    <row r="140" spans="1:36">
      <c r="A140" s="5" t="s">
        <v>70</v>
      </c>
      <c r="B140" s="5" t="s">
        <v>71</v>
      </c>
      <c r="C140" s="98">
        <v>1</v>
      </c>
      <c r="D140" s="21">
        <v>2</v>
      </c>
      <c r="E140" s="21">
        <v>3</v>
      </c>
      <c r="F140" s="21">
        <v>4</v>
      </c>
      <c r="G140" s="21">
        <v>5</v>
      </c>
      <c r="H140" s="21">
        <v>6</v>
      </c>
      <c r="I140" s="21">
        <v>7</v>
      </c>
      <c r="J140" s="21">
        <v>8</v>
      </c>
      <c r="K140" s="21">
        <v>9</v>
      </c>
      <c r="L140" s="21">
        <v>10</v>
      </c>
      <c r="M140" s="21">
        <v>11</v>
      </c>
      <c r="N140" s="21">
        <v>12</v>
      </c>
      <c r="O140" s="21">
        <v>13</v>
      </c>
      <c r="P140" s="21">
        <v>14</v>
      </c>
      <c r="Q140" s="21">
        <v>15</v>
      </c>
      <c r="R140" s="21">
        <v>16</v>
      </c>
      <c r="S140" s="21">
        <v>17</v>
      </c>
      <c r="T140" s="21">
        <v>18</v>
      </c>
      <c r="U140" s="21">
        <v>19</v>
      </c>
      <c r="V140" s="21">
        <v>20</v>
      </c>
      <c r="W140" s="21">
        <v>21</v>
      </c>
      <c r="X140" s="21">
        <v>22</v>
      </c>
      <c r="Y140" s="21">
        <v>23</v>
      </c>
      <c r="Z140" s="21">
        <v>24</v>
      </c>
      <c r="AA140" s="21">
        <v>25</v>
      </c>
      <c r="AB140" s="21">
        <v>26</v>
      </c>
      <c r="AC140" s="21">
        <v>27</v>
      </c>
      <c r="AD140" s="21">
        <v>28</v>
      </c>
      <c r="AE140" s="21">
        <v>29</v>
      </c>
      <c r="AF140" s="21">
        <v>30</v>
      </c>
      <c r="AG140" s="21">
        <v>31</v>
      </c>
      <c r="AH140" s="25" t="s">
        <v>72</v>
      </c>
      <c r="AI140" s="2266" t="s">
        <v>1345</v>
      </c>
      <c r="AJ140" s="66" t="e">
        <f>(B153/COUNTIF($C$141:$AG$152,"&gt;0"))</f>
        <v>#DIV/0!</v>
      </c>
    </row>
    <row r="141" spans="1:36">
      <c r="A141" s="1607" t="s">
        <v>73</v>
      </c>
      <c r="B141" s="15">
        <f t="shared" ref="B141:B152" si="24">+AH141</f>
        <v>0</v>
      </c>
      <c r="C141" s="35"/>
      <c r="D141" s="39"/>
      <c r="E141" s="39"/>
      <c r="F141" s="39"/>
      <c r="G141" s="15"/>
      <c r="H141" s="15"/>
      <c r="I141" s="15"/>
      <c r="J141" s="15"/>
      <c r="K141" s="15"/>
      <c r="L141" s="15"/>
      <c r="M141" s="15"/>
      <c r="N141" s="15"/>
      <c r="O141" s="15"/>
      <c r="P141" s="15"/>
      <c r="Q141" s="39"/>
      <c r="R141" s="15"/>
      <c r="S141" s="15"/>
      <c r="T141" s="15"/>
      <c r="U141" s="15"/>
      <c r="V141" s="39"/>
      <c r="W141" s="39"/>
      <c r="X141" s="15"/>
      <c r="Y141" s="15"/>
      <c r="Z141" s="15"/>
      <c r="AA141" s="15"/>
      <c r="AB141" s="15"/>
      <c r="AC141" s="15"/>
      <c r="AD141" s="39"/>
      <c r="AE141" s="15"/>
      <c r="AF141" s="15"/>
      <c r="AG141" s="15"/>
      <c r="AH141" s="39">
        <f>SUM(C141:AG141)</f>
        <v>0</v>
      </c>
    </row>
    <row r="142" spans="1:36">
      <c r="A142" s="1607" t="s">
        <v>74</v>
      </c>
      <c r="B142" s="15">
        <f t="shared" si="24"/>
        <v>0</v>
      </c>
      <c r="C142" s="3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39">
        <f>SUM(C142:AG142)</f>
        <v>0</v>
      </c>
    </row>
    <row r="143" spans="1:36">
      <c r="A143" s="1607" t="s">
        <v>75</v>
      </c>
      <c r="B143" s="15">
        <f t="shared" si="24"/>
        <v>0</v>
      </c>
      <c r="C143" s="32"/>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f>SUM(C143:AG143)</f>
        <v>0</v>
      </c>
    </row>
    <row r="144" spans="1:36">
      <c r="A144" s="1607" t="s">
        <v>76</v>
      </c>
      <c r="B144" s="15">
        <f t="shared" si="24"/>
        <v>0</v>
      </c>
      <c r="C144" s="35"/>
      <c r="D144" s="39"/>
      <c r="E144" s="39"/>
      <c r="F144" s="39"/>
      <c r="G144" s="15"/>
      <c r="H144" s="15"/>
      <c r="I144" s="15"/>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f t="shared" ref="AH144:AH152" si="25">SUM(C144:AG144)</f>
        <v>0</v>
      </c>
    </row>
    <row r="145" spans="1:36">
      <c r="A145" s="1607" t="s">
        <v>77</v>
      </c>
      <c r="B145" s="15">
        <f t="shared" si="24"/>
        <v>0</v>
      </c>
      <c r="C145" s="35"/>
      <c r="D145" s="15"/>
      <c r="E145" s="15"/>
      <c r="F145" s="15"/>
      <c r="G145" s="15"/>
      <c r="H145" s="15"/>
      <c r="I145" s="15"/>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f t="shared" si="25"/>
        <v>0</v>
      </c>
    </row>
    <row r="146" spans="1:36">
      <c r="A146" s="1607" t="s">
        <v>78</v>
      </c>
      <c r="B146" s="15">
        <f t="shared" si="24"/>
        <v>0</v>
      </c>
      <c r="C146" s="32"/>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f t="shared" si="25"/>
        <v>0</v>
      </c>
    </row>
    <row r="147" spans="1:36">
      <c r="A147" s="1607" t="s">
        <v>79</v>
      </c>
      <c r="B147" s="15">
        <f t="shared" si="24"/>
        <v>0</v>
      </c>
      <c r="C147" s="35"/>
      <c r="D147" s="39"/>
      <c r="E147" s="39"/>
      <c r="F147" s="39"/>
      <c r="G147" s="15"/>
      <c r="H147" s="15"/>
      <c r="I147" s="15"/>
      <c r="J147" s="43"/>
      <c r="K147" s="43"/>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f t="shared" si="25"/>
        <v>0</v>
      </c>
    </row>
    <row r="148" spans="1:36">
      <c r="A148" s="1607" t="s">
        <v>80</v>
      </c>
      <c r="B148" s="15">
        <f t="shared" si="24"/>
        <v>0</v>
      </c>
      <c r="C148" s="35"/>
      <c r="D148" s="15"/>
      <c r="E148" s="15"/>
      <c r="F148" s="15"/>
      <c r="G148" s="15"/>
      <c r="H148" s="15"/>
      <c r="I148" s="15"/>
      <c r="J148" s="43"/>
      <c r="K148" s="43"/>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f t="shared" si="25"/>
        <v>0</v>
      </c>
    </row>
    <row r="149" spans="1:36">
      <c r="A149" s="1607" t="s">
        <v>81</v>
      </c>
      <c r="B149" s="15">
        <f t="shared" si="24"/>
        <v>0</v>
      </c>
      <c r="C149" s="32"/>
      <c r="D149" s="39"/>
      <c r="E149" s="39"/>
      <c r="F149" s="39"/>
      <c r="G149" s="39"/>
      <c r="H149" s="39"/>
      <c r="I149" s="39"/>
      <c r="J149" s="43"/>
      <c r="K149" s="43"/>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39">
        <f t="shared" si="25"/>
        <v>0</v>
      </c>
    </row>
    <row r="150" spans="1:36">
      <c r="A150" s="1522" t="s">
        <v>82</v>
      </c>
      <c r="B150" s="15">
        <f t="shared" si="24"/>
        <v>0</v>
      </c>
      <c r="C150" s="35"/>
      <c r="D150" s="39"/>
      <c r="E150" s="39"/>
      <c r="F150" s="39"/>
      <c r="G150" s="15"/>
      <c r="H150" s="15"/>
      <c r="I150" s="15"/>
      <c r="J150" s="15"/>
      <c r="K150" s="15"/>
      <c r="L150" s="15"/>
      <c r="M150" s="15"/>
      <c r="N150" s="15"/>
      <c r="O150" s="39"/>
      <c r="P150" s="15"/>
      <c r="Q150" s="15"/>
      <c r="R150" s="15"/>
      <c r="S150" s="15"/>
      <c r="T150" s="15"/>
      <c r="U150" s="15"/>
      <c r="V150" s="15"/>
      <c r="W150" s="15"/>
      <c r="X150" s="15"/>
      <c r="Y150" s="15"/>
      <c r="Z150" s="15"/>
      <c r="AA150" s="15"/>
      <c r="AB150" s="15"/>
      <c r="AC150" s="15"/>
      <c r="AD150" s="15"/>
      <c r="AE150" s="39"/>
      <c r="AF150" s="15"/>
      <c r="AG150" s="39"/>
      <c r="AH150" s="39">
        <f t="shared" si="25"/>
        <v>0</v>
      </c>
    </row>
    <row r="151" spans="1:36">
      <c r="A151" s="1522" t="s">
        <v>83</v>
      </c>
      <c r="B151" s="15">
        <f t="shared" si="24"/>
        <v>0</v>
      </c>
      <c r="C151" s="3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39"/>
      <c r="AF151" s="15"/>
      <c r="AG151" s="39"/>
      <c r="AH151" s="39">
        <f t="shared" si="25"/>
        <v>0</v>
      </c>
    </row>
    <row r="152" spans="1:36">
      <c r="A152" s="1522" t="s">
        <v>84</v>
      </c>
      <c r="B152" s="15">
        <f t="shared" si="24"/>
        <v>0</v>
      </c>
      <c r="C152" s="3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39"/>
      <c r="AF152" s="15"/>
      <c r="AG152" s="39"/>
      <c r="AH152" s="39">
        <f t="shared" si="25"/>
        <v>0</v>
      </c>
    </row>
    <row r="153" spans="1:36">
      <c r="A153" s="71" t="s">
        <v>72</v>
      </c>
      <c r="B153" s="72">
        <f>SUM(B141:B152)</f>
        <v>0</v>
      </c>
      <c r="C153" s="32">
        <f>SUM(C141:C151)</f>
        <v>0</v>
      </c>
      <c r="D153" s="39">
        <f>SUM(D141:D151)</f>
        <v>0</v>
      </c>
      <c r="E153" s="39">
        <v>0</v>
      </c>
      <c r="F153" s="39">
        <f t="shared" ref="F153:AC153" si="26">SUM(F141:F151)</f>
        <v>0</v>
      </c>
      <c r="G153" s="39">
        <f t="shared" si="26"/>
        <v>0</v>
      </c>
      <c r="H153" s="39">
        <f t="shared" si="26"/>
        <v>0</v>
      </c>
      <c r="I153" s="39">
        <f t="shared" si="26"/>
        <v>0</v>
      </c>
      <c r="J153" s="39">
        <f t="shared" si="26"/>
        <v>0</v>
      </c>
      <c r="K153" s="39">
        <f t="shared" si="26"/>
        <v>0</v>
      </c>
      <c r="L153" s="39">
        <f t="shared" si="26"/>
        <v>0</v>
      </c>
      <c r="M153" s="39">
        <f t="shared" si="26"/>
        <v>0</v>
      </c>
      <c r="N153" s="39">
        <f t="shared" si="26"/>
        <v>0</v>
      </c>
      <c r="O153" s="39">
        <f t="shared" si="26"/>
        <v>0</v>
      </c>
      <c r="P153" s="39">
        <f t="shared" si="26"/>
        <v>0</v>
      </c>
      <c r="Q153" s="39">
        <f t="shared" si="26"/>
        <v>0</v>
      </c>
      <c r="R153" s="39">
        <f t="shared" si="26"/>
        <v>0</v>
      </c>
      <c r="S153" s="39">
        <f t="shared" si="26"/>
        <v>0</v>
      </c>
      <c r="T153" s="39">
        <f t="shared" si="26"/>
        <v>0</v>
      </c>
      <c r="U153" s="39">
        <f t="shared" si="26"/>
        <v>0</v>
      </c>
      <c r="V153" s="39">
        <f t="shared" si="26"/>
        <v>0</v>
      </c>
      <c r="W153" s="39">
        <f t="shared" si="26"/>
        <v>0</v>
      </c>
      <c r="X153" s="39">
        <f t="shared" si="26"/>
        <v>0</v>
      </c>
      <c r="Y153" s="39">
        <f t="shared" si="26"/>
        <v>0</v>
      </c>
      <c r="Z153" s="39">
        <f t="shared" si="26"/>
        <v>0</v>
      </c>
      <c r="AA153" s="39">
        <f t="shared" si="26"/>
        <v>0</v>
      </c>
      <c r="AB153" s="39">
        <f t="shared" si="26"/>
        <v>0</v>
      </c>
      <c r="AC153" s="39">
        <f t="shared" si="26"/>
        <v>0</v>
      </c>
      <c r="AD153" s="39">
        <v>0</v>
      </c>
      <c r="AE153" s="39">
        <f>SUM(AE141:AE151)</f>
        <v>0</v>
      </c>
      <c r="AF153" s="39">
        <f>SUM(AF141:AF151)</f>
        <v>0</v>
      </c>
      <c r="AG153" s="39">
        <f>SUM(AG141:AG151)</f>
        <v>0</v>
      </c>
      <c r="AH153" s="32">
        <f>SUM(AH141:AH151)</f>
        <v>0</v>
      </c>
    </row>
    <row r="154" spans="1:36" ht="5.0999999999999996" customHeight="1">
      <c r="A154" s="36"/>
      <c r="B154" s="37"/>
      <c r="C154" s="13"/>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13"/>
    </row>
    <row r="155" spans="1:36">
      <c r="A155" s="3872" t="s">
        <v>57</v>
      </c>
      <c r="B155" s="3873"/>
      <c r="C155" s="3873"/>
      <c r="D155" s="3873"/>
      <c r="E155" s="3873"/>
      <c r="F155" s="3873"/>
      <c r="G155" s="3873"/>
      <c r="H155" s="3874"/>
      <c r="I155" s="29"/>
      <c r="J155" s="29"/>
      <c r="K155" s="29"/>
      <c r="L155" s="29"/>
      <c r="M155" s="29"/>
      <c r="N155" s="29"/>
      <c r="O155" s="29"/>
      <c r="P155" s="29"/>
      <c r="Q155" s="29"/>
      <c r="R155" s="29"/>
      <c r="S155" s="11"/>
      <c r="T155" s="11"/>
      <c r="U155" s="11"/>
      <c r="V155" s="11"/>
      <c r="W155" s="11"/>
      <c r="X155" s="11"/>
      <c r="Y155" s="11"/>
      <c r="Z155" s="11"/>
      <c r="AA155" s="11"/>
      <c r="AB155" s="11"/>
      <c r="AC155" s="11"/>
      <c r="AD155" s="11"/>
      <c r="AE155" s="11"/>
      <c r="AF155" s="11"/>
      <c r="AG155" s="11"/>
      <c r="AH155" s="11"/>
    </row>
    <row r="156" spans="1:36">
      <c r="A156" s="5" t="s">
        <v>70</v>
      </c>
      <c r="B156" s="5" t="s">
        <v>71</v>
      </c>
      <c r="C156" s="98">
        <v>1</v>
      </c>
      <c r="D156" s="21">
        <v>2</v>
      </c>
      <c r="E156" s="21">
        <v>3</v>
      </c>
      <c r="F156" s="21">
        <v>4</v>
      </c>
      <c r="G156" s="21">
        <v>5</v>
      </c>
      <c r="H156" s="21">
        <v>6</v>
      </c>
      <c r="I156" s="21">
        <v>7</v>
      </c>
      <c r="J156" s="21">
        <v>8</v>
      </c>
      <c r="K156" s="21">
        <v>9</v>
      </c>
      <c r="L156" s="21">
        <v>10</v>
      </c>
      <c r="M156" s="21">
        <v>11</v>
      </c>
      <c r="N156" s="21">
        <v>12</v>
      </c>
      <c r="O156" s="21">
        <v>13</v>
      </c>
      <c r="P156" s="21">
        <v>14</v>
      </c>
      <c r="Q156" s="21">
        <v>15</v>
      </c>
      <c r="R156" s="21">
        <v>16</v>
      </c>
      <c r="S156" s="21">
        <v>17</v>
      </c>
      <c r="T156" s="21">
        <v>18</v>
      </c>
      <c r="U156" s="21">
        <v>19</v>
      </c>
      <c r="V156" s="21">
        <v>20</v>
      </c>
      <c r="W156" s="21">
        <v>21</v>
      </c>
      <c r="X156" s="21">
        <v>22</v>
      </c>
      <c r="Y156" s="21">
        <v>23</v>
      </c>
      <c r="Z156" s="21">
        <v>24</v>
      </c>
      <c r="AA156" s="21">
        <v>25</v>
      </c>
      <c r="AB156" s="21">
        <v>26</v>
      </c>
      <c r="AC156" s="21">
        <v>27</v>
      </c>
      <c r="AD156" s="21">
        <v>28</v>
      </c>
      <c r="AE156" s="21">
        <v>29</v>
      </c>
      <c r="AF156" s="21">
        <v>30</v>
      </c>
      <c r="AG156" s="21">
        <v>31</v>
      </c>
      <c r="AH156" s="25" t="s">
        <v>72</v>
      </c>
      <c r="AI156" s="2266" t="s">
        <v>1345</v>
      </c>
      <c r="AJ156" s="66" t="e">
        <f>(B169/COUNTIF($C$157:$AG$168,"&gt;0"))</f>
        <v>#DIV/0!</v>
      </c>
    </row>
    <row r="157" spans="1:36">
      <c r="A157" s="1607" t="s">
        <v>73</v>
      </c>
      <c r="B157" s="15">
        <f t="shared" ref="B157:B168" si="27">+AH157</f>
        <v>0</v>
      </c>
      <c r="C157" s="35"/>
      <c r="D157" s="39"/>
      <c r="E157" s="39"/>
      <c r="F157" s="39"/>
      <c r="G157" s="15"/>
      <c r="H157" s="15"/>
      <c r="I157" s="15"/>
      <c r="J157" s="15"/>
      <c r="K157" s="15"/>
      <c r="L157" s="15"/>
      <c r="M157" s="15"/>
      <c r="N157" s="15"/>
      <c r="O157" s="15"/>
      <c r="P157" s="15"/>
      <c r="Q157" s="39"/>
      <c r="R157" s="15"/>
      <c r="S157" s="15"/>
      <c r="T157" s="15"/>
      <c r="U157" s="15"/>
      <c r="V157" s="39"/>
      <c r="W157" s="39"/>
      <c r="X157" s="15"/>
      <c r="Y157" s="15"/>
      <c r="Z157" s="15"/>
      <c r="AA157" s="15"/>
      <c r="AB157" s="15"/>
      <c r="AC157" s="15"/>
      <c r="AD157" s="39"/>
      <c r="AE157" s="15"/>
      <c r="AF157" s="15"/>
      <c r="AG157" s="15"/>
      <c r="AH157" s="39">
        <f>SUM(C157:AG157)</f>
        <v>0</v>
      </c>
    </row>
    <row r="158" spans="1:36">
      <c r="A158" s="1607" t="s">
        <v>74</v>
      </c>
      <c r="B158" s="15">
        <f t="shared" si="27"/>
        <v>0</v>
      </c>
      <c r="C158" s="3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39">
        <f>SUM(C158:AG158)</f>
        <v>0</v>
      </c>
    </row>
    <row r="159" spans="1:36">
      <c r="A159" s="1607" t="s">
        <v>75</v>
      </c>
      <c r="B159" s="15">
        <f t="shared" si="27"/>
        <v>0</v>
      </c>
      <c r="C159" s="32"/>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f>SUM(C159:AG159)</f>
        <v>0</v>
      </c>
    </row>
    <row r="160" spans="1:36">
      <c r="A160" s="1607" t="s">
        <v>76</v>
      </c>
      <c r="B160" s="15">
        <f t="shared" si="27"/>
        <v>0</v>
      </c>
      <c r="C160" s="35"/>
      <c r="D160" s="39"/>
      <c r="E160" s="39"/>
      <c r="F160" s="39"/>
      <c r="G160" s="15"/>
      <c r="H160" s="15"/>
      <c r="I160" s="15"/>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f t="shared" ref="AH160:AH168" si="28">SUM(C160:AG160)</f>
        <v>0</v>
      </c>
    </row>
    <row r="161" spans="1:36">
      <c r="A161" s="1607" t="s">
        <v>77</v>
      </c>
      <c r="B161" s="15">
        <f t="shared" si="27"/>
        <v>0</v>
      </c>
      <c r="C161" s="35"/>
      <c r="D161" s="15"/>
      <c r="E161" s="15"/>
      <c r="F161" s="15"/>
      <c r="G161" s="15"/>
      <c r="H161" s="15"/>
      <c r="I161" s="15"/>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f t="shared" si="28"/>
        <v>0</v>
      </c>
    </row>
    <row r="162" spans="1:36">
      <c r="A162" s="1607" t="s">
        <v>78</v>
      </c>
      <c r="B162" s="15">
        <f t="shared" si="27"/>
        <v>0</v>
      </c>
      <c r="C162" s="32"/>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f t="shared" si="28"/>
        <v>0</v>
      </c>
    </row>
    <row r="163" spans="1:36">
      <c r="A163" s="1607" t="s">
        <v>79</v>
      </c>
      <c r="B163" s="15">
        <f t="shared" si="27"/>
        <v>0</v>
      </c>
      <c r="C163" s="35"/>
      <c r="D163" s="39"/>
      <c r="E163" s="39"/>
      <c r="F163" s="39"/>
      <c r="G163" s="15"/>
      <c r="H163" s="15"/>
      <c r="I163" s="15"/>
      <c r="J163" s="43"/>
      <c r="K163" s="43"/>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f t="shared" si="28"/>
        <v>0</v>
      </c>
    </row>
    <row r="164" spans="1:36">
      <c r="A164" s="1607" t="s">
        <v>80</v>
      </c>
      <c r="B164" s="15">
        <f t="shared" si="27"/>
        <v>0</v>
      </c>
      <c r="C164" s="35"/>
      <c r="D164" s="15"/>
      <c r="E164" s="15"/>
      <c r="F164" s="15"/>
      <c r="G164" s="15"/>
      <c r="H164" s="15"/>
      <c r="I164" s="15"/>
      <c r="J164" s="43"/>
      <c r="K164" s="43"/>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f t="shared" si="28"/>
        <v>0</v>
      </c>
    </row>
    <row r="165" spans="1:36">
      <c r="A165" s="1607" t="s">
        <v>81</v>
      </c>
      <c r="B165" s="15">
        <f t="shared" si="27"/>
        <v>0</v>
      </c>
      <c r="C165" s="32"/>
      <c r="D165" s="39"/>
      <c r="E165" s="39"/>
      <c r="F165" s="39"/>
      <c r="G165" s="39"/>
      <c r="H165" s="39"/>
      <c r="I165" s="39"/>
      <c r="J165" s="43"/>
      <c r="K165" s="43"/>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39">
        <f t="shared" si="28"/>
        <v>0</v>
      </c>
    </row>
    <row r="166" spans="1:36">
      <c r="A166" s="1522" t="s">
        <v>82</v>
      </c>
      <c r="B166" s="15">
        <f t="shared" si="27"/>
        <v>0</v>
      </c>
      <c r="C166" s="35"/>
      <c r="D166" s="39"/>
      <c r="E166" s="39"/>
      <c r="F166" s="39"/>
      <c r="G166" s="15"/>
      <c r="H166" s="15"/>
      <c r="I166" s="15"/>
      <c r="J166" s="15"/>
      <c r="K166" s="15"/>
      <c r="L166" s="15"/>
      <c r="M166" s="15"/>
      <c r="N166" s="15"/>
      <c r="O166" s="39"/>
      <c r="P166" s="15"/>
      <c r="Q166" s="15"/>
      <c r="R166" s="15"/>
      <c r="S166" s="15"/>
      <c r="T166" s="15"/>
      <c r="U166" s="15"/>
      <c r="V166" s="15"/>
      <c r="W166" s="15"/>
      <c r="X166" s="15"/>
      <c r="Y166" s="15"/>
      <c r="Z166" s="15"/>
      <c r="AA166" s="15"/>
      <c r="AB166" s="15"/>
      <c r="AC166" s="15"/>
      <c r="AD166" s="15"/>
      <c r="AE166" s="39"/>
      <c r="AF166" s="15"/>
      <c r="AG166" s="39"/>
      <c r="AH166" s="39">
        <f t="shared" si="28"/>
        <v>0</v>
      </c>
    </row>
    <row r="167" spans="1:36">
      <c r="A167" s="1522" t="s">
        <v>83</v>
      </c>
      <c r="B167" s="15">
        <f t="shared" si="27"/>
        <v>0</v>
      </c>
      <c r="C167" s="3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39"/>
      <c r="AF167" s="15"/>
      <c r="AG167" s="39"/>
      <c r="AH167" s="39">
        <f t="shared" si="28"/>
        <v>0</v>
      </c>
    </row>
    <row r="168" spans="1:36">
      <c r="A168" s="1522" t="s">
        <v>84</v>
      </c>
      <c r="B168" s="15">
        <f t="shared" si="27"/>
        <v>0</v>
      </c>
      <c r="C168" s="3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39"/>
      <c r="AF168" s="15"/>
      <c r="AG168" s="39"/>
      <c r="AH168" s="39">
        <f t="shared" si="28"/>
        <v>0</v>
      </c>
    </row>
    <row r="169" spans="1:36">
      <c r="A169" s="71" t="s">
        <v>72</v>
      </c>
      <c r="B169" s="72">
        <f>SUM(B157:B168)</f>
        <v>0</v>
      </c>
      <c r="C169" s="32">
        <f>SUM(C157:C167)</f>
        <v>0</v>
      </c>
      <c r="D169" s="39">
        <f>SUM(D157:D167)</f>
        <v>0</v>
      </c>
      <c r="E169" s="39">
        <v>0</v>
      </c>
      <c r="F169" s="39">
        <f t="shared" ref="F169:AC169" si="29">SUM(F157:F167)</f>
        <v>0</v>
      </c>
      <c r="G169" s="39">
        <f t="shared" si="29"/>
        <v>0</v>
      </c>
      <c r="H169" s="39">
        <f t="shared" si="29"/>
        <v>0</v>
      </c>
      <c r="I169" s="39">
        <f t="shared" si="29"/>
        <v>0</v>
      </c>
      <c r="J169" s="39">
        <f t="shared" si="29"/>
        <v>0</v>
      </c>
      <c r="K169" s="39">
        <f t="shared" si="29"/>
        <v>0</v>
      </c>
      <c r="L169" s="39">
        <f t="shared" si="29"/>
        <v>0</v>
      </c>
      <c r="M169" s="39">
        <f t="shared" si="29"/>
        <v>0</v>
      </c>
      <c r="N169" s="39">
        <f t="shared" si="29"/>
        <v>0</v>
      </c>
      <c r="O169" s="39">
        <f t="shared" si="29"/>
        <v>0</v>
      </c>
      <c r="P169" s="39">
        <f t="shared" si="29"/>
        <v>0</v>
      </c>
      <c r="Q169" s="39">
        <f t="shared" si="29"/>
        <v>0</v>
      </c>
      <c r="R169" s="39">
        <f t="shared" si="29"/>
        <v>0</v>
      </c>
      <c r="S169" s="39">
        <f t="shared" si="29"/>
        <v>0</v>
      </c>
      <c r="T169" s="39">
        <f t="shared" si="29"/>
        <v>0</v>
      </c>
      <c r="U169" s="39">
        <f t="shared" si="29"/>
        <v>0</v>
      </c>
      <c r="V169" s="39">
        <f t="shared" si="29"/>
        <v>0</v>
      </c>
      <c r="W169" s="39">
        <f t="shared" si="29"/>
        <v>0</v>
      </c>
      <c r="X169" s="39">
        <f t="shared" si="29"/>
        <v>0</v>
      </c>
      <c r="Y169" s="39">
        <f t="shared" si="29"/>
        <v>0</v>
      </c>
      <c r="Z169" s="39">
        <f t="shared" si="29"/>
        <v>0</v>
      </c>
      <c r="AA169" s="39">
        <f t="shared" si="29"/>
        <v>0</v>
      </c>
      <c r="AB169" s="39">
        <f t="shared" si="29"/>
        <v>0</v>
      </c>
      <c r="AC169" s="39">
        <f t="shared" si="29"/>
        <v>0</v>
      </c>
      <c r="AD169" s="39">
        <v>0</v>
      </c>
      <c r="AE169" s="39">
        <f>SUM(AE157:AE167)</f>
        <v>0</v>
      </c>
      <c r="AF169" s="39">
        <f>SUM(AF157:AF167)</f>
        <v>0</v>
      </c>
      <c r="AG169" s="39">
        <f>SUM(AG157:AG167)</f>
        <v>0</v>
      </c>
      <c r="AH169" s="32">
        <f>SUM(AH157:AH167)</f>
        <v>0</v>
      </c>
    </row>
    <row r="170" spans="1:36" ht="5.0999999999999996" customHeight="1">
      <c r="A170" s="36"/>
      <c r="B170" s="37"/>
      <c r="C170" s="13"/>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13"/>
    </row>
    <row r="171" spans="1:36">
      <c r="A171" s="3872" t="s">
        <v>101</v>
      </c>
      <c r="B171" s="3873"/>
      <c r="C171" s="3873"/>
      <c r="D171" s="3873"/>
      <c r="E171" s="3873"/>
      <c r="F171" s="3873"/>
      <c r="G171" s="3873"/>
      <c r="H171" s="3874"/>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row>
    <row r="172" spans="1:36">
      <c r="A172" s="5" t="s">
        <v>70</v>
      </c>
      <c r="B172" s="5" t="s">
        <v>71</v>
      </c>
      <c r="C172" s="98">
        <v>1</v>
      </c>
      <c r="D172" s="21">
        <v>2</v>
      </c>
      <c r="E172" s="21">
        <v>3</v>
      </c>
      <c r="F172" s="21">
        <v>4</v>
      </c>
      <c r="G172" s="21">
        <v>5</v>
      </c>
      <c r="H172" s="21">
        <v>6</v>
      </c>
      <c r="I172" s="21">
        <v>7</v>
      </c>
      <c r="J172" s="21">
        <v>8</v>
      </c>
      <c r="K172" s="21">
        <v>9</v>
      </c>
      <c r="L172" s="21">
        <v>10</v>
      </c>
      <c r="M172" s="21">
        <v>11</v>
      </c>
      <c r="N172" s="21">
        <v>12</v>
      </c>
      <c r="O172" s="21">
        <v>13</v>
      </c>
      <c r="P172" s="21">
        <v>14</v>
      </c>
      <c r="Q172" s="21">
        <v>15</v>
      </c>
      <c r="R172" s="21">
        <v>16</v>
      </c>
      <c r="S172" s="21">
        <v>17</v>
      </c>
      <c r="T172" s="21">
        <v>18</v>
      </c>
      <c r="U172" s="21">
        <v>19</v>
      </c>
      <c r="V172" s="21">
        <v>20</v>
      </c>
      <c r="W172" s="21">
        <v>21</v>
      </c>
      <c r="X172" s="21">
        <v>22</v>
      </c>
      <c r="Y172" s="21">
        <v>23</v>
      </c>
      <c r="Z172" s="21">
        <v>24</v>
      </c>
      <c r="AA172" s="21">
        <v>25</v>
      </c>
      <c r="AB172" s="21">
        <v>26</v>
      </c>
      <c r="AC172" s="21">
        <v>27</v>
      </c>
      <c r="AD172" s="21">
        <v>28</v>
      </c>
      <c r="AE172" s="21">
        <v>29</v>
      </c>
      <c r="AF172" s="21">
        <v>30</v>
      </c>
      <c r="AG172" s="21">
        <v>31</v>
      </c>
      <c r="AH172" s="25" t="s">
        <v>72</v>
      </c>
      <c r="AI172" s="2266" t="s">
        <v>1345</v>
      </c>
      <c r="AJ172" s="66" t="e">
        <f>(B185/COUNTIF($C$173:$AG$184,"&gt;0"))</f>
        <v>#DIV/0!</v>
      </c>
    </row>
    <row r="173" spans="1:36">
      <c r="A173" s="1607" t="s">
        <v>73</v>
      </c>
      <c r="B173" s="15">
        <f t="shared" ref="B173:B184" si="30">+AH173</f>
        <v>0</v>
      </c>
      <c r="C173" s="1091"/>
      <c r="D173" s="39"/>
      <c r="E173" s="39"/>
      <c r="F173" s="39"/>
      <c r="G173" s="15"/>
      <c r="H173" s="15"/>
      <c r="I173" s="15"/>
      <c r="J173" s="15"/>
      <c r="K173" s="15"/>
      <c r="L173" s="15"/>
      <c r="M173" s="15"/>
      <c r="N173" s="15"/>
      <c r="O173" s="15"/>
      <c r="P173" s="15"/>
      <c r="Q173" s="39"/>
      <c r="R173" s="15"/>
      <c r="S173" s="15"/>
      <c r="T173" s="15"/>
      <c r="U173" s="15"/>
      <c r="V173" s="39"/>
      <c r="W173" s="39"/>
      <c r="X173" s="15"/>
      <c r="Y173" s="15"/>
      <c r="Z173" s="15"/>
      <c r="AA173" s="15"/>
      <c r="AB173" s="15"/>
      <c r="AC173" s="15"/>
      <c r="AD173" s="39"/>
      <c r="AE173" s="15"/>
      <c r="AF173" s="15"/>
      <c r="AG173" s="15"/>
      <c r="AH173" s="39">
        <f>SUM(C173:AG173)</f>
        <v>0</v>
      </c>
    </row>
    <row r="174" spans="1:36">
      <c r="A174" s="1607" t="s">
        <v>74</v>
      </c>
      <c r="B174" s="15">
        <f t="shared" si="30"/>
        <v>0</v>
      </c>
      <c r="C174" s="1091"/>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39">
        <f t="shared" ref="AH174:AH184" si="31">SUM(C174:AG174)</f>
        <v>0</v>
      </c>
    </row>
    <row r="175" spans="1:36">
      <c r="A175" s="1607" t="s">
        <v>75</v>
      </c>
      <c r="B175" s="52">
        <f t="shared" si="30"/>
        <v>0</v>
      </c>
      <c r="C175" s="1268"/>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f t="shared" si="31"/>
        <v>0</v>
      </c>
    </row>
    <row r="176" spans="1:36">
      <c r="A176" s="1607" t="s">
        <v>76</v>
      </c>
      <c r="B176" s="52">
        <f t="shared" si="30"/>
        <v>0</v>
      </c>
      <c r="C176" s="1091"/>
      <c r="D176" s="39"/>
      <c r="E176" s="39"/>
      <c r="F176" s="39"/>
      <c r="G176" s="15"/>
      <c r="H176" s="15"/>
      <c r="I176" s="15"/>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f t="shared" si="31"/>
        <v>0</v>
      </c>
    </row>
    <row r="177" spans="1:36">
      <c r="A177" s="1607" t="s">
        <v>77</v>
      </c>
      <c r="B177" s="15">
        <f t="shared" si="30"/>
        <v>0</v>
      </c>
      <c r="C177" s="1091"/>
      <c r="D177" s="15"/>
      <c r="E177" s="15"/>
      <c r="F177" s="15"/>
      <c r="G177" s="15"/>
      <c r="H177" s="15"/>
      <c r="I177" s="15"/>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f t="shared" si="31"/>
        <v>0</v>
      </c>
    </row>
    <row r="178" spans="1:36">
      <c r="A178" s="1607" t="s">
        <v>78</v>
      </c>
      <c r="B178" s="15">
        <f t="shared" si="30"/>
        <v>0</v>
      </c>
      <c r="C178" s="1268"/>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f t="shared" si="31"/>
        <v>0</v>
      </c>
    </row>
    <row r="179" spans="1:36">
      <c r="A179" s="1607" t="s">
        <v>79</v>
      </c>
      <c r="B179" s="15">
        <f t="shared" si="30"/>
        <v>0</v>
      </c>
      <c r="C179" s="1091"/>
      <c r="D179" s="39"/>
      <c r="E179" s="39"/>
      <c r="F179" s="39"/>
      <c r="G179" s="15"/>
      <c r="H179" s="15"/>
      <c r="I179" s="15"/>
      <c r="J179" s="43"/>
      <c r="K179" s="43"/>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f t="shared" si="31"/>
        <v>0</v>
      </c>
    </row>
    <row r="180" spans="1:36">
      <c r="A180" s="1607" t="s">
        <v>80</v>
      </c>
      <c r="B180" s="15">
        <f t="shared" si="30"/>
        <v>0</v>
      </c>
      <c r="C180" s="1091"/>
      <c r="D180" s="15"/>
      <c r="E180" s="15"/>
      <c r="F180" s="15"/>
      <c r="G180" s="15"/>
      <c r="H180" s="15"/>
      <c r="I180" s="15"/>
      <c r="J180" s="43"/>
      <c r="K180" s="43"/>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f t="shared" si="31"/>
        <v>0</v>
      </c>
    </row>
    <row r="181" spans="1:36">
      <c r="A181" s="1607" t="s">
        <v>81</v>
      </c>
      <c r="B181" s="15">
        <f t="shared" si="30"/>
        <v>0</v>
      </c>
      <c r="C181" s="1268"/>
      <c r="D181" s="39"/>
      <c r="E181" s="39"/>
      <c r="F181" s="39"/>
      <c r="G181" s="39"/>
      <c r="H181" s="39"/>
      <c r="I181" s="39"/>
      <c r="J181" s="43"/>
      <c r="K181" s="43"/>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39">
        <f t="shared" si="31"/>
        <v>0</v>
      </c>
    </row>
    <row r="182" spans="1:36">
      <c r="A182" s="1522" t="s">
        <v>82</v>
      </c>
      <c r="B182" s="15">
        <f t="shared" si="30"/>
        <v>0</v>
      </c>
      <c r="C182" s="1091"/>
      <c r="D182" s="39"/>
      <c r="E182" s="39"/>
      <c r="F182" s="39"/>
      <c r="G182" s="15"/>
      <c r="H182" s="15"/>
      <c r="I182" s="15"/>
      <c r="J182" s="15"/>
      <c r="K182" s="15"/>
      <c r="L182" s="15"/>
      <c r="M182" s="15"/>
      <c r="N182" s="15"/>
      <c r="O182" s="39"/>
      <c r="P182" s="15"/>
      <c r="Q182" s="15"/>
      <c r="R182" s="15"/>
      <c r="S182" s="15"/>
      <c r="T182" s="15"/>
      <c r="U182" s="15"/>
      <c r="V182" s="15"/>
      <c r="W182" s="15"/>
      <c r="X182" s="15"/>
      <c r="Y182" s="15"/>
      <c r="Z182" s="15"/>
      <c r="AA182" s="15"/>
      <c r="AB182" s="15"/>
      <c r="AC182" s="15"/>
      <c r="AD182" s="15"/>
      <c r="AE182" s="39"/>
      <c r="AF182" s="15"/>
      <c r="AG182" s="39"/>
      <c r="AH182" s="39">
        <f t="shared" si="31"/>
        <v>0</v>
      </c>
    </row>
    <row r="183" spans="1:36">
      <c r="A183" s="1522" t="s">
        <v>83</v>
      </c>
      <c r="B183" s="15">
        <f t="shared" si="30"/>
        <v>0</v>
      </c>
      <c r="C183" s="1091"/>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39"/>
      <c r="AF183" s="15"/>
      <c r="AG183" s="39"/>
      <c r="AH183" s="39">
        <f t="shared" si="31"/>
        <v>0</v>
      </c>
    </row>
    <row r="184" spans="1:36">
      <c r="A184" s="1522" t="s">
        <v>84</v>
      </c>
      <c r="B184" s="15">
        <f t="shared" si="30"/>
        <v>0</v>
      </c>
      <c r="C184" s="1091"/>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39"/>
      <c r="AF184" s="15"/>
      <c r="AG184" s="39"/>
      <c r="AH184" s="39">
        <f t="shared" si="31"/>
        <v>0</v>
      </c>
    </row>
    <row r="185" spans="1:36">
      <c r="A185" s="71" t="s">
        <v>72</v>
      </c>
      <c r="B185" s="75">
        <f>SUM(B173:B184)</f>
        <v>0</v>
      </c>
      <c r="C185" s="32">
        <f>SUM(C173:C183)</f>
        <v>0</v>
      </c>
      <c r="D185" s="39">
        <f>SUM(D173:D183)</f>
        <v>0</v>
      </c>
      <c r="E185" s="39">
        <v>0</v>
      </c>
      <c r="F185" s="39">
        <f t="shared" ref="F185:AC185" si="32">SUM(F173:F183)</f>
        <v>0</v>
      </c>
      <c r="G185" s="39">
        <f t="shared" si="32"/>
        <v>0</v>
      </c>
      <c r="H185" s="39">
        <f t="shared" si="32"/>
        <v>0</v>
      </c>
      <c r="I185" s="39">
        <f t="shared" si="32"/>
        <v>0</v>
      </c>
      <c r="J185" s="39">
        <f t="shared" si="32"/>
        <v>0</v>
      </c>
      <c r="K185" s="39">
        <f t="shared" si="32"/>
        <v>0</v>
      </c>
      <c r="L185" s="39">
        <f t="shared" si="32"/>
        <v>0</v>
      </c>
      <c r="M185" s="39">
        <f t="shared" si="32"/>
        <v>0</v>
      </c>
      <c r="N185" s="39">
        <f t="shared" si="32"/>
        <v>0</v>
      </c>
      <c r="O185" s="39">
        <f t="shared" si="32"/>
        <v>0</v>
      </c>
      <c r="P185" s="39">
        <f t="shared" si="32"/>
        <v>0</v>
      </c>
      <c r="Q185" s="39">
        <f t="shared" si="32"/>
        <v>0</v>
      </c>
      <c r="R185" s="39">
        <f t="shared" si="32"/>
        <v>0</v>
      </c>
      <c r="S185" s="39">
        <f t="shared" si="32"/>
        <v>0</v>
      </c>
      <c r="T185" s="39">
        <f t="shared" si="32"/>
        <v>0</v>
      </c>
      <c r="U185" s="39">
        <f t="shared" si="32"/>
        <v>0</v>
      </c>
      <c r="V185" s="39">
        <f t="shared" si="32"/>
        <v>0</v>
      </c>
      <c r="W185" s="39">
        <f t="shared" si="32"/>
        <v>0</v>
      </c>
      <c r="X185" s="39">
        <f t="shared" si="32"/>
        <v>0</v>
      </c>
      <c r="Y185" s="39">
        <f t="shared" si="32"/>
        <v>0</v>
      </c>
      <c r="Z185" s="39">
        <f t="shared" si="32"/>
        <v>0</v>
      </c>
      <c r="AA185" s="39">
        <f t="shared" si="32"/>
        <v>0</v>
      </c>
      <c r="AB185" s="39">
        <f t="shared" si="32"/>
        <v>0</v>
      </c>
      <c r="AC185" s="39">
        <f t="shared" si="32"/>
        <v>0</v>
      </c>
      <c r="AD185" s="39">
        <v>0</v>
      </c>
      <c r="AE185" s="39">
        <f>SUM(AE173:AE183)</f>
        <v>0</v>
      </c>
      <c r="AF185" s="39">
        <f>SUM(AF173:AF183)</f>
        <v>0</v>
      </c>
      <c r="AG185" s="39">
        <f>SUM(AG173:AG183)</f>
        <v>0</v>
      </c>
      <c r="AH185" s="32">
        <f>SUM(AH173:AH183)</f>
        <v>0</v>
      </c>
    </row>
    <row r="186" spans="1:36" ht="5.0999999999999996" customHeight="1">
      <c r="A186" s="36"/>
      <c r="B186" s="44"/>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row>
    <row r="187" spans="1:36">
      <c r="A187" s="3872" t="s">
        <v>102</v>
      </c>
      <c r="B187" s="3873"/>
      <c r="C187" s="3873"/>
      <c r="D187" s="3873"/>
      <c r="E187" s="3873"/>
      <c r="F187" s="3873"/>
      <c r="G187" s="3873"/>
      <c r="H187" s="3874"/>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row>
    <row r="188" spans="1:36">
      <c r="A188" s="5" t="s">
        <v>89</v>
      </c>
      <c r="B188" s="5" t="s">
        <v>71</v>
      </c>
      <c r="C188" s="98">
        <v>1</v>
      </c>
      <c r="D188" s="21">
        <v>2</v>
      </c>
      <c r="E188" s="21">
        <v>3</v>
      </c>
      <c r="F188" s="21">
        <v>4</v>
      </c>
      <c r="G188" s="21">
        <v>5</v>
      </c>
      <c r="H188" s="21">
        <v>6</v>
      </c>
      <c r="I188" s="21">
        <v>7</v>
      </c>
      <c r="J188" s="21">
        <v>8</v>
      </c>
      <c r="K188" s="21">
        <v>9</v>
      </c>
      <c r="L188" s="21">
        <v>10</v>
      </c>
      <c r="M188" s="21">
        <v>11</v>
      </c>
      <c r="N188" s="21">
        <v>12</v>
      </c>
      <c r="O188" s="21">
        <v>13</v>
      </c>
      <c r="P188" s="21">
        <v>14</v>
      </c>
      <c r="Q188" s="21">
        <v>15</v>
      </c>
      <c r="R188" s="21">
        <v>16</v>
      </c>
      <c r="S188" s="21">
        <v>17</v>
      </c>
      <c r="T188" s="21">
        <v>18</v>
      </c>
      <c r="U188" s="21">
        <v>19</v>
      </c>
      <c r="V188" s="21">
        <v>20</v>
      </c>
      <c r="W188" s="21">
        <v>21</v>
      </c>
      <c r="X188" s="21">
        <v>22</v>
      </c>
      <c r="Y188" s="21">
        <v>23</v>
      </c>
      <c r="Z188" s="21">
        <v>24</v>
      </c>
      <c r="AA188" s="21">
        <v>25</v>
      </c>
      <c r="AB188" s="21">
        <v>26</v>
      </c>
      <c r="AC188" s="21">
        <v>27</v>
      </c>
      <c r="AD188" s="21">
        <v>28</v>
      </c>
      <c r="AE188" s="21">
        <v>29</v>
      </c>
      <c r="AF188" s="21">
        <v>30</v>
      </c>
      <c r="AG188" s="21">
        <v>31</v>
      </c>
      <c r="AH188" s="25" t="s">
        <v>72</v>
      </c>
      <c r="AI188" s="2266" t="s">
        <v>1345</v>
      </c>
      <c r="AJ188" s="66" t="e">
        <f>(B201/COUNTIF($C$189:$AG$200,"&gt;0"))</f>
        <v>#DIV/0!</v>
      </c>
    </row>
    <row r="189" spans="1:36">
      <c r="A189" s="1607" t="s">
        <v>73</v>
      </c>
      <c r="B189" s="15">
        <f t="shared" ref="B189:B200" si="33">+AH189</f>
        <v>0</v>
      </c>
      <c r="C189" s="35"/>
      <c r="D189" s="39"/>
      <c r="E189" s="39"/>
      <c r="F189" s="39"/>
      <c r="G189" s="15"/>
      <c r="H189" s="15"/>
      <c r="I189" s="15"/>
      <c r="J189" s="15"/>
      <c r="K189" s="15"/>
      <c r="L189" s="15"/>
      <c r="M189" s="15"/>
      <c r="N189" s="15"/>
      <c r="O189" s="15"/>
      <c r="P189" s="15"/>
      <c r="Q189" s="39"/>
      <c r="R189" s="15"/>
      <c r="S189" s="15"/>
      <c r="T189" s="15"/>
      <c r="U189" s="15"/>
      <c r="V189" s="39"/>
      <c r="W189" s="39"/>
      <c r="X189" s="15"/>
      <c r="Y189" s="15"/>
      <c r="Z189" s="15"/>
      <c r="AA189" s="15"/>
      <c r="AB189" s="15"/>
      <c r="AC189" s="15"/>
      <c r="AD189" s="39"/>
      <c r="AE189" s="15"/>
      <c r="AF189" s="15"/>
      <c r="AG189" s="15"/>
      <c r="AH189" s="39">
        <f>SUM(C189:AG189)</f>
        <v>0</v>
      </c>
    </row>
    <row r="190" spans="1:36">
      <c r="A190" s="1607" t="s">
        <v>74</v>
      </c>
      <c r="B190" s="15">
        <f t="shared" si="33"/>
        <v>0</v>
      </c>
      <c r="C190" s="3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39">
        <f t="shared" ref="AH190:AH200" si="34">SUM(C190:AG190)</f>
        <v>0</v>
      </c>
    </row>
    <row r="191" spans="1:36">
      <c r="A191" s="1607" t="s">
        <v>75</v>
      </c>
      <c r="B191" s="15">
        <f t="shared" si="33"/>
        <v>0</v>
      </c>
      <c r="C191" s="1268"/>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f t="shared" si="34"/>
        <v>0</v>
      </c>
    </row>
    <row r="192" spans="1:36">
      <c r="A192" s="1607" t="s">
        <v>76</v>
      </c>
      <c r="B192" s="15">
        <f t="shared" si="33"/>
        <v>0</v>
      </c>
      <c r="C192" s="1091"/>
      <c r="D192" s="39"/>
      <c r="E192" s="39"/>
      <c r="F192" s="39"/>
      <c r="G192" s="15"/>
      <c r="H192" s="15"/>
      <c r="I192" s="15"/>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f t="shared" si="34"/>
        <v>0</v>
      </c>
    </row>
    <row r="193" spans="1:36">
      <c r="A193" s="1607" t="s">
        <v>77</v>
      </c>
      <c r="B193" s="15">
        <f t="shared" si="33"/>
        <v>0</v>
      </c>
      <c r="C193" s="1091"/>
      <c r="D193" s="15"/>
      <c r="E193" s="15"/>
      <c r="F193" s="15"/>
      <c r="G193" s="15"/>
      <c r="H193" s="15"/>
      <c r="I193" s="15"/>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f t="shared" si="34"/>
        <v>0</v>
      </c>
    </row>
    <row r="194" spans="1:36">
      <c r="A194" s="1607" t="s">
        <v>78</v>
      </c>
      <c r="B194" s="15">
        <f t="shared" si="33"/>
        <v>0</v>
      </c>
      <c r="C194" s="1268"/>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f t="shared" si="34"/>
        <v>0</v>
      </c>
    </row>
    <row r="195" spans="1:36">
      <c r="A195" s="1607" t="s">
        <v>79</v>
      </c>
      <c r="B195" s="15">
        <f t="shared" si="33"/>
        <v>0</v>
      </c>
      <c r="C195" s="1091"/>
      <c r="D195" s="39"/>
      <c r="E195" s="39"/>
      <c r="F195" s="39"/>
      <c r="G195" s="15"/>
      <c r="H195" s="15"/>
      <c r="I195" s="15"/>
      <c r="J195" s="43"/>
      <c r="K195" s="43"/>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f t="shared" si="34"/>
        <v>0</v>
      </c>
    </row>
    <row r="196" spans="1:36">
      <c r="A196" s="1607" t="s">
        <v>80</v>
      </c>
      <c r="B196" s="15">
        <f t="shared" si="33"/>
        <v>0</v>
      </c>
      <c r="C196" s="1091"/>
      <c r="D196" s="15"/>
      <c r="E196" s="15"/>
      <c r="F196" s="15"/>
      <c r="G196" s="15"/>
      <c r="H196" s="15"/>
      <c r="I196" s="15"/>
      <c r="J196" s="43"/>
      <c r="K196" s="43"/>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f t="shared" si="34"/>
        <v>0</v>
      </c>
    </row>
    <row r="197" spans="1:36">
      <c r="A197" s="1607" t="s">
        <v>81</v>
      </c>
      <c r="B197" s="15">
        <f t="shared" si="33"/>
        <v>0</v>
      </c>
      <c r="C197" s="1268"/>
      <c r="D197" s="39"/>
      <c r="E197" s="39"/>
      <c r="F197" s="39"/>
      <c r="G197" s="39"/>
      <c r="H197" s="39"/>
      <c r="I197" s="39"/>
      <c r="J197" s="43"/>
      <c r="K197" s="43"/>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39">
        <f t="shared" si="34"/>
        <v>0</v>
      </c>
    </row>
    <row r="198" spans="1:36">
      <c r="A198" s="1522" t="s">
        <v>82</v>
      </c>
      <c r="B198" s="15">
        <f t="shared" si="33"/>
        <v>0</v>
      </c>
      <c r="C198" s="35"/>
      <c r="D198" s="39"/>
      <c r="E198" s="39"/>
      <c r="F198" s="39"/>
      <c r="G198" s="15"/>
      <c r="H198" s="15"/>
      <c r="I198" s="15"/>
      <c r="J198" s="15"/>
      <c r="K198" s="15"/>
      <c r="L198" s="15"/>
      <c r="M198" s="15"/>
      <c r="N198" s="15"/>
      <c r="O198" s="39"/>
      <c r="P198" s="15"/>
      <c r="Q198" s="15"/>
      <c r="R198" s="15"/>
      <c r="S198" s="15"/>
      <c r="T198" s="15"/>
      <c r="U198" s="15"/>
      <c r="V198" s="15"/>
      <c r="W198" s="15"/>
      <c r="X198" s="15"/>
      <c r="Y198" s="15"/>
      <c r="Z198" s="15"/>
      <c r="AA198" s="15"/>
      <c r="AB198" s="15"/>
      <c r="AC198" s="15"/>
      <c r="AD198" s="15"/>
      <c r="AE198" s="39"/>
      <c r="AF198" s="15"/>
      <c r="AG198" s="39"/>
      <c r="AH198" s="39">
        <f t="shared" si="34"/>
        <v>0</v>
      </c>
    </row>
    <row r="199" spans="1:36">
      <c r="A199" s="1522" t="s">
        <v>83</v>
      </c>
      <c r="B199" s="15">
        <f t="shared" si="33"/>
        <v>0</v>
      </c>
      <c r="C199" s="3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39"/>
      <c r="AF199" s="15"/>
      <c r="AG199" s="39"/>
      <c r="AH199" s="39">
        <f t="shared" si="34"/>
        <v>0</v>
      </c>
    </row>
    <row r="200" spans="1:36">
      <c r="A200" s="1522" t="s">
        <v>84</v>
      </c>
      <c r="B200" s="15">
        <f t="shared" si="33"/>
        <v>0</v>
      </c>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39"/>
      <c r="AF200" s="15"/>
      <c r="AG200" s="39"/>
      <c r="AH200" s="39">
        <f t="shared" si="34"/>
        <v>0</v>
      </c>
    </row>
    <row r="201" spans="1:36">
      <c r="A201" s="71" t="s">
        <v>72</v>
      </c>
      <c r="B201" s="72">
        <f>SUM(B189:B200)</f>
        <v>0</v>
      </c>
      <c r="C201" s="32">
        <f>SUM(C189:C199)</f>
        <v>0</v>
      </c>
      <c r="D201" s="39">
        <f>SUM(D189:D199)</f>
        <v>0</v>
      </c>
      <c r="E201" s="39">
        <v>0</v>
      </c>
      <c r="F201" s="39">
        <f t="shared" ref="F201:AC201" si="35">SUM(F189:F199)</f>
        <v>0</v>
      </c>
      <c r="G201" s="39">
        <f t="shared" si="35"/>
        <v>0</v>
      </c>
      <c r="H201" s="39">
        <f t="shared" si="35"/>
        <v>0</v>
      </c>
      <c r="I201" s="39">
        <f t="shared" si="35"/>
        <v>0</v>
      </c>
      <c r="J201" s="39">
        <f t="shared" si="35"/>
        <v>0</v>
      </c>
      <c r="K201" s="39">
        <f t="shared" si="35"/>
        <v>0</v>
      </c>
      <c r="L201" s="39">
        <f t="shared" si="35"/>
        <v>0</v>
      </c>
      <c r="M201" s="39">
        <f t="shared" si="35"/>
        <v>0</v>
      </c>
      <c r="N201" s="39">
        <f t="shared" si="35"/>
        <v>0</v>
      </c>
      <c r="O201" s="39">
        <f t="shared" si="35"/>
        <v>0</v>
      </c>
      <c r="P201" s="39">
        <f t="shared" si="35"/>
        <v>0</v>
      </c>
      <c r="Q201" s="39">
        <f t="shared" si="35"/>
        <v>0</v>
      </c>
      <c r="R201" s="39">
        <f t="shared" si="35"/>
        <v>0</v>
      </c>
      <c r="S201" s="39">
        <f t="shared" si="35"/>
        <v>0</v>
      </c>
      <c r="T201" s="39">
        <f t="shared" si="35"/>
        <v>0</v>
      </c>
      <c r="U201" s="39">
        <f t="shared" si="35"/>
        <v>0</v>
      </c>
      <c r="V201" s="39">
        <f t="shared" si="35"/>
        <v>0</v>
      </c>
      <c r="W201" s="39">
        <f t="shared" si="35"/>
        <v>0</v>
      </c>
      <c r="X201" s="39">
        <f t="shared" si="35"/>
        <v>0</v>
      </c>
      <c r="Y201" s="39">
        <f t="shared" si="35"/>
        <v>0</v>
      </c>
      <c r="Z201" s="39">
        <f t="shared" si="35"/>
        <v>0</v>
      </c>
      <c r="AA201" s="39">
        <f t="shared" si="35"/>
        <v>0</v>
      </c>
      <c r="AB201" s="39">
        <f t="shared" si="35"/>
        <v>0</v>
      </c>
      <c r="AC201" s="39">
        <f t="shared" si="35"/>
        <v>0</v>
      </c>
      <c r="AD201" s="39">
        <v>0</v>
      </c>
      <c r="AE201" s="39">
        <f>SUM(AE189:AE199)</f>
        <v>0</v>
      </c>
      <c r="AF201" s="39">
        <f>SUM(AF189:AF199)</f>
        <v>0</v>
      </c>
      <c r="AG201" s="39">
        <f>SUM(AG189:AG199)</f>
        <v>0</v>
      </c>
      <c r="AH201" s="32">
        <f>SUM(AH189:AH199)</f>
        <v>0</v>
      </c>
    </row>
    <row r="202" spans="1:36" ht="5.0999999999999996" customHeight="1">
      <c r="A202" s="14"/>
      <c r="B202" s="14"/>
      <c r="C202" s="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
    </row>
    <row r="203" spans="1:36">
      <c r="A203" s="3872" t="s">
        <v>103</v>
      </c>
      <c r="B203" s="3873"/>
      <c r="C203" s="3873"/>
      <c r="D203" s="3873"/>
      <c r="E203" s="3873"/>
      <c r="F203" s="3873"/>
      <c r="G203" s="3873"/>
      <c r="H203" s="3874"/>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row>
    <row r="204" spans="1:36">
      <c r="A204" s="5" t="s">
        <v>70</v>
      </c>
      <c r="B204" s="5" t="s">
        <v>71</v>
      </c>
      <c r="C204" s="98">
        <v>1</v>
      </c>
      <c r="D204" s="21">
        <v>2</v>
      </c>
      <c r="E204" s="21">
        <v>3</v>
      </c>
      <c r="F204" s="21">
        <v>4</v>
      </c>
      <c r="G204" s="21">
        <v>5</v>
      </c>
      <c r="H204" s="21">
        <v>6</v>
      </c>
      <c r="I204" s="21">
        <v>7</v>
      </c>
      <c r="J204" s="21">
        <v>8</v>
      </c>
      <c r="K204" s="21">
        <v>9</v>
      </c>
      <c r="L204" s="21">
        <v>10</v>
      </c>
      <c r="M204" s="21">
        <v>11</v>
      </c>
      <c r="N204" s="21">
        <v>12</v>
      </c>
      <c r="O204" s="21">
        <v>13</v>
      </c>
      <c r="P204" s="21">
        <v>14</v>
      </c>
      <c r="Q204" s="21">
        <v>15</v>
      </c>
      <c r="R204" s="21">
        <v>16</v>
      </c>
      <c r="S204" s="21">
        <v>17</v>
      </c>
      <c r="T204" s="21">
        <v>18</v>
      </c>
      <c r="U204" s="21">
        <v>19</v>
      </c>
      <c r="V204" s="21">
        <v>20</v>
      </c>
      <c r="W204" s="21">
        <v>21</v>
      </c>
      <c r="X204" s="21">
        <v>22</v>
      </c>
      <c r="Y204" s="21">
        <v>23</v>
      </c>
      <c r="Z204" s="21">
        <v>24</v>
      </c>
      <c r="AA204" s="21">
        <v>25</v>
      </c>
      <c r="AB204" s="21">
        <v>26</v>
      </c>
      <c r="AC204" s="21">
        <v>27</v>
      </c>
      <c r="AD204" s="21">
        <v>28</v>
      </c>
      <c r="AE204" s="21">
        <v>29</v>
      </c>
      <c r="AF204" s="21">
        <v>30</v>
      </c>
      <c r="AG204" s="21">
        <v>31</v>
      </c>
      <c r="AH204" s="25" t="s">
        <v>72</v>
      </c>
      <c r="AI204" s="2266" t="s">
        <v>1345</v>
      </c>
      <c r="AJ204" s="66" t="e">
        <f>(B217/COUNTIF($C$205:$AG$216,"&gt;0"))</f>
        <v>#DIV/0!</v>
      </c>
    </row>
    <row r="205" spans="1:36">
      <c r="A205" s="1607" t="s">
        <v>73</v>
      </c>
      <c r="B205" s="15">
        <f t="shared" ref="B205:B216" si="36">+AH205</f>
        <v>0</v>
      </c>
      <c r="C205" s="35"/>
      <c r="D205" s="39"/>
      <c r="E205" s="39"/>
      <c r="F205" s="39"/>
      <c r="G205" s="15"/>
      <c r="H205" s="15"/>
      <c r="I205" s="15"/>
      <c r="J205" s="15"/>
      <c r="K205" s="15"/>
      <c r="L205" s="15"/>
      <c r="M205" s="15"/>
      <c r="N205" s="15"/>
      <c r="O205" s="15"/>
      <c r="P205" s="15"/>
      <c r="Q205" s="39"/>
      <c r="R205" s="15"/>
      <c r="S205" s="15"/>
      <c r="T205" s="15"/>
      <c r="U205" s="15"/>
      <c r="V205" s="39"/>
      <c r="W205" s="39"/>
      <c r="X205" s="15"/>
      <c r="Y205" s="15"/>
      <c r="Z205" s="15"/>
      <c r="AA205" s="15"/>
      <c r="AB205" s="15"/>
      <c r="AC205" s="15"/>
      <c r="AD205" s="39"/>
      <c r="AE205" s="15"/>
      <c r="AF205" s="15"/>
      <c r="AG205" s="15"/>
      <c r="AH205" s="39">
        <f>SUM(C205:AG205)</f>
        <v>0</v>
      </c>
    </row>
    <row r="206" spans="1:36" s="67" customFormat="1">
      <c r="A206" s="1607" t="s">
        <v>74</v>
      </c>
      <c r="B206" s="15">
        <f t="shared" si="36"/>
        <v>0</v>
      </c>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39">
        <f t="shared" ref="AH206:AH216" si="37">SUM(C206:AG206)</f>
        <v>0</v>
      </c>
    </row>
    <row r="207" spans="1:36">
      <c r="A207" s="1607" t="s">
        <v>75</v>
      </c>
      <c r="B207" s="15">
        <f t="shared" si="36"/>
        <v>0</v>
      </c>
      <c r="C207" s="32"/>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f t="shared" si="37"/>
        <v>0</v>
      </c>
    </row>
    <row r="208" spans="1:36">
      <c r="A208" s="1607" t="s">
        <v>76</v>
      </c>
      <c r="B208" s="15">
        <f t="shared" si="36"/>
        <v>0</v>
      </c>
      <c r="C208" s="35"/>
      <c r="D208" s="39"/>
      <c r="E208" s="39"/>
      <c r="F208" s="39"/>
      <c r="G208" s="15"/>
      <c r="H208" s="15"/>
      <c r="I208" s="15"/>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f t="shared" si="37"/>
        <v>0</v>
      </c>
    </row>
    <row r="209" spans="1:36" s="67" customFormat="1">
      <c r="A209" s="1607" t="s">
        <v>77</v>
      </c>
      <c r="B209" s="15">
        <f t="shared" si="36"/>
        <v>0</v>
      </c>
      <c r="C209" s="15"/>
      <c r="D209" s="15"/>
      <c r="E209" s="15"/>
      <c r="F209" s="15"/>
      <c r="G209" s="15"/>
      <c r="H209" s="15"/>
      <c r="I209" s="15"/>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f t="shared" si="37"/>
        <v>0</v>
      </c>
    </row>
    <row r="210" spans="1:36">
      <c r="A210" s="1607" t="s">
        <v>78</v>
      </c>
      <c r="B210" s="15">
        <f t="shared" si="36"/>
        <v>0</v>
      </c>
      <c r="C210" s="32"/>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f t="shared" si="37"/>
        <v>0</v>
      </c>
    </row>
    <row r="211" spans="1:36">
      <c r="A211" s="1607" t="s">
        <v>79</v>
      </c>
      <c r="B211" s="15">
        <f t="shared" si="36"/>
        <v>0</v>
      </c>
      <c r="C211" s="35"/>
      <c r="D211" s="39"/>
      <c r="E211" s="39"/>
      <c r="F211" s="39"/>
      <c r="G211" s="15"/>
      <c r="H211" s="15"/>
      <c r="I211" s="15"/>
      <c r="J211" s="43"/>
      <c r="K211" s="43"/>
      <c r="L211" s="39"/>
      <c r="M211" s="39"/>
      <c r="N211" s="15"/>
      <c r="O211" s="15"/>
      <c r="P211" s="15"/>
      <c r="Q211" s="39"/>
      <c r="R211" s="39"/>
      <c r="S211" s="39"/>
      <c r="T211" s="39"/>
      <c r="U211" s="39"/>
      <c r="V211" s="39"/>
      <c r="W211" s="39"/>
      <c r="X211" s="39"/>
      <c r="Y211" s="39"/>
      <c r="Z211" s="39"/>
      <c r="AA211" s="39"/>
      <c r="AB211" s="39"/>
      <c r="AC211" s="39"/>
      <c r="AD211" s="39"/>
      <c r="AE211" s="39"/>
      <c r="AF211" s="39"/>
      <c r="AG211" s="39"/>
      <c r="AH211" s="39">
        <f t="shared" si="37"/>
        <v>0</v>
      </c>
    </row>
    <row r="212" spans="1:36" s="67" customFormat="1">
      <c r="A212" s="1607" t="s">
        <v>80</v>
      </c>
      <c r="B212" s="15">
        <f t="shared" si="36"/>
        <v>0</v>
      </c>
      <c r="C212" s="15"/>
      <c r="D212" s="15"/>
      <c r="E212" s="15"/>
      <c r="F212" s="15"/>
      <c r="G212" s="15"/>
      <c r="H212" s="15"/>
      <c r="I212" s="15"/>
      <c r="J212" s="64"/>
      <c r="K212" s="64"/>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f t="shared" si="37"/>
        <v>0</v>
      </c>
    </row>
    <row r="213" spans="1:36">
      <c r="A213" s="1607" t="s">
        <v>81</v>
      </c>
      <c r="B213" s="15">
        <f t="shared" si="36"/>
        <v>0</v>
      </c>
      <c r="C213" s="32"/>
      <c r="D213" s="39"/>
      <c r="E213" s="39"/>
      <c r="F213" s="39"/>
      <c r="G213" s="39"/>
      <c r="H213" s="39"/>
      <c r="I213" s="39"/>
      <c r="J213" s="43"/>
      <c r="K213" s="43"/>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39">
        <f t="shared" si="37"/>
        <v>0</v>
      </c>
    </row>
    <row r="214" spans="1:36">
      <c r="A214" s="1522" t="s">
        <v>82</v>
      </c>
      <c r="B214" s="15">
        <f t="shared" si="36"/>
        <v>0</v>
      </c>
      <c r="C214" s="35"/>
      <c r="D214" s="39"/>
      <c r="E214" s="39"/>
      <c r="F214" s="39"/>
      <c r="G214" s="15"/>
      <c r="H214" s="15"/>
      <c r="I214" s="15"/>
      <c r="J214" s="15"/>
      <c r="K214" s="15"/>
      <c r="L214" s="15"/>
      <c r="M214" s="15"/>
      <c r="N214" s="15"/>
      <c r="O214" s="39"/>
      <c r="P214" s="15"/>
      <c r="Q214" s="15"/>
      <c r="R214" s="15"/>
      <c r="S214" s="15"/>
      <c r="T214" s="15"/>
      <c r="U214" s="15"/>
      <c r="V214" s="15"/>
      <c r="W214" s="15"/>
      <c r="X214" s="15"/>
      <c r="Y214" s="15"/>
      <c r="Z214" s="15"/>
      <c r="AA214" s="15"/>
      <c r="AB214" s="15"/>
      <c r="AC214" s="15"/>
      <c r="AD214" s="15"/>
      <c r="AE214" s="39"/>
      <c r="AF214" s="15"/>
      <c r="AG214" s="39"/>
      <c r="AH214" s="39">
        <f t="shared" si="37"/>
        <v>0</v>
      </c>
    </row>
    <row r="215" spans="1:36">
      <c r="A215" s="1522" t="s">
        <v>83</v>
      </c>
      <c r="B215" s="15">
        <f t="shared" si="36"/>
        <v>0</v>
      </c>
      <c r="C215" s="3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39"/>
      <c r="AF215" s="15"/>
      <c r="AG215" s="39"/>
      <c r="AH215" s="39">
        <f t="shared" si="37"/>
        <v>0</v>
      </c>
    </row>
    <row r="216" spans="1:36">
      <c r="A216" s="1522" t="s">
        <v>84</v>
      </c>
      <c r="B216" s="15">
        <f t="shared" si="36"/>
        <v>0</v>
      </c>
      <c r="C216" s="3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39"/>
      <c r="AF216" s="15"/>
      <c r="AG216" s="39"/>
      <c r="AH216" s="39">
        <f t="shared" si="37"/>
        <v>0</v>
      </c>
    </row>
    <row r="217" spans="1:36">
      <c r="A217" s="71" t="s">
        <v>72</v>
      </c>
      <c r="B217" s="72">
        <f>SUM(B205:B216)</f>
        <v>0</v>
      </c>
      <c r="C217" s="32">
        <f>SUM(C205:C215)</f>
        <v>0</v>
      </c>
      <c r="D217" s="39">
        <f>SUM(D205:D215)</f>
        <v>0</v>
      </c>
      <c r="E217" s="39">
        <v>0</v>
      </c>
      <c r="F217" s="39">
        <f t="shared" ref="F217:AC217" si="38">SUM(F205:F215)</f>
        <v>0</v>
      </c>
      <c r="G217" s="39">
        <f t="shared" si="38"/>
        <v>0</v>
      </c>
      <c r="H217" s="39">
        <f t="shared" si="38"/>
        <v>0</v>
      </c>
      <c r="I217" s="39">
        <f t="shared" si="38"/>
        <v>0</v>
      </c>
      <c r="J217" s="39">
        <f t="shared" si="38"/>
        <v>0</v>
      </c>
      <c r="K217" s="39">
        <f t="shared" si="38"/>
        <v>0</v>
      </c>
      <c r="L217" s="39">
        <f t="shared" si="38"/>
        <v>0</v>
      </c>
      <c r="M217" s="39">
        <f t="shared" si="38"/>
        <v>0</v>
      </c>
      <c r="N217" s="39">
        <f t="shared" si="38"/>
        <v>0</v>
      </c>
      <c r="O217" s="39">
        <f t="shared" si="38"/>
        <v>0</v>
      </c>
      <c r="P217" s="39">
        <f t="shared" si="38"/>
        <v>0</v>
      </c>
      <c r="Q217" s="39">
        <f t="shared" si="38"/>
        <v>0</v>
      </c>
      <c r="R217" s="39">
        <f t="shared" si="38"/>
        <v>0</v>
      </c>
      <c r="S217" s="39">
        <f t="shared" si="38"/>
        <v>0</v>
      </c>
      <c r="T217" s="39">
        <f t="shared" si="38"/>
        <v>0</v>
      </c>
      <c r="U217" s="39">
        <f t="shared" si="38"/>
        <v>0</v>
      </c>
      <c r="V217" s="39">
        <f t="shared" si="38"/>
        <v>0</v>
      </c>
      <c r="W217" s="39">
        <f t="shared" si="38"/>
        <v>0</v>
      </c>
      <c r="X217" s="39">
        <f t="shared" si="38"/>
        <v>0</v>
      </c>
      <c r="Y217" s="39">
        <f t="shared" si="38"/>
        <v>0</v>
      </c>
      <c r="Z217" s="39">
        <f t="shared" si="38"/>
        <v>0</v>
      </c>
      <c r="AA217" s="39">
        <f t="shared" si="38"/>
        <v>0</v>
      </c>
      <c r="AB217" s="39">
        <f t="shared" si="38"/>
        <v>0</v>
      </c>
      <c r="AC217" s="39">
        <f t="shared" si="38"/>
        <v>0</v>
      </c>
      <c r="AD217" s="39">
        <v>0</v>
      </c>
      <c r="AE217" s="39">
        <f>SUM(AE205:AE215)</f>
        <v>0</v>
      </c>
      <c r="AF217" s="39">
        <f>SUM(AF205:AF215)</f>
        <v>0</v>
      </c>
      <c r="AG217" s="39">
        <f>SUM(AG205:AG215)</f>
        <v>0</v>
      </c>
      <c r="AH217" s="32">
        <f>SUM(AH205:AH215)</f>
        <v>0</v>
      </c>
    </row>
    <row r="218" spans="1:36" ht="5.0999999999999996" customHeight="1">
      <c r="A218" s="14"/>
      <c r="B218" s="14"/>
      <c r="C218" s="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
    </row>
    <row r="219" spans="1:36">
      <c r="A219" s="3872" t="s">
        <v>104</v>
      </c>
      <c r="B219" s="3873"/>
      <c r="C219" s="3873"/>
      <c r="D219" s="3873"/>
      <c r="E219" s="3873"/>
      <c r="F219" s="3873"/>
      <c r="G219" s="3873"/>
      <c r="H219" s="3874"/>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row>
    <row r="220" spans="1:36">
      <c r="A220" s="5" t="s">
        <v>70</v>
      </c>
      <c r="B220" s="5" t="s">
        <v>71</v>
      </c>
      <c r="C220" s="98">
        <v>1</v>
      </c>
      <c r="D220" s="21">
        <v>2</v>
      </c>
      <c r="E220" s="21">
        <v>3</v>
      </c>
      <c r="F220" s="21">
        <v>4</v>
      </c>
      <c r="G220" s="21">
        <v>5</v>
      </c>
      <c r="H220" s="21">
        <v>6</v>
      </c>
      <c r="I220" s="21">
        <v>7</v>
      </c>
      <c r="J220" s="21">
        <v>8</v>
      </c>
      <c r="K220" s="21">
        <v>9</v>
      </c>
      <c r="L220" s="21">
        <v>10</v>
      </c>
      <c r="M220" s="21">
        <v>11</v>
      </c>
      <c r="N220" s="21">
        <v>12</v>
      </c>
      <c r="O220" s="21">
        <v>13</v>
      </c>
      <c r="P220" s="21">
        <v>14</v>
      </c>
      <c r="Q220" s="21">
        <v>15</v>
      </c>
      <c r="R220" s="21">
        <v>16</v>
      </c>
      <c r="S220" s="21">
        <v>17</v>
      </c>
      <c r="T220" s="21">
        <v>18</v>
      </c>
      <c r="U220" s="21">
        <v>19</v>
      </c>
      <c r="V220" s="21">
        <v>20</v>
      </c>
      <c r="W220" s="21">
        <v>21</v>
      </c>
      <c r="X220" s="21">
        <v>22</v>
      </c>
      <c r="Y220" s="21">
        <v>23</v>
      </c>
      <c r="Z220" s="21">
        <v>24</v>
      </c>
      <c r="AA220" s="21">
        <v>25</v>
      </c>
      <c r="AB220" s="21">
        <v>26</v>
      </c>
      <c r="AC220" s="21">
        <v>27</v>
      </c>
      <c r="AD220" s="21">
        <v>28</v>
      </c>
      <c r="AE220" s="21">
        <v>29</v>
      </c>
      <c r="AF220" s="21">
        <v>30</v>
      </c>
      <c r="AG220" s="21">
        <v>31</v>
      </c>
      <c r="AH220" s="25" t="s">
        <v>72</v>
      </c>
      <c r="AI220" s="2266" t="s">
        <v>1345</v>
      </c>
      <c r="AJ220" s="66" t="e">
        <f>(B233/COUNTIF($C$221:$AG$232,"&gt;0"))</f>
        <v>#DIV/0!</v>
      </c>
    </row>
    <row r="221" spans="1:36">
      <c r="A221" s="1607" t="s">
        <v>73</v>
      </c>
      <c r="B221" s="15">
        <f t="shared" ref="B221:B232" si="39">+AH221</f>
        <v>0</v>
      </c>
      <c r="C221" s="35"/>
      <c r="D221" s="39"/>
      <c r="E221" s="39"/>
      <c r="F221" s="39"/>
      <c r="G221" s="15"/>
      <c r="H221" s="15"/>
      <c r="I221" s="15"/>
      <c r="J221" s="15"/>
      <c r="K221" s="15"/>
      <c r="L221" s="15"/>
      <c r="M221" s="15"/>
      <c r="N221" s="15"/>
      <c r="O221" s="15"/>
      <c r="P221" s="15"/>
      <c r="Q221" s="39"/>
      <c r="R221" s="15"/>
      <c r="S221" s="15"/>
      <c r="T221" s="15"/>
      <c r="U221" s="15"/>
      <c r="V221" s="39"/>
      <c r="W221" s="39"/>
      <c r="X221" s="15"/>
      <c r="Y221" s="15"/>
      <c r="Z221" s="15"/>
      <c r="AA221" s="15"/>
      <c r="AB221" s="15"/>
      <c r="AC221" s="15"/>
      <c r="AD221" s="39"/>
      <c r="AE221" s="15"/>
      <c r="AF221" s="15"/>
      <c r="AG221" s="15"/>
      <c r="AH221" s="39">
        <f>SUM(C221:AG221)</f>
        <v>0</v>
      </c>
    </row>
    <row r="222" spans="1:36" s="67" customFormat="1">
      <c r="A222" s="1607" t="s">
        <v>74</v>
      </c>
      <c r="B222" s="15">
        <f t="shared" si="39"/>
        <v>0</v>
      </c>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39">
        <f t="shared" ref="AH222:AH232" si="40">SUM(C222:AG222)</f>
        <v>0</v>
      </c>
    </row>
    <row r="223" spans="1:36">
      <c r="A223" s="1607" t="s">
        <v>75</v>
      </c>
      <c r="B223" s="15">
        <f t="shared" si="39"/>
        <v>0</v>
      </c>
      <c r="C223" s="32"/>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f t="shared" si="40"/>
        <v>0</v>
      </c>
    </row>
    <row r="224" spans="1:36">
      <c r="A224" s="1607" t="s">
        <v>76</v>
      </c>
      <c r="B224" s="15">
        <f t="shared" si="39"/>
        <v>0</v>
      </c>
      <c r="C224" s="35"/>
      <c r="D224" s="39"/>
      <c r="E224" s="39"/>
      <c r="F224" s="39"/>
      <c r="G224" s="15"/>
      <c r="H224" s="15"/>
      <c r="I224" s="15"/>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f t="shared" si="40"/>
        <v>0</v>
      </c>
    </row>
    <row r="225" spans="1:36" s="67" customFormat="1">
      <c r="A225" s="1607" t="s">
        <v>77</v>
      </c>
      <c r="B225" s="15">
        <f t="shared" si="39"/>
        <v>0</v>
      </c>
      <c r="C225" s="15"/>
      <c r="D225" s="15"/>
      <c r="E225" s="15"/>
      <c r="F225" s="15"/>
      <c r="G225" s="15"/>
      <c r="H225" s="15"/>
      <c r="I225" s="15"/>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f t="shared" si="40"/>
        <v>0</v>
      </c>
    </row>
    <row r="226" spans="1:36">
      <c r="A226" s="1607" t="s">
        <v>78</v>
      </c>
      <c r="B226" s="15">
        <f t="shared" si="39"/>
        <v>0</v>
      </c>
      <c r="C226" s="32"/>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f t="shared" si="40"/>
        <v>0</v>
      </c>
    </row>
    <row r="227" spans="1:36">
      <c r="A227" s="1607" t="s">
        <v>79</v>
      </c>
      <c r="B227" s="15">
        <f t="shared" si="39"/>
        <v>0</v>
      </c>
      <c r="C227" s="35"/>
      <c r="D227" s="39"/>
      <c r="E227" s="39"/>
      <c r="F227" s="39"/>
      <c r="G227" s="15"/>
      <c r="H227" s="15"/>
      <c r="I227" s="15"/>
      <c r="J227" s="43"/>
      <c r="K227" s="43"/>
      <c r="L227" s="39"/>
      <c r="M227" s="39"/>
      <c r="N227" s="15"/>
      <c r="O227" s="15"/>
      <c r="P227" s="15"/>
      <c r="Q227" s="39"/>
      <c r="R227" s="39"/>
      <c r="S227" s="39"/>
      <c r="T227" s="39"/>
      <c r="U227" s="39"/>
      <c r="V227" s="39"/>
      <c r="W227" s="39"/>
      <c r="X227" s="39"/>
      <c r="Y227" s="39"/>
      <c r="Z227" s="39"/>
      <c r="AA227" s="39"/>
      <c r="AB227" s="39"/>
      <c r="AC227" s="39"/>
      <c r="AD227" s="39"/>
      <c r="AE227" s="39"/>
      <c r="AF227" s="39"/>
      <c r="AG227" s="39"/>
      <c r="AH227" s="39">
        <f t="shared" si="40"/>
        <v>0</v>
      </c>
    </row>
    <row r="228" spans="1:36" s="67" customFormat="1">
      <c r="A228" s="1607" t="s">
        <v>80</v>
      </c>
      <c r="B228" s="15">
        <f t="shared" si="39"/>
        <v>0</v>
      </c>
      <c r="C228" s="15"/>
      <c r="D228" s="15"/>
      <c r="E228" s="15"/>
      <c r="F228" s="15"/>
      <c r="G228" s="15"/>
      <c r="H228" s="15"/>
      <c r="I228" s="15"/>
      <c r="J228" s="64"/>
      <c r="K228" s="64"/>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f t="shared" si="40"/>
        <v>0</v>
      </c>
    </row>
    <row r="229" spans="1:36">
      <c r="A229" s="1607" t="s">
        <v>81</v>
      </c>
      <c r="B229" s="15">
        <f t="shared" si="39"/>
        <v>0</v>
      </c>
      <c r="C229" s="32"/>
      <c r="D229" s="39"/>
      <c r="E229" s="39"/>
      <c r="F229" s="39"/>
      <c r="G229" s="39"/>
      <c r="H229" s="39"/>
      <c r="I229" s="39"/>
      <c r="J229" s="43"/>
      <c r="K229" s="43"/>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39">
        <f t="shared" si="40"/>
        <v>0</v>
      </c>
    </row>
    <row r="230" spans="1:36">
      <c r="A230" s="1522" t="s">
        <v>82</v>
      </c>
      <c r="B230" s="15">
        <f t="shared" si="39"/>
        <v>0</v>
      </c>
      <c r="C230" s="35"/>
      <c r="D230" s="39"/>
      <c r="E230" s="39"/>
      <c r="F230" s="39"/>
      <c r="G230" s="15"/>
      <c r="H230" s="15"/>
      <c r="I230" s="15"/>
      <c r="J230" s="15"/>
      <c r="K230" s="15"/>
      <c r="L230" s="15"/>
      <c r="M230" s="15"/>
      <c r="N230" s="15"/>
      <c r="O230" s="39"/>
      <c r="P230" s="15"/>
      <c r="Q230" s="15"/>
      <c r="R230" s="15"/>
      <c r="S230" s="15"/>
      <c r="T230" s="15"/>
      <c r="U230" s="15"/>
      <c r="V230" s="15"/>
      <c r="W230" s="15"/>
      <c r="X230" s="15"/>
      <c r="Y230" s="15"/>
      <c r="Z230" s="15"/>
      <c r="AA230" s="15"/>
      <c r="AB230" s="15"/>
      <c r="AC230" s="15"/>
      <c r="AD230" s="15"/>
      <c r="AE230" s="39"/>
      <c r="AF230" s="15"/>
      <c r="AG230" s="39"/>
      <c r="AH230" s="39">
        <f t="shared" si="40"/>
        <v>0</v>
      </c>
    </row>
    <row r="231" spans="1:36">
      <c r="A231" s="1522" t="s">
        <v>83</v>
      </c>
      <c r="B231" s="15">
        <f t="shared" si="39"/>
        <v>0</v>
      </c>
      <c r="C231" s="3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39"/>
      <c r="AF231" s="15"/>
      <c r="AG231" s="39"/>
      <c r="AH231" s="39">
        <f t="shared" si="40"/>
        <v>0</v>
      </c>
    </row>
    <row r="232" spans="1:36">
      <c r="A232" s="1522" t="s">
        <v>84</v>
      </c>
      <c r="B232" s="15">
        <f t="shared" si="39"/>
        <v>0</v>
      </c>
      <c r="C232" s="3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39"/>
      <c r="AF232" s="15"/>
      <c r="AG232" s="39"/>
      <c r="AH232" s="39">
        <f t="shared" si="40"/>
        <v>0</v>
      </c>
    </row>
    <row r="233" spans="1:36">
      <c r="A233" s="71" t="s">
        <v>72</v>
      </c>
      <c r="B233" s="72">
        <f>SUM(B221:B232)</f>
        <v>0</v>
      </c>
      <c r="C233" s="32">
        <f>SUM(C221:C231)</f>
        <v>0</v>
      </c>
      <c r="D233" s="39">
        <f>SUM(D221:D231)</f>
        <v>0</v>
      </c>
      <c r="E233" s="39">
        <v>0</v>
      </c>
      <c r="F233" s="39">
        <f t="shared" ref="F233:AC233" si="41">SUM(F221:F231)</f>
        <v>0</v>
      </c>
      <c r="G233" s="39">
        <f t="shared" si="41"/>
        <v>0</v>
      </c>
      <c r="H233" s="39">
        <f t="shared" si="41"/>
        <v>0</v>
      </c>
      <c r="I233" s="39">
        <f t="shared" si="41"/>
        <v>0</v>
      </c>
      <c r="J233" s="39">
        <f t="shared" si="41"/>
        <v>0</v>
      </c>
      <c r="K233" s="39">
        <f t="shared" si="41"/>
        <v>0</v>
      </c>
      <c r="L233" s="39">
        <f t="shared" si="41"/>
        <v>0</v>
      </c>
      <c r="M233" s="39">
        <f t="shared" si="41"/>
        <v>0</v>
      </c>
      <c r="N233" s="39">
        <f t="shared" si="41"/>
        <v>0</v>
      </c>
      <c r="O233" s="39">
        <f t="shared" si="41"/>
        <v>0</v>
      </c>
      <c r="P233" s="39">
        <f t="shared" si="41"/>
        <v>0</v>
      </c>
      <c r="Q233" s="39">
        <f t="shared" si="41"/>
        <v>0</v>
      </c>
      <c r="R233" s="39">
        <f t="shared" si="41"/>
        <v>0</v>
      </c>
      <c r="S233" s="39">
        <f t="shared" si="41"/>
        <v>0</v>
      </c>
      <c r="T233" s="39">
        <f t="shared" si="41"/>
        <v>0</v>
      </c>
      <c r="U233" s="39">
        <f t="shared" si="41"/>
        <v>0</v>
      </c>
      <c r="V233" s="39">
        <f t="shared" si="41"/>
        <v>0</v>
      </c>
      <c r="W233" s="39">
        <f t="shared" si="41"/>
        <v>0</v>
      </c>
      <c r="X233" s="39">
        <f t="shared" si="41"/>
        <v>0</v>
      </c>
      <c r="Y233" s="39">
        <f t="shared" si="41"/>
        <v>0</v>
      </c>
      <c r="Z233" s="39">
        <f t="shared" si="41"/>
        <v>0</v>
      </c>
      <c r="AA233" s="39">
        <f t="shared" si="41"/>
        <v>0</v>
      </c>
      <c r="AB233" s="39">
        <f t="shared" si="41"/>
        <v>0</v>
      </c>
      <c r="AC233" s="39">
        <f t="shared" si="41"/>
        <v>0</v>
      </c>
      <c r="AD233" s="39">
        <v>0</v>
      </c>
      <c r="AE233" s="39">
        <f>SUM(AE221:AE231)</f>
        <v>0</v>
      </c>
      <c r="AF233" s="39">
        <f>SUM(AF221:AF231)</f>
        <v>0</v>
      </c>
      <c r="AG233" s="39">
        <f>SUM(AG221:AG231)</f>
        <v>0</v>
      </c>
      <c r="AH233" s="32">
        <f>SUM(AH221:AH231)</f>
        <v>0</v>
      </c>
    </row>
    <row r="234" spans="1:36" ht="5.0999999999999996" customHeight="1">
      <c r="A234" s="14"/>
      <c r="B234" s="14"/>
      <c r="C234" s="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
    </row>
    <row r="235" spans="1:36">
      <c r="A235" s="3872" t="s">
        <v>105</v>
      </c>
      <c r="B235" s="3873"/>
      <c r="C235" s="3873"/>
      <c r="D235" s="3873"/>
      <c r="E235" s="3873"/>
      <c r="F235" s="3873"/>
      <c r="G235" s="3873"/>
      <c r="H235" s="3874"/>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spans="1:36">
      <c r="A236" s="5" t="s">
        <v>70</v>
      </c>
      <c r="B236" s="5" t="s">
        <v>71</v>
      </c>
      <c r="C236" s="98">
        <v>1</v>
      </c>
      <c r="D236" s="21">
        <v>2</v>
      </c>
      <c r="E236" s="21">
        <v>3</v>
      </c>
      <c r="F236" s="21">
        <v>4</v>
      </c>
      <c r="G236" s="21">
        <v>5</v>
      </c>
      <c r="H236" s="21">
        <v>6</v>
      </c>
      <c r="I236" s="21">
        <v>7</v>
      </c>
      <c r="J236" s="21">
        <v>8</v>
      </c>
      <c r="K236" s="21">
        <v>9</v>
      </c>
      <c r="L236" s="21">
        <v>10</v>
      </c>
      <c r="M236" s="21">
        <v>11</v>
      </c>
      <c r="N236" s="21">
        <v>12</v>
      </c>
      <c r="O236" s="21">
        <v>13</v>
      </c>
      <c r="P236" s="21">
        <v>14</v>
      </c>
      <c r="Q236" s="21">
        <v>15</v>
      </c>
      <c r="R236" s="21">
        <v>16</v>
      </c>
      <c r="S236" s="21">
        <v>17</v>
      </c>
      <c r="T236" s="21">
        <v>18</v>
      </c>
      <c r="U236" s="21">
        <v>19</v>
      </c>
      <c r="V236" s="21">
        <v>20</v>
      </c>
      <c r="W236" s="21">
        <v>21</v>
      </c>
      <c r="X236" s="21">
        <v>22</v>
      </c>
      <c r="Y236" s="21">
        <v>23</v>
      </c>
      <c r="Z236" s="21">
        <v>24</v>
      </c>
      <c r="AA236" s="21">
        <v>25</v>
      </c>
      <c r="AB236" s="21">
        <v>26</v>
      </c>
      <c r="AC236" s="21">
        <v>27</v>
      </c>
      <c r="AD236" s="21">
        <v>28</v>
      </c>
      <c r="AE236" s="21">
        <v>29</v>
      </c>
      <c r="AF236" s="21">
        <v>30</v>
      </c>
      <c r="AG236" s="21">
        <v>31</v>
      </c>
      <c r="AH236" s="25" t="s">
        <v>72</v>
      </c>
      <c r="AI236" s="2266" t="s">
        <v>1345</v>
      </c>
      <c r="AJ236" s="66" t="e">
        <f>(B249/COUNTIF($C$237:$AG$248,"&gt;0"))</f>
        <v>#DIV/0!</v>
      </c>
    </row>
    <row r="237" spans="1:36">
      <c r="A237" s="1607" t="s">
        <v>73</v>
      </c>
      <c r="B237" s="15">
        <f t="shared" ref="B237:B248" si="42">+AH237</f>
        <v>0</v>
      </c>
      <c r="C237" s="35"/>
      <c r="D237" s="39"/>
      <c r="E237" s="39"/>
      <c r="F237" s="39"/>
      <c r="G237" s="15"/>
      <c r="H237" s="15"/>
      <c r="I237" s="15"/>
      <c r="J237" s="15"/>
      <c r="K237" s="15"/>
      <c r="L237" s="15"/>
      <c r="M237" s="15"/>
      <c r="N237" s="15"/>
      <c r="O237" s="15"/>
      <c r="P237" s="15"/>
      <c r="Q237" s="39"/>
      <c r="R237" s="15"/>
      <c r="S237" s="15"/>
      <c r="T237" s="15"/>
      <c r="U237" s="15"/>
      <c r="V237" s="39"/>
      <c r="W237" s="39"/>
      <c r="X237" s="15"/>
      <c r="Y237" s="15"/>
      <c r="Z237" s="15"/>
      <c r="AA237" s="15"/>
      <c r="AB237" s="15"/>
      <c r="AC237" s="15"/>
      <c r="AD237" s="39"/>
      <c r="AE237" s="15"/>
      <c r="AF237" s="15"/>
      <c r="AG237" s="15"/>
      <c r="AH237" s="39">
        <f>SUM(C237:AG237)</f>
        <v>0</v>
      </c>
    </row>
    <row r="238" spans="1:36" s="67" customFormat="1">
      <c r="A238" s="1607" t="s">
        <v>74</v>
      </c>
      <c r="B238" s="15">
        <f t="shared" si="42"/>
        <v>0</v>
      </c>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39">
        <f t="shared" ref="AH238:AH248" si="43">SUM(C238:AG238)</f>
        <v>0</v>
      </c>
    </row>
    <row r="239" spans="1:36">
      <c r="A239" s="1607" t="s">
        <v>75</v>
      </c>
      <c r="B239" s="15">
        <f t="shared" si="42"/>
        <v>0</v>
      </c>
      <c r="C239" s="32"/>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f t="shared" si="43"/>
        <v>0</v>
      </c>
    </row>
    <row r="240" spans="1:36">
      <c r="A240" s="1607" t="s">
        <v>76</v>
      </c>
      <c r="B240" s="15">
        <f t="shared" si="42"/>
        <v>0</v>
      </c>
      <c r="C240" s="35"/>
      <c r="D240" s="39"/>
      <c r="E240" s="39"/>
      <c r="F240" s="39"/>
      <c r="G240" s="15"/>
      <c r="H240" s="15"/>
      <c r="I240" s="15"/>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f t="shared" si="43"/>
        <v>0</v>
      </c>
    </row>
    <row r="241" spans="1:36" s="67" customFormat="1">
      <c r="A241" s="1607" t="s">
        <v>77</v>
      </c>
      <c r="B241" s="15">
        <f t="shared" si="42"/>
        <v>0</v>
      </c>
      <c r="C241" s="15"/>
      <c r="D241" s="15"/>
      <c r="E241" s="15"/>
      <c r="F241" s="15"/>
      <c r="G241" s="15"/>
      <c r="H241" s="15"/>
      <c r="I241" s="15"/>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f t="shared" si="43"/>
        <v>0</v>
      </c>
    </row>
    <row r="242" spans="1:36">
      <c r="A242" s="1607" t="s">
        <v>78</v>
      </c>
      <c r="B242" s="15">
        <f t="shared" si="42"/>
        <v>0</v>
      </c>
      <c r="C242" s="32"/>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f t="shared" si="43"/>
        <v>0</v>
      </c>
    </row>
    <row r="243" spans="1:36">
      <c r="A243" s="1607" t="s">
        <v>79</v>
      </c>
      <c r="B243" s="15">
        <f t="shared" si="42"/>
        <v>0</v>
      </c>
      <c r="C243" s="35"/>
      <c r="D243" s="39"/>
      <c r="E243" s="39"/>
      <c r="F243" s="39"/>
      <c r="G243" s="15"/>
      <c r="H243" s="15"/>
      <c r="I243" s="15"/>
      <c r="J243" s="43"/>
      <c r="K243" s="43"/>
      <c r="L243" s="39"/>
      <c r="M243" s="39"/>
      <c r="N243" s="15"/>
      <c r="O243" s="15"/>
      <c r="P243" s="15"/>
      <c r="Q243" s="39"/>
      <c r="R243" s="39"/>
      <c r="S243" s="39"/>
      <c r="T243" s="39"/>
      <c r="U243" s="39"/>
      <c r="V243" s="39"/>
      <c r="W243" s="39"/>
      <c r="X243" s="39"/>
      <c r="Y243" s="39"/>
      <c r="Z243" s="39"/>
      <c r="AA243" s="39"/>
      <c r="AB243" s="39"/>
      <c r="AC243" s="39"/>
      <c r="AD243" s="39"/>
      <c r="AE243" s="39"/>
      <c r="AF243" s="39"/>
      <c r="AG243" s="39"/>
      <c r="AH243" s="39">
        <f t="shared" si="43"/>
        <v>0</v>
      </c>
    </row>
    <row r="244" spans="1:36" s="67" customFormat="1">
      <c r="A244" s="1607" t="s">
        <v>80</v>
      </c>
      <c r="B244" s="15">
        <f t="shared" si="42"/>
        <v>0</v>
      </c>
      <c r="C244" s="15"/>
      <c r="D244" s="15"/>
      <c r="E244" s="15"/>
      <c r="F244" s="15"/>
      <c r="G244" s="15"/>
      <c r="H244" s="15"/>
      <c r="I244" s="15"/>
      <c r="J244" s="64"/>
      <c r="K244" s="64"/>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f t="shared" si="43"/>
        <v>0</v>
      </c>
    </row>
    <row r="245" spans="1:36">
      <c r="A245" s="1607" t="s">
        <v>81</v>
      </c>
      <c r="B245" s="15">
        <f t="shared" si="42"/>
        <v>0</v>
      </c>
      <c r="C245" s="32"/>
      <c r="D245" s="39"/>
      <c r="E245" s="39"/>
      <c r="F245" s="39"/>
      <c r="G245" s="39"/>
      <c r="H245" s="39"/>
      <c r="I245" s="39"/>
      <c r="J245" s="43"/>
      <c r="K245" s="43"/>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39">
        <f t="shared" si="43"/>
        <v>0</v>
      </c>
    </row>
    <row r="246" spans="1:36">
      <c r="A246" s="1522" t="s">
        <v>82</v>
      </c>
      <c r="B246" s="15">
        <f t="shared" si="42"/>
        <v>0</v>
      </c>
      <c r="C246" s="35"/>
      <c r="D246" s="39"/>
      <c r="E246" s="39"/>
      <c r="F246" s="39"/>
      <c r="G246" s="15"/>
      <c r="H246" s="15"/>
      <c r="I246" s="15"/>
      <c r="J246" s="15"/>
      <c r="K246" s="15"/>
      <c r="L246" s="15"/>
      <c r="M246" s="15"/>
      <c r="N246" s="15"/>
      <c r="O246" s="39"/>
      <c r="P246" s="15"/>
      <c r="Q246" s="15"/>
      <c r="R246" s="15"/>
      <c r="S246" s="15"/>
      <c r="T246" s="15"/>
      <c r="U246" s="15"/>
      <c r="V246" s="15"/>
      <c r="W246" s="15"/>
      <c r="X246" s="15"/>
      <c r="Y246" s="15"/>
      <c r="Z246" s="15"/>
      <c r="AA246" s="15"/>
      <c r="AB246" s="15"/>
      <c r="AC246" s="15"/>
      <c r="AD246" s="15"/>
      <c r="AE246" s="39"/>
      <c r="AF246" s="15"/>
      <c r="AG246" s="39"/>
      <c r="AH246" s="39">
        <f t="shared" si="43"/>
        <v>0</v>
      </c>
    </row>
    <row r="247" spans="1:36">
      <c r="A247" s="1522" t="s">
        <v>83</v>
      </c>
      <c r="B247" s="15">
        <f t="shared" si="42"/>
        <v>0</v>
      </c>
      <c r="C247" s="3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39"/>
      <c r="AF247" s="15"/>
      <c r="AG247" s="39"/>
      <c r="AH247" s="39">
        <f t="shared" si="43"/>
        <v>0</v>
      </c>
    </row>
    <row r="248" spans="1:36">
      <c r="A248" s="1522" t="s">
        <v>84</v>
      </c>
      <c r="B248" s="15">
        <f t="shared" si="42"/>
        <v>0</v>
      </c>
      <c r="C248" s="3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39"/>
      <c r="AF248" s="15"/>
      <c r="AG248" s="39"/>
      <c r="AH248" s="39">
        <f t="shared" si="43"/>
        <v>0</v>
      </c>
    </row>
    <row r="249" spans="1:36">
      <c r="A249" s="71" t="s">
        <v>72</v>
      </c>
      <c r="B249" s="72">
        <f>SUM(B237:B248)</f>
        <v>0</v>
      </c>
      <c r="C249" s="32">
        <f>SUM(C237:C247)</f>
        <v>0</v>
      </c>
      <c r="D249" s="39">
        <f>SUM(D237:D247)</f>
        <v>0</v>
      </c>
      <c r="E249" s="39">
        <v>0</v>
      </c>
      <c r="F249" s="39">
        <f t="shared" ref="F249:AC249" si="44">SUM(F237:F247)</f>
        <v>0</v>
      </c>
      <c r="G249" s="39">
        <f t="shared" si="44"/>
        <v>0</v>
      </c>
      <c r="H249" s="39">
        <f t="shared" si="44"/>
        <v>0</v>
      </c>
      <c r="I249" s="39">
        <f t="shared" si="44"/>
        <v>0</v>
      </c>
      <c r="J249" s="39">
        <f t="shared" si="44"/>
        <v>0</v>
      </c>
      <c r="K249" s="39">
        <f t="shared" si="44"/>
        <v>0</v>
      </c>
      <c r="L249" s="39">
        <f t="shared" si="44"/>
        <v>0</v>
      </c>
      <c r="M249" s="39">
        <f t="shared" si="44"/>
        <v>0</v>
      </c>
      <c r="N249" s="39">
        <f t="shared" si="44"/>
        <v>0</v>
      </c>
      <c r="O249" s="39">
        <f t="shared" si="44"/>
        <v>0</v>
      </c>
      <c r="P249" s="39">
        <f t="shared" si="44"/>
        <v>0</v>
      </c>
      <c r="Q249" s="39">
        <f t="shared" si="44"/>
        <v>0</v>
      </c>
      <c r="R249" s="39">
        <f t="shared" si="44"/>
        <v>0</v>
      </c>
      <c r="S249" s="39">
        <f t="shared" si="44"/>
        <v>0</v>
      </c>
      <c r="T249" s="39">
        <f t="shared" si="44"/>
        <v>0</v>
      </c>
      <c r="U249" s="39">
        <f t="shared" si="44"/>
        <v>0</v>
      </c>
      <c r="V249" s="39">
        <f t="shared" si="44"/>
        <v>0</v>
      </c>
      <c r="W249" s="39">
        <f t="shared" si="44"/>
        <v>0</v>
      </c>
      <c r="X249" s="39">
        <f t="shared" si="44"/>
        <v>0</v>
      </c>
      <c r="Y249" s="39">
        <f t="shared" si="44"/>
        <v>0</v>
      </c>
      <c r="Z249" s="39">
        <f t="shared" si="44"/>
        <v>0</v>
      </c>
      <c r="AA249" s="39">
        <f t="shared" si="44"/>
        <v>0</v>
      </c>
      <c r="AB249" s="39">
        <f t="shared" si="44"/>
        <v>0</v>
      </c>
      <c r="AC249" s="39">
        <f t="shared" si="44"/>
        <v>0</v>
      </c>
      <c r="AD249" s="39">
        <v>0</v>
      </c>
      <c r="AE249" s="39">
        <f>SUM(AE237:AE247)</f>
        <v>0</v>
      </c>
      <c r="AF249" s="39">
        <f>SUM(AF237:AF247)</f>
        <v>0</v>
      </c>
      <c r="AG249" s="39">
        <f>SUM(AG237:AG247)</f>
        <v>0</v>
      </c>
      <c r="AH249" s="32">
        <f>SUM(AH237:AH247)</f>
        <v>0</v>
      </c>
    </row>
    <row r="250" spans="1:36" ht="5.0999999999999996" customHeight="1">
      <c r="A250" s="14"/>
      <c r="B250" s="14"/>
      <c r="C250" s="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
    </row>
    <row r="251" spans="1:36">
      <c r="A251" s="3872" t="s">
        <v>106</v>
      </c>
      <c r="B251" s="3873"/>
      <c r="C251" s="3873"/>
      <c r="D251" s="3873"/>
      <c r="E251" s="3873"/>
      <c r="F251" s="3873"/>
      <c r="G251" s="3873"/>
      <c r="H251" s="3874"/>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row>
    <row r="252" spans="1:36">
      <c r="A252" s="5" t="s">
        <v>70</v>
      </c>
      <c r="B252" s="5" t="s">
        <v>71</v>
      </c>
      <c r="C252" s="98">
        <v>1</v>
      </c>
      <c r="D252" s="21">
        <v>2</v>
      </c>
      <c r="E252" s="21">
        <v>3</v>
      </c>
      <c r="F252" s="21">
        <v>4</v>
      </c>
      <c r="G252" s="21">
        <v>5</v>
      </c>
      <c r="H252" s="21">
        <v>6</v>
      </c>
      <c r="I252" s="21">
        <v>7</v>
      </c>
      <c r="J252" s="21">
        <v>8</v>
      </c>
      <c r="K252" s="21">
        <v>9</v>
      </c>
      <c r="L252" s="21">
        <v>10</v>
      </c>
      <c r="M252" s="21">
        <v>11</v>
      </c>
      <c r="N252" s="21">
        <v>12</v>
      </c>
      <c r="O252" s="21">
        <v>13</v>
      </c>
      <c r="P252" s="21">
        <v>14</v>
      </c>
      <c r="Q252" s="21">
        <v>15</v>
      </c>
      <c r="R252" s="21">
        <v>16</v>
      </c>
      <c r="S252" s="21">
        <v>17</v>
      </c>
      <c r="T252" s="21">
        <v>18</v>
      </c>
      <c r="U252" s="21">
        <v>19</v>
      </c>
      <c r="V252" s="21">
        <v>20</v>
      </c>
      <c r="W252" s="21">
        <v>21</v>
      </c>
      <c r="X252" s="21">
        <v>22</v>
      </c>
      <c r="Y252" s="21">
        <v>23</v>
      </c>
      <c r="Z252" s="21">
        <v>24</v>
      </c>
      <c r="AA252" s="21">
        <v>25</v>
      </c>
      <c r="AB252" s="21">
        <v>26</v>
      </c>
      <c r="AC252" s="21">
        <v>27</v>
      </c>
      <c r="AD252" s="21">
        <v>28</v>
      </c>
      <c r="AE252" s="21">
        <v>29</v>
      </c>
      <c r="AF252" s="21">
        <v>30</v>
      </c>
      <c r="AG252" s="21">
        <v>31</v>
      </c>
      <c r="AH252" s="25" t="s">
        <v>72</v>
      </c>
      <c r="AI252" s="2266" t="s">
        <v>1345</v>
      </c>
      <c r="AJ252" s="66" t="e">
        <f>(B265/COUNTIF($C$253:$AG$264,"&gt;0"))</f>
        <v>#DIV/0!</v>
      </c>
    </row>
    <row r="253" spans="1:36">
      <c r="A253" s="1607" t="s">
        <v>73</v>
      </c>
      <c r="B253" s="15">
        <f t="shared" ref="B253:B264" si="45">+AH253</f>
        <v>0</v>
      </c>
      <c r="C253" s="35"/>
      <c r="D253" s="39"/>
      <c r="E253" s="39"/>
      <c r="F253" s="39"/>
      <c r="G253" s="15"/>
      <c r="H253" s="15"/>
      <c r="I253" s="15"/>
      <c r="J253" s="15"/>
      <c r="K253" s="15"/>
      <c r="L253" s="15"/>
      <c r="M253" s="15"/>
      <c r="N253" s="15"/>
      <c r="O253" s="15"/>
      <c r="P253" s="15"/>
      <c r="Q253" s="39"/>
      <c r="R253" s="15"/>
      <c r="S253" s="15"/>
      <c r="T253" s="15"/>
      <c r="U253" s="15"/>
      <c r="V253" s="39"/>
      <c r="W253" s="39"/>
      <c r="X253" s="15"/>
      <c r="Y253" s="15"/>
      <c r="Z253" s="15"/>
      <c r="AA253" s="15"/>
      <c r="AB253" s="15"/>
      <c r="AC253" s="15"/>
      <c r="AD253" s="39"/>
      <c r="AE253" s="15"/>
      <c r="AF253" s="15"/>
      <c r="AG253" s="15"/>
      <c r="AH253" s="39">
        <f>SUM(C253:AG253)</f>
        <v>0</v>
      </c>
    </row>
    <row r="254" spans="1:36" s="67" customFormat="1">
      <c r="A254" s="1607" t="s">
        <v>74</v>
      </c>
      <c r="B254" s="15">
        <f t="shared" si="45"/>
        <v>0</v>
      </c>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39">
        <f t="shared" ref="AH254:AH264" si="46">SUM(C254:AG254)</f>
        <v>0</v>
      </c>
    </row>
    <row r="255" spans="1:36">
      <c r="A255" s="1607" t="s">
        <v>75</v>
      </c>
      <c r="B255" s="15">
        <f t="shared" si="45"/>
        <v>0</v>
      </c>
      <c r="C255" s="32"/>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f t="shared" si="46"/>
        <v>0</v>
      </c>
    </row>
    <row r="256" spans="1:36">
      <c r="A256" s="1607" t="s">
        <v>76</v>
      </c>
      <c r="B256" s="15">
        <f t="shared" si="45"/>
        <v>0</v>
      </c>
      <c r="C256" s="35"/>
      <c r="D256" s="39"/>
      <c r="E256" s="39"/>
      <c r="F256" s="39"/>
      <c r="G256" s="15"/>
      <c r="H256" s="15"/>
      <c r="I256" s="15"/>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f t="shared" si="46"/>
        <v>0</v>
      </c>
    </row>
    <row r="257" spans="1:36" s="67" customFormat="1">
      <c r="A257" s="1607" t="s">
        <v>77</v>
      </c>
      <c r="B257" s="15">
        <f t="shared" si="45"/>
        <v>0</v>
      </c>
      <c r="C257" s="15"/>
      <c r="D257" s="15"/>
      <c r="E257" s="15"/>
      <c r="F257" s="15"/>
      <c r="G257" s="15"/>
      <c r="H257" s="15"/>
      <c r="I257" s="15"/>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f t="shared" si="46"/>
        <v>0</v>
      </c>
    </row>
    <row r="258" spans="1:36">
      <c r="A258" s="1607" t="s">
        <v>78</v>
      </c>
      <c r="B258" s="15">
        <f t="shared" si="45"/>
        <v>0</v>
      </c>
      <c r="C258" s="32"/>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f t="shared" si="46"/>
        <v>0</v>
      </c>
    </row>
    <row r="259" spans="1:36">
      <c r="A259" s="1607" t="s">
        <v>79</v>
      </c>
      <c r="B259" s="15">
        <f t="shared" si="45"/>
        <v>0</v>
      </c>
      <c r="C259" s="35"/>
      <c r="D259" s="39"/>
      <c r="E259" s="39"/>
      <c r="F259" s="39"/>
      <c r="G259" s="15"/>
      <c r="H259" s="15"/>
      <c r="I259" s="15"/>
      <c r="J259" s="43"/>
      <c r="K259" s="43"/>
      <c r="L259" s="39"/>
      <c r="M259" s="39"/>
      <c r="N259" s="15"/>
      <c r="O259" s="15"/>
      <c r="P259" s="15"/>
      <c r="Q259" s="39"/>
      <c r="R259" s="39"/>
      <c r="S259" s="39"/>
      <c r="T259" s="39"/>
      <c r="U259" s="39"/>
      <c r="V259" s="39"/>
      <c r="W259" s="39"/>
      <c r="X259" s="39"/>
      <c r="Y259" s="39"/>
      <c r="Z259" s="39"/>
      <c r="AA259" s="39"/>
      <c r="AB259" s="39"/>
      <c r="AC259" s="39"/>
      <c r="AD259" s="39"/>
      <c r="AE259" s="39"/>
      <c r="AF259" s="39"/>
      <c r="AG259" s="39"/>
      <c r="AH259" s="39">
        <f t="shared" si="46"/>
        <v>0</v>
      </c>
    </row>
    <row r="260" spans="1:36" s="67" customFormat="1">
      <c r="A260" s="1607" t="s">
        <v>80</v>
      </c>
      <c r="B260" s="15">
        <f t="shared" si="45"/>
        <v>0</v>
      </c>
      <c r="C260" s="15"/>
      <c r="D260" s="15"/>
      <c r="E260" s="15"/>
      <c r="F260" s="15"/>
      <c r="G260" s="15"/>
      <c r="H260" s="15"/>
      <c r="I260" s="15"/>
      <c r="J260" s="64"/>
      <c r="K260" s="64"/>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f t="shared" si="46"/>
        <v>0</v>
      </c>
    </row>
    <row r="261" spans="1:36">
      <c r="A261" s="1607" t="s">
        <v>81</v>
      </c>
      <c r="B261" s="15">
        <f t="shared" si="45"/>
        <v>0</v>
      </c>
      <c r="C261" s="32"/>
      <c r="D261" s="39"/>
      <c r="E261" s="39"/>
      <c r="F261" s="39"/>
      <c r="G261" s="39"/>
      <c r="H261" s="39"/>
      <c r="I261" s="39"/>
      <c r="J261" s="43"/>
      <c r="K261" s="43"/>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39">
        <f t="shared" si="46"/>
        <v>0</v>
      </c>
    </row>
    <row r="262" spans="1:36">
      <c r="A262" s="1522" t="s">
        <v>82</v>
      </c>
      <c r="B262" s="15">
        <f t="shared" si="45"/>
        <v>0</v>
      </c>
      <c r="C262" s="35"/>
      <c r="D262" s="39"/>
      <c r="E262" s="39"/>
      <c r="F262" s="39"/>
      <c r="G262" s="15"/>
      <c r="H262" s="15"/>
      <c r="I262" s="15"/>
      <c r="J262" s="15"/>
      <c r="K262" s="15"/>
      <c r="L262" s="15"/>
      <c r="M262" s="15"/>
      <c r="N262" s="15"/>
      <c r="O262" s="39"/>
      <c r="P262" s="15"/>
      <c r="Q262" s="15"/>
      <c r="R262" s="15"/>
      <c r="S262" s="15"/>
      <c r="T262" s="15"/>
      <c r="U262" s="15"/>
      <c r="V262" s="15"/>
      <c r="W262" s="15"/>
      <c r="X262" s="15"/>
      <c r="Y262" s="15"/>
      <c r="Z262" s="15"/>
      <c r="AA262" s="15"/>
      <c r="AB262" s="15"/>
      <c r="AC262" s="15"/>
      <c r="AD262" s="15"/>
      <c r="AE262" s="39"/>
      <c r="AF262" s="15"/>
      <c r="AG262" s="39"/>
      <c r="AH262" s="39">
        <f t="shared" si="46"/>
        <v>0</v>
      </c>
    </row>
    <row r="263" spans="1:36">
      <c r="A263" s="1522" t="s">
        <v>83</v>
      </c>
      <c r="B263" s="15">
        <f t="shared" si="45"/>
        <v>0</v>
      </c>
      <c r="C263" s="3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39"/>
      <c r="AF263" s="15"/>
      <c r="AG263" s="39"/>
      <c r="AH263" s="39">
        <f t="shared" si="46"/>
        <v>0</v>
      </c>
    </row>
    <row r="264" spans="1:36">
      <c r="A264" s="1522" t="s">
        <v>84</v>
      </c>
      <c r="B264" s="15">
        <f t="shared" si="45"/>
        <v>0</v>
      </c>
      <c r="C264" s="3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39"/>
      <c r="AF264" s="15"/>
      <c r="AG264" s="39"/>
      <c r="AH264" s="39">
        <f t="shared" si="46"/>
        <v>0</v>
      </c>
    </row>
    <row r="265" spans="1:36">
      <c r="A265" s="71" t="s">
        <v>72</v>
      </c>
      <c r="B265" s="72">
        <f>SUM(B253:B264)</f>
        <v>0</v>
      </c>
      <c r="C265" s="32">
        <f>SUM(C253:C263)</f>
        <v>0</v>
      </c>
      <c r="D265" s="39">
        <f>SUM(D253:D263)</f>
        <v>0</v>
      </c>
      <c r="E265" s="39">
        <v>0</v>
      </c>
      <c r="F265" s="39">
        <f t="shared" ref="F265:AC265" si="47">SUM(F253:F263)</f>
        <v>0</v>
      </c>
      <c r="G265" s="39">
        <f t="shared" si="47"/>
        <v>0</v>
      </c>
      <c r="H265" s="39">
        <f t="shared" si="47"/>
        <v>0</v>
      </c>
      <c r="I265" s="39">
        <f t="shared" si="47"/>
        <v>0</v>
      </c>
      <c r="J265" s="39">
        <f t="shared" si="47"/>
        <v>0</v>
      </c>
      <c r="K265" s="39">
        <f t="shared" si="47"/>
        <v>0</v>
      </c>
      <c r="L265" s="39">
        <f t="shared" si="47"/>
        <v>0</v>
      </c>
      <c r="M265" s="39">
        <f t="shared" si="47"/>
        <v>0</v>
      </c>
      <c r="N265" s="39">
        <f t="shared" si="47"/>
        <v>0</v>
      </c>
      <c r="O265" s="39">
        <f t="shared" si="47"/>
        <v>0</v>
      </c>
      <c r="P265" s="39">
        <f t="shared" si="47"/>
        <v>0</v>
      </c>
      <c r="Q265" s="39">
        <f t="shared" si="47"/>
        <v>0</v>
      </c>
      <c r="R265" s="39">
        <f t="shared" si="47"/>
        <v>0</v>
      </c>
      <c r="S265" s="39">
        <f t="shared" si="47"/>
        <v>0</v>
      </c>
      <c r="T265" s="39">
        <f t="shared" si="47"/>
        <v>0</v>
      </c>
      <c r="U265" s="39">
        <f t="shared" si="47"/>
        <v>0</v>
      </c>
      <c r="V265" s="39">
        <f t="shared" si="47"/>
        <v>0</v>
      </c>
      <c r="W265" s="39">
        <f t="shared" si="47"/>
        <v>0</v>
      </c>
      <c r="X265" s="39">
        <f t="shared" si="47"/>
        <v>0</v>
      </c>
      <c r="Y265" s="39">
        <f t="shared" si="47"/>
        <v>0</v>
      </c>
      <c r="Z265" s="39">
        <f t="shared" si="47"/>
        <v>0</v>
      </c>
      <c r="AA265" s="39">
        <f t="shared" si="47"/>
        <v>0</v>
      </c>
      <c r="AB265" s="39">
        <f t="shared" si="47"/>
        <v>0</v>
      </c>
      <c r="AC265" s="39">
        <f t="shared" si="47"/>
        <v>0</v>
      </c>
      <c r="AD265" s="39">
        <v>0</v>
      </c>
      <c r="AE265" s="39">
        <f>SUM(AE253:AE263)</f>
        <v>0</v>
      </c>
      <c r="AF265" s="39">
        <f>SUM(AF253:AF263)</f>
        <v>0</v>
      </c>
      <c r="AG265" s="39">
        <f>SUM(AG253:AG263)</f>
        <v>0</v>
      </c>
      <c r="AH265" s="32">
        <f>SUM(AH253:AH263)</f>
        <v>0</v>
      </c>
    </row>
    <row r="266" spans="1:36" ht="5.0999999999999996" customHeight="1">
      <c r="A266" s="14"/>
      <c r="B266" s="14"/>
      <c r="C266" s="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
    </row>
    <row r="267" spans="1:36">
      <c r="A267" s="3872" t="s">
        <v>107</v>
      </c>
      <c r="B267" s="3873"/>
      <c r="C267" s="3873"/>
      <c r="D267" s="3873"/>
      <c r="E267" s="3873"/>
      <c r="F267" s="3873"/>
      <c r="G267" s="3873"/>
      <c r="H267" s="3874"/>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row>
    <row r="268" spans="1:36">
      <c r="A268" s="5" t="s">
        <v>70</v>
      </c>
      <c r="B268" s="5" t="s">
        <v>71</v>
      </c>
      <c r="C268" s="98">
        <v>1</v>
      </c>
      <c r="D268" s="21">
        <v>2</v>
      </c>
      <c r="E268" s="21">
        <v>3</v>
      </c>
      <c r="F268" s="21">
        <v>4</v>
      </c>
      <c r="G268" s="21">
        <v>5</v>
      </c>
      <c r="H268" s="21">
        <v>6</v>
      </c>
      <c r="I268" s="21">
        <v>7</v>
      </c>
      <c r="J268" s="21">
        <v>8</v>
      </c>
      <c r="K268" s="21">
        <v>9</v>
      </c>
      <c r="L268" s="21">
        <v>10</v>
      </c>
      <c r="M268" s="21">
        <v>11</v>
      </c>
      <c r="N268" s="21">
        <v>12</v>
      </c>
      <c r="O268" s="21">
        <v>13</v>
      </c>
      <c r="P268" s="21">
        <v>14</v>
      </c>
      <c r="Q268" s="21">
        <v>15</v>
      </c>
      <c r="R268" s="21">
        <v>16</v>
      </c>
      <c r="S268" s="21">
        <v>17</v>
      </c>
      <c r="T268" s="21">
        <v>18</v>
      </c>
      <c r="U268" s="21">
        <v>19</v>
      </c>
      <c r="V268" s="21">
        <v>20</v>
      </c>
      <c r="W268" s="21">
        <v>21</v>
      </c>
      <c r="X268" s="21">
        <v>22</v>
      </c>
      <c r="Y268" s="21">
        <v>23</v>
      </c>
      <c r="Z268" s="21">
        <v>24</v>
      </c>
      <c r="AA268" s="21">
        <v>25</v>
      </c>
      <c r="AB268" s="21">
        <v>26</v>
      </c>
      <c r="AC268" s="21">
        <v>27</v>
      </c>
      <c r="AD268" s="21">
        <v>28</v>
      </c>
      <c r="AE268" s="21">
        <v>29</v>
      </c>
      <c r="AF268" s="21">
        <v>30</v>
      </c>
      <c r="AG268" s="21">
        <v>31</v>
      </c>
      <c r="AH268" s="25" t="s">
        <v>72</v>
      </c>
      <c r="AI268" s="2266" t="s">
        <v>1345</v>
      </c>
      <c r="AJ268" s="66" t="e">
        <f>(B281/COUNTIF($C$269:$AG$280,"&gt;0"))</f>
        <v>#DIV/0!</v>
      </c>
    </row>
    <row r="269" spans="1:36">
      <c r="A269" s="1607" t="s">
        <v>73</v>
      </c>
      <c r="B269" s="15">
        <f t="shared" ref="B269:B280" si="48">+AH269</f>
        <v>0</v>
      </c>
      <c r="C269" s="35"/>
      <c r="D269" s="39"/>
      <c r="E269" s="39"/>
      <c r="F269" s="39"/>
      <c r="G269" s="15"/>
      <c r="H269" s="15"/>
      <c r="I269" s="15"/>
      <c r="J269" s="15"/>
      <c r="K269" s="15"/>
      <c r="L269" s="15"/>
      <c r="M269" s="15"/>
      <c r="N269" s="15"/>
      <c r="O269" s="15"/>
      <c r="P269" s="15"/>
      <c r="Q269" s="39"/>
      <c r="R269" s="15"/>
      <c r="S269" s="15"/>
      <c r="T269" s="15"/>
      <c r="U269" s="15"/>
      <c r="V269" s="39"/>
      <c r="W269" s="39"/>
      <c r="X269" s="15"/>
      <c r="Y269" s="15"/>
      <c r="Z269" s="15"/>
      <c r="AA269" s="15"/>
      <c r="AB269" s="15"/>
      <c r="AC269" s="15"/>
      <c r="AD269" s="39"/>
      <c r="AE269" s="15"/>
      <c r="AF269" s="15"/>
      <c r="AG269" s="15"/>
      <c r="AH269" s="39">
        <f>SUM(C269:AG269)</f>
        <v>0</v>
      </c>
    </row>
    <row r="270" spans="1:36" s="67" customFormat="1">
      <c r="A270" s="1607" t="s">
        <v>74</v>
      </c>
      <c r="B270" s="15">
        <f t="shared" si="48"/>
        <v>0</v>
      </c>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39">
        <f t="shared" ref="AH270:AH280" si="49">SUM(C270:AG270)</f>
        <v>0</v>
      </c>
    </row>
    <row r="271" spans="1:36">
      <c r="A271" s="1607" t="s">
        <v>75</v>
      </c>
      <c r="B271" s="15">
        <f t="shared" si="48"/>
        <v>0</v>
      </c>
      <c r="C271" s="32"/>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f t="shared" si="49"/>
        <v>0</v>
      </c>
    </row>
    <row r="272" spans="1:36">
      <c r="A272" s="1607" t="s">
        <v>76</v>
      </c>
      <c r="B272" s="15">
        <f t="shared" si="48"/>
        <v>0</v>
      </c>
      <c r="C272" s="35"/>
      <c r="D272" s="39"/>
      <c r="E272" s="39"/>
      <c r="F272" s="39"/>
      <c r="G272" s="15"/>
      <c r="H272" s="15"/>
      <c r="I272" s="15"/>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f t="shared" si="49"/>
        <v>0</v>
      </c>
    </row>
    <row r="273" spans="1:36" s="67" customFormat="1">
      <c r="A273" s="1607" t="s">
        <v>77</v>
      </c>
      <c r="B273" s="15">
        <f t="shared" si="48"/>
        <v>0</v>
      </c>
      <c r="C273" s="15"/>
      <c r="D273" s="15"/>
      <c r="E273" s="15"/>
      <c r="F273" s="15"/>
      <c r="G273" s="15"/>
      <c r="H273" s="15"/>
      <c r="I273" s="15"/>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f t="shared" si="49"/>
        <v>0</v>
      </c>
    </row>
    <row r="274" spans="1:36">
      <c r="A274" s="1607" t="s">
        <v>78</v>
      </c>
      <c r="B274" s="15">
        <f t="shared" si="48"/>
        <v>0</v>
      </c>
      <c r="C274" s="32"/>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f t="shared" si="49"/>
        <v>0</v>
      </c>
    </row>
    <row r="275" spans="1:36">
      <c r="A275" s="1607" t="s">
        <v>79</v>
      </c>
      <c r="B275" s="15">
        <f t="shared" si="48"/>
        <v>0</v>
      </c>
      <c r="C275" s="35"/>
      <c r="D275" s="39"/>
      <c r="E275" s="39"/>
      <c r="F275" s="39"/>
      <c r="G275" s="15"/>
      <c r="H275" s="15"/>
      <c r="I275" s="15"/>
      <c r="J275" s="43"/>
      <c r="K275" s="43"/>
      <c r="L275" s="39"/>
      <c r="M275" s="39"/>
      <c r="N275" s="15"/>
      <c r="O275" s="15"/>
      <c r="P275" s="15"/>
      <c r="Q275" s="39"/>
      <c r="R275" s="39"/>
      <c r="S275" s="39"/>
      <c r="T275" s="39"/>
      <c r="U275" s="39"/>
      <c r="V275" s="39"/>
      <c r="W275" s="39"/>
      <c r="X275" s="39"/>
      <c r="Y275" s="39"/>
      <c r="Z275" s="39"/>
      <c r="AA275" s="39"/>
      <c r="AB275" s="39"/>
      <c r="AC275" s="39"/>
      <c r="AD275" s="39"/>
      <c r="AE275" s="39"/>
      <c r="AF275" s="39"/>
      <c r="AG275" s="39"/>
      <c r="AH275" s="39">
        <f t="shared" si="49"/>
        <v>0</v>
      </c>
    </row>
    <row r="276" spans="1:36" s="67" customFormat="1">
      <c r="A276" s="1607" t="s">
        <v>80</v>
      </c>
      <c r="B276" s="15">
        <f t="shared" si="48"/>
        <v>0</v>
      </c>
      <c r="C276" s="15"/>
      <c r="D276" s="15"/>
      <c r="E276" s="15"/>
      <c r="F276" s="15"/>
      <c r="G276" s="15"/>
      <c r="H276" s="15"/>
      <c r="I276" s="15"/>
      <c r="J276" s="64"/>
      <c r="K276" s="64"/>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f t="shared" si="49"/>
        <v>0</v>
      </c>
    </row>
    <row r="277" spans="1:36">
      <c r="A277" s="1607" t="s">
        <v>81</v>
      </c>
      <c r="B277" s="15">
        <f t="shared" si="48"/>
        <v>0</v>
      </c>
      <c r="C277" s="32"/>
      <c r="D277" s="39"/>
      <c r="E277" s="39"/>
      <c r="F277" s="39"/>
      <c r="G277" s="39"/>
      <c r="H277" s="39"/>
      <c r="I277" s="39"/>
      <c r="J277" s="43"/>
      <c r="K277" s="43"/>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39">
        <f t="shared" si="49"/>
        <v>0</v>
      </c>
    </row>
    <row r="278" spans="1:36">
      <c r="A278" s="1522" t="s">
        <v>82</v>
      </c>
      <c r="B278" s="15">
        <f t="shared" si="48"/>
        <v>0</v>
      </c>
      <c r="C278" s="35"/>
      <c r="D278" s="39"/>
      <c r="E278" s="39"/>
      <c r="F278" s="39"/>
      <c r="G278" s="15"/>
      <c r="H278" s="15"/>
      <c r="I278" s="15"/>
      <c r="J278" s="15"/>
      <c r="K278" s="15"/>
      <c r="L278" s="15"/>
      <c r="M278" s="15"/>
      <c r="N278" s="15"/>
      <c r="O278" s="39"/>
      <c r="P278" s="15"/>
      <c r="Q278" s="15"/>
      <c r="R278" s="15"/>
      <c r="S278" s="15"/>
      <c r="T278" s="15"/>
      <c r="U278" s="15"/>
      <c r="V278" s="15"/>
      <c r="W278" s="15"/>
      <c r="X278" s="15"/>
      <c r="Y278" s="15"/>
      <c r="Z278" s="15"/>
      <c r="AA278" s="15"/>
      <c r="AB278" s="15"/>
      <c r="AC278" s="15"/>
      <c r="AD278" s="15"/>
      <c r="AE278" s="39"/>
      <c r="AF278" s="15"/>
      <c r="AG278" s="39"/>
      <c r="AH278" s="39">
        <f t="shared" si="49"/>
        <v>0</v>
      </c>
    </row>
    <row r="279" spans="1:36">
      <c r="A279" s="1522" t="s">
        <v>83</v>
      </c>
      <c r="B279" s="15">
        <f t="shared" si="48"/>
        <v>0</v>
      </c>
      <c r="C279" s="3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39"/>
      <c r="AF279" s="15"/>
      <c r="AG279" s="39"/>
      <c r="AH279" s="39">
        <f t="shared" si="49"/>
        <v>0</v>
      </c>
    </row>
    <row r="280" spans="1:36">
      <c r="A280" s="1522" t="s">
        <v>84</v>
      </c>
      <c r="B280" s="15">
        <f t="shared" si="48"/>
        <v>0</v>
      </c>
      <c r="C280" s="3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39"/>
      <c r="AF280" s="15"/>
      <c r="AG280" s="39"/>
      <c r="AH280" s="39">
        <f t="shared" si="49"/>
        <v>0</v>
      </c>
    </row>
    <row r="281" spans="1:36">
      <c r="A281" s="71" t="s">
        <v>72</v>
      </c>
      <c r="B281" s="72">
        <f>SUM(B269:B280)</f>
        <v>0</v>
      </c>
      <c r="C281" s="32">
        <f>SUM(C269:C279)</f>
        <v>0</v>
      </c>
      <c r="D281" s="39">
        <f>SUM(D269:D279)</f>
        <v>0</v>
      </c>
      <c r="E281" s="39">
        <v>0</v>
      </c>
      <c r="F281" s="39">
        <f t="shared" ref="F281:AC281" si="50">SUM(F269:F279)</f>
        <v>0</v>
      </c>
      <c r="G281" s="39">
        <f t="shared" si="50"/>
        <v>0</v>
      </c>
      <c r="H281" s="39">
        <f t="shared" si="50"/>
        <v>0</v>
      </c>
      <c r="I281" s="39">
        <f t="shared" si="50"/>
        <v>0</v>
      </c>
      <c r="J281" s="39">
        <f t="shared" si="50"/>
        <v>0</v>
      </c>
      <c r="K281" s="39">
        <f t="shared" si="50"/>
        <v>0</v>
      </c>
      <c r="L281" s="39">
        <f t="shared" si="50"/>
        <v>0</v>
      </c>
      <c r="M281" s="39">
        <f t="shared" si="50"/>
        <v>0</v>
      </c>
      <c r="N281" s="39">
        <f t="shared" si="50"/>
        <v>0</v>
      </c>
      <c r="O281" s="39">
        <f t="shared" si="50"/>
        <v>0</v>
      </c>
      <c r="P281" s="39">
        <f t="shared" si="50"/>
        <v>0</v>
      </c>
      <c r="Q281" s="39">
        <f t="shared" si="50"/>
        <v>0</v>
      </c>
      <c r="R281" s="39">
        <f t="shared" si="50"/>
        <v>0</v>
      </c>
      <c r="S281" s="39">
        <f t="shared" si="50"/>
        <v>0</v>
      </c>
      <c r="T281" s="39">
        <f t="shared" si="50"/>
        <v>0</v>
      </c>
      <c r="U281" s="39">
        <f t="shared" si="50"/>
        <v>0</v>
      </c>
      <c r="V281" s="39">
        <f t="shared" si="50"/>
        <v>0</v>
      </c>
      <c r="W281" s="39">
        <f t="shared" si="50"/>
        <v>0</v>
      </c>
      <c r="X281" s="39">
        <f t="shared" si="50"/>
        <v>0</v>
      </c>
      <c r="Y281" s="39">
        <f t="shared" si="50"/>
        <v>0</v>
      </c>
      <c r="Z281" s="39">
        <f t="shared" si="50"/>
        <v>0</v>
      </c>
      <c r="AA281" s="39">
        <f t="shared" si="50"/>
        <v>0</v>
      </c>
      <c r="AB281" s="39">
        <f t="shared" si="50"/>
        <v>0</v>
      </c>
      <c r="AC281" s="39">
        <f t="shared" si="50"/>
        <v>0</v>
      </c>
      <c r="AD281" s="39">
        <v>0</v>
      </c>
      <c r="AE281" s="39">
        <f>SUM(AE269:AE279)</f>
        <v>0</v>
      </c>
      <c r="AF281" s="39">
        <f>SUM(AF269:AF279)</f>
        <v>0</v>
      </c>
      <c r="AG281" s="39">
        <f>SUM(AG269:AG279)</f>
        <v>0</v>
      </c>
      <c r="AH281" s="32">
        <f>SUM(AH269:AH279)</f>
        <v>0</v>
      </c>
    </row>
    <row r="282" spans="1:36" ht="17.25" customHeight="1">
      <c r="A282" s="14"/>
      <c r="B282" s="14"/>
      <c r="C282" s="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
    </row>
    <row r="283" spans="1:36">
      <c r="A283" s="3872" t="s">
        <v>123</v>
      </c>
      <c r="B283" s="3873"/>
      <c r="C283" s="3873"/>
      <c r="D283" s="3873"/>
      <c r="E283" s="3873"/>
      <c r="F283" s="3873"/>
      <c r="G283" s="3873"/>
      <c r="H283" s="3874"/>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row>
    <row r="284" spans="1:36">
      <c r="A284" s="5" t="s">
        <v>70</v>
      </c>
      <c r="B284" s="5" t="s">
        <v>71</v>
      </c>
      <c r="C284" s="98">
        <v>1</v>
      </c>
      <c r="D284" s="21">
        <v>2</v>
      </c>
      <c r="E284" s="21">
        <v>3</v>
      </c>
      <c r="F284" s="21">
        <v>4</v>
      </c>
      <c r="G284" s="21">
        <v>5</v>
      </c>
      <c r="H284" s="21">
        <v>6</v>
      </c>
      <c r="I284" s="21">
        <v>7</v>
      </c>
      <c r="J284" s="21">
        <v>8</v>
      </c>
      <c r="K284" s="21">
        <v>9</v>
      </c>
      <c r="L284" s="21">
        <v>10</v>
      </c>
      <c r="M284" s="21">
        <v>11</v>
      </c>
      <c r="N284" s="21">
        <v>12</v>
      </c>
      <c r="O284" s="21">
        <v>13</v>
      </c>
      <c r="P284" s="21">
        <v>14</v>
      </c>
      <c r="Q284" s="21">
        <v>15</v>
      </c>
      <c r="R284" s="21">
        <v>16</v>
      </c>
      <c r="S284" s="21">
        <v>17</v>
      </c>
      <c r="T284" s="21">
        <v>18</v>
      </c>
      <c r="U284" s="21">
        <v>19</v>
      </c>
      <c r="V284" s="21">
        <v>20</v>
      </c>
      <c r="W284" s="21">
        <v>21</v>
      </c>
      <c r="X284" s="21">
        <v>22</v>
      </c>
      <c r="Y284" s="21">
        <v>23</v>
      </c>
      <c r="Z284" s="21">
        <v>24</v>
      </c>
      <c r="AA284" s="21">
        <v>25</v>
      </c>
      <c r="AB284" s="21">
        <v>26</v>
      </c>
      <c r="AC284" s="21">
        <v>27</v>
      </c>
      <c r="AD284" s="21">
        <v>28</v>
      </c>
      <c r="AE284" s="21">
        <v>29</v>
      </c>
      <c r="AF284" s="21">
        <v>30</v>
      </c>
      <c r="AG284" s="21">
        <v>31</v>
      </c>
      <c r="AH284" s="25" t="s">
        <v>72</v>
      </c>
      <c r="AI284" s="2266" t="s">
        <v>1345</v>
      </c>
      <c r="AJ284" s="66" t="e">
        <f>(B297/COUNTIF($C$285:$AG$296,"&gt;0"))</f>
        <v>#DIV/0!</v>
      </c>
    </row>
    <row r="285" spans="1:36">
      <c r="A285" s="1607" t="s">
        <v>73</v>
      </c>
      <c r="B285" s="15">
        <f t="shared" ref="B285:B296" si="51">+AH285</f>
        <v>0</v>
      </c>
      <c r="C285" s="35"/>
      <c r="D285" s="39"/>
      <c r="E285" s="39"/>
      <c r="F285" s="39"/>
      <c r="G285" s="15"/>
      <c r="H285" s="15"/>
      <c r="I285" s="15"/>
      <c r="J285" s="15"/>
      <c r="K285" s="15"/>
      <c r="L285" s="15"/>
      <c r="M285" s="15"/>
      <c r="N285" s="15"/>
      <c r="O285" s="15"/>
      <c r="P285" s="15"/>
      <c r="Q285" s="39"/>
      <c r="R285" s="15"/>
      <c r="S285" s="15"/>
      <c r="T285" s="15"/>
      <c r="U285" s="15"/>
      <c r="V285" s="39"/>
      <c r="W285" s="39"/>
      <c r="X285" s="15"/>
      <c r="Y285" s="15"/>
      <c r="Z285" s="15"/>
      <c r="AA285" s="15"/>
      <c r="AB285" s="15"/>
      <c r="AC285" s="15"/>
      <c r="AD285" s="39"/>
      <c r="AE285" s="15"/>
      <c r="AF285" s="15"/>
      <c r="AG285" s="15"/>
      <c r="AH285" s="39">
        <f>SUM(C285:AG285)</f>
        <v>0</v>
      </c>
    </row>
    <row r="286" spans="1:36">
      <c r="A286" s="1607" t="s">
        <v>74</v>
      </c>
      <c r="B286" s="15">
        <f t="shared" si="51"/>
        <v>0</v>
      </c>
      <c r="C286" s="3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39">
        <f t="shared" ref="AH286:AH296" si="52">SUM(C286:AG286)</f>
        <v>0</v>
      </c>
    </row>
    <row r="287" spans="1:36">
      <c r="A287" s="1607" t="s">
        <v>75</v>
      </c>
      <c r="B287" s="15">
        <f t="shared" si="51"/>
        <v>0</v>
      </c>
      <c r="C287" s="32"/>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f t="shared" si="52"/>
        <v>0</v>
      </c>
    </row>
    <row r="288" spans="1:36">
      <c r="A288" s="1607" t="s">
        <v>76</v>
      </c>
      <c r="B288" s="15">
        <f t="shared" si="51"/>
        <v>0</v>
      </c>
      <c r="C288" s="35"/>
      <c r="D288" s="39"/>
      <c r="E288" s="39"/>
      <c r="F288" s="39"/>
      <c r="G288" s="15"/>
      <c r="H288" s="15"/>
      <c r="I288" s="15"/>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f t="shared" si="52"/>
        <v>0</v>
      </c>
    </row>
    <row r="289" spans="1:36">
      <c r="A289" s="1607" t="s">
        <v>77</v>
      </c>
      <c r="B289" s="15">
        <f t="shared" si="51"/>
        <v>0</v>
      </c>
      <c r="C289" s="35"/>
      <c r="D289" s="15"/>
      <c r="E289" s="15"/>
      <c r="F289" s="15"/>
      <c r="G289" s="15"/>
      <c r="H289" s="15"/>
      <c r="I289" s="15"/>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f t="shared" si="52"/>
        <v>0</v>
      </c>
    </row>
    <row r="290" spans="1:36">
      <c r="A290" s="1607" t="s">
        <v>78</v>
      </c>
      <c r="B290" s="15">
        <f t="shared" si="51"/>
        <v>0</v>
      </c>
      <c r="C290" s="32"/>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f t="shared" si="52"/>
        <v>0</v>
      </c>
    </row>
    <row r="291" spans="1:36">
      <c r="A291" s="1607" t="s">
        <v>79</v>
      </c>
      <c r="B291" s="15">
        <f t="shared" si="51"/>
        <v>0</v>
      </c>
      <c r="C291" s="35"/>
      <c r="D291" s="39"/>
      <c r="E291" s="39"/>
      <c r="F291" s="39"/>
      <c r="G291" s="15"/>
      <c r="H291" s="15"/>
      <c r="I291" s="15"/>
      <c r="J291" s="43"/>
      <c r="K291" s="43"/>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f t="shared" si="52"/>
        <v>0</v>
      </c>
    </row>
    <row r="292" spans="1:36">
      <c r="A292" s="1607" t="s">
        <v>80</v>
      </c>
      <c r="B292" s="15">
        <f t="shared" si="51"/>
        <v>0</v>
      </c>
      <c r="C292" s="35"/>
      <c r="D292" s="15"/>
      <c r="E292" s="15"/>
      <c r="F292" s="15"/>
      <c r="G292" s="15"/>
      <c r="H292" s="15"/>
      <c r="I292" s="15"/>
      <c r="J292" s="43"/>
      <c r="K292" s="43"/>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f t="shared" si="52"/>
        <v>0</v>
      </c>
    </row>
    <row r="293" spans="1:36">
      <c r="A293" s="1607" t="s">
        <v>81</v>
      </c>
      <c r="B293" s="15">
        <f t="shared" si="51"/>
        <v>0</v>
      </c>
      <c r="C293" s="32"/>
      <c r="D293" s="39"/>
      <c r="E293" s="39"/>
      <c r="F293" s="39"/>
      <c r="G293" s="39"/>
      <c r="H293" s="39"/>
      <c r="I293" s="39"/>
      <c r="J293" s="43"/>
      <c r="K293" s="43"/>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39">
        <f t="shared" si="52"/>
        <v>0</v>
      </c>
    </row>
    <row r="294" spans="1:36">
      <c r="A294" s="1522" t="s">
        <v>82</v>
      </c>
      <c r="B294" s="15">
        <f t="shared" si="51"/>
        <v>0</v>
      </c>
      <c r="C294" s="35"/>
      <c r="D294" s="39"/>
      <c r="E294" s="39"/>
      <c r="F294" s="39"/>
      <c r="G294" s="15"/>
      <c r="H294" s="15"/>
      <c r="I294" s="15"/>
      <c r="J294" s="15"/>
      <c r="K294" s="15"/>
      <c r="L294" s="15"/>
      <c r="M294" s="15"/>
      <c r="N294" s="15"/>
      <c r="O294" s="39"/>
      <c r="P294" s="15"/>
      <c r="Q294" s="15"/>
      <c r="R294" s="15"/>
      <c r="S294" s="15"/>
      <c r="T294" s="15"/>
      <c r="U294" s="15"/>
      <c r="V294" s="15"/>
      <c r="W294" s="15"/>
      <c r="X294" s="15"/>
      <c r="Y294" s="15"/>
      <c r="Z294" s="15"/>
      <c r="AA294" s="15"/>
      <c r="AB294" s="15"/>
      <c r="AC294" s="15"/>
      <c r="AD294" s="15"/>
      <c r="AE294" s="39"/>
      <c r="AF294" s="15"/>
      <c r="AG294" s="39"/>
      <c r="AH294" s="39">
        <f t="shared" si="52"/>
        <v>0</v>
      </c>
    </row>
    <row r="295" spans="1:36">
      <c r="A295" s="1522" t="s">
        <v>83</v>
      </c>
      <c r="B295" s="15">
        <f t="shared" si="51"/>
        <v>0</v>
      </c>
      <c r="C295" s="3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39"/>
      <c r="AF295" s="15"/>
      <c r="AG295" s="39"/>
      <c r="AH295" s="39">
        <f t="shared" si="52"/>
        <v>0</v>
      </c>
    </row>
    <row r="296" spans="1:36">
      <c r="A296" s="1522" t="s">
        <v>84</v>
      </c>
      <c r="B296" s="15">
        <f t="shared" si="51"/>
        <v>0</v>
      </c>
      <c r="C296" s="3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39"/>
      <c r="AF296" s="15"/>
      <c r="AG296" s="39"/>
      <c r="AH296" s="39">
        <f t="shared" si="52"/>
        <v>0</v>
      </c>
    </row>
    <row r="297" spans="1:36">
      <c r="A297" s="71" t="s">
        <v>72</v>
      </c>
      <c r="B297" s="72">
        <f>SUM(B285:B296)</f>
        <v>0</v>
      </c>
      <c r="C297" s="32">
        <f>SUM(C285:C295)</f>
        <v>0</v>
      </c>
      <c r="D297" s="39">
        <f>SUM(D285:D295)</f>
        <v>0</v>
      </c>
      <c r="E297" s="39">
        <v>0</v>
      </c>
      <c r="F297" s="39">
        <f t="shared" ref="F297:AC297" si="53">SUM(F285:F295)</f>
        <v>0</v>
      </c>
      <c r="G297" s="39">
        <f t="shared" si="53"/>
        <v>0</v>
      </c>
      <c r="H297" s="39">
        <f t="shared" si="53"/>
        <v>0</v>
      </c>
      <c r="I297" s="39">
        <f t="shared" si="53"/>
        <v>0</v>
      </c>
      <c r="J297" s="39">
        <f t="shared" si="53"/>
        <v>0</v>
      </c>
      <c r="K297" s="39">
        <f t="shared" si="53"/>
        <v>0</v>
      </c>
      <c r="L297" s="39">
        <f t="shared" si="53"/>
        <v>0</v>
      </c>
      <c r="M297" s="39">
        <f t="shared" si="53"/>
        <v>0</v>
      </c>
      <c r="N297" s="39">
        <f t="shared" si="53"/>
        <v>0</v>
      </c>
      <c r="O297" s="39">
        <f t="shared" si="53"/>
        <v>0</v>
      </c>
      <c r="P297" s="39">
        <f t="shared" si="53"/>
        <v>0</v>
      </c>
      <c r="Q297" s="39">
        <f t="shared" si="53"/>
        <v>0</v>
      </c>
      <c r="R297" s="39">
        <f t="shared" si="53"/>
        <v>0</v>
      </c>
      <c r="S297" s="39">
        <f t="shared" si="53"/>
        <v>0</v>
      </c>
      <c r="T297" s="39">
        <f t="shared" si="53"/>
        <v>0</v>
      </c>
      <c r="U297" s="39">
        <f t="shared" si="53"/>
        <v>0</v>
      </c>
      <c r="V297" s="39">
        <f t="shared" si="53"/>
        <v>0</v>
      </c>
      <c r="W297" s="39">
        <f t="shared" si="53"/>
        <v>0</v>
      </c>
      <c r="X297" s="39">
        <f t="shared" si="53"/>
        <v>0</v>
      </c>
      <c r="Y297" s="39">
        <f t="shared" si="53"/>
        <v>0</v>
      </c>
      <c r="Z297" s="39">
        <f t="shared" si="53"/>
        <v>0</v>
      </c>
      <c r="AA297" s="39">
        <f t="shared" si="53"/>
        <v>0</v>
      </c>
      <c r="AB297" s="39">
        <f t="shared" si="53"/>
        <v>0</v>
      </c>
      <c r="AC297" s="39">
        <f t="shared" si="53"/>
        <v>0</v>
      </c>
      <c r="AD297" s="39">
        <v>0</v>
      </c>
      <c r="AE297" s="39">
        <f>SUM(AE285:AE295)</f>
        <v>0</v>
      </c>
      <c r="AF297" s="39">
        <f>SUM(AF285:AF295)</f>
        <v>0</v>
      </c>
      <c r="AG297" s="39">
        <f>SUM(AG285:AG295)</f>
        <v>0</v>
      </c>
      <c r="AH297" s="32">
        <f>SUM(AH285:AH295)</f>
        <v>0</v>
      </c>
    </row>
    <row r="298" spans="1:36" ht="17.25" customHeight="1">
      <c r="A298" s="14"/>
      <c r="B298" s="14"/>
      <c r="C298" s="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
    </row>
    <row r="299" spans="1:36">
      <c r="A299" s="3872" t="s">
        <v>124</v>
      </c>
      <c r="B299" s="3873"/>
      <c r="C299" s="3873"/>
      <c r="D299" s="3873"/>
      <c r="E299" s="3873"/>
      <c r="F299" s="3873"/>
      <c r="G299" s="3873"/>
      <c r="H299" s="3874"/>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row>
    <row r="300" spans="1:36">
      <c r="A300" s="5" t="s">
        <v>70</v>
      </c>
      <c r="B300" s="5" t="s">
        <v>71</v>
      </c>
      <c r="C300" s="98">
        <v>1</v>
      </c>
      <c r="D300" s="21">
        <v>2</v>
      </c>
      <c r="E300" s="21">
        <v>3</v>
      </c>
      <c r="F300" s="21">
        <v>4</v>
      </c>
      <c r="G300" s="21">
        <v>5</v>
      </c>
      <c r="H300" s="21">
        <v>6</v>
      </c>
      <c r="I300" s="21">
        <v>7</v>
      </c>
      <c r="J300" s="21">
        <v>8</v>
      </c>
      <c r="K300" s="21">
        <v>9</v>
      </c>
      <c r="L300" s="21">
        <v>10</v>
      </c>
      <c r="M300" s="21">
        <v>11</v>
      </c>
      <c r="N300" s="21">
        <v>12</v>
      </c>
      <c r="O300" s="21">
        <v>13</v>
      </c>
      <c r="P300" s="21">
        <v>14</v>
      </c>
      <c r="Q300" s="21">
        <v>15</v>
      </c>
      <c r="R300" s="21">
        <v>16</v>
      </c>
      <c r="S300" s="21">
        <v>17</v>
      </c>
      <c r="T300" s="21">
        <v>18</v>
      </c>
      <c r="U300" s="21">
        <v>19</v>
      </c>
      <c r="V300" s="21">
        <v>20</v>
      </c>
      <c r="W300" s="21">
        <v>21</v>
      </c>
      <c r="X300" s="21">
        <v>22</v>
      </c>
      <c r="Y300" s="21">
        <v>23</v>
      </c>
      <c r="Z300" s="21">
        <v>24</v>
      </c>
      <c r="AA300" s="21">
        <v>25</v>
      </c>
      <c r="AB300" s="21">
        <v>26</v>
      </c>
      <c r="AC300" s="21">
        <v>27</v>
      </c>
      <c r="AD300" s="21">
        <v>28</v>
      </c>
      <c r="AE300" s="21">
        <v>29</v>
      </c>
      <c r="AF300" s="21">
        <v>30</v>
      </c>
      <c r="AG300" s="21">
        <v>31</v>
      </c>
      <c r="AH300" s="25" t="s">
        <v>72</v>
      </c>
      <c r="AI300" s="2266" t="s">
        <v>1345</v>
      </c>
      <c r="AJ300" s="66" t="e">
        <f>(B313/COUNTIF($C$301:$AG$312,"&gt;0"))</f>
        <v>#DIV/0!</v>
      </c>
    </row>
    <row r="301" spans="1:36">
      <c r="A301" s="1607" t="s">
        <v>73</v>
      </c>
      <c r="B301" s="15">
        <f t="shared" ref="B301:B312" si="54">+AH301</f>
        <v>0</v>
      </c>
      <c r="C301" s="35"/>
      <c r="D301" s="39"/>
      <c r="E301" s="39"/>
      <c r="F301" s="39"/>
      <c r="G301" s="15"/>
      <c r="H301" s="15"/>
      <c r="I301" s="15"/>
      <c r="J301" s="15"/>
      <c r="K301" s="15"/>
      <c r="L301" s="15"/>
      <c r="M301" s="15"/>
      <c r="N301" s="15"/>
      <c r="O301" s="15"/>
      <c r="P301" s="15"/>
      <c r="Q301" s="39"/>
      <c r="R301" s="15"/>
      <c r="S301" s="15"/>
      <c r="T301" s="15"/>
      <c r="U301" s="15"/>
      <c r="V301" s="39"/>
      <c r="W301" s="39"/>
      <c r="X301" s="15"/>
      <c r="Y301" s="15"/>
      <c r="Z301" s="15"/>
      <c r="AA301" s="15"/>
      <c r="AB301" s="15"/>
      <c r="AC301" s="15"/>
      <c r="AD301" s="39"/>
      <c r="AE301" s="15"/>
      <c r="AF301" s="15"/>
      <c r="AG301" s="15"/>
      <c r="AH301" s="39">
        <f>SUM(C301:AG301)</f>
        <v>0</v>
      </c>
    </row>
    <row r="302" spans="1:36">
      <c r="A302" s="1607" t="s">
        <v>74</v>
      </c>
      <c r="B302" s="15">
        <f t="shared" si="54"/>
        <v>0</v>
      </c>
      <c r="C302" s="3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39">
        <f t="shared" ref="AH302:AH312" si="55">SUM(C302:AG302)</f>
        <v>0</v>
      </c>
    </row>
    <row r="303" spans="1:36">
      <c r="A303" s="1607" t="s">
        <v>75</v>
      </c>
      <c r="B303" s="15">
        <f t="shared" si="54"/>
        <v>0</v>
      </c>
      <c r="C303" s="32"/>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f t="shared" si="55"/>
        <v>0</v>
      </c>
    </row>
    <row r="304" spans="1:36">
      <c r="A304" s="1607" t="s">
        <v>76</v>
      </c>
      <c r="B304" s="15">
        <f t="shared" si="54"/>
        <v>0</v>
      </c>
      <c r="C304" s="35"/>
      <c r="D304" s="39"/>
      <c r="E304" s="39"/>
      <c r="F304" s="39"/>
      <c r="G304" s="15"/>
      <c r="H304" s="15"/>
      <c r="I304" s="15"/>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f t="shared" si="55"/>
        <v>0</v>
      </c>
    </row>
    <row r="305" spans="1:36">
      <c r="A305" s="1607" t="s">
        <v>77</v>
      </c>
      <c r="B305" s="15">
        <f t="shared" si="54"/>
        <v>0</v>
      </c>
      <c r="C305" s="35"/>
      <c r="D305" s="15"/>
      <c r="E305" s="15"/>
      <c r="F305" s="15"/>
      <c r="G305" s="15"/>
      <c r="H305" s="15"/>
      <c r="I305" s="15"/>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f t="shared" si="55"/>
        <v>0</v>
      </c>
    </row>
    <row r="306" spans="1:36">
      <c r="A306" s="1607" t="s">
        <v>78</v>
      </c>
      <c r="B306" s="15">
        <f t="shared" si="54"/>
        <v>0</v>
      </c>
      <c r="C306" s="32"/>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f t="shared" si="55"/>
        <v>0</v>
      </c>
    </row>
    <row r="307" spans="1:36">
      <c r="A307" s="1607" t="s">
        <v>79</v>
      </c>
      <c r="B307" s="15">
        <f t="shared" si="54"/>
        <v>0</v>
      </c>
      <c r="C307" s="35"/>
      <c r="D307" s="39"/>
      <c r="E307" s="39"/>
      <c r="F307" s="39"/>
      <c r="G307" s="15"/>
      <c r="H307" s="15"/>
      <c r="I307" s="15"/>
      <c r="J307" s="43"/>
      <c r="K307" s="43"/>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f t="shared" si="55"/>
        <v>0</v>
      </c>
    </row>
    <row r="308" spans="1:36">
      <c r="A308" s="1607" t="s">
        <v>80</v>
      </c>
      <c r="B308" s="15">
        <f t="shared" si="54"/>
        <v>0</v>
      </c>
      <c r="C308" s="35"/>
      <c r="D308" s="15"/>
      <c r="E308" s="15"/>
      <c r="F308" s="15"/>
      <c r="G308" s="15"/>
      <c r="H308" s="15"/>
      <c r="I308" s="15"/>
      <c r="J308" s="43"/>
      <c r="K308" s="43"/>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f t="shared" si="55"/>
        <v>0</v>
      </c>
    </row>
    <row r="309" spans="1:36">
      <c r="A309" s="1607" t="s">
        <v>81</v>
      </c>
      <c r="B309" s="15">
        <f t="shared" si="54"/>
        <v>0</v>
      </c>
      <c r="C309" s="32"/>
      <c r="D309" s="39"/>
      <c r="E309" s="39"/>
      <c r="F309" s="39"/>
      <c r="G309" s="39"/>
      <c r="H309" s="39"/>
      <c r="I309" s="39"/>
      <c r="J309" s="43"/>
      <c r="K309" s="43"/>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39">
        <f t="shared" si="55"/>
        <v>0</v>
      </c>
    </row>
    <row r="310" spans="1:36">
      <c r="A310" s="1522" t="s">
        <v>82</v>
      </c>
      <c r="B310" s="15">
        <f t="shared" si="54"/>
        <v>0</v>
      </c>
      <c r="C310" s="35"/>
      <c r="D310" s="39"/>
      <c r="E310" s="39"/>
      <c r="F310" s="39"/>
      <c r="G310" s="15"/>
      <c r="H310" s="15"/>
      <c r="I310" s="15"/>
      <c r="J310" s="15"/>
      <c r="K310" s="15"/>
      <c r="L310" s="15"/>
      <c r="M310" s="15"/>
      <c r="N310" s="15"/>
      <c r="O310" s="39"/>
      <c r="P310" s="15"/>
      <c r="Q310" s="15"/>
      <c r="R310" s="15"/>
      <c r="S310" s="15"/>
      <c r="T310" s="15"/>
      <c r="U310" s="15"/>
      <c r="V310" s="15"/>
      <c r="W310" s="15"/>
      <c r="X310" s="15"/>
      <c r="Y310" s="15"/>
      <c r="Z310" s="15"/>
      <c r="AA310" s="15"/>
      <c r="AB310" s="15"/>
      <c r="AC310" s="15"/>
      <c r="AD310" s="15"/>
      <c r="AE310" s="39"/>
      <c r="AF310" s="15"/>
      <c r="AG310" s="39"/>
      <c r="AH310" s="39">
        <f t="shared" si="55"/>
        <v>0</v>
      </c>
    </row>
    <row r="311" spans="1:36">
      <c r="A311" s="1522" t="s">
        <v>83</v>
      </c>
      <c r="B311" s="15">
        <f t="shared" si="54"/>
        <v>0</v>
      </c>
      <c r="C311" s="3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39"/>
      <c r="AF311" s="15"/>
      <c r="AG311" s="39"/>
      <c r="AH311" s="39">
        <f t="shared" si="55"/>
        <v>0</v>
      </c>
    </row>
    <row r="312" spans="1:36">
      <c r="A312" s="1522" t="s">
        <v>84</v>
      </c>
      <c r="B312" s="15">
        <f t="shared" si="54"/>
        <v>0</v>
      </c>
      <c r="C312" s="3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39"/>
      <c r="AF312" s="15"/>
      <c r="AG312" s="39"/>
      <c r="AH312" s="39">
        <f t="shared" si="55"/>
        <v>0</v>
      </c>
    </row>
    <row r="313" spans="1:36">
      <c r="A313" s="71" t="s">
        <v>72</v>
      </c>
      <c r="B313" s="72">
        <f>SUM(B301:B312)</f>
        <v>0</v>
      </c>
      <c r="C313" s="32">
        <f>SUM(C301:C311)</f>
        <v>0</v>
      </c>
      <c r="D313" s="39">
        <f>SUM(D301:D311)</f>
        <v>0</v>
      </c>
      <c r="E313" s="39">
        <v>0</v>
      </c>
      <c r="F313" s="39">
        <f t="shared" ref="F313:AC313" si="56">SUM(F301:F311)</f>
        <v>0</v>
      </c>
      <c r="G313" s="39">
        <f t="shared" si="56"/>
        <v>0</v>
      </c>
      <c r="H313" s="39">
        <f t="shared" si="56"/>
        <v>0</v>
      </c>
      <c r="I313" s="39">
        <f t="shared" si="56"/>
        <v>0</v>
      </c>
      <c r="J313" s="39">
        <f t="shared" si="56"/>
        <v>0</v>
      </c>
      <c r="K313" s="39">
        <f t="shared" si="56"/>
        <v>0</v>
      </c>
      <c r="L313" s="39">
        <f t="shared" si="56"/>
        <v>0</v>
      </c>
      <c r="M313" s="39">
        <f t="shared" si="56"/>
        <v>0</v>
      </c>
      <c r="N313" s="39">
        <f t="shared" si="56"/>
        <v>0</v>
      </c>
      <c r="O313" s="39">
        <f t="shared" si="56"/>
        <v>0</v>
      </c>
      <c r="P313" s="39">
        <f t="shared" si="56"/>
        <v>0</v>
      </c>
      <c r="Q313" s="39">
        <f t="shared" si="56"/>
        <v>0</v>
      </c>
      <c r="R313" s="39">
        <f t="shared" si="56"/>
        <v>0</v>
      </c>
      <c r="S313" s="39">
        <f t="shared" si="56"/>
        <v>0</v>
      </c>
      <c r="T313" s="39">
        <f t="shared" si="56"/>
        <v>0</v>
      </c>
      <c r="U313" s="39">
        <f t="shared" si="56"/>
        <v>0</v>
      </c>
      <c r="V313" s="39">
        <f t="shared" si="56"/>
        <v>0</v>
      </c>
      <c r="W313" s="39">
        <f t="shared" si="56"/>
        <v>0</v>
      </c>
      <c r="X313" s="39">
        <f t="shared" si="56"/>
        <v>0</v>
      </c>
      <c r="Y313" s="39">
        <f t="shared" si="56"/>
        <v>0</v>
      </c>
      <c r="Z313" s="39">
        <f t="shared" si="56"/>
        <v>0</v>
      </c>
      <c r="AA313" s="39">
        <f t="shared" si="56"/>
        <v>0</v>
      </c>
      <c r="AB313" s="39">
        <f t="shared" si="56"/>
        <v>0</v>
      </c>
      <c r="AC313" s="39">
        <f t="shared" si="56"/>
        <v>0</v>
      </c>
      <c r="AD313" s="39">
        <v>0</v>
      </c>
      <c r="AE313" s="39">
        <f>SUM(AE301:AE311)</f>
        <v>0</v>
      </c>
      <c r="AF313" s="39">
        <f>SUM(AF301:AF311)</f>
        <v>0</v>
      </c>
      <c r="AG313" s="39">
        <f>SUM(AG301:AG311)</f>
        <v>0</v>
      </c>
      <c r="AH313" s="32">
        <f>SUM(AH301:AH311)</f>
        <v>0</v>
      </c>
    </row>
    <row r="314" spans="1:36" ht="17.25" customHeight="1">
      <c r="A314" s="14"/>
      <c r="B314" s="14"/>
      <c r="C314" s="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
    </row>
    <row r="315" spans="1:36">
      <c r="A315" s="3872" t="s">
        <v>125</v>
      </c>
      <c r="B315" s="3873"/>
      <c r="C315" s="3873"/>
      <c r="D315" s="3873"/>
      <c r="E315" s="3873"/>
      <c r="F315" s="3873"/>
      <c r="G315" s="3873"/>
      <c r="H315" s="3874"/>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row>
    <row r="316" spans="1:36">
      <c r="A316" s="5" t="s">
        <v>70</v>
      </c>
      <c r="B316" s="5" t="s">
        <v>71</v>
      </c>
      <c r="C316" s="98">
        <v>1</v>
      </c>
      <c r="D316" s="21">
        <v>2</v>
      </c>
      <c r="E316" s="21">
        <v>3</v>
      </c>
      <c r="F316" s="21">
        <v>4</v>
      </c>
      <c r="G316" s="21">
        <v>5</v>
      </c>
      <c r="H316" s="21">
        <v>6</v>
      </c>
      <c r="I316" s="21">
        <v>7</v>
      </c>
      <c r="J316" s="21">
        <v>8</v>
      </c>
      <c r="K316" s="21">
        <v>9</v>
      </c>
      <c r="L316" s="21">
        <v>10</v>
      </c>
      <c r="M316" s="21">
        <v>11</v>
      </c>
      <c r="N316" s="21">
        <v>12</v>
      </c>
      <c r="O316" s="21">
        <v>13</v>
      </c>
      <c r="P316" s="21">
        <v>14</v>
      </c>
      <c r="Q316" s="21">
        <v>15</v>
      </c>
      <c r="R316" s="21">
        <v>16</v>
      </c>
      <c r="S316" s="21">
        <v>17</v>
      </c>
      <c r="T316" s="21">
        <v>18</v>
      </c>
      <c r="U316" s="21">
        <v>19</v>
      </c>
      <c r="V316" s="21">
        <v>20</v>
      </c>
      <c r="W316" s="21">
        <v>21</v>
      </c>
      <c r="X316" s="21">
        <v>22</v>
      </c>
      <c r="Y316" s="21">
        <v>23</v>
      </c>
      <c r="Z316" s="21">
        <v>24</v>
      </c>
      <c r="AA316" s="21">
        <v>25</v>
      </c>
      <c r="AB316" s="21">
        <v>26</v>
      </c>
      <c r="AC316" s="21">
        <v>27</v>
      </c>
      <c r="AD316" s="21">
        <v>28</v>
      </c>
      <c r="AE316" s="21">
        <v>29</v>
      </c>
      <c r="AF316" s="21">
        <v>30</v>
      </c>
      <c r="AG316" s="21">
        <v>31</v>
      </c>
      <c r="AH316" s="25" t="s">
        <v>72</v>
      </c>
      <c r="AI316" s="2266" t="s">
        <v>1345</v>
      </c>
      <c r="AJ316" s="66" t="e">
        <f>(B329/COUNTIF($C$317:$AG$328,"&gt;0"))</f>
        <v>#DIV/0!</v>
      </c>
    </row>
    <row r="317" spans="1:36">
      <c r="A317" s="1607" t="s">
        <v>73</v>
      </c>
      <c r="B317" s="15">
        <f t="shared" ref="B317:B328" si="57">+AH317</f>
        <v>0</v>
      </c>
      <c r="C317" s="35"/>
      <c r="D317" s="39"/>
      <c r="E317" s="39"/>
      <c r="F317" s="39"/>
      <c r="G317" s="15"/>
      <c r="H317" s="15"/>
      <c r="I317" s="15"/>
      <c r="J317" s="15"/>
      <c r="K317" s="15"/>
      <c r="L317" s="15"/>
      <c r="M317" s="15"/>
      <c r="N317" s="15"/>
      <c r="O317" s="15"/>
      <c r="P317" s="15"/>
      <c r="Q317" s="39"/>
      <c r="R317" s="15"/>
      <c r="S317" s="15"/>
      <c r="T317" s="15"/>
      <c r="U317" s="15"/>
      <c r="V317" s="39"/>
      <c r="W317" s="39"/>
      <c r="X317" s="15"/>
      <c r="Y317" s="15"/>
      <c r="Z317" s="15"/>
      <c r="AA317" s="15"/>
      <c r="AB317" s="15"/>
      <c r="AC317" s="15"/>
      <c r="AD317" s="39"/>
      <c r="AE317" s="15"/>
      <c r="AF317" s="15"/>
      <c r="AG317" s="15"/>
      <c r="AH317" s="39">
        <f>SUM(C317:AG317)</f>
        <v>0</v>
      </c>
    </row>
    <row r="318" spans="1:36">
      <c r="A318" s="1607" t="s">
        <v>74</v>
      </c>
      <c r="B318" s="15">
        <f t="shared" si="57"/>
        <v>0</v>
      </c>
      <c r="C318" s="3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39">
        <f t="shared" ref="AH318:AH328" si="58">SUM(C318:AG318)</f>
        <v>0</v>
      </c>
    </row>
    <row r="319" spans="1:36">
      <c r="A319" s="1607" t="s">
        <v>75</v>
      </c>
      <c r="B319" s="15">
        <f t="shared" si="57"/>
        <v>0</v>
      </c>
      <c r="C319" s="32"/>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f t="shared" si="58"/>
        <v>0</v>
      </c>
    </row>
    <row r="320" spans="1:36">
      <c r="A320" s="1607" t="s">
        <v>76</v>
      </c>
      <c r="B320" s="15">
        <f t="shared" si="57"/>
        <v>0</v>
      </c>
      <c r="C320" s="35"/>
      <c r="D320" s="39"/>
      <c r="E320" s="39"/>
      <c r="F320" s="39"/>
      <c r="G320" s="15"/>
      <c r="H320" s="15"/>
      <c r="I320" s="15"/>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f t="shared" si="58"/>
        <v>0</v>
      </c>
    </row>
    <row r="321" spans="1:36">
      <c r="A321" s="1607" t="s">
        <v>77</v>
      </c>
      <c r="B321" s="15">
        <f t="shared" si="57"/>
        <v>0</v>
      </c>
      <c r="C321" s="35"/>
      <c r="D321" s="15"/>
      <c r="E321" s="15"/>
      <c r="F321" s="15"/>
      <c r="G321" s="15"/>
      <c r="H321" s="15"/>
      <c r="I321" s="15"/>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f t="shared" si="58"/>
        <v>0</v>
      </c>
    </row>
    <row r="322" spans="1:36">
      <c r="A322" s="1607" t="s">
        <v>78</v>
      </c>
      <c r="B322" s="15">
        <f t="shared" si="57"/>
        <v>0</v>
      </c>
      <c r="C322" s="32"/>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f t="shared" si="58"/>
        <v>0</v>
      </c>
    </row>
    <row r="323" spans="1:36">
      <c r="A323" s="1607" t="s">
        <v>79</v>
      </c>
      <c r="B323" s="15">
        <f t="shared" si="57"/>
        <v>0</v>
      </c>
      <c r="C323" s="35"/>
      <c r="D323" s="39"/>
      <c r="E323" s="39"/>
      <c r="F323" s="39"/>
      <c r="G323" s="15"/>
      <c r="H323" s="15"/>
      <c r="I323" s="15"/>
      <c r="J323" s="43"/>
      <c r="K323" s="43"/>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f t="shared" si="58"/>
        <v>0</v>
      </c>
    </row>
    <row r="324" spans="1:36">
      <c r="A324" s="1607" t="s">
        <v>80</v>
      </c>
      <c r="B324" s="15">
        <f t="shared" si="57"/>
        <v>0</v>
      </c>
      <c r="C324" s="35"/>
      <c r="D324" s="15"/>
      <c r="E324" s="15"/>
      <c r="F324" s="15"/>
      <c r="G324" s="15"/>
      <c r="H324" s="15"/>
      <c r="I324" s="15"/>
      <c r="J324" s="43"/>
      <c r="K324" s="43"/>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f t="shared" si="58"/>
        <v>0</v>
      </c>
    </row>
    <row r="325" spans="1:36">
      <c r="A325" s="1607" t="s">
        <v>81</v>
      </c>
      <c r="B325" s="15">
        <f t="shared" si="57"/>
        <v>0</v>
      </c>
      <c r="C325" s="32"/>
      <c r="D325" s="39"/>
      <c r="E325" s="39"/>
      <c r="F325" s="39"/>
      <c r="G325" s="39"/>
      <c r="H325" s="39"/>
      <c r="I325" s="39"/>
      <c r="J325" s="43"/>
      <c r="K325" s="43"/>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39">
        <f t="shared" si="58"/>
        <v>0</v>
      </c>
    </row>
    <row r="326" spans="1:36">
      <c r="A326" s="1522" t="s">
        <v>82</v>
      </c>
      <c r="B326" s="15">
        <f t="shared" si="57"/>
        <v>0</v>
      </c>
      <c r="C326" s="35"/>
      <c r="D326" s="39"/>
      <c r="E326" s="39"/>
      <c r="F326" s="39"/>
      <c r="G326" s="15"/>
      <c r="H326" s="15"/>
      <c r="I326" s="15"/>
      <c r="J326" s="15"/>
      <c r="K326" s="15"/>
      <c r="L326" s="15"/>
      <c r="M326" s="15"/>
      <c r="N326" s="15"/>
      <c r="O326" s="39"/>
      <c r="P326" s="15"/>
      <c r="Q326" s="15"/>
      <c r="R326" s="15"/>
      <c r="S326" s="15"/>
      <c r="T326" s="15"/>
      <c r="U326" s="15"/>
      <c r="V326" s="15"/>
      <c r="W326" s="15"/>
      <c r="X326" s="15"/>
      <c r="Y326" s="15"/>
      <c r="Z326" s="15"/>
      <c r="AA326" s="15"/>
      <c r="AB326" s="15"/>
      <c r="AC326" s="15"/>
      <c r="AD326" s="15"/>
      <c r="AE326" s="39"/>
      <c r="AF326" s="15"/>
      <c r="AG326" s="39"/>
      <c r="AH326" s="39">
        <f t="shared" si="58"/>
        <v>0</v>
      </c>
    </row>
    <row r="327" spans="1:36">
      <c r="A327" s="1522" t="s">
        <v>83</v>
      </c>
      <c r="B327" s="15">
        <f t="shared" si="57"/>
        <v>0</v>
      </c>
      <c r="C327" s="3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39"/>
      <c r="AF327" s="15"/>
      <c r="AG327" s="39"/>
      <c r="AH327" s="39">
        <f t="shared" si="58"/>
        <v>0</v>
      </c>
    </row>
    <row r="328" spans="1:36">
      <c r="A328" s="1522" t="s">
        <v>84</v>
      </c>
      <c r="B328" s="15">
        <f t="shared" si="57"/>
        <v>0</v>
      </c>
      <c r="C328" s="3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39"/>
      <c r="AF328" s="15"/>
      <c r="AG328" s="39"/>
      <c r="AH328" s="39">
        <f t="shared" si="58"/>
        <v>0</v>
      </c>
    </row>
    <row r="329" spans="1:36">
      <c r="A329" s="71" t="s">
        <v>72</v>
      </c>
      <c r="B329" s="72">
        <f>SUM(B317:B328)</f>
        <v>0</v>
      </c>
      <c r="C329" s="32">
        <f>SUM(C317:C327)</f>
        <v>0</v>
      </c>
      <c r="D329" s="39">
        <f>SUM(D317:D327)</f>
        <v>0</v>
      </c>
      <c r="E329" s="39">
        <v>0</v>
      </c>
      <c r="F329" s="39">
        <f t="shared" ref="F329:AC329" si="59">SUM(F317:F327)</f>
        <v>0</v>
      </c>
      <c r="G329" s="39">
        <f t="shared" si="59"/>
        <v>0</v>
      </c>
      <c r="H329" s="39">
        <f t="shared" si="59"/>
        <v>0</v>
      </c>
      <c r="I329" s="39">
        <f t="shared" si="59"/>
        <v>0</v>
      </c>
      <c r="J329" s="39">
        <f t="shared" si="59"/>
        <v>0</v>
      </c>
      <c r="K329" s="39">
        <f t="shared" si="59"/>
        <v>0</v>
      </c>
      <c r="L329" s="39">
        <f t="shared" si="59"/>
        <v>0</v>
      </c>
      <c r="M329" s="39">
        <f t="shared" si="59"/>
        <v>0</v>
      </c>
      <c r="N329" s="39">
        <f t="shared" si="59"/>
        <v>0</v>
      </c>
      <c r="O329" s="39">
        <f t="shared" si="59"/>
        <v>0</v>
      </c>
      <c r="P329" s="39">
        <f t="shared" si="59"/>
        <v>0</v>
      </c>
      <c r="Q329" s="39">
        <f t="shared" si="59"/>
        <v>0</v>
      </c>
      <c r="R329" s="39">
        <f t="shared" si="59"/>
        <v>0</v>
      </c>
      <c r="S329" s="39">
        <f t="shared" si="59"/>
        <v>0</v>
      </c>
      <c r="T329" s="39">
        <f t="shared" si="59"/>
        <v>0</v>
      </c>
      <c r="U329" s="39">
        <f t="shared" si="59"/>
        <v>0</v>
      </c>
      <c r="V329" s="39">
        <f t="shared" si="59"/>
        <v>0</v>
      </c>
      <c r="W329" s="39">
        <f t="shared" si="59"/>
        <v>0</v>
      </c>
      <c r="X329" s="39">
        <f t="shared" si="59"/>
        <v>0</v>
      </c>
      <c r="Y329" s="39">
        <f t="shared" si="59"/>
        <v>0</v>
      </c>
      <c r="Z329" s="39">
        <f t="shared" si="59"/>
        <v>0</v>
      </c>
      <c r="AA329" s="39">
        <f t="shared" si="59"/>
        <v>0</v>
      </c>
      <c r="AB329" s="39">
        <f t="shared" si="59"/>
        <v>0</v>
      </c>
      <c r="AC329" s="39">
        <f t="shared" si="59"/>
        <v>0</v>
      </c>
      <c r="AD329" s="39">
        <v>0</v>
      </c>
      <c r="AE329" s="39">
        <f>SUM(AE317:AE327)</f>
        <v>0</v>
      </c>
      <c r="AF329" s="39">
        <f>SUM(AF317:AF327)</f>
        <v>0</v>
      </c>
      <c r="AG329" s="39">
        <f>SUM(AG317:AG327)</f>
        <v>0</v>
      </c>
      <c r="AH329" s="32">
        <f>SUM(AH317:AH327)</f>
        <v>0</v>
      </c>
    </row>
    <row r="330" spans="1:36" ht="17.25" customHeight="1">
      <c r="A330" s="14"/>
      <c r="B330" s="14"/>
      <c r="C330" s="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
    </row>
    <row r="331" spans="1:36">
      <c r="A331" s="3872" t="s">
        <v>126</v>
      </c>
      <c r="B331" s="3873"/>
      <c r="C331" s="3873"/>
      <c r="D331" s="3873"/>
      <c r="E331" s="3873"/>
      <c r="F331" s="3873"/>
      <c r="G331" s="3873"/>
      <c r="H331" s="3874"/>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row>
    <row r="332" spans="1:36">
      <c r="A332" s="5" t="s">
        <v>70</v>
      </c>
      <c r="B332" s="5" t="s">
        <v>71</v>
      </c>
      <c r="C332" s="98">
        <v>1</v>
      </c>
      <c r="D332" s="21">
        <v>2</v>
      </c>
      <c r="E332" s="21">
        <v>3</v>
      </c>
      <c r="F332" s="21">
        <v>4</v>
      </c>
      <c r="G332" s="21">
        <v>5</v>
      </c>
      <c r="H332" s="21">
        <v>6</v>
      </c>
      <c r="I332" s="21">
        <v>7</v>
      </c>
      <c r="J332" s="21">
        <v>8</v>
      </c>
      <c r="K332" s="21">
        <v>9</v>
      </c>
      <c r="L332" s="21">
        <v>10</v>
      </c>
      <c r="M332" s="21">
        <v>11</v>
      </c>
      <c r="N332" s="21">
        <v>12</v>
      </c>
      <c r="O332" s="21">
        <v>13</v>
      </c>
      <c r="P332" s="21">
        <v>14</v>
      </c>
      <c r="Q332" s="21">
        <v>15</v>
      </c>
      <c r="R332" s="21">
        <v>16</v>
      </c>
      <c r="S332" s="21">
        <v>17</v>
      </c>
      <c r="T332" s="21">
        <v>18</v>
      </c>
      <c r="U332" s="21">
        <v>19</v>
      </c>
      <c r="V332" s="21">
        <v>20</v>
      </c>
      <c r="W332" s="21">
        <v>21</v>
      </c>
      <c r="X332" s="21">
        <v>22</v>
      </c>
      <c r="Y332" s="21">
        <v>23</v>
      </c>
      <c r="Z332" s="21">
        <v>24</v>
      </c>
      <c r="AA332" s="21">
        <v>25</v>
      </c>
      <c r="AB332" s="21">
        <v>26</v>
      </c>
      <c r="AC332" s="21">
        <v>27</v>
      </c>
      <c r="AD332" s="21">
        <v>28</v>
      </c>
      <c r="AE332" s="21">
        <v>29</v>
      </c>
      <c r="AF332" s="21">
        <v>30</v>
      </c>
      <c r="AG332" s="21">
        <v>31</v>
      </c>
      <c r="AH332" s="25" t="s">
        <v>72</v>
      </c>
      <c r="AI332" s="2266" t="s">
        <v>1345</v>
      </c>
      <c r="AJ332" s="66" t="e">
        <f>(B345/COUNTIF($C$333:$AG$344,"&gt;0"))</f>
        <v>#DIV/0!</v>
      </c>
    </row>
    <row r="333" spans="1:36">
      <c r="A333" s="1607" t="s">
        <v>73</v>
      </c>
      <c r="B333" s="15">
        <f t="shared" ref="B333:B344" si="60">+AH333</f>
        <v>0</v>
      </c>
      <c r="C333" s="35"/>
      <c r="D333" s="39"/>
      <c r="E333" s="39"/>
      <c r="F333" s="39"/>
      <c r="G333" s="15"/>
      <c r="H333" s="15"/>
      <c r="I333" s="15"/>
      <c r="J333" s="15"/>
      <c r="K333" s="15"/>
      <c r="L333" s="15"/>
      <c r="M333" s="15"/>
      <c r="N333" s="15"/>
      <c r="O333" s="15"/>
      <c r="P333" s="15"/>
      <c r="Q333" s="39"/>
      <c r="R333" s="15"/>
      <c r="S333" s="15"/>
      <c r="T333" s="15"/>
      <c r="U333" s="15"/>
      <c r="V333" s="39"/>
      <c r="W333" s="39"/>
      <c r="X333" s="15"/>
      <c r="Y333" s="15"/>
      <c r="Z333" s="15"/>
      <c r="AA333" s="15"/>
      <c r="AB333" s="15"/>
      <c r="AC333" s="15"/>
      <c r="AD333" s="39"/>
      <c r="AE333" s="15"/>
      <c r="AF333" s="15"/>
      <c r="AG333" s="15"/>
      <c r="AH333" s="39">
        <f>SUM(C333:AG333)</f>
        <v>0</v>
      </c>
    </row>
    <row r="334" spans="1:36">
      <c r="A334" s="1607" t="s">
        <v>74</v>
      </c>
      <c r="B334" s="15">
        <f t="shared" si="60"/>
        <v>0</v>
      </c>
      <c r="C334" s="3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39">
        <f t="shared" ref="AH334:AH344" si="61">SUM(C334:AG334)</f>
        <v>0</v>
      </c>
    </row>
    <row r="335" spans="1:36">
      <c r="A335" s="1607" t="s">
        <v>75</v>
      </c>
      <c r="B335" s="15">
        <f t="shared" si="60"/>
        <v>0</v>
      </c>
      <c r="C335" s="32"/>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f t="shared" si="61"/>
        <v>0</v>
      </c>
    </row>
    <row r="336" spans="1:36">
      <c r="A336" s="1607" t="s">
        <v>76</v>
      </c>
      <c r="B336" s="15">
        <f t="shared" si="60"/>
        <v>0</v>
      </c>
      <c r="C336" s="35"/>
      <c r="D336" s="39"/>
      <c r="E336" s="39"/>
      <c r="F336" s="39"/>
      <c r="G336" s="15"/>
      <c r="H336" s="15"/>
      <c r="I336" s="15"/>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f t="shared" si="61"/>
        <v>0</v>
      </c>
    </row>
    <row r="337" spans="1:36">
      <c r="A337" s="1607" t="s">
        <v>77</v>
      </c>
      <c r="B337" s="15">
        <f t="shared" si="60"/>
        <v>0</v>
      </c>
      <c r="C337" s="35"/>
      <c r="D337" s="15"/>
      <c r="E337" s="15"/>
      <c r="F337" s="15"/>
      <c r="G337" s="15"/>
      <c r="H337" s="15"/>
      <c r="I337" s="15"/>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f t="shared" si="61"/>
        <v>0</v>
      </c>
    </row>
    <row r="338" spans="1:36">
      <c r="A338" s="1607" t="s">
        <v>78</v>
      </c>
      <c r="B338" s="15">
        <f t="shared" si="60"/>
        <v>0</v>
      </c>
      <c r="C338" s="32"/>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f t="shared" si="61"/>
        <v>0</v>
      </c>
    </row>
    <row r="339" spans="1:36">
      <c r="A339" s="1607" t="s">
        <v>79</v>
      </c>
      <c r="B339" s="15">
        <f t="shared" si="60"/>
        <v>0</v>
      </c>
      <c r="C339" s="35"/>
      <c r="D339" s="39"/>
      <c r="E339" s="39"/>
      <c r="F339" s="39"/>
      <c r="G339" s="15"/>
      <c r="H339" s="15"/>
      <c r="I339" s="15"/>
      <c r="J339" s="43"/>
      <c r="K339" s="43"/>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f t="shared" si="61"/>
        <v>0</v>
      </c>
    </row>
    <row r="340" spans="1:36">
      <c r="A340" s="1607" t="s">
        <v>80</v>
      </c>
      <c r="B340" s="15">
        <f t="shared" si="60"/>
        <v>0</v>
      </c>
      <c r="C340" s="35"/>
      <c r="D340" s="15"/>
      <c r="E340" s="15"/>
      <c r="F340" s="15"/>
      <c r="G340" s="15"/>
      <c r="H340" s="15"/>
      <c r="I340" s="15"/>
      <c r="J340" s="43"/>
      <c r="K340" s="43"/>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f t="shared" si="61"/>
        <v>0</v>
      </c>
    </row>
    <row r="341" spans="1:36">
      <c r="A341" s="1607" t="s">
        <v>81</v>
      </c>
      <c r="B341" s="15">
        <f t="shared" si="60"/>
        <v>0</v>
      </c>
      <c r="C341" s="32"/>
      <c r="D341" s="39"/>
      <c r="E341" s="39"/>
      <c r="F341" s="39"/>
      <c r="G341" s="39"/>
      <c r="H341" s="39"/>
      <c r="I341" s="39"/>
      <c r="J341" s="43"/>
      <c r="K341" s="43"/>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39">
        <f t="shared" si="61"/>
        <v>0</v>
      </c>
    </row>
    <row r="342" spans="1:36">
      <c r="A342" s="1522" t="s">
        <v>82</v>
      </c>
      <c r="B342" s="15">
        <f t="shared" si="60"/>
        <v>0</v>
      </c>
      <c r="C342" s="35"/>
      <c r="D342" s="39"/>
      <c r="E342" s="39"/>
      <c r="F342" s="39"/>
      <c r="G342" s="15"/>
      <c r="H342" s="15"/>
      <c r="I342" s="15"/>
      <c r="J342" s="15"/>
      <c r="K342" s="15"/>
      <c r="L342" s="15"/>
      <c r="M342" s="15"/>
      <c r="N342" s="15"/>
      <c r="O342" s="39"/>
      <c r="P342" s="15"/>
      <c r="Q342" s="15"/>
      <c r="R342" s="15"/>
      <c r="S342" s="15"/>
      <c r="T342" s="15"/>
      <c r="U342" s="15"/>
      <c r="V342" s="15"/>
      <c r="W342" s="15"/>
      <c r="X342" s="15"/>
      <c r="Y342" s="15"/>
      <c r="Z342" s="15"/>
      <c r="AA342" s="15"/>
      <c r="AB342" s="15"/>
      <c r="AC342" s="15"/>
      <c r="AD342" s="15"/>
      <c r="AE342" s="39"/>
      <c r="AF342" s="15"/>
      <c r="AG342" s="39"/>
      <c r="AH342" s="39">
        <f t="shared" si="61"/>
        <v>0</v>
      </c>
    </row>
    <row r="343" spans="1:36">
      <c r="A343" s="1522" t="s">
        <v>83</v>
      </c>
      <c r="B343" s="15">
        <f t="shared" si="60"/>
        <v>0</v>
      </c>
      <c r="C343" s="3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39"/>
      <c r="AF343" s="15"/>
      <c r="AG343" s="39"/>
      <c r="AH343" s="39">
        <f t="shared" si="61"/>
        <v>0</v>
      </c>
    </row>
    <row r="344" spans="1:36">
      <c r="A344" s="1522" t="s">
        <v>84</v>
      </c>
      <c r="B344" s="15">
        <f t="shared" si="60"/>
        <v>0</v>
      </c>
      <c r="C344" s="3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39"/>
      <c r="AF344" s="15"/>
      <c r="AG344" s="39"/>
      <c r="AH344" s="39">
        <f t="shared" si="61"/>
        <v>0</v>
      </c>
    </row>
    <row r="345" spans="1:36">
      <c r="A345" s="71" t="s">
        <v>72</v>
      </c>
      <c r="B345" s="72">
        <f>SUM(B333:B344)</f>
        <v>0</v>
      </c>
      <c r="C345" s="32">
        <f>SUM(C333:C343)</f>
        <v>0</v>
      </c>
      <c r="D345" s="39">
        <f>SUM(D333:D343)</f>
        <v>0</v>
      </c>
      <c r="E345" s="39">
        <v>0</v>
      </c>
      <c r="F345" s="39">
        <f t="shared" ref="F345:AC345" si="62">SUM(F333:F343)</f>
        <v>0</v>
      </c>
      <c r="G345" s="39">
        <f t="shared" si="62"/>
        <v>0</v>
      </c>
      <c r="H345" s="39">
        <f t="shared" si="62"/>
        <v>0</v>
      </c>
      <c r="I345" s="39">
        <f t="shared" si="62"/>
        <v>0</v>
      </c>
      <c r="J345" s="39">
        <f t="shared" si="62"/>
        <v>0</v>
      </c>
      <c r="K345" s="39">
        <f t="shared" si="62"/>
        <v>0</v>
      </c>
      <c r="L345" s="39">
        <f t="shared" si="62"/>
        <v>0</v>
      </c>
      <c r="M345" s="39">
        <f t="shared" si="62"/>
        <v>0</v>
      </c>
      <c r="N345" s="39">
        <f t="shared" si="62"/>
        <v>0</v>
      </c>
      <c r="O345" s="39">
        <f t="shared" si="62"/>
        <v>0</v>
      </c>
      <c r="P345" s="39">
        <f t="shared" si="62"/>
        <v>0</v>
      </c>
      <c r="Q345" s="39">
        <f t="shared" si="62"/>
        <v>0</v>
      </c>
      <c r="R345" s="39">
        <f t="shared" si="62"/>
        <v>0</v>
      </c>
      <c r="S345" s="39">
        <f t="shared" si="62"/>
        <v>0</v>
      </c>
      <c r="T345" s="39">
        <f t="shared" si="62"/>
        <v>0</v>
      </c>
      <c r="U345" s="39">
        <f t="shared" si="62"/>
        <v>0</v>
      </c>
      <c r="V345" s="39">
        <f t="shared" si="62"/>
        <v>0</v>
      </c>
      <c r="W345" s="39">
        <f t="shared" si="62"/>
        <v>0</v>
      </c>
      <c r="X345" s="39">
        <f t="shared" si="62"/>
        <v>0</v>
      </c>
      <c r="Y345" s="39">
        <f t="shared" si="62"/>
        <v>0</v>
      </c>
      <c r="Z345" s="39">
        <f t="shared" si="62"/>
        <v>0</v>
      </c>
      <c r="AA345" s="39">
        <f t="shared" si="62"/>
        <v>0</v>
      </c>
      <c r="AB345" s="39">
        <f t="shared" si="62"/>
        <v>0</v>
      </c>
      <c r="AC345" s="39">
        <f t="shared" si="62"/>
        <v>0</v>
      </c>
      <c r="AD345" s="39">
        <v>0</v>
      </c>
      <c r="AE345" s="39">
        <f>SUM(AE333:AE343)</f>
        <v>0</v>
      </c>
      <c r="AF345" s="39">
        <f>SUM(AF333:AF343)</f>
        <v>0</v>
      </c>
      <c r="AG345" s="39">
        <f>SUM(AG333:AG343)</f>
        <v>0</v>
      </c>
      <c r="AH345" s="32">
        <f>SUM(AH333:AH343)</f>
        <v>0</v>
      </c>
    </row>
    <row r="346" spans="1:36" ht="17.25" customHeight="1">
      <c r="A346" s="14"/>
      <c r="B346" s="14"/>
      <c r="C346" s="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
    </row>
    <row r="347" spans="1:36">
      <c r="A347" s="3811" t="s">
        <v>58</v>
      </c>
      <c r="B347" s="3812"/>
      <c r="C347" s="3812"/>
      <c r="D347" s="3812"/>
      <c r="E347" s="3812"/>
      <c r="F347" s="3812"/>
      <c r="G347" s="3812"/>
      <c r="H347" s="3813"/>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spans="1:36">
      <c r="A348" s="5" t="s">
        <v>70</v>
      </c>
      <c r="B348" s="5" t="s">
        <v>71</v>
      </c>
      <c r="C348" s="98">
        <v>1</v>
      </c>
      <c r="D348" s="21">
        <v>2</v>
      </c>
      <c r="E348" s="21">
        <v>3</v>
      </c>
      <c r="F348" s="21">
        <v>4</v>
      </c>
      <c r="G348" s="21">
        <v>5</v>
      </c>
      <c r="H348" s="21">
        <v>6</v>
      </c>
      <c r="I348" s="21">
        <v>7</v>
      </c>
      <c r="J348" s="21">
        <v>8</v>
      </c>
      <c r="K348" s="21">
        <v>9</v>
      </c>
      <c r="L348" s="21">
        <v>10</v>
      </c>
      <c r="M348" s="21">
        <v>11</v>
      </c>
      <c r="N348" s="21">
        <v>12</v>
      </c>
      <c r="O348" s="21">
        <v>13</v>
      </c>
      <c r="P348" s="21">
        <v>14</v>
      </c>
      <c r="Q348" s="21">
        <v>15</v>
      </c>
      <c r="R348" s="21">
        <v>16</v>
      </c>
      <c r="S348" s="21">
        <v>17</v>
      </c>
      <c r="T348" s="21">
        <v>18</v>
      </c>
      <c r="U348" s="21">
        <v>19</v>
      </c>
      <c r="V348" s="21">
        <v>20</v>
      </c>
      <c r="W348" s="21">
        <v>21</v>
      </c>
      <c r="X348" s="21">
        <v>22</v>
      </c>
      <c r="Y348" s="21">
        <v>23</v>
      </c>
      <c r="Z348" s="21">
        <v>24</v>
      </c>
      <c r="AA348" s="21">
        <v>25</v>
      </c>
      <c r="AB348" s="21">
        <v>26</v>
      </c>
      <c r="AC348" s="21">
        <v>27</v>
      </c>
      <c r="AD348" s="21">
        <v>28</v>
      </c>
      <c r="AE348" s="21">
        <v>29</v>
      </c>
      <c r="AF348" s="21">
        <v>30</v>
      </c>
      <c r="AG348" s="21">
        <v>31</v>
      </c>
      <c r="AH348" s="25" t="s">
        <v>72</v>
      </c>
      <c r="AI348" s="2266" t="s">
        <v>1345</v>
      </c>
      <c r="AJ348" s="66">
        <f>(B361/COUNTIF($C$349:$AG$360,"&gt;0"))</f>
        <v>1.4999999999999999E-2</v>
      </c>
    </row>
    <row r="349" spans="1:36">
      <c r="A349" s="1607" t="s">
        <v>73</v>
      </c>
      <c r="B349" s="15">
        <f t="shared" ref="B349:B360" si="63">+AH349</f>
        <v>0</v>
      </c>
      <c r="C349" s="35"/>
      <c r="D349" s="39"/>
      <c r="E349" s="39"/>
      <c r="F349" s="39"/>
      <c r="G349" s="15"/>
      <c r="H349" s="15"/>
      <c r="I349" s="15"/>
      <c r="J349" s="15"/>
      <c r="K349" s="15"/>
      <c r="L349" s="15"/>
      <c r="M349" s="15"/>
      <c r="N349" s="15"/>
      <c r="O349" s="15"/>
      <c r="P349" s="15"/>
      <c r="Q349" s="39"/>
      <c r="R349" s="15"/>
      <c r="S349" s="15"/>
      <c r="T349" s="15"/>
      <c r="U349" s="15"/>
      <c r="V349" s="39"/>
      <c r="W349" s="39"/>
      <c r="X349" s="15"/>
      <c r="Y349" s="15"/>
      <c r="Z349" s="15"/>
      <c r="AA349" s="15"/>
      <c r="AB349" s="15"/>
      <c r="AC349" s="15"/>
      <c r="AD349" s="39"/>
      <c r="AE349" s="15"/>
      <c r="AF349" s="15"/>
      <c r="AG349" s="15"/>
      <c r="AH349" s="39">
        <f>SUM(C349:AG349)</f>
        <v>0</v>
      </c>
      <c r="AJ349" s="66">
        <f>+'Resumen RAE Jurel'!G70</f>
        <v>1.9849999999999999</v>
      </c>
    </row>
    <row r="350" spans="1:36">
      <c r="A350" s="1607" t="s">
        <v>74</v>
      </c>
      <c r="B350" s="15">
        <f t="shared" si="63"/>
        <v>1.4999999999999999E-2</v>
      </c>
      <c r="C350" s="3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v>1.4999999999999999E-2</v>
      </c>
      <c r="AD350" s="15"/>
      <c r="AE350" s="15"/>
      <c r="AF350" s="15"/>
      <c r="AG350" s="15"/>
      <c r="AH350" s="39">
        <f t="shared" ref="AH350:AH360" si="64">SUM(C350:AG350)</f>
        <v>1.4999999999999999E-2</v>
      </c>
      <c r="AJ350" s="1093">
        <f>+AJ349/AJ348</f>
        <v>132.33333333333334</v>
      </c>
    </row>
    <row r="351" spans="1:36">
      <c r="A351" s="1607" t="s">
        <v>75</v>
      </c>
      <c r="B351" s="15">
        <f t="shared" si="63"/>
        <v>0</v>
      </c>
      <c r="C351" s="32"/>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f t="shared" si="64"/>
        <v>0</v>
      </c>
    </row>
    <row r="352" spans="1:36">
      <c r="A352" s="1607" t="s">
        <v>76</v>
      </c>
      <c r="B352" s="15">
        <f t="shared" si="63"/>
        <v>0</v>
      </c>
      <c r="C352" s="35"/>
      <c r="D352" s="39"/>
      <c r="E352" s="39"/>
      <c r="F352" s="39"/>
      <c r="G352" s="15"/>
      <c r="H352" s="15"/>
      <c r="I352" s="15"/>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f t="shared" si="64"/>
        <v>0</v>
      </c>
    </row>
    <row r="353" spans="1:36">
      <c r="A353" s="1607" t="s">
        <v>77</v>
      </c>
      <c r="B353" s="15">
        <f t="shared" si="63"/>
        <v>0</v>
      </c>
      <c r="C353" s="35"/>
      <c r="D353" s="15"/>
      <c r="E353" s="15"/>
      <c r="F353" s="15"/>
      <c r="G353" s="15"/>
      <c r="H353" s="15"/>
      <c r="I353" s="15"/>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f t="shared" si="64"/>
        <v>0</v>
      </c>
    </row>
    <row r="354" spans="1:36">
      <c r="A354" s="1607" t="s">
        <v>78</v>
      </c>
      <c r="B354" s="15">
        <f t="shared" si="63"/>
        <v>0</v>
      </c>
      <c r="C354" s="32"/>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f t="shared" si="64"/>
        <v>0</v>
      </c>
    </row>
    <row r="355" spans="1:36">
      <c r="A355" s="1607" t="s">
        <v>79</v>
      </c>
      <c r="B355" s="15">
        <f t="shared" si="63"/>
        <v>0</v>
      </c>
      <c r="C355" s="35"/>
      <c r="D355" s="39"/>
      <c r="E355" s="39"/>
      <c r="F355" s="39"/>
      <c r="G355" s="15"/>
      <c r="H355" s="15"/>
      <c r="I355" s="15"/>
      <c r="J355" s="43"/>
      <c r="K355" s="43"/>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f t="shared" si="64"/>
        <v>0</v>
      </c>
    </row>
    <row r="356" spans="1:36">
      <c r="A356" s="1607" t="s">
        <v>80</v>
      </c>
      <c r="B356" s="15">
        <f t="shared" si="63"/>
        <v>0</v>
      </c>
      <c r="C356" s="35"/>
      <c r="D356" s="15"/>
      <c r="E356" s="15"/>
      <c r="F356" s="15"/>
      <c r="G356" s="15"/>
      <c r="H356" s="15"/>
      <c r="I356" s="15"/>
      <c r="J356" s="43"/>
      <c r="K356" s="43"/>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f t="shared" si="64"/>
        <v>0</v>
      </c>
    </row>
    <row r="357" spans="1:36">
      <c r="A357" s="1607" t="s">
        <v>81</v>
      </c>
      <c r="B357" s="15">
        <f t="shared" si="63"/>
        <v>0</v>
      </c>
      <c r="C357" s="32"/>
      <c r="D357" s="39"/>
      <c r="E357" s="39"/>
      <c r="F357" s="39"/>
      <c r="G357" s="39"/>
      <c r="H357" s="39"/>
      <c r="I357" s="39"/>
      <c r="J357" s="43"/>
      <c r="K357" s="43"/>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39">
        <f t="shared" si="64"/>
        <v>0</v>
      </c>
    </row>
    <row r="358" spans="1:36">
      <c r="A358" s="1522" t="s">
        <v>82</v>
      </c>
      <c r="B358" s="15">
        <f t="shared" si="63"/>
        <v>0</v>
      </c>
      <c r="C358" s="35"/>
      <c r="D358" s="39"/>
      <c r="E358" s="39"/>
      <c r="F358" s="39"/>
      <c r="G358" s="15"/>
      <c r="H358" s="15"/>
      <c r="I358" s="15"/>
      <c r="J358" s="15"/>
      <c r="K358" s="15"/>
      <c r="L358" s="15"/>
      <c r="M358" s="15"/>
      <c r="N358" s="15"/>
      <c r="O358" s="39"/>
      <c r="P358" s="15"/>
      <c r="Q358" s="15"/>
      <c r="R358" s="15"/>
      <c r="S358" s="15"/>
      <c r="T358" s="15"/>
      <c r="U358" s="15"/>
      <c r="V358" s="15"/>
      <c r="W358" s="15"/>
      <c r="X358" s="15"/>
      <c r="Y358" s="15"/>
      <c r="Z358" s="15"/>
      <c r="AA358" s="15"/>
      <c r="AB358" s="15"/>
      <c r="AC358" s="15"/>
      <c r="AD358" s="15"/>
      <c r="AE358" s="39"/>
      <c r="AF358" s="15"/>
      <c r="AG358" s="39"/>
      <c r="AH358" s="39">
        <f t="shared" si="64"/>
        <v>0</v>
      </c>
    </row>
    <row r="359" spans="1:36">
      <c r="A359" s="1522" t="s">
        <v>83</v>
      </c>
      <c r="B359" s="15">
        <f t="shared" si="63"/>
        <v>0</v>
      </c>
      <c r="C359" s="3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39"/>
      <c r="AF359" s="15"/>
      <c r="AG359" s="39"/>
      <c r="AH359" s="39">
        <f t="shared" si="64"/>
        <v>0</v>
      </c>
    </row>
    <row r="360" spans="1:36">
      <c r="A360" s="1522" t="s">
        <v>84</v>
      </c>
      <c r="B360" s="15">
        <f t="shared" si="63"/>
        <v>0</v>
      </c>
      <c r="C360" s="3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39"/>
      <c r="AF360" s="15"/>
      <c r="AG360" s="39"/>
      <c r="AH360" s="39">
        <f t="shared" si="64"/>
        <v>0</v>
      </c>
    </row>
    <row r="361" spans="1:36">
      <c r="A361" s="71" t="s">
        <v>72</v>
      </c>
      <c r="B361" s="72">
        <f>SUM(B349:B360)</f>
        <v>1.4999999999999999E-2</v>
      </c>
      <c r="C361" s="32">
        <f>SUM(C349:C359)</f>
        <v>0</v>
      </c>
      <c r="D361" s="39">
        <f>SUM(D349:D359)</f>
        <v>0</v>
      </c>
      <c r="E361" s="39">
        <v>0</v>
      </c>
      <c r="F361" s="39">
        <f t="shared" ref="F361:AC361" si="65">SUM(F349:F359)</f>
        <v>0</v>
      </c>
      <c r="G361" s="39">
        <f t="shared" si="65"/>
        <v>0</v>
      </c>
      <c r="H361" s="39">
        <f t="shared" si="65"/>
        <v>0</v>
      </c>
      <c r="I361" s="39">
        <f t="shared" si="65"/>
        <v>0</v>
      </c>
      <c r="J361" s="39">
        <f t="shared" si="65"/>
        <v>0</v>
      </c>
      <c r="K361" s="39">
        <f t="shared" si="65"/>
        <v>0</v>
      </c>
      <c r="L361" s="39">
        <f t="shared" si="65"/>
        <v>0</v>
      </c>
      <c r="M361" s="39">
        <f t="shared" si="65"/>
        <v>0</v>
      </c>
      <c r="N361" s="39">
        <f t="shared" si="65"/>
        <v>0</v>
      </c>
      <c r="O361" s="39">
        <f t="shared" si="65"/>
        <v>0</v>
      </c>
      <c r="P361" s="39">
        <f t="shared" si="65"/>
        <v>0</v>
      </c>
      <c r="Q361" s="39">
        <f t="shared" si="65"/>
        <v>0</v>
      </c>
      <c r="R361" s="39">
        <f t="shared" si="65"/>
        <v>0</v>
      </c>
      <c r="S361" s="39">
        <f t="shared" si="65"/>
        <v>0</v>
      </c>
      <c r="T361" s="39">
        <f t="shared" si="65"/>
        <v>0</v>
      </c>
      <c r="U361" s="39">
        <f t="shared" si="65"/>
        <v>0</v>
      </c>
      <c r="V361" s="39">
        <f t="shared" si="65"/>
        <v>0</v>
      </c>
      <c r="W361" s="39">
        <f t="shared" si="65"/>
        <v>0</v>
      </c>
      <c r="X361" s="39">
        <f t="shared" si="65"/>
        <v>0</v>
      </c>
      <c r="Y361" s="39">
        <f t="shared" si="65"/>
        <v>0</v>
      </c>
      <c r="Z361" s="39">
        <f t="shared" si="65"/>
        <v>0</v>
      </c>
      <c r="AA361" s="39">
        <f t="shared" si="65"/>
        <v>0</v>
      </c>
      <c r="AB361" s="39">
        <f t="shared" si="65"/>
        <v>0</v>
      </c>
      <c r="AC361" s="39">
        <f t="shared" si="65"/>
        <v>1.4999999999999999E-2</v>
      </c>
      <c r="AD361" s="39">
        <v>0</v>
      </c>
      <c r="AE361" s="39">
        <f>SUM(AE349:AE359)</f>
        <v>0</v>
      </c>
      <c r="AF361" s="39">
        <f>SUM(AF349:AF359)</f>
        <v>0</v>
      </c>
      <c r="AG361" s="39">
        <f>SUM(AG349:AG359)</f>
        <v>0</v>
      </c>
      <c r="AH361" s="32">
        <f>SUM(AH349:AH359)</f>
        <v>1.4999999999999999E-2</v>
      </c>
    </row>
    <row r="362" spans="1:36">
      <c r="A362" s="45"/>
      <c r="B362" s="45"/>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row>
    <row r="363" spans="1:36" ht="15" customHeight="1">
      <c r="A363" s="3818" t="s">
        <v>59</v>
      </c>
      <c r="B363" s="3819"/>
      <c r="C363" s="3819"/>
      <c r="D363" s="3819"/>
      <c r="E363" s="3819"/>
      <c r="F363" s="3819"/>
      <c r="G363" s="3819"/>
      <c r="H363" s="3819"/>
      <c r="I363" s="3819"/>
      <c r="J363" s="3819"/>
      <c r="K363" s="3819"/>
      <c r="L363" s="3819"/>
      <c r="M363" s="3819"/>
      <c r="N363" s="3819"/>
      <c r="O363" s="3819"/>
      <c r="P363" s="3819"/>
      <c r="Q363" s="3819"/>
      <c r="R363" s="3820"/>
      <c r="S363" s="11"/>
      <c r="T363" s="11"/>
      <c r="U363" s="11"/>
      <c r="V363" s="11"/>
      <c r="W363" s="11"/>
      <c r="X363" s="11"/>
      <c r="Y363" s="11"/>
      <c r="Z363" s="11"/>
      <c r="AA363" s="11"/>
      <c r="AB363" s="11"/>
      <c r="AC363" s="11"/>
      <c r="AD363" s="11"/>
      <c r="AE363" s="11"/>
      <c r="AF363" s="11"/>
      <c r="AG363" s="11"/>
      <c r="AH363" s="11"/>
    </row>
    <row r="364" spans="1:36" ht="15" customHeight="1">
      <c r="A364" s="3872" t="s">
        <v>777</v>
      </c>
      <c r="B364" s="3873"/>
      <c r="C364" s="3873"/>
      <c r="D364" s="3873"/>
      <c r="E364" s="3873"/>
      <c r="F364" s="3873"/>
      <c r="G364" s="3873"/>
      <c r="H364" s="3874"/>
    </row>
    <row r="365" spans="1:36" ht="15" customHeight="1">
      <c r="A365" s="5" t="s">
        <v>89</v>
      </c>
      <c r="B365" s="56" t="s">
        <v>71</v>
      </c>
      <c r="C365" s="1054">
        <v>1</v>
      </c>
      <c r="D365" s="21">
        <v>2</v>
      </c>
      <c r="E365" s="21">
        <v>3</v>
      </c>
      <c r="F365" s="21">
        <v>4</v>
      </c>
      <c r="G365" s="21">
        <v>5</v>
      </c>
      <c r="H365" s="21">
        <v>6</v>
      </c>
      <c r="I365" s="21">
        <v>7</v>
      </c>
      <c r="J365" s="21">
        <v>8</v>
      </c>
      <c r="K365" s="21">
        <v>9</v>
      </c>
      <c r="L365" s="21">
        <v>10</v>
      </c>
      <c r="M365" s="21">
        <v>11</v>
      </c>
      <c r="N365" s="21">
        <v>12</v>
      </c>
      <c r="O365" s="21">
        <v>13</v>
      </c>
      <c r="P365" s="21">
        <v>14</v>
      </c>
      <c r="Q365" s="21">
        <v>15</v>
      </c>
      <c r="R365" s="21">
        <v>16</v>
      </c>
      <c r="S365" s="21">
        <v>17</v>
      </c>
      <c r="T365" s="21">
        <v>18</v>
      </c>
      <c r="U365" s="21">
        <v>19</v>
      </c>
      <c r="V365" s="21">
        <v>20</v>
      </c>
      <c r="W365" s="21">
        <v>21</v>
      </c>
      <c r="X365" s="21">
        <v>22</v>
      </c>
      <c r="Y365" s="21">
        <v>23</v>
      </c>
      <c r="Z365" s="21">
        <v>24</v>
      </c>
      <c r="AA365" s="21">
        <v>25</v>
      </c>
      <c r="AB365" s="21">
        <v>26</v>
      </c>
      <c r="AC365" s="21">
        <v>27</v>
      </c>
      <c r="AD365" s="21">
        <v>28</v>
      </c>
      <c r="AE365" s="21">
        <v>29</v>
      </c>
      <c r="AF365" s="21">
        <v>30</v>
      </c>
      <c r="AG365" s="21">
        <v>31</v>
      </c>
      <c r="AH365" s="25" t="s">
        <v>72</v>
      </c>
      <c r="AI365" s="2266" t="s">
        <v>1345</v>
      </c>
      <c r="AJ365" s="66">
        <f>(B378/COUNTIF($C$366:$AG$377,"&gt;0"))</f>
        <v>3.1259999999999999</v>
      </c>
    </row>
    <row r="366" spans="1:36" ht="15" customHeight="1">
      <c r="A366" s="1607" t="s">
        <v>73</v>
      </c>
      <c r="B366" s="1055">
        <f t="shared" ref="B366:B377" si="66">+AH366</f>
        <v>0</v>
      </c>
      <c r="C366" s="35"/>
      <c r="D366" s="15"/>
      <c r="E366" s="15"/>
      <c r="F366" s="15"/>
      <c r="G366" s="15"/>
      <c r="H366" s="15"/>
      <c r="I366" s="15"/>
      <c r="J366" s="15"/>
      <c r="K366" s="15"/>
      <c r="L366" s="15"/>
      <c r="M366" s="15"/>
      <c r="N366" s="15"/>
      <c r="O366" s="15"/>
      <c r="P366" s="15"/>
      <c r="Q366" s="52"/>
      <c r="R366" s="52"/>
      <c r="S366" s="52"/>
      <c r="T366" s="52"/>
      <c r="U366" s="52"/>
      <c r="V366" s="52"/>
      <c r="W366" s="52"/>
      <c r="X366" s="52"/>
      <c r="Y366" s="52"/>
      <c r="Z366" s="52"/>
      <c r="AA366" s="52"/>
      <c r="AB366" s="52"/>
      <c r="AC366" s="2356" t="s">
        <v>829</v>
      </c>
      <c r="AD366" s="52"/>
      <c r="AE366" s="52"/>
      <c r="AF366" s="52"/>
      <c r="AG366" s="52"/>
      <c r="AH366" s="39">
        <f>SUM(C366:AG366)</f>
        <v>0</v>
      </c>
      <c r="AJ366" s="66">
        <f>+'Resumen RAE Jurel'!G91</f>
        <v>35.408000000000001</v>
      </c>
    </row>
    <row r="367" spans="1:36" ht="15" customHeight="1">
      <c r="A367" s="1607" t="s">
        <v>74</v>
      </c>
      <c r="B367" s="1055">
        <f t="shared" si="66"/>
        <v>3.0590000000000002</v>
      </c>
      <c r="C367" s="35"/>
      <c r="D367" s="15"/>
      <c r="E367" s="15"/>
      <c r="F367" s="15"/>
      <c r="G367" s="15"/>
      <c r="H367" s="15"/>
      <c r="I367" s="15"/>
      <c r="J367" s="15"/>
      <c r="K367" s="15"/>
      <c r="L367" s="15"/>
      <c r="M367" s="15"/>
      <c r="N367" s="15"/>
      <c r="O367" s="15"/>
      <c r="P367" s="15">
        <v>3.0590000000000002</v>
      </c>
      <c r="Q367" s="15"/>
      <c r="R367" s="15"/>
      <c r="S367" s="15"/>
      <c r="T367" s="15"/>
      <c r="U367" s="15"/>
      <c r="V367" s="15"/>
      <c r="W367" s="15"/>
      <c r="X367" s="15"/>
      <c r="Y367" s="15"/>
      <c r="Z367" s="15"/>
      <c r="AA367" s="15"/>
      <c r="AB367" s="15"/>
      <c r="AC367" s="15"/>
      <c r="AD367" s="15"/>
      <c r="AE367" s="15"/>
      <c r="AF367" s="15"/>
      <c r="AG367" s="15"/>
      <c r="AH367" s="39">
        <f t="shared" ref="AH367:AH377" si="67">SUM(C367:AG367)</f>
        <v>3.0590000000000002</v>
      </c>
      <c r="AJ367" s="1093">
        <f>+AJ366/AJ365</f>
        <v>11.326935380678183</v>
      </c>
    </row>
    <row r="368" spans="1:36" ht="15" customHeight="1">
      <c r="A368" s="1607" t="s">
        <v>75</v>
      </c>
      <c r="B368" s="1055">
        <f t="shared" si="66"/>
        <v>0</v>
      </c>
      <c r="C368" s="3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39">
        <f t="shared" si="67"/>
        <v>0</v>
      </c>
    </row>
    <row r="369" spans="1:36" ht="15" customHeight="1">
      <c r="A369" s="1607" t="s">
        <v>76</v>
      </c>
      <c r="B369" s="1055">
        <f t="shared" si="66"/>
        <v>0</v>
      </c>
      <c r="C369" s="3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39">
        <f t="shared" si="67"/>
        <v>0</v>
      </c>
    </row>
    <row r="370" spans="1:36" ht="15" customHeight="1">
      <c r="A370" s="1607" t="s">
        <v>77</v>
      </c>
      <c r="B370" s="1055">
        <f t="shared" si="66"/>
        <v>0</v>
      </c>
      <c r="C370" s="3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39">
        <f t="shared" si="67"/>
        <v>0</v>
      </c>
    </row>
    <row r="371" spans="1:36" ht="15" customHeight="1">
      <c r="A371" s="1607" t="s">
        <v>78</v>
      </c>
      <c r="B371" s="1055">
        <f t="shared" si="66"/>
        <v>0</v>
      </c>
      <c r="C371" s="3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39">
        <f t="shared" si="67"/>
        <v>0</v>
      </c>
    </row>
    <row r="372" spans="1:36" ht="15" customHeight="1">
      <c r="A372" s="1607" t="s">
        <v>79</v>
      </c>
      <c r="B372" s="1055">
        <f t="shared" si="66"/>
        <v>0</v>
      </c>
      <c r="C372" s="35"/>
      <c r="D372" s="39"/>
      <c r="E372" s="39"/>
      <c r="F372" s="39"/>
      <c r="G372" s="15"/>
      <c r="H372" s="15"/>
      <c r="I372" s="15"/>
      <c r="J372" s="43"/>
      <c r="K372" s="43"/>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f t="shared" si="67"/>
        <v>0</v>
      </c>
    </row>
    <row r="373" spans="1:36" ht="15" customHeight="1">
      <c r="A373" s="1607" t="s">
        <v>80</v>
      </c>
      <c r="B373" s="1055">
        <f t="shared" si="66"/>
        <v>0</v>
      </c>
      <c r="C373" s="35"/>
      <c r="D373" s="15"/>
      <c r="E373" s="15"/>
      <c r="F373" s="15"/>
      <c r="G373" s="15"/>
      <c r="H373" s="15"/>
      <c r="I373" s="15"/>
      <c r="J373" s="43"/>
      <c r="K373" s="43"/>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f t="shared" si="67"/>
        <v>0</v>
      </c>
    </row>
    <row r="374" spans="1:36" ht="15" customHeight="1">
      <c r="A374" s="1607" t="s">
        <v>81</v>
      </c>
      <c r="B374" s="1055">
        <f t="shared" si="66"/>
        <v>0</v>
      </c>
      <c r="C374" s="32"/>
      <c r="D374" s="39"/>
      <c r="E374" s="39"/>
      <c r="F374" s="39"/>
      <c r="G374" s="39"/>
      <c r="H374" s="39"/>
      <c r="I374" s="39"/>
      <c r="J374" s="43"/>
      <c r="K374" s="43"/>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39">
        <f t="shared" si="67"/>
        <v>0</v>
      </c>
    </row>
    <row r="375" spans="1:36" ht="15" customHeight="1">
      <c r="A375" s="1522" t="s">
        <v>82</v>
      </c>
      <c r="B375" s="19">
        <f t="shared" si="66"/>
        <v>0</v>
      </c>
      <c r="C375" s="35"/>
      <c r="D375" s="39"/>
      <c r="E375" s="99"/>
      <c r="F375" s="39"/>
      <c r="G375" s="15"/>
      <c r="H375" s="15"/>
      <c r="I375" s="15"/>
      <c r="J375" s="15"/>
      <c r="K375" s="15"/>
      <c r="L375" s="15"/>
      <c r="M375" s="15"/>
      <c r="N375" s="15"/>
      <c r="O375" s="39"/>
      <c r="P375" s="15"/>
      <c r="Q375" s="15"/>
      <c r="R375" s="15"/>
      <c r="S375" s="15"/>
      <c r="T375" s="15"/>
      <c r="U375" s="15"/>
      <c r="V375" s="15"/>
      <c r="W375" s="15"/>
      <c r="X375" s="15"/>
      <c r="Y375" s="15"/>
      <c r="Z375" s="15"/>
      <c r="AA375" s="15"/>
      <c r="AB375" s="15"/>
      <c r="AC375" s="15"/>
      <c r="AD375" s="15"/>
      <c r="AE375" s="39"/>
      <c r="AF375" s="15"/>
      <c r="AG375" s="39"/>
      <c r="AH375" s="39">
        <f t="shared" si="67"/>
        <v>0</v>
      </c>
    </row>
    <row r="376" spans="1:36" ht="15" customHeight="1">
      <c r="A376" s="1522" t="s">
        <v>83</v>
      </c>
      <c r="B376" s="19">
        <f t="shared" si="66"/>
        <v>0</v>
      </c>
      <c r="C376" s="35"/>
      <c r="D376" s="15"/>
      <c r="E376" s="15"/>
      <c r="F376" s="15"/>
      <c r="G376" s="11"/>
      <c r="H376" s="15"/>
      <c r="I376" s="15"/>
      <c r="J376" s="15"/>
      <c r="K376" s="15"/>
      <c r="L376" s="15"/>
      <c r="M376" s="15"/>
      <c r="N376" s="15"/>
      <c r="O376" s="15"/>
      <c r="P376" s="15"/>
      <c r="Q376" s="15"/>
      <c r="R376" s="15"/>
      <c r="S376" s="15"/>
      <c r="T376" s="15"/>
      <c r="U376" s="15"/>
      <c r="V376" s="15"/>
      <c r="W376" s="15"/>
      <c r="X376" s="15"/>
      <c r="Y376" s="11"/>
      <c r="Z376" s="15"/>
      <c r="AA376" s="15"/>
      <c r="AB376" s="15"/>
      <c r="AC376" s="15"/>
      <c r="AD376" s="15"/>
      <c r="AE376" s="39"/>
      <c r="AF376" s="15"/>
      <c r="AG376" s="39"/>
      <c r="AH376" s="39">
        <f t="shared" si="67"/>
        <v>0</v>
      </c>
    </row>
    <row r="377" spans="1:36" ht="15" customHeight="1">
      <c r="A377" s="1522" t="s">
        <v>84</v>
      </c>
      <c r="B377" s="19">
        <f t="shared" si="66"/>
        <v>6.319</v>
      </c>
      <c r="C377" s="35"/>
      <c r="D377" s="15"/>
      <c r="E377" s="15"/>
      <c r="F377" s="15"/>
      <c r="G377" s="15"/>
      <c r="H377" s="15"/>
      <c r="I377" s="15"/>
      <c r="J377" s="15"/>
      <c r="K377" s="15"/>
      <c r="L377" s="15"/>
      <c r="M377" s="15"/>
      <c r="N377" s="15"/>
      <c r="O377" s="15"/>
      <c r="P377" s="15"/>
      <c r="Q377" s="15"/>
      <c r="R377" s="15"/>
      <c r="S377" s="15"/>
      <c r="T377" s="15"/>
      <c r="U377" s="15"/>
      <c r="V377" s="15"/>
      <c r="W377" s="15"/>
      <c r="X377" s="15"/>
      <c r="Y377" s="15">
        <v>3.2690000000000001</v>
      </c>
      <c r="Z377" s="15"/>
      <c r="AA377" s="15"/>
      <c r="AB377" s="15">
        <v>3.05</v>
      </c>
      <c r="AC377" s="15"/>
      <c r="AD377" s="15"/>
      <c r="AE377" s="39"/>
      <c r="AF377" s="15"/>
      <c r="AG377" s="39"/>
      <c r="AH377" s="39">
        <f t="shared" si="67"/>
        <v>6.319</v>
      </c>
    </row>
    <row r="378" spans="1:36" ht="15" customHeight="1">
      <c r="A378" s="71" t="s">
        <v>72</v>
      </c>
      <c r="B378" s="73">
        <f>SUM(B366:B377)</f>
        <v>9.3780000000000001</v>
      </c>
      <c r="C378" s="32">
        <f>SUM(C366:C376)</f>
        <v>0</v>
      </c>
      <c r="D378" s="39">
        <f>SUM(D366:D376)</f>
        <v>0</v>
      </c>
      <c r="E378" s="39">
        <v>0</v>
      </c>
      <c r="F378" s="39">
        <f t="shared" ref="F378:AC378" si="68">SUM(F366:F376)</f>
        <v>0</v>
      </c>
      <c r="G378" s="39">
        <f t="shared" si="68"/>
        <v>0</v>
      </c>
      <c r="H378" s="39">
        <f t="shared" si="68"/>
        <v>0</v>
      </c>
      <c r="I378" s="39">
        <f t="shared" si="68"/>
        <v>0</v>
      </c>
      <c r="J378" s="39">
        <f t="shared" si="68"/>
        <v>0</v>
      </c>
      <c r="K378" s="39">
        <f t="shared" si="68"/>
        <v>0</v>
      </c>
      <c r="L378" s="39">
        <f t="shared" si="68"/>
        <v>0</v>
      </c>
      <c r="M378" s="39">
        <f t="shared" si="68"/>
        <v>0</v>
      </c>
      <c r="N378" s="39">
        <f t="shared" si="68"/>
        <v>0</v>
      </c>
      <c r="O378" s="39">
        <f t="shared" si="68"/>
        <v>0</v>
      </c>
      <c r="P378" s="39">
        <f t="shared" si="68"/>
        <v>3.0590000000000002</v>
      </c>
      <c r="Q378" s="39">
        <f t="shared" si="68"/>
        <v>0</v>
      </c>
      <c r="R378" s="39">
        <f t="shared" si="68"/>
        <v>0</v>
      </c>
      <c r="S378" s="39">
        <f t="shared" si="68"/>
        <v>0</v>
      </c>
      <c r="T378" s="39">
        <f t="shared" si="68"/>
        <v>0</v>
      </c>
      <c r="U378" s="39">
        <f t="shared" si="68"/>
        <v>0</v>
      </c>
      <c r="V378" s="39">
        <f t="shared" si="68"/>
        <v>0</v>
      </c>
      <c r="W378" s="39">
        <f t="shared" si="68"/>
        <v>0</v>
      </c>
      <c r="X378" s="39">
        <f t="shared" si="68"/>
        <v>0</v>
      </c>
      <c r="Y378" s="39">
        <f t="shared" si="68"/>
        <v>0</v>
      </c>
      <c r="Z378" s="39">
        <f t="shared" si="68"/>
        <v>0</v>
      </c>
      <c r="AA378" s="39">
        <f t="shared" si="68"/>
        <v>0</v>
      </c>
      <c r="AB378" s="39">
        <f t="shared" si="68"/>
        <v>0</v>
      </c>
      <c r="AC378" s="39">
        <f t="shared" si="68"/>
        <v>0</v>
      </c>
      <c r="AD378" s="39">
        <v>0</v>
      </c>
      <c r="AE378" s="39">
        <f>SUM(AE366:AE376)</f>
        <v>0</v>
      </c>
      <c r="AF378" s="39">
        <f>SUM(AF366:AF376)</f>
        <v>0</v>
      </c>
      <c r="AG378" s="39">
        <f>SUM(AG366:AG376)</f>
        <v>0</v>
      </c>
      <c r="AH378" s="32">
        <f>SUM(AH366:AH377)</f>
        <v>9.3780000000000001</v>
      </c>
    </row>
    <row r="379" spans="1:36" ht="16.5" customHeight="1">
      <c r="A379" s="36"/>
      <c r="B379" s="58"/>
      <c r="C379" s="36"/>
      <c r="D379" s="36"/>
      <c r="E379" s="36"/>
      <c r="F379" s="36"/>
      <c r="G379" s="36"/>
      <c r="H379" s="36"/>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spans="1:36" ht="15" customHeight="1">
      <c r="A380" s="3872" t="s">
        <v>60</v>
      </c>
      <c r="B380" s="3873"/>
      <c r="C380" s="3873"/>
      <c r="D380" s="3873"/>
      <c r="E380" s="3873"/>
      <c r="F380" s="3873"/>
      <c r="G380" s="3873"/>
      <c r="H380" s="3874"/>
    </row>
    <row r="381" spans="1:36" ht="15" customHeight="1">
      <c r="A381" s="5" t="s">
        <v>89</v>
      </c>
      <c r="B381" s="56" t="s">
        <v>71</v>
      </c>
      <c r="C381" s="1054">
        <v>1</v>
      </c>
      <c r="D381" s="21">
        <v>2</v>
      </c>
      <c r="E381" s="21">
        <v>3</v>
      </c>
      <c r="F381" s="21">
        <v>4</v>
      </c>
      <c r="G381" s="21">
        <v>5</v>
      </c>
      <c r="H381" s="21">
        <v>6</v>
      </c>
      <c r="I381" s="21">
        <v>7</v>
      </c>
      <c r="J381" s="21">
        <v>8</v>
      </c>
      <c r="K381" s="21">
        <v>9</v>
      </c>
      <c r="L381" s="21">
        <v>10</v>
      </c>
      <c r="M381" s="21">
        <v>11</v>
      </c>
      <c r="N381" s="21">
        <v>12</v>
      </c>
      <c r="O381" s="21">
        <v>13</v>
      </c>
      <c r="P381" s="21">
        <v>14</v>
      </c>
      <c r="Q381" s="21">
        <v>15</v>
      </c>
      <c r="R381" s="21">
        <v>16</v>
      </c>
      <c r="S381" s="21">
        <v>17</v>
      </c>
      <c r="T381" s="21">
        <v>18</v>
      </c>
      <c r="U381" s="21">
        <v>19</v>
      </c>
      <c r="V381" s="21">
        <v>20</v>
      </c>
      <c r="W381" s="21">
        <v>21</v>
      </c>
      <c r="X381" s="21">
        <v>22</v>
      </c>
      <c r="Y381" s="21">
        <v>23</v>
      </c>
      <c r="Z381" s="21">
        <v>24</v>
      </c>
      <c r="AA381" s="21">
        <v>25</v>
      </c>
      <c r="AB381" s="21">
        <v>26</v>
      </c>
      <c r="AC381" s="21">
        <v>27</v>
      </c>
      <c r="AD381" s="21">
        <v>28</v>
      </c>
      <c r="AE381" s="21">
        <v>29</v>
      </c>
      <c r="AF381" s="21">
        <v>30</v>
      </c>
      <c r="AG381" s="21">
        <v>31</v>
      </c>
      <c r="AH381" s="25" t="s">
        <v>72</v>
      </c>
      <c r="AI381" s="2266" t="s">
        <v>1345</v>
      </c>
      <c r="AJ381" s="66" t="e">
        <f>(B394/COUNTIF($C$382:$AG$393,"&gt;0"))</f>
        <v>#DIV/0!</v>
      </c>
    </row>
    <row r="382" spans="1:36" ht="15" customHeight="1">
      <c r="A382" s="1607" t="s">
        <v>73</v>
      </c>
      <c r="B382" s="1055">
        <f t="shared" ref="B382:B393" si="69">+AH382</f>
        <v>0</v>
      </c>
      <c r="C382" s="35"/>
      <c r="D382" s="15"/>
      <c r="E382" s="15"/>
      <c r="F382" s="15"/>
      <c r="G382" s="15"/>
      <c r="H382" s="15"/>
      <c r="I382" s="15"/>
      <c r="J382" s="15"/>
      <c r="K382" s="15"/>
      <c r="L382" s="15"/>
      <c r="M382" s="15"/>
      <c r="N382" s="15"/>
      <c r="O382" s="15"/>
      <c r="P382" s="15"/>
      <c r="Q382" s="52"/>
      <c r="R382" s="52"/>
      <c r="S382" s="52"/>
      <c r="T382" s="52"/>
      <c r="U382" s="52"/>
      <c r="V382" s="52"/>
      <c r="W382" s="52"/>
      <c r="X382" s="52"/>
      <c r="Y382" s="52"/>
      <c r="Z382" s="52"/>
      <c r="AA382" s="52"/>
      <c r="AB382" s="52"/>
      <c r="AC382" s="52"/>
      <c r="AD382" s="52"/>
      <c r="AE382" s="52"/>
      <c r="AF382" s="52"/>
      <c r="AG382" s="52"/>
      <c r="AH382" s="39">
        <f>SUM(C382:AG382)</f>
        <v>0</v>
      </c>
    </row>
    <row r="383" spans="1:36" ht="15" customHeight="1">
      <c r="A383" s="1607" t="s">
        <v>74</v>
      </c>
      <c r="B383" s="1055">
        <f t="shared" si="69"/>
        <v>0</v>
      </c>
      <c r="C383" s="3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39">
        <f t="shared" ref="AH383:AH393" si="70">SUM(C383:AG383)</f>
        <v>0</v>
      </c>
    </row>
    <row r="384" spans="1:36" ht="15" customHeight="1">
      <c r="A384" s="1607" t="s">
        <v>75</v>
      </c>
      <c r="B384" s="1055">
        <f t="shared" si="69"/>
        <v>0</v>
      </c>
      <c r="C384" s="3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39">
        <f t="shared" si="70"/>
        <v>0</v>
      </c>
    </row>
    <row r="385" spans="1:36" ht="15" customHeight="1">
      <c r="A385" s="1607" t="s">
        <v>76</v>
      </c>
      <c r="B385" s="1055">
        <f t="shared" si="69"/>
        <v>0</v>
      </c>
      <c r="C385" s="3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39">
        <f t="shared" si="70"/>
        <v>0</v>
      </c>
    </row>
    <row r="386" spans="1:36" ht="15" customHeight="1">
      <c r="A386" s="1607" t="s">
        <v>77</v>
      </c>
      <c r="B386" s="1055">
        <f t="shared" si="69"/>
        <v>0</v>
      </c>
      <c r="C386" s="3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39">
        <f t="shared" si="70"/>
        <v>0</v>
      </c>
    </row>
    <row r="387" spans="1:36" ht="15" customHeight="1">
      <c r="A387" s="1607" t="s">
        <v>78</v>
      </c>
      <c r="B387" s="1055">
        <f t="shared" si="69"/>
        <v>0</v>
      </c>
      <c r="C387" s="3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39">
        <f t="shared" si="70"/>
        <v>0</v>
      </c>
    </row>
    <row r="388" spans="1:36" ht="15" customHeight="1">
      <c r="A388" s="1607" t="s">
        <v>79</v>
      </c>
      <c r="B388" s="1055">
        <f t="shared" si="69"/>
        <v>0</v>
      </c>
      <c r="C388" s="35"/>
      <c r="D388" s="39"/>
      <c r="E388" s="39"/>
      <c r="F388" s="39"/>
      <c r="G388" s="15"/>
      <c r="H388" s="15"/>
      <c r="I388" s="15"/>
      <c r="J388" s="43"/>
      <c r="K388" s="43"/>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f t="shared" si="70"/>
        <v>0</v>
      </c>
    </row>
    <row r="389" spans="1:36" ht="15" customHeight="1">
      <c r="A389" s="1607" t="s">
        <v>80</v>
      </c>
      <c r="B389" s="1055">
        <f t="shared" si="69"/>
        <v>0</v>
      </c>
      <c r="C389" s="35"/>
      <c r="D389" s="15"/>
      <c r="E389" s="15"/>
      <c r="F389" s="15"/>
      <c r="G389" s="15"/>
      <c r="H389" s="15"/>
      <c r="I389" s="15"/>
      <c r="J389" s="43"/>
      <c r="K389" s="43"/>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f t="shared" si="70"/>
        <v>0</v>
      </c>
    </row>
    <row r="390" spans="1:36" ht="15" customHeight="1">
      <c r="A390" s="1607" t="s">
        <v>81</v>
      </c>
      <c r="B390" s="1055">
        <f t="shared" si="69"/>
        <v>0</v>
      </c>
      <c r="C390" s="32"/>
      <c r="D390" s="39"/>
      <c r="E390" s="39"/>
      <c r="F390" s="39"/>
      <c r="G390" s="39"/>
      <c r="H390" s="39"/>
      <c r="I390" s="39"/>
      <c r="J390" s="43"/>
      <c r="K390" s="43"/>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39">
        <f t="shared" si="70"/>
        <v>0</v>
      </c>
    </row>
    <row r="391" spans="1:36" ht="15" customHeight="1">
      <c r="A391" s="1522" t="s">
        <v>82</v>
      </c>
      <c r="B391" s="19">
        <f t="shared" si="69"/>
        <v>0</v>
      </c>
      <c r="C391" s="35"/>
      <c r="D391" s="39"/>
      <c r="E391" s="99"/>
      <c r="F391" s="39"/>
      <c r="G391" s="15"/>
      <c r="H391" s="15"/>
      <c r="I391" s="15"/>
      <c r="J391" s="15"/>
      <c r="K391" s="15"/>
      <c r="L391" s="15"/>
      <c r="M391" s="15"/>
      <c r="N391" s="15"/>
      <c r="O391" s="39"/>
      <c r="P391" s="15"/>
      <c r="Q391" s="15"/>
      <c r="R391" s="15"/>
      <c r="S391" s="15"/>
      <c r="T391" s="15"/>
      <c r="U391" s="15"/>
      <c r="V391" s="15"/>
      <c r="W391" s="15"/>
      <c r="X391" s="15"/>
      <c r="Y391" s="15"/>
      <c r="Z391" s="15"/>
      <c r="AA391" s="15"/>
      <c r="AB391" s="15"/>
      <c r="AC391" s="15"/>
      <c r="AD391" s="15"/>
      <c r="AE391" s="39"/>
      <c r="AF391" s="15"/>
      <c r="AG391" s="39"/>
      <c r="AH391" s="39">
        <f t="shared" si="70"/>
        <v>0</v>
      </c>
    </row>
    <row r="392" spans="1:36" ht="15" customHeight="1">
      <c r="A392" s="1522" t="s">
        <v>83</v>
      </c>
      <c r="B392" s="19">
        <f t="shared" si="69"/>
        <v>0</v>
      </c>
      <c r="C392" s="35"/>
      <c r="D392" s="15"/>
      <c r="E392" s="15"/>
      <c r="F392" s="15"/>
      <c r="G392" s="11"/>
      <c r="H392" s="15"/>
      <c r="I392" s="15"/>
      <c r="J392" s="15"/>
      <c r="K392" s="15"/>
      <c r="L392" s="15"/>
      <c r="M392" s="15"/>
      <c r="N392" s="15"/>
      <c r="O392" s="15"/>
      <c r="P392" s="15"/>
      <c r="Q392" s="15"/>
      <c r="R392" s="15"/>
      <c r="S392" s="15"/>
      <c r="T392" s="15"/>
      <c r="U392" s="15"/>
      <c r="V392" s="15"/>
      <c r="W392" s="15"/>
      <c r="X392" s="15"/>
      <c r="Y392" s="11"/>
      <c r="Z392" s="15"/>
      <c r="AA392" s="15"/>
      <c r="AB392" s="15"/>
      <c r="AC392" s="15"/>
      <c r="AD392" s="15"/>
      <c r="AE392" s="39"/>
      <c r="AF392" s="15"/>
      <c r="AG392" s="39"/>
      <c r="AH392" s="39">
        <f t="shared" si="70"/>
        <v>0</v>
      </c>
    </row>
    <row r="393" spans="1:36" ht="15" customHeight="1">
      <c r="A393" s="1522" t="s">
        <v>84</v>
      </c>
      <c r="B393" s="19">
        <f t="shared" si="69"/>
        <v>0</v>
      </c>
      <c r="C393" s="3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39"/>
      <c r="AF393" s="15"/>
      <c r="AG393" s="39"/>
      <c r="AH393" s="39">
        <f t="shared" si="70"/>
        <v>0</v>
      </c>
    </row>
    <row r="394" spans="1:36" ht="15" customHeight="1">
      <c r="A394" s="71" t="s">
        <v>72</v>
      </c>
      <c r="B394" s="73">
        <f>SUM(B382:B393)</f>
        <v>0</v>
      </c>
      <c r="C394" s="32">
        <f>SUM(C382:C392)</f>
        <v>0</v>
      </c>
      <c r="D394" s="39">
        <f>SUM(D382:D392)</f>
        <v>0</v>
      </c>
      <c r="E394" s="39">
        <v>0</v>
      </c>
      <c r="F394" s="39">
        <f t="shared" ref="F394:AC394" si="71">SUM(F382:F392)</f>
        <v>0</v>
      </c>
      <c r="G394" s="39">
        <f t="shared" si="71"/>
        <v>0</v>
      </c>
      <c r="H394" s="39">
        <f t="shared" si="71"/>
        <v>0</v>
      </c>
      <c r="I394" s="39">
        <f t="shared" si="71"/>
        <v>0</v>
      </c>
      <c r="J394" s="39">
        <f t="shared" si="71"/>
        <v>0</v>
      </c>
      <c r="K394" s="39">
        <f t="shared" si="71"/>
        <v>0</v>
      </c>
      <c r="L394" s="39">
        <f t="shared" si="71"/>
        <v>0</v>
      </c>
      <c r="M394" s="39">
        <f t="shared" si="71"/>
        <v>0</v>
      </c>
      <c r="N394" s="39">
        <f t="shared" si="71"/>
        <v>0</v>
      </c>
      <c r="O394" s="39">
        <f t="shared" si="71"/>
        <v>0</v>
      </c>
      <c r="P394" s="39">
        <f t="shared" si="71"/>
        <v>0</v>
      </c>
      <c r="Q394" s="39">
        <f t="shared" si="71"/>
        <v>0</v>
      </c>
      <c r="R394" s="39">
        <f t="shared" si="71"/>
        <v>0</v>
      </c>
      <c r="S394" s="39">
        <f t="shared" si="71"/>
        <v>0</v>
      </c>
      <c r="T394" s="39">
        <f t="shared" si="71"/>
        <v>0</v>
      </c>
      <c r="U394" s="39">
        <f t="shared" si="71"/>
        <v>0</v>
      </c>
      <c r="V394" s="39">
        <f t="shared" si="71"/>
        <v>0</v>
      </c>
      <c r="W394" s="39">
        <f t="shared" si="71"/>
        <v>0</v>
      </c>
      <c r="X394" s="39">
        <f t="shared" si="71"/>
        <v>0</v>
      </c>
      <c r="Y394" s="39">
        <f t="shared" si="71"/>
        <v>0</v>
      </c>
      <c r="Z394" s="39">
        <f t="shared" si="71"/>
        <v>0</v>
      </c>
      <c r="AA394" s="39">
        <f t="shared" si="71"/>
        <v>0</v>
      </c>
      <c r="AB394" s="39">
        <f t="shared" si="71"/>
        <v>0</v>
      </c>
      <c r="AC394" s="39">
        <f t="shared" si="71"/>
        <v>0</v>
      </c>
      <c r="AD394" s="39">
        <v>0</v>
      </c>
      <c r="AE394" s="39">
        <f>SUM(AE382:AE392)</f>
        <v>0</v>
      </c>
      <c r="AF394" s="39">
        <f>SUM(AF382:AF392)</f>
        <v>0</v>
      </c>
      <c r="AG394" s="39">
        <f>SUM(AG382:AG392)</f>
        <v>0</v>
      </c>
      <c r="AH394" s="32">
        <f>SUM(AH382:AH393)</f>
        <v>0</v>
      </c>
    </row>
    <row r="395" spans="1:36" ht="15.75" customHeight="1">
      <c r="A395" s="14"/>
      <c r="B395" s="55"/>
      <c r="C395" s="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row>
    <row r="396" spans="1:36" ht="15.75" customHeight="1">
      <c r="A396" s="3872" t="s">
        <v>575</v>
      </c>
      <c r="B396" s="3873"/>
      <c r="C396" s="3873"/>
      <c r="D396" s="3873"/>
      <c r="E396" s="3873"/>
      <c r="F396" s="3873"/>
      <c r="G396" s="3873"/>
      <c r="H396" s="3874"/>
    </row>
    <row r="397" spans="1:36" ht="15.75" customHeight="1">
      <c r="A397" s="5" t="s">
        <v>89</v>
      </c>
      <c r="B397" s="56" t="s">
        <v>71</v>
      </c>
      <c r="C397" s="1054">
        <v>1</v>
      </c>
      <c r="D397" s="21">
        <v>2</v>
      </c>
      <c r="E397" s="21">
        <v>3</v>
      </c>
      <c r="F397" s="21">
        <v>4</v>
      </c>
      <c r="G397" s="21">
        <v>5</v>
      </c>
      <c r="H397" s="21">
        <v>6</v>
      </c>
      <c r="I397" s="21">
        <v>7</v>
      </c>
      <c r="J397" s="21">
        <v>8</v>
      </c>
      <c r="K397" s="21">
        <v>9</v>
      </c>
      <c r="L397" s="21">
        <v>10</v>
      </c>
      <c r="M397" s="21">
        <v>11</v>
      </c>
      <c r="N397" s="21">
        <v>12</v>
      </c>
      <c r="O397" s="21">
        <v>13</v>
      </c>
      <c r="P397" s="21">
        <v>14</v>
      </c>
      <c r="Q397" s="21">
        <v>15</v>
      </c>
      <c r="R397" s="21">
        <v>16</v>
      </c>
      <c r="S397" s="21">
        <v>17</v>
      </c>
      <c r="T397" s="21">
        <v>18</v>
      </c>
      <c r="U397" s="21">
        <v>19</v>
      </c>
      <c r="V397" s="21">
        <v>20</v>
      </c>
      <c r="W397" s="21">
        <v>21</v>
      </c>
      <c r="X397" s="21">
        <v>22</v>
      </c>
      <c r="Y397" s="21">
        <v>23</v>
      </c>
      <c r="Z397" s="21">
        <v>24</v>
      </c>
      <c r="AA397" s="21">
        <v>25</v>
      </c>
      <c r="AB397" s="21">
        <v>26</v>
      </c>
      <c r="AC397" s="21">
        <v>27</v>
      </c>
      <c r="AD397" s="21">
        <v>28</v>
      </c>
      <c r="AE397" s="21">
        <v>29</v>
      </c>
      <c r="AF397" s="21">
        <v>30</v>
      </c>
      <c r="AG397" s="21">
        <v>31</v>
      </c>
      <c r="AH397" s="25" t="s">
        <v>72</v>
      </c>
      <c r="AI397" s="2266" t="s">
        <v>1345</v>
      </c>
      <c r="AJ397" s="66">
        <f>(B410/COUNTIF($C$398:$AG$409,"&gt;0"))</f>
        <v>2.96</v>
      </c>
    </row>
    <row r="398" spans="1:36" ht="15.75" customHeight="1">
      <c r="A398" s="1607" t="s">
        <v>73</v>
      </c>
      <c r="B398" s="1055">
        <f t="shared" ref="B398:B409" si="72">+AH398</f>
        <v>0</v>
      </c>
      <c r="C398" s="35"/>
      <c r="D398" s="15"/>
      <c r="E398" s="15"/>
      <c r="F398" s="15"/>
      <c r="G398" s="15"/>
      <c r="H398" s="15"/>
      <c r="I398" s="15"/>
      <c r="J398" s="15"/>
      <c r="K398" s="15"/>
      <c r="L398" s="15"/>
      <c r="M398" s="15"/>
      <c r="N398" s="15"/>
      <c r="O398" s="15"/>
      <c r="P398" s="15"/>
      <c r="Q398" s="52"/>
      <c r="R398" s="52"/>
      <c r="S398" s="52"/>
      <c r="T398" s="52"/>
      <c r="U398" s="52"/>
      <c r="V398" s="52"/>
      <c r="W398" s="52"/>
      <c r="X398" s="52"/>
      <c r="Y398" s="52"/>
      <c r="Z398" s="52"/>
      <c r="AA398" s="52"/>
      <c r="AB398" s="52"/>
      <c r="AC398" s="2356" t="s">
        <v>830</v>
      </c>
      <c r="AD398" s="52"/>
      <c r="AE398" s="52"/>
      <c r="AF398" s="52"/>
      <c r="AG398" s="52"/>
      <c r="AH398" s="39">
        <f>SUM(C398:AG398)</f>
        <v>0</v>
      </c>
    </row>
    <row r="399" spans="1:36" ht="15.75" customHeight="1">
      <c r="A399" s="1607" t="s">
        <v>74</v>
      </c>
      <c r="B399" s="1055">
        <f t="shared" si="72"/>
        <v>0</v>
      </c>
      <c r="C399" s="3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39">
        <f t="shared" ref="AH399:AH409" si="73">SUM(C399:AG399)</f>
        <v>0</v>
      </c>
    </row>
    <row r="400" spans="1:36" ht="15.75" customHeight="1">
      <c r="A400" s="1607" t="s">
        <v>75</v>
      </c>
      <c r="B400" s="1055">
        <f t="shared" si="72"/>
        <v>0</v>
      </c>
      <c r="C400" s="3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39">
        <f t="shared" si="73"/>
        <v>0</v>
      </c>
    </row>
    <row r="401" spans="1:36" ht="15.75" customHeight="1">
      <c r="A401" s="1607" t="s">
        <v>76</v>
      </c>
      <c r="B401" s="1055">
        <f t="shared" si="72"/>
        <v>0</v>
      </c>
      <c r="C401" s="3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39">
        <f t="shared" si="73"/>
        <v>0</v>
      </c>
    </row>
    <row r="402" spans="1:36" ht="15.75" customHeight="1">
      <c r="A402" s="1607" t="s">
        <v>77</v>
      </c>
      <c r="B402" s="1055">
        <f t="shared" si="72"/>
        <v>0</v>
      </c>
      <c r="C402" s="3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39">
        <f t="shared" si="73"/>
        <v>0</v>
      </c>
    </row>
    <row r="403" spans="1:36" ht="15.75" customHeight="1">
      <c r="A403" s="1607" t="s">
        <v>78</v>
      </c>
      <c r="B403" s="1055">
        <f t="shared" si="72"/>
        <v>0</v>
      </c>
      <c r="C403" s="3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39">
        <f t="shared" si="73"/>
        <v>0</v>
      </c>
    </row>
    <row r="404" spans="1:36" ht="15.75" customHeight="1">
      <c r="A404" s="1607" t="s">
        <v>79</v>
      </c>
      <c r="B404" s="1055">
        <f t="shared" si="72"/>
        <v>0</v>
      </c>
      <c r="C404" s="35"/>
      <c r="D404" s="39"/>
      <c r="E404" s="39"/>
      <c r="F404" s="39"/>
      <c r="G404" s="15"/>
      <c r="H404" s="15"/>
      <c r="I404" s="15"/>
      <c r="J404" s="43"/>
      <c r="K404" s="43"/>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f t="shared" si="73"/>
        <v>0</v>
      </c>
    </row>
    <row r="405" spans="1:36" ht="15.75" customHeight="1">
      <c r="A405" s="1607" t="s">
        <v>80</v>
      </c>
      <c r="B405" s="1055">
        <f t="shared" si="72"/>
        <v>0</v>
      </c>
      <c r="C405" s="35"/>
      <c r="D405" s="15"/>
      <c r="E405" s="15"/>
      <c r="F405" s="15"/>
      <c r="G405" s="15"/>
      <c r="H405" s="15"/>
      <c r="I405" s="15"/>
      <c r="J405" s="43"/>
      <c r="K405" s="43"/>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f t="shared" si="73"/>
        <v>0</v>
      </c>
    </row>
    <row r="406" spans="1:36" ht="15.75" customHeight="1">
      <c r="A406" s="1607" t="s">
        <v>81</v>
      </c>
      <c r="B406" s="1055">
        <f t="shared" si="72"/>
        <v>0</v>
      </c>
      <c r="C406" s="32"/>
      <c r="D406" s="39"/>
      <c r="E406" s="39"/>
      <c r="F406" s="39"/>
      <c r="G406" s="39"/>
      <c r="H406" s="39"/>
      <c r="I406" s="39"/>
      <c r="J406" s="43"/>
      <c r="K406" s="43"/>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39">
        <f t="shared" si="73"/>
        <v>0</v>
      </c>
    </row>
    <row r="407" spans="1:36" ht="15.75" customHeight="1">
      <c r="A407" s="1522" t="s">
        <v>82</v>
      </c>
      <c r="B407" s="19">
        <f t="shared" si="72"/>
        <v>0</v>
      </c>
      <c r="C407" s="35"/>
      <c r="D407" s="39"/>
      <c r="E407" s="99"/>
      <c r="F407" s="39"/>
      <c r="G407" s="15"/>
      <c r="H407" s="15"/>
      <c r="I407" s="15"/>
      <c r="J407" s="15"/>
      <c r="K407" s="15"/>
      <c r="L407" s="15"/>
      <c r="M407" s="15"/>
      <c r="N407" s="15"/>
      <c r="O407" s="39"/>
      <c r="P407" s="15"/>
      <c r="Q407" s="15"/>
      <c r="R407" s="15"/>
      <c r="S407" s="15"/>
      <c r="T407" s="15"/>
      <c r="U407" s="15"/>
      <c r="V407" s="15"/>
      <c r="W407" s="15"/>
      <c r="X407" s="15"/>
      <c r="Y407" s="15"/>
      <c r="Z407" s="15"/>
      <c r="AA407" s="15"/>
      <c r="AB407" s="15"/>
      <c r="AC407" s="15"/>
      <c r="AD407" s="15"/>
      <c r="AE407" s="39"/>
      <c r="AF407" s="15"/>
      <c r="AG407" s="39"/>
      <c r="AH407" s="39">
        <f t="shared" si="73"/>
        <v>0</v>
      </c>
    </row>
    <row r="408" spans="1:36" ht="15.75" customHeight="1">
      <c r="A408" s="1522" t="s">
        <v>83</v>
      </c>
      <c r="B408" s="19">
        <f t="shared" si="72"/>
        <v>0</v>
      </c>
      <c r="C408" s="35"/>
      <c r="D408" s="15"/>
      <c r="E408" s="15"/>
      <c r="F408" s="15"/>
      <c r="G408" s="11"/>
      <c r="H408" s="15"/>
      <c r="I408" s="15"/>
      <c r="J408" s="15"/>
      <c r="K408" s="15"/>
      <c r="L408" s="15"/>
      <c r="M408" s="15"/>
      <c r="N408" s="15"/>
      <c r="O408" s="15"/>
      <c r="P408" s="15"/>
      <c r="Q408" s="15"/>
      <c r="R408" s="15"/>
      <c r="S408" s="15"/>
      <c r="T408" s="15"/>
      <c r="U408" s="15"/>
      <c r="V408" s="15"/>
      <c r="W408" s="15"/>
      <c r="X408" s="15"/>
      <c r="Y408" s="11"/>
      <c r="Z408" s="15"/>
      <c r="AA408" s="15"/>
      <c r="AB408" s="15"/>
      <c r="AC408" s="15"/>
      <c r="AD408" s="15"/>
      <c r="AE408" s="39"/>
      <c r="AF408" s="15"/>
      <c r="AG408" s="39"/>
      <c r="AH408" s="39">
        <f t="shared" si="73"/>
        <v>0</v>
      </c>
    </row>
    <row r="409" spans="1:36" ht="15.75" customHeight="1">
      <c r="A409" s="1522" t="s">
        <v>84</v>
      </c>
      <c r="B409" s="19">
        <f t="shared" si="72"/>
        <v>2.96</v>
      </c>
      <c r="C409" s="35"/>
      <c r="D409" s="15"/>
      <c r="E409" s="15"/>
      <c r="F409" s="15"/>
      <c r="G409" s="15"/>
      <c r="H409" s="15"/>
      <c r="I409" s="15"/>
      <c r="J409" s="15"/>
      <c r="K409" s="15"/>
      <c r="L409" s="15"/>
      <c r="M409" s="15"/>
      <c r="N409" s="15"/>
      <c r="O409" s="15"/>
      <c r="P409" s="15"/>
      <c r="Q409" s="15"/>
      <c r="R409" s="15"/>
      <c r="S409" s="15"/>
      <c r="T409" s="15"/>
      <c r="U409" s="15"/>
      <c r="V409" s="15"/>
      <c r="W409" s="15"/>
      <c r="X409" s="15">
        <v>2.96</v>
      </c>
      <c r="Y409" s="15"/>
      <c r="Z409" s="15"/>
      <c r="AA409" s="15"/>
      <c r="AB409" s="15"/>
      <c r="AC409" s="15"/>
      <c r="AD409" s="15"/>
      <c r="AE409" s="39"/>
      <c r="AF409" s="15"/>
      <c r="AG409" s="39"/>
      <c r="AH409" s="39">
        <f t="shared" si="73"/>
        <v>2.96</v>
      </c>
    </row>
    <row r="410" spans="1:36" ht="15.75" customHeight="1">
      <c r="A410" s="71" t="s">
        <v>72</v>
      </c>
      <c r="B410" s="73">
        <f>SUM(B398:B409)</f>
        <v>2.96</v>
      </c>
      <c r="C410" s="32">
        <f>SUM(C398:C408)</f>
        <v>0</v>
      </c>
      <c r="D410" s="39">
        <f>SUM(D398:D408)</f>
        <v>0</v>
      </c>
      <c r="E410" s="39">
        <v>0</v>
      </c>
      <c r="F410" s="39">
        <f t="shared" ref="F410:AC410" si="74">SUM(F398:F408)</f>
        <v>0</v>
      </c>
      <c r="G410" s="39">
        <f t="shared" si="74"/>
        <v>0</v>
      </c>
      <c r="H410" s="39">
        <f t="shared" si="74"/>
        <v>0</v>
      </c>
      <c r="I410" s="39">
        <f t="shared" si="74"/>
        <v>0</v>
      </c>
      <c r="J410" s="39">
        <f t="shared" si="74"/>
        <v>0</v>
      </c>
      <c r="K410" s="39">
        <f t="shared" si="74"/>
        <v>0</v>
      </c>
      <c r="L410" s="39">
        <f t="shared" si="74"/>
        <v>0</v>
      </c>
      <c r="M410" s="39">
        <f t="shared" si="74"/>
        <v>0</v>
      </c>
      <c r="N410" s="39">
        <f t="shared" si="74"/>
        <v>0</v>
      </c>
      <c r="O410" s="39">
        <f t="shared" si="74"/>
        <v>0</v>
      </c>
      <c r="P410" s="39">
        <f t="shared" si="74"/>
        <v>0</v>
      </c>
      <c r="Q410" s="39">
        <f t="shared" si="74"/>
        <v>0</v>
      </c>
      <c r="R410" s="39">
        <f t="shared" si="74"/>
        <v>0</v>
      </c>
      <c r="S410" s="39">
        <f t="shared" si="74"/>
        <v>0</v>
      </c>
      <c r="T410" s="39">
        <f t="shared" si="74"/>
        <v>0</v>
      </c>
      <c r="U410" s="39">
        <f t="shared" si="74"/>
        <v>0</v>
      </c>
      <c r="V410" s="39">
        <f t="shared" si="74"/>
        <v>0</v>
      </c>
      <c r="W410" s="39">
        <f t="shared" si="74"/>
        <v>0</v>
      </c>
      <c r="X410" s="39">
        <f t="shared" si="74"/>
        <v>0</v>
      </c>
      <c r="Y410" s="39">
        <f t="shared" si="74"/>
        <v>0</v>
      </c>
      <c r="Z410" s="39">
        <f t="shared" si="74"/>
        <v>0</v>
      </c>
      <c r="AA410" s="39">
        <f t="shared" si="74"/>
        <v>0</v>
      </c>
      <c r="AB410" s="39">
        <f t="shared" si="74"/>
        <v>0</v>
      </c>
      <c r="AC410" s="39">
        <f t="shared" si="74"/>
        <v>0</v>
      </c>
      <c r="AD410" s="39">
        <v>0</v>
      </c>
      <c r="AE410" s="39">
        <f>SUM(AE398:AE408)</f>
        <v>0</v>
      </c>
      <c r="AF410" s="39">
        <f>SUM(AF398:AF408)</f>
        <v>0</v>
      </c>
      <c r="AG410" s="39">
        <f>SUM(AG398:AG408)</f>
        <v>0</v>
      </c>
      <c r="AH410" s="32">
        <f>SUM(AH398:AH409)</f>
        <v>2.96</v>
      </c>
    </row>
    <row r="411" spans="1:36" ht="15.75" customHeight="1">
      <c r="A411" s="14"/>
      <c r="B411" s="55"/>
      <c r="C411" s="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spans="1:36" ht="15" customHeight="1">
      <c r="A412" s="3880" t="s">
        <v>523</v>
      </c>
      <c r="B412" s="3881"/>
      <c r="C412" s="3881"/>
      <c r="D412" s="3881"/>
      <c r="E412" s="3881"/>
      <c r="F412" s="3881"/>
      <c r="G412" s="3881"/>
      <c r="H412" s="3881"/>
      <c r="I412" s="3881"/>
      <c r="J412" s="3881"/>
    </row>
    <row r="413" spans="1:36" ht="15" customHeight="1">
      <c r="A413" s="5" t="s">
        <v>89</v>
      </c>
      <c r="B413" s="56" t="s">
        <v>71</v>
      </c>
      <c r="C413" s="1054">
        <v>1</v>
      </c>
      <c r="D413" s="21">
        <v>2</v>
      </c>
      <c r="E413" s="21">
        <v>3</v>
      </c>
      <c r="F413" s="21">
        <v>4</v>
      </c>
      <c r="G413" s="21">
        <v>5</v>
      </c>
      <c r="H413" s="21">
        <v>6</v>
      </c>
      <c r="I413" s="21">
        <v>7</v>
      </c>
      <c r="J413" s="21">
        <v>8</v>
      </c>
      <c r="K413" s="21">
        <v>9</v>
      </c>
      <c r="L413" s="21">
        <v>10</v>
      </c>
      <c r="M413" s="21">
        <v>11</v>
      </c>
      <c r="N413" s="21">
        <v>12</v>
      </c>
      <c r="O413" s="21">
        <v>13</v>
      </c>
      <c r="P413" s="21">
        <v>14</v>
      </c>
      <c r="Q413" s="21">
        <v>15</v>
      </c>
      <c r="R413" s="21">
        <v>16</v>
      </c>
      <c r="S413" s="21">
        <v>17</v>
      </c>
      <c r="T413" s="21">
        <v>18</v>
      </c>
      <c r="U413" s="21">
        <v>19</v>
      </c>
      <c r="V413" s="21">
        <v>20</v>
      </c>
      <c r="W413" s="21">
        <v>21</v>
      </c>
      <c r="X413" s="21">
        <v>22</v>
      </c>
      <c r="Y413" s="21">
        <v>23</v>
      </c>
      <c r="Z413" s="21">
        <v>24</v>
      </c>
      <c r="AA413" s="21">
        <v>25</v>
      </c>
      <c r="AB413" s="21">
        <v>26</v>
      </c>
      <c r="AC413" s="21">
        <v>27</v>
      </c>
      <c r="AD413" s="21">
        <v>28</v>
      </c>
      <c r="AE413" s="21">
        <v>29</v>
      </c>
      <c r="AF413" s="21">
        <v>30</v>
      </c>
      <c r="AG413" s="21">
        <v>31</v>
      </c>
      <c r="AH413" s="25" t="s">
        <v>72</v>
      </c>
      <c r="AI413" s="2266" t="s">
        <v>1345</v>
      </c>
      <c r="AJ413" s="66" t="e">
        <f>(B426/COUNTIF($C$414:$AG$425,"&gt;0"))</f>
        <v>#DIV/0!</v>
      </c>
    </row>
    <row r="414" spans="1:36" s="96" customFormat="1" ht="15" customHeight="1">
      <c r="A414" s="1607" t="s">
        <v>73</v>
      </c>
      <c r="B414" s="1055">
        <f t="shared" ref="B414:B425" si="75">+AH414</f>
        <v>0</v>
      </c>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c r="AE414" s="94"/>
      <c r="AF414" s="94"/>
      <c r="AG414" s="94"/>
      <c r="AH414" s="99">
        <f>SUM(C414:AG414)</f>
        <v>0</v>
      </c>
      <c r="AI414" s="128"/>
    </row>
    <row r="415" spans="1:36" ht="15" customHeight="1">
      <c r="A415" s="1607" t="s">
        <v>74</v>
      </c>
      <c r="B415" s="1055">
        <f t="shared" si="75"/>
        <v>0</v>
      </c>
      <c r="C415" s="35"/>
      <c r="D415" s="3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39">
        <f>SUM(C415:AG415)</f>
        <v>0</v>
      </c>
    </row>
    <row r="416" spans="1:36" s="96" customFormat="1" ht="15" customHeight="1">
      <c r="A416" s="1607" t="s">
        <v>75</v>
      </c>
      <c r="B416" s="1055">
        <f t="shared" si="75"/>
        <v>0</v>
      </c>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c r="AE416" s="94"/>
      <c r="AF416" s="94"/>
      <c r="AG416" s="94"/>
      <c r="AH416" s="99">
        <f>SUM(C416:AG416)</f>
        <v>0</v>
      </c>
    </row>
    <row r="417" spans="1:36" ht="15" customHeight="1">
      <c r="A417" s="1607" t="s">
        <v>76</v>
      </c>
      <c r="B417" s="1055">
        <f t="shared" si="75"/>
        <v>0</v>
      </c>
      <c r="C417" s="3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39">
        <f t="shared" ref="AH417:AH425" si="76">SUM(C417:AG417)</f>
        <v>0</v>
      </c>
    </row>
    <row r="418" spans="1:36" ht="15" customHeight="1">
      <c r="A418" s="1607" t="s">
        <v>77</v>
      </c>
      <c r="B418" s="1055">
        <f t="shared" si="75"/>
        <v>0</v>
      </c>
      <c r="C418" s="3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39">
        <f t="shared" si="76"/>
        <v>0</v>
      </c>
    </row>
    <row r="419" spans="1:36" ht="15" customHeight="1">
      <c r="A419" s="1607" t="s">
        <v>78</v>
      </c>
      <c r="B419" s="1055">
        <f t="shared" si="75"/>
        <v>0</v>
      </c>
      <c r="C419" s="3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39">
        <f t="shared" si="76"/>
        <v>0</v>
      </c>
    </row>
    <row r="420" spans="1:36" ht="15" customHeight="1">
      <c r="A420" s="1607" t="s">
        <v>79</v>
      </c>
      <c r="B420" s="1055">
        <f t="shared" si="75"/>
        <v>0</v>
      </c>
      <c r="C420" s="35"/>
      <c r="D420" s="15"/>
      <c r="E420" s="15"/>
      <c r="F420" s="15"/>
      <c r="G420" s="15"/>
      <c r="H420" s="15"/>
      <c r="I420" s="15"/>
      <c r="J420" s="35"/>
      <c r="K420" s="3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39">
        <f t="shared" si="76"/>
        <v>0</v>
      </c>
    </row>
    <row r="421" spans="1:36" ht="15" customHeight="1">
      <c r="A421" s="1607" t="s">
        <v>80</v>
      </c>
      <c r="B421" s="1055">
        <f t="shared" si="75"/>
        <v>0</v>
      </c>
      <c r="C421" s="35"/>
      <c r="D421" s="15"/>
      <c r="E421" s="15"/>
      <c r="F421" s="15"/>
      <c r="G421" s="15"/>
      <c r="H421" s="15"/>
      <c r="I421" s="15"/>
      <c r="J421" s="35"/>
      <c r="K421" s="3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39">
        <f t="shared" si="76"/>
        <v>0</v>
      </c>
    </row>
    <row r="422" spans="1:36" ht="15" customHeight="1">
      <c r="A422" s="1607" t="s">
        <v>81</v>
      </c>
      <c r="B422" s="1055">
        <f t="shared" si="75"/>
        <v>0</v>
      </c>
      <c r="C422" s="35"/>
      <c r="D422" s="15"/>
      <c r="E422" s="15"/>
      <c r="F422" s="15"/>
      <c r="G422" s="15"/>
      <c r="H422" s="15"/>
      <c r="I422" s="15"/>
      <c r="J422" s="35"/>
      <c r="K422" s="3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39">
        <f t="shared" si="76"/>
        <v>0</v>
      </c>
    </row>
    <row r="423" spans="1:36" ht="15" customHeight="1">
      <c r="A423" s="1522" t="s">
        <v>82</v>
      </c>
      <c r="B423" s="19">
        <f t="shared" si="75"/>
        <v>0</v>
      </c>
      <c r="C423" s="35"/>
      <c r="D423" s="15"/>
      <c r="E423" s="15"/>
      <c r="F423" s="15"/>
      <c r="G423" s="15"/>
      <c r="H423" s="15"/>
      <c r="I423" s="15"/>
      <c r="J423" s="35"/>
      <c r="K423" s="3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39">
        <f t="shared" si="76"/>
        <v>0</v>
      </c>
    </row>
    <row r="424" spans="1:36" ht="15" customHeight="1">
      <c r="A424" s="1522" t="s">
        <v>83</v>
      </c>
      <c r="B424" s="19">
        <f t="shared" si="75"/>
        <v>0</v>
      </c>
      <c r="C424" s="35"/>
      <c r="D424" s="15"/>
      <c r="E424" s="15"/>
      <c r="F424" s="15"/>
      <c r="G424" s="15"/>
      <c r="H424" s="15"/>
      <c r="I424" s="15"/>
      <c r="J424" s="35"/>
      <c r="K424" s="3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39">
        <f t="shared" si="76"/>
        <v>0</v>
      </c>
    </row>
    <row r="425" spans="1:36" ht="15" customHeight="1">
      <c r="A425" s="1522" t="s">
        <v>84</v>
      </c>
      <c r="B425" s="19">
        <f t="shared" si="75"/>
        <v>0</v>
      </c>
      <c r="C425" s="3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39"/>
      <c r="AF425" s="15"/>
      <c r="AG425" s="39"/>
      <c r="AH425" s="39">
        <f t="shared" si="76"/>
        <v>0</v>
      </c>
    </row>
    <row r="426" spans="1:36" ht="15" customHeight="1">
      <c r="A426" s="71" t="s">
        <v>72</v>
      </c>
      <c r="B426" s="74">
        <f>SUM(B414:B425)</f>
        <v>0</v>
      </c>
      <c r="C426" s="32">
        <f>SUM(C414:C424)</f>
        <v>0</v>
      </c>
      <c r="D426" s="39">
        <f>SUM(D414:D424)</f>
        <v>0</v>
      </c>
      <c r="E426" s="39">
        <v>0</v>
      </c>
      <c r="F426" s="39">
        <f t="shared" ref="F426:AC426" si="77">SUM(F414:F424)</f>
        <v>0</v>
      </c>
      <c r="G426" s="39">
        <f t="shared" si="77"/>
        <v>0</v>
      </c>
      <c r="H426" s="39">
        <f t="shared" si="77"/>
        <v>0</v>
      </c>
      <c r="I426" s="39">
        <f t="shared" si="77"/>
        <v>0</v>
      </c>
      <c r="J426" s="39">
        <f t="shared" si="77"/>
        <v>0</v>
      </c>
      <c r="K426" s="39">
        <f t="shared" si="77"/>
        <v>0</v>
      </c>
      <c r="L426" s="39">
        <f t="shared" si="77"/>
        <v>0</v>
      </c>
      <c r="M426" s="39">
        <f t="shared" si="77"/>
        <v>0</v>
      </c>
      <c r="N426" s="39">
        <f t="shared" si="77"/>
        <v>0</v>
      </c>
      <c r="O426" s="39">
        <f t="shared" si="77"/>
        <v>0</v>
      </c>
      <c r="P426" s="39">
        <f t="shared" si="77"/>
        <v>0</v>
      </c>
      <c r="Q426" s="39">
        <f t="shared" si="77"/>
        <v>0</v>
      </c>
      <c r="R426" s="39">
        <f t="shared" si="77"/>
        <v>0</v>
      </c>
      <c r="S426" s="39">
        <f t="shared" si="77"/>
        <v>0</v>
      </c>
      <c r="T426" s="39">
        <f t="shared" si="77"/>
        <v>0</v>
      </c>
      <c r="U426" s="39">
        <f t="shared" si="77"/>
        <v>0</v>
      </c>
      <c r="V426" s="39">
        <f t="shared" si="77"/>
        <v>0</v>
      </c>
      <c r="W426" s="39">
        <f t="shared" si="77"/>
        <v>0</v>
      </c>
      <c r="X426" s="39">
        <f t="shared" si="77"/>
        <v>0</v>
      </c>
      <c r="Y426" s="39">
        <f t="shared" si="77"/>
        <v>0</v>
      </c>
      <c r="Z426" s="39">
        <f t="shared" si="77"/>
        <v>0</v>
      </c>
      <c r="AA426" s="39">
        <f t="shared" si="77"/>
        <v>0</v>
      </c>
      <c r="AB426" s="39">
        <f t="shared" si="77"/>
        <v>0</v>
      </c>
      <c r="AC426" s="39">
        <f t="shared" si="77"/>
        <v>0</v>
      </c>
      <c r="AD426" s="39">
        <v>0</v>
      </c>
      <c r="AE426" s="39">
        <f>SUM(AE414:AE424)</f>
        <v>0</v>
      </c>
      <c r="AF426" s="39">
        <f>SUM(AF414:AF424)</f>
        <v>0</v>
      </c>
      <c r="AG426" s="39">
        <f>SUM(AG414:AG424)</f>
        <v>0</v>
      </c>
      <c r="AH426" s="32">
        <f>SUM(AH414:AH425)</f>
        <v>0</v>
      </c>
    </row>
    <row r="427" spans="1:36" ht="15" customHeight="1">
      <c r="A427" s="1682"/>
      <c r="B427" s="1687"/>
      <c r="C427" s="1686"/>
      <c r="D427" s="1686"/>
      <c r="E427" s="1686"/>
      <c r="F427" s="1686"/>
      <c r="G427" s="1686"/>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13"/>
    </row>
    <row r="428" spans="1:36" ht="15" customHeight="1">
      <c r="A428" s="3872" t="s">
        <v>579</v>
      </c>
      <c r="B428" s="3873"/>
      <c r="C428" s="3873"/>
      <c r="D428" s="3873"/>
      <c r="E428" s="3873"/>
      <c r="F428" s="3873"/>
      <c r="G428" s="3873"/>
      <c r="H428" s="3874"/>
    </row>
    <row r="429" spans="1:36" ht="15" customHeight="1">
      <c r="A429" s="5" t="s">
        <v>89</v>
      </c>
      <c r="B429" s="56" t="s">
        <v>71</v>
      </c>
      <c r="C429" s="1054">
        <v>1</v>
      </c>
      <c r="D429" s="21">
        <v>2</v>
      </c>
      <c r="E429" s="21">
        <v>3</v>
      </c>
      <c r="F429" s="21">
        <v>4</v>
      </c>
      <c r="G429" s="21">
        <v>5</v>
      </c>
      <c r="H429" s="21">
        <v>6</v>
      </c>
      <c r="I429" s="21">
        <v>7</v>
      </c>
      <c r="J429" s="21">
        <v>8</v>
      </c>
      <c r="K429" s="21">
        <v>9</v>
      </c>
      <c r="L429" s="21">
        <v>10</v>
      </c>
      <c r="M429" s="21">
        <v>11</v>
      </c>
      <c r="N429" s="21">
        <v>12</v>
      </c>
      <c r="O429" s="21">
        <v>13</v>
      </c>
      <c r="P429" s="21">
        <v>14</v>
      </c>
      <c r="Q429" s="21">
        <v>15</v>
      </c>
      <c r="R429" s="21">
        <v>16</v>
      </c>
      <c r="S429" s="21">
        <v>17</v>
      </c>
      <c r="T429" s="21">
        <v>18</v>
      </c>
      <c r="U429" s="21">
        <v>19</v>
      </c>
      <c r="V429" s="21">
        <v>20</v>
      </c>
      <c r="W429" s="21">
        <v>21</v>
      </c>
      <c r="X429" s="21">
        <v>22</v>
      </c>
      <c r="Y429" s="21">
        <v>23</v>
      </c>
      <c r="Z429" s="21">
        <v>24</v>
      </c>
      <c r="AA429" s="21">
        <v>25</v>
      </c>
      <c r="AB429" s="21">
        <v>26</v>
      </c>
      <c r="AC429" s="21">
        <v>27</v>
      </c>
      <c r="AD429" s="21">
        <v>28</v>
      </c>
      <c r="AE429" s="21">
        <v>29</v>
      </c>
      <c r="AF429" s="21">
        <v>30</v>
      </c>
      <c r="AG429" s="21">
        <v>31</v>
      </c>
      <c r="AH429" s="25" t="s">
        <v>72</v>
      </c>
      <c r="AI429" s="2266" t="s">
        <v>1345</v>
      </c>
      <c r="AJ429" s="66" t="e">
        <f>(B442/COUNTIF($C$430:$AG$441,"&gt;0"))</f>
        <v>#DIV/0!</v>
      </c>
    </row>
    <row r="430" spans="1:36" ht="15" customHeight="1">
      <c r="A430" s="1607" t="s">
        <v>73</v>
      </c>
      <c r="B430" s="1055">
        <f t="shared" ref="B430:B441" si="78">+AH430</f>
        <v>0</v>
      </c>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c r="AE430" s="94"/>
      <c r="AF430" s="94"/>
      <c r="AG430" s="94"/>
      <c r="AH430" s="99">
        <f>SUM(C430:AG430)</f>
        <v>0</v>
      </c>
    </row>
    <row r="431" spans="1:36" ht="15" customHeight="1">
      <c r="A431" s="1607" t="s">
        <v>74</v>
      </c>
      <c r="B431" s="1055">
        <f t="shared" si="78"/>
        <v>0</v>
      </c>
      <c r="C431" s="35"/>
      <c r="D431" s="3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39">
        <f>SUM(C431:AG431)</f>
        <v>0</v>
      </c>
    </row>
    <row r="432" spans="1:36" ht="15" customHeight="1">
      <c r="A432" s="1607" t="s">
        <v>75</v>
      </c>
      <c r="B432" s="1055">
        <f t="shared" si="78"/>
        <v>0</v>
      </c>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c r="AE432" s="94"/>
      <c r="AF432" s="94"/>
      <c r="AG432" s="94"/>
      <c r="AH432" s="99">
        <f>SUM(C432:AG432)</f>
        <v>0</v>
      </c>
    </row>
    <row r="433" spans="1:36" ht="15" customHeight="1">
      <c r="A433" s="1607" t="s">
        <v>76</v>
      </c>
      <c r="B433" s="1055">
        <f t="shared" si="78"/>
        <v>0</v>
      </c>
      <c r="C433" s="3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39">
        <f t="shared" ref="AH433:AH441" si="79">SUM(C433:AG433)</f>
        <v>0</v>
      </c>
    </row>
    <row r="434" spans="1:36" ht="15" customHeight="1">
      <c r="A434" s="1607" t="s">
        <v>77</v>
      </c>
      <c r="B434" s="1055">
        <f t="shared" si="78"/>
        <v>0</v>
      </c>
      <c r="C434" s="3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39">
        <f t="shared" si="79"/>
        <v>0</v>
      </c>
    </row>
    <row r="435" spans="1:36" ht="15" customHeight="1">
      <c r="A435" s="1607" t="s">
        <v>78</v>
      </c>
      <c r="B435" s="1055">
        <f t="shared" si="78"/>
        <v>0</v>
      </c>
      <c r="C435" s="3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39">
        <f t="shared" si="79"/>
        <v>0</v>
      </c>
    </row>
    <row r="436" spans="1:36" ht="15" customHeight="1">
      <c r="A436" s="1607" t="s">
        <v>79</v>
      </c>
      <c r="B436" s="1055">
        <f t="shared" si="78"/>
        <v>0</v>
      </c>
      <c r="C436" s="35"/>
      <c r="D436" s="15"/>
      <c r="E436" s="15"/>
      <c r="F436" s="15"/>
      <c r="G436" s="15"/>
      <c r="H436" s="15"/>
      <c r="I436" s="15"/>
      <c r="J436" s="35"/>
      <c r="K436" s="3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39">
        <f t="shared" si="79"/>
        <v>0</v>
      </c>
    </row>
    <row r="437" spans="1:36" ht="15" customHeight="1">
      <c r="A437" s="1607" t="s">
        <v>80</v>
      </c>
      <c r="B437" s="1055">
        <f t="shared" si="78"/>
        <v>0</v>
      </c>
      <c r="C437" s="35"/>
      <c r="D437" s="15"/>
      <c r="E437" s="15"/>
      <c r="F437" s="15"/>
      <c r="G437" s="15"/>
      <c r="H437" s="15"/>
      <c r="I437" s="15"/>
      <c r="J437" s="35"/>
      <c r="K437" s="3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39">
        <f t="shared" si="79"/>
        <v>0</v>
      </c>
    </row>
    <row r="438" spans="1:36" ht="15" customHeight="1">
      <c r="A438" s="1607" t="s">
        <v>81</v>
      </c>
      <c r="B438" s="1055">
        <f t="shared" si="78"/>
        <v>0</v>
      </c>
      <c r="C438" s="35"/>
      <c r="D438" s="15"/>
      <c r="E438" s="15"/>
      <c r="F438" s="15"/>
      <c r="G438" s="15"/>
      <c r="H438" s="15"/>
      <c r="I438" s="15"/>
      <c r="J438" s="35"/>
      <c r="K438" s="3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39">
        <f t="shared" si="79"/>
        <v>0</v>
      </c>
    </row>
    <row r="439" spans="1:36" ht="15" customHeight="1">
      <c r="A439" s="1522" t="s">
        <v>82</v>
      </c>
      <c r="B439" s="19">
        <f t="shared" si="78"/>
        <v>0</v>
      </c>
      <c r="C439" s="35"/>
      <c r="D439" s="15"/>
      <c r="E439" s="15"/>
      <c r="F439" s="15"/>
      <c r="G439" s="15"/>
      <c r="H439" s="15"/>
      <c r="I439" s="15"/>
      <c r="J439" s="35"/>
      <c r="K439" s="3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39">
        <f t="shared" si="79"/>
        <v>0</v>
      </c>
    </row>
    <row r="440" spans="1:36" ht="15" customHeight="1">
      <c r="A440" s="1522" t="s">
        <v>83</v>
      </c>
      <c r="B440" s="19">
        <f t="shared" si="78"/>
        <v>0</v>
      </c>
      <c r="C440" s="35"/>
      <c r="D440" s="15"/>
      <c r="E440" s="15"/>
      <c r="F440" s="15"/>
      <c r="G440" s="15"/>
      <c r="H440" s="15"/>
      <c r="I440" s="15"/>
      <c r="J440" s="35"/>
      <c r="K440" s="3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39">
        <f t="shared" si="79"/>
        <v>0</v>
      </c>
    </row>
    <row r="441" spans="1:36" ht="15" customHeight="1">
      <c r="A441" s="1522" t="s">
        <v>84</v>
      </c>
      <c r="B441" s="19">
        <f t="shared" si="78"/>
        <v>0</v>
      </c>
      <c r="C441" s="3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39"/>
      <c r="AF441" s="15"/>
      <c r="AG441" s="39"/>
      <c r="AH441" s="39">
        <f t="shared" si="79"/>
        <v>0</v>
      </c>
    </row>
    <row r="442" spans="1:36" ht="15" customHeight="1">
      <c r="A442" s="71" t="s">
        <v>72</v>
      </c>
      <c r="B442" s="74">
        <f>SUM(B430:B441)</f>
        <v>0</v>
      </c>
      <c r="C442" s="32">
        <f>SUM(C430:C440)</f>
        <v>0</v>
      </c>
      <c r="D442" s="39">
        <f>SUM(D430:D440)</f>
        <v>0</v>
      </c>
      <c r="E442" s="39">
        <v>0</v>
      </c>
      <c r="F442" s="39">
        <f t="shared" ref="F442:AC442" si="80">SUM(F430:F440)</f>
        <v>0</v>
      </c>
      <c r="G442" s="39">
        <f t="shared" si="80"/>
        <v>0</v>
      </c>
      <c r="H442" s="39">
        <f t="shared" si="80"/>
        <v>0</v>
      </c>
      <c r="I442" s="39">
        <f t="shared" si="80"/>
        <v>0</v>
      </c>
      <c r="J442" s="39">
        <f t="shared" si="80"/>
        <v>0</v>
      </c>
      <c r="K442" s="39">
        <f t="shared" si="80"/>
        <v>0</v>
      </c>
      <c r="L442" s="39">
        <f t="shared" si="80"/>
        <v>0</v>
      </c>
      <c r="M442" s="39">
        <f t="shared" si="80"/>
        <v>0</v>
      </c>
      <c r="N442" s="39">
        <f t="shared" si="80"/>
        <v>0</v>
      </c>
      <c r="O442" s="39">
        <f t="shared" si="80"/>
        <v>0</v>
      </c>
      <c r="P442" s="39">
        <f t="shared" si="80"/>
        <v>0</v>
      </c>
      <c r="Q442" s="39">
        <f t="shared" si="80"/>
        <v>0</v>
      </c>
      <c r="R442" s="39">
        <f t="shared" si="80"/>
        <v>0</v>
      </c>
      <c r="S442" s="39">
        <f t="shared" si="80"/>
        <v>0</v>
      </c>
      <c r="T442" s="39">
        <f t="shared" si="80"/>
        <v>0</v>
      </c>
      <c r="U442" s="39">
        <f t="shared" si="80"/>
        <v>0</v>
      </c>
      <c r="V442" s="39">
        <f t="shared" si="80"/>
        <v>0</v>
      </c>
      <c r="W442" s="39">
        <f t="shared" si="80"/>
        <v>0</v>
      </c>
      <c r="X442" s="39">
        <f t="shared" si="80"/>
        <v>0</v>
      </c>
      <c r="Y442" s="39">
        <f t="shared" si="80"/>
        <v>0</v>
      </c>
      <c r="Z442" s="39">
        <f t="shared" si="80"/>
        <v>0</v>
      </c>
      <c r="AA442" s="39">
        <f t="shared" si="80"/>
        <v>0</v>
      </c>
      <c r="AB442" s="39">
        <f t="shared" si="80"/>
        <v>0</v>
      </c>
      <c r="AC442" s="39">
        <f t="shared" si="80"/>
        <v>0</v>
      </c>
      <c r="AD442" s="39">
        <v>0</v>
      </c>
      <c r="AE442" s="39">
        <f>SUM(AE430:AE440)</f>
        <v>0</v>
      </c>
      <c r="AF442" s="39">
        <f>SUM(AF430:AF440)</f>
        <v>0</v>
      </c>
      <c r="AG442" s="39">
        <f>SUM(AG430:AG440)</f>
        <v>0</v>
      </c>
      <c r="AH442" s="32">
        <f>SUM(AH430:AH441)</f>
        <v>0</v>
      </c>
    </row>
    <row r="443" spans="1:36">
      <c r="A443" s="1559"/>
      <c r="B443" s="1688"/>
      <c r="C443" s="1229"/>
      <c r="D443" s="1229"/>
      <c r="E443" s="1229"/>
      <c r="F443" s="1229"/>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row>
    <row r="444" spans="1:36">
      <c r="A444" s="3872" t="s">
        <v>527</v>
      </c>
      <c r="B444" s="3873"/>
      <c r="C444" s="3873"/>
      <c r="D444" s="3873"/>
      <c r="E444" s="3873"/>
      <c r="F444" s="3873"/>
      <c r="G444" s="3873"/>
      <c r="H444" s="3874"/>
      <c r="I444" s="858"/>
      <c r="J444" s="858"/>
      <c r="K444" s="858"/>
    </row>
    <row r="445" spans="1:36">
      <c r="A445" s="5" t="s">
        <v>89</v>
      </c>
      <c r="B445" s="56" t="s">
        <v>71</v>
      </c>
      <c r="C445" s="1054">
        <v>1</v>
      </c>
      <c r="D445" s="21">
        <v>2</v>
      </c>
      <c r="E445" s="21">
        <v>3</v>
      </c>
      <c r="F445" s="21">
        <v>4</v>
      </c>
      <c r="G445" s="21">
        <v>5</v>
      </c>
      <c r="H445" s="21">
        <v>6</v>
      </c>
      <c r="I445" s="21">
        <v>7</v>
      </c>
      <c r="J445" s="21">
        <v>8</v>
      </c>
      <c r="K445" s="21">
        <v>9</v>
      </c>
      <c r="L445" s="21">
        <v>10</v>
      </c>
      <c r="M445" s="21">
        <v>11</v>
      </c>
      <c r="N445" s="21">
        <v>12</v>
      </c>
      <c r="O445" s="21">
        <v>13</v>
      </c>
      <c r="P445" s="21">
        <v>14</v>
      </c>
      <c r="Q445" s="21">
        <v>15</v>
      </c>
      <c r="R445" s="21">
        <v>16</v>
      </c>
      <c r="S445" s="21">
        <v>17</v>
      </c>
      <c r="T445" s="21">
        <v>18</v>
      </c>
      <c r="U445" s="21">
        <v>19</v>
      </c>
      <c r="V445" s="21">
        <v>20</v>
      </c>
      <c r="W445" s="21">
        <v>21</v>
      </c>
      <c r="X445" s="21">
        <v>22</v>
      </c>
      <c r="Y445" s="21">
        <v>23</v>
      </c>
      <c r="Z445" s="21">
        <v>24</v>
      </c>
      <c r="AA445" s="21">
        <v>25</v>
      </c>
      <c r="AB445" s="21">
        <v>26</v>
      </c>
      <c r="AC445" s="21">
        <v>27</v>
      </c>
      <c r="AD445" s="21">
        <v>28</v>
      </c>
      <c r="AE445" s="21">
        <v>29</v>
      </c>
      <c r="AF445" s="21">
        <v>30</v>
      </c>
      <c r="AG445" s="21">
        <v>31</v>
      </c>
      <c r="AH445" s="25" t="s">
        <v>72</v>
      </c>
      <c r="AI445" s="2266" t="s">
        <v>1345</v>
      </c>
      <c r="AJ445" s="66" t="e">
        <f>(B458/COUNTIF($C$446:$AG$457,"&gt;0"))</f>
        <v>#DIV/0!</v>
      </c>
    </row>
    <row r="446" spans="1:36">
      <c r="A446" s="1607" t="s">
        <v>73</v>
      </c>
      <c r="B446" s="1055">
        <f t="shared" ref="B446:B457" si="81">+AH446</f>
        <v>0</v>
      </c>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9">
        <f>SUM(C446:AG446)</f>
        <v>0</v>
      </c>
    </row>
    <row r="447" spans="1:36">
      <c r="A447" s="1607" t="s">
        <v>74</v>
      </c>
      <c r="B447" s="1055">
        <f t="shared" si="81"/>
        <v>0</v>
      </c>
      <c r="C447" s="35"/>
      <c r="D447" s="35"/>
      <c r="E447" s="35"/>
      <c r="F447" s="35"/>
      <c r="G447" s="35"/>
      <c r="H447" s="35"/>
      <c r="I447" s="35"/>
      <c r="J447" s="35"/>
      <c r="K447" s="35"/>
      <c r="L447" s="35"/>
      <c r="M447" s="35"/>
      <c r="N447" s="35"/>
      <c r="O447" s="35"/>
      <c r="P447" s="35"/>
      <c r="Q447" s="35"/>
      <c r="R447" s="35"/>
      <c r="S447" s="35"/>
      <c r="T447" s="35"/>
      <c r="U447" s="35"/>
      <c r="V447" s="35"/>
      <c r="W447" s="135"/>
      <c r="X447" s="35"/>
      <c r="Y447" s="35"/>
      <c r="Z447" s="35"/>
      <c r="AA447" s="35"/>
      <c r="AB447" s="35"/>
      <c r="AC447" s="35"/>
      <c r="AD447" s="35"/>
      <c r="AE447" s="35"/>
      <c r="AF447" s="35"/>
      <c r="AG447" s="35"/>
      <c r="AH447" s="39">
        <f t="shared" ref="AH447:AH457" si="82">SUM(C447:AG447)</f>
        <v>0</v>
      </c>
    </row>
    <row r="448" spans="1:36">
      <c r="A448" s="1607" t="s">
        <v>75</v>
      </c>
      <c r="B448" s="1055">
        <f t="shared" si="81"/>
        <v>0</v>
      </c>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9">
        <f t="shared" si="82"/>
        <v>0</v>
      </c>
    </row>
    <row r="449" spans="1:36" ht="15" customHeight="1">
      <c r="A449" s="1607" t="s">
        <v>76</v>
      </c>
      <c r="B449" s="1055">
        <f t="shared" si="81"/>
        <v>0</v>
      </c>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9">
        <f t="shared" si="82"/>
        <v>0</v>
      </c>
    </row>
    <row r="450" spans="1:36" ht="15" customHeight="1">
      <c r="A450" s="1607" t="s">
        <v>77</v>
      </c>
      <c r="B450" s="1055">
        <f t="shared" si="81"/>
        <v>0</v>
      </c>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9">
        <f t="shared" si="82"/>
        <v>0</v>
      </c>
    </row>
    <row r="451" spans="1:36" ht="15" customHeight="1">
      <c r="A451" s="1607" t="s">
        <v>78</v>
      </c>
      <c r="B451" s="1055">
        <f t="shared" si="81"/>
        <v>0</v>
      </c>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9">
        <f t="shared" si="82"/>
        <v>0</v>
      </c>
    </row>
    <row r="452" spans="1:36" ht="15" customHeight="1">
      <c r="A452" s="1607" t="s">
        <v>79</v>
      </c>
      <c r="B452" s="1055">
        <f t="shared" si="81"/>
        <v>0</v>
      </c>
      <c r="C452" s="35"/>
      <c r="D452" s="15"/>
      <c r="E452" s="15"/>
      <c r="F452" s="15"/>
      <c r="G452" s="15"/>
      <c r="H452" s="15"/>
      <c r="I452" s="15"/>
      <c r="J452" s="35"/>
      <c r="K452" s="3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39">
        <f t="shared" si="82"/>
        <v>0</v>
      </c>
    </row>
    <row r="453" spans="1:36" ht="15" customHeight="1">
      <c r="A453" s="1607" t="s">
        <v>80</v>
      </c>
      <c r="B453" s="1055">
        <f t="shared" si="81"/>
        <v>0</v>
      </c>
      <c r="C453" s="35"/>
      <c r="D453" s="15"/>
      <c r="E453" s="15"/>
      <c r="F453" s="15"/>
      <c r="G453" s="15"/>
      <c r="H453" s="15"/>
      <c r="I453" s="15"/>
      <c r="J453" s="35"/>
      <c r="K453" s="3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39">
        <f t="shared" si="82"/>
        <v>0</v>
      </c>
    </row>
    <row r="454" spans="1:36" ht="15" customHeight="1">
      <c r="A454" s="1607" t="s">
        <v>81</v>
      </c>
      <c r="B454" s="1055">
        <f t="shared" si="81"/>
        <v>0</v>
      </c>
      <c r="C454" s="35"/>
      <c r="D454" s="15"/>
      <c r="E454" s="15"/>
      <c r="F454" s="15"/>
      <c r="G454" s="15"/>
      <c r="H454" s="15"/>
      <c r="I454" s="15"/>
      <c r="J454" s="35"/>
      <c r="K454" s="3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39">
        <f t="shared" si="82"/>
        <v>0</v>
      </c>
    </row>
    <row r="455" spans="1:36" ht="15" customHeight="1">
      <c r="A455" s="1522" t="s">
        <v>82</v>
      </c>
      <c r="B455" s="1055">
        <f t="shared" si="81"/>
        <v>0</v>
      </c>
      <c r="C455" s="35"/>
      <c r="D455" s="15"/>
      <c r="E455" s="15"/>
      <c r="F455" s="15"/>
      <c r="G455" s="15"/>
      <c r="H455" s="15"/>
      <c r="I455" s="15"/>
      <c r="J455" s="35"/>
      <c r="K455" s="3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39">
        <f t="shared" si="82"/>
        <v>0</v>
      </c>
    </row>
    <row r="456" spans="1:36" ht="15" customHeight="1">
      <c r="A456" s="1522" t="s">
        <v>83</v>
      </c>
      <c r="B456" s="19">
        <f t="shared" si="81"/>
        <v>0</v>
      </c>
      <c r="C456" s="35"/>
      <c r="D456" s="15"/>
      <c r="E456" s="15"/>
      <c r="F456" s="15"/>
      <c r="G456" s="15"/>
      <c r="H456" s="15"/>
      <c r="I456" s="15"/>
      <c r="J456" s="35"/>
      <c r="K456" s="3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39">
        <f t="shared" si="82"/>
        <v>0</v>
      </c>
    </row>
    <row r="457" spans="1:36" ht="15" customHeight="1">
      <c r="A457" s="1522" t="s">
        <v>84</v>
      </c>
      <c r="B457" s="19">
        <f t="shared" si="81"/>
        <v>0</v>
      </c>
      <c r="C457" s="35"/>
      <c r="D457" s="15"/>
      <c r="E457" s="15"/>
      <c r="F457" s="15"/>
      <c r="G457" s="15"/>
      <c r="H457" s="15"/>
      <c r="I457" s="15"/>
      <c r="J457" s="35"/>
      <c r="K457" s="3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39">
        <f t="shared" si="82"/>
        <v>0</v>
      </c>
    </row>
    <row r="458" spans="1:36" ht="15" customHeight="1">
      <c r="A458" s="71" t="s">
        <v>72</v>
      </c>
      <c r="B458" s="73">
        <f>SUM(B446:B457)</f>
        <v>0</v>
      </c>
      <c r="C458" s="32">
        <f>SUM(C446:C456)</f>
        <v>0</v>
      </c>
      <c r="D458" s="39">
        <f>SUM(D446:D456)</f>
        <v>0</v>
      </c>
      <c r="E458" s="39">
        <v>0</v>
      </c>
      <c r="F458" s="39">
        <f t="shared" ref="F458:AC458" si="83">SUM(F446:F456)</f>
        <v>0</v>
      </c>
      <c r="G458" s="39">
        <f t="shared" si="83"/>
        <v>0</v>
      </c>
      <c r="H458" s="39">
        <f t="shared" si="83"/>
        <v>0</v>
      </c>
      <c r="I458" s="39">
        <f t="shared" si="83"/>
        <v>0</v>
      </c>
      <c r="J458" s="39">
        <f t="shared" si="83"/>
        <v>0</v>
      </c>
      <c r="K458" s="39">
        <f t="shared" si="83"/>
        <v>0</v>
      </c>
      <c r="L458" s="39">
        <f t="shared" si="83"/>
        <v>0</v>
      </c>
      <c r="M458" s="39">
        <f t="shared" si="83"/>
        <v>0</v>
      </c>
      <c r="N458" s="39">
        <f t="shared" si="83"/>
        <v>0</v>
      </c>
      <c r="O458" s="39">
        <f t="shared" si="83"/>
        <v>0</v>
      </c>
      <c r="P458" s="39">
        <f t="shared" si="83"/>
        <v>0</v>
      </c>
      <c r="Q458" s="39">
        <f t="shared" si="83"/>
        <v>0</v>
      </c>
      <c r="R458" s="39">
        <f t="shared" si="83"/>
        <v>0</v>
      </c>
      <c r="S458" s="39">
        <f t="shared" si="83"/>
        <v>0</v>
      </c>
      <c r="T458" s="39">
        <f t="shared" si="83"/>
        <v>0</v>
      </c>
      <c r="U458" s="39">
        <f t="shared" si="83"/>
        <v>0</v>
      </c>
      <c r="V458" s="39">
        <f t="shared" si="83"/>
        <v>0</v>
      </c>
      <c r="W458" s="39">
        <f t="shared" si="83"/>
        <v>0</v>
      </c>
      <c r="X458" s="39">
        <f t="shared" si="83"/>
        <v>0</v>
      </c>
      <c r="Y458" s="39">
        <f t="shared" si="83"/>
        <v>0</v>
      </c>
      <c r="Z458" s="39">
        <f t="shared" si="83"/>
        <v>0</v>
      </c>
      <c r="AA458" s="39">
        <f t="shared" si="83"/>
        <v>0</v>
      </c>
      <c r="AB458" s="39">
        <f t="shared" si="83"/>
        <v>0</v>
      </c>
      <c r="AC458" s="39">
        <f t="shared" si="83"/>
        <v>0</v>
      </c>
      <c r="AD458" s="39">
        <v>0</v>
      </c>
      <c r="AE458" s="39">
        <f>SUM(AE446:AE456)</f>
        <v>0</v>
      </c>
      <c r="AF458" s="39">
        <f>SUM(AF446:AF456)</f>
        <v>0</v>
      </c>
      <c r="AG458" s="39">
        <f>SUM(AG446:AG456)</f>
        <v>0</v>
      </c>
      <c r="AH458" s="32">
        <f>SUM(AH446:AH457)</f>
        <v>0</v>
      </c>
    </row>
    <row r="459" spans="1:36" ht="5.0999999999999996" customHeight="1">
      <c r="A459" s="14"/>
      <c r="B459" s="55"/>
      <c r="C459" s="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row>
    <row r="460" spans="1:36" ht="15" customHeight="1">
      <c r="A460" s="3872" t="s">
        <v>62</v>
      </c>
      <c r="B460" s="3873"/>
      <c r="C460" s="3873"/>
      <c r="D460" s="3873"/>
      <c r="E460" s="3873"/>
      <c r="F460" s="3873"/>
      <c r="G460" s="3873"/>
      <c r="H460" s="3874"/>
      <c r="I460" s="858"/>
    </row>
    <row r="461" spans="1:36" ht="15" customHeight="1">
      <c r="A461" s="5" t="s">
        <v>89</v>
      </c>
      <c r="B461" s="56" t="s">
        <v>71</v>
      </c>
      <c r="C461" s="1054">
        <v>1</v>
      </c>
      <c r="D461" s="21">
        <v>2</v>
      </c>
      <c r="E461" s="21">
        <v>3</v>
      </c>
      <c r="F461" s="21">
        <v>4</v>
      </c>
      <c r="G461" s="21">
        <v>5</v>
      </c>
      <c r="H461" s="21">
        <v>6</v>
      </c>
      <c r="I461" s="21">
        <v>7</v>
      </c>
      <c r="J461" s="21">
        <v>8</v>
      </c>
      <c r="K461" s="21">
        <v>9</v>
      </c>
      <c r="L461" s="21">
        <v>10</v>
      </c>
      <c r="M461" s="21">
        <v>11</v>
      </c>
      <c r="N461" s="21">
        <v>12</v>
      </c>
      <c r="O461" s="21">
        <v>13</v>
      </c>
      <c r="P461" s="21">
        <v>14</v>
      </c>
      <c r="Q461" s="21">
        <v>15</v>
      </c>
      <c r="R461" s="21">
        <v>16</v>
      </c>
      <c r="S461" s="21">
        <v>17</v>
      </c>
      <c r="T461" s="21">
        <v>18</v>
      </c>
      <c r="U461" s="21">
        <v>19</v>
      </c>
      <c r="V461" s="21">
        <v>20</v>
      </c>
      <c r="W461" s="21">
        <v>21</v>
      </c>
      <c r="X461" s="21">
        <v>22</v>
      </c>
      <c r="Y461" s="21">
        <v>23</v>
      </c>
      <c r="Z461" s="21">
        <v>24</v>
      </c>
      <c r="AA461" s="21">
        <v>25</v>
      </c>
      <c r="AB461" s="21">
        <v>26</v>
      </c>
      <c r="AC461" s="21">
        <v>27</v>
      </c>
      <c r="AD461" s="21">
        <v>28</v>
      </c>
      <c r="AE461" s="21">
        <v>29</v>
      </c>
      <c r="AF461" s="21">
        <v>30</v>
      </c>
      <c r="AG461" s="21">
        <v>31</v>
      </c>
      <c r="AH461" s="25" t="s">
        <v>72</v>
      </c>
      <c r="AI461" s="2266" t="s">
        <v>1345</v>
      </c>
      <c r="AJ461" s="66" t="e">
        <f>(B474/COUNTIF($C$462:$AG$473,"&gt;0"))</f>
        <v>#DIV/0!</v>
      </c>
    </row>
    <row r="462" spans="1:36" ht="15" customHeight="1">
      <c r="A462" s="1607" t="s">
        <v>73</v>
      </c>
      <c r="B462" s="1055">
        <f t="shared" ref="B462:B473" si="84">+AH462</f>
        <v>0</v>
      </c>
      <c r="C462" s="3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39">
        <f>SUM(C462:AG462)</f>
        <v>0</v>
      </c>
    </row>
    <row r="463" spans="1:36" ht="15" customHeight="1">
      <c r="A463" s="1607" t="s">
        <v>74</v>
      </c>
      <c r="B463" s="1055">
        <f t="shared" si="84"/>
        <v>0</v>
      </c>
      <c r="C463" s="35"/>
      <c r="D463" s="15"/>
      <c r="E463" s="15"/>
      <c r="F463" s="15"/>
      <c r="G463" s="15"/>
      <c r="H463" s="15"/>
      <c r="I463" s="15"/>
      <c r="J463" s="15"/>
      <c r="K463" s="15"/>
      <c r="L463" s="15"/>
      <c r="M463" s="15"/>
      <c r="N463" s="15"/>
      <c r="O463" s="15"/>
      <c r="P463" s="15"/>
      <c r="Q463" s="15"/>
      <c r="R463" s="15"/>
      <c r="S463" s="15"/>
      <c r="T463" s="15"/>
      <c r="U463" s="15"/>
      <c r="V463" s="35"/>
      <c r="W463" s="15"/>
      <c r="X463" s="15"/>
      <c r="Y463" s="15"/>
      <c r="Z463" s="15"/>
      <c r="AA463" s="15"/>
      <c r="AB463" s="15"/>
      <c r="AC463" s="15"/>
      <c r="AD463" s="15"/>
      <c r="AE463" s="15"/>
      <c r="AF463" s="15"/>
      <c r="AG463" s="15"/>
      <c r="AH463" s="39">
        <f t="shared" ref="AH463:AH473" si="85">SUM(C463:AG463)</f>
        <v>0</v>
      </c>
    </row>
    <row r="464" spans="1:36" ht="15" customHeight="1">
      <c r="A464" s="1607" t="s">
        <v>75</v>
      </c>
      <c r="B464" s="1055">
        <f t="shared" si="84"/>
        <v>0</v>
      </c>
      <c r="C464" s="3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39">
        <f t="shared" si="85"/>
        <v>0</v>
      </c>
    </row>
    <row r="465" spans="1:36" ht="15" customHeight="1">
      <c r="A465" s="1607" t="s">
        <v>76</v>
      </c>
      <c r="B465" s="1055">
        <f t="shared" si="84"/>
        <v>0</v>
      </c>
      <c r="C465" s="3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39">
        <f t="shared" si="85"/>
        <v>0</v>
      </c>
    </row>
    <row r="466" spans="1:36" ht="15" customHeight="1">
      <c r="A466" s="1607" t="s">
        <v>77</v>
      </c>
      <c r="B466" s="1055">
        <f t="shared" si="84"/>
        <v>0</v>
      </c>
      <c r="C466" s="3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39">
        <f t="shared" si="85"/>
        <v>0</v>
      </c>
    </row>
    <row r="467" spans="1:36" ht="15" customHeight="1">
      <c r="A467" s="1607" t="s">
        <v>78</v>
      </c>
      <c r="B467" s="1055">
        <f t="shared" si="84"/>
        <v>0</v>
      </c>
      <c r="C467" s="3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39">
        <f t="shared" si="85"/>
        <v>0</v>
      </c>
    </row>
    <row r="468" spans="1:36" ht="15" customHeight="1">
      <c r="A468" s="1607" t="s">
        <v>79</v>
      </c>
      <c r="B468" s="1055">
        <f t="shared" si="84"/>
        <v>0</v>
      </c>
      <c r="C468" s="35"/>
      <c r="D468" s="15"/>
      <c r="E468" s="15"/>
      <c r="F468" s="15"/>
      <c r="G468" s="15"/>
      <c r="H468" s="15"/>
      <c r="I468" s="15"/>
      <c r="J468" s="35"/>
      <c r="K468" s="3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39">
        <f t="shared" si="85"/>
        <v>0</v>
      </c>
    </row>
    <row r="469" spans="1:36" ht="15" customHeight="1">
      <c r="A469" s="1607" t="s">
        <v>80</v>
      </c>
      <c r="B469" s="1055">
        <f t="shared" si="84"/>
        <v>0</v>
      </c>
      <c r="C469" s="35"/>
      <c r="D469" s="15"/>
      <c r="E469" s="15"/>
      <c r="F469" s="15"/>
      <c r="G469" s="15"/>
      <c r="H469" s="15"/>
      <c r="I469" s="15"/>
      <c r="J469" s="35"/>
      <c r="K469" s="3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39">
        <f t="shared" si="85"/>
        <v>0</v>
      </c>
    </row>
    <row r="470" spans="1:36" ht="15" customHeight="1">
      <c r="A470" s="1607" t="s">
        <v>81</v>
      </c>
      <c r="B470" s="1055">
        <f t="shared" si="84"/>
        <v>0</v>
      </c>
      <c r="C470" s="35"/>
      <c r="D470" s="15"/>
      <c r="E470" s="15"/>
      <c r="F470" s="15"/>
      <c r="G470" s="15"/>
      <c r="H470" s="15"/>
      <c r="I470" s="15"/>
      <c r="J470" s="35"/>
      <c r="K470" s="3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39">
        <f t="shared" si="85"/>
        <v>0</v>
      </c>
    </row>
    <row r="471" spans="1:36" ht="15" customHeight="1">
      <c r="A471" s="1522" t="s">
        <v>82</v>
      </c>
      <c r="B471" s="19">
        <f t="shared" si="84"/>
        <v>0</v>
      </c>
      <c r="C471" s="35"/>
      <c r="D471" s="15"/>
      <c r="E471" s="15"/>
      <c r="F471" s="15"/>
      <c r="G471" s="15"/>
      <c r="H471" s="15"/>
      <c r="I471" s="15"/>
      <c r="J471" s="35"/>
      <c r="K471" s="35"/>
      <c r="L471" s="15"/>
      <c r="M471" s="15"/>
      <c r="N471" s="15"/>
      <c r="O471" s="15"/>
      <c r="P471" s="15"/>
      <c r="Q471" s="15"/>
      <c r="R471" s="15"/>
      <c r="S471" s="15"/>
      <c r="T471" s="15"/>
      <c r="U471" s="15"/>
      <c r="V471" s="15"/>
      <c r="W471" s="15"/>
      <c r="X471" s="15"/>
      <c r="Y471" s="15"/>
      <c r="Z471" s="15"/>
      <c r="AA471" s="15"/>
      <c r="AB471" s="15"/>
      <c r="AC471" s="15"/>
      <c r="AD471" s="15"/>
      <c r="AE471" s="15"/>
      <c r="AF471" s="15"/>
      <c r="AG471" s="39"/>
      <c r="AH471" s="39">
        <f t="shared" si="85"/>
        <v>0</v>
      </c>
    </row>
    <row r="472" spans="1:36" ht="15" customHeight="1">
      <c r="A472" s="1522" t="s">
        <v>83</v>
      </c>
      <c r="B472" s="19">
        <f t="shared" si="84"/>
        <v>0</v>
      </c>
      <c r="C472" s="35"/>
      <c r="D472" s="15"/>
      <c r="E472" s="15"/>
      <c r="F472" s="15"/>
      <c r="G472" s="15"/>
      <c r="H472" s="15"/>
      <c r="I472" s="15"/>
      <c r="J472" s="35"/>
      <c r="K472" s="35"/>
      <c r="L472" s="15"/>
      <c r="M472" s="15"/>
      <c r="N472" s="15"/>
      <c r="O472" s="15"/>
      <c r="P472" s="15"/>
      <c r="Q472" s="15"/>
      <c r="R472" s="15"/>
      <c r="S472" s="15"/>
      <c r="T472" s="15"/>
      <c r="U472" s="15"/>
      <c r="V472" s="15"/>
      <c r="W472" s="15"/>
      <c r="X472" s="15"/>
      <c r="Y472" s="15"/>
      <c r="Z472" s="15"/>
      <c r="AA472" s="15"/>
      <c r="AB472" s="15"/>
      <c r="AC472" s="15"/>
      <c r="AD472" s="15"/>
      <c r="AE472" s="15"/>
      <c r="AF472" s="15"/>
      <c r="AG472" s="39"/>
      <c r="AH472" s="39">
        <f t="shared" si="85"/>
        <v>0</v>
      </c>
    </row>
    <row r="473" spans="1:36" ht="15" customHeight="1">
      <c r="A473" s="1522" t="s">
        <v>84</v>
      </c>
      <c r="B473" s="19">
        <f t="shared" si="84"/>
        <v>0</v>
      </c>
      <c r="C473" s="35"/>
      <c r="D473" s="35"/>
      <c r="E473" s="35"/>
      <c r="F473" s="35"/>
      <c r="G473" s="35"/>
      <c r="H473" s="35"/>
      <c r="I473" s="35"/>
      <c r="J473" s="35"/>
      <c r="K473" s="35"/>
      <c r="L473" s="35"/>
      <c r="M473" s="35"/>
      <c r="N473" s="35"/>
      <c r="O473" s="15"/>
      <c r="P473" s="15"/>
      <c r="Q473" s="15"/>
      <c r="R473" s="15"/>
      <c r="S473" s="15"/>
      <c r="T473" s="15"/>
      <c r="U473" s="15"/>
      <c r="V473" s="15"/>
      <c r="W473" s="15"/>
      <c r="X473" s="15"/>
      <c r="Y473" s="15"/>
      <c r="Z473" s="15"/>
      <c r="AA473" s="15"/>
      <c r="AB473" s="15"/>
      <c r="AC473" s="15"/>
      <c r="AD473" s="15"/>
      <c r="AE473" s="39"/>
      <c r="AF473" s="15"/>
      <c r="AG473" s="39"/>
      <c r="AH473" s="39">
        <f t="shared" si="85"/>
        <v>0</v>
      </c>
    </row>
    <row r="474" spans="1:36" ht="15" customHeight="1">
      <c r="A474" s="71" t="s">
        <v>72</v>
      </c>
      <c r="B474" s="73">
        <f>SUM(B462:B473)</f>
        <v>0</v>
      </c>
      <c r="C474" s="32">
        <f>SUM(C462:C472)</f>
        <v>0</v>
      </c>
      <c r="D474" s="39">
        <f>SUM(D462:D472)</f>
        <v>0</v>
      </c>
      <c r="E474" s="39">
        <v>0</v>
      </c>
      <c r="F474" s="39">
        <f t="shared" ref="F474:AC474" si="86">SUM(F462:F472)</f>
        <v>0</v>
      </c>
      <c r="G474" s="39">
        <f t="shared" si="86"/>
        <v>0</v>
      </c>
      <c r="H474" s="39">
        <f t="shared" si="86"/>
        <v>0</v>
      </c>
      <c r="I474" s="39">
        <f t="shared" si="86"/>
        <v>0</v>
      </c>
      <c r="J474" s="39">
        <f t="shared" si="86"/>
        <v>0</v>
      </c>
      <c r="K474" s="39">
        <f t="shared" si="86"/>
        <v>0</v>
      </c>
      <c r="L474" s="39">
        <f t="shared" si="86"/>
        <v>0</v>
      </c>
      <c r="M474" s="39">
        <f t="shared" si="86"/>
        <v>0</v>
      </c>
      <c r="N474" s="39">
        <f t="shared" si="86"/>
        <v>0</v>
      </c>
      <c r="O474" s="39">
        <f t="shared" si="86"/>
        <v>0</v>
      </c>
      <c r="P474" s="39">
        <f t="shared" si="86"/>
        <v>0</v>
      </c>
      <c r="Q474" s="39">
        <f t="shared" si="86"/>
        <v>0</v>
      </c>
      <c r="R474" s="39">
        <f t="shared" si="86"/>
        <v>0</v>
      </c>
      <c r="S474" s="39">
        <f t="shared" si="86"/>
        <v>0</v>
      </c>
      <c r="T474" s="39">
        <f t="shared" si="86"/>
        <v>0</v>
      </c>
      <c r="U474" s="39">
        <f t="shared" si="86"/>
        <v>0</v>
      </c>
      <c r="V474" s="39">
        <f t="shared" si="86"/>
        <v>0</v>
      </c>
      <c r="W474" s="39">
        <f t="shared" si="86"/>
        <v>0</v>
      </c>
      <c r="X474" s="39">
        <f t="shared" si="86"/>
        <v>0</v>
      </c>
      <c r="Y474" s="39">
        <f t="shared" si="86"/>
        <v>0</v>
      </c>
      <c r="Z474" s="39">
        <f t="shared" si="86"/>
        <v>0</v>
      </c>
      <c r="AA474" s="39">
        <f t="shared" si="86"/>
        <v>0</v>
      </c>
      <c r="AB474" s="39">
        <f t="shared" si="86"/>
        <v>0</v>
      </c>
      <c r="AC474" s="39">
        <f t="shared" si="86"/>
        <v>0</v>
      </c>
      <c r="AD474" s="39">
        <v>0</v>
      </c>
      <c r="AE474" s="39">
        <f>SUM(AE462:AE472)</f>
        <v>0</v>
      </c>
      <c r="AF474" s="39">
        <f>SUM(AF462:AF472)</f>
        <v>0</v>
      </c>
      <c r="AG474" s="39">
        <f>SUM(AG462:AG472)</f>
        <v>0</v>
      </c>
      <c r="AH474" s="32">
        <f>SUM(AH462:AH473)</f>
        <v>0</v>
      </c>
    </row>
    <row r="475" spans="1:36" ht="5.0999999999999996" customHeight="1">
      <c r="A475" s="14"/>
      <c r="B475" s="14"/>
      <c r="C475" s="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
    </row>
    <row r="476" spans="1:36">
      <c r="A476" s="3872" t="s">
        <v>778</v>
      </c>
      <c r="B476" s="3873"/>
      <c r="C476" s="3873"/>
      <c r="D476" s="3873"/>
      <c r="E476" s="3873"/>
      <c r="F476" s="3873"/>
      <c r="G476" s="3873"/>
      <c r="H476" s="3874"/>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row>
    <row r="477" spans="1:36">
      <c r="A477" s="5" t="s">
        <v>89</v>
      </c>
      <c r="B477" s="5" t="s">
        <v>71</v>
      </c>
      <c r="C477" s="1054">
        <v>1</v>
      </c>
      <c r="D477" s="21">
        <v>2</v>
      </c>
      <c r="E477" s="21">
        <v>3</v>
      </c>
      <c r="F477" s="21">
        <v>4</v>
      </c>
      <c r="G477" s="21">
        <v>5</v>
      </c>
      <c r="H477" s="21">
        <v>6</v>
      </c>
      <c r="I477" s="21">
        <v>7</v>
      </c>
      <c r="J477" s="21">
        <v>8</v>
      </c>
      <c r="K477" s="21">
        <v>9</v>
      </c>
      <c r="L477" s="21">
        <v>10</v>
      </c>
      <c r="M477" s="21">
        <v>11</v>
      </c>
      <c r="N477" s="21">
        <v>12</v>
      </c>
      <c r="O477" s="21">
        <v>13</v>
      </c>
      <c r="P477" s="21">
        <v>14</v>
      </c>
      <c r="Q477" s="21">
        <v>15</v>
      </c>
      <c r="R477" s="21">
        <v>16</v>
      </c>
      <c r="S477" s="21">
        <v>17</v>
      </c>
      <c r="T477" s="21">
        <v>18</v>
      </c>
      <c r="U477" s="21">
        <v>19</v>
      </c>
      <c r="V477" s="21">
        <v>20</v>
      </c>
      <c r="W477" s="21">
        <v>21</v>
      </c>
      <c r="X477" s="21">
        <v>22</v>
      </c>
      <c r="Y477" s="21">
        <v>23</v>
      </c>
      <c r="Z477" s="21">
        <v>24</v>
      </c>
      <c r="AA477" s="21">
        <v>25</v>
      </c>
      <c r="AB477" s="21">
        <v>26</v>
      </c>
      <c r="AC477" s="21">
        <v>27</v>
      </c>
      <c r="AD477" s="21">
        <v>28</v>
      </c>
      <c r="AE477" s="21">
        <v>29</v>
      </c>
      <c r="AF477" s="21">
        <v>30</v>
      </c>
      <c r="AG477" s="21">
        <v>31</v>
      </c>
      <c r="AH477" s="25" t="s">
        <v>72</v>
      </c>
      <c r="AI477" s="2266" t="s">
        <v>1345</v>
      </c>
      <c r="AJ477" s="66" t="e">
        <f>(B490/COUNTIF($C$478:$AG$489,"&gt;0"))</f>
        <v>#DIV/0!</v>
      </c>
    </row>
    <row r="478" spans="1:36">
      <c r="A478" s="1607" t="s">
        <v>73</v>
      </c>
      <c r="B478" s="1091">
        <f t="shared" ref="B478:B489" si="87">+AH478</f>
        <v>0</v>
      </c>
      <c r="C478" s="3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39">
        <f>SUM(C478:AG478)</f>
        <v>0</v>
      </c>
    </row>
    <row r="479" spans="1:36">
      <c r="A479" s="1607" t="s">
        <v>74</v>
      </c>
      <c r="B479" s="1091">
        <f t="shared" si="87"/>
        <v>0</v>
      </c>
      <c r="C479" s="3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39">
        <f t="shared" ref="AH479:AH489" si="88">SUM(C479:AG479)</f>
        <v>0</v>
      </c>
    </row>
    <row r="480" spans="1:36">
      <c r="A480" s="1607" t="s">
        <v>75</v>
      </c>
      <c r="B480" s="1091">
        <f t="shared" si="87"/>
        <v>0</v>
      </c>
      <c r="C480" s="3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39">
        <f t="shared" si="88"/>
        <v>0</v>
      </c>
    </row>
    <row r="481" spans="1:36">
      <c r="A481" s="1607" t="s">
        <v>76</v>
      </c>
      <c r="B481" s="1091">
        <f t="shared" si="87"/>
        <v>0</v>
      </c>
      <c r="C481" s="35"/>
      <c r="D481" s="15"/>
      <c r="E481" s="8"/>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39">
        <f t="shared" si="88"/>
        <v>0</v>
      </c>
    </row>
    <row r="482" spans="1:36">
      <c r="A482" s="1607" t="s">
        <v>77</v>
      </c>
      <c r="B482" s="1091">
        <f t="shared" si="87"/>
        <v>0</v>
      </c>
      <c r="C482" s="3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39">
        <f t="shared" si="88"/>
        <v>0</v>
      </c>
    </row>
    <row r="483" spans="1:36">
      <c r="A483" s="1607" t="s">
        <v>78</v>
      </c>
      <c r="B483" s="1091">
        <f t="shared" si="87"/>
        <v>0</v>
      </c>
      <c r="C483" s="3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39">
        <f t="shared" si="88"/>
        <v>0</v>
      </c>
    </row>
    <row r="484" spans="1:36">
      <c r="A484" s="1607" t="s">
        <v>79</v>
      </c>
      <c r="B484" s="1091">
        <f t="shared" si="87"/>
        <v>0</v>
      </c>
      <c r="C484" s="35"/>
      <c r="D484" s="15"/>
      <c r="E484" s="15"/>
      <c r="F484" s="15"/>
      <c r="G484" s="15"/>
      <c r="H484" s="15"/>
      <c r="I484" s="15"/>
      <c r="J484" s="35"/>
      <c r="K484" s="3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39">
        <f t="shared" si="88"/>
        <v>0</v>
      </c>
    </row>
    <row r="485" spans="1:36">
      <c r="A485" s="1607" t="s">
        <v>80</v>
      </c>
      <c r="B485" s="1091">
        <f t="shared" si="87"/>
        <v>0</v>
      </c>
      <c r="C485" s="35"/>
      <c r="D485" s="15"/>
      <c r="E485" s="15"/>
      <c r="F485" s="15"/>
      <c r="G485" s="15"/>
      <c r="H485" s="15"/>
      <c r="I485" s="15"/>
      <c r="J485" s="35"/>
      <c r="K485" s="3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39">
        <f t="shared" si="88"/>
        <v>0</v>
      </c>
    </row>
    <row r="486" spans="1:36">
      <c r="A486" s="1607" t="s">
        <v>81</v>
      </c>
      <c r="B486" s="1091">
        <f t="shared" si="87"/>
        <v>0</v>
      </c>
      <c r="C486" s="35"/>
      <c r="D486" s="15"/>
      <c r="E486" s="15"/>
      <c r="F486" s="15"/>
      <c r="G486" s="15"/>
      <c r="H486" s="15"/>
      <c r="I486" s="15"/>
      <c r="J486" s="35"/>
      <c r="K486" s="3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39">
        <f t="shared" si="88"/>
        <v>0</v>
      </c>
    </row>
    <row r="487" spans="1:36">
      <c r="A487" s="1522" t="s">
        <v>82</v>
      </c>
      <c r="B487" s="15">
        <f t="shared" si="87"/>
        <v>0</v>
      </c>
      <c r="C487" s="35"/>
      <c r="D487" s="39"/>
      <c r="E487" s="39"/>
      <c r="F487" s="39"/>
      <c r="G487" s="15"/>
      <c r="H487" s="15"/>
      <c r="I487" s="15"/>
      <c r="J487" s="15"/>
      <c r="K487" s="15"/>
      <c r="L487" s="15"/>
      <c r="M487" s="15"/>
      <c r="N487" s="15"/>
      <c r="O487" s="39"/>
      <c r="P487" s="15"/>
      <c r="Q487" s="15"/>
      <c r="R487" s="15"/>
      <c r="S487" s="15"/>
      <c r="T487" s="15"/>
      <c r="U487" s="15"/>
      <c r="V487" s="15"/>
      <c r="W487" s="15"/>
      <c r="X487" s="15"/>
      <c r="Y487" s="15"/>
      <c r="Z487" s="15"/>
      <c r="AA487" s="15"/>
      <c r="AB487" s="15"/>
      <c r="AC487" s="15"/>
      <c r="AD487" s="15"/>
      <c r="AE487" s="39"/>
      <c r="AF487" s="15"/>
      <c r="AG487" s="39"/>
      <c r="AH487" s="39">
        <f t="shared" si="88"/>
        <v>0</v>
      </c>
    </row>
    <row r="488" spans="1:36">
      <c r="A488" s="1522" t="s">
        <v>83</v>
      </c>
      <c r="B488" s="15">
        <f t="shared" si="87"/>
        <v>0</v>
      </c>
      <c r="C488" s="3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35"/>
      <c r="AF488" s="15"/>
      <c r="AG488" s="15"/>
      <c r="AH488" s="39">
        <f t="shared" si="88"/>
        <v>0</v>
      </c>
    </row>
    <row r="489" spans="1:36">
      <c r="A489" s="1522" t="s">
        <v>84</v>
      </c>
      <c r="B489" s="15">
        <f t="shared" si="87"/>
        <v>0</v>
      </c>
      <c r="C489" s="3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35"/>
      <c r="AF489" s="15"/>
      <c r="AG489" s="15"/>
      <c r="AH489" s="39">
        <f t="shared" si="88"/>
        <v>0</v>
      </c>
    </row>
    <row r="490" spans="1:36">
      <c r="A490" s="71" t="s">
        <v>72</v>
      </c>
      <c r="B490" s="72">
        <f>SUM(B478:B489)</f>
        <v>0</v>
      </c>
      <c r="C490" s="32">
        <f>SUM(C478:C488)</f>
        <v>0</v>
      </c>
      <c r="D490" s="39">
        <f>SUM(D478:D488)</f>
        <v>0</v>
      </c>
      <c r="E490" s="39">
        <v>0</v>
      </c>
      <c r="F490" s="39">
        <f t="shared" ref="F490:AC490" si="89">SUM(F478:F488)</f>
        <v>0</v>
      </c>
      <c r="G490" s="39">
        <f t="shared" si="89"/>
        <v>0</v>
      </c>
      <c r="H490" s="39">
        <f t="shared" si="89"/>
        <v>0</v>
      </c>
      <c r="I490" s="39">
        <f t="shared" si="89"/>
        <v>0</v>
      </c>
      <c r="J490" s="39">
        <f t="shared" si="89"/>
        <v>0</v>
      </c>
      <c r="K490" s="39">
        <f t="shared" si="89"/>
        <v>0</v>
      </c>
      <c r="L490" s="39">
        <f t="shared" si="89"/>
        <v>0</v>
      </c>
      <c r="M490" s="39">
        <f t="shared" si="89"/>
        <v>0</v>
      </c>
      <c r="N490" s="39">
        <f t="shared" si="89"/>
        <v>0</v>
      </c>
      <c r="O490" s="39">
        <f t="shared" si="89"/>
        <v>0</v>
      </c>
      <c r="P490" s="39">
        <f t="shared" si="89"/>
        <v>0</v>
      </c>
      <c r="Q490" s="39">
        <f t="shared" si="89"/>
        <v>0</v>
      </c>
      <c r="R490" s="39">
        <f t="shared" si="89"/>
        <v>0</v>
      </c>
      <c r="S490" s="39">
        <f t="shared" si="89"/>
        <v>0</v>
      </c>
      <c r="T490" s="39">
        <f t="shared" si="89"/>
        <v>0</v>
      </c>
      <c r="U490" s="39">
        <f t="shared" si="89"/>
        <v>0</v>
      </c>
      <c r="V490" s="39">
        <f t="shared" si="89"/>
        <v>0</v>
      </c>
      <c r="W490" s="39">
        <f t="shared" si="89"/>
        <v>0</v>
      </c>
      <c r="X490" s="39">
        <f t="shared" si="89"/>
        <v>0</v>
      </c>
      <c r="Y490" s="39">
        <f t="shared" si="89"/>
        <v>0</v>
      </c>
      <c r="Z490" s="39">
        <f t="shared" si="89"/>
        <v>0</v>
      </c>
      <c r="AA490" s="39">
        <f t="shared" si="89"/>
        <v>0</v>
      </c>
      <c r="AB490" s="39">
        <f t="shared" si="89"/>
        <v>0</v>
      </c>
      <c r="AC490" s="39">
        <f t="shared" si="89"/>
        <v>0</v>
      </c>
      <c r="AD490" s="39">
        <v>0</v>
      </c>
      <c r="AE490" s="39">
        <f>SUM(AE478:AE488)</f>
        <v>0</v>
      </c>
      <c r="AF490" s="39">
        <f>SUM(AF478:AF488)</f>
        <v>0</v>
      </c>
      <c r="AG490" s="39">
        <f>SUM(AG478:AG488)</f>
        <v>0</v>
      </c>
      <c r="AH490" s="32">
        <f>SUM(AH478:AH488)</f>
        <v>0</v>
      </c>
    </row>
    <row r="491" spans="1:36" ht="5.0999999999999996" customHeight="1">
      <c r="A491" s="14"/>
      <c r="B491" s="14"/>
      <c r="C491" s="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
    </row>
    <row r="492" spans="1:36" ht="15" customHeight="1">
      <c r="A492" s="3821" t="s">
        <v>58</v>
      </c>
      <c r="B492" s="3822"/>
      <c r="C492" s="3822"/>
      <c r="D492" s="3822"/>
      <c r="E492" s="3822"/>
      <c r="F492" s="3822"/>
      <c r="G492" s="3822"/>
      <c r="H492" s="3823"/>
    </row>
    <row r="493" spans="1:36" ht="15" customHeight="1">
      <c r="A493" s="5" t="s">
        <v>89</v>
      </c>
      <c r="B493" s="56" t="s">
        <v>71</v>
      </c>
      <c r="C493" s="1054">
        <v>1</v>
      </c>
      <c r="D493" s="21">
        <v>2</v>
      </c>
      <c r="E493" s="21">
        <v>3</v>
      </c>
      <c r="F493" s="21">
        <v>4</v>
      </c>
      <c r="G493" s="21">
        <v>5</v>
      </c>
      <c r="H493" s="21">
        <v>6</v>
      </c>
      <c r="I493" s="21">
        <v>7</v>
      </c>
      <c r="J493" s="21">
        <v>8</v>
      </c>
      <c r="K493" s="21">
        <v>9</v>
      </c>
      <c r="L493" s="21">
        <v>10</v>
      </c>
      <c r="M493" s="21">
        <v>11</v>
      </c>
      <c r="N493" s="21">
        <v>12</v>
      </c>
      <c r="O493" s="21">
        <v>13</v>
      </c>
      <c r="P493" s="21">
        <v>14</v>
      </c>
      <c r="Q493" s="21">
        <v>15</v>
      </c>
      <c r="R493" s="21">
        <v>16</v>
      </c>
      <c r="S493" s="21">
        <v>17</v>
      </c>
      <c r="T493" s="21">
        <v>18</v>
      </c>
      <c r="U493" s="21">
        <v>19</v>
      </c>
      <c r="V493" s="21">
        <v>20</v>
      </c>
      <c r="W493" s="21">
        <v>21</v>
      </c>
      <c r="X493" s="21">
        <v>22</v>
      </c>
      <c r="Y493" s="21">
        <v>23</v>
      </c>
      <c r="Z493" s="21">
        <v>24</v>
      </c>
      <c r="AA493" s="21">
        <v>25</v>
      </c>
      <c r="AB493" s="21">
        <v>26</v>
      </c>
      <c r="AC493" s="21">
        <v>27</v>
      </c>
      <c r="AD493" s="21">
        <v>28</v>
      </c>
      <c r="AE493" s="21">
        <v>29</v>
      </c>
      <c r="AF493" s="21">
        <v>30</v>
      </c>
      <c r="AG493" s="21">
        <v>31</v>
      </c>
      <c r="AH493" s="25" t="s">
        <v>72</v>
      </c>
      <c r="AI493" s="2266" t="s">
        <v>1345</v>
      </c>
      <c r="AJ493" s="66">
        <f>(B506/COUNTIF($C$494:$AG$505,"&gt;0"))</f>
        <v>10.525</v>
      </c>
    </row>
    <row r="494" spans="1:36" ht="15" customHeight="1">
      <c r="A494" s="1607" t="s">
        <v>73</v>
      </c>
      <c r="B494" s="1055">
        <f t="shared" ref="B494:B505" si="90">+AH494</f>
        <v>0</v>
      </c>
      <c r="C494" s="35"/>
      <c r="D494" s="39"/>
      <c r="E494" s="39"/>
      <c r="F494" s="39"/>
      <c r="G494" s="15"/>
      <c r="H494" s="15"/>
      <c r="I494" s="15"/>
      <c r="J494" s="15"/>
      <c r="K494" s="15"/>
      <c r="L494" s="15"/>
      <c r="M494" s="15"/>
      <c r="N494" s="15"/>
      <c r="O494" s="15"/>
      <c r="P494" s="15"/>
      <c r="Q494" s="39"/>
      <c r="R494" s="15"/>
      <c r="S494" s="15"/>
      <c r="T494" s="15"/>
      <c r="U494" s="15"/>
      <c r="V494" s="39"/>
      <c r="W494" s="39"/>
      <c r="X494" s="15"/>
      <c r="Y494" s="15"/>
      <c r="Z494" s="15"/>
      <c r="AA494" s="15"/>
      <c r="AB494" s="15"/>
      <c r="AC494" s="15"/>
      <c r="AD494" s="39"/>
      <c r="AE494" s="15"/>
      <c r="AF494" s="15"/>
      <c r="AG494" s="15"/>
      <c r="AH494" s="39">
        <f>SUM(C494:AG494)</f>
        <v>0</v>
      </c>
      <c r="AJ494" s="66">
        <f>+'Resumen RAE Jurel'!G102</f>
        <v>26.663</v>
      </c>
    </row>
    <row r="495" spans="1:36" ht="15" customHeight="1">
      <c r="A495" s="1607" t="s">
        <v>74</v>
      </c>
      <c r="B495" s="1055">
        <f t="shared" si="90"/>
        <v>0</v>
      </c>
      <c r="C495" s="3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39">
        <f t="shared" ref="AH495:AH505" si="91">SUM(C495:AG495)</f>
        <v>0</v>
      </c>
      <c r="AJ495" s="1093">
        <f>+AJ494/AJ493</f>
        <v>2.5333016627078386</v>
      </c>
    </row>
    <row r="496" spans="1:36" ht="15" customHeight="1">
      <c r="A496" s="1607" t="s">
        <v>75</v>
      </c>
      <c r="B496" s="1055">
        <f t="shared" si="90"/>
        <v>0</v>
      </c>
      <c r="C496" s="32"/>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f t="shared" si="91"/>
        <v>0</v>
      </c>
    </row>
    <row r="497" spans="1:36" ht="15" customHeight="1">
      <c r="A497" s="1607" t="s">
        <v>76</v>
      </c>
      <c r="B497" s="1055">
        <f t="shared" si="90"/>
        <v>0</v>
      </c>
      <c r="C497" s="35"/>
      <c r="D497" s="39"/>
      <c r="E497" s="39"/>
      <c r="F497" s="39"/>
      <c r="G497" s="15"/>
      <c r="H497" s="15"/>
      <c r="I497" s="15"/>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f t="shared" si="91"/>
        <v>0</v>
      </c>
    </row>
    <row r="498" spans="1:36" ht="15" customHeight="1">
      <c r="A498" s="1607" t="s">
        <v>77</v>
      </c>
      <c r="B498" s="1055">
        <f t="shared" si="90"/>
        <v>0</v>
      </c>
      <c r="C498" s="35"/>
      <c r="D498" s="15"/>
      <c r="E498" s="15"/>
      <c r="F498" s="15"/>
      <c r="G498" s="15"/>
      <c r="H498" s="15"/>
      <c r="I498" s="15"/>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f t="shared" si="91"/>
        <v>0</v>
      </c>
    </row>
    <row r="499" spans="1:36" ht="15" customHeight="1">
      <c r="A499" s="1607" t="s">
        <v>78</v>
      </c>
      <c r="B499" s="1055">
        <f t="shared" si="90"/>
        <v>0</v>
      </c>
      <c r="C499" s="32"/>
      <c r="D499" s="39"/>
      <c r="E499" s="39"/>
      <c r="F499" s="39"/>
      <c r="G499" s="1974" t="s">
        <v>1651</v>
      </c>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f t="shared" si="91"/>
        <v>0</v>
      </c>
    </row>
    <row r="500" spans="1:36" ht="15" customHeight="1">
      <c r="A500" s="1607" t="s">
        <v>79</v>
      </c>
      <c r="B500" s="1055">
        <f t="shared" si="90"/>
        <v>0</v>
      </c>
      <c r="C500" s="35"/>
      <c r="D500" s="39"/>
      <c r="E500" s="39"/>
      <c r="F500" s="39"/>
      <c r="G500" s="15"/>
      <c r="H500" s="15"/>
      <c r="I500" s="15"/>
      <c r="J500" s="43"/>
      <c r="K500" s="43"/>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f t="shared" si="91"/>
        <v>0</v>
      </c>
    </row>
    <row r="501" spans="1:36" ht="15" customHeight="1">
      <c r="A501" s="1607" t="s">
        <v>80</v>
      </c>
      <c r="B501" s="1055">
        <f t="shared" si="90"/>
        <v>0</v>
      </c>
      <c r="C501" s="35"/>
      <c r="D501" s="15"/>
      <c r="E501" s="15"/>
      <c r="F501" s="15"/>
      <c r="G501" s="15"/>
      <c r="H501" s="15"/>
      <c r="I501" s="15"/>
      <c r="J501" s="43"/>
      <c r="K501" s="43"/>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f t="shared" si="91"/>
        <v>0</v>
      </c>
    </row>
    <row r="502" spans="1:36" ht="15" customHeight="1">
      <c r="A502" s="1607" t="s">
        <v>81</v>
      </c>
      <c r="B502" s="1055">
        <f t="shared" si="90"/>
        <v>0</v>
      </c>
      <c r="C502" s="32"/>
      <c r="D502" s="39"/>
      <c r="E502" s="39"/>
      <c r="F502" s="39"/>
      <c r="G502" s="39"/>
      <c r="H502" s="39"/>
      <c r="I502" s="39"/>
      <c r="J502" s="43"/>
      <c r="K502" s="43"/>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39">
        <f t="shared" si="91"/>
        <v>0</v>
      </c>
    </row>
    <row r="503" spans="1:36" ht="15" customHeight="1">
      <c r="A503" s="1522" t="s">
        <v>82</v>
      </c>
      <c r="B503" s="100">
        <f t="shared" si="90"/>
        <v>0</v>
      </c>
      <c r="C503" s="35"/>
      <c r="D503" s="39"/>
      <c r="E503" s="39"/>
      <c r="F503" s="39"/>
      <c r="G503" s="15"/>
      <c r="H503" s="15"/>
      <c r="I503" s="15"/>
      <c r="J503" s="15"/>
      <c r="K503" s="15"/>
      <c r="L503" s="15"/>
      <c r="M503" s="15"/>
      <c r="N503" s="15"/>
      <c r="O503" s="39"/>
      <c r="P503" s="15"/>
      <c r="Q503" s="15"/>
      <c r="R503" s="15"/>
      <c r="S503" s="15"/>
      <c r="T503" s="15"/>
      <c r="U503" s="15"/>
      <c r="V503" s="15"/>
      <c r="W503" s="15"/>
      <c r="X503" s="15"/>
      <c r="Y503" s="15"/>
      <c r="Z503" s="15"/>
      <c r="AA503" s="15"/>
      <c r="AB503" s="15"/>
      <c r="AC503" s="15"/>
      <c r="AD503" s="15"/>
      <c r="AE503" s="39"/>
      <c r="AF503" s="15"/>
      <c r="AG503" s="39"/>
      <c r="AH503" s="39">
        <f t="shared" si="91"/>
        <v>0</v>
      </c>
    </row>
    <row r="504" spans="1:36" ht="15" customHeight="1">
      <c r="A504" s="1522" t="s">
        <v>83</v>
      </c>
      <c r="B504" s="19">
        <f t="shared" si="90"/>
        <v>0</v>
      </c>
      <c r="C504" s="3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39"/>
      <c r="AF504" s="15"/>
      <c r="AG504" s="39"/>
      <c r="AH504" s="39">
        <f t="shared" si="91"/>
        <v>0</v>
      </c>
    </row>
    <row r="505" spans="1:36" ht="15" customHeight="1">
      <c r="A505" s="1522" t="s">
        <v>84</v>
      </c>
      <c r="B505" s="19">
        <f t="shared" si="90"/>
        <v>31.574999999999999</v>
      </c>
      <c r="C505" s="35"/>
      <c r="D505" s="15"/>
      <c r="E505" s="15"/>
      <c r="F505" s="15"/>
      <c r="G505" s="15"/>
      <c r="H505" s="15"/>
      <c r="I505" s="15"/>
      <c r="J505" s="15"/>
      <c r="K505" s="15"/>
      <c r="L505" s="15"/>
      <c r="M505" s="15"/>
      <c r="N505" s="15"/>
      <c r="O505" s="15"/>
      <c r="P505" s="15"/>
      <c r="Q505" s="15"/>
      <c r="R505" s="15"/>
      <c r="S505" s="15"/>
      <c r="T505" s="15"/>
      <c r="U505" s="15"/>
      <c r="V505" s="15"/>
      <c r="W505" s="15"/>
      <c r="X505" s="15">
        <v>10</v>
      </c>
      <c r="Y505" s="15">
        <v>6.2750000000000004</v>
      </c>
      <c r="Z505" s="15"/>
      <c r="AA505" s="15"/>
      <c r="AB505" s="15"/>
      <c r="AC505" s="15"/>
      <c r="AD505" s="15"/>
      <c r="AE505" s="39">
        <v>15.3</v>
      </c>
      <c r="AF505" s="15"/>
      <c r="AG505" s="39"/>
      <c r="AH505" s="39">
        <f t="shared" si="91"/>
        <v>31.574999999999999</v>
      </c>
    </row>
    <row r="506" spans="1:36" ht="15" customHeight="1">
      <c r="A506" s="71" t="s">
        <v>72</v>
      </c>
      <c r="B506" s="73">
        <f>SUM(B494:B505)</f>
        <v>31.574999999999999</v>
      </c>
      <c r="C506" s="32">
        <f>SUM(C494:C504)</f>
        <v>0</v>
      </c>
      <c r="D506" s="39">
        <f>SUM(D494:D504)</f>
        <v>0</v>
      </c>
      <c r="E506" s="39">
        <v>0</v>
      </c>
      <c r="F506" s="39">
        <f t="shared" ref="F506:AC506" si="92">SUM(F494:F504)</f>
        <v>0</v>
      </c>
      <c r="G506" s="39">
        <f t="shared" si="92"/>
        <v>0</v>
      </c>
      <c r="H506" s="39">
        <f t="shared" si="92"/>
        <v>0</v>
      </c>
      <c r="I506" s="39">
        <f t="shared" si="92"/>
        <v>0</v>
      </c>
      <c r="J506" s="39">
        <f t="shared" si="92"/>
        <v>0</v>
      </c>
      <c r="K506" s="39">
        <f t="shared" si="92"/>
        <v>0</v>
      </c>
      <c r="L506" s="39">
        <f t="shared" si="92"/>
        <v>0</v>
      </c>
      <c r="M506" s="39">
        <f t="shared" si="92"/>
        <v>0</v>
      </c>
      <c r="N506" s="39">
        <f t="shared" si="92"/>
        <v>0</v>
      </c>
      <c r="O506" s="39">
        <f t="shared" si="92"/>
        <v>0</v>
      </c>
      <c r="P506" s="39">
        <f t="shared" si="92"/>
        <v>0</v>
      </c>
      <c r="Q506" s="39">
        <f t="shared" si="92"/>
        <v>0</v>
      </c>
      <c r="R506" s="39">
        <f t="shared" si="92"/>
        <v>0</v>
      </c>
      <c r="S506" s="39">
        <f t="shared" si="92"/>
        <v>0</v>
      </c>
      <c r="T506" s="39">
        <f t="shared" si="92"/>
        <v>0</v>
      </c>
      <c r="U506" s="39">
        <f t="shared" si="92"/>
        <v>0</v>
      </c>
      <c r="V506" s="39">
        <f t="shared" si="92"/>
        <v>0</v>
      </c>
      <c r="W506" s="39">
        <f t="shared" si="92"/>
        <v>0</v>
      </c>
      <c r="X506" s="39">
        <f t="shared" si="92"/>
        <v>0</v>
      </c>
      <c r="Y506" s="39">
        <f t="shared" si="92"/>
        <v>0</v>
      </c>
      <c r="Z506" s="39">
        <f t="shared" si="92"/>
        <v>0</v>
      </c>
      <c r="AA506" s="39">
        <f t="shared" si="92"/>
        <v>0</v>
      </c>
      <c r="AB506" s="39">
        <f t="shared" si="92"/>
        <v>0</v>
      </c>
      <c r="AC506" s="39">
        <f t="shared" si="92"/>
        <v>0</v>
      </c>
      <c r="AD506" s="39">
        <v>0</v>
      </c>
      <c r="AE506" s="39">
        <f>SUM(AE494:AE504)</f>
        <v>0</v>
      </c>
      <c r="AF506" s="39">
        <f>SUM(AF494:AF504)</f>
        <v>0</v>
      </c>
      <c r="AG506" s="39">
        <f>SUM(AG494:AG504)</f>
        <v>0</v>
      </c>
      <c r="AH506" s="32">
        <f>SUM(AH494:AH505)</f>
        <v>31.574999999999999</v>
      </c>
    </row>
    <row r="507" spans="1:36" ht="5.0999999999999996" customHeight="1">
      <c r="A507" s="14"/>
      <c r="B507" s="14"/>
      <c r="C507" s="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
    </row>
    <row r="508" spans="1:36">
      <c r="A508" s="3872" t="s">
        <v>97</v>
      </c>
      <c r="B508" s="3873"/>
      <c r="C508" s="3873"/>
      <c r="D508" s="3873"/>
      <c r="E508" s="3873"/>
      <c r="F508" s="3873"/>
      <c r="G508" s="3873"/>
      <c r="H508" s="3874"/>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spans="1:36">
      <c r="A509" s="5" t="s">
        <v>70</v>
      </c>
      <c r="B509" s="5" t="s">
        <v>71</v>
      </c>
      <c r="C509" s="1054">
        <v>1</v>
      </c>
      <c r="D509" s="21">
        <v>2</v>
      </c>
      <c r="E509" s="21">
        <v>3</v>
      </c>
      <c r="F509" s="21">
        <v>4</v>
      </c>
      <c r="G509" s="21">
        <v>5</v>
      </c>
      <c r="H509" s="21">
        <v>6</v>
      </c>
      <c r="I509" s="21">
        <v>7</v>
      </c>
      <c r="J509" s="21">
        <v>8</v>
      </c>
      <c r="K509" s="21">
        <v>9</v>
      </c>
      <c r="L509" s="21">
        <v>10</v>
      </c>
      <c r="M509" s="21">
        <v>11</v>
      </c>
      <c r="N509" s="21">
        <v>12</v>
      </c>
      <c r="O509" s="21">
        <v>13</v>
      </c>
      <c r="P509" s="21">
        <v>14</v>
      </c>
      <c r="Q509" s="21">
        <v>15</v>
      </c>
      <c r="R509" s="21">
        <v>16</v>
      </c>
      <c r="S509" s="21">
        <v>17</v>
      </c>
      <c r="T509" s="21">
        <v>18</v>
      </c>
      <c r="U509" s="21">
        <v>19</v>
      </c>
      <c r="V509" s="21">
        <v>20</v>
      </c>
      <c r="W509" s="21">
        <v>21</v>
      </c>
      <c r="X509" s="21">
        <v>22</v>
      </c>
      <c r="Y509" s="21">
        <v>23</v>
      </c>
      <c r="Z509" s="21">
        <v>24</v>
      </c>
      <c r="AA509" s="21">
        <v>25</v>
      </c>
      <c r="AB509" s="21">
        <v>26</v>
      </c>
      <c r="AC509" s="21">
        <v>27</v>
      </c>
      <c r="AD509" s="21">
        <v>28</v>
      </c>
      <c r="AE509" s="21">
        <v>29</v>
      </c>
      <c r="AF509" s="21">
        <v>30</v>
      </c>
      <c r="AG509" s="21">
        <v>31</v>
      </c>
      <c r="AH509" s="25" t="s">
        <v>72</v>
      </c>
      <c r="AI509" s="2266" t="s">
        <v>1345</v>
      </c>
      <c r="AJ509" s="66" t="e">
        <f>(B522/COUNTIF($C$510:$AG$521,"&gt;0"))</f>
        <v>#DIV/0!</v>
      </c>
    </row>
    <row r="510" spans="1:36">
      <c r="A510" s="1607" t="s">
        <v>73</v>
      </c>
      <c r="B510" s="1091">
        <f t="shared" ref="B510:B521" si="93">+AH510</f>
        <v>0</v>
      </c>
      <c r="C510" s="35"/>
      <c r="D510" s="39"/>
      <c r="E510" s="39"/>
      <c r="F510" s="39"/>
      <c r="G510" s="15"/>
      <c r="H510" s="15"/>
      <c r="I510" s="15"/>
      <c r="J510" s="15"/>
      <c r="K510" s="15"/>
      <c r="L510" s="15"/>
      <c r="M510" s="15"/>
      <c r="N510" s="15"/>
      <c r="O510" s="15"/>
      <c r="P510" s="15"/>
      <c r="Q510" s="39"/>
      <c r="R510" s="15"/>
      <c r="S510" s="15"/>
      <c r="T510" s="15"/>
      <c r="U510" s="15"/>
      <c r="V510" s="39"/>
      <c r="W510" s="39"/>
      <c r="X510" s="15"/>
      <c r="Y510" s="15"/>
      <c r="Z510" s="15"/>
      <c r="AA510" s="15"/>
      <c r="AB510" s="15"/>
      <c r="AC510" s="15"/>
      <c r="AD510" s="39"/>
      <c r="AE510" s="15"/>
      <c r="AF510" s="15"/>
      <c r="AG510" s="15"/>
      <c r="AH510" s="39">
        <f>SUM(C510:AG510)</f>
        <v>0</v>
      </c>
    </row>
    <row r="511" spans="1:36">
      <c r="A511" s="1607" t="s">
        <v>74</v>
      </c>
      <c r="B511" s="1091">
        <f t="shared" si="93"/>
        <v>0</v>
      </c>
      <c r="C511" s="3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39">
        <f t="shared" ref="AH511:AH521" si="94">SUM(C511:AG511)</f>
        <v>0</v>
      </c>
    </row>
    <row r="512" spans="1:36">
      <c r="A512" s="1607" t="s">
        <v>75</v>
      </c>
      <c r="B512" s="1091">
        <f t="shared" si="93"/>
        <v>0</v>
      </c>
      <c r="C512" s="32"/>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f t="shared" si="94"/>
        <v>0</v>
      </c>
    </row>
    <row r="513" spans="1:36">
      <c r="A513" s="1607" t="s">
        <v>76</v>
      </c>
      <c r="B513" s="1091">
        <f t="shared" si="93"/>
        <v>0</v>
      </c>
      <c r="C513" s="35"/>
      <c r="D513" s="39"/>
      <c r="E513" s="39"/>
      <c r="F513" s="39"/>
      <c r="G513" s="15"/>
      <c r="H513" s="15"/>
      <c r="I513" s="15"/>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f t="shared" si="94"/>
        <v>0</v>
      </c>
    </row>
    <row r="514" spans="1:36">
      <c r="A514" s="1607" t="s">
        <v>77</v>
      </c>
      <c r="B514" s="1091">
        <f t="shared" si="93"/>
        <v>0</v>
      </c>
      <c r="C514" s="35"/>
      <c r="D514" s="15"/>
      <c r="E514" s="15"/>
      <c r="F514" s="15"/>
      <c r="G514" s="15"/>
      <c r="H514" s="15"/>
      <c r="I514" s="15"/>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f t="shared" si="94"/>
        <v>0</v>
      </c>
    </row>
    <row r="515" spans="1:36">
      <c r="A515" s="1607" t="s">
        <v>78</v>
      </c>
      <c r="B515" s="1091">
        <f t="shared" si="93"/>
        <v>0</v>
      </c>
      <c r="C515" s="32"/>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f t="shared" si="94"/>
        <v>0</v>
      </c>
    </row>
    <row r="516" spans="1:36">
      <c r="A516" s="1607" t="s">
        <v>79</v>
      </c>
      <c r="B516" s="1091">
        <f t="shared" si="93"/>
        <v>0</v>
      </c>
      <c r="C516" s="35"/>
      <c r="D516" s="39"/>
      <c r="E516" s="39"/>
      <c r="F516" s="39"/>
      <c r="G516" s="15"/>
      <c r="H516" s="15"/>
      <c r="I516" s="15"/>
      <c r="J516" s="43"/>
      <c r="K516" s="43"/>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f t="shared" si="94"/>
        <v>0</v>
      </c>
    </row>
    <row r="517" spans="1:36">
      <c r="A517" s="1607" t="s">
        <v>80</v>
      </c>
      <c r="B517" s="1091">
        <f t="shared" si="93"/>
        <v>0</v>
      </c>
      <c r="C517" s="35"/>
      <c r="D517" s="15"/>
      <c r="E517" s="15"/>
      <c r="F517" s="15"/>
      <c r="G517" s="15"/>
      <c r="H517" s="15"/>
      <c r="I517" s="15"/>
      <c r="J517" s="43"/>
      <c r="K517" s="43"/>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f t="shared" si="94"/>
        <v>0</v>
      </c>
    </row>
    <row r="518" spans="1:36">
      <c r="A518" s="1607" t="s">
        <v>81</v>
      </c>
      <c r="B518" s="1091">
        <f t="shared" si="93"/>
        <v>0</v>
      </c>
      <c r="C518" s="32"/>
      <c r="D518" s="39"/>
      <c r="E518" s="39"/>
      <c r="F518" s="39"/>
      <c r="G518" s="39"/>
      <c r="H518" s="39"/>
      <c r="I518" s="39"/>
      <c r="J518" s="43"/>
      <c r="K518" s="43"/>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39">
        <f t="shared" si="94"/>
        <v>0</v>
      </c>
    </row>
    <row r="519" spans="1:36">
      <c r="A519" s="1522" t="s">
        <v>82</v>
      </c>
      <c r="B519" s="1091">
        <f t="shared" si="93"/>
        <v>0</v>
      </c>
      <c r="C519" s="35"/>
      <c r="D519" s="39"/>
      <c r="E519" s="39"/>
      <c r="F519" s="39"/>
      <c r="G519" s="15"/>
      <c r="H519" s="15"/>
      <c r="I519" s="15"/>
      <c r="J519" s="15"/>
      <c r="K519" s="15"/>
      <c r="L519" s="15"/>
      <c r="M519" s="15"/>
      <c r="N519" s="15"/>
      <c r="O519" s="39"/>
      <c r="P519" s="15"/>
      <c r="Q519" s="15"/>
      <c r="R519" s="15"/>
      <c r="S519" s="15"/>
      <c r="T519" s="15"/>
      <c r="U519" s="15"/>
      <c r="V519" s="15"/>
      <c r="W519" s="15"/>
      <c r="X519" s="15"/>
      <c r="Y519" s="15"/>
      <c r="Z519" s="15"/>
      <c r="AA519" s="15"/>
      <c r="AB519" s="15"/>
      <c r="AC519" s="15"/>
      <c r="AD519" s="15"/>
      <c r="AE519" s="39"/>
      <c r="AF519" s="15"/>
      <c r="AG519" s="39"/>
      <c r="AH519" s="39">
        <f t="shared" si="94"/>
        <v>0</v>
      </c>
    </row>
    <row r="520" spans="1:36">
      <c r="A520" s="1522" t="s">
        <v>83</v>
      </c>
      <c r="B520" s="15">
        <f t="shared" si="93"/>
        <v>0</v>
      </c>
      <c r="C520" s="3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39"/>
      <c r="AF520" s="15"/>
      <c r="AG520" s="39"/>
      <c r="AH520" s="39">
        <f t="shared" si="94"/>
        <v>0</v>
      </c>
    </row>
    <row r="521" spans="1:36">
      <c r="A521" s="1522" t="s">
        <v>84</v>
      </c>
      <c r="B521" s="15">
        <f t="shared" si="93"/>
        <v>0</v>
      </c>
      <c r="C521" s="3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39"/>
      <c r="AF521" s="15"/>
      <c r="AG521" s="39"/>
      <c r="AH521" s="39">
        <f t="shared" si="94"/>
        <v>0</v>
      </c>
    </row>
    <row r="522" spans="1:36">
      <c r="A522" s="71" t="s">
        <v>72</v>
      </c>
      <c r="B522" s="72">
        <f>SUM(B510:B521)</f>
        <v>0</v>
      </c>
      <c r="C522" s="32">
        <f>SUM(C510:C520)</f>
        <v>0</v>
      </c>
      <c r="D522" s="39">
        <f>SUM(D510:D520)</f>
        <v>0</v>
      </c>
      <c r="E522" s="39">
        <v>0</v>
      </c>
      <c r="F522" s="39">
        <f t="shared" ref="F522:AC522" si="95">SUM(F510:F520)</f>
        <v>0</v>
      </c>
      <c r="G522" s="39">
        <f t="shared" si="95"/>
        <v>0</v>
      </c>
      <c r="H522" s="39">
        <f t="shared" si="95"/>
        <v>0</v>
      </c>
      <c r="I522" s="39">
        <f t="shared" si="95"/>
        <v>0</v>
      </c>
      <c r="J522" s="39">
        <f t="shared" si="95"/>
        <v>0</v>
      </c>
      <c r="K522" s="39">
        <f t="shared" si="95"/>
        <v>0</v>
      </c>
      <c r="L522" s="39">
        <f t="shared" si="95"/>
        <v>0</v>
      </c>
      <c r="M522" s="39">
        <f t="shared" si="95"/>
        <v>0</v>
      </c>
      <c r="N522" s="39">
        <f t="shared" si="95"/>
        <v>0</v>
      </c>
      <c r="O522" s="39">
        <f t="shared" si="95"/>
        <v>0</v>
      </c>
      <c r="P522" s="39">
        <f t="shared" si="95"/>
        <v>0</v>
      </c>
      <c r="Q522" s="39">
        <f t="shared" si="95"/>
        <v>0</v>
      </c>
      <c r="R522" s="39">
        <f t="shared" si="95"/>
        <v>0</v>
      </c>
      <c r="S522" s="39">
        <f t="shared" si="95"/>
        <v>0</v>
      </c>
      <c r="T522" s="39">
        <f t="shared" si="95"/>
        <v>0</v>
      </c>
      <c r="U522" s="39">
        <f t="shared" si="95"/>
        <v>0</v>
      </c>
      <c r="V522" s="39">
        <f t="shared" si="95"/>
        <v>0</v>
      </c>
      <c r="W522" s="39">
        <f t="shared" si="95"/>
        <v>0</v>
      </c>
      <c r="X522" s="39">
        <f t="shared" si="95"/>
        <v>0</v>
      </c>
      <c r="Y522" s="39">
        <f t="shared" si="95"/>
        <v>0</v>
      </c>
      <c r="Z522" s="39">
        <f t="shared" si="95"/>
        <v>0</v>
      </c>
      <c r="AA522" s="39">
        <f t="shared" si="95"/>
        <v>0</v>
      </c>
      <c r="AB522" s="39">
        <f t="shared" si="95"/>
        <v>0</v>
      </c>
      <c r="AC522" s="39">
        <f t="shared" si="95"/>
        <v>0</v>
      </c>
      <c r="AD522" s="39">
        <v>0</v>
      </c>
      <c r="AE522" s="39">
        <f>SUM(AE510:AE520)</f>
        <v>0</v>
      </c>
      <c r="AF522" s="39">
        <f>SUM(AF510:AF520)</f>
        <v>0</v>
      </c>
      <c r="AG522" s="39">
        <f>SUM(AG510:AG520)</f>
        <v>0</v>
      </c>
      <c r="AH522" s="32">
        <f>SUM(AH510:AH520)</f>
        <v>0</v>
      </c>
    </row>
    <row r="523" spans="1:36" ht="5.0999999999999996" customHeight="1">
      <c r="A523" s="14"/>
      <c r="B523" s="14"/>
      <c r="C523" s="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
    </row>
    <row r="524" spans="1:36">
      <c r="A524" s="3872" t="s">
        <v>98</v>
      </c>
      <c r="B524" s="3873"/>
      <c r="C524" s="3873"/>
      <c r="D524" s="3873"/>
      <c r="E524" s="3873"/>
      <c r="F524" s="3873"/>
      <c r="G524" s="3873"/>
      <c r="H524" s="3874"/>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row>
    <row r="525" spans="1:36">
      <c r="A525" s="5" t="s">
        <v>70</v>
      </c>
      <c r="B525" s="5" t="s">
        <v>71</v>
      </c>
      <c r="C525" s="1054">
        <v>1</v>
      </c>
      <c r="D525" s="21">
        <v>2</v>
      </c>
      <c r="E525" s="21">
        <v>3</v>
      </c>
      <c r="F525" s="21">
        <v>4</v>
      </c>
      <c r="G525" s="21">
        <v>5</v>
      </c>
      <c r="H525" s="21">
        <v>6</v>
      </c>
      <c r="I525" s="21">
        <v>7</v>
      </c>
      <c r="J525" s="21">
        <v>8</v>
      </c>
      <c r="K525" s="21">
        <v>9</v>
      </c>
      <c r="L525" s="21">
        <v>10</v>
      </c>
      <c r="M525" s="21">
        <v>11</v>
      </c>
      <c r="N525" s="21">
        <v>12</v>
      </c>
      <c r="O525" s="21">
        <v>13</v>
      </c>
      <c r="P525" s="21">
        <v>14</v>
      </c>
      <c r="Q525" s="21">
        <v>15</v>
      </c>
      <c r="R525" s="21">
        <v>16</v>
      </c>
      <c r="S525" s="21">
        <v>17</v>
      </c>
      <c r="T525" s="21">
        <v>18</v>
      </c>
      <c r="U525" s="21">
        <v>19</v>
      </c>
      <c r="V525" s="21">
        <v>20</v>
      </c>
      <c r="W525" s="21">
        <v>21</v>
      </c>
      <c r="X525" s="21">
        <v>22</v>
      </c>
      <c r="Y525" s="21">
        <v>23</v>
      </c>
      <c r="Z525" s="21">
        <v>24</v>
      </c>
      <c r="AA525" s="21">
        <v>25</v>
      </c>
      <c r="AB525" s="21">
        <v>26</v>
      </c>
      <c r="AC525" s="21">
        <v>27</v>
      </c>
      <c r="AD525" s="21">
        <v>28</v>
      </c>
      <c r="AE525" s="21">
        <v>29</v>
      </c>
      <c r="AF525" s="21">
        <v>30</v>
      </c>
      <c r="AG525" s="21">
        <v>31</v>
      </c>
      <c r="AH525" s="25" t="s">
        <v>72</v>
      </c>
      <c r="AI525" s="2266" t="s">
        <v>1345</v>
      </c>
      <c r="AJ525" s="66" t="e">
        <f>(B538/COUNTIF($C$526:$AG$537,"&gt;0"))</f>
        <v>#DIV/0!</v>
      </c>
    </row>
    <row r="526" spans="1:36">
      <c r="A526" s="1607" t="s">
        <v>73</v>
      </c>
      <c r="B526" s="1091">
        <f t="shared" ref="B526:B537" si="96">+AH526</f>
        <v>0</v>
      </c>
      <c r="C526" s="35"/>
      <c r="D526" s="39"/>
      <c r="E526" s="39"/>
      <c r="F526" s="39"/>
      <c r="G526" s="15"/>
      <c r="H526" s="15"/>
      <c r="I526" s="15"/>
      <c r="J526" s="15"/>
      <c r="K526" s="15"/>
      <c r="L526" s="15"/>
      <c r="M526" s="15"/>
      <c r="N526" s="15"/>
      <c r="O526" s="15"/>
      <c r="P526" s="15"/>
      <c r="Q526" s="39"/>
      <c r="R526" s="15"/>
      <c r="S526" s="15"/>
      <c r="T526" s="15"/>
      <c r="U526" s="15"/>
      <c r="V526" s="39"/>
      <c r="W526" s="39"/>
      <c r="X526" s="15"/>
      <c r="Y526" s="15"/>
      <c r="Z526" s="15"/>
      <c r="AA526" s="15"/>
      <c r="AB526" s="15"/>
      <c r="AC526" s="15"/>
      <c r="AD526" s="39"/>
      <c r="AE526" s="15"/>
      <c r="AF526" s="15"/>
      <c r="AG526" s="15"/>
      <c r="AH526" s="39">
        <f>SUM(C526:AG526)</f>
        <v>0</v>
      </c>
    </row>
    <row r="527" spans="1:36">
      <c r="A527" s="1607" t="s">
        <v>74</v>
      </c>
      <c r="B527" s="1091">
        <f t="shared" si="96"/>
        <v>0</v>
      </c>
      <c r="C527" s="3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39">
        <f t="shared" ref="AH527:AH537" si="97">SUM(C527:AG527)</f>
        <v>0</v>
      </c>
    </row>
    <row r="528" spans="1:36">
      <c r="A528" s="1607" t="s">
        <v>75</v>
      </c>
      <c r="B528" s="1091">
        <f t="shared" si="96"/>
        <v>0</v>
      </c>
      <c r="C528" s="32"/>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f t="shared" si="97"/>
        <v>0</v>
      </c>
    </row>
    <row r="529" spans="1:36">
      <c r="A529" s="1607" t="s">
        <v>76</v>
      </c>
      <c r="B529" s="1091">
        <f t="shared" si="96"/>
        <v>0</v>
      </c>
      <c r="C529" s="35"/>
      <c r="D529" s="39"/>
      <c r="E529" s="39"/>
      <c r="F529" s="39"/>
      <c r="G529" s="15"/>
      <c r="H529" s="15"/>
      <c r="I529" s="15"/>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f t="shared" si="97"/>
        <v>0</v>
      </c>
    </row>
    <row r="530" spans="1:36">
      <c r="A530" s="1607" t="s">
        <v>77</v>
      </c>
      <c r="B530" s="1091">
        <f t="shared" si="96"/>
        <v>0</v>
      </c>
      <c r="C530" s="35"/>
      <c r="D530" s="15"/>
      <c r="E530" s="15"/>
      <c r="F530" s="15"/>
      <c r="G530" s="15"/>
      <c r="H530" s="15"/>
      <c r="I530" s="15"/>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f t="shared" si="97"/>
        <v>0</v>
      </c>
    </row>
    <row r="531" spans="1:36">
      <c r="A531" s="1607" t="s">
        <v>78</v>
      </c>
      <c r="B531" s="1091">
        <f t="shared" si="96"/>
        <v>0</v>
      </c>
      <c r="C531" s="32"/>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f t="shared" si="97"/>
        <v>0</v>
      </c>
    </row>
    <row r="532" spans="1:36">
      <c r="A532" s="1607" t="s">
        <v>79</v>
      </c>
      <c r="B532" s="1091">
        <f t="shared" si="96"/>
        <v>0</v>
      </c>
      <c r="C532" s="35"/>
      <c r="D532" s="39"/>
      <c r="E532" s="39"/>
      <c r="F532" s="39"/>
      <c r="G532" s="15"/>
      <c r="H532" s="15"/>
      <c r="I532" s="15"/>
      <c r="J532" s="43"/>
      <c r="K532" s="43"/>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f t="shared" si="97"/>
        <v>0</v>
      </c>
    </row>
    <row r="533" spans="1:36">
      <c r="A533" s="1607" t="s">
        <v>80</v>
      </c>
      <c r="B533" s="1091">
        <f t="shared" si="96"/>
        <v>0</v>
      </c>
      <c r="C533" s="35"/>
      <c r="D533" s="15"/>
      <c r="E533" s="15"/>
      <c r="F533" s="15"/>
      <c r="G533" s="15"/>
      <c r="H533" s="15"/>
      <c r="I533" s="15"/>
      <c r="J533" s="43"/>
      <c r="K533" s="43"/>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f t="shared" si="97"/>
        <v>0</v>
      </c>
    </row>
    <row r="534" spans="1:36">
      <c r="A534" s="1607" t="s">
        <v>81</v>
      </c>
      <c r="B534" s="1091">
        <f t="shared" si="96"/>
        <v>0</v>
      </c>
      <c r="C534" s="32"/>
      <c r="D534" s="39"/>
      <c r="E534" s="39"/>
      <c r="F534" s="39"/>
      <c r="G534" s="39"/>
      <c r="H534" s="39"/>
      <c r="I534" s="39"/>
      <c r="J534" s="43"/>
      <c r="K534" s="43"/>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39">
        <f t="shared" si="97"/>
        <v>0</v>
      </c>
    </row>
    <row r="535" spans="1:36">
      <c r="A535" s="1522" t="s">
        <v>82</v>
      </c>
      <c r="B535" s="15">
        <f t="shared" si="96"/>
        <v>0</v>
      </c>
      <c r="C535" s="35"/>
      <c r="D535" s="39"/>
      <c r="E535" s="39"/>
      <c r="F535" s="39"/>
      <c r="G535" s="15"/>
      <c r="H535" s="15"/>
      <c r="I535" s="15"/>
      <c r="J535" s="15"/>
      <c r="K535" s="15"/>
      <c r="L535" s="15"/>
      <c r="M535" s="15"/>
      <c r="N535" s="15"/>
      <c r="O535" s="39"/>
      <c r="P535" s="15"/>
      <c r="Q535" s="15"/>
      <c r="R535" s="15"/>
      <c r="S535" s="15"/>
      <c r="T535" s="15"/>
      <c r="U535" s="15"/>
      <c r="V535" s="15"/>
      <c r="W535" s="15"/>
      <c r="X535" s="15"/>
      <c r="Y535" s="15"/>
      <c r="Z535" s="15"/>
      <c r="AA535" s="15"/>
      <c r="AB535" s="15"/>
      <c r="AC535" s="15"/>
      <c r="AD535" s="15"/>
      <c r="AE535" s="39"/>
      <c r="AF535" s="15"/>
      <c r="AG535" s="39"/>
      <c r="AH535" s="39">
        <f t="shared" si="97"/>
        <v>0</v>
      </c>
    </row>
    <row r="536" spans="1:36">
      <c r="A536" s="1522" t="s">
        <v>83</v>
      </c>
      <c r="B536" s="15">
        <f t="shared" si="96"/>
        <v>0</v>
      </c>
      <c r="C536" s="3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39"/>
      <c r="AF536" s="15"/>
      <c r="AG536" s="39"/>
      <c r="AH536" s="39">
        <f t="shared" si="97"/>
        <v>0</v>
      </c>
    </row>
    <row r="537" spans="1:36">
      <c r="A537" s="1522" t="s">
        <v>84</v>
      </c>
      <c r="B537" s="15">
        <f t="shared" si="96"/>
        <v>0</v>
      </c>
      <c r="C537" s="35"/>
      <c r="D537" s="15"/>
      <c r="E537" s="15"/>
      <c r="F537" s="15"/>
      <c r="G537" s="15"/>
      <c r="H537" s="15"/>
      <c r="I537" s="15"/>
      <c r="J537" s="15"/>
      <c r="K537" s="15"/>
      <c r="L537" s="15"/>
      <c r="M537" s="15"/>
      <c r="O537" s="15"/>
      <c r="P537" s="15"/>
      <c r="Q537" s="15"/>
      <c r="R537" s="15"/>
      <c r="S537" s="15"/>
      <c r="T537" s="15"/>
      <c r="U537" s="15"/>
      <c r="V537" s="15"/>
      <c r="W537" s="15"/>
      <c r="X537" s="15"/>
      <c r="Y537" s="15"/>
      <c r="Z537" s="15"/>
      <c r="AA537" s="15"/>
      <c r="AB537" s="15"/>
      <c r="AC537" s="15"/>
      <c r="AD537" s="15"/>
      <c r="AE537" s="39"/>
      <c r="AF537" s="15"/>
      <c r="AG537" s="39"/>
      <c r="AH537" s="39">
        <f t="shared" si="97"/>
        <v>0</v>
      </c>
    </row>
    <row r="538" spans="1:36">
      <c r="A538" s="71" t="s">
        <v>72</v>
      </c>
      <c r="B538" s="72">
        <f>SUM(B526:B537)</f>
        <v>0</v>
      </c>
      <c r="C538" s="32">
        <f>SUM(C526:C536)</f>
        <v>0</v>
      </c>
      <c r="D538" s="39">
        <f>SUM(D526:D536)</f>
        <v>0</v>
      </c>
      <c r="E538" s="39">
        <v>0</v>
      </c>
      <c r="F538" s="39">
        <f t="shared" ref="F538:AC538" si="98">SUM(F526:F536)</f>
        <v>0</v>
      </c>
      <c r="G538" s="39">
        <f t="shared" si="98"/>
        <v>0</v>
      </c>
      <c r="H538" s="39">
        <f t="shared" si="98"/>
        <v>0</v>
      </c>
      <c r="I538" s="39">
        <f t="shared" si="98"/>
        <v>0</v>
      </c>
      <c r="J538" s="39">
        <f t="shared" si="98"/>
        <v>0</v>
      </c>
      <c r="K538" s="39">
        <f t="shared" si="98"/>
        <v>0</v>
      </c>
      <c r="L538" s="39">
        <f t="shared" si="98"/>
        <v>0</v>
      </c>
      <c r="M538" s="39">
        <f t="shared" si="98"/>
        <v>0</v>
      </c>
      <c r="N538" s="39">
        <f t="shared" si="98"/>
        <v>0</v>
      </c>
      <c r="O538" s="39">
        <f t="shared" si="98"/>
        <v>0</v>
      </c>
      <c r="P538" s="39">
        <f t="shared" si="98"/>
        <v>0</v>
      </c>
      <c r="Q538" s="39">
        <f t="shared" si="98"/>
        <v>0</v>
      </c>
      <c r="R538" s="39">
        <f t="shared" si="98"/>
        <v>0</v>
      </c>
      <c r="S538" s="39">
        <f t="shared" si="98"/>
        <v>0</v>
      </c>
      <c r="T538" s="39">
        <f t="shared" si="98"/>
        <v>0</v>
      </c>
      <c r="U538" s="39">
        <f t="shared" si="98"/>
        <v>0</v>
      </c>
      <c r="V538" s="39">
        <f t="shared" si="98"/>
        <v>0</v>
      </c>
      <c r="W538" s="39">
        <f t="shared" si="98"/>
        <v>0</v>
      </c>
      <c r="X538" s="39">
        <f t="shared" si="98"/>
        <v>0</v>
      </c>
      <c r="Y538" s="39">
        <f t="shared" si="98"/>
        <v>0</v>
      </c>
      <c r="Z538" s="39">
        <f t="shared" si="98"/>
        <v>0</v>
      </c>
      <c r="AA538" s="39">
        <f t="shared" si="98"/>
        <v>0</v>
      </c>
      <c r="AB538" s="39">
        <f t="shared" si="98"/>
        <v>0</v>
      </c>
      <c r="AC538" s="39">
        <f t="shared" si="98"/>
        <v>0</v>
      </c>
      <c r="AD538" s="39">
        <v>0</v>
      </c>
      <c r="AE538" s="39">
        <f>SUM(AE526:AE536)</f>
        <v>0</v>
      </c>
      <c r="AF538" s="39">
        <f>SUM(AF526:AF536)</f>
        <v>0</v>
      </c>
      <c r="AG538" s="39">
        <f>SUM(AG526:AG536)</f>
        <v>0</v>
      </c>
      <c r="AH538" s="32">
        <f>SUM(AH526:AH536)</f>
        <v>0</v>
      </c>
    </row>
    <row r="540" spans="1:36" ht="15" customHeight="1">
      <c r="A540" s="3872" t="s">
        <v>121</v>
      </c>
      <c r="B540" s="3873"/>
      <c r="C540" s="3873"/>
      <c r="D540" s="3873"/>
      <c r="E540" s="3873"/>
      <c r="F540" s="3873"/>
      <c r="G540" s="3873"/>
      <c r="H540" s="3874"/>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row>
    <row r="541" spans="1:36" ht="15" customHeight="1">
      <c r="A541" s="5" t="s">
        <v>70</v>
      </c>
      <c r="B541" s="5" t="s">
        <v>71</v>
      </c>
      <c r="C541" s="1275">
        <v>1</v>
      </c>
      <c r="D541" s="21">
        <v>2</v>
      </c>
      <c r="E541" s="21">
        <v>3</v>
      </c>
      <c r="F541" s="21">
        <v>4</v>
      </c>
      <c r="G541" s="21">
        <v>5</v>
      </c>
      <c r="H541" s="21">
        <v>6</v>
      </c>
      <c r="I541" s="21">
        <v>7</v>
      </c>
      <c r="J541" s="21">
        <v>8</v>
      </c>
      <c r="K541" s="21">
        <v>9</v>
      </c>
      <c r="L541" s="21">
        <v>10</v>
      </c>
      <c r="M541" s="21">
        <v>11</v>
      </c>
      <c r="N541" s="21">
        <v>12</v>
      </c>
      <c r="O541" s="21">
        <v>13</v>
      </c>
      <c r="P541" s="21">
        <v>14</v>
      </c>
      <c r="Q541" s="21">
        <v>15</v>
      </c>
      <c r="R541" s="21">
        <v>16</v>
      </c>
      <c r="S541" s="21">
        <v>17</v>
      </c>
      <c r="T541" s="21">
        <v>18</v>
      </c>
      <c r="U541" s="21">
        <v>19</v>
      </c>
      <c r="V541" s="21">
        <v>20</v>
      </c>
      <c r="W541" s="21">
        <v>21</v>
      </c>
      <c r="X541" s="21">
        <v>22</v>
      </c>
      <c r="Y541" s="21">
        <v>23</v>
      </c>
      <c r="Z541" s="21">
        <v>24</v>
      </c>
      <c r="AA541" s="21">
        <v>25</v>
      </c>
      <c r="AB541" s="21">
        <v>26</v>
      </c>
      <c r="AC541" s="21">
        <v>27</v>
      </c>
      <c r="AD541" s="21">
        <v>28</v>
      </c>
      <c r="AE541" s="21">
        <v>29</v>
      </c>
      <c r="AF541" s="21">
        <v>30</v>
      </c>
      <c r="AG541" s="21">
        <v>31</v>
      </c>
      <c r="AH541" s="25" t="s">
        <v>72</v>
      </c>
      <c r="AI541" s="2266" t="s">
        <v>1345</v>
      </c>
      <c r="AJ541" s="66" t="e">
        <f>(B554/COUNTIF($C$542:$AG$553,"&gt;0"))</f>
        <v>#DIV/0!</v>
      </c>
    </row>
    <row r="542" spans="1:36" ht="15" customHeight="1">
      <c r="A542" s="1607" t="s">
        <v>73</v>
      </c>
      <c r="B542" s="1091">
        <f t="shared" ref="B542:B553" si="99">+AH542</f>
        <v>0</v>
      </c>
      <c r="C542" s="35"/>
      <c r="D542" s="39"/>
      <c r="E542" s="39"/>
      <c r="F542" s="39"/>
      <c r="G542" s="15"/>
      <c r="H542" s="15"/>
      <c r="I542" s="15"/>
      <c r="J542" s="15"/>
      <c r="K542" s="15"/>
      <c r="L542" s="15"/>
      <c r="M542" s="15"/>
      <c r="N542" s="15"/>
      <c r="O542" s="15"/>
      <c r="P542" s="15"/>
      <c r="Q542" s="39"/>
      <c r="R542" s="15"/>
      <c r="S542" s="15"/>
      <c r="T542" s="15"/>
      <c r="U542" s="15"/>
      <c r="V542" s="39"/>
      <c r="W542" s="39"/>
      <c r="X542" s="15"/>
      <c r="Y542" s="15"/>
      <c r="Z542" s="15"/>
      <c r="AA542" s="15"/>
      <c r="AB542" s="15"/>
      <c r="AC542" s="15"/>
      <c r="AD542" s="39"/>
      <c r="AE542" s="15"/>
      <c r="AF542" s="15"/>
      <c r="AG542" s="15"/>
      <c r="AH542" s="39">
        <f>SUM(C542:AG542)</f>
        <v>0</v>
      </c>
    </row>
    <row r="543" spans="1:36" ht="15" customHeight="1">
      <c r="A543" s="1607" t="s">
        <v>74</v>
      </c>
      <c r="B543" s="1091">
        <f t="shared" si="99"/>
        <v>0</v>
      </c>
      <c r="C543" s="3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39">
        <f t="shared" ref="AH543:AH553" si="100">SUM(C543:AG543)</f>
        <v>0</v>
      </c>
    </row>
    <row r="544" spans="1:36" ht="15" customHeight="1">
      <c r="A544" s="1607" t="s">
        <v>75</v>
      </c>
      <c r="B544" s="1091">
        <f t="shared" si="99"/>
        <v>0</v>
      </c>
      <c r="C544" s="32"/>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f t="shared" si="100"/>
        <v>0</v>
      </c>
    </row>
    <row r="545" spans="1:34" ht="15" customHeight="1">
      <c r="A545" s="1607" t="s">
        <v>76</v>
      </c>
      <c r="B545" s="1091">
        <f t="shared" si="99"/>
        <v>0</v>
      </c>
      <c r="C545" s="35"/>
      <c r="D545" s="99"/>
      <c r="E545" s="99"/>
      <c r="F545" s="99"/>
      <c r="G545" s="94"/>
      <c r="H545" s="94"/>
      <c r="I545" s="94"/>
      <c r="J545" s="99"/>
      <c r="K545" s="99"/>
      <c r="L545" s="99"/>
      <c r="M545" s="99"/>
      <c r="N545" s="99"/>
      <c r="O545" s="99"/>
      <c r="P545" s="39"/>
      <c r="Q545" s="39"/>
      <c r="R545" s="39"/>
      <c r="S545" s="39"/>
      <c r="T545" s="39"/>
      <c r="U545" s="39"/>
      <c r="V545" s="39"/>
      <c r="W545" s="39"/>
      <c r="X545" s="39"/>
      <c r="Y545" s="39"/>
      <c r="Z545" s="39"/>
      <c r="AA545" s="39"/>
      <c r="AB545" s="39"/>
      <c r="AC545" s="39"/>
      <c r="AD545" s="39"/>
      <c r="AE545" s="39"/>
      <c r="AF545" s="39"/>
      <c r="AG545" s="39"/>
      <c r="AH545" s="39">
        <f t="shared" si="100"/>
        <v>0</v>
      </c>
    </row>
    <row r="546" spans="1:34" ht="15" customHeight="1">
      <c r="A546" s="1607" t="s">
        <v>77</v>
      </c>
      <c r="B546" s="1091">
        <f t="shared" si="99"/>
        <v>0</v>
      </c>
      <c r="C546" s="35"/>
      <c r="D546" s="15"/>
      <c r="E546" s="15"/>
      <c r="F546" s="15"/>
      <c r="G546" s="15"/>
      <c r="H546" s="15"/>
      <c r="I546" s="15"/>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f t="shared" si="100"/>
        <v>0</v>
      </c>
    </row>
    <row r="547" spans="1:34" ht="15" customHeight="1">
      <c r="A547" s="1607" t="s">
        <v>78</v>
      </c>
      <c r="B547" s="1091">
        <f t="shared" si="99"/>
        <v>0</v>
      </c>
      <c r="C547" s="32"/>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f t="shared" si="100"/>
        <v>0</v>
      </c>
    </row>
    <row r="548" spans="1:34" ht="15" customHeight="1">
      <c r="A548" s="1607" t="s">
        <v>79</v>
      </c>
      <c r="B548" s="1091">
        <f t="shared" si="99"/>
        <v>0</v>
      </c>
      <c r="C548" s="35"/>
      <c r="D548" s="39"/>
      <c r="E548" s="39"/>
      <c r="F548" s="39"/>
      <c r="G548" s="15"/>
      <c r="H548" s="15"/>
      <c r="I548" s="15"/>
      <c r="J548" s="43"/>
      <c r="K548" s="43"/>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f t="shared" si="100"/>
        <v>0</v>
      </c>
    </row>
    <row r="549" spans="1:34" ht="15" customHeight="1">
      <c r="A549" s="1607" t="s">
        <v>80</v>
      </c>
      <c r="B549" s="1091">
        <f t="shared" si="99"/>
        <v>0</v>
      </c>
      <c r="C549" s="35"/>
      <c r="D549" s="15"/>
      <c r="E549" s="15"/>
      <c r="F549" s="15"/>
      <c r="G549" s="15"/>
      <c r="H549" s="15"/>
      <c r="I549" s="15"/>
      <c r="J549" s="43"/>
      <c r="K549" s="43"/>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f t="shared" si="100"/>
        <v>0</v>
      </c>
    </row>
    <row r="550" spans="1:34" ht="15" customHeight="1">
      <c r="A550" s="1607" t="s">
        <v>81</v>
      </c>
      <c r="B550" s="1091">
        <f t="shared" si="99"/>
        <v>0</v>
      </c>
      <c r="C550" s="32"/>
      <c r="D550" s="39"/>
      <c r="E550" s="39"/>
      <c r="F550" s="39"/>
      <c r="G550" s="39"/>
      <c r="H550" s="39"/>
      <c r="I550" s="39"/>
      <c r="J550" s="43"/>
      <c r="K550" s="43"/>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39">
        <f t="shared" si="100"/>
        <v>0</v>
      </c>
    </row>
    <row r="551" spans="1:34" ht="15" customHeight="1">
      <c r="A551" s="1522" t="s">
        <v>82</v>
      </c>
      <c r="B551" s="1091">
        <f t="shared" si="99"/>
        <v>0</v>
      </c>
      <c r="C551" s="35"/>
      <c r="D551" s="39"/>
      <c r="E551" s="39"/>
      <c r="F551" s="39"/>
      <c r="G551" s="15"/>
      <c r="H551" s="15"/>
      <c r="I551" s="15"/>
      <c r="J551" s="15"/>
      <c r="K551" s="15"/>
      <c r="L551" s="15"/>
      <c r="M551" s="15"/>
      <c r="N551" s="15"/>
      <c r="O551" s="39"/>
      <c r="P551" s="15"/>
      <c r="Q551" s="15"/>
      <c r="R551" s="15"/>
      <c r="S551" s="15"/>
      <c r="T551" s="15"/>
      <c r="U551" s="15"/>
      <c r="V551" s="15"/>
      <c r="W551" s="15"/>
      <c r="X551" s="15"/>
      <c r="Y551" s="15"/>
      <c r="Z551" s="15"/>
      <c r="AA551" s="15"/>
      <c r="AB551" s="15"/>
      <c r="AC551" s="15"/>
      <c r="AD551" s="15"/>
      <c r="AE551" s="39"/>
      <c r="AF551" s="15"/>
      <c r="AG551" s="39"/>
      <c r="AH551" s="39">
        <f t="shared" si="100"/>
        <v>0</v>
      </c>
    </row>
    <row r="552" spans="1:34" ht="15" customHeight="1">
      <c r="A552" s="1522" t="s">
        <v>83</v>
      </c>
      <c r="B552" s="1091">
        <f t="shared" si="99"/>
        <v>0</v>
      </c>
      <c r="C552" s="3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39"/>
      <c r="AF552" s="15"/>
      <c r="AG552" s="39"/>
      <c r="AH552" s="39">
        <f t="shared" si="100"/>
        <v>0</v>
      </c>
    </row>
    <row r="553" spans="1:34" ht="15" customHeight="1">
      <c r="A553" s="1522" t="s">
        <v>84</v>
      </c>
      <c r="B553" s="1091">
        <f t="shared" si="99"/>
        <v>0</v>
      </c>
      <c r="C553" s="3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39"/>
      <c r="AF553" s="15"/>
      <c r="AG553" s="39"/>
      <c r="AH553" s="39">
        <f t="shared" si="100"/>
        <v>0</v>
      </c>
    </row>
    <row r="554" spans="1:34" ht="15" customHeight="1">
      <c r="A554" s="71" t="s">
        <v>72</v>
      </c>
      <c r="B554" s="72">
        <f>SUM(B542:B553)</f>
        <v>0</v>
      </c>
      <c r="C554" s="32">
        <f>SUM(C542:C552)</f>
        <v>0</v>
      </c>
      <c r="D554" s="39">
        <f>SUM(D542:D552)</f>
        <v>0</v>
      </c>
      <c r="E554" s="39">
        <v>0</v>
      </c>
      <c r="F554" s="39">
        <f t="shared" ref="F554:AC554" si="101">SUM(F542:F552)</f>
        <v>0</v>
      </c>
      <c r="G554" s="39">
        <f t="shared" si="101"/>
        <v>0</v>
      </c>
      <c r="H554" s="39">
        <f t="shared" si="101"/>
        <v>0</v>
      </c>
      <c r="I554" s="39">
        <f t="shared" si="101"/>
        <v>0</v>
      </c>
      <c r="J554" s="39">
        <f t="shared" si="101"/>
        <v>0</v>
      </c>
      <c r="K554" s="39">
        <f t="shared" si="101"/>
        <v>0</v>
      </c>
      <c r="L554" s="39">
        <f t="shared" si="101"/>
        <v>0</v>
      </c>
      <c r="M554" s="39">
        <f t="shared" si="101"/>
        <v>0</v>
      </c>
      <c r="N554" s="39">
        <f t="shared" si="101"/>
        <v>0</v>
      </c>
      <c r="O554" s="39">
        <f t="shared" si="101"/>
        <v>0</v>
      </c>
      <c r="P554" s="39">
        <f t="shared" si="101"/>
        <v>0</v>
      </c>
      <c r="Q554" s="39">
        <f t="shared" si="101"/>
        <v>0</v>
      </c>
      <c r="R554" s="39">
        <f t="shared" si="101"/>
        <v>0</v>
      </c>
      <c r="S554" s="39">
        <f t="shared" si="101"/>
        <v>0</v>
      </c>
      <c r="T554" s="39">
        <f t="shared" si="101"/>
        <v>0</v>
      </c>
      <c r="U554" s="39">
        <f t="shared" si="101"/>
        <v>0</v>
      </c>
      <c r="V554" s="39">
        <f t="shared" si="101"/>
        <v>0</v>
      </c>
      <c r="W554" s="39">
        <f t="shared" si="101"/>
        <v>0</v>
      </c>
      <c r="X554" s="39">
        <f t="shared" si="101"/>
        <v>0</v>
      </c>
      <c r="Y554" s="39">
        <f t="shared" si="101"/>
        <v>0</v>
      </c>
      <c r="Z554" s="39">
        <f t="shared" si="101"/>
        <v>0</v>
      </c>
      <c r="AA554" s="39">
        <f t="shared" si="101"/>
        <v>0</v>
      </c>
      <c r="AB554" s="39">
        <f t="shared" si="101"/>
        <v>0</v>
      </c>
      <c r="AC554" s="39">
        <f t="shared" si="101"/>
        <v>0</v>
      </c>
      <c r="AD554" s="39">
        <v>0</v>
      </c>
      <c r="AE554" s="39">
        <f>SUM(AE542:AE552)</f>
        <v>0</v>
      </c>
      <c r="AF554" s="39">
        <f>SUM(AF542:AF552)</f>
        <v>0</v>
      </c>
      <c r="AG554" s="39">
        <f>SUM(AG542:AG552)</f>
        <v>0</v>
      </c>
      <c r="AH554" s="32">
        <f>SUM(AH542:AH552)</f>
        <v>0</v>
      </c>
    </row>
  </sheetData>
  <mergeCells count="40">
    <mergeCell ref="A540:H540"/>
    <mergeCell ref="A363:R363"/>
    <mergeCell ref="A283:H283"/>
    <mergeCell ref="A203:H203"/>
    <mergeCell ref="A331:H331"/>
    <mergeCell ref="A235:H235"/>
    <mergeCell ref="A251:H251"/>
    <mergeCell ref="A412:J412"/>
    <mergeCell ref="A347:H347"/>
    <mergeCell ref="A219:H219"/>
    <mergeCell ref="A267:H267"/>
    <mergeCell ref="A364:H364"/>
    <mergeCell ref="A171:H171"/>
    <mergeCell ref="A187:H187"/>
    <mergeCell ref="A299:H299"/>
    <mergeCell ref="A315:H315"/>
    <mergeCell ref="A2:T2"/>
    <mergeCell ref="A55:R55"/>
    <mergeCell ref="A73:H73"/>
    <mergeCell ref="A91:H91"/>
    <mergeCell ref="A89:R89"/>
    <mergeCell ref="A39:H39"/>
    <mergeCell ref="A5:R5"/>
    <mergeCell ref="A57:M57"/>
    <mergeCell ref="U4:AB4"/>
    <mergeCell ref="A524:H524"/>
    <mergeCell ref="A492:H492"/>
    <mergeCell ref="A380:H380"/>
    <mergeCell ref="A476:H476"/>
    <mergeCell ref="A460:H460"/>
    <mergeCell ref="A508:H508"/>
    <mergeCell ref="A444:H444"/>
    <mergeCell ref="A107:H107"/>
    <mergeCell ref="A7:H7"/>
    <mergeCell ref="A23:H23"/>
    <mergeCell ref="A155:H155"/>
    <mergeCell ref="A123:H123"/>
    <mergeCell ref="A396:H396"/>
    <mergeCell ref="A428:H428"/>
    <mergeCell ref="A139:H139"/>
  </mergeCells>
  <phoneticPr fontId="0" type="noConversion"/>
  <pageMargins left="0.75" right="0.75" top="1" bottom="1" header="0" footer="0"/>
  <pageSetup paperSize="9" orientation="portrait" r:id="rId1"/>
  <headerFooter alignWithMargins="0"/>
  <legacyDrawing r:id="rId2"/>
  <oleObjects>
    <oleObject progId="MSPhotoEd.3" shapeId="15361" r:id="rId3"/>
  </oleObjects>
</worksheet>
</file>

<file path=xl/worksheets/sheet12.xml><?xml version="1.0" encoding="utf-8"?>
<worksheet xmlns="http://schemas.openxmlformats.org/spreadsheetml/2006/main" xmlns:r="http://schemas.openxmlformats.org/officeDocument/2006/relationships">
  <sheetPr>
    <tabColor theme="6" tint="-0.499984740745262"/>
  </sheetPr>
  <dimension ref="A2:BY179"/>
  <sheetViews>
    <sheetView topLeftCell="A7" workbookViewId="0">
      <selection activeCell="J19" sqref="J19"/>
    </sheetView>
  </sheetViews>
  <sheetFormatPr baseColWidth="10" defaultColWidth="11.44140625" defaultRowHeight="10.199999999999999"/>
  <cols>
    <col min="1" max="1" width="9.5546875" style="137" bestFit="1" customWidth="1"/>
    <col min="2" max="2" width="10.44140625" style="611" bestFit="1" customWidth="1"/>
    <col min="3" max="3" width="6.6640625" style="137" bestFit="1" customWidth="1"/>
    <col min="4" max="4" width="11.33203125" style="137" bestFit="1" customWidth="1"/>
    <col min="5" max="9" width="6.5546875" style="137" bestFit="1" customWidth="1"/>
    <col min="10" max="10" width="7.5546875" style="137" bestFit="1" customWidth="1"/>
    <col min="11" max="11" width="8.5546875" style="137" bestFit="1" customWidth="1"/>
    <col min="12" max="12" width="8.109375" style="137" bestFit="1" customWidth="1"/>
    <col min="13" max="13" width="5.6640625" style="137" bestFit="1" customWidth="1"/>
    <col min="14" max="14" width="8.109375" style="137" customWidth="1"/>
    <col min="15" max="15" width="8.109375" style="137" bestFit="1" customWidth="1"/>
    <col min="16" max="16" width="8.109375" style="137" customWidth="1"/>
    <col min="17" max="17" width="5.88671875" style="137" customWidth="1"/>
    <col min="18" max="18" width="7" style="137" bestFit="1" customWidth="1"/>
    <col min="19" max="19" width="6.109375" style="137" bestFit="1" customWidth="1"/>
    <col min="20" max="24" width="7.5546875" style="137" customWidth="1"/>
    <col min="25" max="26" width="6" style="137" bestFit="1" customWidth="1"/>
    <col min="27" max="27" width="5.6640625" style="137" bestFit="1" customWidth="1"/>
    <col min="28" max="28" width="6.5546875" style="137" bestFit="1" customWidth="1"/>
    <col min="29" max="29" width="6" style="137" bestFit="1" customWidth="1"/>
    <col min="30" max="30" width="5.6640625" style="137" bestFit="1" customWidth="1"/>
    <col min="31" max="31" width="5.109375" style="137" bestFit="1" customWidth="1"/>
    <col min="32" max="32" width="5.6640625" style="137" bestFit="1" customWidth="1"/>
    <col min="33" max="33" width="5.109375" style="137" bestFit="1" customWidth="1"/>
    <col min="34" max="34" width="7.88671875" style="137" bestFit="1" customWidth="1"/>
    <col min="35" max="35" width="18" style="137" customWidth="1"/>
    <col min="36" max="43" width="11.44140625" style="137"/>
    <col min="44" max="50" width="6" style="137" bestFit="1" customWidth="1"/>
    <col min="51" max="51" width="7.109375" style="137" bestFit="1" customWidth="1"/>
    <col min="52" max="53" width="8.109375" style="137" bestFit="1" customWidth="1"/>
    <col min="54" max="54" width="6" style="137" bestFit="1" customWidth="1"/>
    <col min="55" max="57" width="8.109375" style="137" bestFit="1" customWidth="1"/>
    <col min="58" max="67" width="6" style="137" bestFit="1" customWidth="1"/>
    <col min="68" max="68" width="5.6640625" style="137" bestFit="1" customWidth="1"/>
    <col min="69" max="69" width="6.5546875" style="137" bestFit="1" customWidth="1"/>
    <col min="70" max="70" width="6" style="137" bestFit="1" customWidth="1"/>
    <col min="71" max="71" width="5.6640625" style="137" bestFit="1" customWidth="1"/>
    <col min="72" max="72" width="6" style="137" bestFit="1" customWidth="1"/>
    <col min="73" max="74" width="5.6640625" style="137" bestFit="1" customWidth="1"/>
    <col min="75" max="75" width="7" style="137" bestFit="1" customWidth="1"/>
    <col min="76" max="16384" width="11.44140625" style="137"/>
  </cols>
  <sheetData>
    <row r="2" spans="1:36" ht="12">
      <c r="A2" s="3882" t="s">
        <v>743</v>
      </c>
      <c r="B2" s="3883"/>
      <c r="C2" s="3883"/>
      <c r="D2" s="3883"/>
      <c r="E2" s="3883"/>
      <c r="F2" s="3883"/>
      <c r="G2" s="3883"/>
      <c r="H2" s="3883"/>
      <c r="I2" s="3883"/>
      <c r="J2" s="3883"/>
      <c r="K2" s="3883"/>
      <c r="L2" s="3883"/>
      <c r="M2" s="3883"/>
      <c r="N2" s="3883"/>
      <c r="O2" s="3883"/>
      <c r="P2" s="3883"/>
      <c r="Q2" s="3883"/>
      <c r="R2" s="3883"/>
      <c r="S2" s="3883"/>
      <c r="T2" s="3884"/>
      <c r="U2" s="49"/>
      <c r="V2" s="49"/>
      <c r="W2" s="49"/>
      <c r="X2" s="49"/>
      <c r="Y2" s="49"/>
      <c r="Z2" s="49"/>
      <c r="AA2" s="49"/>
      <c r="AB2" s="49"/>
      <c r="AC2" s="49"/>
      <c r="AD2" s="49"/>
      <c r="AE2" s="49"/>
      <c r="AF2" s="49"/>
      <c r="AG2" s="49"/>
      <c r="AH2" s="145"/>
    </row>
    <row r="3" spans="1:36" s="596" customFormat="1" ht="13.8">
      <c r="A3" s="592"/>
      <c r="B3" s="593"/>
      <c r="C3" s="592"/>
      <c r="D3" s="592"/>
      <c r="E3" s="592"/>
      <c r="F3" s="592"/>
      <c r="G3" s="592"/>
      <c r="H3" s="592"/>
      <c r="I3" s="592"/>
      <c r="J3" s="592"/>
      <c r="K3" s="592"/>
      <c r="L3" s="592"/>
      <c r="M3" s="592"/>
      <c r="N3" s="592"/>
      <c r="O3" s="592"/>
      <c r="P3" s="592"/>
      <c r="Q3" s="592"/>
      <c r="R3" s="592"/>
      <c r="S3" s="592"/>
      <c r="T3" s="592"/>
      <c r="U3" s="49"/>
      <c r="V3" s="49"/>
      <c r="W3" s="49"/>
      <c r="X3" s="49"/>
      <c r="Y3" s="49"/>
      <c r="Z3" s="49"/>
      <c r="AA3" s="49"/>
      <c r="AB3" s="49"/>
      <c r="AC3" s="49"/>
      <c r="AD3" s="49"/>
      <c r="AE3" s="49"/>
      <c r="AF3" s="49"/>
      <c r="AG3" s="49"/>
      <c r="AH3" s="49"/>
      <c r="AI3" s="2266" t="s">
        <v>1346</v>
      </c>
      <c r="AJ3" s="66"/>
    </row>
    <row r="4" spans="1:36" ht="13.8">
      <c r="A4" s="145"/>
      <c r="B4" s="597"/>
      <c r="C4" s="145"/>
      <c r="D4" s="49"/>
      <c r="E4" s="49"/>
      <c r="F4" s="49"/>
      <c r="G4" s="49"/>
      <c r="H4" s="49"/>
      <c r="I4" s="49"/>
      <c r="J4" s="49"/>
      <c r="K4" s="49"/>
      <c r="L4" s="144"/>
      <c r="M4" s="49"/>
      <c r="N4" s="49"/>
      <c r="O4" s="49"/>
      <c r="P4" s="49"/>
      <c r="Q4" s="49"/>
      <c r="R4" s="49"/>
      <c r="S4" s="49"/>
      <c r="T4" s="49"/>
      <c r="U4" s="49"/>
      <c r="V4" s="49"/>
      <c r="W4" s="49"/>
      <c r="X4" s="49"/>
      <c r="Y4" s="49"/>
      <c r="Z4" s="49"/>
      <c r="AA4" s="49"/>
      <c r="AB4" s="49"/>
      <c r="AC4" s="49"/>
      <c r="AD4" s="49"/>
      <c r="AE4" s="49"/>
      <c r="AF4" s="49"/>
      <c r="AG4" s="49"/>
      <c r="AH4" s="145"/>
      <c r="AI4" s="66"/>
      <c r="AJ4" s="66"/>
    </row>
    <row r="5" spans="1:36" ht="13.8">
      <c r="A5" s="3882" t="s">
        <v>69</v>
      </c>
      <c r="B5" s="3883"/>
      <c r="C5" s="3884"/>
      <c r="D5" s="49"/>
      <c r="E5" s="49"/>
      <c r="F5" s="49"/>
      <c r="G5" s="49"/>
      <c r="H5" s="49"/>
      <c r="I5" s="49"/>
      <c r="J5" s="49"/>
      <c r="K5" s="2149"/>
      <c r="L5" s="2149"/>
      <c r="M5" s="144"/>
      <c r="N5" s="49"/>
      <c r="O5" s="49"/>
      <c r="P5" s="49"/>
      <c r="Q5" s="49" t="s">
        <v>127</v>
      </c>
      <c r="R5" s="49"/>
      <c r="S5" s="49"/>
      <c r="T5" s="49"/>
      <c r="U5" s="49"/>
      <c r="V5" s="49"/>
      <c r="W5" s="49"/>
      <c r="X5" s="49"/>
      <c r="Y5" s="49"/>
      <c r="Z5" s="49"/>
      <c r="AA5" s="49"/>
      <c r="AB5" s="49"/>
      <c r="AC5" s="49"/>
      <c r="AD5" s="49"/>
      <c r="AE5" s="49"/>
      <c r="AF5" s="49"/>
      <c r="AG5" s="49"/>
      <c r="AH5" s="145"/>
      <c r="AI5" s="66"/>
      <c r="AJ5" s="66"/>
    </row>
    <row r="6" spans="1:36" ht="13.8">
      <c r="A6" s="146" t="s">
        <v>70</v>
      </c>
      <c r="B6" s="157" t="s">
        <v>71</v>
      </c>
      <c r="C6" s="146">
        <v>1</v>
      </c>
      <c r="D6" s="147">
        <v>2</v>
      </c>
      <c r="E6" s="147">
        <v>3</v>
      </c>
      <c r="F6" s="147">
        <v>4</v>
      </c>
      <c r="G6" s="147">
        <v>5</v>
      </c>
      <c r="H6" s="147">
        <v>6</v>
      </c>
      <c r="I6" s="147">
        <v>7</v>
      </c>
      <c r="J6" s="147">
        <v>8</v>
      </c>
      <c r="K6" s="147">
        <v>9</v>
      </c>
      <c r="L6" s="147">
        <v>10</v>
      </c>
      <c r="M6" s="147">
        <v>11</v>
      </c>
      <c r="N6" s="147">
        <v>12</v>
      </c>
      <c r="O6" s="147">
        <v>13</v>
      </c>
      <c r="P6" s="147">
        <v>14</v>
      </c>
      <c r="Q6" s="147">
        <v>15</v>
      </c>
      <c r="R6" s="147">
        <v>16</v>
      </c>
      <c r="S6" s="147">
        <v>17</v>
      </c>
      <c r="T6" s="147">
        <v>18</v>
      </c>
      <c r="U6" s="147">
        <v>19</v>
      </c>
      <c r="V6" s="147">
        <v>20</v>
      </c>
      <c r="W6" s="147">
        <v>21</v>
      </c>
      <c r="X6" s="147">
        <v>22</v>
      </c>
      <c r="Y6" s="147">
        <v>23</v>
      </c>
      <c r="Z6" s="147">
        <v>24</v>
      </c>
      <c r="AA6" s="147">
        <v>25</v>
      </c>
      <c r="AB6" s="147">
        <v>26</v>
      </c>
      <c r="AC6" s="147">
        <v>27</v>
      </c>
      <c r="AD6" s="147">
        <v>28</v>
      </c>
      <c r="AE6" s="147">
        <v>29</v>
      </c>
      <c r="AF6" s="147">
        <v>30</v>
      </c>
      <c r="AG6" s="147">
        <v>31</v>
      </c>
      <c r="AH6" s="791" t="s">
        <v>72</v>
      </c>
      <c r="AI6" s="2266" t="s">
        <v>1345</v>
      </c>
      <c r="AJ6" s="66">
        <f>(B19/COUNTIF($C$7:$AG$18,"&gt;0"))</f>
        <v>9.2227647058823532</v>
      </c>
    </row>
    <row r="7" spans="1:36" ht="12">
      <c r="A7" s="1728" t="s">
        <v>73</v>
      </c>
      <c r="B7" s="2046">
        <f t="shared" ref="B7:B18" si="0">+AH7</f>
        <v>0.01</v>
      </c>
      <c r="C7" s="952">
        <v>0</v>
      </c>
      <c r="D7" s="952">
        <v>0</v>
      </c>
      <c r="E7" s="952">
        <v>0</v>
      </c>
      <c r="F7" s="952">
        <v>0</v>
      </c>
      <c r="G7" s="952">
        <v>0</v>
      </c>
      <c r="H7" s="952">
        <v>0</v>
      </c>
      <c r="I7" s="952">
        <v>0</v>
      </c>
      <c r="J7" s="952">
        <v>0</v>
      </c>
      <c r="K7" s="2148">
        <v>0</v>
      </c>
      <c r="L7" s="952">
        <v>0</v>
      </c>
      <c r="M7" s="952">
        <v>0</v>
      </c>
      <c r="N7" s="952">
        <v>0</v>
      </c>
      <c r="O7" s="952">
        <v>0</v>
      </c>
      <c r="P7" s="952">
        <v>0</v>
      </c>
      <c r="Q7" s="952">
        <v>0</v>
      </c>
      <c r="R7" s="952">
        <v>0</v>
      </c>
      <c r="S7" s="952">
        <v>0</v>
      </c>
      <c r="T7" s="952">
        <v>0</v>
      </c>
      <c r="U7" s="952">
        <v>0</v>
      </c>
      <c r="V7" s="952">
        <v>0</v>
      </c>
      <c r="W7" s="952">
        <v>0</v>
      </c>
      <c r="X7" s="952">
        <v>0</v>
      </c>
      <c r="Y7" s="952">
        <v>0</v>
      </c>
      <c r="Z7" s="952">
        <v>0</v>
      </c>
      <c r="AA7" s="952">
        <v>0</v>
      </c>
      <c r="AB7" s="952">
        <v>0</v>
      </c>
      <c r="AC7" s="952">
        <v>0</v>
      </c>
      <c r="AD7" s="952">
        <v>0</v>
      </c>
      <c r="AE7" s="952">
        <v>0</v>
      </c>
      <c r="AF7" s="952">
        <v>0</v>
      </c>
      <c r="AG7" s="952">
        <v>0.01</v>
      </c>
      <c r="AH7" s="155">
        <f t="shared" ref="AH7:AH16" si="1">SUM(C7:AG7)</f>
        <v>0.01</v>
      </c>
      <c r="AJ7" s="137">
        <f>+'Res. Global'!J34</f>
        <v>834.21299999999997</v>
      </c>
    </row>
    <row r="8" spans="1:36" ht="12">
      <c r="A8" s="1728" t="s">
        <v>74</v>
      </c>
      <c r="B8" s="158">
        <f t="shared" si="0"/>
        <v>3.363</v>
      </c>
      <c r="C8" s="952">
        <v>0</v>
      </c>
      <c r="D8" s="952">
        <v>0</v>
      </c>
      <c r="E8" s="952">
        <v>0</v>
      </c>
      <c r="F8" s="952">
        <v>0</v>
      </c>
      <c r="G8" s="952">
        <v>0</v>
      </c>
      <c r="H8" s="952">
        <v>0</v>
      </c>
      <c r="I8" s="952">
        <v>0</v>
      </c>
      <c r="J8" s="952">
        <v>0</v>
      </c>
      <c r="K8" s="952">
        <v>0</v>
      </c>
      <c r="L8" s="952">
        <v>0</v>
      </c>
      <c r="M8" s="952">
        <v>0</v>
      </c>
      <c r="N8" s="952">
        <v>2.9140000000000001</v>
      </c>
      <c r="O8" s="952">
        <v>0</v>
      </c>
      <c r="P8" s="952">
        <v>0.40899999999999997</v>
      </c>
      <c r="Q8" s="952">
        <v>0</v>
      </c>
      <c r="R8" s="952">
        <v>0</v>
      </c>
      <c r="S8" s="952">
        <v>0</v>
      </c>
      <c r="T8" s="952">
        <v>0</v>
      </c>
      <c r="U8" s="952">
        <v>0.04</v>
      </c>
      <c r="V8" s="952">
        <v>0</v>
      </c>
      <c r="W8" s="952">
        <v>0</v>
      </c>
      <c r="X8" s="952">
        <v>0</v>
      </c>
      <c r="Y8" s="952">
        <v>0</v>
      </c>
      <c r="Z8" s="952">
        <v>0</v>
      </c>
      <c r="AA8" s="952">
        <v>0</v>
      </c>
      <c r="AB8" s="952">
        <v>0</v>
      </c>
      <c r="AC8" s="952">
        <v>0</v>
      </c>
      <c r="AD8" s="952">
        <v>0</v>
      </c>
      <c r="AE8" s="952">
        <v>0</v>
      </c>
      <c r="AF8" s="952">
        <v>0</v>
      </c>
      <c r="AG8" s="952">
        <v>0</v>
      </c>
      <c r="AH8" s="155">
        <f t="shared" si="1"/>
        <v>3.363</v>
      </c>
      <c r="AJ8" s="3217">
        <f>+AJ7/AJ6</f>
        <v>90.451510648204248</v>
      </c>
    </row>
    <row r="9" spans="1:36" ht="12">
      <c r="A9" s="1728" t="s">
        <v>75</v>
      </c>
      <c r="B9" s="158">
        <f t="shared" si="0"/>
        <v>65.126000000000005</v>
      </c>
      <c r="C9" s="952">
        <v>0</v>
      </c>
      <c r="D9" s="952">
        <v>0</v>
      </c>
      <c r="E9" s="952">
        <v>0</v>
      </c>
      <c r="F9" s="952">
        <v>39.450000000000003</v>
      </c>
      <c r="G9" s="952">
        <v>0</v>
      </c>
      <c r="H9" s="952">
        <v>0</v>
      </c>
      <c r="I9" s="952">
        <v>0</v>
      </c>
      <c r="J9" s="952">
        <v>1.351</v>
      </c>
      <c r="K9" s="952">
        <v>0</v>
      </c>
      <c r="L9" s="952">
        <v>0</v>
      </c>
      <c r="M9" s="952">
        <v>3.2759999999999998</v>
      </c>
      <c r="N9" s="952">
        <v>0.54200000000000004</v>
      </c>
      <c r="O9" s="952">
        <v>0</v>
      </c>
      <c r="P9" s="952">
        <v>13.061</v>
      </c>
      <c r="Q9" s="952">
        <v>0</v>
      </c>
      <c r="R9" s="952">
        <v>0</v>
      </c>
      <c r="S9" s="952">
        <v>0</v>
      </c>
      <c r="T9" s="952">
        <v>0</v>
      </c>
      <c r="U9" s="952">
        <v>0</v>
      </c>
      <c r="V9" s="952">
        <v>0</v>
      </c>
      <c r="W9" s="952">
        <v>0</v>
      </c>
      <c r="X9" s="952">
        <v>0</v>
      </c>
      <c r="Y9" s="952">
        <v>0</v>
      </c>
      <c r="Z9" s="952">
        <v>0</v>
      </c>
      <c r="AA9" s="952">
        <v>7.4459999999999997</v>
      </c>
      <c r="AB9" s="952">
        <v>0</v>
      </c>
      <c r="AC9" s="952">
        <v>0</v>
      </c>
      <c r="AD9" s="952">
        <v>0</v>
      </c>
      <c r="AE9" s="952">
        <v>0</v>
      </c>
      <c r="AF9" s="952">
        <v>0</v>
      </c>
      <c r="AG9" s="952">
        <v>0</v>
      </c>
      <c r="AH9" s="155">
        <f t="shared" si="1"/>
        <v>65.126000000000005</v>
      </c>
    </row>
    <row r="10" spans="1:36" ht="12">
      <c r="A10" s="1728" t="s">
        <v>76</v>
      </c>
      <c r="B10" s="158">
        <f t="shared" si="0"/>
        <v>0</v>
      </c>
      <c r="C10" s="952">
        <v>0</v>
      </c>
      <c r="D10" s="952">
        <v>0</v>
      </c>
      <c r="E10" s="952">
        <v>0</v>
      </c>
      <c r="F10" s="952">
        <v>0</v>
      </c>
      <c r="G10" s="952">
        <v>0</v>
      </c>
      <c r="H10" s="952">
        <v>0</v>
      </c>
      <c r="I10" s="952">
        <v>0</v>
      </c>
      <c r="J10" s="952">
        <v>0</v>
      </c>
      <c r="K10" s="952">
        <v>0</v>
      </c>
      <c r="L10" s="952">
        <v>0</v>
      </c>
      <c r="M10" s="952">
        <v>0</v>
      </c>
      <c r="N10" s="952">
        <v>0</v>
      </c>
      <c r="O10" s="952">
        <v>0</v>
      </c>
      <c r="P10" s="952">
        <v>0</v>
      </c>
      <c r="Q10" s="952">
        <v>0</v>
      </c>
      <c r="R10" s="952">
        <v>0</v>
      </c>
      <c r="S10" s="952">
        <v>0</v>
      </c>
      <c r="T10" s="952">
        <v>0</v>
      </c>
      <c r="U10" s="952">
        <v>0</v>
      </c>
      <c r="V10" s="952">
        <v>0</v>
      </c>
      <c r="W10" s="952">
        <v>0</v>
      </c>
      <c r="X10" s="952">
        <v>0</v>
      </c>
      <c r="Y10" s="952">
        <v>0</v>
      </c>
      <c r="Z10" s="952">
        <v>0</v>
      </c>
      <c r="AA10" s="952">
        <v>0</v>
      </c>
      <c r="AB10" s="952">
        <v>0</v>
      </c>
      <c r="AC10" s="952">
        <v>0</v>
      </c>
      <c r="AD10" s="952">
        <v>0</v>
      </c>
      <c r="AE10" s="952">
        <v>0</v>
      </c>
      <c r="AF10" s="952">
        <v>0</v>
      </c>
      <c r="AG10" s="952">
        <v>0</v>
      </c>
      <c r="AH10" s="155">
        <f t="shared" si="1"/>
        <v>0</v>
      </c>
    </row>
    <row r="11" spans="1:36" ht="12">
      <c r="A11" s="1728" t="s">
        <v>77</v>
      </c>
      <c r="B11" s="158">
        <f t="shared" si="0"/>
        <v>33.084000000000003</v>
      </c>
      <c r="C11" s="952">
        <v>0</v>
      </c>
      <c r="D11" s="952">
        <v>0</v>
      </c>
      <c r="E11" s="952">
        <v>0</v>
      </c>
      <c r="F11" s="952">
        <v>0</v>
      </c>
      <c r="G11" s="952">
        <v>0</v>
      </c>
      <c r="H11" s="952">
        <v>0</v>
      </c>
      <c r="I11" s="952">
        <v>0</v>
      </c>
      <c r="J11" s="952">
        <v>0</v>
      </c>
      <c r="K11" s="952">
        <v>0</v>
      </c>
      <c r="L11" s="952">
        <v>2.5070000000000001</v>
      </c>
      <c r="M11" s="952">
        <v>0</v>
      </c>
      <c r="N11" s="952">
        <v>0</v>
      </c>
      <c r="O11" s="952">
        <v>0</v>
      </c>
      <c r="P11" s="952">
        <v>0</v>
      </c>
      <c r="Q11" s="952">
        <v>0</v>
      </c>
      <c r="R11" s="952">
        <v>0</v>
      </c>
      <c r="S11" s="952">
        <v>0</v>
      </c>
      <c r="T11" s="952">
        <v>0</v>
      </c>
      <c r="U11" s="952">
        <v>19.969000000000001</v>
      </c>
      <c r="V11" s="952">
        <v>0</v>
      </c>
      <c r="W11" s="952">
        <v>0</v>
      </c>
      <c r="X11" s="952">
        <v>0</v>
      </c>
      <c r="Y11" s="952">
        <v>0</v>
      </c>
      <c r="Z11" s="952">
        <v>0</v>
      </c>
      <c r="AA11" s="952">
        <v>0</v>
      </c>
      <c r="AB11" s="952">
        <v>0</v>
      </c>
      <c r="AC11" s="952">
        <v>7.0839999999999996</v>
      </c>
      <c r="AD11" s="952">
        <v>0</v>
      </c>
      <c r="AE11" s="952">
        <v>0</v>
      </c>
      <c r="AF11" s="952">
        <v>0.69599999999999995</v>
      </c>
      <c r="AG11" s="952">
        <v>2.8279999999999998</v>
      </c>
      <c r="AH11" s="155">
        <f t="shared" si="1"/>
        <v>33.084000000000003</v>
      </c>
    </row>
    <row r="12" spans="1:36" ht="12">
      <c r="A12" s="1728" t="s">
        <v>78</v>
      </c>
      <c r="B12" s="158">
        <f t="shared" si="0"/>
        <v>55.203999999999994</v>
      </c>
      <c r="C12" s="952">
        <v>0</v>
      </c>
      <c r="D12" s="952">
        <v>4.4039999999999999</v>
      </c>
      <c r="E12" s="952">
        <v>0</v>
      </c>
      <c r="F12" s="952">
        <v>0</v>
      </c>
      <c r="G12" s="952">
        <v>50.8</v>
      </c>
      <c r="H12" s="952">
        <v>0</v>
      </c>
      <c r="I12" s="952">
        <v>0</v>
      </c>
      <c r="J12" s="952">
        <v>0</v>
      </c>
      <c r="K12" s="952">
        <v>0</v>
      </c>
      <c r="L12" s="952">
        <v>0</v>
      </c>
      <c r="M12" s="952">
        <v>0</v>
      </c>
      <c r="N12" s="952">
        <v>0</v>
      </c>
      <c r="O12" s="952">
        <v>0</v>
      </c>
      <c r="P12" s="952">
        <v>0</v>
      </c>
      <c r="Q12" s="952">
        <v>0</v>
      </c>
      <c r="R12" s="952">
        <v>0</v>
      </c>
      <c r="S12" s="952">
        <v>0</v>
      </c>
      <c r="T12" s="952">
        <v>0</v>
      </c>
      <c r="U12" s="952">
        <v>0</v>
      </c>
      <c r="V12" s="952">
        <v>0</v>
      </c>
      <c r="W12" s="952">
        <v>0</v>
      </c>
      <c r="X12" s="952">
        <v>0</v>
      </c>
      <c r="Y12" s="952">
        <v>0</v>
      </c>
      <c r="Z12" s="952">
        <v>0</v>
      </c>
      <c r="AA12" s="952">
        <v>0</v>
      </c>
      <c r="AB12" s="952">
        <v>0</v>
      </c>
      <c r="AC12" s="952">
        <v>0</v>
      </c>
      <c r="AD12" s="952">
        <v>0</v>
      </c>
      <c r="AE12" s="952">
        <v>0</v>
      </c>
      <c r="AF12" s="952">
        <v>0</v>
      </c>
      <c r="AG12" s="952"/>
      <c r="AH12" s="155">
        <f t="shared" si="1"/>
        <v>55.203999999999994</v>
      </c>
    </row>
    <row r="13" spans="1:36" ht="12">
      <c r="A13" s="1728" t="s">
        <v>79</v>
      </c>
      <c r="B13" s="158">
        <f t="shared" si="0"/>
        <v>0</v>
      </c>
      <c r="C13" s="952"/>
      <c r="D13" s="952"/>
      <c r="E13" s="952"/>
      <c r="F13" s="952"/>
      <c r="G13" s="952"/>
      <c r="H13" s="952"/>
      <c r="I13" s="952"/>
      <c r="J13" s="952"/>
      <c r="K13" s="952"/>
      <c r="L13" s="952"/>
      <c r="M13" s="952"/>
      <c r="N13" s="952"/>
      <c r="O13" s="952"/>
      <c r="P13" s="952"/>
      <c r="Q13" s="952"/>
      <c r="R13" s="952"/>
      <c r="S13" s="952"/>
      <c r="T13" s="952"/>
      <c r="U13" s="952"/>
      <c r="V13" s="952"/>
      <c r="W13" s="952"/>
      <c r="X13" s="952"/>
      <c r="Y13" s="952"/>
      <c r="Z13" s="952"/>
      <c r="AA13" s="952"/>
      <c r="AB13" s="952"/>
      <c r="AC13" s="952"/>
      <c r="AD13" s="952"/>
      <c r="AE13" s="952"/>
      <c r="AF13" s="952"/>
      <c r="AG13" s="952"/>
      <c r="AH13" s="155">
        <f t="shared" si="1"/>
        <v>0</v>
      </c>
    </row>
    <row r="14" spans="1:36" ht="12">
      <c r="A14" s="1728" t="s">
        <v>80</v>
      </c>
      <c r="B14" s="158">
        <f t="shared" si="0"/>
        <v>0</v>
      </c>
      <c r="C14" s="952"/>
      <c r="D14" s="1027"/>
      <c r="E14" s="952"/>
      <c r="F14" s="952"/>
      <c r="G14" s="952"/>
      <c r="H14" s="952"/>
      <c r="I14" s="952"/>
      <c r="J14" s="952"/>
      <c r="K14" s="952"/>
      <c r="L14" s="952"/>
      <c r="M14" s="952"/>
      <c r="N14" s="952"/>
      <c r="O14" s="952"/>
      <c r="P14" s="952"/>
      <c r="Q14" s="952"/>
      <c r="R14" s="952"/>
      <c r="S14" s="952"/>
      <c r="T14" s="952"/>
      <c r="U14" s="952"/>
      <c r="V14" s="952"/>
      <c r="W14" s="952"/>
      <c r="X14" s="952"/>
      <c r="Y14" s="952"/>
      <c r="Z14" s="952"/>
      <c r="AA14" s="952"/>
      <c r="AB14" s="952"/>
      <c r="AC14" s="952"/>
      <c r="AD14" s="952"/>
      <c r="AE14" s="952"/>
      <c r="AF14" s="952"/>
      <c r="AG14" s="952"/>
      <c r="AH14" s="155">
        <f t="shared" si="1"/>
        <v>0</v>
      </c>
    </row>
    <row r="15" spans="1:36" ht="12">
      <c r="A15" s="1728" t="s">
        <v>81</v>
      </c>
      <c r="B15" s="158">
        <f t="shared" si="0"/>
        <v>0</v>
      </c>
      <c r="C15" s="952"/>
      <c r="D15" s="952"/>
      <c r="E15" s="952"/>
      <c r="F15" s="952"/>
      <c r="G15" s="952"/>
      <c r="H15" s="952"/>
      <c r="I15" s="952"/>
      <c r="J15" s="952"/>
      <c r="K15" s="952"/>
      <c r="L15" s="952"/>
      <c r="M15" s="952"/>
      <c r="N15" s="952"/>
      <c r="O15" s="952"/>
      <c r="P15" s="952"/>
      <c r="Q15" s="952"/>
      <c r="R15" s="952"/>
      <c r="S15" s="952"/>
      <c r="T15" s="952"/>
      <c r="U15" s="952"/>
      <c r="V15" s="952"/>
      <c r="W15" s="952"/>
      <c r="X15" s="952"/>
      <c r="Y15" s="952"/>
      <c r="Z15" s="952"/>
      <c r="AA15" s="952"/>
      <c r="AB15" s="952"/>
      <c r="AC15" s="952"/>
      <c r="AD15" s="952"/>
      <c r="AE15" s="952"/>
      <c r="AF15" s="952"/>
      <c r="AG15" s="952"/>
      <c r="AH15" s="155">
        <f t="shared" si="1"/>
        <v>0</v>
      </c>
    </row>
    <row r="16" spans="1:36" ht="12">
      <c r="A16" s="1519" t="s">
        <v>82</v>
      </c>
      <c r="B16" s="158">
        <f t="shared" si="0"/>
        <v>0</v>
      </c>
      <c r="C16" s="952"/>
      <c r="D16" s="952"/>
      <c r="E16" s="952"/>
      <c r="F16" s="952"/>
      <c r="G16" s="952"/>
      <c r="H16" s="952"/>
      <c r="I16" s="952"/>
      <c r="J16" s="952"/>
      <c r="K16" s="952"/>
      <c r="L16" s="952"/>
      <c r="M16" s="952"/>
      <c r="N16" s="952"/>
      <c r="O16" s="952"/>
      <c r="P16" s="952"/>
      <c r="Q16" s="952"/>
      <c r="R16" s="952"/>
      <c r="S16" s="952"/>
      <c r="T16" s="952"/>
      <c r="U16" s="952"/>
      <c r="V16" s="952"/>
      <c r="W16" s="952"/>
      <c r="X16" s="952"/>
      <c r="Y16" s="952"/>
      <c r="Z16" s="952"/>
      <c r="AA16" s="952"/>
      <c r="AB16" s="952"/>
      <c r="AC16" s="952"/>
      <c r="AD16" s="952"/>
      <c r="AE16" s="952"/>
      <c r="AF16" s="952"/>
      <c r="AG16" s="952"/>
      <c r="AH16" s="155">
        <f t="shared" si="1"/>
        <v>0</v>
      </c>
    </row>
    <row r="17" spans="1:36" ht="12">
      <c r="A17" s="1519" t="s">
        <v>83</v>
      </c>
      <c r="B17" s="158">
        <f t="shared" si="0"/>
        <v>0</v>
      </c>
      <c r="C17" s="952"/>
      <c r="D17" s="952"/>
      <c r="E17" s="952"/>
      <c r="F17" s="952"/>
      <c r="G17" s="952"/>
      <c r="H17" s="952"/>
      <c r="I17" s="952"/>
      <c r="J17" s="952"/>
      <c r="K17" s="952"/>
      <c r="L17" s="952"/>
      <c r="M17" s="952"/>
      <c r="N17" s="952"/>
      <c r="O17" s="952"/>
      <c r="P17" s="952"/>
      <c r="Q17" s="952"/>
      <c r="R17" s="952"/>
      <c r="S17" s="952"/>
      <c r="T17" s="952"/>
      <c r="U17" s="952"/>
      <c r="V17" s="952"/>
      <c r="W17" s="952"/>
      <c r="X17" s="952"/>
      <c r="Y17" s="952"/>
      <c r="Z17" s="952"/>
      <c r="AA17" s="952"/>
      <c r="AB17" s="952"/>
      <c r="AC17" s="952"/>
      <c r="AD17" s="952"/>
      <c r="AE17" s="952"/>
      <c r="AF17" s="952"/>
      <c r="AG17" s="952"/>
      <c r="AH17" s="155">
        <f>SUM(C17:AG17)</f>
        <v>0</v>
      </c>
    </row>
    <row r="18" spans="1:36" ht="12">
      <c r="A18" s="1519" t="s">
        <v>84</v>
      </c>
      <c r="B18" s="158">
        <f t="shared" si="0"/>
        <v>0</v>
      </c>
      <c r="C18" s="952">
        <v>0</v>
      </c>
      <c r="D18" s="952">
        <v>0</v>
      </c>
      <c r="E18" s="952">
        <v>0</v>
      </c>
      <c r="F18" s="952">
        <v>0</v>
      </c>
      <c r="G18" s="952">
        <v>0</v>
      </c>
      <c r="H18" s="952">
        <v>0</v>
      </c>
      <c r="I18" s="952">
        <v>0</v>
      </c>
      <c r="J18" s="952">
        <v>0</v>
      </c>
      <c r="K18" s="952">
        <v>0</v>
      </c>
      <c r="L18" s="952">
        <v>0</v>
      </c>
      <c r="M18" s="952">
        <v>0</v>
      </c>
      <c r="N18" s="952">
        <v>0</v>
      </c>
      <c r="O18" s="952">
        <v>0</v>
      </c>
      <c r="P18" s="952">
        <v>0</v>
      </c>
      <c r="Q18" s="952">
        <v>0</v>
      </c>
      <c r="R18" s="952">
        <v>0</v>
      </c>
      <c r="S18" s="952">
        <v>0</v>
      </c>
      <c r="T18" s="952">
        <v>0</v>
      </c>
      <c r="U18" s="952">
        <v>0</v>
      </c>
      <c r="V18" s="952">
        <v>0</v>
      </c>
      <c r="W18" s="952">
        <v>0</v>
      </c>
      <c r="X18" s="952">
        <v>0</v>
      </c>
      <c r="Y18" s="952">
        <v>0</v>
      </c>
      <c r="Z18" s="952">
        <v>0</v>
      </c>
      <c r="AA18" s="952">
        <v>0</v>
      </c>
      <c r="AB18" s="952">
        <v>0</v>
      </c>
      <c r="AC18" s="952">
        <v>0</v>
      </c>
      <c r="AD18" s="952">
        <v>0</v>
      </c>
      <c r="AE18" s="952">
        <v>0</v>
      </c>
      <c r="AF18" s="952">
        <v>0</v>
      </c>
      <c r="AG18" s="952">
        <v>0</v>
      </c>
      <c r="AH18" s="155">
        <f>SUM(C18:AG18)</f>
        <v>0</v>
      </c>
    </row>
    <row r="19" spans="1:36" ht="12">
      <c r="A19" s="598" t="s">
        <v>72</v>
      </c>
      <c r="B19" s="1115">
        <f>SUM(B7:B18)</f>
        <v>156.78700000000001</v>
      </c>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f>SUM(AH7:AH18)</f>
        <v>156.78700000000001</v>
      </c>
    </row>
    <row r="20" spans="1:36" ht="12">
      <c r="A20" s="145"/>
      <c r="B20" s="597"/>
      <c r="C20" s="145"/>
      <c r="D20" s="49"/>
      <c r="E20" s="49"/>
      <c r="F20" s="49" t="s">
        <v>1534</v>
      </c>
      <c r="G20" s="49"/>
      <c r="H20" s="49"/>
      <c r="I20" s="49"/>
      <c r="J20" s="49"/>
      <c r="K20" s="49"/>
      <c r="L20" s="144"/>
      <c r="M20" s="49"/>
      <c r="N20" s="49"/>
      <c r="O20" s="49"/>
      <c r="P20" s="49"/>
      <c r="Q20" s="49"/>
      <c r="R20" s="49"/>
      <c r="S20" s="49"/>
      <c r="T20" s="49"/>
      <c r="U20" s="49"/>
      <c r="V20" s="49"/>
      <c r="W20" s="49"/>
      <c r="X20" s="49"/>
      <c r="Y20" s="49"/>
      <c r="Z20" s="49"/>
      <c r="AA20" s="49"/>
      <c r="AB20" s="49"/>
      <c r="AC20" s="49"/>
      <c r="AD20" s="49"/>
      <c r="AE20" s="49"/>
      <c r="AF20" s="49"/>
      <c r="AG20" s="49"/>
      <c r="AH20" s="145"/>
    </row>
    <row r="21" spans="1:36" ht="13.8">
      <c r="A21" s="3882" t="s">
        <v>85</v>
      </c>
      <c r="B21" s="3883"/>
      <c r="C21" s="3884"/>
      <c r="D21" s="3355">
        <v>41856</v>
      </c>
      <c r="E21" s="49"/>
      <c r="F21" s="49"/>
      <c r="G21" s="49"/>
      <c r="H21" s="49"/>
      <c r="I21" s="49"/>
      <c r="J21" s="1190"/>
      <c r="K21" s="49"/>
      <c r="L21" s="49"/>
      <c r="M21" s="144"/>
      <c r="N21" s="49"/>
      <c r="O21" s="49"/>
      <c r="P21" s="49"/>
      <c r="Q21" s="49"/>
      <c r="R21" s="49"/>
      <c r="S21" s="49"/>
      <c r="T21" s="49"/>
      <c r="U21" s="49"/>
      <c r="V21" s="49"/>
      <c r="W21" s="49"/>
      <c r="X21" s="49"/>
      <c r="Y21" s="49"/>
      <c r="Z21" s="49"/>
      <c r="AA21" s="49"/>
      <c r="AB21" s="49"/>
      <c r="AC21" s="49"/>
      <c r="AD21" s="49"/>
      <c r="AE21" s="49"/>
      <c r="AF21" s="49"/>
      <c r="AG21" s="49"/>
      <c r="AH21" s="145"/>
    </row>
    <row r="22" spans="1:36" ht="14.4" thickBot="1">
      <c r="A22" s="146" t="s">
        <v>70</v>
      </c>
      <c r="B22" s="158" t="s">
        <v>71</v>
      </c>
      <c r="C22" s="3113">
        <v>1</v>
      </c>
      <c r="D22" s="3114">
        <v>2</v>
      </c>
      <c r="E22" s="3114">
        <v>3</v>
      </c>
      <c r="F22" s="3114">
        <v>4</v>
      </c>
      <c r="G22" s="3114">
        <v>5</v>
      </c>
      <c r="H22" s="3114">
        <v>6</v>
      </c>
      <c r="I22" s="3114">
        <v>7</v>
      </c>
      <c r="J22" s="3114">
        <v>8</v>
      </c>
      <c r="K22" s="3114">
        <v>9</v>
      </c>
      <c r="L22" s="3114">
        <v>10</v>
      </c>
      <c r="M22" s="3114">
        <v>11</v>
      </c>
      <c r="N22" s="3114">
        <v>12</v>
      </c>
      <c r="O22" s="3114">
        <v>13</v>
      </c>
      <c r="P22" s="3114">
        <v>14</v>
      </c>
      <c r="Q22" s="3114">
        <v>15</v>
      </c>
      <c r="R22" s="3114">
        <v>16</v>
      </c>
      <c r="S22" s="3114">
        <v>17</v>
      </c>
      <c r="T22" s="3114">
        <v>18</v>
      </c>
      <c r="U22" s="3114">
        <v>19</v>
      </c>
      <c r="V22" s="3114">
        <v>20</v>
      </c>
      <c r="W22" s="3114">
        <v>21</v>
      </c>
      <c r="X22" s="3114">
        <v>22</v>
      </c>
      <c r="Y22" s="3114">
        <v>23</v>
      </c>
      <c r="Z22" s="3114">
        <v>24</v>
      </c>
      <c r="AA22" s="3114">
        <v>25</v>
      </c>
      <c r="AB22" s="3114">
        <v>26</v>
      </c>
      <c r="AC22" s="3114">
        <v>27</v>
      </c>
      <c r="AD22" s="3114">
        <v>28</v>
      </c>
      <c r="AE22" s="3114">
        <v>29</v>
      </c>
      <c r="AF22" s="3114">
        <v>30</v>
      </c>
      <c r="AG22" s="3114">
        <v>31</v>
      </c>
      <c r="AH22" s="791" t="s">
        <v>72</v>
      </c>
      <c r="AI22" s="2266" t="s">
        <v>1345</v>
      </c>
      <c r="AJ22" s="66">
        <f>(B35/COUNTIF($C$23:$AG$34,"&gt;0"))</f>
        <v>14.942782051282055</v>
      </c>
    </row>
    <row r="23" spans="1:36" ht="12">
      <c r="A23" s="1728" t="s">
        <v>73</v>
      </c>
      <c r="B23" s="3111">
        <f t="shared" ref="B23:B34" si="2">+AH23</f>
        <v>1.6490000000000002</v>
      </c>
      <c r="C23" s="3120"/>
      <c r="D23" s="3121"/>
      <c r="E23" s="3121"/>
      <c r="F23" s="3121"/>
      <c r="G23" s="3121">
        <v>2.1999999999999999E-2</v>
      </c>
      <c r="H23" s="3121"/>
      <c r="I23" s="3121"/>
      <c r="J23" s="3121">
        <v>0.03</v>
      </c>
      <c r="K23" s="3121"/>
      <c r="L23" s="3121"/>
      <c r="M23" s="3121">
        <v>5.2999999999999999E-2</v>
      </c>
      <c r="N23" s="3121"/>
      <c r="O23" s="3121"/>
      <c r="P23" s="3121"/>
      <c r="Q23" s="3121">
        <v>0.08</v>
      </c>
      <c r="R23" s="3121"/>
      <c r="S23" s="3121">
        <v>9.7000000000000003E-2</v>
      </c>
      <c r="T23" s="3121"/>
      <c r="U23" s="3121"/>
      <c r="V23" s="3121"/>
      <c r="W23" s="3121"/>
      <c r="X23" s="3121"/>
      <c r="Y23" s="3121">
        <v>8.0000000000000002E-3</v>
      </c>
      <c r="Z23" s="3121">
        <v>0.28500000000000003</v>
      </c>
      <c r="AA23" s="3121">
        <v>1.2E-2</v>
      </c>
      <c r="AB23" s="3121"/>
      <c r="AC23" s="3121">
        <v>3.5000000000000003E-2</v>
      </c>
      <c r="AD23" s="3121"/>
      <c r="AE23" s="3121">
        <v>0.17699999999999999</v>
      </c>
      <c r="AF23" s="3121"/>
      <c r="AG23" s="3122">
        <v>0.85000000000000009</v>
      </c>
      <c r="AH23" s="3112">
        <f>SUM(C23:AG23)</f>
        <v>1.6490000000000002</v>
      </c>
      <c r="AJ23" s="137">
        <f>+'Res. Global'!J36</f>
        <v>-174.53700000000026</v>
      </c>
    </row>
    <row r="24" spans="1:36" ht="12">
      <c r="A24" s="1728" t="s">
        <v>74</v>
      </c>
      <c r="B24" s="3111">
        <f t="shared" si="2"/>
        <v>2.9089999999999998</v>
      </c>
      <c r="C24" s="3123"/>
      <c r="D24" s="3124"/>
      <c r="E24" s="3124"/>
      <c r="F24" s="3124">
        <v>0.01</v>
      </c>
      <c r="G24" s="3124"/>
      <c r="H24" s="3124"/>
      <c r="I24" s="3124"/>
      <c r="J24" s="3124">
        <v>3.7999999999999999E-2</v>
      </c>
      <c r="K24" s="3124"/>
      <c r="L24" s="3124">
        <v>0.05</v>
      </c>
      <c r="M24" s="3124"/>
      <c r="N24" s="3124"/>
      <c r="O24" s="3124"/>
      <c r="P24" s="3124"/>
      <c r="Q24" s="3124"/>
      <c r="R24" s="3124">
        <v>5.8999999999999997E-2</v>
      </c>
      <c r="S24" s="3124">
        <v>0.04</v>
      </c>
      <c r="T24" s="3124"/>
      <c r="U24" s="3124"/>
      <c r="V24" s="3124">
        <v>0.11</v>
      </c>
      <c r="W24" s="3124">
        <v>0.2</v>
      </c>
      <c r="X24" s="3124"/>
      <c r="Y24" s="130"/>
      <c r="Z24" s="130"/>
      <c r="AA24" s="130">
        <v>0.3</v>
      </c>
      <c r="AB24" s="130"/>
      <c r="AC24" s="130">
        <v>0.47199999999999998</v>
      </c>
      <c r="AD24" s="130">
        <v>1.6300000000000001</v>
      </c>
      <c r="AE24" s="130"/>
      <c r="AF24" s="130"/>
      <c r="AG24" s="3125"/>
      <c r="AH24" s="3112">
        <f t="shared" ref="AH24:AH34" si="3">SUM(C24:AG24)</f>
        <v>2.9089999999999998</v>
      </c>
      <c r="AJ24" s="3217">
        <f>+AJ23/AJ22</f>
        <v>-11.680355063803223</v>
      </c>
    </row>
    <row r="25" spans="1:36" ht="12">
      <c r="A25" s="1728" t="s">
        <v>75</v>
      </c>
      <c r="B25" s="3111">
        <f t="shared" si="2"/>
        <v>7.4660000000000002</v>
      </c>
      <c r="C25" s="3123"/>
      <c r="D25" s="130"/>
      <c r="E25" s="130"/>
      <c r="F25" s="130"/>
      <c r="G25" s="130"/>
      <c r="H25" s="130">
        <v>0.35699999999999998</v>
      </c>
      <c r="I25" s="130">
        <v>2.827</v>
      </c>
      <c r="J25" s="130">
        <v>0.55500000000000005</v>
      </c>
      <c r="K25" s="130"/>
      <c r="L25" s="130">
        <v>0.06</v>
      </c>
      <c r="M25" s="130"/>
      <c r="N25" s="130"/>
      <c r="O25" s="130"/>
      <c r="P25" s="130"/>
      <c r="Q25" s="130"/>
      <c r="R25" s="130"/>
      <c r="S25" s="130"/>
      <c r="T25" s="130"/>
      <c r="U25" s="130"/>
      <c r="V25" s="130"/>
      <c r="W25" s="130">
        <v>1.5</v>
      </c>
      <c r="X25" s="130">
        <v>0.04</v>
      </c>
      <c r="Y25" s="130"/>
      <c r="Z25" s="130">
        <v>0.03</v>
      </c>
      <c r="AA25" s="130">
        <v>9.8000000000000004E-2</v>
      </c>
      <c r="AB25" s="130">
        <v>0.02</v>
      </c>
      <c r="AC25" s="130"/>
      <c r="AD25" s="130">
        <v>0.78500000000000003</v>
      </c>
      <c r="AE25" s="130">
        <v>9.5000000000000001E-2</v>
      </c>
      <c r="AF25" s="255">
        <v>0.39900000000000002</v>
      </c>
      <c r="AG25" s="3125">
        <v>0.7</v>
      </c>
      <c r="AH25" s="3112">
        <f t="shared" si="3"/>
        <v>7.4660000000000002</v>
      </c>
    </row>
    <row r="26" spans="1:36" ht="12">
      <c r="A26" s="1728" t="s">
        <v>76</v>
      </c>
      <c r="B26" s="3111">
        <f t="shared" si="2"/>
        <v>12.628999999999998</v>
      </c>
      <c r="C26" s="3123"/>
      <c r="D26" s="130"/>
      <c r="E26" s="130"/>
      <c r="F26" s="130"/>
      <c r="G26" s="130">
        <v>0.10600000000000001</v>
      </c>
      <c r="H26" s="130"/>
      <c r="I26" s="130"/>
      <c r="J26" s="130"/>
      <c r="K26" s="130">
        <v>0.2</v>
      </c>
      <c r="L26" s="130"/>
      <c r="M26" s="130">
        <v>0.13200000000000001</v>
      </c>
      <c r="N26" s="130"/>
      <c r="O26" s="130"/>
      <c r="P26" s="130">
        <v>1.5</v>
      </c>
      <c r="Q26" s="130">
        <v>0.4</v>
      </c>
      <c r="R26" s="130">
        <v>0.79999999999999993</v>
      </c>
      <c r="S26" s="130">
        <v>1.0169999999999999</v>
      </c>
      <c r="T26" s="130">
        <v>0.26</v>
      </c>
      <c r="U26" s="130"/>
      <c r="V26" s="130">
        <v>0.03</v>
      </c>
      <c r="W26" s="130">
        <v>4.7E-2</v>
      </c>
      <c r="X26" s="130"/>
      <c r="Y26" s="130">
        <v>3.3200000000000003</v>
      </c>
      <c r="Z26" s="130"/>
      <c r="AA26" s="130">
        <v>0.70299999999999996</v>
      </c>
      <c r="AB26" s="130"/>
      <c r="AC26" s="130">
        <v>0.27900000000000003</v>
      </c>
      <c r="AD26" s="130"/>
      <c r="AE26" s="130">
        <v>0.18099999999999999</v>
      </c>
      <c r="AF26" s="130">
        <v>3.6539999999999999</v>
      </c>
      <c r="AG26" s="3125"/>
      <c r="AH26" s="3112">
        <f t="shared" si="3"/>
        <v>12.628999999999998</v>
      </c>
    </row>
    <row r="27" spans="1:36" ht="12.6" thickBot="1">
      <c r="A27" s="1728" t="s">
        <v>77</v>
      </c>
      <c r="B27" s="3111">
        <f t="shared" si="2"/>
        <v>13.946000000000002</v>
      </c>
      <c r="C27" s="3123"/>
      <c r="D27" s="130"/>
      <c r="E27" s="130"/>
      <c r="F27" s="130"/>
      <c r="G27" s="130"/>
      <c r="H27" s="130">
        <v>1.208</v>
      </c>
      <c r="I27" s="130">
        <v>1.734</v>
      </c>
      <c r="J27" s="130"/>
      <c r="K27" s="130">
        <v>3.544</v>
      </c>
      <c r="L27" s="130">
        <v>0.02</v>
      </c>
      <c r="M27" s="130"/>
      <c r="N27" s="130"/>
      <c r="O27" s="130"/>
      <c r="P27" s="130"/>
      <c r="Q27" s="130">
        <v>7.0000000000000007E-2</v>
      </c>
      <c r="R27" s="130"/>
      <c r="S27" s="3126">
        <v>0.03</v>
      </c>
      <c r="T27" s="3126"/>
      <c r="U27" s="3126"/>
      <c r="V27" s="3126"/>
      <c r="W27" s="3126">
        <v>1.4999999999999999E-2</v>
      </c>
      <c r="X27" s="3126"/>
      <c r="Y27" s="3126"/>
      <c r="Z27" s="3126"/>
      <c r="AA27" s="3126"/>
      <c r="AB27" s="3126">
        <v>0.2</v>
      </c>
      <c r="AC27" s="130"/>
      <c r="AD27" s="130">
        <v>1.2799999999999998</v>
      </c>
      <c r="AE27" s="130">
        <v>2.653</v>
      </c>
      <c r="AF27" s="130">
        <v>2.8819999999999997</v>
      </c>
      <c r="AG27" s="3125">
        <v>0.31000000000000005</v>
      </c>
      <c r="AH27" s="3112">
        <f t="shared" si="3"/>
        <v>13.946000000000002</v>
      </c>
    </row>
    <row r="28" spans="1:36" ht="12.6" thickBot="1">
      <c r="A28" s="1728" t="s">
        <v>78</v>
      </c>
      <c r="B28" s="3111">
        <f t="shared" si="2"/>
        <v>1090.9610000000002</v>
      </c>
      <c r="C28" s="3123"/>
      <c r="D28" s="130"/>
      <c r="E28" s="130">
        <v>46.739000000000004</v>
      </c>
      <c r="F28" s="130">
        <v>126.62199999999999</v>
      </c>
      <c r="G28" s="130">
        <v>58.657000000000004</v>
      </c>
      <c r="H28" s="130">
        <v>39.701999999999998</v>
      </c>
      <c r="I28" s="130"/>
      <c r="J28" s="130"/>
      <c r="K28" s="130"/>
      <c r="L28" s="130">
        <v>10.481000000000002</v>
      </c>
      <c r="M28" s="130">
        <v>125.41900000000001</v>
      </c>
      <c r="N28" s="130">
        <v>124.89800000000001</v>
      </c>
      <c r="O28" s="130">
        <v>2.9409999999999998</v>
      </c>
      <c r="P28" s="130"/>
      <c r="Q28" s="130"/>
      <c r="R28" s="3127"/>
      <c r="S28" s="3128">
        <v>105.06400000000002</v>
      </c>
      <c r="T28" s="3129">
        <v>105.36499999999999</v>
      </c>
      <c r="U28" s="3129"/>
      <c r="V28" s="3129">
        <v>80.049000000000007</v>
      </c>
      <c r="W28" s="3129">
        <v>54.247999999999998</v>
      </c>
      <c r="X28" s="3129"/>
      <c r="Y28" s="3129"/>
      <c r="Z28" s="3129"/>
      <c r="AA28" s="3129">
        <v>62.317999999999998</v>
      </c>
      <c r="AB28" s="3130">
        <v>148.45800000000003</v>
      </c>
      <c r="AC28" s="3131"/>
      <c r="AD28" s="130"/>
      <c r="AE28" s="130"/>
      <c r="AF28" s="130"/>
      <c r="AG28" s="3125"/>
      <c r="AH28" s="3116">
        <f t="shared" si="3"/>
        <v>1090.9610000000002</v>
      </c>
    </row>
    <row r="29" spans="1:36" ht="12">
      <c r="A29" s="1728" t="s">
        <v>79</v>
      </c>
      <c r="B29" s="3111">
        <f t="shared" si="2"/>
        <v>33.477000000000004</v>
      </c>
      <c r="C29" s="3123">
        <v>33.477000000000004</v>
      </c>
      <c r="D29" s="130"/>
      <c r="E29" s="130"/>
      <c r="F29" s="130"/>
      <c r="G29" s="130"/>
      <c r="H29" s="130"/>
      <c r="I29" s="130"/>
      <c r="J29" s="130"/>
      <c r="K29" s="130"/>
      <c r="L29" s="130"/>
      <c r="M29" s="130"/>
      <c r="N29" s="130"/>
      <c r="O29" s="130"/>
      <c r="P29" s="130"/>
      <c r="Q29" s="130"/>
      <c r="R29" s="130"/>
      <c r="S29" s="3132"/>
      <c r="T29" s="3132"/>
      <c r="U29" s="3132"/>
      <c r="V29" s="3132"/>
      <c r="W29" s="3132"/>
      <c r="X29" s="3132"/>
      <c r="Y29" s="3132"/>
      <c r="Z29" s="3132"/>
      <c r="AA29" s="3132"/>
      <c r="AB29" s="3132"/>
      <c r="AC29" s="130"/>
      <c r="AD29" s="130"/>
      <c r="AE29" s="130"/>
      <c r="AF29" s="130"/>
      <c r="AG29" s="3125"/>
      <c r="AH29" s="3112">
        <f t="shared" si="3"/>
        <v>33.477000000000004</v>
      </c>
    </row>
    <row r="30" spans="1:36" ht="12">
      <c r="A30" s="1728" t="s">
        <v>80</v>
      </c>
      <c r="B30" s="3111">
        <f t="shared" si="2"/>
        <v>0</v>
      </c>
      <c r="C30" s="3123"/>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3125"/>
      <c r="AH30" s="3112">
        <f t="shared" si="3"/>
        <v>0</v>
      </c>
    </row>
    <row r="31" spans="1:36" ht="12">
      <c r="A31" s="1728" t="s">
        <v>81</v>
      </c>
      <c r="B31" s="3111">
        <f t="shared" si="2"/>
        <v>2.5</v>
      </c>
      <c r="C31" s="3123"/>
      <c r="D31" s="130"/>
      <c r="E31" s="130"/>
      <c r="F31" s="130">
        <v>1.5</v>
      </c>
      <c r="G31" s="130"/>
      <c r="H31" s="130"/>
      <c r="I31" s="130"/>
      <c r="J31" s="130"/>
      <c r="K31" s="130"/>
      <c r="L31" s="130">
        <v>1</v>
      </c>
      <c r="M31" s="130"/>
      <c r="N31" s="130"/>
      <c r="O31" s="130"/>
      <c r="P31" s="130"/>
      <c r="Q31" s="130"/>
      <c r="R31" s="130"/>
      <c r="S31" s="130"/>
      <c r="T31" s="130"/>
      <c r="U31" s="130"/>
      <c r="V31" s="130"/>
      <c r="W31" s="130"/>
      <c r="X31" s="130"/>
      <c r="Y31" s="130"/>
      <c r="Z31" s="130"/>
      <c r="AA31" s="130"/>
      <c r="AB31" s="130"/>
      <c r="AC31" s="130"/>
      <c r="AD31" s="130"/>
      <c r="AE31" s="130"/>
      <c r="AF31" s="130"/>
      <c r="AG31" s="3125"/>
      <c r="AH31" s="3112">
        <f t="shared" si="3"/>
        <v>2.5</v>
      </c>
    </row>
    <row r="32" spans="1:36" ht="12">
      <c r="A32" s="1728" t="s">
        <v>82</v>
      </c>
      <c r="B32" s="3111">
        <f t="shared" si="2"/>
        <v>0</v>
      </c>
      <c r="C32" s="3123"/>
      <c r="D32" s="130"/>
      <c r="E32" s="130"/>
      <c r="F32" s="130"/>
      <c r="G32" s="130"/>
      <c r="H32" s="130"/>
      <c r="I32" s="130"/>
      <c r="J32" s="130"/>
      <c r="K32" s="130"/>
      <c r="L32" s="130"/>
      <c r="M32" s="130"/>
      <c r="N32" s="130"/>
      <c r="O32" s="130"/>
      <c r="P32" s="130"/>
      <c r="Q32" s="130"/>
      <c r="R32" s="146"/>
      <c r="S32" s="146"/>
      <c r="T32" s="146"/>
      <c r="U32" s="146"/>
      <c r="V32" s="146"/>
      <c r="W32" s="146"/>
      <c r="X32" s="146"/>
      <c r="Y32" s="146"/>
      <c r="Z32" s="146"/>
      <c r="AA32" s="146"/>
      <c r="AB32" s="146"/>
      <c r="AC32" s="146"/>
      <c r="AD32" s="146"/>
      <c r="AE32" s="146"/>
      <c r="AF32" s="146"/>
      <c r="AG32" s="3133"/>
      <c r="AH32" s="3112">
        <f t="shared" si="3"/>
        <v>0</v>
      </c>
    </row>
    <row r="33" spans="1:77" ht="12">
      <c r="A33" s="1519" t="s">
        <v>83</v>
      </c>
      <c r="B33" s="3111">
        <f t="shared" si="2"/>
        <v>0</v>
      </c>
      <c r="C33" s="3123"/>
      <c r="D33" s="146"/>
      <c r="E33" s="146"/>
      <c r="F33" s="146"/>
      <c r="G33" s="146"/>
      <c r="H33" s="146"/>
      <c r="I33" s="146"/>
      <c r="J33" s="146"/>
      <c r="K33" s="146"/>
      <c r="L33" s="146"/>
      <c r="M33" s="146"/>
      <c r="N33" s="146"/>
      <c r="O33" s="146"/>
      <c r="P33" s="146"/>
      <c r="Q33" s="146"/>
      <c r="R33" s="2186"/>
      <c r="S33" s="2186"/>
      <c r="T33" s="2186"/>
      <c r="U33" s="2186"/>
      <c r="V33" s="2186"/>
      <c r="W33" s="2186"/>
      <c r="X33" s="2186"/>
      <c r="Y33" s="2186"/>
      <c r="Z33" s="2186"/>
      <c r="AA33" s="2186"/>
      <c r="AB33" s="2186"/>
      <c r="AC33" s="2186"/>
      <c r="AD33" s="2186"/>
      <c r="AE33" s="2186"/>
      <c r="AF33" s="2186"/>
      <c r="AG33" s="3125"/>
      <c r="AH33" s="3112">
        <f>SUM(C33:AG33)</f>
        <v>0</v>
      </c>
    </row>
    <row r="34" spans="1:77" ht="12.6" thickBot="1">
      <c r="A34" s="1519" t="s">
        <v>84</v>
      </c>
      <c r="B34" s="3111">
        <f t="shared" si="2"/>
        <v>0</v>
      </c>
      <c r="C34" s="3134"/>
      <c r="D34" s="3135"/>
      <c r="E34" s="3135"/>
      <c r="F34" s="3135"/>
      <c r="G34" s="3136"/>
      <c r="H34" s="3136"/>
      <c r="I34" s="3136"/>
      <c r="J34" s="3136"/>
      <c r="K34" s="3136"/>
      <c r="L34" s="3136"/>
      <c r="M34" s="3136"/>
      <c r="N34" s="3136"/>
      <c r="O34" s="3136"/>
      <c r="P34" s="3136"/>
      <c r="Q34" s="3136"/>
      <c r="R34" s="3136"/>
      <c r="S34" s="3136"/>
      <c r="T34" s="3136"/>
      <c r="U34" s="3136"/>
      <c r="V34" s="3136"/>
      <c r="W34" s="3136"/>
      <c r="X34" s="3136"/>
      <c r="Y34" s="3136"/>
      <c r="Z34" s="3136"/>
      <c r="AA34" s="3136"/>
      <c r="AB34" s="3136"/>
      <c r="AC34" s="3136"/>
      <c r="AD34" s="3136"/>
      <c r="AE34" s="3136"/>
      <c r="AF34" s="3136"/>
      <c r="AG34" s="3137"/>
      <c r="AH34" s="3118">
        <f t="shared" si="3"/>
        <v>0</v>
      </c>
    </row>
    <row r="35" spans="1:77" ht="12.6" thickBot="1">
      <c r="A35" s="598" t="s">
        <v>72</v>
      </c>
      <c r="B35" s="599">
        <f>SUM(B23:B34)</f>
        <v>1165.5370000000003</v>
      </c>
      <c r="C35" s="3115"/>
      <c r="D35" s="3115"/>
      <c r="E35" s="3115"/>
      <c r="F35" s="3115"/>
      <c r="G35" s="3115"/>
      <c r="H35" s="3115"/>
      <c r="I35" s="3115"/>
      <c r="J35" s="3115"/>
      <c r="K35" s="3115"/>
      <c r="L35" s="3115"/>
      <c r="M35" s="3115"/>
      <c r="N35" s="3115"/>
      <c r="O35" s="3115"/>
      <c r="P35" s="3115"/>
      <c r="Q35" s="3115"/>
      <c r="R35" s="3115"/>
      <c r="S35" s="3115"/>
      <c r="T35" s="3115"/>
      <c r="U35" s="3115"/>
      <c r="V35" s="3115"/>
      <c r="W35" s="3115"/>
      <c r="X35" s="3115"/>
      <c r="Y35" s="3115"/>
      <c r="Z35" s="3115"/>
      <c r="AA35" s="3115"/>
      <c r="AB35" s="3115"/>
      <c r="AC35" s="3115"/>
      <c r="AD35" s="3115"/>
      <c r="AE35" s="3115"/>
      <c r="AF35" s="3115"/>
      <c r="AG35" s="3117"/>
      <c r="AH35" s="3119">
        <f>SUM(AH23:AH34)</f>
        <v>1165.5370000000003</v>
      </c>
    </row>
    <row r="36" spans="1:77" ht="12">
      <c r="A36" s="606"/>
      <c r="B36" s="607"/>
      <c r="C36" s="145"/>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145"/>
      <c r="AQ36" s="2267" t="s">
        <v>1382</v>
      </c>
      <c r="AT36" s="2267" t="s">
        <v>1383</v>
      </c>
    </row>
    <row r="37" spans="1:77" ht="12">
      <c r="A37" s="3882" t="s">
        <v>86</v>
      </c>
      <c r="B37" s="3883"/>
      <c r="C37" s="3884"/>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145"/>
      <c r="AP37" s="3882" t="s">
        <v>86</v>
      </c>
      <c r="AQ37" s="3883"/>
      <c r="AR37" s="3884"/>
      <c r="AS37" s="49"/>
      <c r="AT37" s="49"/>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145"/>
      <c r="BX37" s="2267"/>
      <c r="BY37" s="2267"/>
    </row>
    <row r="38" spans="1:77" ht="13.8">
      <c r="A38" s="146" t="s">
        <v>70</v>
      </c>
      <c r="B38" s="158" t="s">
        <v>71</v>
      </c>
      <c r="C38" s="146">
        <v>1</v>
      </c>
      <c r="D38" s="147">
        <v>2</v>
      </c>
      <c r="E38" s="147">
        <v>3</v>
      </c>
      <c r="F38" s="147">
        <v>4</v>
      </c>
      <c r="G38" s="147">
        <v>5</v>
      </c>
      <c r="H38" s="147">
        <v>6</v>
      </c>
      <c r="I38" s="147">
        <v>7</v>
      </c>
      <c r="J38" s="147">
        <v>8</v>
      </c>
      <c r="K38" s="147">
        <v>9</v>
      </c>
      <c r="L38" s="147">
        <v>10</v>
      </c>
      <c r="M38" s="147">
        <v>11</v>
      </c>
      <c r="N38" s="147">
        <v>12</v>
      </c>
      <c r="O38" s="147">
        <v>13</v>
      </c>
      <c r="P38" s="147">
        <v>14</v>
      </c>
      <c r="Q38" s="147">
        <v>15</v>
      </c>
      <c r="R38" s="147">
        <v>16</v>
      </c>
      <c r="S38" s="147">
        <v>17</v>
      </c>
      <c r="T38" s="147">
        <v>18</v>
      </c>
      <c r="U38" s="147">
        <v>19</v>
      </c>
      <c r="V38" s="147">
        <v>20</v>
      </c>
      <c r="W38" s="147">
        <v>21</v>
      </c>
      <c r="X38" s="147">
        <v>22</v>
      </c>
      <c r="Y38" s="147">
        <v>23</v>
      </c>
      <c r="Z38" s="147">
        <v>24</v>
      </c>
      <c r="AA38" s="147">
        <v>25</v>
      </c>
      <c r="AB38" s="147">
        <v>26</v>
      </c>
      <c r="AC38" s="147">
        <v>27</v>
      </c>
      <c r="AD38" s="147">
        <v>28</v>
      </c>
      <c r="AE38" s="147">
        <v>29</v>
      </c>
      <c r="AF38" s="147">
        <v>30</v>
      </c>
      <c r="AG38" s="147">
        <v>31</v>
      </c>
      <c r="AH38" s="146" t="s">
        <v>72</v>
      </c>
      <c r="AI38" s="2266" t="s">
        <v>1345</v>
      </c>
      <c r="AJ38" s="66">
        <f>(B51/COUNTIF($C$39:$AG$50,"&gt;0"))</f>
        <v>24.763263300970884</v>
      </c>
      <c r="AL38" s="2267" t="s">
        <v>1384</v>
      </c>
      <c r="AP38" s="146" t="s">
        <v>70</v>
      </c>
      <c r="AQ38" s="158" t="s">
        <v>71</v>
      </c>
      <c r="AR38" s="146">
        <v>1</v>
      </c>
      <c r="AS38" s="147">
        <v>2</v>
      </c>
      <c r="AT38" s="147">
        <v>3</v>
      </c>
      <c r="AU38" s="147">
        <v>4</v>
      </c>
      <c r="AV38" s="147">
        <v>5</v>
      </c>
      <c r="AW38" s="147">
        <v>6</v>
      </c>
      <c r="AX38" s="147">
        <v>7</v>
      </c>
      <c r="AY38" s="147">
        <v>8</v>
      </c>
      <c r="AZ38" s="147">
        <v>9</v>
      </c>
      <c r="BA38" s="147">
        <v>10</v>
      </c>
      <c r="BB38" s="147">
        <v>11</v>
      </c>
      <c r="BC38" s="147">
        <v>12</v>
      </c>
      <c r="BD38" s="147">
        <v>13</v>
      </c>
      <c r="BE38" s="147">
        <v>14</v>
      </c>
      <c r="BF38" s="147">
        <v>15</v>
      </c>
      <c r="BG38" s="147">
        <v>16</v>
      </c>
      <c r="BH38" s="147">
        <v>17</v>
      </c>
      <c r="BI38" s="147">
        <v>18</v>
      </c>
      <c r="BJ38" s="147">
        <v>19</v>
      </c>
      <c r="BK38" s="147">
        <v>20</v>
      </c>
      <c r="BL38" s="147">
        <v>21</v>
      </c>
      <c r="BM38" s="147">
        <v>22</v>
      </c>
      <c r="BN38" s="147">
        <v>23</v>
      </c>
      <c r="BO38" s="147">
        <v>24</v>
      </c>
      <c r="BP38" s="147">
        <v>25</v>
      </c>
      <c r="BQ38" s="147">
        <v>26</v>
      </c>
      <c r="BR38" s="147">
        <v>27</v>
      </c>
      <c r="BS38" s="147">
        <v>28</v>
      </c>
      <c r="BT38" s="147">
        <v>29</v>
      </c>
      <c r="BU38" s="147">
        <v>30</v>
      </c>
      <c r="BV38" s="147">
        <v>31</v>
      </c>
      <c r="BW38" s="146" t="s">
        <v>72</v>
      </c>
      <c r="BX38" s="2266" t="s">
        <v>1345</v>
      </c>
      <c r="BY38" s="66">
        <f>(AQ51/COUNTIF($AR$39:$BV$50,"&gt;0"))</f>
        <v>25.071309090909086</v>
      </c>
    </row>
    <row r="39" spans="1:77" ht="13.8">
      <c r="A39" s="1728" t="s">
        <v>73</v>
      </c>
      <c r="B39" s="2055">
        <f t="shared" ref="B39:B50" si="4">+AH39</f>
        <v>1586.7041200000001</v>
      </c>
      <c r="C39" s="2228">
        <v>0</v>
      </c>
      <c r="D39" s="2228">
        <v>0</v>
      </c>
      <c r="E39" s="2229">
        <v>0</v>
      </c>
      <c r="F39" s="2229">
        <v>0</v>
      </c>
      <c r="G39" s="2229">
        <v>0</v>
      </c>
      <c r="H39" s="2229">
        <v>0</v>
      </c>
      <c r="I39" s="2229">
        <v>0</v>
      </c>
      <c r="J39" s="2229">
        <v>65.935000000000002</v>
      </c>
      <c r="K39" s="2229">
        <v>357.81299999999999</v>
      </c>
      <c r="L39" s="2229">
        <v>178.61500000000001</v>
      </c>
      <c r="M39" s="2229">
        <v>0</v>
      </c>
      <c r="N39" s="2229">
        <v>121.04899999999999</v>
      </c>
      <c r="O39" s="2229">
        <v>288.31</v>
      </c>
      <c r="P39" s="2229">
        <v>354.01599999999996</v>
      </c>
      <c r="Q39" s="2229">
        <v>0</v>
      </c>
      <c r="R39" s="2229">
        <v>9.8031199999999998</v>
      </c>
      <c r="S39" s="2229">
        <v>0</v>
      </c>
      <c r="T39" s="2229">
        <v>0</v>
      </c>
      <c r="U39" s="2229">
        <v>0</v>
      </c>
      <c r="V39" s="2229">
        <v>3.1E-2</v>
      </c>
      <c r="W39" s="2229">
        <v>4.8000000000000001E-2</v>
      </c>
      <c r="X39" s="2229">
        <v>2.5999999999999999E-2</v>
      </c>
      <c r="Y39" s="2229">
        <v>2.5000000000000001E-2</v>
      </c>
      <c r="Z39" s="2229">
        <v>0</v>
      </c>
      <c r="AA39" s="2230">
        <v>21.88</v>
      </c>
      <c r="AB39" s="378">
        <v>157.22800000000001</v>
      </c>
      <c r="AC39" s="378">
        <v>24.391999999999999</v>
      </c>
      <c r="AD39" s="378">
        <v>3.3000000000000002E-2</v>
      </c>
      <c r="AE39" s="378">
        <v>7.4319999999999995</v>
      </c>
      <c r="AF39" s="378">
        <v>0</v>
      </c>
      <c r="AG39" s="378">
        <v>6.8000000000000005E-2</v>
      </c>
      <c r="AH39" s="865">
        <f>SUM(C39:AG39)</f>
        <v>1586.7041200000001</v>
      </c>
      <c r="AJ39" s="137">
        <f>+'Res. Global'!J38</f>
        <v>179.46187999999893</v>
      </c>
      <c r="AL39" s="3304">
        <f>+AH39+AQ39</f>
        <v>1586.7041200000001</v>
      </c>
      <c r="AM39" s="3305"/>
      <c r="AN39" s="3305"/>
      <c r="AO39" s="3306"/>
      <c r="AP39" s="1728" t="s">
        <v>73</v>
      </c>
      <c r="AQ39" s="2055">
        <f t="shared" ref="AQ39:AQ50" si="5">+BW39</f>
        <v>0</v>
      </c>
      <c r="AR39" s="2228"/>
      <c r="AS39" s="2228"/>
      <c r="AT39" s="2229"/>
      <c r="AU39" s="2229"/>
      <c r="AV39" s="2229"/>
      <c r="AW39" s="2229"/>
      <c r="AX39" s="2229"/>
      <c r="AY39" s="2229"/>
      <c r="AZ39" s="2229"/>
      <c r="BA39" s="2229"/>
      <c r="BB39" s="2229"/>
      <c r="BC39" s="2229"/>
      <c r="BD39" s="2229"/>
      <c r="BE39" s="2229"/>
      <c r="BF39" s="2229"/>
      <c r="BG39" s="2229"/>
      <c r="BH39" s="2229"/>
      <c r="BI39" s="2229"/>
      <c r="BJ39" s="2229"/>
      <c r="BK39" s="2229"/>
      <c r="BL39" s="2229"/>
      <c r="BM39" s="2229"/>
      <c r="BN39" s="2229"/>
      <c r="BO39" s="2229"/>
      <c r="BP39" s="2230"/>
      <c r="BQ39" s="378"/>
      <c r="BR39" s="378"/>
      <c r="BS39" s="378"/>
      <c r="BT39" s="378"/>
      <c r="BU39" s="378"/>
      <c r="BV39" s="378"/>
      <c r="BW39" s="865">
        <f>SUM(AR39:BV39)</f>
        <v>0</v>
      </c>
      <c r="BX39" s="2267"/>
      <c r="BY39" s="2267"/>
    </row>
    <row r="40" spans="1:77" ht="12">
      <c r="A40" s="1728" t="s">
        <v>74</v>
      </c>
      <c r="B40" s="2055">
        <f t="shared" si="4"/>
        <v>194.26900000000001</v>
      </c>
      <c r="C40" s="776">
        <v>0.02</v>
      </c>
      <c r="D40" s="776">
        <v>1.4999999999999999E-2</v>
      </c>
      <c r="E40" s="378">
        <v>0</v>
      </c>
      <c r="F40" s="378">
        <v>7.3599999999999994</v>
      </c>
      <c r="G40" s="378">
        <v>11.37</v>
      </c>
      <c r="H40" s="378">
        <v>19.972999999999999</v>
      </c>
      <c r="I40" s="378">
        <v>0.107</v>
      </c>
      <c r="J40" s="378">
        <v>0</v>
      </c>
      <c r="K40" s="378">
        <v>1.6659999999999999</v>
      </c>
      <c r="L40" s="378">
        <v>0</v>
      </c>
      <c r="M40" s="378">
        <v>0</v>
      </c>
      <c r="N40" s="378">
        <v>0</v>
      </c>
      <c r="O40" s="378">
        <v>17.580000000000002</v>
      </c>
      <c r="P40" s="378">
        <v>0</v>
      </c>
      <c r="Q40" s="378">
        <v>0</v>
      </c>
      <c r="R40" s="378">
        <v>0</v>
      </c>
      <c r="S40" s="378">
        <v>0.01</v>
      </c>
      <c r="T40" s="378">
        <v>0</v>
      </c>
      <c r="U40" s="378">
        <v>64.933999999999997</v>
      </c>
      <c r="V40" s="378">
        <v>0</v>
      </c>
      <c r="W40" s="378">
        <v>10.407</v>
      </c>
      <c r="X40" s="378">
        <v>2.9590000000000001</v>
      </c>
      <c r="Y40" s="378">
        <v>0</v>
      </c>
      <c r="Z40" s="378">
        <v>31.72</v>
      </c>
      <c r="AA40" s="2230">
        <v>0</v>
      </c>
      <c r="AB40" s="378">
        <v>0</v>
      </c>
      <c r="AC40" s="378">
        <v>0</v>
      </c>
      <c r="AD40" s="378">
        <v>26.148</v>
      </c>
      <c r="AE40" s="378">
        <v>0</v>
      </c>
      <c r="AF40" s="378">
        <v>0</v>
      </c>
      <c r="AG40" s="378">
        <v>0</v>
      </c>
      <c r="AH40" s="865">
        <f t="shared" ref="AH40:AH50" si="6">SUM(C40:AG40)</f>
        <v>194.26900000000001</v>
      </c>
      <c r="AJ40" s="3217">
        <f>+AJ39/AJ38</f>
        <v>7.2471013944661662</v>
      </c>
      <c r="AL40" s="3307">
        <f t="shared" ref="AL40:AL50" si="7">+AH40+AQ40</f>
        <v>194.26900000000001</v>
      </c>
      <c r="AM40" s="3308"/>
      <c r="AN40" s="3308"/>
      <c r="AO40" s="3309"/>
      <c r="AP40" s="1728" t="s">
        <v>74</v>
      </c>
      <c r="AQ40" s="2055">
        <f t="shared" si="5"/>
        <v>0</v>
      </c>
      <c r="AR40" s="776"/>
      <c r="AS40" s="776"/>
      <c r="AT40" s="378"/>
      <c r="AU40" s="378"/>
      <c r="AV40" s="378"/>
      <c r="AW40" s="378"/>
      <c r="AX40" s="378"/>
      <c r="AY40" s="378"/>
      <c r="AZ40" s="378"/>
      <c r="BA40" s="378"/>
      <c r="BB40" s="378"/>
      <c r="BC40" s="378"/>
      <c r="BD40" s="378"/>
      <c r="BE40" s="378"/>
      <c r="BF40" s="378"/>
      <c r="BG40" s="378"/>
      <c r="BH40" s="378"/>
      <c r="BI40" s="378"/>
      <c r="BJ40" s="378"/>
      <c r="BK40" s="378"/>
      <c r="BL40" s="378"/>
      <c r="BM40" s="378"/>
      <c r="BN40" s="378"/>
      <c r="BO40" s="378"/>
      <c r="BP40" s="2230"/>
      <c r="BQ40" s="378"/>
      <c r="BR40" s="378"/>
      <c r="BS40" s="378"/>
      <c r="BT40" s="378"/>
      <c r="BU40" s="378"/>
      <c r="BV40" s="378"/>
      <c r="BW40" s="865">
        <f t="shared" ref="BW40:BW48" si="8">SUM(AR40:BV40)</f>
        <v>0</v>
      </c>
      <c r="BX40" s="2267"/>
      <c r="BY40" s="2267"/>
    </row>
    <row r="41" spans="1:77" ht="12">
      <c r="A41" s="1728" t="s">
        <v>75</v>
      </c>
      <c r="B41" s="2055">
        <f t="shared" si="4"/>
        <v>638.39200000000005</v>
      </c>
      <c r="C41" s="776">
        <v>99.50800000000001</v>
      </c>
      <c r="D41" s="776">
        <v>8.9260000000000002</v>
      </c>
      <c r="E41" s="378">
        <v>49.366999999999997</v>
      </c>
      <c r="F41" s="378">
        <v>0</v>
      </c>
      <c r="G41" s="378">
        <v>62.828999999999994</v>
      </c>
      <c r="H41" s="378">
        <v>67.449999999999989</v>
      </c>
      <c r="I41" s="378">
        <v>49.716000000000001</v>
      </c>
      <c r="J41" s="378">
        <v>106.798</v>
      </c>
      <c r="K41" s="378">
        <v>53.905000000000001</v>
      </c>
      <c r="L41" s="378">
        <v>47.388999999999996</v>
      </c>
      <c r="M41" s="378">
        <v>4.3040000000000003</v>
      </c>
      <c r="N41" s="378">
        <v>1.419</v>
      </c>
      <c r="O41" s="378">
        <v>0.03</v>
      </c>
      <c r="P41" s="378">
        <v>4.59</v>
      </c>
      <c r="Q41" s="378">
        <v>0</v>
      </c>
      <c r="R41" s="378">
        <v>0.2</v>
      </c>
      <c r="S41" s="378">
        <v>0.155</v>
      </c>
      <c r="T41" s="378">
        <v>8.9760000000000009</v>
      </c>
      <c r="U41" s="378">
        <v>0</v>
      </c>
      <c r="V41" s="378">
        <v>6.8550000000000004</v>
      </c>
      <c r="W41" s="378">
        <v>0.5</v>
      </c>
      <c r="X41" s="378">
        <v>0</v>
      </c>
      <c r="Y41" s="378">
        <v>0</v>
      </c>
      <c r="Z41" s="378">
        <v>0.32500000000000001</v>
      </c>
      <c r="AA41" s="378">
        <v>0</v>
      </c>
      <c r="AB41" s="378">
        <v>6.0250000000000004</v>
      </c>
      <c r="AC41" s="378">
        <v>31.950000000000003</v>
      </c>
      <c r="AD41" s="378">
        <v>26.515000000000001</v>
      </c>
      <c r="AE41" s="378">
        <v>0</v>
      </c>
      <c r="AF41" s="378">
        <v>0.25</v>
      </c>
      <c r="AG41" s="378">
        <v>0.41000000000000003</v>
      </c>
      <c r="AH41" s="865">
        <f t="shared" si="6"/>
        <v>638.39200000000005</v>
      </c>
      <c r="AL41" s="3307">
        <f t="shared" si="7"/>
        <v>638.39200000000005</v>
      </c>
      <c r="AM41" s="3308"/>
      <c r="AN41" s="3308"/>
      <c r="AO41" s="3309"/>
      <c r="AP41" s="1728" t="s">
        <v>75</v>
      </c>
      <c r="AQ41" s="2055">
        <f t="shared" si="5"/>
        <v>0</v>
      </c>
      <c r="AR41" s="776"/>
      <c r="AS41" s="776"/>
      <c r="AT41" s="378"/>
      <c r="AU41" s="378"/>
      <c r="AV41" s="378"/>
      <c r="AW41" s="378"/>
      <c r="AX41" s="378"/>
      <c r="AY41" s="378"/>
      <c r="AZ41" s="378"/>
      <c r="BA41" s="378"/>
      <c r="BB41" s="378"/>
      <c r="BC41" s="378"/>
      <c r="BD41" s="378"/>
      <c r="BE41" s="378"/>
      <c r="BF41" s="378"/>
      <c r="BG41" s="378"/>
      <c r="BH41" s="378"/>
      <c r="BI41" s="378"/>
      <c r="BJ41" s="378"/>
      <c r="BK41" s="378"/>
      <c r="BL41" s="378"/>
      <c r="BM41" s="378"/>
      <c r="BN41" s="378"/>
      <c r="BO41" s="378"/>
      <c r="BP41" s="378"/>
      <c r="BQ41" s="378"/>
      <c r="BR41" s="378"/>
      <c r="BS41" s="378"/>
      <c r="BT41" s="378"/>
      <c r="BU41" s="378"/>
      <c r="BV41" s="378"/>
      <c r="BW41" s="865">
        <f t="shared" si="8"/>
        <v>0</v>
      </c>
      <c r="BX41" s="2267"/>
      <c r="BY41" s="2267"/>
    </row>
    <row r="42" spans="1:77" ht="12">
      <c r="A42" s="1728" t="s">
        <v>76</v>
      </c>
      <c r="B42" s="2055">
        <f t="shared" si="4"/>
        <v>24.068000000000001</v>
      </c>
      <c r="C42" s="776">
        <v>10.89</v>
      </c>
      <c r="D42" s="776">
        <v>0.29700000000000004</v>
      </c>
      <c r="E42" s="378">
        <v>0</v>
      </c>
      <c r="F42" s="378">
        <v>0.11</v>
      </c>
      <c r="G42" s="378">
        <v>0</v>
      </c>
      <c r="H42" s="378">
        <v>0</v>
      </c>
      <c r="I42" s="378">
        <v>0</v>
      </c>
      <c r="J42" s="378">
        <v>0</v>
      </c>
      <c r="K42" s="378">
        <v>0.02</v>
      </c>
      <c r="L42" s="378">
        <v>0</v>
      </c>
      <c r="M42" s="378">
        <v>0.1</v>
      </c>
      <c r="N42" s="378">
        <v>0</v>
      </c>
      <c r="O42" s="378">
        <v>0</v>
      </c>
      <c r="P42" s="378">
        <v>4.83</v>
      </c>
      <c r="Q42" s="378">
        <v>4.6050000000000004</v>
      </c>
      <c r="R42" s="378">
        <v>0</v>
      </c>
      <c r="S42" s="378">
        <v>0.03</v>
      </c>
      <c r="T42" s="378">
        <v>0.04</v>
      </c>
      <c r="U42" s="378">
        <v>0.1</v>
      </c>
      <c r="V42" s="378">
        <v>0.3</v>
      </c>
      <c r="W42" s="378">
        <v>0.185</v>
      </c>
      <c r="X42" s="378">
        <v>0</v>
      </c>
      <c r="Y42" s="378">
        <v>0</v>
      </c>
      <c r="Z42" s="378">
        <v>0.02</v>
      </c>
      <c r="AA42" s="378">
        <v>1.524</v>
      </c>
      <c r="AB42" s="378">
        <v>0</v>
      </c>
      <c r="AC42" s="378">
        <v>0</v>
      </c>
      <c r="AD42" s="378">
        <v>1</v>
      </c>
      <c r="AE42" s="378">
        <v>0</v>
      </c>
      <c r="AF42" s="378">
        <v>0</v>
      </c>
      <c r="AG42" s="378">
        <v>1.7000000000000001E-2</v>
      </c>
      <c r="AH42" s="865">
        <f t="shared" si="6"/>
        <v>24.068000000000001</v>
      </c>
      <c r="AL42" s="3307">
        <f t="shared" si="7"/>
        <v>24.068000000000001</v>
      </c>
      <c r="AM42" s="3308"/>
      <c r="AN42" s="3308"/>
      <c r="AO42" s="3309"/>
      <c r="AP42" s="1728" t="s">
        <v>76</v>
      </c>
      <c r="AQ42" s="2055">
        <f t="shared" si="5"/>
        <v>0</v>
      </c>
      <c r="AR42" s="776"/>
      <c r="AS42" s="776"/>
      <c r="AT42" s="378"/>
      <c r="AU42" s="378"/>
      <c r="AV42" s="378"/>
      <c r="AW42" s="378"/>
      <c r="AX42" s="378"/>
      <c r="AY42" s="378"/>
      <c r="AZ42" s="378"/>
      <c r="BA42" s="378"/>
      <c r="BB42" s="378"/>
      <c r="BC42" s="378"/>
      <c r="BD42" s="378"/>
      <c r="BE42" s="378"/>
      <c r="BF42" s="378"/>
      <c r="BG42" s="378"/>
      <c r="BH42" s="378"/>
      <c r="BI42" s="378"/>
      <c r="BJ42" s="378"/>
      <c r="BK42" s="378"/>
      <c r="BL42" s="378"/>
      <c r="BM42" s="378"/>
      <c r="BN42" s="378"/>
      <c r="BO42" s="378"/>
      <c r="BP42" s="378"/>
      <c r="BQ42" s="378"/>
      <c r="BR42" s="378"/>
      <c r="BS42" s="378"/>
      <c r="BT42" s="378"/>
      <c r="BU42" s="378"/>
      <c r="BV42" s="378"/>
      <c r="BW42" s="865">
        <f t="shared" si="8"/>
        <v>0</v>
      </c>
      <c r="BX42" s="2267"/>
      <c r="BY42" s="2267"/>
    </row>
    <row r="43" spans="1:77" ht="12">
      <c r="A43" s="1728" t="s">
        <v>77</v>
      </c>
      <c r="B43" s="2055">
        <f t="shared" si="4"/>
        <v>34.510000000000005</v>
      </c>
      <c r="C43" s="776">
        <v>1.7000000000000001E-2</v>
      </c>
      <c r="D43" s="776">
        <v>0</v>
      </c>
      <c r="E43" s="378">
        <v>0.05</v>
      </c>
      <c r="F43" s="378">
        <v>0.15</v>
      </c>
      <c r="G43" s="378">
        <v>7.9000000000000001E-2</v>
      </c>
      <c r="H43" s="378">
        <v>0.2</v>
      </c>
      <c r="I43" s="378">
        <v>1.4999999999999999E-2</v>
      </c>
      <c r="J43" s="378">
        <v>2.64</v>
      </c>
      <c r="K43" s="378">
        <v>4.21</v>
      </c>
      <c r="L43" s="378">
        <v>0</v>
      </c>
      <c r="M43" s="378">
        <v>0</v>
      </c>
      <c r="N43" s="378">
        <v>0.32</v>
      </c>
      <c r="O43" s="378">
        <v>0</v>
      </c>
      <c r="P43" s="378">
        <v>0</v>
      </c>
      <c r="Q43" s="378">
        <v>0</v>
      </c>
      <c r="R43" s="378">
        <v>0</v>
      </c>
      <c r="S43" s="378">
        <v>0</v>
      </c>
      <c r="T43" s="378">
        <v>0</v>
      </c>
      <c r="U43" s="378">
        <v>0.38</v>
      </c>
      <c r="V43" s="378">
        <v>0</v>
      </c>
      <c r="W43" s="378">
        <v>0</v>
      </c>
      <c r="X43" s="378">
        <v>0</v>
      </c>
      <c r="Y43" s="378">
        <v>0</v>
      </c>
      <c r="Z43" s="378">
        <v>0</v>
      </c>
      <c r="AA43" s="378">
        <v>0</v>
      </c>
      <c r="AB43" s="378">
        <v>0.3</v>
      </c>
      <c r="AC43" s="378">
        <v>0</v>
      </c>
      <c r="AD43" s="378">
        <v>10.746</v>
      </c>
      <c r="AE43" s="378">
        <v>15.403</v>
      </c>
      <c r="AF43" s="378">
        <v>0</v>
      </c>
      <c r="AG43" s="378">
        <v>0</v>
      </c>
      <c r="AH43" s="865">
        <f t="shared" si="6"/>
        <v>34.510000000000005</v>
      </c>
      <c r="AL43" s="3307">
        <f t="shared" si="7"/>
        <v>34.510000000000005</v>
      </c>
      <c r="AM43" s="3308"/>
      <c r="AN43" s="3308"/>
      <c r="AO43" s="3309"/>
      <c r="AP43" s="1728" t="s">
        <v>77</v>
      </c>
      <c r="AQ43" s="2055">
        <f t="shared" si="5"/>
        <v>0</v>
      </c>
      <c r="AR43" s="776"/>
      <c r="AS43" s="776"/>
      <c r="AT43" s="378"/>
      <c r="AU43" s="378"/>
      <c r="AV43" s="378"/>
      <c r="AW43" s="378"/>
      <c r="AX43" s="378"/>
      <c r="AY43" s="378"/>
      <c r="AZ43" s="378"/>
      <c r="BA43" s="378"/>
      <c r="BB43" s="378"/>
      <c r="BC43" s="378"/>
      <c r="BD43" s="378"/>
      <c r="BE43" s="378"/>
      <c r="BF43" s="378"/>
      <c r="BG43" s="378"/>
      <c r="BH43" s="378"/>
      <c r="BI43" s="378"/>
      <c r="BJ43" s="378"/>
      <c r="BK43" s="378"/>
      <c r="BL43" s="378"/>
      <c r="BM43" s="378"/>
      <c r="BN43" s="378"/>
      <c r="BO43" s="378"/>
      <c r="BP43" s="378"/>
      <c r="BQ43" s="378"/>
      <c r="BR43" s="378"/>
      <c r="BS43" s="378"/>
      <c r="BT43" s="378"/>
      <c r="BU43" s="378"/>
      <c r="BV43" s="378"/>
      <c r="BW43" s="865">
        <f t="shared" si="8"/>
        <v>0</v>
      </c>
      <c r="BX43" s="2267"/>
      <c r="BY43" s="2267"/>
    </row>
    <row r="44" spans="1:77" ht="12">
      <c r="A44" s="1728" t="s">
        <v>78</v>
      </c>
      <c r="B44" s="2055">
        <f t="shared" si="4"/>
        <v>55.171999999999997</v>
      </c>
      <c r="C44" s="776">
        <v>0</v>
      </c>
      <c r="D44" s="776">
        <v>30.009000000000004</v>
      </c>
      <c r="E44" s="776">
        <v>3.7240000000000002</v>
      </c>
      <c r="F44" s="776">
        <v>0.48</v>
      </c>
      <c r="G44" s="776">
        <v>0</v>
      </c>
      <c r="H44" s="776">
        <v>1.4999999999999999E-2</v>
      </c>
      <c r="I44" s="776">
        <v>0</v>
      </c>
      <c r="J44" s="776">
        <v>0</v>
      </c>
      <c r="K44" s="776">
        <v>0</v>
      </c>
      <c r="L44" s="776">
        <v>0</v>
      </c>
      <c r="M44" s="776">
        <v>0</v>
      </c>
      <c r="N44" s="776">
        <v>0</v>
      </c>
      <c r="O44" s="776">
        <v>0</v>
      </c>
      <c r="P44" s="776">
        <v>0</v>
      </c>
      <c r="Q44" s="776">
        <v>0</v>
      </c>
      <c r="R44" s="776">
        <v>0</v>
      </c>
      <c r="S44" s="776">
        <v>2</v>
      </c>
      <c r="T44" s="776">
        <v>0.21</v>
      </c>
      <c r="U44" s="776">
        <v>0</v>
      </c>
      <c r="V44" s="776">
        <v>0</v>
      </c>
      <c r="W44" s="776">
        <v>0</v>
      </c>
      <c r="X44" s="776">
        <v>0.48</v>
      </c>
      <c r="Y44" s="776">
        <v>0</v>
      </c>
      <c r="Z44" s="776">
        <v>0.09</v>
      </c>
      <c r="AA44" s="776">
        <v>0</v>
      </c>
      <c r="AB44" s="776">
        <v>1.468</v>
      </c>
      <c r="AC44" s="776">
        <v>16.666</v>
      </c>
      <c r="AD44" s="776">
        <v>0</v>
      </c>
      <c r="AE44" s="776">
        <v>0</v>
      </c>
      <c r="AF44" s="776">
        <v>0</v>
      </c>
      <c r="AG44" s="776">
        <v>0.03</v>
      </c>
      <c r="AH44" s="865">
        <f t="shared" si="6"/>
        <v>55.171999999999997</v>
      </c>
      <c r="AL44" s="3307">
        <f t="shared" si="7"/>
        <v>55.171999999999997</v>
      </c>
      <c r="AM44" s="3308"/>
      <c r="AN44" s="3308"/>
      <c r="AO44" s="3309"/>
      <c r="AP44" s="1728" t="s">
        <v>78</v>
      </c>
      <c r="AQ44" s="2055">
        <f t="shared" si="5"/>
        <v>0</v>
      </c>
      <c r="AR44" s="776"/>
      <c r="AS44" s="776"/>
      <c r="AT44" s="776"/>
      <c r="AU44" s="776"/>
      <c r="AV44" s="776"/>
      <c r="AW44" s="776"/>
      <c r="AX44" s="776"/>
      <c r="AY44" s="776"/>
      <c r="AZ44" s="776"/>
      <c r="BA44" s="776"/>
      <c r="BB44" s="776"/>
      <c r="BC44" s="776"/>
      <c r="BD44" s="776"/>
      <c r="BE44" s="776"/>
      <c r="BF44" s="776"/>
      <c r="BG44" s="776"/>
      <c r="BH44" s="776"/>
      <c r="BI44" s="776"/>
      <c r="BJ44" s="776"/>
      <c r="BK44" s="776"/>
      <c r="BL44" s="776"/>
      <c r="BM44" s="776"/>
      <c r="BN44" s="776"/>
      <c r="BO44" s="776"/>
      <c r="BP44" s="776"/>
      <c r="BQ44" s="776"/>
      <c r="BR44" s="776"/>
      <c r="BS44" s="776"/>
      <c r="BT44" s="776"/>
      <c r="BU44" s="776"/>
      <c r="BV44" s="776"/>
      <c r="BW44" s="865">
        <f t="shared" si="8"/>
        <v>0</v>
      </c>
      <c r="BX44" s="2267"/>
      <c r="BY44" s="2267"/>
    </row>
    <row r="45" spans="1:77" ht="15">
      <c r="A45" s="1728" t="s">
        <v>79</v>
      </c>
      <c r="B45" s="2055">
        <f t="shared" si="4"/>
        <v>17.500999999999998</v>
      </c>
      <c r="C45" s="776">
        <v>0.03</v>
      </c>
      <c r="D45" s="776">
        <v>0</v>
      </c>
      <c r="E45" s="776">
        <v>0</v>
      </c>
      <c r="F45" s="776">
        <v>8.8699999999999992</v>
      </c>
      <c r="G45" s="776">
        <v>0</v>
      </c>
      <c r="H45" s="776">
        <v>0</v>
      </c>
      <c r="I45" s="776">
        <v>1.18</v>
      </c>
      <c r="J45" s="776">
        <v>2.31</v>
      </c>
      <c r="K45" s="776">
        <v>3.6859999999999999</v>
      </c>
      <c r="L45" s="776">
        <v>0.95</v>
      </c>
      <c r="M45" s="776">
        <v>0</v>
      </c>
      <c r="N45" s="776">
        <v>0.15</v>
      </c>
      <c r="O45" s="776">
        <v>0</v>
      </c>
      <c r="P45" s="776">
        <v>0.32500000000000001</v>
      </c>
      <c r="Q45" s="776">
        <v>0</v>
      </c>
      <c r="R45" s="776">
        <v>0</v>
      </c>
      <c r="S45" s="776">
        <v>0</v>
      </c>
      <c r="T45" s="776">
        <v>0</v>
      </c>
      <c r="U45" s="776">
        <v>0</v>
      </c>
      <c r="V45" s="776">
        <v>0</v>
      </c>
      <c r="W45" s="776">
        <v>0</v>
      </c>
      <c r="X45" s="776">
        <v>0</v>
      </c>
      <c r="Y45" s="776">
        <v>0</v>
      </c>
      <c r="Z45" s="776">
        <v>0</v>
      </c>
      <c r="AA45" s="776">
        <v>0</v>
      </c>
      <c r="AB45" s="776">
        <v>0</v>
      </c>
      <c r="AC45" s="776">
        <v>0</v>
      </c>
      <c r="AD45" s="776">
        <v>0</v>
      </c>
      <c r="AE45" s="776">
        <v>0</v>
      </c>
      <c r="AF45" s="776">
        <v>0</v>
      </c>
      <c r="AG45" s="776">
        <v>0</v>
      </c>
      <c r="AH45" s="865">
        <f t="shared" si="6"/>
        <v>17.500999999999998</v>
      </c>
      <c r="AI45" s="3211" t="s">
        <v>1473</v>
      </c>
      <c r="AL45" s="3307">
        <f t="shared" si="7"/>
        <v>47.319000000000003</v>
      </c>
      <c r="AM45" s="3308"/>
      <c r="AN45" s="3308"/>
      <c r="AO45" s="3309"/>
      <c r="AP45" s="1728" t="s">
        <v>79</v>
      </c>
      <c r="AQ45" s="2055">
        <f t="shared" si="5"/>
        <v>29.818000000000001</v>
      </c>
      <c r="AR45" s="776"/>
      <c r="AS45" s="776">
        <v>0</v>
      </c>
      <c r="AT45" s="776">
        <v>0</v>
      </c>
      <c r="AU45" s="776">
        <v>0</v>
      </c>
      <c r="AV45" s="776">
        <v>0</v>
      </c>
      <c r="AW45" s="776">
        <v>0</v>
      </c>
      <c r="AX45" s="776">
        <v>0</v>
      </c>
      <c r="AY45" s="776">
        <v>0</v>
      </c>
      <c r="AZ45" s="776">
        <v>0</v>
      </c>
      <c r="BA45" s="776">
        <v>0</v>
      </c>
      <c r="BB45" s="776">
        <v>0</v>
      </c>
      <c r="BC45" s="776">
        <v>0</v>
      </c>
      <c r="BD45" s="776">
        <v>0</v>
      </c>
      <c r="BE45" s="776">
        <v>0</v>
      </c>
      <c r="BF45" s="776">
        <v>0</v>
      </c>
      <c r="BG45" s="776">
        <v>0</v>
      </c>
      <c r="BH45" s="776">
        <v>0</v>
      </c>
      <c r="BI45" s="776">
        <v>0</v>
      </c>
      <c r="BJ45" s="776">
        <v>0</v>
      </c>
      <c r="BK45" s="776">
        <v>0</v>
      </c>
      <c r="BL45" s="776">
        <v>7.0000000000000007E-2</v>
      </c>
      <c r="BM45" s="776">
        <v>0</v>
      </c>
      <c r="BN45" s="776">
        <v>0</v>
      </c>
      <c r="BO45" s="776">
        <v>0</v>
      </c>
      <c r="BP45" s="776">
        <v>0</v>
      </c>
      <c r="BQ45" s="776">
        <v>0</v>
      </c>
      <c r="BR45" s="776">
        <v>0</v>
      </c>
      <c r="BS45" s="776">
        <v>0</v>
      </c>
      <c r="BT45" s="776">
        <v>21.067</v>
      </c>
      <c r="BU45" s="776">
        <v>5.9249999999999998</v>
      </c>
      <c r="BV45" s="776">
        <v>2.7559999999999998</v>
      </c>
      <c r="BW45" s="865">
        <f t="shared" si="8"/>
        <v>29.818000000000001</v>
      </c>
      <c r="BX45" s="2267"/>
      <c r="BY45" s="2267"/>
    </row>
    <row r="46" spans="1:77" ht="15">
      <c r="A46" s="1728" t="s">
        <v>80</v>
      </c>
      <c r="B46" s="2055">
        <f t="shared" si="4"/>
        <v>0</v>
      </c>
      <c r="C46" s="776"/>
      <c r="D46" s="776"/>
      <c r="E46" s="776"/>
      <c r="F46" s="776"/>
      <c r="G46" s="776"/>
      <c r="H46" s="776"/>
      <c r="I46" s="776"/>
      <c r="J46" s="776"/>
      <c r="K46" s="776"/>
      <c r="L46" s="776"/>
      <c r="M46" s="776"/>
      <c r="N46" s="776"/>
      <c r="O46" s="776"/>
      <c r="P46" s="776"/>
      <c r="Q46" s="776"/>
      <c r="R46" s="776"/>
      <c r="S46" s="776"/>
      <c r="T46" s="776"/>
      <c r="U46" s="776"/>
      <c r="V46" s="776"/>
      <c r="W46" s="776"/>
      <c r="X46" s="776"/>
      <c r="Y46" s="776"/>
      <c r="Z46" s="776"/>
      <c r="AA46" s="776"/>
      <c r="AB46" s="776"/>
      <c r="AC46" s="776"/>
      <c r="AD46" s="776"/>
      <c r="AE46" s="776"/>
      <c r="AF46" s="776"/>
      <c r="AG46" s="776"/>
      <c r="AH46" s="865">
        <f t="shared" si="6"/>
        <v>0</v>
      </c>
      <c r="AI46" s="3211" t="s">
        <v>1485</v>
      </c>
      <c r="AL46" s="3310">
        <f t="shared" si="7"/>
        <v>563.22699999999998</v>
      </c>
      <c r="AM46" s="3308"/>
      <c r="AN46" s="3308"/>
      <c r="AO46" s="3309"/>
      <c r="AP46" s="1728" t="s">
        <v>80</v>
      </c>
      <c r="AQ46" s="2055">
        <f t="shared" si="5"/>
        <v>563.22699999999998</v>
      </c>
      <c r="AR46" s="776">
        <v>3.4039999999999999</v>
      </c>
      <c r="AS46" s="776">
        <v>0</v>
      </c>
      <c r="AT46" s="776">
        <v>0</v>
      </c>
      <c r="AU46" s="776">
        <v>6.9930000000000003</v>
      </c>
      <c r="AV46" s="776">
        <v>15.744999999999999</v>
      </c>
      <c r="AW46" s="776">
        <v>14.263999999999999</v>
      </c>
      <c r="AX46" s="776">
        <v>0</v>
      </c>
      <c r="AY46" s="776">
        <v>14.620999999999999</v>
      </c>
      <c r="AZ46" s="776">
        <v>6.0540000000000003</v>
      </c>
      <c r="BA46" s="776">
        <v>72.08</v>
      </c>
      <c r="BB46" s="776">
        <v>0</v>
      </c>
      <c r="BC46" s="776">
        <v>11.110999999999999</v>
      </c>
      <c r="BD46" s="776">
        <v>0</v>
      </c>
      <c r="BE46" s="776">
        <v>0</v>
      </c>
      <c r="BF46" s="776">
        <v>0</v>
      </c>
      <c r="BG46" s="776">
        <v>0</v>
      </c>
      <c r="BH46" s="776">
        <v>0</v>
      </c>
      <c r="BI46" s="776">
        <v>1.4999999999999999E-2</v>
      </c>
      <c r="BJ46" s="776">
        <v>0</v>
      </c>
      <c r="BK46" s="776">
        <v>8.1940000000000008</v>
      </c>
      <c r="BL46" s="776">
        <v>76.653000000000006</v>
      </c>
      <c r="BM46" s="776">
        <v>23.849999999999998</v>
      </c>
      <c r="BN46" s="776">
        <v>53.199000000000012</v>
      </c>
      <c r="BO46" s="776">
        <v>1.643</v>
      </c>
      <c r="BP46" s="776">
        <v>0</v>
      </c>
      <c r="BQ46" s="776">
        <v>0</v>
      </c>
      <c r="BR46" s="776">
        <v>75.659000000000006</v>
      </c>
      <c r="BS46" s="776">
        <v>81.134</v>
      </c>
      <c r="BT46" s="776">
        <v>43.728999999999999</v>
      </c>
      <c r="BU46" s="776">
        <v>37.897000000000006</v>
      </c>
      <c r="BV46" s="776">
        <v>16.981999999999999</v>
      </c>
      <c r="BW46" s="865">
        <f t="shared" si="8"/>
        <v>563.22699999999998</v>
      </c>
      <c r="BX46" s="2267"/>
      <c r="BY46" s="2267"/>
    </row>
    <row r="47" spans="1:77" ht="12">
      <c r="A47" s="1728" t="s">
        <v>81</v>
      </c>
      <c r="B47" s="2055">
        <f t="shared" si="4"/>
        <v>0</v>
      </c>
      <c r="C47" s="776"/>
      <c r="D47" s="776"/>
      <c r="E47" s="776"/>
      <c r="F47" s="776"/>
      <c r="G47" s="776"/>
      <c r="H47" s="776"/>
      <c r="I47" s="776"/>
      <c r="J47" s="776"/>
      <c r="K47" s="776"/>
      <c r="L47" s="776"/>
      <c r="M47" s="776"/>
      <c r="N47" s="776"/>
      <c r="O47" s="776"/>
      <c r="P47" s="776"/>
      <c r="Q47" s="776"/>
      <c r="R47" s="776"/>
      <c r="S47" s="776"/>
      <c r="T47" s="776"/>
      <c r="U47" s="776"/>
      <c r="V47" s="776"/>
      <c r="W47" s="776"/>
      <c r="X47" s="776"/>
      <c r="Y47" s="776"/>
      <c r="Z47" s="776"/>
      <c r="AA47" s="776"/>
      <c r="AB47" s="776"/>
      <c r="AC47" s="776"/>
      <c r="AD47" s="776"/>
      <c r="AE47" s="776"/>
      <c r="AF47" s="776"/>
      <c r="AG47" s="776"/>
      <c r="AH47" s="865">
        <f t="shared" si="6"/>
        <v>0</v>
      </c>
      <c r="AL47" s="3310">
        <f t="shared" si="7"/>
        <v>26.886999999999997</v>
      </c>
      <c r="AM47" s="3308"/>
      <c r="AN47" s="3308"/>
      <c r="AO47" s="3309"/>
      <c r="AP47" s="1728" t="s">
        <v>81</v>
      </c>
      <c r="AQ47" s="2055">
        <f t="shared" si="5"/>
        <v>26.886999999999997</v>
      </c>
      <c r="AR47" s="776">
        <v>0</v>
      </c>
      <c r="AS47" s="776">
        <v>0</v>
      </c>
      <c r="AT47" s="776">
        <v>0</v>
      </c>
      <c r="AU47" s="776">
        <v>16.234999999999999</v>
      </c>
      <c r="AV47" s="776">
        <v>10.59</v>
      </c>
      <c r="AW47" s="776">
        <v>0</v>
      </c>
      <c r="AX47" s="776">
        <v>0</v>
      </c>
      <c r="AY47" s="776">
        <v>0</v>
      </c>
      <c r="AZ47" s="776">
        <v>0</v>
      </c>
      <c r="BA47" s="776">
        <v>0</v>
      </c>
      <c r="BB47" s="776">
        <v>0</v>
      </c>
      <c r="BC47" s="776">
        <v>0</v>
      </c>
      <c r="BD47" s="776">
        <v>0</v>
      </c>
      <c r="BE47" s="776">
        <v>0</v>
      </c>
      <c r="BF47" s="776">
        <v>0</v>
      </c>
      <c r="BG47" s="776">
        <v>0</v>
      </c>
      <c r="BH47" s="776">
        <v>0</v>
      </c>
      <c r="BI47" s="776">
        <v>0</v>
      </c>
      <c r="BJ47" s="776">
        <v>0</v>
      </c>
      <c r="BK47" s="776">
        <v>0</v>
      </c>
      <c r="BL47" s="776">
        <v>0</v>
      </c>
      <c r="BM47" s="776">
        <v>0</v>
      </c>
      <c r="BN47" s="776">
        <v>0</v>
      </c>
      <c r="BO47" s="776">
        <v>0</v>
      </c>
      <c r="BP47" s="776">
        <v>0</v>
      </c>
      <c r="BQ47" s="776">
        <v>0</v>
      </c>
      <c r="BR47" s="776">
        <v>0</v>
      </c>
      <c r="BS47" s="776">
        <v>0</v>
      </c>
      <c r="BT47" s="776">
        <v>0</v>
      </c>
      <c r="BU47" s="776">
        <v>3.6999999999999998E-2</v>
      </c>
      <c r="BV47" s="776">
        <v>2.5000000000000001E-2</v>
      </c>
      <c r="BW47" s="865">
        <f t="shared" si="8"/>
        <v>26.886999999999997</v>
      </c>
      <c r="BX47" s="2267"/>
      <c r="BY47" s="2267"/>
    </row>
    <row r="48" spans="1:77" ht="12">
      <c r="A48" s="1728" t="s">
        <v>82</v>
      </c>
      <c r="B48" s="2055">
        <f t="shared" si="4"/>
        <v>0</v>
      </c>
      <c r="C48" s="600"/>
      <c r="D48" s="776"/>
      <c r="E48" s="776"/>
      <c r="F48" s="776"/>
      <c r="G48" s="776"/>
      <c r="H48" s="776"/>
      <c r="I48" s="776"/>
      <c r="J48" s="776"/>
      <c r="K48" s="776"/>
      <c r="L48" s="776"/>
      <c r="M48" s="776"/>
      <c r="N48" s="776"/>
      <c r="O48" s="776"/>
      <c r="P48" s="776"/>
      <c r="Q48" s="776"/>
      <c r="R48" s="776"/>
      <c r="S48" s="776"/>
      <c r="T48" s="776"/>
      <c r="U48" s="776"/>
      <c r="V48" s="776"/>
      <c r="W48" s="776"/>
      <c r="X48" s="776"/>
      <c r="Y48" s="776"/>
      <c r="Z48" s="776"/>
      <c r="AA48" s="776"/>
      <c r="AB48" s="776"/>
      <c r="AC48" s="776"/>
      <c r="AD48" s="776"/>
      <c r="AE48" s="776"/>
      <c r="AF48" s="776"/>
      <c r="AG48" s="776"/>
      <c r="AH48" s="865">
        <f t="shared" si="6"/>
        <v>0</v>
      </c>
      <c r="AL48" s="3311">
        <f t="shared" si="7"/>
        <v>446.41999999999996</v>
      </c>
      <c r="AM48" s="3312"/>
      <c r="AN48" s="3312"/>
      <c r="AO48" s="3313"/>
      <c r="AP48" s="1728" t="s">
        <v>82</v>
      </c>
      <c r="AQ48" s="2055">
        <f t="shared" si="5"/>
        <v>446.41999999999996</v>
      </c>
      <c r="AR48" s="600">
        <v>12.91</v>
      </c>
      <c r="AS48" s="776">
        <v>4.8000000000000001E-2</v>
      </c>
      <c r="AT48" s="776">
        <v>0</v>
      </c>
      <c r="AU48" s="776">
        <v>0</v>
      </c>
      <c r="AV48" s="776">
        <v>0</v>
      </c>
      <c r="AW48" s="776">
        <v>0</v>
      </c>
      <c r="AX48" s="776">
        <v>0</v>
      </c>
      <c r="AY48" s="776">
        <v>0</v>
      </c>
      <c r="AZ48" s="776">
        <v>0</v>
      </c>
      <c r="BA48" s="776">
        <v>0</v>
      </c>
      <c r="BB48" s="776">
        <v>0</v>
      </c>
      <c r="BC48" s="776">
        <v>0</v>
      </c>
      <c r="BD48" s="776">
        <v>0.03</v>
      </c>
      <c r="BE48" s="776">
        <v>0.03</v>
      </c>
      <c r="BF48" s="776">
        <v>51.376999999999995</v>
      </c>
      <c r="BG48" s="776">
        <v>22.984000000000002</v>
      </c>
      <c r="BH48" s="776">
        <v>7.7249999999999996</v>
      </c>
      <c r="BI48" s="776">
        <v>0</v>
      </c>
      <c r="BJ48" s="776">
        <v>0</v>
      </c>
      <c r="BK48" s="776">
        <v>8.1720000000000006</v>
      </c>
      <c r="BL48" s="776">
        <v>33.154000000000003</v>
      </c>
      <c r="BM48" s="776">
        <v>39.329000000000001</v>
      </c>
      <c r="BN48" s="776">
        <v>43.489000000000004</v>
      </c>
      <c r="BO48" s="776">
        <v>30.220000000000002</v>
      </c>
      <c r="BP48" s="776">
        <v>57.533000000000001</v>
      </c>
      <c r="BQ48" s="776">
        <v>34.225999999999999</v>
      </c>
      <c r="BR48" s="776">
        <v>8.0969999999999995</v>
      </c>
      <c r="BS48" s="776">
        <v>63.576999999999998</v>
      </c>
      <c r="BT48" s="776">
        <v>33.518999999999998</v>
      </c>
      <c r="BU48" s="776">
        <v>0</v>
      </c>
      <c r="BV48" s="776">
        <v>0</v>
      </c>
      <c r="BW48" s="865">
        <f t="shared" si="8"/>
        <v>446.41999999999996</v>
      </c>
      <c r="BX48" s="2267"/>
      <c r="BY48" s="2267"/>
    </row>
    <row r="49" spans="1:77" ht="12">
      <c r="A49" s="1519" t="s">
        <v>83</v>
      </c>
      <c r="B49" s="2055">
        <f t="shared" si="4"/>
        <v>0</v>
      </c>
      <c r="C49" s="776"/>
      <c r="D49" s="600"/>
      <c r="E49" s="600"/>
      <c r="F49" s="600"/>
      <c r="G49" s="600"/>
      <c r="H49" s="600"/>
      <c r="I49" s="600"/>
      <c r="J49" s="600"/>
      <c r="K49" s="600"/>
      <c r="L49" s="600"/>
      <c r="M49" s="600"/>
      <c r="N49" s="600"/>
      <c r="O49" s="600"/>
      <c r="P49" s="600"/>
      <c r="Q49" s="600"/>
      <c r="R49" s="600"/>
      <c r="S49" s="600"/>
      <c r="T49" s="776"/>
      <c r="U49" s="776"/>
      <c r="V49" s="776"/>
      <c r="W49" s="776"/>
      <c r="X49" s="776"/>
      <c r="Y49" s="776"/>
      <c r="Z49" s="776"/>
      <c r="AA49" s="776"/>
      <c r="AB49" s="776"/>
      <c r="AC49" s="776"/>
      <c r="AD49" s="776"/>
      <c r="AE49" s="776"/>
      <c r="AF49" s="776"/>
      <c r="AG49" s="776"/>
      <c r="AH49" s="865">
        <f>SUM(C49:AG49)</f>
        <v>0</v>
      </c>
      <c r="AL49" s="3314">
        <f t="shared" si="7"/>
        <v>312.57</v>
      </c>
      <c r="AM49" s="3315"/>
      <c r="AN49" s="3315"/>
      <c r="AO49" s="3316"/>
      <c r="AP49" s="1519" t="s">
        <v>83</v>
      </c>
      <c r="AQ49" s="2055">
        <f t="shared" si="5"/>
        <v>312.57</v>
      </c>
      <c r="AR49" s="776">
        <v>0</v>
      </c>
      <c r="AS49" s="600">
        <v>0</v>
      </c>
      <c r="AT49" s="600">
        <v>0</v>
      </c>
      <c r="AU49" s="600">
        <v>0</v>
      </c>
      <c r="AV49" s="600">
        <v>0</v>
      </c>
      <c r="AW49" s="600">
        <v>0</v>
      </c>
      <c r="AX49" s="600">
        <v>1.4999999999999999E-2</v>
      </c>
      <c r="AY49" s="600">
        <v>0</v>
      </c>
      <c r="AZ49" s="600">
        <v>0</v>
      </c>
      <c r="BA49" s="600">
        <v>6.0490000000000004</v>
      </c>
      <c r="BB49" s="600">
        <v>11.462999999999999</v>
      </c>
      <c r="BC49" s="600">
        <v>61.067</v>
      </c>
      <c r="BD49" s="600">
        <v>3.3360000000000003</v>
      </c>
      <c r="BE49" s="600">
        <v>11.201000000000001</v>
      </c>
      <c r="BF49" s="600">
        <v>0</v>
      </c>
      <c r="BG49" s="600">
        <v>0</v>
      </c>
      <c r="BH49" s="600">
        <v>0</v>
      </c>
      <c r="BI49" s="776">
        <v>0</v>
      </c>
      <c r="BJ49" s="776">
        <v>0</v>
      </c>
      <c r="BK49" s="776">
        <v>0</v>
      </c>
      <c r="BL49" s="776">
        <v>0</v>
      </c>
      <c r="BM49" s="776">
        <v>0</v>
      </c>
      <c r="BN49" s="776">
        <v>0</v>
      </c>
      <c r="BO49" s="776">
        <v>0</v>
      </c>
      <c r="BP49" s="776">
        <v>3.496</v>
      </c>
      <c r="BQ49" s="776">
        <v>11.623000000000001</v>
      </c>
      <c r="BR49" s="776">
        <v>116.102</v>
      </c>
      <c r="BS49" s="776">
        <v>88.195999999999998</v>
      </c>
      <c r="BT49" s="776">
        <v>0</v>
      </c>
      <c r="BU49" s="776">
        <v>2.1999999999999999E-2</v>
      </c>
      <c r="BV49" s="776">
        <v>0</v>
      </c>
      <c r="BW49" s="865">
        <f>SUM(AR49:BV49)</f>
        <v>312.57</v>
      </c>
      <c r="BX49" s="2267"/>
      <c r="BY49" s="2267"/>
    </row>
    <row r="50" spans="1:77" ht="12">
      <c r="A50" s="1519" t="s">
        <v>84</v>
      </c>
      <c r="B50" s="2055">
        <f t="shared" si="4"/>
        <v>0</v>
      </c>
      <c r="C50" s="776"/>
      <c r="D50" s="776"/>
      <c r="E50" s="776"/>
      <c r="F50" s="776"/>
      <c r="G50" s="776"/>
      <c r="H50" s="776"/>
      <c r="I50" s="776"/>
      <c r="J50" s="776"/>
      <c r="K50" s="776"/>
      <c r="L50" s="776"/>
      <c r="M50" s="776"/>
      <c r="N50" s="776"/>
      <c r="O50" s="776"/>
      <c r="P50" s="776"/>
      <c r="Q50" s="776"/>
      <c r="R50" s="776"/>
      <c r="S50" s="776"/>
      <c r="T50" s="776"/>
      <c r="U50" s="776"/>
      <c r="V50" s="776"/>
      <c r="W50" s="776"/>
      <c r="X50" s="776"/>
      <c r="Y50" s="776"/>
      <c r="Z50" s="776"/>
      <c r="AA50" s="776"/>
      <c r="AB50" s="776"/>
      <c r="AC50" s="776"/>
      <c r="AD50" s="776"/>
      <c r="AE50" s="776"/>
      <c r="AF50" s="776"/>
      <c r="AG50" s="776"/>
      <c r="AH50" s="865">
        <f t="shared" si="6"/>
        <v>0</v>
      </c>
      <c r="AL50" s="3317">
        <f t="shared" si="7"/>
        <v>0</v>
      </c>
      <c r="AM50" s="3318"/>
      <c r="AN50" s="3318"/>
      <c r="AO50" s="3319"/>
      <c r="AP50" s="1519" t="s">
        <v>84</v>
      </c>
      <c r="AQ50" s="2055">
        <f t="shared" si="5"/>
        <v>0</v>
      </c>
      <c r="AR50" s="776"/>
      <c r="AS50" s="776"/>
      <c r="AT50" s="776"/>
      <c r="AU50" s="776"/>
      <c r="AV50" s="776"/>
      <c r="AW50" s="776"/>
      <c r="AX50" s="776"/>
      <c r="AY50" s="776"/>
      <c r="AZ50" s="776"/>
      <c r="BA50" s="776"/>
      <c r="BB50" s="776"/>
      <c r="BC50" s="776"/>
      <c r="BD50" s="776"/>
      <c r="BE50" s="776"/>
      <c r="BF50" s="776"/>
      <c r="BG50" s="776"/>
      <c r="BH50" s="776"/>
      <c r="BI50" s="776"/>
      <c r="BJ50" s="776"/>
      <c r="BK50" s="776"/>
      <c r="BL50" s="776"/>
      <c r="BM50" s="776"/>
      <c r="BN50" s="776"/>
      <c r="BO50" s="776"/>
      <c r="BP50" s="776"/>
      <c r="BQ50" s="776"/>
      <c r="BR50" s="776"/>
      <c r="BS50" s="776"/>
      <c r="BT50" s="776"/>
      <c r="BU50" s="776"/>
      <c r="BV50" s="776"/>
      <c r="BW50" s="865">
        <f t="shared" ref="BW50" si="9">SUM(AR50:BV50)</f>
        <v>0</v>
      </c>
      <c r="BX50" s="2267"/>
      <c r="BY50" s="2267"/>
    </row>
    <row r="51" spans="1:77" ht="12">
      <c r="A51" s="598" t="s">
        <v>72</v>
      </c>
      <c r="B51" s="1115">
        <f>SUM(B39:B50)</f>
        <v>2550.616120000001</v>
      </c>
      <c r="C51" s="1117">
        <f t="shared" ref="C51:AH51" si="10">SUM(C39:C50)</f>
        <v>110.465</v>
      </c>
      <c r="D51" s="1117">
        <f t="shared" si="10"/>
        <v>39.247000000000007</v>
      </c>
      <c r="E51" s="1117">
        <f t="shared" si="10"/>
        <v>53.140999999999991</v>
      </c>
      <c r="F51" s="1117">
        <f t="shared" si="10"/>
        <v>16.97</v>
      </c>
      <c r="G51" s="1117">
        <f t="shared" si="10"/>
        <v>74.277999999999992</v>
      </c>
      <c r="H51" s="1117">
        <f t="shared" si="10"/>
        <v>87.637999999999991</v>
      </c>
      <c r="I51" s="1117">
        <f t="shared" si="10"/>
        <v>51.018000000000001</v>
      </c>
      <c r="J51" s="1117">
        <f t="shared" si="10"/>
        <v>177.68299999999999</v>
      </c>
      <c r="K51" s="1117">
        <f t="shared" si="10"/>
        <v>421.29999999999995</v>
      </c>
      <c r="L51" s="1117">
        <f t="shared" si="10"/>
        <v>226.95400000000001</v>
      </c>
      <c r="M51" s="1117">
        <f t="shared" si="10"/>
        <v>4.4039999999999999</v>
      </c>
      <c r="N51" s="1117">
        <f t="shared" si="10"/>
        <v>122.93799999999999</v>
      </c>
      <c r="O51" s="1117">
        <f t="shared" si="10"/>
        <v>305.91999999999996</v>
      </c>
      <c r="P51" s="1117">
        <f t="shared" si="10"/>
        <v>363.76099999999991</v>
      </c>
      <c r="Q51" s="1117">
        <f t="shared" si="10"/>
        <v>4.6050000000000004</v>
      </c>
      <c r="R51" s="1117">
        <f t="shared" si="10"/>
        <v>10.003119999999999</v>
      </c>
      <c r="S51" s="1117">
        <f t="shared" si="10"/>
        <v>2.1949999999999998</v>
      </c>
      <c r="T51" s="1117">
        <f t="shared" si="10"/>
        <v>9.2260000000000009</v>
      </c>
      <c r="U51" s="1117">
        <f t="shared" si="10"/>
        <v>65.413999999999987</v>
      </c>
      <c r="V51" s="1117">
        <f t="shared" si="10"/>
        <v>7.1859999999999999</v>
      </c>
      <c r="W51" s="1117">
        <f t="shared" si="10"/>
        <v>11.14</v>
      </c>
      <c r="X51" s="1117">
        <f t="shared" si="10"/>
        <v>3.4649999999999999</v>
      </c>
      <c r="Y51" s="1117">
        <f t="shared" si="10"/>
        <v>2.5000000000000001E-2</v>
      </c>
      <c r="Z51" s="1117">
        <f t="shared" si="10"/>
        <v>32.155000000000008</v>
      </c>
      <c r="AA51" s="1117">
        <f t="shared" si="10"/>
        <v>23.404</v>
      </c>
      <c r="AB51" s="1117">
        <f t="shared" si="10"/>
        <v>165.02100000000002</v>
      </c>
      <c r="AC51" s="1117">
        <f t="shared" si="10"/>
        <v>73.007999999999996</v>
      </c>
      <c r="AD51" s="1117">
        <f t="shared" si="10"/>
        <v>64.441999999999993</v>
      </c>
      <c r="AE51" s="1117">
        <f t="shared" si="10"/>
        <v>22.835000000000001</v>
      </c>
      <c r="AF51" s="1117">
        <f t="shared" si="10"/>
        <v>0.25</v>
      </c>
      <c r="AG51" s="1117">
        <f t="shared" si="10"/>
        <v>0.52500000000000002</v>
      </c>
      <c r="AH51" s="151">
        <f t="shared" si="10"/>
        <v>2550.616120000001</v>
      </c>
      <c r="AL51" s="3205">
        <f>SUM(AL39:AL50)</f>
        <v>3929.5381200000011</v>
      </c>
      <c r="AP51" s="598" t="s">
        <v>72</v>
      </c>
      <c r="AQ51" s="1115">
        <f>SUM(AQ39:AQ50)</f>
        <v>1378.9219999999998</v>
      </c>
      <c r="AR51" s="1117">
        <f t="shared" ref="AR51:BW51" si="11">SUM(AR39:AR50)</f>
        <v>16.314</v>
      </c>
      <c r="AS51" s="1117">
        <f t="shared" si="11"/>
        <v>4.8000000000000001E-2</v>
      </c>
      <c r="AT51" s="1117">
        <f t="shared" si="11"/>
        <v>0</v>
      </c>
      <c r="AU51" s="1117">
        <f t="shared" si="11"/>
        <v>23.228000000000002</v>
      </c>
      <c r="AV51" s="1117">
        <f t="shared" si="11"/>
        <v>26.335000000000001</v>
      </c>
      <c r="AW51" s="1117">
        <f t="shared" si="11"/>
        <v>14.263999999999999</v>
      </c>
      <c r="AX51" s="1117">
        <f t="shared" si="11"/>
        <v>1.4999999999999999E-2</v>
      </c>
      <c r="AY51" s="1117">
        <f t="shared" si="11"/>
        <v>14.620999999999999</v>
      </c>
      <c r="AZ51" s="1117">
        <f t="shared" si="11"/>
        <v>6.0540000000000003</v>
      </c>
      <c r="BA51" s="1117">
        <f t="shared" si="11"/>
        <v>78.129000000000005</v>
      </c>
      <c r="BB51" s="1117">
        <f t="shared" si="11"/>
        <v>11.462999999999999</v>
      </c>
      <c r="BC51" s="1117">
        <f t="shared" si="11"/>
        <v>72.177999999999997</v>
      </c>
      <c r="BD51" s="1117">
        <f t="shared" si="11"/>
        <v>3.3660000000000001</v>
      </c>
      <c r="BE51" s="1117">
        <f t="shared" si="11"/>
        <v>11.231</v>
      </c>
      <c r="BF51" s="1117">
        <f t="shared" si="11"/>
        <v>51.376999999999995</v>
      </c>
      <c r="BG51" s="1117">
        <f t="shared" si="11"/>
        <v>22.984000000000002</v>
      </c>
      <c r="BH51" s="1117">
        <f t="shared" si="11"/>
        <v>7.7249999999999996</v>
      </c>
      <c r="BI51" s="1117">
        <f t="shared" si="11"/>
        <v>1.4999999999999999E-2</v>
      </c>
      <c r="BJ51" s="1117">
        <f t="shared" si="11"/>
        <v>0</v>
      </c>
      <c r="BK51" s="1117">
        <f t="shared" si="11"/>
        <v>16.366</v>
      </c>
      <c r="BL51" s="1117">
        <f t="shared" si="11"/>
        <v>109.87700000000001</v>
      </c>
      <c r="BM51" s="1117">
        <f t="shared" si="11"/>
        <v>63.179000000000002</v>
      </c>
      <c r="BN51" s="1117">
        <f t="shared" si="11"/>
        <v>96.688000000000017</v>
      </c>
      <c r="BO51" s="1117">
        <f t="shared" si="11"/>
        <v>31.863000000000003</v>
      </c>
      <c r="BP51" s="1117">
        <f t="shared" si="11"/>
        <v>61.029000000000003</v>
      </c>
      <c r="BQ51" s="1117">
        <f t="shared" si="11"/>
        <v>45.849000000000004</v>
      </c>
      <c r="BR51" s="1117">
        <f t="shared" si="11"/>
        <v>199.858</v>
      </c>
      <c r="BS51" s="1117">
        <f t="shared" si="11"/>
        <v>232.90700000000001</v>
      </c>
      <c r="BT51" s="1117">
        <f t="shared" si="11"/>
        <v>98.314999999999998</v>
      </c>
      <c r="BU51" s="1117">
        <f t="shared" si="11"/>
        <v>43.881</v>
      </c>
      <c r="BV51" s="1117">
        <f t="shared" si="11"/>
        <v>19.762999999999998</v>
      </c>
      <c r="BW51" s="151">
        <f t="shared" si="11"/>
        <v>1378.9219999999998</v>
      </c>
      <c r="BX51" s="2267"/>
      <c r="BY51" s="2267"/>
    </row>
    <row r="52" spans="1:77" ht="12">
      <c r="A52" s="145"/>
      <c r="B52" s="597"/>
      <c r="C52" s="145"/>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145"/>
      <c r="AP52" s="2267" t="s">
        <v>396</v>
      </c>
      <c r="AQ52" s="137">
        <v>1450</v>
      </c>
    </row>
    <row r="53" spans="1:77" ht="12" hidden="1">
      <c r="A53" s="3882" t="s">
        <v>542</v>
      </c>
      <c r="B53" s="3883"/>
      <c r="C53" s="3884"/>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145"/>
    </row>
    <row r="54" spans="1:77" ht="12" hidden="1">
      <c r="A54" s="146" t="s">
        <v>70</v>
      </c>
      <c r="B54" s="158" t="s">
        <v>71</v>
      </c>
      <c r="C54" s="146">
        <v>1</v>
      </c>
      <c r="D54" s="147">
        <v>2</v>
      </c>
      <c r="E54" s="147">
        <v>3</v>
      </c>
      <c r="F54" s="147">
        <v>4</v>
      </c>
      <c r="G54" s="147">
        <v>5</v>
      </c>
      <c r="H54" s="147">
        <v>6</v>
      </c>
      <c r="I54" s="147">
        <v>7</v>
      </c>
      <c r="J54" s="147">
        <v>8</v>
      </c>
      <c r="K54" s="147">
        <v>9</v>
      </c>
      <c r="L54" s="147">
        <v>10</v>
      </c>
      <c r="M54" s="147">
        <v>11</v>
      </c>
      <c r="N54" s="147">
        <v>12</v>
      </c>
      <c r="O54" s="147">
        <v>13</v>
      </c>
      <c r="P54" s="147">
        <v>14</v>
      </c>
      <c r="Q54" s="147">
        <v>15</v>
      </c>
      <c r="R54" s="147">
        <v>16</v>
      </c>
      <c r="S54" s="147">
        <v>17</v>
      </c>
      <c r="T54" s="147">
        <v>18</v>
      </c>
      <c r="U54" s="147">
        <v>19</v>
      </c>
      <c r="V54" s="147">
        <v>20</v>
      </c>
      <c r="W54" s="147">
        <v>21</v>
      </c>
      <c r="X54" s="147">
        <v>22</v>
      </c>
      <c r="Y54" s="147">
        <v>23</v>
      </c>
      <c r="Z54" s="147">
        <v>24</v>
      </c>
      <c r="AA54" s="147">
        <v>25</v>
      </c>
      <c r="AB54" s="147">
        <v>26</v>
      </c>
      <c r="AC54" s="147">
        <v>27</v>
      </c>
      <c r="AD54" s="147">
        <v>28</v>
      </c>
      <c r="AE54" s="147">
        <v>29</v>
      </c>
      <c r="AF54" s="147">
        <v>30</v>
      </c>
      <c r="AG54" s="147">
        <v>31</v>
      </c>
      <c r="AH54" s="146" t="s">
        <v>72</v>
      </c>
    </row>
    <row r="55" spans="1:77" ht="12" hidden="1">
      <c r="A55" s="1073" t="s">
        <v>73</v>
      </c>
      <c r="B55" s="158">
        <f t="shared" ref="B55:B66" si="12">+AH55</f>
        <v>0</v>
      </c>
      <c r="C55" s="608"/>
      <c r="D55" s="608"/>
      <c r="E55" s="679"/>
      <c r="F55" s="679"/>
      <c r="G55" s="679"/>
      <c r="H55" s="679"/>
      <c r="I55" s="679"/>
      <c r="J55" s="679"/>
      <c r="K55" s="679"/>
      <c r="L55" s="679"/>
      <c r="M55" s="679"/>
      <c r="N55" s="679"/>
      <c r="O55" s="679"/>
      <c r="P55" s="679"/>
      <c r="Q55" s="679"/>
      <c r="R55" s="679"/>
      <c r="S55" s="679"/>
      <c r="T55" s="679"/>
      <c r="U55" s="679"/>
      <c r="V55" s="679"/>
      <c r="W55" s="679"/>
      <c r="X55" s="679"/>
      <c r="Y55" s="679"/>
      <c r="Z55" s="679"/>
      <c r="AA55" s="679"/>
      <c r="AB55" s="679"/>
      <c r="AC55" s="679"/>
      <c r="AD55" s="679"/>
      <c r="AE55" s="679"/>
      <c r="AF55" s="679"/>
      <c r="AG55" s="679"/>
      <c r="AH55" s="865">
        <f>SUM(C55:AG55)</f>
        <v>0</v>
      </c>
    </row>
    <row r="56" spans="1:77" ht="12" hidden="1">
      <c r="A56" s="1073" t="s">
        <v>74</v>
      </c>
      <c r="B56" s="158">
        <f t="shared" si="12"/>
        <v>0</v>
      </c>
      <c r="C56" s="608"/>
      <c r="D56" s="608"/>
      <c r="E56" s="679"/>
      <c r="F56" s="679"/>
      <c r="G56" s="679"/>
      <c r="H56" s="679"/>
      <c r="I56" s="679"/>
      <c r="J56" s="679"/>
      <c r="K56" s="679"/>
      <c r="L56" s="679"/>
      <c r="M56" s="679"/>
      <c r="N56" s="679"/>
      <c r="O56" s="679"/>
      <c r="P56" s="679"/>
      <c r="Q56" s="679"/>
      <c r="R56" s="679"/>
      <c r="S56" s="679"/>
      <c r="T56" s="679"/>
      <c r="U56" s="679"/>
      <c r="V56" s="679"/>
      <c r="W56" s="679"/>
      <c r="X56" s="679"/>
      <c r="Y56" s="679"/>
      <c r="Z56" s="679"/>
      <c r="AA56" s="679"/>
      <c r="AB56" s="679"/>
      <c r="AC56" s="679"/>
      <c r="AD56" s="679"/>
      <c r="AE56" s="679"/>
      <c r="AF56" s="679"/>
      <c r="AG56" s="679"/>
      <c r="AH56" s="865">
        <f t="shared" ref="AH56:AH64" si="13">SUM(C56:AG56)</f>
        <v>0</v>
      </c>
    </row>
    <row r="57" spans="1:77" ht="12" hidden="1">
      <c r="A57" s="1073" t="s">
        <v>75</v>
      </c>
      <c r="B57" s="158">
        <f t="shared" si="12"/>
        <v>0</v>
      </c>
      <c r="C57" s="608"/>
      <c r="D57" s="608"/>
      <c r="E57" s="679"/>
      <c r="F57" s="679"/>
      <c r="G57" s="679"/>
      <c r="H57" s="679"/>
      <c r="I57" s="679"/>
      <c r="J57" s="679"/>
      <c r="K57" s="679"/>
      <c r="L57" s="679"/>
      <c r="M57" s="679"/>
      <c r="N57" s="679"/>
      <c r="O57" s="679"/>
      <c r="P57" s="679"/>
      <c r="Q57" s="679"/>
      <c r="R57" s="679"/>
      <c r="S57" s="679"/>
      <c r="T57" s="679"/>
      <c r="U57" s="679"/>
      <c r="V57" s="679"/>
      <c r="W57" s="679"/>
      <c r="X57" s="679"/>
      <c r="Y57" s="679"/>
      <c r="Z57" s="679"/>
      <c r="AA57" s="679"/>
      <c r="AB57" s="679"/>
      <c r="AC57" s="679"/>
      <c r="AD57" s="679"/>
      <c r="AE57" s="679"/>
      <c r="AF57" s="679"/>
      <c r="AG57" s="679"/>
      <c r="AH57" s="865">
        <f t="shared" si="13"/>
        <v>0</v>
      </c>
    </row>
    <row r="58" spans="1:77" ht="12" hidden="1">
      <c r="A58" s="1518" t="s">
        <v>76</v>
      </c>
      <c r="B58" s="158">
        <f t="shared" si="12"/>
        <v>0</v>
      </c>
      <c r="C58" s="608"/>
      <c r="D58" s="608"/>
      <c r="E58" s="679"/>
      <c r="F58" s="679"/>
      <c r="G58" s="679"/>
      <c r="H58" s="679"/>
      <c r="I58" s="679"/>
      <c r="J58" s="679"/>
      <c r="K58" s="679"/>
      <c r="L58" s="679"/>
      <c r="M58" s="679"/>
      <c r="N58" s="679"/>
      <c r="O58" s="679"/>
      <c r="P58" s="679"/>
      <c r="Q58" s="679"/>
      <c r="R58" s="679"/>
      <c r="S58" s="679"/>
      <c r="T58" s="679"/>
      <c r="U58" s="679"/>
      <c r="V58" s="679"/>
      <c r="W58" s="679"/>
      <c r="X58" s="679"/>
      <c r="Y58" s="679"/>
      <c r="Z58" s="679"/>
      <c r="AA58" s="679"/>
      <c r="AB58" s="679"/>
      <c r="AC58" s="679"/>
      <c r="AD58" s="679"/>
      <c r="AE58" s="679"/>
      <c r="AF58" s="679"/>
      <c r="AG58" s="679"/>
      <c r="AH58" s="865">
        <f t="shared" si="13"/>
        <v>0</v>
      </c>
    </row>
    <row r="59" spans="1:77" ht="12" hidden="1">
      <c r="A59" s="1518" t="s">
        <v>77</v>
      </c>
      <c r="B59" s="158">
        <f t="shared" si="12"/>
        <v>0</v>
      </c>
      <c r="C59" s="608"/>
      <c r="D59" s="608"/>
      <c r="E59" s="679"/>
      <c r="F59" s="679"/>
      <c r="G59" s="679"/>
      <c r="H59" s="679"/>
      <c r="I59" s="679"/>
      <c r="J59" s="679"/>
      <c r="K59" s="679"/>
      <c r="L59" s="679"/>
      <c r="M59" s="679"/>
      <c r="N59" s="679"/>
      <c r="O59" s="679"/>
      <c r="P59" s="679"/>
      <c r="Q59" s="679"/>
      <c r="R59" s="679"/>
      <c r="S59" s="679"/>
      <c r="T59" s="679"/>
      <c r="U59" s="679"/>
      <c r="V59" s="679"/>
      <c r="W59" s="679"/>
      <c r="X59" s="679"/>
      <c r="Y59" s="679"/>
      <c r="Z59" s="679"/>
      <c r="AA59" s="679"/>
      <c r="AB59" s="679"/>
      <c r="AC59" s="679"/>
      <c r="AD59" s="679"/>
      <c r="AE59" s="679"/>
      <c r="AF59" s="679"/>
      <c r="AG59" s="679"/>
      <c r="AH59" s="865">
        <f t="shared" si="13"/>
        <v>0</v>
      </c>
    </row>
    <row r="60" spans="1:77" ht="12" hidden="1">
      <c r="A60" s="1518" t="s">
        <v>78</v>
      </c>
      <c r="B60" s="158">
        <f t="shared" si="12"/>
        <v>0</v>
      </c>
      <c r="C60" s="608"/>
      <c r="D60" s="608"/>
      <c r="E60" s="608"/>
      <c r="F60" s="608"/>
      <c r="G60" s="608"/>
      <c r="H60" s="608"/>
      <c r="I60" s="608"/>
      <c r="J60" s="608"/>
      <c r="K60" s="608"/>
      <c r="L60" s="608"/>
      <c r="M60" s="608"/>
      <c r="N60" s="608"/>
      <c r="O60" s="608"/>
      <c r="P60" s="608"/>
      <c r="Q60" s="608"/>
      <c r="R60" s="608"/>
      <c r="S60" s="608"/>
      <c r="T60" s="608"/>
      <c r="U60" s="608"/>
      <c r="V60" s="608"/>
      <c r="W60" s="608"/>
      <c r="X60" s="608"/>
      <c r="Y60" s="608"/>
      <c r="Z60" s="608"/>
      <c r="AA60" s="608"/>
      <c r="AB60" s="608"/>
      <c r="AC60" s="608"/>
      <c r="AD60" s="608"/>
      <c r="AE60" s="608"/>
      <c r="AF60" s="608"/>
      <c r="AG60" s="608"/>
      <c r="AH60" s="865">
        <f t="shared" si="13"/>
        <v>0</v>
      </c>
    </row>
    <row r="61" spans="1:77" ht="12" hidden="1">
      <c r="A61" s="1518" t="s">
        <v>79</v>
      </c>
      <c r="B61" s="158">
        <f t="shared" si="12"/>
        <v>0</v>
      </c>
      <c r="C61" s="608"/>
      <c r="D61" s="608"/>
      <c r="E61" s="608"/>
      <c r="F61" s="608"/>
      <c r="G61" s="608"/>
      <c r="H61" s="608"/>
      <c r="I61" s="608"/>
      <c r="J61" s="608"/>
      <c r="K61" s="608"/>
      <c r="L61" s="608"/>
      <c r="M61" s="608"/>
      <c r="N61" s="608"/>
      <c r="O61" s="608"/>
      <c r="P61" s="608"/>
      <c r="Q61" s="608"/>
      <c r="R61" s="608"/>
      <c r="S61" s="608"/>
      <c r="T61" s="608"/>
      <c r="U61" s="608"/>
      <c r="V61" s="608"/>
      <c r="W61" s="608"/>
      <c r="X61" s="608"/>
      <c r="Y61" s="608"/>
      <c r="Z61" s="608"/>
      <c r="AA61" s="608"/>
      <c r="AB61" s="608"/>
      <c r="AC61" s="608"/>
      <c r="AD61" s="608"/>
      <c r="AE61" s="608"/>
      <c r="AF61" s="608"/>
      <c r="AG61" s="608"/>
      <c r="AH61" s="865">
        <f t="shared" si="13"/>
        <v>0</v>
      </c>
    </row>
    <row r="62" spans="1:77" ht="12" hidden="1">
      <c r="A62" s="1518" t="s">
        <v>80</v>
      </c>
      <c r="B62" s="158">
        <f t="shared" si="12"/>
        <v>0</v>
      </c>
      <c r="C62" s="608"/>
      <c r="D62" s="608"/>
      <c r="E62" s="608"/>
      <c r="F62" s="608"/>
      <c r="G62" s="608"/>
      <c r="H62" s="608"/>
      <c r="I62" s="608"/>
      <c r="J62" s="608"/>
      <c r="K62" s="608"/>
      <c r="L62" s="608"/>
      <c r="M62" s="608"/>
      <c r="N62" s="608"/>
      <c r="O62" s="608"/>
      <c r="P62" s="608"/>
      <c r="Q62" s="608"/>
      <c r="R62" s="608"/>
      <c r="S62" s="608"/>
      <c r="T62" s="608"/>
      <c r="U62" s="608"/>
      <c r="V62" s="608"/>
      <c r="W62" s="608"/>
      <c r="X62" s="608"/>
      <c r="Y62" s="608"/>
      <c r="Z62" s="608"/>
      <c r="AA62" s="608"/>
      <c r="AB62" s="608"/>
      <c r="AC62" s="608"/>
      <c r="AD62" s="608"/>
      <c r="AE62" s="608"/>
      <c r="AF62" s="608"/>
      <c r="AG62" s="608"/>
      <c r="AH62" s="865">
        <f t="shared" si="13"/>
        <v>0</v>
      </c>
    </row>
    <row r="63" spans="1:77" ht="12" hidden="1">
      <c r="A63" s="1518" t="s">
        <v>81</v>
      </c>
      <c r="B63" s="158">
        <f t="shared" si="12"/>
        <v>0</v>
      </c>
      <c r="C63" s="608"/>
      <c r="D63" s="608"/>
      <c r="E63" s="608"/>
      <c r="F63" s="608"/>
      <c r="G63" s="608"/>
      <c r="H63" s="608"/>
      <c r="I63" s="608"/>
      <c r="J63" s="608"/>
      <c r="K63" s="608"/>
      <c r="L63" s="608"/>
      <c r="M63" s="608"/>
      <c r="N63" s="608"/>
      <c r="O63" s="608"/>
      <c r="P63" s="608"/>
      <c r="Q63" s="608"/>
      <c r="R63" s="608"/>
      <c r="S63" s="608"/>
      <c r="T63" s="608"/>
      <c r="U63" s="608"/>
      <c r="V63" s="608"/>
      <c r="W63" s="608"/>
      <c r="X63" s="608"/>
      <c r="Y63" s="608"/>
      <c r="Z63" s="608"/>
      <c r="AA63" s="608"/>
      <c r="AB63" s="608"/>
      <c r="AC63" s="608"/>
      <c r="AD63" s="608"/>
      <c r="AE63" s="608"/>
      <c r="AF63" s="608"/>
      <c r="AG63" s="608"/>
      <c r="AH63" s="865">
        <f t="shared" si="13"/>
        <v>0</v>
      </c>
    </row>
    <row r="64" spans="1:77" ht="12" hidden="1">
      <c r="A64" s="1518" t="s">
        <v>82</v>
      </c>
      <c r="B64" s="158">
        <f t="shared" si="12"/>
        <v>0</v>
      </c>
      <c r="D64" s="608"/>
      <c r="E64" s="608"/>
      <c r="F64" s="608"/>
      <c r="G64" s="608"/>
      <c r="H64" s="608"/>
      <c r="I64" s="608"/>
      <c r="J64" s="608"/>
      <c r="K64" s="608"/>
      <c r="L64" s="608"/>
      <c r="M64" s="608"/>
      <c r="N64" s="608"/>
      <c r="O64" s="608"/>
      <c r="P64" s="608"/>
      <c r="Q64" s="608"/>
      <c r="R64" s="608"/>
      <c r="S64" s="608"/>
      <c r="T64" s="608"/>
      <c r="U64" s="608"/>
      <c r="V64" s="608"/>
      <c r="W64" s="608"/>
      <c r="X64" s="608"/>
      <c r="Y64" s="608"/>
      <c r="Z64" s="608"/>
      <c r="AA64" s="608"/>
      <c r="AB64" s="608"/>
      <c r="AC64" s="608"/>
      <c r="AD64" s="608"/>
      <c r="AE64" s="608"/>
      <c r="AF64" s="608"/>
      <c r="AG64" s="608"/>
      <c r="AH64" s="865">
        <f t="shared" si="13"/>
        <v>0</v>
      </c>
    </row>
    <row r="65" spans="1:43" ht="12" hidden="1">
      <c r="A65" s="1519" t="s">
        <v>83</v>
      </c>
      <c r="B65" s="158">
        <f t="shared" si="12"/>
        <v>0</v>
      </c>
      <c r="C65" s="608"/>
      <c r="D65" s="228"/>
      <c r="E65" s="228"/>
      <c r="F65" s="228"/>
      <c r="G65" s="228"/>
      <c r="H65" s="228"/>
      <c r="I65" s="228"/>
      <c r="J65" s="228"/>
      <c r="K65" s="228"/>
      <c r="L65" s="228"/>
      <c r="M65" s="228"/>
      <c r="N65" s="228"/>
      <c r="O65" s="228"/>
      <c r="P65" s="228"/>
      <c r="Q65" s="228"/>
      <c r="R65" s="228"/>
      <c r="S65" s="228"/>
      <c r="T65" s="608"/>
      <c r="U65" s="608"/>
      <c r="V65" s="608"/>
      <c r="W65" s="608"/>
      <c r="X65" s="608"/>
      <c r="Y65" s="608"/>
      <c r="Z65" s="608"/>
      <c r="AA65" s="608"/>
      <c r="AB65" s="608"/>
      <c r="AC65" s="608"/>
      <c r="AD65" s="608"/>
      <c r="AE65" s="608"/>
      <c r="AF65" s="608"/>
      <c r="AG65" s="608"/>
      <c r="AH65" s="865">
        <f>SUM(C65:AG65)</f>
        <v>0</v>
      </c>
    </row>
    <row r="66" spans="1:43" ht="12" hidden="1">
      <c r="A66" s="1519" t="s">
        <v>84</v>
      </c>
      <c r="B66" s="158">
        <f t="shared" si="12"/>
        <v>0</v>
      </c>
      <c r="C66" s="608"/>
      <c r="D66" s="608"/>
      <c r="E66" s="608"/>
      <c r="F66" s="608"/>
      <c r="G66" s="608"/>
      <c r="H66" s="608"/>
      <c r="I66" s="608"/>
      <c r="J66" s="608"/>
      <c r="K66" s="608"/>
      <c r="L66" s="608"/>
      <c r="M66" s="608"/>
      <c r="N66" s="608"/>
      <c r="O66" s="608"/>
      <c r="P66" s="608"/>
      <c r="Q66" s="608"/>
      <c r="R66" s="608"/>
      <c r="S66" s="608"/>
      <c r="T66" s="608"/>
      <c r="U66" s="608"/>
      <c r="V66" s="608"/>
      <c r="W66" s="608"/>
      <c r="X66" s="608"/>
      <c r="Y66" s="608"/>
      <c r="Z66" s="608"/>
      <c r="AA66" s="608"/>
      <c r="AB66" s="608"/>
      <c r="AC66" s="608"/>
      <c r="AD66" s="608"/>
      <c r="AE66" s="608"/>
      <c r="AF66" s="608"/>
      <c r="AG66" s="608"/>
      <c r="AH66" s="865">
        <f t="shared" ref="AH66" si="14">SUM(C66:AG66)</f>
        <v>0</v>
      </c>
    </row>
    <row r="67" spans="1:43" ht="12" hidden="1">
      <c r="A67" s="598" t="s">
        <v>72</v>
      </c>
      <c r="B67" s="1116">
        <f>SUM(B55:B66)</f>
        <v>0</v>
      </c>
      <c r="C67" s="1117">
        <f t="shared" ref="C67:AH67" si="15">SUM(C55:C66)</f>
        <v>0</v>
      </c>
      <c r="D67" s="1117">
        <f t="shared" si="15"/>
        <v>0</v>
      </c>
      <c r="E67" s="1117">
        <f t="shared" si="15"/>
        <v>0</v>
      </c>
      <c r="F67" s="1117">
        <f t="shared" si="15"/>
        <v>0</v>
      </c>
      <c r="G67" s="1117">
        <f t="shared" si="15"/>
        <v>0</v>
      </c>
      <c r="H67" s="1117">
        <f t="shared" si="15"/>
        <v>0</v>
      </c>
      <c r="I67" s="1117">
        <f t="shared" si="15"/>
        <v>0</v>
      </c>
      <c r="J67" s="1117">
        <f t="shared" si="15"/>
        <v>0</v>
      </c>
      <c r="K67" s="1117">
        <f t="shared" si="15"/>
        <v>0</v>
      </c>
      <c r="L67" s="1117">
        <f t="shared" si="15"/>
        <v>0</v>
      </c>
      <c r="M67" s="1117">
        <f t="shared" si="15"/>
        <v>0</v>
      </c>
      <c r="N67" s="1117">
        <f t="shared" si="15"/>
        <v>0</v>
      </c>
      <c r="O67" s="1117">
        <f t="shared" si="15"/>
        <v>0</v>
      </c>
      <c r="P67" s="1117">
        <f t="shared" si="15"/>
        <v>0</v>
      </c>
      <c r="Q67" s="1117">
        <f t="shared" si="15"/>
        <v>0</v>
      </c>
      <c r="R67" s="1117">
        <f t="shared" si="15"/>
        <v>0</v>
      </c>
      <c r="S67" s="1117">
        <f t="shared" si="15"/>
        <v>0</v>
      </c>
      <c r="T67" s="1117">
        <f t="shared" si="15"/>
        <v>0</v>
      </c>
      <c r="U67" s="1117">
        <f t="shared" si="15"/>
        <v>0</v>
      </c>
      <c r="V67" s="1117">
        <f t="shared" si="15"/>
        <v>0</v>
      </c>
      <c r="W67" s="1117">
        <f t="shared" si="15"/>
        <v>0</v>
      </c>
      <c r="X67" s="1117">
        <f t="shared" si="15"/>
        <v>0</v>
      </c>
      <c r="Y67" s="1117">
        <f t="shared" si="15"/>
        <v>0</v>
      </c>
      <c r="Z67" s="1117">
        <f t="shared" si="15"/>
        <v>0</v>
      </c>
      <c r="AA67" s="1117">
        <f t="shared" si="15"/>
        <v>0</v>
      </c>
      <c r="AB67" s="1117">
        <f t="shared" si="15"/>
        <v>0</v>
      </c>
      <c r="AC67" s="1117">
        <f t="shared" si="15"/>
        <v>0</v>
      </c>
      <c r="AD67" s="1117">
        <f t="shared" si="15"/>
        <v>0</v>
      </c>
      <c r="AE67" s="1117">
        <f t="shared" si="15"/>
        <v>0</v>
      </c>
      <c r="AF67" s="1117">
        <f t="shared" si="15"/>
        <v>0</v>
      </c>
      <c r="AG67" s="1117">
        <f t="shared" si="15"/>
        <v>0</v>
      </c>
      <c r="AH67" s="151">
        <f t="shared" si="15"/>
        <v>0</v>
      </c>
    </row>
    <row r="68" spans="1:43" ht="12">
      <c r="A68" s="145"/>
      <c r="B68" s="597"/>
      <c r="C68" s="145"/>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145"/>
      <c r="AO68" s="3303"/>
      <c r="AP68" s="3303" t="s">
        <v>108</v>
      </c>
      <c r="AQ68" s="3302">
        <f>+AQ52-AQ51</f>
        <v>71.078000000000202</v>
      </c>
    </row>
    <row r="69" spans="1:43" ht="12" hidden="1">
      <c r="A69" s="3882" t="s">
        <v>543</v>
      </c>
      <c r="B69" s="3883"/>
      <c r="C69" s="3884"/>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145"/>
    </row>
    <row r="70" spans="1:43" ht="12" hidden="1">
      <c r="A70" s="146" t="s">
        <v>70</v>
      </c>
      <c r="B70" s="158" t="s">
        <v>71</v>
      </c>
      <c r="C70" s="146">
        <v>1</v>
      </c>
      <c r="D70" s="147">
        <v>2</v>
      </c>
      <c r="E70" s="147">
        <v>3</v>
      </c>
      <c r="F70" s="147">
        <v>4</v>
      </c>
      <c r="G70" s="147">
        <v>5</v>
      </c>
      <c r="H70" s="147">
        <v>6</v>
      </c>
      <c r="I70" s="147">
        <v>7</v>
      </c>
      <c r="J70" s="147">
        <v>8</v>
      </c>
      <c r="K70" s="147">
        <v>9</v>
      </c>
      <c r="L70" s="147">
        <v>10</v>
      </c>
      <c r="M70" s="147">
        <v>11</v>
      </c>
      <c r="N70" s="147">
        <v>12</v>
      </c>
      <c r="O70" s="147">
        <v>13</v>
      </c>
      <c r="P70" s="147">
        <v>14</v>
      </c>
      <c r="Q70" s="147">
        <v>15</v>
      </c>
      <c r="R70" s="147">
        <v>16</v>
      </c>
      <c r="S70" s="147">
        <v>17</v>
      </c>
      <c r="T70" s="147">
        <v>18</v>
      </c>
      <c r="U70" s="147">
        <v>19</v>
      </c>
      <c r="V70" s="147">
        <v>20</v>
      </c>
      <c r="W70" s="147">
        <v>21</v>
      </c>
      <c r="X70" s="147">
        <v>22</v>
      </c>
      <c r="Y70" s="147">
        <v>23</v>
      </c>
      <c r="Z70" s="147">
        <v>24</v>
      </c>
      <c r="AA70" s="147">
        <v>25</v>
      </c>
      <c r="AB70" s="147">
        <v>26</v>
      </c>
      <c r="AC70" s="147">
        <v>27</v>
      </c>
      <c r="AD70" s="147">
        <v>28</v>
      </c>
      <c r="AE70" s="147">
        <v>29</v>
      </c>
      <c r="AF70" s="147">
        <v>30</v>
      </c>
      <c r="AG70" s="147">
        <v>31</v>
      </c>
      <c r="AH70" s="146" t="s">
        <v>72</v>
      </c>
    </row>
    <row r="71" spans="1:43" ht="12" hidden="1">
      <c r="A71" s="1073" t="s">
        <v>73</v>
      </c>
      <c r="B71" s="158">
        <f t="shared" ref="B71:B82" si="16">+AH71</f>
        <v>0</v>
      </c>
      <c r="C71" s="608"/>
      <c r="D71" s="608"/>
      <c r="E71" s="679"/>
      <c r="F71" s="679"/>
      <c r="G71" s="679"/>
      <c r="H71" s="679"/>
      <c r="I71" s="679"/>
      <c r="J71" s="679"/>
      <c r="K71" s="679"/>
      <c r="L71" s="679"/>
      <c r="M71" s="679"/>
      <c r="N71" s="679"/>
      <c r="O71" s="679"/>
      <c r="P71" s="679"/>
      <c r="Q71" s="679"/>
      <c r="R71" s="679"/>
      <c r="S71" s="679"/>
      <c r="T71" s="679"/>
      <c r="U71" s="679"/>
      <c r="V71" s="679"/>
      <c r="W71" s="679"/>
      <c r="X71" s="679"/>
      <c r="Y71" s="679"/>
      <c r="Z71" s="679"/>
      <c r="AA71" s="679"/>
      <c r="AB71" s="679"/>
      <c r="AC71" s="679"/>
      <c r="AD71" s="679"/>
      <c r="AE71" s="679"/>
      <c r="AF71" s="679"/>
      <c r="AG71" s="679"/>
      <c r="AH71" s="865">
        <f>SUM(C71:AG71)</f>
        <v>0</v>
      </c>
    </row>
    <row r="72" spans="1:43" ht="12" hidden="1">
      <c r="A72" s="1073" t="s">
        <v>74</v>
      </c>
      <c r="B72" s="158">
        <f t="shared" si="16"/>
        <v>0</v>
      </c>
      <c r="C72" s="608"/>
      <c r="D72" s="608"/>
      <c r="E72" s="679"/>
      <c r="F72" s="679"/>
      <c r="G72" s="679"/>
      <c r="H72" s="679"/>
      <c r="I72" s="679"/>
      <c r="J72" s="679"/>
      <c r="K72" s="679"/>
      <c r="L72" s="679"/>
      <c r="M72" s="679"/>
      <c r="N72" s="679"/>
      <c r="O72" s="679"/>
      <c r="P72" s="679"/>
      <c r="Q72" s="679"/>
      <c r="R72" s="679"/>
      <c r="S72" s="679"/>
      <c r="T72" s="679"/>
      <c r="U72" s="679"/>
      <c r="V72" s="679"/>
      <c r="W72" s="679"/>
      <c r="X72" s="679"/>
      <c r="Y72" s="679"/>
      <c r="Z72" s="679"/>
      <c r="AA72" s="679"/>
      <c r="AB72" s="679"/>
      <c r="AC72" s="679"/>
      <c r="AD72" s="679"/>
      <c r="AE72" s="679"/>
      <c r="AF72" s="679"/>
      <c r="AG72" s="679"/>
      <c r="AH72" s="865">
        <f t="shared" ref="AH72:AH79" si="17">SUM(C72:AG72)</f>
        <v>0</v>
      </c>
    </row>
    <row r="73" spans="1:43" ht="12" hidden="1">
      <c r="A73" s="1073" t="s">
        <v>75</v>
      </c>
      <c r="B73" s="158">
        <f t="shared" si="16"/>
        <v>0</v>
      </c>
      <c r="C73" s="608"/>
      <c r="D73" s="608"/>
      <c r="E73" s="679"/>
      <c r="F73" s="679"/>
      <c r="G73" s="679"/>
      <c r="H73" s="679"/>
      <c r="I73" s="679"/>
      <c r="J73" s="679"/>
      <c r="K73" s="679"/>
      <c r="L73" s="679"/>
      <c r="M73" s="679"/>
      <c r="N73" s="679"/>
      <c r="O73" s="679"/>
      <c r="P73" s="679"/>
      <c r="Q73" s="679"/>
      <c r="R73" s="679"/>
      <c r="S73" s="679"/>
      <c r="T73" s="679"/>
      <c r="U73" s="679"/>
      <c r="V73" s="679"/>
      <c r="W73" s="679"/>
      <c r="X73" s="679"/>
      <c r="Y73" s="679"/>
      <c r="Z73" s="679"/>
      <c r="AA73" s="679"/>
      <c r="AB73" s="679"/>
      <c r="AC73" s="679"/>
      <c r="AD73" s="679"/>
      <c r="AE73" s="679"/>
      <c r="AF73" s="679"/>
      <c r="AG73" s="679"/>
      <c r="AH73" s="865">
        <f t="shared" si="17"/>
        <v>0</v>
      </c>
    </row>
    <row r="74" spans="1:43" ht="12" hidden="1">
      <c r="A74" s="1518" t="s">
        <v>76</v>
      </c>
      <c r="B74" s="158">
        <f t="shared" si="16"/>
        <v>0</v>
      </c>
      <c r="C74" s="608"/>
      <c r="D74" s="608"/>
      <c r="E74" s="679"/>
      <c r="F74" s="679"/>
      <c r="G74" s="679"/>
      <c r="H74" s="679"/>
      <c r="I74" s="679"/>
      <c r="J74" s="679"/>
      <c r="K74" s="679"/>
      <c r="L74" s="679"/>
      <c r="M74" s="679"/>
      <c r="N74" s="679"/>
      <c r="O74" s="679"/>
      <c r="P74" s="679"/>
      <c r="Q74" s="679"/>
      <c r="R74" s="679"/>
      <c r="S74" s="679"/>
      <c r="T74" s="679"/>
      <c r="U74" s="679"/>
      <c r="V74" s="679"/>
      <c r="W74" s="679"/>
      <c r="X74" s="679"/>
      <c r="Y74" s="679"/>
      <c r="Z74" s="679"/>
      <c r="AA74" s="679"/>
      <c r="AB74" s="679"/>
      <c r="AC74" s="679"/>
      <c r="AD74" s="679"/>
      <c r="AE74" s="679"/>
      <c r="AF74" s="679"/>
      <c r="AG74" s="679"/>
      <c r="AH74" s="865">
        <f t="shared" si="17"/>
        <v>0</v>
      </c>
    </row>
    <row r="75" spans="1:43" ht="12" hidden="1">
      <c r="A75" s="1518" t="s">
        <v>77</v>
      </c>
      <c r="B75" s="158">
        <f t="shared" si="16"/>
        <v>0</v>
      </c>
      <c r="C75" s="608"/>
      <c r="D75" s="608"/>
      <c r="E75" s="679"/>
      <c r="F75" s="679"/>
      <c r="G75" s="679"/>
      <c r="H75" s="679"/>
      <c r="I75" s="679"/>
      <c r="J75" s="679"/>
      <c r="K75" s="679"/>
      <c r="L75" s="679"/>
      <c r="M75" s="679"/>
      <c r="N75" s="679"/>
      <c r="O75" s="679"/>
      <c r="P75" s="679"/>
      <c r="Q75" s="679"/>
      <c r="R75" s="679"/>
      <c r="S75" s="679"/>
      <c r="T75" s="679"/>
      <c r="U75" s="679"/>
      <c r="V75" s="679"/>
      <c r="W75" s="679"/>
      <c r="X75" s="679"/>
      <c r="Y75" s="679"/>
      <c r="Z75" s="679"/>
      <c r="AA75" s="679"/>
      <c r="AB75" s="679"/>
      <c r="AC75" s="679"/>
      <c r="AD75" s="679"/>
      <c r="AE75" s="679"/>
      <c r="AF75" s="679"/>
      <c r="AG75" s="679"/>
      <c r="AH75" s="865">
        <f t="shared" si="17"/>
        <v>0</v>
      </c>
    </row>
    <row r="76" spans="1:43" ht="12" hidden="1">
      <c r="A76" s="1518" t="s">
        <v>78</v>
      </c>
      <c r="B76" s="158">
        <f t="shared" si="16"/>
        <v>0</v>
      </c>
      <c r="C76" s="608"/>
      <c r="D76" s="608"/>
      <c r="E76" s="608"/>
      <c r="F76" s="608"/>
      <c r="G76" s="608"/>
      <c r="H76" s="608"/>
      <c r="I76" s="608"/>
      <c r="J76" s="608"/>
      <c r="K76" s="608"/>
      <c r="L76" s="608"/>
      <c r="M76" s="608"/>
      <c r="N76" s="608"/>
      <c r="O76" s="608"/>
      <c r="P76" s="608"/>
      <c r="Q76" s="608"/>
      <c r="R76" s="608"/>
      <c r="S76" s="608"/>
      <c r="T76" s="608"/>
      <c r="U76" s="608"/>
      <c r="V76" s="608"/>
      <c r="W76" s="608"/>
      <c r="X76" s="608"/>
      <c r="Y76" s="608"/>
      <c r="Z76" s="608"/>
      <c r="AA76" s="608"/>
      <c r="AB76" s="608"/>
      <c r="AC76" s="608"/>
      <c r="AD76" s="608"/>
      <c r="AE76" s="608"/>
      <c r="AF76" s="608"/>
      <c r="AG76" s="608"/>
      <c r="AH76" s="865">
        <f t="shared" si="17"/>
        <v>0</v>
      </c>
    </row>
    <row r="77" spans="1:43" ht="12" hidden="1">
      <c r="A77" s="1518" t="s">
        <v>79</v>
      </c>
      <c r="B77" s="158">
        <f t="shared" si="16"/>
        <v>0</v>
      </c>
      <c r="C77" s="608"/>
      <c r="D77" s="608"/>
      <c r="E77" s="608"/>
      <c r="F77" s="608"/>
      <c r="G77" s="608"/>
      <c r="H77" s="608"/>
      <c r="I77" s="608"/>
      <c r="J77" s="608"/>
      <c r="K77" s="608"/>
      <c r="L77" s="608"/>
      <c r="M77" s="608"/>
      <c r="N77" s="608"/>
      <c r="O77" s="608"/>
      <c r="P77" s="608"/>
      <c r="Q77" s="608"/>
      <c r="R77" s="608"/>
      <c r="S77" s="608"/>
      <c r="T77" s="608"/>
      <c r="U77" s="608"/>
      <c r="V77" s="608"/>
      <c r="W77" s="608"/>
      <c r="X77" s="608"/>
      <c r="Y77" s="608"/>
      <c r="Z77" s="608"/>
      <c r="AA77" s="608"/>
      <c r="AB77" s="608"/>
      <c r="AC77" s="608"/>
      <c r="AD77" s="608"/>
      <c r="AE77" s="608"/>
      <c r="AF77" s="608"/>
      <c r="AG77" s="608"/>
      <c r="AH77" s="865">
        <f t="shared" si="17"/>
        <v>0</v>
      </c>
    </row>
    <row r="78" spans="1:43" ht="12" hidden="1">
      <c r="A78" s="1518" t="s">
        <v>80</v>
      </c>
      <c r="B78" s="158">
        <f t="shared" si="16"/>
        <v>0</v>
      </c>
      <c r="C78" s="608"/>
      <c r="D78" s="608"/>
      <c r="E78" s="608"/>
      <c r="F78" s="608"/>
      <c r="G78" s="608"/>
      <c r="H78" s="608"/>
      <c r="I78" s="608"/>
      <c r="J78" s="608"/>
      <c r="K78" s="608"/>
      <c r="L78" s="608"/>
      <c r="M78" s="608"/>
      <c r="N78" s="608"/>
      <c r="O78" s="608"/>
      <c r="P78" s="608"/>
      <c r="Q78" s="608"/>
      <c r="R78" s="608"/>
      <c r="S78" s="608"/>
      <c r="T78" s="608"/>
      <c r="U78" s="608"/>
      <c r="V78" s="608"/>
      <c r="W78" s="608"/>
      <c r="X78" s="608"/>
      <c r="Y78" s="608"/>
      <c r="Z78" s="608"/>
      <c r="AA78" s="608"/>
      <c r="AB78" s="608"/>
      <c r="AC78" s="608"/>
      <c r="AD78" s="608"/>
      <c r="AE78" s="608"/>
      <c r="AF78" s="608"/>
      <c r="AG78" s="608"/>
      <c r="AH78" s="865">
        <f t="shared" si="17"/>
        <v>0</v>
      </c>
    </row>
    <row r="79" spans="1:43" ht="12" hidden="1">
      <c r="A79" s="1518" t="s">
        <v>81</v>
      </c>
      <c r="B79" s="158">
        <f t="shared" si="16"/>
        <v>0</v>
      </c>
      <c r="C79" s="608"/>
      <c r="D79" s="608"/>
      <c r="E79" s="608"/>
      <c r="F79" s="608"/>
      <c r="G79" s="608"/>
      <c r="H79" s="608"/>
      <c r="I79" s="608"/>
      <c r="J79" s="608"/>
      <c r="K79" s="608"/>
      <c r="L79" s="608"/>
      <c r="M79" s="608"/>
      <c r="N79" s="608"/>
      <c r="O79" s="608"/>
      <c r="P79" s="608"/>
      <c r="Q79" s="608"/>
      <c r="R79" s="608"/>
      <c r="S79" s="608"/>
      <c r="T79" s="608"/>
      <c r="U79" s="608"/>
      <c r="V79" s="608"/>
      <c r="W79" s="608"/>
      <c r="X79" s="608"/>
      <c r="Y79" s="608"/>
      <c r="Z79" s="608"/>
      <c r="AA79" s="608"/>
      <c r="AB79" s="608"/>
      <c r="AC79" s="608"/>
      <c r="AD79" s="608"/>
      <c r="AE79" s="608"/>
      <c r="AF79" s="608"/>
      <c r="AG79" s="608"/>
      <c r="AH79" s="865">
        <f t="shared" si="17"/>
        <v>0</v>
      </c>
    </row>
    <row r="80" spans="1:43" ht="12" hidden="1">
      <c r="A80" s="1519" t="s">
        <v>82</v>
      </c>
      <c r="B80" s="158">
        <f t="shared" si="16"/>
        <v>0</v>
      </c>
      <c r="C80" s="608"/>
      <c r="D80" s="608"/>
      <c r="E80" s="608"/>
      <c r="F80" s="608"/>
      <c r="G80" s="608"/>
      <c r="H80" s="608"/>
      <c r="I80" s="608"/>
      <c r="J80" s="608"/>
      <c r="K80" s="608"/>
      <c r="L80" s="608"/>
      <c r="M80" s="608"/>
      <c r="N80" s="608"/>
      <c r="O80" s="608"/>
      <c r="P80" s="608"/>
      <c r="Q80" s="608"/>
      <c r="R80" s="608"/>
      <c r="S80" s="608"/>
      <c r="T80" s="608"/>
      <c r="U80" s="608"/>
      <c r="V80" s="608"/>
      <c r="W80" s="608"/>
      <c r="X80" s="608"/>
      <c r="Y80" s="608"/>
      <c r="Z80" s="608"/>
      <c r="AA80" s="608"/>
      <c r="AB80" s="608"/>
      <c r="AC80" s="608"/>
      <c r="AD80" s="608"/>
      <c r="AE80" s="608"/>
      <c r="AF80" s="608"/>
      <c r="AG80" s="608"/>
      <c r="AH80" s="865">
        <f>SUM(C80:AG80)</f>
        <v>0</v>
      </c>
    </row>
    <row r="81" spans="1:36" ht="12" hidden="1">
      <c r="A81" s="1519" t="s">
        <v>83</v>
      </c>
      <c r="B81" s="158">
        <f t="shared" si="16"/>
        <v>0</v>
      </c>
      <c r="D81" s="228"/>
      <c r="E81" s="228"/>
      <c r="F81" s="228"/>
      <c r="G81" s="228"/>
      <c r="H81" s="228"/>
      <c r="I81" s="228"/>
      <c r="J81" s="228"/>
      <c r="K81" s="228"/>
      <c r="L81" s="228"/>
      <c r="M81" s="228"/>
      <c r="N81" s="228"/>
      <c r="O81" s="228"/>
      <c r="P81" s="228"/>
      <c r="Q81" s="228"/>
      <c r="R81" s="228"/>
      <c r="S81" s="228"/>
      <c r="T81" s="608"/>
      <c r="U81" s="608"/>
      <c r="V81" s="608"/>
      <c r="W81" s="608"/>
      <c r="X81" s="608"/>
      <c r="Y81" s="608"/>
      <c r="Z81" s="608"/>
      <c r="AA81" s="608"/>
      <c r="AB81" s="608"/>
      <c r="AC81" s="608"/>
      <c r="AD81" s="608"/>
      <c r="AE81" s="608"/>
      <c r="AF81" s="608"/>
      <c r="AG81" s="608"/>
      <c r="AH81" s="865">
        <f>SUM(C81:AG81)</f>
        <v>0</v>
      </c>
    </row>
    <row r="82" spans="1:36" ht="12" hidden="1">
      <c r="A82" s="1519" t="s">
        <v>84</v>
      </c>
      <c r="B82" s="158">
        <f t="shared" si="16"/>
        <v>0</v>
      </c>
      <c r="C82" s="608"/>
      <c r="D82" s="608"/>
      <c r="E82" s="608"/>
      <c r="F82" s="608"/>
      <c r="G82" s="608"/>
      <c r="H82" s="608"/>
      <c r="I82" s="608"/>
      <c r="J82" s="608"/>
      <c r="K82" s="608"/>
      <c r="L82" s="608"/>
      <c r="M82" s="608"/>
      <c r="N82" s="608"/>
      <c r="O82" s="608"/>
      <c r="P82" s="608"/>
      <c r="Q82" s="608"/>
      <c r="R82" s="608"/>
      <c r="S82" s="608"/>
      <c r="T82" s="608"/>
      <c r="U82" s="608"/>
      <c r="V82" s="608"/>
      <c r="W82" s="608"/>
      <c r="X82" s="608"/>
      <c r="Y82" s="608"/>
      <c r="Z82" s="608"/>
      <c r="AA82" s="608"/>
      <c r="AB82" s="608"/>
      <c r="AC82" s="608"/>
      <c r="AD82" s="608"/>
      <c r="AE82" s="608"/>
      <c r="AF82" s="608"/>
      <c r="AG82" s="608"/>
      <c r="AH82" s="865">
        <f t="shared" ref="AH82" si="18">SUM(C82:AG82)</f>
        <v>0</v>
      </c>
    </row>
    <row r="83" spans="1:36" ht="12" hidden="1">
      <c r="A83" s="598" t="s">
        <v>72</v>
      </c>
      <c r="B83" s="1116">
        <f>SUM(B71:B82)</f>
        <v>0</v>
      </c>
      <c r="C83" s="1117">
        <f t="shared" ref="C83:AH83" si="19">SUM(C71:C82)</f>
        <v>0</v>
      </c>
      <c r="D83" s="1117">
        <f t="shared" si="19"/>
        <v>0</v>
      </c>
      <c r="E83" s="1117">
        <f t="shared" si="19"/>
        <v>0</v>
      </c>
      <c r="F83" s="1117">
        <f t="shared" si="19"/>
        <v>0</v>
      </c>
      <c r="G83" s="1117">
        <f t="shared" si="19"/>
        <v>0</v>
      </c>
      <c r="H83" s="1117">
        <f t="shared" si="19"/>
        <v>0</v>
      </c>
      <c r="I83" s="1117">
        <f t="shared" si="19"/>
        <v>0</v>
      </c>
      <c r="J83" s="1117">
        <f t="shared" si="19"/>
        <v>0</v>
      </c>
      <c r="K83" s="1117">
        <f t="shared" si="19"/>
        <v>0</v>
      </c>
      <c r="L83" s="1117">
        <f t="shared" si="19"/>
        <v>0</v>
      </c>
      <c r="M83" s="1117">
        <f t="shared" si="19"/>
        <v>0</v>
      </c>
      <c r="N83" s="1117">
        <f t="shared" si="19"/>
        <v>0</v>
      </c>
      <c r="O83" s="1117">
        <f t="shared" si="19"/>
        <v>0</v>
      </c>
      <c r="P83" s="1117">
        <f t="shared" si="19"/>
        <v>0</v>
      </c>
      <c r="Q83" s="1117">
        <f t="shared" si="19"/>
        <v>0</v>
      </c>
      <c r="R83" s="1117">
        <f t="shared" si="19"/>
        <v>0</v>
      </c>
      <c r="S83" s="1117">
        <f t="shared" si="19"/>
        <v>0</v>
      </c>
      <c r="T83" s="1117">
        <f t="shared" si="19"/>
        <v>0</v>
      </c>
      <c r="U83" s="1117">
        <f t="shared" si="19"/>
        <v>0</v>
      </c>
      <c r="V83" s="1117">
        <f t="shared" si="19"/>
        <v>0</v>
      </c>
      <c r="W83" s="1117">
        <f t="shared" si="19"/>
        <v>0</v>
      </c>
      <c r="X83" s="1117">
        <f t="shared" si="19"/>
        <v>0</v>
      </c>
      <c r="Y83" s="1117">
        <f t="shared" si="19"/>
        <v>0</v>
      </c>
      <c r="Z83" s="1117">
        <f t="shared" si="19"/>
        <v>0</v>
      </c>
      <c r="AA83" s="1117">
        <f t="shared" si="19"/>
        <v>0</v>
      </c>
      <c r="AB83" s="1117">
        <f t="shared" si="19"/>
        <v>0</v>
      </c>
      <c r="AC83" s="1117">
        <f t="shared" si="19"/>
        <v>0</v>
      </c>
      <c r="AD83" s="1117">
        <f t="shared" si="19"/>
        <v>0</v>
      </c>
      <c r="AE83" s="1117">
        <f t="shared" si="19"/>
        <v>0</v>
      </c>
      <c r="AF83" s="1117">
        <f t="shared" si="19"/>
        <v>0</v>
      </c>
      <c r="AG83" s="1117">
        <f t="shared" si="19"/>
        <v>0</v>
      </c>
      <c r="AH83" s="151">
        <f t="shared" si="19"/>
        <v>0</v>
      </c>
    </row>
    <row r="84" spans="1:36" ht="12">
      <c r="A84" s="145"/>
      <c r="B84" s="597"/>
      <c r="C84" s="145"/>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145"/>
    </row>
    <row r="85" spans="1:36" ht="12">
      <c r="A85" s="3882" t="s">
        <v>67</v>
      </c>
      <c r="B85" s="3883"/>
      <c r="C85" s="3884"/>
      <c r="D85" s="3599">
        <v>42003</v>
      </c>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145"/>
    </row>
    <row r="86" spans="1:36" ht="13.8">
      <c r="A86" s="567" t="s">
        <v>70</v>
      </c>
      <c r="B86" s="235" t="s">
        <v>71</v>
      </c>
      <c r="C86" s="146">
        <v>1</v>
      </c>
      <c r="D86" s="147">
        <v>2</v>
      </c>
      <c r="E86" s="147">
        <v>3</v>
      </c>
      <c r="F86" s="147">
        <v>4</v>
      </c>
      <c r="G86" s="147">
        <v>5</v>
      </c>
      <c r="H86" s="147">
        <v>6</v>
      </c>
      <c r="I86" s="147">
        <v>7</v>
      </c>
      <c r="J86" s="147">
        <v>8</v>
      </c>
      <c r="K86" s="147">
        <v>9</v>
      </c>
      <c r="L86" s="147">
        <v>10</v>
      </c>
      <c r="M86" s="147">
        <v>11</v>
      </c>
      <c r="N86" s="147">
        <v>12</v>
      </c>
      <c r="O86" s="147">
        <v>13</v>
      </c>
      <c r="P86" s="147">
        <v>14</v>
      </c>
      <c r="Q86" s="147">
        <v>15</v>
      </c>
      <c r="R86" s="147">
        <v>16</v>
      </c>
      <c r="S86" s="147">
        <v>17</v>
      </c>
      <c r="T86" s="147">
        <v>18</v>
      </c>
      <c r="U86" s="147">
        <v>19</v>
      </c>
      <c r="V86" s="147">
        <v>20</v>
      </c>
      <c r="W86" s="147">
        <v>21</v>
      </c>
      <c r="X86" s="147">
        <v>22</v>
      </c>
      <c r="Y86" s="147">
        <v>23</v>
      </c>
      <c r="Z86" s="147">
        <v>24</v>
      </c>
      <c r="AA86" s="147">
        <v>25</v>
      </c>
      <c r="AB86" s="147">
        <v>26</v>
      </c>
      <c r="AC86" s="147">
        <v>27</v>
      </c>
      <c r="AD86" s="147">
        <v>28</v>
      </c>
      <c r="AE86" s="147">
        <v>29</v>
      </c>
      <c r="AF86" s="147">
        <v>30</v>
      </c>
      <c r="AG86" s="147">
        <v>31</v>
      </c>
      <c r="AH86" s="146" t="s">
        <v>72</v>
      </c>
      <c r="AI86" s="2266" t="s">
        <v>1345</v>
      </c>
      <c r="AJ86" s="66">
        <f>(B99/COUNTIF($C$87:$AG$98,"&gt;0"))</f>
        <v>3.44E-2</v>
      </c>
    </row>
    <row r="87" spans="1:36" ht="13.8">
      <c r="A87" s="1728" t="s">
        <v>73</v>
      </c>
      <c r="B87" s="158">
        <f t="shared" ref="B87:B98" si="20">+AH87</f>
        <v>7.0000000000000007E-2</v>
      </c>
      <c r="C87" s="2519"/>
      <c r="D87" s="2520"/>
      <c r="E87" s="2520"/>
      <c r="F87" s="2520"/>
      <c r="G87" s="2520"/>
      <c r="H87" s="2520">
        <v>0.05</v>
      </c>
      <c r="I87" s="2520"/>
      <c r="J87" s="2520"/>
      <c r="K87" s="2520"/>
      <c r="L87" s="2520"/>
      <c r="M87" s="2520"/>
      <c r="N87" s="2520">
        <v>0.01</v>
      </c>
      <c r="O87" s="2520"/>
      <c r="P87" s="2520">
        <v>0.01</v>
      </c>
      <c r="Q87" s="605"/>
      <c r="R87" s="605"/>
      <c r="S87" s="605"/>
      <c r="T87" s="605"/>
      <c r="U87" s="605"/>
      <c r="V87" s="605"/>
      <c r="W87" s="605"/>
      <c r="X87" s="605"/>
      <c r="Y87" s="605"/>
      <c r="Z87" s="605"/>
      <c r="AA87" s="605"/>
      <c r="AB87" s="605"/>
      <c r="AC87" s="605"/>
      <c r="AD87" s="605"/>
      <c r="AE87" s="605"/>
      <c r="AF87" s="605"/>
      <c r="AG87" s="605"/>
      <c r="AH87" s="151">
        <f>SUM(C87:AG87)</f>
        <v>7.0000000000000007E-2</v>
      </c>
      <c r="AJ87" s="137">
        <f>+'Res. Global'!J44</f>
        <v>11.484</v>
      </c>
    </row>
    <row r="88" spans="1:36" ht="12">
      <c r="A88" s="1728" t="s">
        <v>74</v>
      </c>
      <c r="B88" s="158">
        <f t="shared" si="20"/>
        <v>0</v>
      </c>
      <c r="C88" s="151"/>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51">
        <f t="shared" ref="AH88:AH98" si="21">SUM(C88:AG88)</f>
        <v>0</v>
      </c>
      <c r="AJ88" s="3217">
        <f>+AJ87/AJ86</f>
        <v>333.83720930232556</v>
      </c>
    </row>
    <row r="89" spans="1:36" ht="12">
      <c r="A89" s="1728" t="s">
        <v>75</v>
      </c>
      <c r="B89" s="158">
        <f t="shared" si="20"/>
        <v>0</v>
      </c>
      <c r="C89" s="793"/>
      <c r="D89" s="377"/>
      <c r="E89" s="377"/>
      <c r="F89" s="377"/>
      <c r="G89" s="377"/>
      <c r="H89" s="377"/>
      <c r="I89" s="377"/>
      <c r="J89" s="377"/>
      <c r="K89" s="377"/>
      <c r="L89" s="377"/>
      <c r="M89" s="377"/>
      <c r="N89" s="377"/>
      <c r="O89" s="377"/>
      <c r="P89" s="377"/>
      <c r="Q89" s="377"/>
      <c r="R89" s="377"/>
      <c r="S89" s="377"/>
      <c r="T89" s="377"/>
      <c r="U89" s="377"/>
      <c r="V89" s="377"/>
      <c r="W89" s="377"/>
      <c r="X89" s="377"/>
      <c r="Y89" s="377"/>
      <c r="Z89" s="377"/>
      <c r="AA89" s="377"/>
      <c r="AB89" s="377"/>
      <c r="AC89" s="377"/>
      <c r="AD89" s="377"/>
      <c r="AE89" s="377"/>
      <c r="AF89" s="377"/>
      <c r="AG89" s="377"/>
      <c r="AH89" s="151">
        <f t="shared" si="21"/>
        <v>0</v>
      </c>
    </row>
    <row r="90" spans="1:36" ht="12">
      <c r="A90" s="1728" t="s">
        <v>76</v>
      </c>
      <c r="B90" s="158">
        <f t="shared" si="20"/>
        <v>0</v>
      </c>
      <c r="C90" s="793"/>
      <c r="D90" s="377"/>
      <c r="E90" s="377"/>
      <c r="F90" s="377"/>
      <c r="G90" s="377"/>
      <c r="H90" s="377"/>
      <c r="I90" s="377"/>
      <c r="J90" s="377"/>
      <c r="K90" s="377"/>
      <c r="L90" s="377"/>
      <c r="M90" s="377"/>
      <c r="N90" s="377"/>
      <c r="O90" s="377"/>
      <c r="P90" s="377"/>
      <c r="Q90" s="377"/>
      <c r="R90" s="377"/>
      <c r="S90" s="377"/>
      <c r="T90" s="377"/>
      <c r="U90" s="377"/>
      <c r="V90" s="377"/>
      <c r="W90" s="377"/>
      <c r="X90" s="377"/>
      <c r="Y90" s="377"/>
      <c r="Z90" s="377"/>
      <c r="AA90" s="377"/>
      <c r="AB90" s="377"/>
      <c r="AC90" s="377"/>
      <c r="AD90" s="377"/>
      <c r="AE90" s="377"/>
      <c r="AF90" s="377"/>
      <c r="AG90" s="377"/>
      <c r="AH90" s="151">
        <f t="shared" si="21"/>
        <v>0</v>
      </c>
    </row>
    <row r="91" spans="1:36" ht="12">
      <c r="A91" s="1728" t="s">
        <v>77</v>
      </c>
      <c r="B91" s="158">
        <f t="shared" si="20"/>
        <v>0</v>
      </c>
      <c r="C91" s="793"/>
      <c r="D91" s="377"/>
      <c r="E91" s="377"/>
      <c r="F91" s="377"/>
      <c r="G91" s="377"/>
      <c r="H91" s="377"/>
      <c r="I91" s="377"/>
      <c r="J91" s="377"/>
      <c r="K91" s="377"/>
      <c r="L91" s="377"/>
      <c r="M91" s="377"/>
      <c r="N91" s="377"/>
      <c r="O91" s="377"/>
      <c r="P91" s="377"/>
      <c r="Q91" s="377"/>
      <c r="R91" s="377"/>
      <c r="S91" s="377"/>
      <c r="T91" s="377"/>
      <c r="U91" s="377"/>
      <c r="V91" s="377"/>
      <c r="W91" s="377"/>
      <c r="X91" s="377"/>
      <c r="Y91" s="377"/>
      <c r="Z91" s="377"/>
      <c r="AA91" s="377"/>
      <c r="AB91" s="377"/>
      <c r="AC91" s="377"/>
      <c r="AD91" s="377"/>
      <c r="AE91" s="377"/>
      <c r="AF91" s="377"/>
      <c r="AG91" s="377"/>
      <c r="AH91" s="151">
        <f t="shared" si="21"/>
        <v>0</v>
      </c>
    </row>
    <row r="92" spans="1:36" ht="12">
      <c r="A92" s="1728" t="s">
        <v>78</v>
      </c>
      <c r="B92" s="158">
        <f t="shared" si="20"/>
        <v>0</v>
      </c>
      <c r="C92" s="151"/>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51">
        <f t="shared" si="21"/>
        <v>0</v>
      </c>
    </row>
    <row r="93" spans="1:36" ht="12">
      <c r="A93" s="1728" t="s">
        <v>79</v>
      </c>
      <c r="B93" s="158">
        <f t="shared" si="20"/>
        <v>0</v>
      </c>
      <c r="C93" s="151"/>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51">
        <f t="shared" si="21"/>
        <v>0</v>
      </c>
    </row>
    <row r="94" spans="1:36" ht="12">
      <c r="A94" s="1728" t="s">
        <v>80</v>
      </c>
      <c r="B94" s="158">
        <f t="shared" si="20"/>
        <v>0</v>
      </c>
      <c r="C94" s="151"/>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51">
        <f t="shared" si="21"/>
        <v>0</v>
      </c>
    </row>
    <row r="95" spans="1:36" ht="12">
      <c r="A95" s="1728" t="s">
        <v>81</v>
      </c>
      <c r="B95" s="158">
        <f t="shared" si="20"/>
        <v>0</v>
      </c>
      <c r="C95" s="151"/>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51">
        <f t="shared" si="21"/>
        <v>0</v>
      </c>
    </row>
    <row r="96" spans="1:36" ht="12">
      <c r="A96" s="1519" t="s">
        <v>82</v>
      </c>
      <c r="B96" s="158">
        <f t="shared" si="20"/>
        <v>1.0999999999999999E-2</v>
      </c>
      <c r="C96" s="151"/>
      <c r="D96" s="130"/>
      <c r="E96" s="130"/>
      <c r="F96" s="130"/>
      <c r="G96" s="130"/>
      <c r="H96" s="130"/>
      <c r="I96" s="130">
        <v>1E-3</v>
      </c>
      <c r="J96" s="130"/>
      <c r="K96" s="130"/>
      <c r="L96" s="130"/>
      <c r="M96" s="130"/>
      <c r="N96" s="130"/>
      <c r="O96" s="130"/>
      <c r="P96" s="130"/>
      <c r="Q96" s="130"/>
      <c r="R96" s="130"/>
      <c r="S96" s="130"/>
      <c r="T96" s="130"/>
      <c r="U96" s="130"/>
      <c r="V96" s="130"/>
      <c r="W96" s="130"/>
      <c r="X96" s="130"/>
      <c r="Y96" s="130"/>
      <c r="Z96" s="130"/>
      <c r="AA96" s="130">
        <v>0.01</v>
      </c>
      <c r="AB96" s="130"/>
      <c r="AC96" s="130"/>
      <c r="AD96" s="130"/>
      <c r="AE96" s="130"/>
      <c r="AF96" s="130"/>
      <c r="AG96" s="130"/>
      <c r="AH96" s="151">
        <f t="shared" si="21"/>
        <v>1.0999999999999999E-2</v>
      </c>
    </row>
    <row r="97" spans="1:36" ht="12">
      <c r="A97" s="1519" t="s">
        <v>83</v>
      </c>
      <c r="B97" s="158">
        <f t="shared" si="20"/>
        <v>0.30499999999999999</v>
      </c>
      <c r="C97" s="151">
        <v>0.05</v>
      </c>
      <c r="D97" s="130">
        <v>2.5000000000000001E-2</v>
      </c>
      <c r="E97" s="130"/>
      <c r="F97" s="130"/>
      <c r="G97" s="130"/>
      <c r="H97" s="130"/>
      <c r="I97" s="130"/>
      <c r="J97" s="130"/>
      <c r="K97" s="130"/>
      <c r="L97" s="130"/>
      <c r="M97" s="130"/>
      <c r="N97" s="130"/>
      <c r="O97" s="130">
        <v>0.04</v>
      </c>
      <c r="P97" s="130"/>
      <c r="Q97" s="130">
        <v>0.02</v>
      </c>
      <c r="R97" s="130">
        <v>0.04</v>
      </c>
      <c r="S97" s="130"/>
      <c r="T97" s="130"/>
      <c r="U97" s="130"/>
      <c r="V97" s="130"/>
      <c r="W97" s="130">
        <v>0.09</v>
      </c>
      <c r="X97" s="130"/>
      <c r="Y97" s="130"/>
      <c r="Z97" s="130"/>
      <c r="AA97" s="130"/>
      <c r="AB97" s="130">
        <v>0.04</v>
      </c>
      <c r="AC97" s="130"/>
      <c r="AD97" s="130"/>
      <c r="AE97" s="130"/>
      <c r="AF97" s="130"/>
      <c r="AG97" s="130"/>
      <c r="AH97" s="151">
        <f t="shared" si="21"/>
        <v>0.30499999999999999</v>
      </c>
    </row>
    <row r="98" spans="1:36" ht="12">
      <c r="A98" s="1519" t="s">
        <v>84</v>
      </c>
      <c r="B98" s="158">
        <f t="shared" si="20"/>
        <v>0.13</v>
      </c>
      <c r="C98" s="151"/>
      <c r="D98" s="130"/>
      <c r="E98" s="130"/>
      <c r="F98" s="130"/>
      <c r="G98" s="130"/>
      <c r="H98" s="130"/>
      <c r="I98" s="130">
        <v>0.04</v>
      </c>
      <c r="J98" s="130">
        <v>0.05</v>
      </c>
      <c r="K98" s="130">
        <v>0.04</v>
      </c>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51">
        <f t="shared" si="21"/>
        <v>0.13</v>
      </c>
    </row>
    <row r="99" spans="1:36" ht="12">
      <c r="A99" s="598" t="s">
        <v>72</v>
      </c>
      <c r="B99" s="1115">
        <f t="shared" ref="B99:AH99" si="22">SUM(B87:B98)</f>
        <v>0.51600000000000001</v>
      </c>
      <c r="C99" s="151">
        <f t="shared" si="22"/>
        <v>0.05</v>
      </c>
      <c r="D99" s="151">
        <f t="shared" si="22"/>
        <v>2.5000000000000001E-2</v>
      </c>
      <c r="E99" s="151">
        <f t="shared" si="22"/>
        <v>0</v>
      </c>
      <c r="F99" s="151">
        <f t="shared" si="22"/>
        <v>0</v>
      </c>
      <c r="G99" s="151">
        <f t="shared" si="22"/>
        <v>0</v>
      </c>
      <c r="H99" s="151">
        <f t="shared" si="22"/>
        <v>0.05</v>
      </c>
      <c r="I99" s="151">
        <f t="shared" si="22"/>
        <v>4.1000000000000002E-2</v>
      </c>
      <c r="J99" s="151">
        <f t="shared" si="22"/>
        <v>0.05</v>
      </c>
      <c r="K99" s="151">
        <f t="shared" si="22"/>
        <v>0.04</v>
      </c>
      <c r="L99" s="151">
        <f t="shared" si="22"/>
        <v>0</v>
      </c>
      <c r="M99" s="151">
        <f t="shared" si="22"/>
        <v>0</v>
      </c>
      <c r="N99" s="151">
        <f t="shared" si="22"/>
        <v>0.01</v>
      </c>
      <c r="O99" s="151">
        <f t="shared" si="22"/>
        <v>0.04</v>
      </c>
      <c r="P99" s="151">
        <f t="shared" si="22"/>
        <v>0.01</v>
      </c>
      <c r="Q99" s="151">
        <f t="shared" si="22"/>
        <v>0.02</v>
      </c>
      <c r="R99" s="151">
        <f t="shared" si="22"/>
        <v>0.04</v>
      </c>
      <c r="S99" s="151">
        <f t="shared" si="22"/>
        <v>0</v>
      </c>
      <c r="T99" s="151">
        <f t="shared" si="22"/>
        <v>0</v>
      </c>
      <c r="U99" s="151">
        <f t="shared" si="22"/>
        <v>0</v>
      </c>
      <c r="V99" s="151">
        <f t="shared" si="22"/>
        <v>0</v>
      </c>
      <c r="W99" s="151">
        <f t="shared" si="22"/>
        <v>0.09</v>
      </c>
      <c r="X99" s="151">
        <f t="shared" si="22"/>
        <v>0</v>
      </c>
      <c r="Y99" s="151">
        <f t="shared" si="22"/>
        <v>0</v>
      </c>
      <c r="Z99" s="151">
        <f t="shared" si="22"/>
        <v>0</v>
      </c>
      <c r="AA99" s="151">
        <f t="shared" si="22"/>
        <v>0.01</v>
      </c>
      <c r="AB99" s="151">
        <f t="shared" si="22"/>
        <v>0.04</v>
      </c>
      <c r="AC99" s="151">
        <f t="shared" si="22"/>
        <v>0</v>
      </c>
      <c r="AD99" s="151">
        <f t="shared" si="22"/>
        <v>0</v>
      </c>
      <c r="AE99" s="151">
        <f t="shared" si="22"/>
        <v>0</v>
      </c>
      <c r="AF99" s="151">
        <f t="shared" si="22"/>
        <v>0</v>
      </c>
      <c r="AG99" s="151">
        <f t="shared" si="22"/>
        <v>0</v>
      </c>
      <c r="AH99" s="151">
        <f t="shared" si="22"/>
        <v>0.51600000000000001</v>
      </c>
    </row>
    <row r="100" spans="1:36" ht="12">
      <c r="A100" s="145"/>
      <c r="B100" s="597"/>
      <c r="C100" s="145"/>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145"/>
    </row>
    <row r="101" spans="1:36" ht="12">
      <c r="A101" s="3882" t="s">
        <v>68</v>
      </c>
      <c r="B101" s="3883"/>
      <c r="C101" s="3884"/>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145"/>
    </row>
    <row r="102" spans="1:36" ht="13.8">
      <c r="A102" s="146" t="s">
        <v>70</v>
      </c>
      <c r="B102" s="158" t="s">
        <v>71</v>
      </c>
      <c r="C102" s="146">
        <v>1</v>
      </c>
      <c r="D102" s="147">
        <v>2</v>
      </c>
      <c r="E102" s="147">
        <v>3</v>
      </c>
      <c r="F102" s="147">
        <v>4</v>
      </c>
      <c r="G102" s="147">
        <v>5</v>
      </c>
      <c r="H102" s="147">
        <v>6</v>
      </c>
      <c r="I102" s="147">
        <v>7</v>
      </c>
      <c r="J102" s="147">
        <v>8</v>
      </c>
      <c r="K102" s="147">
        <v>9</v>
      </c>
      <c r="L102" s="147">
        <v>10</v>
      </c>
      <c r="M102" s="147">
        <v>11</v>
      </c>
      <c r="N102" s="147">
        <v>12</v>
      </c>
      <c r="O102" s="147">
        <v>13</v>
      </c>
      <c r="P102" s="147">
        <v>14</v>
      </c>
      <c r="Q102" s="147">
        <v>15</v>
      </c>
      <c r="R102" s="147">
        <v>16</v>
      </c>
      <c r="S102" s="147">
        <v>17</v>
      </c>
      <c r="T102" s="147">
        <v>18</v>
      </c>
      <c r="U102" s="147">
        <v>19</v>
      </c>
      <c r="V102" s="147">
        <v>20</v>
      </c>
      <c r="W102" s="147">
        <v>21</v>
      </c>
      <c r="X102" s="147">
        <v>22</v>
      </c>
      <c r="Y102" s="147">
        <v>23</v>
      </c>
      <c r="Z102" s="147">
        <v>24</v>
      </c>
      <c r="AA102" s="147">
        <v>25</v>
      </c>
      <c r="AB102" s="147">
        <v>26</v>
      </c>
      <c r="AC102" s="147">
        <v>27</v>
      </c>
      <c r="AD102" s="147">
        <v>28</v>
      </c>
      <c r="AE102" s="147">
        <v>29</v>
      </c>
      <c r="AF102" s="147">
        <v>30</v>
      </c>
      <c r="AG102" s="147">
        <v>31</v>
      </c>
      <c r="AH102" s="146" t="s">
        <v>72</v>
      </c>
      <c r="AI102" s="2266" t="s">
        <v>1345</v>
      </c>
      <c r="AJ102" s="66">
        <f>(B115/COUNTIF($C$103:$AG$114,"&gt;0"))</f>
        <v>0.8698305084745761</v>
      </c>
    </row>
    <row r="103" spans="1:36" ht="12">
      <c r="A103" s="1728" t="s">
        <v>73</v>
      </c>
      <c r="B103" s="2055">
        <f t="shared" ref="B103:B114" si="23">+AH103</f>
        <v>0.84700000000000009</v>
      </c>
      <c r="C103" s="828"/>
      <c r="D103" s="828"/>
      <c r="E103" s="828"/>
      <c r="F103" s="828"/>
      <c r="G103" s="828"/>
      <c r="H103" s="828"/>
      <c r="I103" s="828"/>
      <c r="J103" s="828"/>
      <c r="K103" s="828">
        <v>5.3999999999999999E-2</v>
      </c>
      <c r="L103" s="828"/>
      <c r="M103" s="828"/>
      <c r="N103" s="828"/>
      <c r="O103" s="828">
        <v>0.106</v>
      </c>
      <c r="P103" s="828"/>
      <c r="Q103" s="828"/>
      <c r="R103" s="828"/>
      <c r="S103" s="828"/>
      <c r="T103" s="828">
        <v>0.01</v>
      </c>
      <c r="U103" s="828"/>
      <c r="V103" s="828">
        <v>0.55000000000000004</v>
      </c>
      <c r="W103" s="828"/>
      <c r="X103" s="828"/>
      <c r="Y103" s="828"/>
      <c r="Z103" s="828"/>
      <c r="AA103" s="828"/>
      <c r="AB103" s="828"/>
      <c r="AC103" s="828"/>
      <c r="AD103" s="828"/>
      <c r="AE103" s="828"/>
      <c r="AF103" s="828">
        <v>2.7E-2</v>
      </c>
      <c r="AG103" s="828">
        <v>0.1</v>
      </c>
      <c r="AH103" s="151">
        <f>SUM(C103:AG103)</f>
        <v>0.84700000000000009</v>
      </c>
      <c r="AJ103" s="137">
        <f>+'Res. Global'!J46</f>
        <v>44.680000000000007</v>
      </c>
    </row>
    <row r="104" spans="1:36" ht="12">
      <c r="A104" s="1728" t="s">
        <v>74</v>
      </c>
      <c r="B104" s="2056">
        <f t="shared" si="23"/>
        <v>0.35799999999999998</v>
      </c>
      <c r="C104" s="828"/>
      <c r="D104" s="828"/>
      <c r="E104" s="828"/>
      <c r="F104" s="828"/>
      <c r="G104" s="828">
        <v>0.03</v>
      </c>
      <c r="H104" s="828"/>
      <c r="I104" s="828"/>
      <c r="J104" s="828"/>
      <c r="K104" s="828"/>
      <c r="L104" s="828"/>
      <c r="M104" s="828">
        <v>0.12</v>
      </c>
      <c r="N104" s="828"/>
      <c r="O104" s="828">
        <v>4.0000000000000001E-3</v>
      </c>
      <c r="P104" s="828"/>
      <c r="Q104" s="828">
        <v>0.06</v>
      </c>
      <c r="R104" s="828"/>
      <c r="S104" s="828"/>
      <c r="T104" s="828">
        <v>5.0000000000000001E-3</v>
      </c>
      <c r="U104" s="828">
        <v>1.2E-2</v>
      </c>
      <c r="V104" s="828"/>
      <c r="W104" s="828"/>
      <c r="X104" s="828"/>
      <c r="Y104" s="828"/>
      <c r="Z104" s="828">
        <v>0.02</v>
      </c>
      <c r="AA104" s="828">
        <v>7.6999999999999999E-2</v>
      </c>
      <c r="AB104" s="828">
        <v>0.03</v>
      </c>
      <c r="AC104" s="828"/>
      <c r="AD104" s="828"/>
      <c r="AE104" s="828"/>
      <c r="AF104" s="828"/>
      <c r="AG104" s="828"/>
      <c r="AH104" s="151">
        <f t="shared" ref="AH104:AH114" si="24">SUM(C104:AG104)</f>
        <v>0.35799999999999998</v>
      </c>
      <c r="AJ104" s="3217">
        <f>+AJ103/AJ102</f>
        <v>51.366328916601731</v>
      </c>
    </row>
    <row r="105" spans="1:36" ht="12">
      <c r="A105" s="1728" t="s">
        <v>75</v>
      </c>
      <c r="B105" s="2055">
        <f t="shared" si="23"/>
        <v>26.103999999999999</v>
      </c>
      <c r="C105" s="828">
        <v>0.2</v>
      </c>
      <c r="D105" s="828">
        <v>0.1</v>
      </c>
      <c r="E105" s="828">
        <v>0.32</v>
      </c>
      <c r="F105" s="828"/>
      <c r="G105" s="828"/>
      <c r="H105" s="828">
        <v>0.05</v>
      </c>
      <c r="I105" s="828"/>
      <c r="J105" s="828"/>
      <c r="K105" s="828"/>
      <c r="L105" s="828"/>
      <c r="M105" s="828">
        <v>1.35</v>
      </c>
      <c r="N105" s="828"/>
      <c r="O105" s="828"/>
      <c r="P105" s="828">
        <v>7.9000000000000001E-2</v>
      </c>
      <c r="Q105" s="828"/>
      <c r="R105" s="828"/>
      <c r="S105" s="828"/>
      <c r="T105" s="828"/>
      <c r="U105" s="828"/>
      <c r="V105" s="828"/>
      <c r="W105" s="828">
        <v>0.81</v>
      </c>
      <c r="X105" s="828"/>
      <c r="Y105" s="828"/>
      <c r="Z105" s="828"/>
      <c r="AA105" s="828"/>
      <c r="AB105" s="828">
        <v>0.05</v>
      </c>
      <c r="AC105" s="828">
        <v>21.292999999999999</v>
      </c>
      <c r="AD105" s="828">
        <v>2.1999999999999999E-2</v>
      </c>
      <c r="AE105" s="828"/>
      <c r="AF105" s="828"/>
      <c r="AG105" s="828">
        <v>1.83</v>
      </c>
      <c r="AH105" s="151">
        <f t="shared" si="24"/>
        <v>26.103999999999999</v>
      </c>
    </row>
    <row r="106" spans="1:36" ht="12">
      <c r="A106" s="1728" t="s">
        <v>76</v>
      </c>
      <c r="B106" s="158">
        <f t="shared" si="23"/>
        <v>3.6579999999999999</v>
      </c>
      <c r="C106" s="828">
        <v>2.8000000000000001E-2</v>
      </c>
      <c r="D106" s="828">
        <v>2.8000000000000001E-2</v>
      </c>
      <c r="E106" s="828"/>
      <c r="F106" s="828"/>
      <c r="G106" s="828"/>
      <c r="H106" s="828"/>
      <c r="I106" s="828">
        <v>0.94499999999999995</v>
      </c>
      <c r="J106" s="828"/>
      <c r="K106" s="828">
        <v>0.495</v>
      </c>
      <c r="L106" s="828"/>
      <c r="M106" s="828"/>
      <c r="N106" s="828"/>
      <c r="O106" s="828"/>
      <c r="P106" s="828">
        <v>7.4999999999999997E-2</v>
      </c>
      <c r="Q106" s="828">
        <v>0.01</v>
      </c>
      <c r="R106" s="828">
        <v>5.0000000000000001E-3</v>
      </c>
      <c r="S106" s="828"/>
      <c r="T106" s="828"/>
      <c r="U106" s="828"/>
      <c r="V106" s="828"/>
      <c r="W106" s="828">
        <v>2.7E-2</v>
      </c>
      <c r="X106" s="828"/>
      <c r="Y106" s="828"/>
      <c r="Z106" s="828"/>
      <c r="AA106" s="828">
        <v>2.0059999999999998</v>
      </c>
      <c r="AB106" s="828"/>
      <c r="AC106" s="828"/>
      <c r="AD106" s="828"/>
      <c r="AE106" s="828">
        <v>7.0000000000000001E-3</v>
      </c>
      <c r="AF106" s="828">
        <v>3.2000000000000001E-2</v>
      </c>
      <c r="AG106" s="828"/>
      <c r="AH106" s="151">
        <f t="shared" si="24"/>
        <v>3.6579999999999999</v>
      </c>
    </row>
    <row r="107" spans="1:36" ht="12">
      <c r="A107" s="1728" t="s">
        <v>77</v>
      </c>
      <c r="B107" s="158">
        <f t="shared" si="23"/>
        <v>0.04</v>
      </c>
      <c r="C107" s="828"/>
      <c r="D107" s="828"/>
      <c r="E107" s="828"/>
      <c r="F107" s="828"/>
      <c r="G107" s="828"/>
      <c r="H107" s="828"/>
      <c r="I107" s="828"/>
      <c r="J107" s="828"/>
      <c r="K107" s="828"/>
      <c r="L107" s="828"/>
      <c r="M107" s="828"/>
      <c r="N107" s="828">
        <v>0.02</v>
      </c>
      <c r="O107" s="828"/>
      <c r="P107" s="828"/>
      <c r="Q107" s="828"/>
      <c r="R107" s="828"/>
      <c r="S107" s="828"/>
      <c r="T107" s="828"/>
      <c r="U107" s="828"/>
      <c r="V107" s="828"/>
      <c r="W107" s="828"/>
      <c r="X107" s="828"/>
      <c r="Y107" s="828">
        <v>0.01</v>
      </c>
      <c r="Z107" s="828"/>
      <c r="AA107" s="828"/>
      <c r="AB107" s="828">
        <v>0.01</v>
      </c>
      <c r="AC107" s="828"/>
      <c r="AD107" s="828"/>
      <c r="AE107" s="828"/>
      <c r="AF107" s="828"/>
      <c r="AG107" s="828"/>
      <c r="AH107" s="151">
        <f t="shared" si="24"/>
        <v>0.04</v>
      </c>
    </row>
    <row r="108" spans="1:36" ht="12">
      <c r="A108" s="1728" t="s">
        <v>78</v>
      </c>
      <c r="B108" s="158">
        <f t="shared" si="23"/>
        <v>6.3E-2</v>
      </c>
      <c r="C108" s="828"/>
      <c r="D108" s="828"/>
      <c r="E108" s="828"/>
      <c r="F108" s="828"/>
      <c r="G108" s="828"/>
      <c r="H108" s="828"/>
      <c r="I108" s="828"/>
      <c r="J108" s="828"/>
      <c r="K108" s="828">
        <v>0.03</v>
      </c>
      <c r="L108" s="828"/>
      <c r="M108" s="828"/>
      <c r="N108" s="828"/>
      <c r="O108" s="828"/>
      <c r="P108" s="828"/>
      <c r="Q108" s="828"/>
      <c r="R108" s="828"/>
      <c r="S108" s="828">
        <v>8.0000000000000002E-3</v>
      </c>
      <c r="T108" s="828"/>
      <c r="U108" s="828"/>
      <c r="V108" s="828">
        <v>2.5000000000000001E-2</v>
      </c>
      <c r="W108" s="828"/>
      <c r="X108" s="828"/>
      <c r="Y108" s="828"/>
      <c r="Z108" s="828"/>
      <c r="AA108" s="828"/>
      <c r="AB108" s="828"/>
      <c r="AC108" s="828"/>
      <c r="AD108" s="828"/>
      <c r="AE108" s="828"/>
      <c r="AF108" s="828"/>
      <c r="AG108" s="828"/>
      <c r="AH108" s="151">
        <f t="shared" si="24"/>
        <v>6.3E-2</v>
      </c>
    </row>
    <row r="109" spans="1:36" ht="12">
      <c r="A109" s="1728" t="s">
        <v>79</v>
      </c>
      <c r="B109" s="158">
        <f t="shared" si="23"/>
        <v>7.6000000000000012E-2</v>
      </c>
      <c r="C109" s="898"/>
      <c r="D109" s="828"/>
      <c r="E109" s="828">
        <v>0.03</v>
      </c>
      <c r="F109" s="828"/>
      <c r="G109" s="828"/>
      <c r="H109" s="828">
        <v>4.0000000000000001E-3</v>
      </c>
      <c r="I109" s="828"/>
      <c r="J109" s="828"/>
      <c r="K109" s="828"/>
      <c r="L109" s="828"/>
      <c r="M109" s="828">
        <v>3.5000000000000003E-2</v>
      </c>
      <c r="N109" s="828">
        <v>4.0000000000000001E-3</v>
      </c>
      <c r="O109" s="828"/>
      <c r="P109" s="828"/>
      <c r="Q109" s="828"/>
      <c r="R109" s="828"/>
      <c r="S109" s="828"/>
      <c r="T109" s="828"/>
      <c r="U109" s="828"/>
      <c r="V109" s="828"/>
      <c r="W109" s="828">
        <v>1E-3</v>
      </c>
      <c r="X109" s="828"/>
      <c r="Y109" s="828"/>
      <c r="Z109" s="828"/>
      <c r="AA109" s="828"/>
      <c r="AB109" s="828"/>
      <c r="AC109" s="828"/>
      <c r="AD109" s="828"/>
      <c r="AE109" s="828"/>
      <c r="AF109" s="828">
        <v>2E-3</v>
      </c>
      <c r="AG109" s="828"/>
      <c r="AH109" s="151">
        <f t="shared" si="24"/>
        <v>7.6000000000000012E-2</v>
      </c>
    </row>
    <row r="110" spans="1:36" ht="12">
      <c r="A110" s="1728" t="s">
        <v>80</v>
      </c>
      <c r="B110" s="158">
        <f t="shared" si="23"/>
        <v>20.141999999999999</v>
      </c>
      <c r="C110" s="898"/>
      <c r="D110" s="828"/>
      <c r="E110" s="828"/>
      <c r="F110" s="828"/>
      <c r="G110" s="828"/>
      <c r="H110" s="828"/>
      <c r="I110" s="828"/>
      <c r="J110" s="828"/>
      <c r="K110" s="828"/>
      <c r="L110" s="828">
        <v>0.01</v>
      </c>
      <c r="M110" s="828">
        <v>0.3</v>
      </c>
      <c r="N110" s="828"/>
      <c r="O110" s="828">
        <v>0.01</v>
      </c>
      <c r="P110" s="828"/>
      <c r="Q110" s="829"/>
      <c r="R110" s="829">
        <v>19.806999999999999</v>
      </c>
      <c r="S110" s="829"/>
      <c r="T110" s="829"/>
      <c r="U110" s="829"/>
      <c r="V110" s="829"/>
      <c r="W110" s="829"/>
      <c r="X110" s="829">
        <v>5.0000000000000001E-3</v>
      </c>
      <c r="Y110" s="829"/>
      <c r="Z110" s="829"/>
      <c r="AA110" s="829">
        <v>0.01</v>
      </c>
      <c r="AB110" s="829"/>
      <c r="AC110" s="829"/>
      <c r="AD110" s="829"/>
      <c r="AE110" s="829"/>
      <c r="AF110" s="829"/>
      <c r="AG110" s="829"/>
      <c r="AH110" s="151">
        <f t="shared" si="24"/>
        <v>20.141999999999999</v>
      </c>
    </row>
    <row r="111" spans="1:36" ht="12">
      <c r="A111" s="1728" t="s">
        <v>81</v>
      </c>
      <c r="B111" s="158">
        <f t="shared" si="23"/>
        <v>0</v>
      </c>
      <c r="C111" s="829"/>
      <c r="D111" s="829"/>
      <c r="E111" s="829"/>
      <c r="F111" s="829"/>
      <c r="G111" s="829"/>
      <c r="H111" s="829"/>
      <c r="I111" s="829"/>
      <c r="J111" s="829"/>
      <c r="K111" s="829"/>
      <c r="L111" s="829"/>
      <c r="M111" s="829"/>
      <c r="N111" s="829"/>
      <c r="O111" s="829"/>
      <c r="P111" s="829"/>
      <c r="Q111" s="829"/>
      <c r="R111" s="829"/>
      <c r="S111" s="829"/>
      <c r="T111" s="829"/>
      <c r="U111" s="829"/>
      <c r="V111" s="829"/>
      <c r="W111" s="829"/>
      <c r="X111" s="829"/>
      <c r="Y111" s="829"/>
      <c r="Z111" s="829"/>
      <c r="AA111" s="829"/>
      <c r="AB111" s="829"/>
      <c r="AC111" s="829"/>
      <c r="AD111" s="829"/>
      <c r="AE111" s="829"/>
      <c r="AF111" s="829"/>
      <c r="AG111" s="829"/>
      <c r="AH111" s="151">
        <f t="shared" si="24"/>
        <v>0</v>
      </c>
    </row>
    <row r="112" spans="1:36" ht="12">
      <c r="A112" s="1519" t="s">
        <v>82</v>
      </c>
      <c r="B112" s="158">
        <f t="shared" si="23"/>
        <v>3.2000000000000001E-2</v>
      </c>
      <c r="C112" s="898"/>
      <c r="D112" s="1118"/>
      <c r="E112" s="828">
        <v>0.01</v>
      </c>
      <c r="F112" s="828"/>
      <c r="G112" s="828"/>
      <c r="H112" s="828">
        <v>2E-3</v>
      </c>
      <c r="I112" s="828"/>
      <c r="J112" s="828"/>
      <c r="K112" s="828"/>
      <c r="L112" s="828"/>
      <c r="M112" s="828"/>
      <c r="N112" s="828"/>
      <c r="O112" s="828"/>
      <c r="P112" s="828"/>
      <c r="Q112" s="828">
        <v>0.01</v>
      </c>
      <c r="R112" s="828"/>
      <c r="S112" s="828">
        <v>0.01</v>
      </c>
      <c r="T112" s="828"/>
      <c r="U112" s="828"/>
      <c r="V112" s="828"/>
      <c r="W112" s="828"/>
      <c r="X112" s="828"/>
      <c r="Y112" s="828"/>
      <c r="Z112" s="828"/>
      <c r="AA112" s="828"/>
      <c r="AB112" s="828"/>
      <c r="AC112" s="828"/>
      <c r="AD112" s="828"/>
      <c r="AE112" s="828"/>
      <c r="AF112" s="828"/>
      <c r="AG112" s="828"/>
      <c r="AH112" s="151">
        <f t="shared" si="24"/>
        <v>3.2000000000000001E-2</v>
      </c>
    </row>
    <row r="113" spans="1:36" ht="12">
      <c r="A113" s="1519" t="s">
        <v>83</v>
      </c>
      <c r="B113" s="158">
        <f t="shared" si="23"/>
        <v>0</v>
      </c>
      <c r="C113" s="1119"/>
      <c r="D113" s="1120"/>
      <c r="E113" s="1121"/>
      <c r="F113" s="828"/>
      <c r="G113" s="828"/>
      <c r="H113" s="828"/>
      <c r="I113" s="828"/>
      <c r="J113" s="828"/>
      <c r="K113" s="828"/>
      <c r="L113" s="828"/>
      <c r="M113" s="828"/>
      <c r="N113" s="828"/>
      <c r="O113" s="828"/>
      <c r="P113" s="828"/>
      <c r="Q113" s="828"/>
      <c r="R113" s="828"/>
      <c r="S113" s="828"/>
      <c r="T113" s="828"/>
      <c r="U113" s="828"/>
      <c r="V113" s="828"/>
      <c r="W113" s="828"/>
      <c r="X113" s="828"/>
      <c r="Y113" s="828"/>
      <c r="Z113" s="828"/>
      <c r="AA113" s="828"/>
      <c r="AB113" s="828"/>
      <c r="AC113" s="828"/>
      <c r="AD113" s="828"/>
      <c r="AE113" s="828"/>
      <c r="AF113" s="828"/>
      <c r="AG113" s="828"/>
      <c r="AH113" s="151">
        <f t="shared" si="24"/>
        <v>0</v>
      </c>
    </row>
    <row r="114" spans="1:36" ht="12">
      <c r="A114" s="1519" t="s">
        <v>84</v>
      </c>
      <c r="B114" s="158">
        <f t="shared" si="23"/>
        <v>0</v>
      </c>
      <c r="C114" s="828"/>
      <c r="D114" s="1122"/>
      <c r="E114" s="828"/>
      <c r="F114" s="828"/>
      <c r="G114" s="828"/>
      <c r="H114" s="828"/>
      <c r="I114" s="828"/>
      <c r="J114" s="828"/>
      <c r="K114" s="828"/>
      <c r="L114" s="828"/>
      <c r="M114" s="828"/>
      <c r="N114" s="828"/>
      <c r="O114" s="828"/>
      <c r="P114" s="828"/>
      <c r="Q114" s="828"/>
      <c r="R114" s="828"/>
      <c r="S114" s="828"/>
      <c r="T114" s="828"/>
      <c r="U114" s="828"/>
      <c r="V114" s="828"/>
      <c r="W114" s="828"/>
      <c r="X114" s="828"/>
      <c r="Y114" s="828"/>
      <c r="Z114" s="828"/>
      <c r="AA114" s="828"/>
      <c r="AB114" s="828"/>
      <c r="AC114" s="828"/>
      <c r="AD114" s="828"/>
      <c r="AE114" s="828"/>
      <c r="AF114" s="828"/>
      <c r="AG114" s="828"/>
      <c r="AH114" s="151">
        <f t="shared" si="24"/>
        <v>0</v>
      </c>
    </row>
    <row r="115" spans="1:36" ht="12">
      <c r="A115" s="598" t="s">
        <v>72</v>
      </c>
      <c r="B115" s="1115">
        <f t="shared" ref="B115:AH115" si="25">SUM(B103:B114)</f>
        <v>51.319999999999993</v>
      </c>
      <c r="C115" s="151">
        <f>SUM(C103:C114)</f>
        <v>0.22800000000000001</v>
      </c>
      <c r="D115" s="151">
        <f t="shared" si="25"/>
        <v>0.128</v>
      </c>
      <c r="E115" s="151">
        <f t="shared" si="25"/>
        <v>0.36</v>
      </c>
      <c r="F115" s="151">
        <f t="shared" si="25"/>
        <v>0</v>
      </c>
      <c r="G115" s="151">
        <f t="shared" si="25"/>
        <v>0.03</v>
      </c>
      <c r="H115" s="151">
        <f t="shared" si="25"/>
        <v>5.6000000000000008E-2</v>
      </c>
      <c r="I115" s="151">
        <f t="shared" si="25"/>
        <v>0.94499999999999995</v>
      </c>
      <c r="J115" s="151">
        <f t="shared" si="25"/>
        <v>0</v>
      </c>
      <c r="K115" s="151">
        <f t="shared" si="25"/>
        <v>0.57900000000000007</v>
      </c>
      <c r="L115" s="151">
        <f t="shared" si="25"/>
        <v>0.01</v>
      </c>
      <c r="M115" s="151">
        <f t="shared" si="25"/>
        <v>1.8050000000000002</v>
      </c>
      <c r="N115" s="151">
        <f t="shared" si="25"/>
        <v>2.4E-2</v>
      </c>
      <c r="O115" s="151">
        <f t="shared" si="25"/>
        <v>0.12</v>
      </c>
      <c r="P115" s="151">
        <f t="shared" si="25"/>
        <v>0.154</v>
      </c>
      <c r="Q115" s="151">
        <f t="shared" si="25"/>
        <v>7.9999999999999988E-2</v>
      </c>
      <c r="R115" s="151">
        <f t="shared" si="25"/>
        <v>19.811999999999998</v>
      </c>
      <c r="S115" s="151">
        <f t="shared" si="25"/>
        <v>1.8000000000000002E-2</v>
      </c>
      <c r="T115" s="151">
        <f t="shared" si="25"/>
        <v>1.4999999999999999E-2</v>
      </c>
      <c r="U115" s="151">
        <f t="shared" si="25"/>
        <v>1.2E-2</v>
      </c>
      <c r="V115" s="151">
        <f t="shared" si="25"/>
        <v>0.57500000000000007</v>
      </c>
      <c r="W115" s="151">
        <f t="shared" si="25"/>
        <v>0.83800000000000008</v>
      </c>
      <c r="X115" s="151">
        <f t="shared" si="25"/>
        <v>5.0000000000000001E-3</v>
      </c>
      <c r="Y115" s="151">
        <f t="shared" si="25"/>
        <v>0.01</v>
      </c>
      <c r="Z115" s="151">
        <f t="shared" si="25"/>
        <v>0.02</v>
      </c>
      <c r="AA115" s="151">
        <f t="shared" si="25"/>
        <v>2.0929999999999995</v>
      </c>
      <c r="AB115" s="151">
        <f t="shared" si="25"/>
        <v>0.09</v>
      </c>
      <c r="AC115" s="151">
        <f t="shared" si="25"/>
        <v>21.292999999999999</v>
      </c>
      <c r="AD115" s="151">
        <f t="shared" si="25"/>
        <v>2.1999999999999999E-2</v>
      </c>
      <c r="AE115" s="151">
        <f t="shared" si="25"/>
        <v>7.0000000000000001E-3</v>
      </c>
      <c r="AF115" s="151">
        <f t="shared" si="25"/>
        <v>6.0999999999999999E-2</v>
      </c>
      <c r="AG115" s="151">
        <f t="shared" si="25"/>
        <v>1.9300000000000002</v>
      </c>
      <c r="AH115" s="151">
        <f t="shared" si="25"/>
        <v>51.319999999999993</v>
      </c>
    </row>
    <row r="116" spans="1:36" ht="12">
      <c r="A116" s="145"/>
      <c r="B116" s="597"/>
      <c r="C116" s="145"/>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145"/>
    </row>
    <row r="117" spans="1:36" ht="12">
      <c r="A117" s="3885" t="s">
        <v>544</v>
      </c>
      <c r="B117" s="3883"/>
      <c r="C117" s="3884"/>
      <c r="D117" s="49"/>
      <c r="E117" s="51"/>
      <c r="F117" s="51"/>
      <c r="G117" s="51"/>
      <c r="H117" s="49"/>
      <c r="I117" s="49"/>
      <c r="J117" s="51"/>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145"/>
    </row>
    <row r="118" spans="1:36" ht="13.8">
      <c r="A118" s="146" t="s">
        <v>70</v>
      </c>
      <c r="B118" s="158" t="s">
        <v>71</v>
      </c>
      <c r="C118" s="146">
        <v>1</v>
      </c>
      <c r="D118" s="147">
        <v>2</v>
      </c>
      <c r="E118" s="147">
        <v>3</v>
      </c>
      <c r="F118" s="147">
        <v>4</v>
      </c>
      <c r="G118" s="147">
        <v>5</v>
      </c>
      <c r="H118" s="147">
        <v>6</v>
      </c>
      <c r="I118" s="147">
        <v>7</v>
      </c>
      <c r="J118" s="147">
        <v>8</v>
      </c>
      <c r="K118" s="147">
        <v>9</v>
      </c>
      <c r="L118" s="147">
        <v>10</v>
      </c>
      <c r="M118" s="147">
        <v>11</v>
      </c>
      <c r="N118" s="147">
        <v>12</v>
      </c>
      <c r="O118" s="147">
        <v>13</v>
      </c>
      <c r="P118" s="147">
        <v>14</v>
      </c>
      <c r="Q118" s="147">
        <v>15</v>
      </c>
      <c r="R118" s="147">
        <v>16</v>
      </c>
      <c r="S118" s="147">
        <v>17</v>
      </c>
      <c r="T118" s="147">
        <v>18</v>
      </c>
      <c r="U118" s="147">
        <v>19</v>
      </c>
      <c r="V118" s="147">
        <v>20</v>
      </c>
      <c r="W118" s="147">
        <v>21</v>
      </c>
      <c r="X118" s="147">
        <v>22</v>
      </c>
      <c r="Y118" s="147">
        <v>23</v>
      </c>
      <c r="Z118" s="147">
        <v>24</v>
      </c>
      <c r="AA118" s="147">
        <v>25</v>
      </c>
      <c r="AB118" s="147">
        <v>26</v>
      </c>
      <c r="AC118" s="147">
        <v>27</v>
      </c>
      <c r="AD118" s="147">
        <v>28</v>
      </c>
      <c r="AE118" s="147">
        <v>29</v>
      </c>
      <c r="AF118" s="147">
        <v>30</v>
      </c>
      <c r="AG118" s="147">
        <v>31</v>
      </c>
      <c r="AH118" s="146" t="s">
        <v>72</v>
      </c>
      <c r="AI118" s="2266" t="s">
        <v>1345</v>
      </c>
      <c r="AJ118" s="66">
        <f>(B131/COUNTIF($C$119:$AG$130,"&gt;0"))</f>
        <v>469.58052627894739</v>
      </c>
    </row>
    <row r="119" spans="1:36" ht="12">
      <c r="A119" s="1729" t="s">
        <v>73</v>
      </c>
      <c r="B119" s="1123">
        <f t="shared" ref="B119:B129" si="26">+AH119</f>
        <v>4060.1800000000003</v>
      </c>
      <c r="C119" s="1720"/>
      <c r="D119" s="1720"/>
      <c r="E119" s="1720"/>
      <c r="F119" s="1720"/>
      <c r="G119" s="1720"/>
      <c r="H119" s="1205"/>
      <c r="I119" s="1205"/>
      <c r="J119" s="1205"/>
      <c r="K119" s="1205">
        <v>531.1</v>
      </c>
      <c r="L119" s="1205"/>
      <c r="M119" s="1205"/>
      <c r="N119" s="1205"/>
      <c r="O119" s="1205">
        <f>574.8-531.1</f>
        <v>43.699999999999932</v>
      </c>
      <c r="P119" s="1205"/>
      <c r="Q119" s="1205">
        <v>101.86</v>
      </c>
      <c r="R119" s="1205"/>
      <c r="S119" s="1205"/>
      <c r="T119" s="1205">
        <v>159.33000000000001</v>
      </c>
      <c r="U119" s="130">
        <v>1934.04</v>
      </c>
      <c r="V119" s="130">
        <v>10.71</v>
      </c>
      <c r="W119" s="137">
        <v>423.86</v>
      </c>
      <c r="X119" s="130">
        <v>330.13</v>
      </c>
      <c r="Y119" s="130"/>
      <c r="Z119" s="130">
        <v>0.05</v>
      </c>
      <c r="AA119" s="130"/>
      <c r="AB119" s="130"/>
      <c r="AC119" s="130">
        <v>0.36</v>
      </c>
      <c r="AD119" s="130">
        <v>331.54</v>
      </c>
      <c r="AE119" s="130"/>
      <c r="AF119" s="130">
        <v>193.21</v>
      </c>
      <c r="AG119" s="2485">
        <v>0.28999999999999998</v>
      </c>
      <c r="AH119" s="151">
        <f>SUM(C119:AG119)</f>
        <v>4060.1800000000003</v>
      </c>
      <c r="AJ119" s="137">
        <f>+'Res. Global'!J48</f>
        <v>-2697.0299993000008</v>
      </c>
    </row>
    <row r="120" spans="1:36" ht="12">
      <c r="A120" s="1729" t="s">
        <v>74</v>
      </c>
      <c r="B120" s="1123">
        <f t="shared" si="26"/>
        <v>4861.8499992999996</v>
      </c>
      <c r="C120" s="1720">
        <v>1048.883333</v>
      </c>
      <c r="D120" s="1720">
        <v>1048.883333</v>
      </c>
      <c r="E120" s="1205">
        <v>1048.8833333</v>
      </c>
      <c r="F120" s="1720"/>
      <c r="G120" s="1205">
        <v>995.98</v>
      </c>
      <c r="H120" s="1205">
        <v>719.16</v>
      </c>
      <c r="I120" s="1720">
        <v>0.06</v>
      </c>
      <c r="J120" s="1720"/>
      <c r="K120" s="1205"/>
      <c r="L120" s="1205"/>
      <c r="M120" s="1720"/>
      <c r="N120" s="1205"/>
      <c r="O120" s="1205"/>
      <c r="P120" s="1205"/>
      <c r="Q120" s="1205"/>
      <c r="R120" s="1205"/>
      <c r="S120" s="1205"/>
      <c r="T120" s="1205"/>
      <c r="U120" s="130"/>
      <c r="V120" s="130"/>
      <c r="W120" s="130"/>
      <c r="X120" s="1205"/>
      <c r="Y120" s="130"/>
      <c r="Z120" s="130"/>
      <c r="AA120" s="130"/>
      <c r="AB120" s="130"/>
      <c r="AC120" s="130"/>
      <c r="AD120" s="130"/>
      <c r="AE120" s="130"/>
      <c r="AF120" s="130"/>
      <c r="AG120" s="130"/>
      <c r="AH120" s="151">
        <f>SUM(C120:AG120)</f>
        <v>4861.8499992999996</v>
      </c>
      <c r="AJ120" s="3217">
        <f>+AJ119/AJ118</f>
        <v>-5.7434877478242568</v>
      </c>
    </row>
    <row r="121" spans="1:36" ht="12">
      <c r="A121" s="1729" t="s">
        <v>75</v>
      </c>
      <c r="B121" s="1123">
        <f t="shared" si="26"/>
        <v>0</v>
      </c>
      <c r="C121" s="151"/>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51">
        <f>SUM(C121:AG121)</f>
        <v>0</v>
      </c>
    </row>
    <row r="122" spans="1:36" ht="12">
      <c r="A122" s="1729" t="s">
        <v>76</v>
      </c>
      <c r="B122" s="1123">
        <f t="shared" si="26"/>
        <v>0</v>
      </c>
      <c r="C122" s="151"/>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51">
        <f t="shared" ref="AH122:AH130" si="27">SUM(C122:AG122)</f>
        <v>0</v>
      </c>
    </row>
    <row r="123" spans="1:36" ht="12">
      <c r="A123" s="1729" t="s">
        <v>77</v>
      </c>
      <c r="B123" s="1123">
        <f t="shared" si="26"/>
        <v>0</v>
      </c>
      <c r="C123" s="151"/>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51">
        <f t="shared" si="27"/>
        <v>0</v>
      </c>
    </row>
    <row r="124" spans="1:36" ht="12">
      <c r="A124" s="1729" t="s">
        <v>78</v>
      </c>
      <c r="B124" s="1123">
        <f t="shared" si="26"/>
        <v>0</v>
      </c>
      <c r="C124" s="151"/>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51">
        <f t="shared" si="27"/>
        <v>0</v>
      </c>
    </row>
    <row r="125" spans="1:36" ht="12">
      <c r="A125" s="1729" t="s">
        <v>79</v>
      </c>
      <c r="B125" s="1123">
        <f t="shared" si="26"/>
        <v>0</v>
      </c>
      <c r="C125" s="151"/>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51">
        <f>SUM(C125:AG125)</f>
        <v>0</v>
      </c>
    </row>
    <row r="126" spans="1:36" ht="12">
      <c r="A126" s="1729" t="s">
        <v>80</v>
      </c>
      <c r="B126" s="1123">
        <f t="shared" si="26"/>
        <v>0</v>
      </c>
      <c r="C126" s="151"/>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51">
        <f t="shared" si="27"/>
        <v>0</v>
      </c>
    </row>
    <row r="127" spans="1:36" ht="12">
      <c r="A127" s="1729" t="s">
        <v>81</v>
      </c>
      <c r="B127" s="1123">
        <f t="shared" si="26"/>
        <v>0</v>
      </c>
      <c r="C127" s="2172"/>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51">
        <f t="shared" si="27"/>
        <v>0</v>
      </c>
    </row>
    <row r="128" spans="1:36" ht="12">
      <c r="A128" s="1519" t="s">
        <v>82</v>
      </c>
      <c r="B128" s="1123">
        <f t="shared" si="26"/>
        <v>0</v>
      </c>
      <c r="C128" s="151"/>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51">
        <f t="shared" si="27"/>
        <v>0</v>
      </c>
    </row>
    <row r="129" spans="1:36" ht="12">
      <c r="A129" s="1519" t="s">
        <v>83</v>
      </c>
      <c r="B129" s="1123">
        <f t="shared" si="26"/>
        <v>0</v>
      </c>
      <c r="C129" s="151"/>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51">
        <f t="shared" si="27"/>
        <v>0</v>
      </c>
    </row>
    <row r="130" spans="1:36" ht="12">
      <c r="A130" s="1519" t="s">
        <v>84</v>
      </c>
      <c r="B130" s="1123">
        <f>+AH130</f>
        <v>0</v>
      </c>
      <c r="C130" s="151"/>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51">
        <f t="shared" si="27"/>
        <v>0</v>
      </c>
    </row>
    <row r="131" spans="1:36" ht="12">
      <c r="A131" s="598" t="s">
        <v>72</v>
      </c>
      <c r="B131" s="1115">
        <f t="shared" ref="B131:AH131" si="28">SUM(B119:B130)</f>
        <v>8922.0299993000008</v>
      </c>
      <c r="C131" s="151">
        <f>SUM(C119:C130)</f>
        <v>1048.883333</v>
      </c>
      <c r="D131" s="151">
        <f t="shared" si="28"/>
        <v>1048.883333</v>
      </c>
      <c r="E131" s="151">
        <f t="shared" si="28"/>
        <v>1048.8833333</v>
      </c>
      <c r="F131" s="151">
        <f t="shared" si="28"/>
        <v>0</v>
      </c>
      <c r="G131" s="151">
        <f t="shared" si="28"/>
        <v>995.98</v>
      </c>
      <c r="H131" s="151">
        <f t="shared" si="28"/>
        <v>719.16</v>
      </c>
      <c r="I131" s="151">
        <f t="shared" si="28"/>
        <v>0.06</v>
      </c>
      <c r="J131" s="151">
        <f t="shared" si="28"/>
        <v>0</v>
      </c>
      <c r="K131" s="151">
        <f t="shared" si="28"/>
        <v>531.1</v>
      </c>
      <c r="L131" s="151">
        <f t="shared" si="28"/>
        <v>0</v>
      </c>
      <c r="M131" s="151">
        <f t="shared" si="28"/>
        <v>0</v>
      </c>
      <c r="N131" s="151">
        <f t="shared" si="28"/>
        <v>0</v>
      </c>
      <c r="O131" s="151">
        <f t="shared" si="28"/>
        <v>43.699999999999932</v>
      </c>
      <c r="P131" s="151">
        <f t="shared" si="28"/>
        <v>0</v>
      </c>
      <c r="Q131" s="151">
        <f t="shared" si="28"/>
        <v>101.86</v>
      </c>
      <c r="R131" s="151">
        <f t="shared" si="28"/>
        <v>0</v>
      </c>
      <c r="S131" s="151">
        <f t="shared" si="28"/>
        <v>0</v>
      </c>
      <c r="T131" s="151">
        <f t="shared" si="28"/>
        <v>159.33000000000001</v>
      </c>
      <c r="U131" s="151">
        <f t="shared" si="28"/>
        <v>1934.04</v>
      </c>
      <c r="V131" s="151">
        <f t="shared" si="28"/>
        <v>10.71</v>
      </c>
      <c r="W131" s="151">
        <f t="shared" si="28"/>
        <v>423.86</v>
      </c>
      <c r="X131" s="151">
        <f t="shared" si="28"/>
        <v>330.13</v>
      </c>
      <c r="Y131" s="151">
        <f t="shared" si="28"/>
        <v>0</v>
      </c>
      <c r="Z131" s="151">
        <f t="shared" si="28"/>
        <v>0.05</v>
      </c>
      <c r="AA131" s="151">
        <f t="shared" si="28"/>
        <v>0</v>
      </c>
      <c r="AB131" s="151">
        <f t="shared" si="28"/>
        <v>0</v>
      </c>
      <c r="AC131" s="151">
        <f t="shared" si="28"/>
        <v>0.36</v>
      </c>
      <c r="AD131" s="151">
        <f t="shared" si="28"/>
        <v>331.54</v>
      </c>
      <c r="AE131" s="151">
        <f t="shared" si="28"/>
        <v>0</v>
      </c>
      <c r="AF131" s="151">
        <f t="shared" si="28"/>
        <v>193.21</v>
      </c>
      <c r="AG131" s="151">
        <f t="shared" si="28"/>
        <v>0.28999999999999998</v>
      </c>
      <c r="AH131" s="151">
        <f t="shared" si="28"/>
        <v>8922.0299993000008</v>
      </c>
    </row>
    <row r="132" spans="1:36" ht="12">
      <c r="A132" s="592"/>
      <c r="B132" s="593"/>
      <c r="C132" s="1124"/>
      <c r="D132" s="1125"/>
      <c r="E132" s="1126"/>
      <c r="F132" s="1125"/>
      <c r="G132" s="1125"/>
      <c r="H132" s="1125"/>
      <c r="I132" s="1125"/>
      <c r="J132" s="1125"/>
      <c r="K132" s="1125"/>
      <c r="L132" s="1125"/>
      <c r="M132" s="1125"/>
      <c r="N132" s="1125"/>
      <c r="O132" s="1125"/>
      <c r="P132" s="1125"/>
      <c r="Q132" s="1125"/>
      <c r="R132" s="1125"/>
      <c r="S132" s="1125"/>
      <c r="T132" s="1125"/>
      <c r="U132" s="1125"/>
      <c r="V132" s="1125"/>
      <c r="W132" s="1125"/>
      <c r="X132" s="1125"/>
      <c r="Y132" s="1125"/>
      <c r="Z132" s="1125"/>
      <c r="AA132" s="1125"/>
      <c r="AB132" s="1125"/>
      <c r="AC132" s="1125"/>
      <c r="AD132" s="1125"/>
      <c r="AE132" s="1125"/>
      <c r="AF132" s="1125"/>
      <c r="AG132" s="1125"/>
      <c r="AH132" s="1125"/>
    </row>
    <row r="133" spans="1:36" ht="12">
      <c r="A133" s="3882" t="s">
        <v>87</v>
      </c>
      <c r="B133" s="3883"/>
      <c r="C133" s="3884"/>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145"/>
    </row>
    <row r="134" spans="1:36" ht="13.8">
      <c r="A134" s="567" t="s">
        <v>70</v>
      </c>
      <c r="B134" s="235" t="s">
        <v>71</v>
      </c>
      <c r="C134" s="146">
        <v>1</v>
      </c>
      <c r="D134" s="147">
        <v>2</v>
      </c>
      <c r="E134" s="147">
        <v>3</v>
      </c>
      <c r="F134" s="147">
        <v>4</v>
      </c>
      <c r="G134" s="147">
        <v>5</v>
      </c>
      <c r="H134" s="147">
        <v>6</v>
      </c>
      <c r="I134" s="147">
        <v>7</v>
      </c>
      <c r="J134" s="147">
        <v>8</v>
      </c>
      <c r="K134" s="147">
        <v>9</v>
      </c>
      <c r="L134" s="147">
        <v>10</v>
      </c>
      <c r="M134" s="147">
        <v>11</v>
      </c>
      <c r="N134" s="147">
        <v>12</v>
      </c>
      <c r="O134" s="147">
        <v>13</v>
      </c>
      <c r="P134" s="147">
        <v>14</v>
      </c>
      <c r="Q134" s="147">
        <v>15</v>
      </c>
      <c r="R134" s="147">
        <v>16</v>
      </c>
      <c r="S134" s="147">
        <v>17</v>
      </c>
      <c r="T134" s="147">
        <v>18</v>
      </c>
      <c r="U134" s="147">
        <v>19</v>
      </c>
      <c r="V134" s="147">
        <v>20</v>
      </c>
      <c r="W134" s="147">
        <v>21</v>
      </c>
      <c r="X134" s="147">
        <v>22</v>
      </c>
      <c r="Y134" s="147">
        <v>23</v>
      </c>
      <c r="Z134" s="147">
        <v>24</v>
      </c>
      <c r="AA134" s="147">
        <v>25</v>
      </c>
      <c r="AB134" s="147">
        <v>26</v>
      </c>
      <c r="AC134" s="147">
        <v>27</v>
      </c>
      <c r="AD134" s="147">
        <v>28</v>
      </c>
      <c r="AE134" s="147">
        <v>29</v>
      </c>
      <c r="AF134" s="147">
        <v>30</v>
      </c>
      <c r="AG134" s="147">
        <v>31</v>
      </c>
      <c r="AH134" s="146" t="s">
        <v>72</v>
      </c>
      <c r="AI134" s="2266" t="s">
        <v>1345</v>
      </c>
      <c r="AJ134" s="66" t="e">
        <f>(B147/COUNTIF($C$135:$AG$146,"&gt;0"))</f>
        <v>#DIV/0!</v>
      </c>
    </row>
    <row r="135" spans="1:36" ht="12">
      <c r="A135" s="1729" t="s">
        <v>73</v>
      </c>
      <c r="B135" s="158">
        <f t="shared" ref="B135:B146" si="29">+AH135</f>
        <v>0</v>
      </c>
      <c r="C135" s="151"/>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51">
        <f>SUM(C135:AG135)</f>
        <v>0</v>
      </c>
    </row>
    <row r="136" spans="1:36" ht="12">
      <c r="A136" s="1729" t="s">
        <v>74</v>
      </c>
      <c r="B136" s="158">
        <f t="shared" si="29"/>
        <v>0</v>
      </c>
      <c r="C136" s="151"/>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51">
        <f t="shared" ref="AH136:AH146" si="30">SUM(C136:AG136)</f>
        <v>0</v>
      </c>
    </row>
    <row r="137" spans="1:36" ht="12">
      <c r="A137" s="1729" t="s">
        <v>75</v>
      </c>
      <c r="B137" s="158">
        <f t="shared" si="29"/>
        <v>0</v>
      </c>
      <c r="C137" s="151"/>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51">
        <f t="shared" si="30"/>
        <v>0</v>
      </c>
    </row>
    <row r="138" spans="1:36" ht="12">
      <c r="A138" s="1729" t="s">
        <v>76</v>
      </c>
      <c r="B138" s="158">
        <f t="shared" si="29"/>
        <v>0</v>
      </c>
      <c r="C138" s="151"/>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51">
        <f t="shared" si="30"/>
        <v>0</v>
      </c>
    </row>
    <row r="139" spans="1:36" ht="12">
      <c r="A139" s="1729" t="s">
        <v>77</v>
      </c>
      <c r="B139" s="158">
        <f t="shared" si="29"/>
        <v>0</v>
      </c>
      <c r="C139" s="151"/>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51">
        <f t="shared" si="30"/>
        <v>0</v>
      </c>
    </row>
    <row r="140" spans="1:36" ht="12">
      <c r="A140" s="1729" t="s">
        <v>78</v>
      </c>
      <c r="B140" s="158">
        <f t="shared" si="29"/>
        <v>0</v>
      </c>
      <c r="C140" s="151"/>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51">
        <f t="shared" si="30"/>
        <v>0</v>
      </c>
    </row>
    <row r="141" spans="1:36" ht="12">
      <c r="A141" s="1729" t="s">
        <v>79</v>
      </c>
      <c r="B141" s="158">
        <f t="shared" si="29"/>
        <v>0</v>
      </c>
      <c r="C141" s="151"/>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51">
        <f t="shared" si="30"/>
        <v>0</v>
      </c>
    </row>
    <row r="142" spans="1:36" ht="12">
      <c r="A142" s="1729" t="s">
        <v>80</v>
      </c>
      <c r="B142" s="158">
        <f t="shared" si="29"/>
        <v>0</v>
      </c>
      <c r="C142" s="151"/>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51">
        <f t="shared" si="30"/>
        <v>0</v>
      </c>
    </row>
    <row r="143" spans="1:36" ht="12">
      <c r="A143" s="1729" t="s">
        <v>81</v>
      </c>
      <c r="B143" s="158">
        <f t="shared" si="29"/>
        <v>0</v>
      </c>
      <c r="C143" s="151"/>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51">
        <f t="shared" si="30"/>
        <v>0</v>
      </c>
    </row>
    <row r="144" spans="1:36" ht="12">
      <c r="A144" s="1519" t="s">
        <v>82</v>
      </c>
      <c r="B144" s="158">
        <f t="shared" si="29"/>
        <v>0</v>
      </c>
      <c r="C144" s="151"/>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51">
        <f t="shared" si="30"/>
        <v>0</v>
      </c>
    </row>
    <row r="145" spans="1:34" ht="12">
      <c r="A145" s="1519" t="s">
        <v>83</v>
      </c>
      <c r="B145" s="158">
        <f t="shared" si="29"/>
        <v>0</v>
      </c>
      <c r="C145" s="151"/>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51">
        <f t="shared" si="30"/>
        <v>0</v>
      </c>
    </row>
    <row r="146" spans="1:34" ht="12">
      <c r="A146" s="1519" t="s">
        <v>84</v>
      </c>
      <c r="B146" s="158">
        <f t="shared" si="29"/>
        <v>0</v>
      </c>
      <c r="C146" s="151"/>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51">
        <f t="shared" si="30"/>
        <v>0</v>
      </c>
    </row>
    <row r="147" spans="1:34" ht="12">
      <c r="A147" s="598" t="s">
        <v>72</v>
      </c>
      <c r="B147" s="599">
        <f t="shared" ref="B147:AH147" si="31">SUM(B135:B146)</f>
        <v>0</v>
      </c>
      <c r="C147" s="151">
        <f t="shared" si="31"/>
        <v>0</v>
      </c>
      <c r="D147" s="151">
        <f t="shared" si="31"/>
        <v>0</v>
      </c>
      <c r="E147" s="151">
        <f t="shared" si="31"/>
        <v>0</v>
      </c>
      <c r="F147" s="151">
        <f t="shared" si="31"/>
        <v>0</v>
      </c>
      <c r="G147" s="151">
        <f t="shared" si="31"/>
        <v>0</v>
      </c>
      <c r="H147" s="151">
        <f t="shared" si="31"/>
        <v>0</v>
      </c>
      <c r="I147" s="151">
        <f t="shared" si="31"/>
        <v>0</v>
      </c>
      <c r="J147" s="151">
        <f t="shared" si="31"/>
        <v>0</v>
      </c>
      <c r="K147" s="151">
        <f t="shared" si="31"/>
        <v>0</v>
      </c>
      <c r="L147" s="151">
        <f t="shared" si="31"/>
        <v>0</v>
      </c>
      <c r="M147" s="151">
        <f t="shared" si="31"/>
        <v>0</v>
      </c>
      <c r="N147" s="151">
        <f t="shared" si="31"/>
        <v>0</v>
      </c>
      <c r="O147" s="151">
        <f t="shared" si="31"/>
        <v>0</v>
      </c>
      <c r="P147" s="151">
        <f t="shared" si="31"/>
        <v>0</v>
      </c>
      <c r="Q147" s="151">
        <f t="shared" si="31"/>
        <v>0</v>
      </c>
      <c r="R147" s="151">
        <f t="shared" si="31"/>
        <v>0</v>
      </c>
      <c r="S147" s="151">
        <f t="shared" si="31"/>
        <v>0</v>
      </c>
      <c r="T147" s="151">
        <f t="shared" si="31"/>
        <v>0</v>
      </c>
      <c r="U147" s="151">
        <f t="shared" si="31"/>
        <v>0</v>
      </c>
      <c r="V147" s="151">
        <f t="shared" si="31"/>
        <v>0</v>
      </c>
      <c r="W147" s="151">
        <f t="shared" si="31"/>
        <v>0</v>
      </c>
      <c r="X147" s="151">
        <f t="shared" si="31"/>
        <v>0</v>
      </c>
      <c r="Y147" s="151">
        <f t="shared" si="31"/>
        <v>0</v>
      </c>
      <c r="Z147" s="151">
        <f t="shared" si="31"/>
        <v>0</v>
      </c>
      <c r="AA147" s="151">
        <f t="shared" si="31"/>
        <v>0</v>
      </c>
      <c r="AB147" s="151">
        <f t="shared" si="31"/>
        <v>0</v>
      </c>
      <c r="AC147" s="151">
        <f t="shared" si="31"/>
        <v>0</v>
      </c>
      <c r="AD147" s="151">
        <f t="shared" si="31"/>
        <v>0</v>
      </c>
      <c r="AE147" s="151">
        <f t="shared" si="31"/>
        <v>0</v>
      </c>
      <c r="AF147" s="151">
        <f t="shared" si="31"/>
        <v>0</v>
      </c>
      <c r="AG147" s="151">
        <f t="shared" si="31"/>
        <v>0</v>
      </c>
      <c r="AH147" s="151">
        <f t="shared" si="31"/>
        <v>0</v>
      </c>
    </row>
    <row r="148" spans="1:34" ht="13.5" customHeight="1"/>
    <row r="149" spans="1:34" ht="12" hidden="1">
      <c r="A149" s="3882" t="s">
        <v>545</v>
      </c>
      <c r="B149" s="3883"/>
      <c r="C149" s="3884"/>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145"/>
    </row>
    <row r="150" spans="1:34" ht="12" hidden="1">
      <c r="A150" s="567" t="s">
        <v>70</v>
      </c>
      <c r="B150" s="235" t="s">
        <v>71</v>
      </c>
      <c r="C150" s="146">
        <v>1</v>
      </c>
      <c r="D150" s="147">
        <v>2</v>
      </c>
      <c r="E150" s="147">
        <v>3</v>
      </c>
      <c r="F150" s="147">
        <v>4</v>
      </c>
      <c r="G150" s="147">
        <v>5</v>
      </c>
      <c r="H150" s="147">
        <v>6</v>
      </c>
      <c r="I150" s="147">
        <v>7</v>
      </c>
      <c r="J150" s="147">
        <v>8</v>
      </c>
      <c r="K150" s="147">
        <v>9</v>
      </c>
      <c r="L150" s="147">
        <v>10</v>
      </c>
      <c r="M150" s="147">
        <v>11</v>
      </c>
      <c r="N150" s="147">
        <v>12</v>
      </c>
      <c r="O150" s="147">
        <v>13</v>
      </c>
      <c r="P150" s="147">
        <v>14</v>
      </c>
      <c r="Q150" s="147">
        <v>15</v>
      </c>
      <c r="R150" s="147">
        <v>16</v>
      </c>
      <c r="S150" s="147">
        <v>17</v>
      </c>
      <c r="T150" s="147">
        <v>18</v>
      </c>
      <c r="U150" s="147">
        <v>19</v>
      </c>
      <c r="V150" s="147">
        <v>20</v>
      </c>
      <c r="W150" s="147">
        <v>21</v>
      </c>
      <c r="X150" s="147">
        <v>22</v>
      </c>
      <c r="Y150" s="147">
        <v>23</v>
      </c>
      <c r="Z150" s="147">
        <v>24</v>
      </c>
      <c r="AA150" s="147">
        <v>25</v>
      </c>
      <c r="AB150" s="147">
        <v>26</v>
      </c>
      <c r="AC150" s="147">
        <v>27</v>
      </c>
      <c r="AD150" s="147">
        <v>28</v>
      </c>
      <c r="AE150" s="147">
        <v>29</v>
      </c>
      <c r="AF150" s="147">
        <v>30</v>
      </c>
      <c r="AG150" s="147">
        <v>31</v>
      </c>
      <c r="AH150" s="146" t="s">
        <v>72</v>
      </c>
    </row>
    <row r="151" spans="1:34" ht="12" hidden="1">
      <c r="A151" s="1073" t="s">
        <v>73</v>
      </c>
      <c r="B151" s="158">
        <f t="shared" ref="B151:B162" si="32">+AH151</f>
        <v>0</v>
      </c>
      <c r="C151" s="151"/>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51">
        <f>SUM(C151:AG151)</f>
        <v>0</v>
      </c>
    </row>
    <row r="152" spans="1:34" ht="12" hidden="1">
      <c r="A152" s="1073" t="s">
        <v>74</v>
      </c>
      <c r="B152" s="158">
        <f t="shared" si="32"/>
        <v>0</v>
      </c>
      <c r="C152" s="151"/>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51">
        <f t="shared" ref="AH152:AH162" si="33">SUM(C152:AG152)</f>
        <v>0</v>
      </c>
    </row>
    <row r="153" spans="1:34" ht="12" hidden="1">
      <c r="A153" s="1073" t="s">
        <v>75</v>
      </c>
      <c r="B153" s="158">
        <f t="shared" si="32"/>
        <v>0</v>
      </c>
      <c r="C153" s="151"/>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51">
        <f t="shared" si="33"/>
        <v>0</v>
      </c>
    </row>
    <row r="154" spans="1:34" ht="12" hidden="1">
      <c r="A154" s="1518" t="s">
        <v>76</v>
      </c>
      <c r="B154" s="158">
        <f t="shared" si="32"/>
        <v>0</v>
      </c>
      <c r="C154" s="151"/>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51">
        <f t="shared" si="33"/>
        <v>0</v>
      </c>
    </row>
    <row r="155" spans="1:34" ht="12" hidden="1">
      <c r="A155" s="1518" t="s">
        <v>77</v>
      </c>
      <c r="B155" s="158">
        <f t="shared" si="32"/>
        <v>0</v>
      </c>
      <c r="C155" s="151"/>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51">
        <f t="shared" si="33"/>
        <v>0</v>
      </c>
    </row>
    <row r="156" spans="1:34" ht="12" hidden="1">
      <c r="A156" s="1518" t="s">
        <v>78</v>
      </c>
      <c r="B156" s="158">
        <f t="shared" si="32"/>
        <v>0</v>
      </c>
      <c r="C156" s="151"/>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51">
        <f t="shared" si="33"/>
        <v>0</v>
      </c>
    </row>
    <row r="157" spans="1:34" ht="12" hidden="1">
      <c r="A157" s="1518" t="s">
        <v>79</v>
      </c>
      <c r="B157" s="158">
        <f t="shared" si="32"/>
        <v>0</v>
      </c>
      <c r="C157" s="151"/>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51">
        <f t="shared" si="33"/>
        <v>0</v>
      </c>
    </row>
    <row r="158" spans="1:34" ht="12" hidden="1">
      <c r="A158" s="1518" t="s">
        <v>80</v>
      </c>
      <c r="B158" s="158">
        <f t="shared" si="32"/>
        <v>0</v>
      </c>
      <c r="C158" s="151"/>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51">
        <f t="shared" si="33"/>
        <v>0</v>
      </c>
    </row>
    <row r="159" spans="1:34" ht="12" hidden="1">
      <c r="A159" s="1518" t="s">
        <v>81</v>
      </c>
      <c r="B159" s="158">
        <f t="shared" si="32"/>
        <v>0</v>
      </c>
      <c r="C159" s="151"/>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51">
        <f t="shared" si="33"/>
        <v>0</v>
      </c>
    </row>
    <row r="160" spans="1:34" ht="12" hidden="1">
      <c r="A160" s="1519" t="s">
        <v>82</v>
      </c>
      <c r="B160" s="158">
        <f t="shared" si="32"/>
        <v>0</v>
      </c>
      <c r="C160" s="151"/>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51">
        <f t="shared" si="33"/>
        <v>0</v>
      </c>
    </row>
    <row r="161" spans="1:34" ht="12" hidden="1">
      <c r="A161" s="1519" t="s">
        <v>83</v>
      </c>
      <c r="B161" s="158">
        <f t="shared" si="32"/>
        <v>0</v>
      </c>
      <c r="C161" s="151"/>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51">
        <f t="shared" si="33"/>
        <v>0</v>
      </c>
    </row>
    <row r="162" spans="1:34" ht="12" hidden="1">
      <c r="A162" s="1519" t="s">
        <v>84</v>
      </c>
      <c r="B162" s="158">
        <f t="shared" si="32"/>
        <v>0</v>
      </c>
      <c r="C162" s="151"/>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51">
        <f t="shared" si="33"/>
        <v>0</v>
      </c>
    </row>
    <row r="163" spans="1:34" ht="12" hidden="1">
      <c r="A163" s="598" t="s">
        <v>72</v>
      </c>
      <c r="B163" s="599">
        <f t="shared" ref="B163:AH163" si="34">SUM(B151:B162)</f>
        <v>0</v>
      </c>
      <c r="C163" s="151">
        <f t="shared" si="34"/>
        <v>0</v>
      </c>
      <c r="D163" s="151">
        <f t="shared" si="34"/>
        <v>0</v>
      </c>
      <c r="E163" s="151">
        <f t="shared" si="34"/>
        <v>0</v>
      </c>
      <c r="F163" s="151">
        <f t="shared" si="34"/>
        <v>0</v>
      </c>
      <c r="G163" s="151">
        <f t="shared" si="34"/>
        <v>0</v>
      </c>
      <c r="H163" s="151">
        <f t="shared" si="34"/>
        <v>0</v>
      </c>
      <c r="I163" s="151">
        <f t="shared" si="34"/>
        <v>0</v>
      </c>
      <c r="J163" s="151">
        <f t="shared" si="34"/>
        <v>0</v>
      </c>
      <c r="K163" s="151">
        <f t="shared" si="34"/>
        <v>0</v>
      </c>
      <c r="L163" s="151">
        <f t="shared" si="34"/>
        <v>0</v>
      </c>
      <c r="M163" s="151">
        <f t="shared" si="34"/>
        <v>0</v>
      </c>
      <c r="N163" s="151">
        <f t="shared" si="34"/>
        <v>0</v>
      </c>
      <c r="O163" s="151">
        <f t="shared" si="34"/>
        <v>0</v>
      </c>
      <c r="P163" s="151">
        <f t="shared" si="34"/>
        <v>0</v>
      </c>
      <c r="Q163" s="151">
        <f t="shared" si="34"/>
        <v>0</v>
      </c>
      <c r="R163" s="151">
        <f t="shared" si="34"/>
        <v>0</v>
      </c>
      <c r="S163" s="151">
        <f t="shared" si="34"/>
        <v>0</v>
      </c>
      <c r="T163" s="151">
        <f t="shared" si="34"/>
        <v>0</v>
      </c>
      <c r="U163" s="151">
        <f t="shared" si="34"/>
        <v>0</v>
      </c>
      <c r="V163" s="151">
        <f t="shared" si="34"/>
        <v>0</v>
      </c>
      <c r="W163" s="151">
        <f t="shared" si="34"/>
        <v>0</v>
      </c>
      <c r="X163" s="151">
        <f t="shared" si="34"/>
        <v>0</v>
      </c>
      <c r="Y163" s="151">
        <f t="shared" si="34"/>
        <v>0</v>
      </c>
      <c r="Z163" s="151">
        <f t="shared" si="34"/>
        <v>0</v>
      </c>
      <c r="AA163" s="151">
        <f t="shared" si="34"/>
        <v>0</v>
      </c>
      <c r="AB163" s="151">
        <f t="shared" si="34"/>
        <v>0</v>
      </c>
      <c r="AC163" s="151">
        <f t="shared" si="34"/>
        <v>0</v>
      </c>
      <c r="AD163" s="151">
        <f t="shared" si="34"/>
        <v>0</v>
      </c>
      <c r="AE163" s="151">
        <f t="shared" si="34"/>
        <v>0</v>
      </c>
      <c r="AF163" s="151">
        <f t="shared" si="34"/>
        <v>0</v>
      </c>
      <c r="AG163" s="151">
        <f t="shared" si="34"/>
        <v>0</v>
      </c>
      <c r="AH163" s="151">
        <f t="shared" si="34"/>
        <v>0</v>
      </c>
    </row>
    <row r="165" spans="1:34" ht="12" hidden="1">
      <c r="A165" s="3882" t="s">
        <v>546</v>
      </c>
      <c r="B165" s="3883"/>
      <c r="C165" s="3884"/>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145"/>
    </row>
    <row r="166" spans="1:34" ht="12" hidden="1">
      <c r="A166" s="567" t="s">
        <v>70</v>
      </c>
      <c r="B166" s="235" t="s">
        <v>71</v>
      </c>
      <c r="C166" s="146">
        <v>1</v>
      </c>
      <c r="D166" s="147">
        <v>2</v>
      </c>
      <c r="E166" s="147">
        <v>3</v>
      </c>
      <c r="F166" s="147">
        <v>4</v>
      </c>
      <c r="G166" s="147">
        <v>5</v>
      </c>
      <c r="H166" s="147">
        <v>6</v>
      </c>
      <c r="I166" s="147">
        <v>7</v>
      </c>
      <c r="J166" s="147">
        <v>8</v>
      </c>
      <c r="K166" s="147">
        <v>9</v>
      </c>
      <c r="L166" s="147">
        <v>10</v>
      </c>
      <c r="M166" s="147">
        <v>11</v>
      </c>
      <c r="N166" s="147">
        <v>12</v>
      </c>
      <c r="O166" s="147">
        <v>13</v>
      </c>
      <c r="P166" s="147">
        <v>14</v>
      </c>
      <c r="Q166" s="147">
        <v>15</v>
      </c>
      <c r="R166" s="147">
        <v>16</v>
      </c>
      <c r="S166" s="147">
        <v>17</v>
      </c>
      <c r="T166" s="147">
        <v>18</v>
      </c>
      <c r="U166" s="147">
        <v>19</v>
      </c>
      <c r="V166" s="147">
        <v>20</v>
      </c>
      <c r="W166" s="147">
        <v>21</v>
      </c>
      <c r="X166" s="147">
        <v>22</v>
      </c>
      <c r="Y166" s="147">
        <v>23</v>
      </c>
      <c r="Z166" s="147">
        <v>24</v>
      </c>
      <c r="AA166" s="147">
        <v>25</v>
      </c>
      <c r="AB166" s="147">
        <v>26</v>
      </c>
      <c r="AC166" s="147">
        <v>27</v>
      </c>
      <c r="AD166" s="147">
        <v>28</v>
      </c>
      <c r="AE166" s="147">
        <v>29</v>
      </c>
      <c r="AF166" s="147">
        <v>30</v>
      </c>
      <c r="AG166" s="147">
        <v>31</v>
      </c>
      <c r="AH166" s="146" t="s">
        <v>72</v>
      </c>
    </row>
    <row r="167" spans="1:34" ht="12" hidden="1">
      <c r="A167" s="1073" t="s">
        <v>73</v>
      </c>
      <c r="B167" s="158">
        <f t="shared" ref="B167:B178" si="35">+AH167</f>
        <v>0</v>
      </c>
      <c r="C167" s="151"/>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51">
        <f>SUM(C167:AG167)</f>
        <v>0</v>
      </c>
    </row>
    <row r="168" spans="1:34" ht="12" hidden="1">
      <c r="A168" s="1073" t="s">
        <v>74</v>
      </c>
      <c r="B168" s="158">
        <f t="shared" si="35"/>
        <v>0</v>
      </c>
      <c r="C168" s="151"/>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51">
        <f t="shared" ref="AH168:AH178" si="36">SUM(C168:AG168)</f>
        <v>0</v>
      </c>
    </row>
    <row r="169" spans="1:34" ht="12" hidden="1">
      <c r="A169" s="1073" t="s">
        <v>75</v>
      </c>
      <c r="B169" s="158">
        <f t="shared" si="35"/>
        <v>0</v>
      </c>
      <c r="C169" s="151"/>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51">
        <f t="shared" si="36"/>
        <v>0</v>
      </c>
    </row>
    <row r="170" spans="1:34" ht="12" hidden="1">
      <c r="A170" s="1518" t="s">
        <v>76</v>
      </c>
      <c r="B170" s="158">
        <f t="shared" si="35"/>
        <v>0</v>
      </c>
      <c r="C170" s="151"/>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51">
        <f t="shared" si="36"/>
        <v>0</v>
      </c>
    </row>
    <row r="171" spans="1:34" ht="12" hidden="1">
      <c r="A171" s="1518" t="s">
        <v>77</v>
      </c>
      <c r="B171" s="158">
        <f t="shared" si="35"/>
        <v>0</v>
      </c>
      <c r="C171" s="151"/>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51">
        <f t="shared" si="36"/>
        <v>0</v>
      </c>
    </row>
    <row r="172" spans="1:34" ht="12" hidden="1">
      <c r="A172" s="1518" t="s">
        <v>78</v>
      </c>
      <c r="B172" s="158">
        <f t="shared" si="35"/>
        <v>0</v>
      </c>
      <c r="C172" s="151"/>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51">
        <f t="shared" si="36"/>
        <v>0</v>
      </c>
    </row>
    <row r="173" spans="1:34" ht="12" hidden="1">
      <c r="A173" s="1518" t="s">
        <v>79</v>
      </c>
      <c r="B173" s="158">
        <f t="shared" si="35"/>
        <v>0</v>
      </c>
      <c r="C173" s="151"/>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51">
        <f t="shared" si="36"/>
        <v>0</v>
      </c>
    </row>
    <row r="174" spans="1:34" ht="12" hidden="1">
      <c r="A174" s="1518" t="s">
        <v>80</v>
      </c>
      <c r="B174" s="158">
        <f t="shared" si="35"/>
        <v>0</v>
      </c>
      <c r="C174" s="151"/>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51">
        <f t="shared" si="36"/>
        <v>0</v>
      </c>
    </row>
    <row r="175" spans="1:34" ht="12" hidden="1">
      <c r="A175" s="1518" t="s">
        <v>81</v>
      </c>
      <c r="B175" s="158">
        <f t="shared" si="35"/>
        <v>0</v>
      </c>
      <c r="C175" s="151"/>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51">
        <f t="shared" si="36"/>
        <v>0</v>
      </c>
    </row>
    <row r="176" spans="1:34" ht="12" hidden="1">
      <c r="A176" s="1519" t="s">
        <v>82</v>
      </c>
      <c r="B176" s="158">
        <f t="shared" si="35"/>
        <v>0</v>
      </c>
      <c r="C176" s="151"/>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51">
        <f t="shared" si="36"/>
        <v>0</v>
      </c>
    </row>
    <row r="177" spans="1:34" ht="12" hidden="1">
      <c r="A177" s="1519" t="s">
        <v>83</v>
      </c>
      <c r="B177" s="158">
        <f t="shared" si="35"/>
        <v>0</v>
      </c>
      <c r="C177" s="151"/>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51">
        <f t="shared" si="36"/>
        <v>0</v>
      </c>
    </row>
    <row r="178" spans="1:34" ht="12" hidden="1">
      <c r="A178" s="1519" t="s">
        <v>84</v>
      </c>
      <c r="B178" s="158">
        <f t="shared" si="35"/>
        <v>0</v>
      </c>
      <c r="C178" s="151"/>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51">
        <f t="shared" si="36"/>
        <v>0</v>
      </c>
    </row>
    <row r="179" spans="1:34" ht="12" hidden="1">
      <c r="A179" s="598" t="s">
        <v>72</v>
      </c>
      <c r="B179" s="599">
        <f t="shared" ref="B179:AH179" si="37">SUM(B167:B178)</f>
        <v>0</v>
      </c>
      <c r="C179" s="151">
        <f t="shared" si="37"/>
        <v>0</v>
      </c>
      <c r="D179" s="151">
        <f t="shared" si="37"/>
        <v>0</v>
      </c>
      <c r="E179" s="151">
        <f t="shared" si="37"/>
        <v>0</v>
      </c>
      <c r="F179" s="151">
        <f t="shared" si="37"/>
        <v>0</v>
      </c>
      <c r="G179" s="151">
        <f t="shared" si="37"/>
        <v>0</v>
      </c>
      <c r="H179" s="151">
        <f t="shared" si="37"/>
        <v>0</v>
      </c>
      <c r="I179" s="151">
        <f t="shared" si="37"/>
        <v>0</v>
      </c>
      <c r="J179" s="151">
        <f t="shared" si="37"/>
        <v>0</v>
      </c>
      <c r="K179" s="151">
        <f t="shared" si="37"/>
        <v>0</v>
      </c>
      <c r="L179" s="151">
        <f t="shared" si="37"/>
        <v>0</v>
      </c>
      <c r="M179" s="151">
        <f t="shared" si="37"/>
        <v>0</v>
      </c>
      <c r="N179" s="151">
        <f t="shared" si="37"/>
        <v>0</v>
      </c>
      <c r="O179" s="151">
        <f t="shared" si="37"/>
        <v>0</v>
      </c>
      <c r="P179" s="151">
        <f t="shared" si="37"/>
        <v>0</v>
      </c>
      <c r="Q179" s="151">
        <f t="shared" si="37"/>
        <v>0</v>
      </c>
      <c r="R179" s="151">
        <f t="shared" si="37"/>
        <v>0</v>
      </c>
      <c r="S179" s="151">
        <f t="shared" si="37"/>
        <v>0</v>
      </c>
      <c r="T179" s="151">
        <f t="shared" si="37"/>
        <v>0</v>
      </c>
      <c r="U179" s="151">
        <f t="shared" si="37"/>
        <v>0</v>
      </c>
      <c r="V179" s="151">
        <f t="shared" si="37"/>
        <v>0</v>
      </c>
      <c r="W179" s="151">
        <f t="shared" si="37"/>
        <v>0</v>
      </c>
      <c r="X179" s="151">
        <f t="shared" si="37"/>
        <v>0</v>
      </c>
      <c r="Y179" s="151">
        <f t="shared" si="37"/>
        <v>0</v>
      </c>
      <c r="Z179" s="151">
        <f t="shared" si="37"/>
        <v>0</v>
      </c>
      <c r="AA179" s="151">
        <f t="shared" si="37"/>
        <v>0</v>
      </c>
      <c r="AB179" s="151">
        <f t="shared" si="37"/>
        <v>0</v>
      </c>
      <c r="AC179" s="151">
        <f t="shared" si="37"/>
        <v>0</v>
      </c>
      <c r="AD179" s="151">
        <f t="shared" si="37"/>
        <v>0</v>
      </c>
      <c r="AE179" s="151">
        <f t="shared" si="37"/>
        <v>0</v>
      </c>
      <c r="AF179" s="151">
        <f t="shared" si="37"/>
        <v>0</v>
      </c>
      <c r="AG179" s="151">
        <f t="shared" si="37"/>
        <v>0</v>
      </c>
      <c r="AH179" s="151">
        <f t="shared" si="37"/>
        <v>0</v>
      </c>
    </row>
  </sheetData>
  <mergeCells count="13">
    <mergeCell ref="AP37:AR37"/>
    <mergeCell ref="A149:C149"/>
    <mergeCell ref="A165:C165"/>
    <mergeCell ref="A133:C133"/>
    <mergeCell ref="A85:C85"/>
    <mergeCell ref="A101:C101"/>
    <mergeCell ref="A117:C117"/>
    <mergeCell ref="A69:C69"/>
    <mergeCell ref="A2:T2"/>
    <mergeCell ref="A5:C5"/>
    <mergeCell ref="A21:C21"/>
    <mergeCell ref="A37:C37"/>
    <mergeCell ref="A53:C53"/>
  </mergeCells>
  <phoneticPr fontId="0" type="noConversion"/>
  <pageMargins left="0.75" right="0.75" top="1" bottom="1" header="0" footer="0"/>
  <pageSetup paperSize="9" orientation="portrait" r:id="rId1"/>
  <headerFooter alignWithMargins="0"/>
  <legacyDrawing r:id="rId2"/>
  <oleObjects>
    <oleObject progId="MSPhotoEd.3" shapeId="14337" r:id="rId3"/>
  </oleObjects>
</worksheet>
</file>

<file path=xl/worksheets/sheet13.xml><?xml version="1.0" encoding="utf-8"?>
<worksheet xmlns="http://schemas.openxmlformats.org/spreadsheetml/2006/main" xmlns:r="http://schemas.openxmlformats.org/officeDocument/2006/relationships">
  <sheetPr>
    <tabColor theme="9" tint="-0.249977111117893"/>
  </sheetPr>
  <dimension ref="A2:AJ84"/>
  <sheetViews>
    <sheetView topLeftCell="A4" workbookViewId="0">
      <selection activeCell="AK6" sqref="AK6"/>
    </sheetView>
  </sheetViews>
  <sheetFormatPr baseColWidth="10" defaultColWidth="11.44140625" defaultRowHeight="10.199999999999999"/>
  <cols>
    <col min="1" max="2" width="11.44140625" style="137"/>
    <col min="3" max="20" width="4.88671875" style="137" bestFit="1" customWidth="1"/>
    <col min="21" max="21" width="5.5546875" style="137" customWidth="1"/>
    <col min="22" max="33" width="4.88671875" style="137" bestFit="1" customWidth="1"/>
    <col min="34" max="34" width="8.33203125" style="137" customWidth="1"/>
    <col min="35" max="16384" width="11.44140625" style="137"/>
  </cols>
  <sheetData>
    <row r="2" spans="1:36" ht="12">
      <c r="A2" s="3882" t="s">
        <v>744</v>
      </c>
      <c r="B2" s="3883"/>
      <c r="C2" s="3883"/>
      <c r="D2" s="3883"/>
      <c r="E2" s="3883"/>
      <c r="F2" s="3883"/>
      <c r="G2" s="3883"/>
      <c r="H2" s="3883"/>
      <c r="I2" s="3883"/>
      <c r="J2" s="3883"/>
      <c r="K2" s="3883"/>
      <c r="L2" s="3883"/>
      <c r="M2" s="3883"/>
      <c r="N2" s="3883"/>
      <c r="O2" s="3883"/>
      <c r="P2" s="3883"/>
      <c r="Q2" s="3883"/>
      <c r="R2" s="3883"/>
      <c r="S2" s="3883"/>
      <c r="T2" s="3884"/>
      <c r="U2" s="49"/>
      <c r="V2" s="49"/>
      <c r="W2" s="49"/>
      <c r="X2" s="49"/>
      <c r="Y2" s="49"/>
      <c r="Z2" s="49"/>
      <c r="AA2" s="49"/>
      <c r="AB2" s="49"/>
      <c r="AC2" s="49"/>
      <c r="AD2" s="49"/>
      <c r="AE2" s="49"/>
      <c r="AF2" s="49"/>
      <c r="AG2" s="49"/>
      <c r="AH2" s="145"/>
    </row>
    <row r="3" spans="1:36" s="596" customFormat="1" ht="12">
      <c r="A3" s="592"/>
      <c r="B3" s="592"/>
      <c r="C3" s="592"/>
      <c r="D3" s="592"/>
      <c r="E3" s="592"/>
      <c r="F3" s="592"/>
      <c r="G3" s="592"/>
      <c r="H3" s="592"/>
      <c r="I3" s="592"/>
      <c r="J3" s="592"/>
      <c r="K3" s="592"/>
      <c r="L3" s="592"/>
      <c r="M3" s="592"/>
      <c r="N3" s="592"/>
      <c r="O3" s="592"/>
      <c r="P3" s="592"/>
      <c r="Q3" s="592"/>
      <c r="R3" s="592"/>
      <c r="S3" s="592"/>
      <c r="T3" s="592"/>
      <c r="U3" s="49"/>
      <c r="V3" s="49"/>
      <c r="W3" s="49"/>
      <c r="X3" s="49"/>
      <c r="Y3" s="49"/>
      <c r="Z3" s="49"/>
      <c r="AA3" s="49"/>
      <c r="AB3" s="49"/>
      <c r="AC3" s="49"/>
      <c r="AD3" s="49"/>
      <c r="AE3" s="49"/>
      <c r="AF3" s="49"/>
      <c r="AG3" s="49"/>
      <c r="AH3" s="49"/>
    </row>
    <row r="4" spans="1:36" ht="12">
      <c r="A4" s="145"/>
      <c r="B4" s="145"/>
      <c r="C4" s="145"/>
      <c r="D4" s="49"/>
      <c r="E4" s="49"/>
      <c r="F4" s="49"/>
      <c r="G4" s="49"/>
      <c r="H4" s="49"/>
      <c r="I4" s="49"/>
      <c r="J4" s="49"/>
      <c r="K4" s="49"/>
      <c r="L4" s="144"/>
      <c r="M4" s="49"/>
      <c r="N4" s="49"/>
      <c r="O4" s="49"/>
      <c r="P4" s="49"/>
      <c r="Q4" s="49"/>
      <c r="R4" s="49"/>
      <c r="S4" s="49"/>
      <c r="T4" s="49"/>
      <c r="U4" s="49"/>
      <c r="V4" s="49"/>
      <c r="W4" s="49"/>
      <c r="X4" s="49"/>
      <c r="Y4" s="49"/>
      <c r="Z4" s="49"/>
      <c r="AA4" s="49"/>
      <c r="AB4" s="49"/>
      <c r="AC4" s="49"/>
      <c r="AD4" s="49"/>
      <c r="AE4" s="49"/>
      <c r="AF4" s="49"/>
      <c r="AG4" s="49"/>
      <c r="AH4" s="145"/>
    </row>
    <row r="5" spans="1:36" ht="12">
      <c r="A5" s="3882" t="s">
        <v>69</v>
      </c>
      <c r="B5" s="3883"/>
      <c r="C5" s="3884"/>
      <c r="D5" s="49"/>
      <c r="E5" s="49"/>
      <c r="F5" s="49"/>
      <c r="G5" s="49"/>
      <c r="H5" s="49"/>
      <c r="I5" s="49"/>
      <c r="J5" s="49"/>
      <c r="K5" s="49"/>
      <c r="L5" s="49"/>
      <c r="M5" s="144"/>
      <c r="N5" s="49"/>
      <c r="O5" s="49"/>
      <c r="P5" s="49"/>
      <c r="Q5" s="49"/>
      <c r="R5" s="49"/>
      <c r="S5" s="49"/>
      <c r="T5" s="49"/>
      <c r="U5" s="49"/>
      <c r="V5" s="49"/>
      <c r="W5" s="49"/>
      <c r="X5" s="49"/>
      <c r="Y5" s="49"/>
      <c r="Z5" s="49"/>
      <c r="AA5" s="49"/>
      <c r="AB5" s="49"/>
      <c r="AC5" s="49"/>
      <c r="AD5" s="49"/>
      <c r="AE5" s="49"/>
      <c r="AF5" s="49"/>
      <c r="AG5" s="49"/>
      <c r="AH5" s="145"/>
    </row>
    <row r="6" spans="1:36" ht="13.8">
      <c r="A6" s="146" t="s">
        <v>70</v>
      </c>
      <c r="B6" s="146" t="s">
        <v>71</v>
      </c>
      <c r="C6" s="136">
        <v>1</v>
      </c>
      <c r="D6" s="147">
        <v>2</v>
      </c>
      <c r="E6" s="147">
        <v>3</v>
      </c>
      <c r="F6" s="147">
        <v>4</v>
      </c>
      <c r="G6" s="147">
        <v>5</v>
      </c>
      <c r="H6" s="147">
        <v>6</v>
      </c>
      <c r="I6" s="147">
        <v>7</v>
      </c>
      <c r="J6" s="147">
        <v>8</v>
      </c>
      <c r="K6" s="147">
        <v>9</v>
      </c>
      <c r="L6" s="147">
        <v>10</v>
      </c>
      <c r="M6" s="147">
        <v>11</v>
      </c>
      <c r="N6" s="147">
        <v>12</v>
      </c>
      <c r="O6" s="147">
        <v>13</v>
      </c>
      <c r="P6" s="147">
        <v>14</v>
      </c>
      <c r="Q6" s="147">
        <v>15</v>
      </c>
      <c r="R6" s="147">
        <v>16</v>
      </c>
      <c r="S6" s="147">
        <v>17</v>
      </c>
      <c r="T6" s="147">
        <v>18</v>
      </c>
      <c r="U6" s="147">
        <v>19</v>
      </c>
      <c r="V6" s="147">
        <v>20</v>
      </c>
      <c r="W6" s="147">
        <v>21</v>
      </c>
      <c r="X6" s="147">
        <v>22</v>
      </c>
      <c r="Y6" s="147">
        <v>23</v>
      </c>
      <c r="Z6" s="147">
        <v>24</v>
      </c>
      <c r="AA6" s="147">
        <v>25</v>
      </c>
      <c r="AB6" s="147">
        <v>26</v>
      </c>
      <c r="AC6" s="147">
        <v>27</v>
      </c>
      <c r="AD6" s="147">
        <v>28</v>
      </c>
      <c r="AE6" s="147">
        <v>29</v>
      </c>
      <c r="AF6" s="147">
        <v>30</v>
      </c>
      <c r="AG6" s="147">
        <v>31</v>
      </c>
      <c r="AH6" s="791" t="s">
        <v>72</v>
      </c>
      <c r="AI6" s="2266" t="s">
        <v>1345</v>
      </c>
      <c r="AJ6" s="66">
        <f>(B19/COUNTIF($C$7:$AG$18,"&gt;0"))</f>
        <v>0.42499999999999999</v>
      </c>
    </row>
    <row r="7" spans="1:36" ht="12">
      <c r="A7" s="1727" t="s">
        <v>73</v>
      </c>
      <c r="B7" s="130">
        <f t="shared" ref="B7:B18" si="0">+AH7</f>
        <v>0</v>
      </c>
      <c r="C7" s="952"/>
      <c r="D7" s="952"/>
      <c r="E7" s="952"/>
      <c r="F7" s="952"/>
      <c r="G7" s="952"/>
      <c r="H7" s="952"/>
      <c r="I7" s="952"/>
      <c r="J7" s="952"/>
      <c r="K7" s="952"/>
      <c r="L7" s="952"/>
      <c r="M7" s="952"/>
      <c r="N7" s="952"/>
      <c r="O7" s="952"/>
      <c r="P7" s="952"/>
      <c r="Q7" s="952"/>
      <c r="R7" s="952"/>
      <c r="S7" s="952"/>
      <c r="T7" s="952"/>
      <c r="U7" s="952"/>
      <c r="V7" s="952"/>
      <c r="W7" s="952"/>
      <c r="X7" s="952"/>
      <c r="Y7" s="952"/>
      <c r="Z7" s="952"/>
      <c r="AA7" s="952"/>
      <c r="AB7" s="952"/>
      <c r="AC7" s="952"/>
      <c r="AD7" s="952"/>
      <c r="AE7" s="952"/>
      <c r="AF7" s="952"/>
      <c r="AG7" s="952"/>
      <c r="AH7" s="155">
        <f>SUM(C7:AG7)</f>
        <v>0</v>
      </c>
      <c r="AJ7" s="137">
        <f>+'Res. Global'!J56</f>
        <v>185.15</v>
      </c>
    </row>
    <row r="8" spans="1:36" ht="12">
      <c r="A8" s="1727" t="s">
        <v>74</v>
      </c>
      <c r="B8" s="130">
        <f t="shared" si="0"/>
        <v>0</v>
      </c>
      <c r="C8" s="952"/>
      <c r="D8" s="952"/>
      <c r="E8" s="952"/>
      <c r="F8" s="952"/>
      <c r="G8" s="952"/>
      <c r="H8" s="952"/>
      <c r="I8" s="952"/>
      <c r="J8" s="952"/>
      <c r="K8" s="952"/>
      <c r="L8" s="952"/>
      <c r="M8" s="952"/>
      <c r="N8" s="952"/>
      <c r="O8" s="952"/>
      <c r="P8" s="952"/>
      <c r="Q8" s="952"/>
      <c r="R8" s="952"/>
      <c r="S8" s="952"/>
      <c r="T8" s="952"/>
      <c r="U8" s="952"/>
      <c r="V8" s="952"/>
      <c r="W8" s="952"/>
      <c r="X8" s="952"/>
      <c r="Y8" s="952"/>
      <c r="Z8" s="952"/>
      <c r="AA8" s="952"/>
      <c r="AB8" s="952"/>
      <c r="AC8" s="952"/>
      <c r="AD8" s="952"/>
      <c r="AE8" s="952"/>
      <c r="AF8" s="952"/>
      <c r="AG8" s="952"/>
      <c r="AH8" s="155">
        <f t="shared" ref="AH8:AH19" si="1">SUM(C8:AG8)</f>
        <v>0</v>
      </c>
      <c r="AJ8" s="3217">
        <f>+AJ7/AJ6</f>
        <v>435.64705882352945</v>
      </c>
    </row>
    <row r="9" spans="1:36" ht="12">
      <c r="A9" s="1727" t="s">
        <v>75</v>
      </c>
      <c r="B9" s="130">
        <f t="shared" si="0"/>
        <v>0</v>
      </c>
      <c r="C9" s="952"/>
      <c r="D9" s="952"/>
      <c r="E9" s="952"/>
      <c r="F9" s="952"/>
      <c r="G9" s="952"/>
      <c r="H9" s="952"/>
      <c r="I9" s="952"/>
      <c r="J9" s="952"/>
      <c r="K9" s="952"/>
      <c r="L9" s="952"/>
      <c r="M9" s="952"/>
      <c r="N9" s="952"/>
      <c r="O9" s="952"/>
      <c r="P9" s="952"/>
      <c r="Q9" s="952"/>
      <c r="R9" s="952"/>
      <c r="S9" s="952"/>
      <c r="T9" s="952"/>
      <c r="U9" s="952"/>
      <c r="V9" s="952"/>
      <c r="W9" s="952"/>
      <c r="X9" s="952"/>
      <c r="Y9" s="952"/>
      <c r="Z9" s="952"/>
      <c r="AA9" s="952"/>
      <c r="AB9" s="952"/>
      <c r="AC9" s="952"/>
      <c r="AD9" s="952"/>
      <c r="AE9" s="952"/>
      <c r="AF9" s="952"/>
      <c r="AG9" s="952"/>
      <c r="AH9" s="155">
        <f t="shared" si="1"/>
        <v>0</v>
      </c>
    </row>
    <row r="10" spans="1:36" ht="12">
      <c r="A10" s="1727" t="s">
        <v>76</v>
      </c>
      <c r="B10" s="130">
        <f t="shared" si="0"/>
        <v>0</v>
      </c>
      <c r="C10" s="952"/>
      <c r="D10" s="952"/>
      <c r="E10" s="952"/>
      <c r="F10" s="952"/>
      <c r="G10" s="952"/>
      <c r="H10" s="952"/>
      <c r="I10" s="952"/>
      <c r="J10" s="952"/>
      <c r="K10" s="952"/>
      <c r="L10" s="952"/>
      <c r="M10" s="952"/>
      <c r="N10" s="952"/>
      <c r="O10" s="952"/>
      <c r="P10" s="952"/>
      <c r="Q10" s="952"/>
      <c r="R10" s="952"/>
      <c r="S10" s="952"/>
      <c r="T10" s="952"/>
      <c r="U10" s="952"/>
      <c r="V10" s="952"/>
      <c r="W10" s="952"/>
      <c r="X10" s="952"/>
      <c r="Y10" s="952"/>
      <c r="Z10" s="952"/>
      <c r="AA10" s="952"/>
      <c r="AB10" s="952"/>
      <c r="AC10" s="952"/>
      <c r="AD10" s="952"/>
      <c r="AE10" s="952"/>
      <c r="AF10" s="952"/>
      <c r="AG10" s="952"/>
      <c r="AH10" s="155">
        <f t="shared" si="1"/>
        <v>0</v>
      </c>
    </row>
    <row r="11" spans="1:36" ht="12">
      <c r="A11" s="1727" t="s">
        <v>77</v>
      </c>
      <c r="B11" s="130">
        <f t="shared" si="0"/>
        <v>0.35</v>
      </c>
      <c r="C11" s="952"/>
      <c r="D11" s="952"/>
      <c r="E11" s="952"/>
      <c r="F11" s="952"/>
      <c r="G11" s="952"/>
      <c r="H11" s="952"/>
      <c r="I11" s="952"/>
      <c r="J11" s="952">
        <v>0.35</v>
      </c>
      <c r="K11" s="952"/>
      <c r="L11" s="952"/>
      <c r="M11" s="952"/>
      <c r="N11" s="952"/>
      <c r="O11" s="952"/>
      <c r="P11" s="952"/>
      <c r="Q11" s="952"/>
      <c r="R11" s="952"/>
      <c r="S11" s="952"/>
      <c r="T11" s="952"/>
      <c r="U11" s="952"/>
      <c r="V11" s="952"/>
      <c r="W11" s="952"/>
      <c r="X11" s="952"/>
      <c r="Y11" s="952"/>
      <c r="Z11" s="952"/>
      <c r="AA11" s="952"/>
      <c r="AB11" s="952"/>
      <c r="AC11" s="952"/>
      <c r="AD11" s="952"/>
      <c r="AE11" s="952"/>
      <c r="AF11" s="952"/>
      <c r="AG11" s="952"/>
      <c r="AH11" s="155">
        <f t="shared" si="1"/>
        <v>0.35</v>
      </c>
    </row>
    <row r="12" spans="1:36" ht="12">
      <c r="A12" s="1727" t="s">
        <v>78</v>
      </c>
      <c r="B12" s="130">
        <f t="shared" si="0"/>
        <v>0</v>
      </c>
      <c r="C12" s="952"/>
      <c r="D12" s="952"/>
      <c r="E12" s="952"/>
      <c r="F12" s="952"/>
      <c r="G12" s="952"/>
      <c r="H12" s="952"/>
      <c r="I12" s="952"/>
      <c r="J12" s="952"/>
      <c r="K12" s="952"/>
      <c r="L12" s="952"/>
      <c r="M12" s="952"/>
      <c r="N12" s="952"/>
      <c r="O12" s="952"/>
      <c r="P12" s="952"/>
      <c r="Q12" s="952"/>
      <c r="R12" s="952"/>
      <c r="S12" s="952"/>
      <c r="T12" s="952"/>
      <c r="U12" s="952"/>
      <c r="V12" s="952"/>
      <c r="W12" s="952"/>
      <c r="X12" s="952"/>
      <c r="Y12" s="952"/>
      <c r="Z12" s="952"/>
      <c r="AA12" s="952"/>
      <c r="AB12" s="952"/>
      <c r="AC12" s="952"/>
      <c r="AD12" s="952"/>
      <c r="AE12" s="952"/>
      <c r="AF12" s="952"/>
      <c r="AG12" s="952"/>
      <c r="AH12" s="155">
        <f t="shared" si="1"/>
        <v>0</v>
      </c>
    </row>
    <row r="13" spans="1:36" ht="12">
      <c r="A13" s="1519" t="s">
        <v>79</v>
      </c>
      <c r="B13" s="130">
        <f t="shared" si="0"/>
        <v>0.5</v>
      </c>
      <c r="C13" s="952">
        <v>0</v>
      </c>
      <c r="D13" s="952">
        <v>0</v>
      </c>
      <c r="E13" s="952">
        <v>0</v>
      </c>
      <c r="F13" s="952">
        <v>0</v>
      </c>
      <c r="G13" s="952">
        <v>0</v>
      </c>
      <c r="H13" s="952">
        <v>0</v>
      </c>
      <c r="I13" s="952">
        <v>0</v>
      </c>
      <c r="J13" s="952">
        <v>0</v>
      </c>
      <c r="K13" s="952">
        <v>0</v>
      </c>
      <c r="L13" s="952">
        <v>0</v>
      </c>
      <c r="M13" s="952">
        <v>0</v>
      </c>
      <c r="N13" s="952">
        <v>0</v>
      </c>
      <c r="O13" s="952">
        <v>0</v>
      </c>
      <c r="P13" s="952">
        <v>0</v>
      </c>
      <c r="Q13" s="952">
        <v>0</v>
      </c>
      <c r="R13" s="952">
        <v>0</v>
      </c>
      <c r="S13" s="952">
        <v>0</v>
      </c>
      <c r="T13" s="952">
        <v>0</v>
      </c>
      <c r="U13" s="952">
        <v>0</v>
      </c>
      <c r="V13" s="952">
        <v>0</v>
      </c>
      <c r="W13" s="952">
        <v>0</v>
      </c>
      <c r="X13" s="952">
        <v>0</v>
      </c>
      <c r="Y13" s="952">
        <v>0.5</v>
      </c>
      <c r="Z13" s="952">
        <v>0</v>
      </c>
      <c r="AA13" s="952">
        <v>0</v>
      </c>
      <c r="AB13" s="952">
        <v>0</v>
      </c>
      <c r="AC13" s="952">
        <v>0</v>
      </c>
      <c r="AD13" s="952">
        <v>0</v>
      </c>
      <c r="AE13" s="952">
        <v>0</v>
      </c>
      <c r="AF13" s="952">
        <v>0</v>
      </c>
      <c r="AG13" s="952">
        <v>0</v>
      </c>
      <c r="AH13" s="155">
        <f t="shared" si="1"/>
        <v>0.5</v>
      </c>
    </row>
    <row r="14" spans="1:36" ht="12">
      <c r="A14" s="1519" t="s">
        <v>80</v>
      </c>
      <c r="B14" s="130">
        <f t="shared" si="0"/>
        <v>0</v>
      </c>
      <c r="C14" s="952"/>
      <c r="D14" s="1027"/>
      <c r="E14" s="952"/>
      <c r="F14" s="952"/>
      <c r="G14" s="952"/>
      <c r="H14" s="952"/>
      <c r="I14" s="952"/>
      <c r="J14" s="952"/>
      <c r="K14" s="952"/>
      <c r="L14" s="952"/>
      <c r="M14" s="952"/>
      <c r="N14" s="952"/>
      <c r="O14" s="952"/>
      <c r="P14" s="952"/>
      <c r="Q14" s="952"/>
      <c r="R14" s="952"/>
      <c r="S14" s="952"/>
      <c r="T14" s="952"/>
      <c r="U14" s="952"/>
      <c r="V14" s="952"/>
      <c r="W14" s="952"/>
      <c r="X14" s="952"/>
      <c r="Y14" s="952"/>
      <c r="Z14" s="952"/>
      <c r="AA14" s="952"/>
      <c r="AB14" s="952"/>
      <c r="AC14" s="952"/>
      <c r="AD14" s="952"/>
      <c r="AE14" s="952"/>
      <c r="AF14" s="952"/>
      <c r="AG14" s="952"/>
      <c r="AH14" s="155">
        <f t="shared" si="1"/>
        <v>0</v>
      </c>
    </row>
    <row r="15" spans="1:36" ht="12">
      <c r="A15" s="1519" t="s">
        <v>81</v>
      </c>
      <c r="B15" s="130">
        <f t="shared" si="0"/>
        <v>0</v>
      </c>
      <c r="C15" s="952"/>
      <c r="D15" s="952"/>
      <c r="E15" s="952"/>
      <c r="F15" s="952"/>
      <c r="G15" s="952"/>
      <c r="H15" s="952"/>
      <c r="I15" s="952"/>
      <c r="J15" s="952"/>
      <c r="K15" s="952"/>
      <c r="L15" s="952"/>
      <c r="M15" s="952"/>
      <c r="N15" s="952"/>
      <c r="O15" s="952"/>
      <c r="P15" s="952"/>
      <c r="Q15" s="952"/>
      <c r="R15" s="952"/>
      <c r="S15" s="952"/>
      <c r="T15" s="952"/>
      <c r="U15" s="952"/>
      <c r="V15" s="952"/>
      <c r="W15" s="952"/>
      <c r="X15" s="952"/>
      <c r="Y15" s="952"/>
      <c r="Z15" s="952"/>
      <c r="AA15" s="952"/>
      <c r="AB15" s="952"/>
      <c r="AC15" s="952"/>
      <c r="AD15" s="952"/>
      <c r="AE15" s="952"/>
      <c r="AF15" s="952"/>
      <c r="AG15" s="1028"/>
      <c r="AH15" s="155">
        <f t="shared" si="1"/>
        <v>0</v>
      </c>
    </row>
    <row r="16" spans="1:36" ht="12">
      <c r="A16" s="1519" t="s">
        <v>82</v>
      </c>
      <c r="B16" s="130">
        <f t="shared" si="0"/>
        <v>0</v>
      </c>
      <c r="C16" s="952"/>
      <c r="D16" s="952"/>
      <c r="E16" s="952"/>
      <c r="F16" s="952"/>
      <c r="G16" s="952"/>
      <c r="H16" s="952"/>
      <c r="I16" s="952"/>
      <c r="J16" s="952"/>
      <c r="K16" s="952"/>
      <c r="L16" s="952"/>
      <c r="M16" s="952"/>
      <c r="N16" s="952"/>
      <c r="O16" s="952"/>
      <c r="P16" s="952"/>
      <c r="Q16" s="952"/>
      <c r="R16" s="952"/>
      <c r="S16" s="952"/>
      <c r="T16" s="952"/>
      <c r="U16" s="952"/>
      <c r="V16" s="952"/>
      <c r="W16" s="952"/>
      <c r="X16" s="952"/>
      <c r="Y16" s="952"/>
      <c r="Z16" s="952"/>
      <c r="AA16" s="952"/>
      <c r="AB16" s="952"/>
      <c r="AC16" s="952"/>
      <c r="AD16" s="952"/>
      <c r="AE16" s="952"/>
      <c r="AF16" s="952"/>
      <c r="AG16" s="952"/>
      <c r="AH16" s="155">
        <f t="shared" si="1"/>
        <v>0</v>
      </c>
    </row>
    <row r="17" spans="1:36" ht="12">
      <c r="A17" s="1519" t="s">
        <v>83</v>
      </c>
      <c r="B17" s="130">
        <f t="shared" si="0"/>
        <v>0</v>
      </c>
      <c r="C17" s="952"/>
      <c r="D17" s="952"/>
      <c r="E17" s="952"/>
      <c r="F17" s="952"/>
      <c r="G17" s="952"/>
      <c r="H17" s="952"/>
      <c r="I17" s="952"/>
      <c r="J17" s="952"/>
      <c r="K17" s="952"/>
      <c r="L17" s="952"/>
      <c r="M17" s="952"/>
      <c r="N17" s="952"/>
      <c r="O17" s="952"/>
      <c r="P17" s="952"/>
      <c r="Q17" s="952"/>
      <c r="R17" s="952"/>
      <c r="S17" s="952"/>
      <c r="T17" s="952"/>
      <c r="U17" s="952"/>
      <c r="V17" s="952"/>
      <c r="W17" s="952"/>
      <c r="X17" s="952"/>
      <c r="Y17" s="952"/>
      <c r="Z17" s="952"/>
      <c r="AA17" s="952"/>
      <c r="AB17" s="952"/>
      <c r="AC17" s="952"/>
      <c r="AD17" s="952"/>
      <c r="AE17" s="952"/>
      <c r="AF17" s="952"/>
      <c r="AG17" s="952"/>
      <c r="AH17" s="155">
        <f t="shared" si="1"/>
        <v>0</v>
      </c>
    </row>
    <row r="18" spans="1:36" ht="12">
      <c r="A18" s="1519" t="s">
        <v>84</v>
      </c>
      <c r="B18" s="130">
        <f t="shared" si="0"/>
        <v>0</v>
      </c>
      <c r="C18" s="952"/>
      <c r="D18" s="952"/>
      <c r="E18" s="952"/>
      <c r="F18" s="952"/>
      <c r="G18" s="952"/>
      <c r="H18" s="952"/>
      <c r="I18" s="952"/>
      <c r="J18" s="952"/>
      <c r="K18" s="952"/>
      <c r="L18" s="952"/>
      <c r="M18" s="952"/>
      <c r="N18" s="952"/>
      <c r="O18" s="952"/>
      <c r="P18" s="952"/>
      <c r="Q18" s="952"/>
      <c r="R18" s="952"/>
      <c r="S18" s="952"/>
      <c r="T18" s="952"/>
      <c r="U18" s="952"/>
      <c r="V18" s="952"/>
      <c r="W18" s="952"/>
      <c r="X18" s="952"/>
      <c r="Y18" s="952"/>
      <c r="Z18" s="952"/>
      <c r="AA18" s="952"/>
      <c r="AB18" s="952"/>
      <c r="AC18" s="952"/>
      <c r="AD18" s="952"/>
      <c r="AE18" s="952"/>
      <c r="AF18" s="952"/>
      <c r="AG18" s="952"/>
      <c r="AH18" s="155">
        <f t="shared" si="1"/>
        <v>0</v>
      </c>
    </row>
    <row r="19" spans="1:36" ht="12">
      <c r="A19" s="598" t="s">
        <v>72</v>
      </c>
      <c r="B19" s="154">
        <f t="shared" ref="B19:AG19" si="2">SUM(B7:B18)</f>
        <v>0.85</v>
      </c>
      <c r="C19" s="155">
        <f t="shared" si="2"/>
        <v>0</v>
      </c>
      <c r="D19" s="155">
        <f t="shared" si="2"/>
        <v>0</v>
      </c>
      <c r="E19" s="155">
        <f t="shared" si="2"/>
        <v>0</v>
      </c>
      <c r="F19" s="155">
        <f t="shared" si="2"/>
        <v>0</v>
      </c>
      <c r="G19" s="155">
        <f t="shared" si="2"/>
        <v>0</v>
      </c>
      <c r="H19" s="155">
        <f t="shared" si="2"/>
        <v>0</v>
      </c>
      <c r="I19" s="155">
        <f t="shared" si="2"/>
        <v>0</v>
      </c>
      <c r="J19" s="155">
        <f t="shared" si="2"/>
        <v>0.35</v>
      </c>
      <c r="K19" s="155">
        <f t="shared" si="2"/>
        <v>0</v>
      </c>
      <c r="L19" s="155">
        <f t="shared" si="2"/>
        <v>0</v>
      </c>
      <c r="M19" s="155">
        <f t="shared" si="2"/>
        <v>0</v>
      </c>
      <c r="N19" s="155">
        <f t="shared" si="2"/>
        <v>0</v>
      </c>
      <c r="O19" s="155">
        <f t="shared" si="2"/>
        <v>0</v>
      </c>
      <c r="P19" s="155">
        <f t="shared" si="2"/>
        <v>0</v>
      </c>
      <c r="Q19" s="155">
        <f t="shared" si="2"/>
        <v>0</v>
      </c>
      <c r="R19" s="155">
        <f t="shared" si="2"/>
        <v>0</v>
      </c>
      <c r="S19" s="155">
        <f t="shared" si="2"/>
        <v>0</v>
      </c>
      <c r="T19" s="155">
        <f t="shared" si="2"/>
        <v>0</v>
      </c>
      <c r="U19" s="155">
        <f t="shared" si="2"/>
        <v>0</v>
      </c>
      <c r="V19" s="155">
        <f t="shared" si="2"/>
        <v>0</v>
      </c>
      <c r="W19" s="155">
        <f t="shared" si="2"/>
        <v>0</v>
      </c>
      <c r="X19" s="155">
        <f t="shared" si="2"/>
        <v>0</v>
      </c>
      <c r="Y19" s="155">
        <f t="shared" si="2"/>
        <v>0.5</v>
      </c>
      <c r="Z19" s="155">
        <f t="shared" si="2"/>
        <v>0</v>
      </c>
      <c r="AA19" s="155">
        <f t="shared" si="2"/>
        <v>0</v>
      </c>
      <c r="AB19" s="155">
        <f t="shared" si="2"/>
        <v>0</v>
      </c>
      <c r="AC19" s="155">
        <f t="shared" si="2"/>
        <v>0</v>
      </c>
      <c r="AD19" s="155">
        <f t="shared" si="2"/>
        <v>0</v>
      </c>
      <c r="AE19" s="155">
        <f t="shared" si="2"/>
        <v>0</v>
      </c>
      <c r="AF19" s="155">
        <f t="shared" si="2"/>
        <v>0</v>
      </c>
      <c r="AG19" s="155">
        <f t="shared" si="2"/>
        <v>0</v>
      </c>
      <c r="AH19" s="155">
        <f t="shared" si="1"/>
        <v>0.85</v>
      </c>
    </row>
    <row r="20" spans="1:36" ht="12">
      <c r="A20" s="145"/>
      <c r="B20" s="145"/>
      <c r="C20" s="145"/>
      <c r="D20" s="49"/>
      <c r="E20" s="49"/>
      <c r="F20" s="49"/>
      <c r="G20" s="49"/>
      <c r="H20" s="49"/>
      <c r="I20" s="49"/>
      <c r="J20" s="49"/>
      <c r="K20" s="49"/>
      <c r="L20" s="144"/>
      <c r="M20" s="49"/>
      <c r="N20" s="49"/>
      <c r="O20" s="49"/>
      <c r="P20" s="49"/>
      <c r="Q20" s="49"/>
      <c r="R20" s="49"/>
      <c r="S20" s="49"/>
      <c r="T20" s="49"/>
      <c r="U20" s="49"/>
      <c r="V20" s="49"/>
      <c r="W20" s="49"/>
      <c r="X20" s="49"/>
      <c r="Y20" s="49"/>
      <c r="Z20" s="49"/>
      <c r="AA20" s="49"/>
      <c r="AB20" s="49"/>
      <c r="AC20" s="49"/>
      <c r="AD20" s="49"/>
      <c r="AE20" s="49"/>
      <c r="AF20" s="49"/>
      <c r="AG20" s="49"/>
      <c r="AH20" s="145"/>
    </row>
    <row r="21" spans="1:36" ht="12">
      <c r="A21" s="3882" t="s">
        <v>85</v>
      </c>
      <c r="B21" s="3883"/>
      <c r="C21" s="3884"/>
      <c r="D21" s="49"/>
      <c r="E21" s="49"/>
      <c r="F21" s="49"/>
      <c r="G21" s="1201"/>
      <c r="H21" s="49"/>
      <c r="I21" s="49"/>
      <c r="J21" s="49"/>
      <c r="K21" s="49"/>
      <c r="L21" s="49"/>
      <c r="M21" s="144"/>
      <c r="N21" s="49"/>
      <c r="O21" s="49"/>
      <c r="P21" s="49"/>
      <c r="Q21" s="49"/>
      <c r="R21" s="49"/>
      <c r="S21" s="49"/>
      <c r="T21" s="49"/>
      <c r="U21" s="49"/>
      <c r="V21" s="49"/>
      <c r="W21" s="49"/>
      <c r="X21" s="49"/>
      <c r="Y21" s="49"/>
      <c r="Z21" s="49"/>
      <c r="AA21" s="49"/>
      <c r="AB21" s="49"/>
      <c r="AC21" s="49"/>
      <c r="AD21" s="49"/>
      <c r="AE21" s="49"/>
      <c r="AF21" s="49"/>
      <c r="AG21" s="49"/>
      <c r="AH21" s="145"/>
    </row>
    <row r="22" spans="1:36" ht="13.8">
      <c r="A22" s="146" t="s">
        <v>70</v>
      </c>
      <c r="B22" s="147" t="s">
        <v>71</v>
      </c>
      <c r="C22" s="146">
        <v>1</v>
      </c>
      <c r="D22" s="147">
        <v>2</v>
      </c>
      <c r="E22" s="147">
        <v>3</v>
      </c>
      <c r="F22" s="147">
        <v>4</v>
      </c>
      <c r="G22" s="147">
        <v>5</v>
      </c>
      <c r="H22" s="147">
        <v>6</v>
      </c>
      <c r="I22" s="147">
        <v>7</v>
      </c>
      <c r="J22" s="147">
        <v>8</v>
      </c>
      <c r="K22" s="147">
        <v>9</v>
      </c>
      <c r="L22" s="147">
        <v>10</v>
      </c>
      <c r="M22" s="147">
        <v>11</v>
      </c>
      <c r="N22" s="147">
        <v>12</v>
      </c>
      <c r="O22" s="147">
        <v>13</v>
      </c>
      <c r="P22" s="147">
        <v>14</v>
      </c>
      <c r="Q22" s="147">
        <v>15</v>
      </c>
      <c r="R22" s="147">
        <v>16</v>
      </c>
      <c r="S22" s="147">
        <v>17</v>
      </c>
      <c r="T22" s="147">
        <v>18</v>
      </c>
      <c r="U22" s="147">
        <v>19</v>
      </c>
      <c r="V22" s="147">
        <v>20</v>
      </c>
      <c r="W22" s="147">
        <v>21</v>
      </c>
      <c r="X22" s="147">
        <v>22</v>
      </c>
      <c r="Y22" s="147">
        <v>23</v>
      </c>
      <c r="Z22" s="147">
        <v>24</v>
      </c>
      <c r="AA22" s="147">
        <v>25</v>
      </c>
      <c r="AB22" s="147">
        <v>26</v>
      </c>
      <c r="AC22" s="147">
        <v>27</v>
      </c>
      <c r="AD22" s="147">
        <v>28</v>
      </c>
      <c r="AE22" s="147">
        <v>29</v>
      </c>
      <c r="AF22" s="147">
        <v>30</v>
      </c>
      <c r="AG22" s="147">
        <v>31</v>
      </c>
      <c r="AH22" s="791" t="s">
        <v>72</v>
      </c>
      <c r="AI22" s="2266" t="s">
        <v>1345</v>
      </c>
      <c r="AJ22" s="66">
        <f>(B35/COUNTIF($C$23:$AG$34,"&gt;0"))</f>
        <v>3.6610526315789476</v>
      </c>
    </row>
    <row r="23" spans="1:36" ht="12">
      <c r="A23" s="1727" t="s">
        <v>73</v>
      </c>
      <c r="B23" s="130">
        <f>+AH23</f>
        <v>0.05</v>
      </c>
      <c r="C23" s="153"/>
      <c r="D23" s="153"/>
      <c r="E23" s="153"/>
      <c r="F23" s="153"/>
      <c r="G23" s="1037"/>
      <c r="H23" s="153"/>
      <c r="I23" s="153"/>
      <c r="J23" s="153"/>
      <c r="K23" s="153"/>
      <c r="L23" s="153"/>
      <c r="M23" s="153"/>
      <c r="N23" s="153"/>
      <c r="O23" s="153"/>
      <c r="P23" s="153"/>
      <c r="Q23" s="153">
        <v>0.05</v>
      </c>
      <c r="R23" s="153"/>
      <c r="S23" s="153"/>
      <c r="T23" s="153"/>
      <c r="U23" s="153"/>
      <c r="V23" s="153"/>
      <c r="W23" s="153"/>
      <c r="X23" s="153"/>
      <c r="Y23" s="153"/>
      <c r="Z23" s="153"/>
      <c r="AA23" s="153"/>
      <c r="AB23" s="153"/>
      <c r="AC23" s="153"/>
      <c r="AD23" s="153"/>
      <c r="AE23" s="153"/>
      <c r="AF23" s="153"/>
      <c r="AG23" s="153"/>
      <c r="AH23" s="155">
        <f>SUM(C23:AG23)</f>
        <v>0.05</v>
      </c>
      <c r="AJ23" s="137">
        <f>+'Res. Global'!J58</f>
        <v>566.88</v>
      </c>
    </row>
    <row r="24" spans="1:36" ht="12">
      <c r="A24" s="1727" t="s">
        <v>74</v>
      </c>
      <c r="B24" s="130">
        <f t="shared" ref="B24:B34" si="3">+AH24</f>
        <v>0.03</v>
      </c>
      <c r="C24" s="153"/>
      <c r="D24" s="1029"/>
      <c r="E24" s="1029"/>
      <c r="F24" s="1029"/>
      <c r="G24" s="1029"/>
      <c r="H24" s="1029"/>
      <c r="I24" s="1029"/>
      <c r="J24" s="1029"/>
      <c r="K24" s="1029"/>
      <c r="L24" s="1029"/>
      <c r="M24" s="1029"/>
      <c r="N24" s="1029"/>
      <c r="O24" s="1029"/>
      <c r="P24" s="1029"/>
      <c r="Q24" s="1029"/>
      <c r="R24" s="1029"/>
      <c r="S24" s="1029"/>
      <c r="T24" s="1029"/>
      <c r="U24" s="1029"/>
      <c r="V24" s="1029"/>
      <c r="W24" s="1029"/>
      <c r="X24" s="1029"/>
      <c r="Y24" s="153"/>
      <c r="Z24" s="153"/>
      <c r="AA24" s="153"/>
      <c r="AB24" s="153"/>
      <c r="AC24" s="153"/>
      <c r="AD24" s="153"/>
      <c r="AE24" s="153"/>
      <c r="AF24" s="153"/>
      <c r="AG24" s="153">
        <v>0.03</v>
      </c>
      <c r="AH24" s="155">
        <f t="shared" ref="AH24:AH34" si="4">SUM(C24:AG24)</f>
        <v>0.03</v>
      </c>
      <c r="AJ24" s="3217">
        <f>+AJ23/AJ22</f>
        <v>154.84071305347899</v>
      </c>
    </row>
    <row r="25" spans="1:36" ht="12">
      <c r="A25" s="1727" t="s">
        <v>75</v>
      </c>
      <c r="B25" s="130">
        <f t="shared" si="3"/>
        <v>0</v>
      </c>
      <c r="C25" s="600"/>
      <c r="D25" s="600"/>
      <c r="E25" s="1030"/>
      <c r="F25" s="1031"/>
      <c r="G25" s="1032"/>
      <c r="H25" s="604"/>
      <c r="I25" s="601"/>
      <c r="J25" s="600"/>
      <c r="K25" s="605"/>
      <c r="L25" s="605"/>
      <c r="M25" s="600"/>
      <c r="N25" s="600"/>
      <c r="O25" s="600"/>
      <c r="P25" s="604"/>
      <c r="Q25" s="604"/>
      <c r="R25" s="604"/>
      <c r="S25" s="604"/>
      <c r="T25" s="604"/>
      <c r="U25" s="601"/>
      <c r="V25" s="604"/>
      <c r="W25" s="604"/>
      <c r="X25" s="601"/>
      <c r="Y25" s="604"/>
      <c r="Z25" s="601"/>
      <c r="AA25" s="604"/>
      <c r="AB25" s="604"/>
      <c r="AC25" s="601"/>
      <c r="AD25" s="601"/>
      <c r="AE25" s="1033"/>
      <c r="AF25" s="605"/>
      <c r="AG25" s="605"/>
      <c r="AH25" s="155">
        <f t="shared" si="4"/>
        <v>0</v>
      </c>
    </row>
    <row r="26" spans="1:36" ht="12">
      <c r="A26" s="1727" t="s">
        <v>76</v>
      </c>
      <c r="B26" s="130">
        <f t="shared" si="3"/>
        <v>0</v>
      </c>
      <c r="C26" s="603"/>
      <c r="E26" s="1034"/>
      <c r="F26" s="1035"/>
      <c r="G26" s="228"/>
      <c r="H26" s="1036"/>
      <c r="I26" s="604"/>
      <c r="J26" s="601"/>
      <c r="K26" s="601"/>
      <c r="L26" s="601"/>
      <c r="M26" s="605"/>
      <c r="N26" s="600"/>
      <c r="O26" s="605"/>
      <c r="P26" s="605"/>
      <c r="Q26" s="601"/>
      <c r="R26" s="601"/>
      <c r="S26" s="604"/>
      <c r="T26" s="604"/>
      <c r="U26" s="600"/>
      <c r="V26" s="604"/>
      <c r="W26" s="604"/>
      <c r="X26" s="604"/>
      <c r="Y26" s="604"/>
      <c r="Z26" s="604"/>
      <c r="AA26" s="601"/>
      <c r="AB26" s="601"/>
      <c r="AC26" s="600"/>
      <c r="AD26" s="601"/>
      <c r="AE26" s="604"/>
      <c r="AF26" s="605"/>
      <c r="AG26" s="605"/>
      <c r="AH26" s="155">
        <f t="shared" si="4"/>
        <v>0</v>
      </c>
    </row>
    <row r="27" spans="1:36" ht="12">
      <c r="A27" s="1727" t="s">
        <v>77</v>
      </c>
      <c r="B27" s="130">
        <f t="shared" si="3"/>
        <v>0.26</v>
      </c>
      <c r="C27" s="153"/>
      <c r="D27" s="153"/>
      <c r="E27" s="153"/>
      <c r="F27" s="153"/>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v>0.26</v>
      </c>
      <c r="AE27" s="153"/>
      <c r="AF27" s="153"/>
      <c r="AG27" s="153"/>
      <c r="AH27" s="155">
        <f t="shared" si="4"/>
        <v>0.26</v>
      </c>
    </row>
    <row r="28" spans="1:36" ht="12">
      <c r="A28" s="1727" t="s">
        <v>78</v>
      </c>
      <c r="B28" s="130">
        <f t="shared" si="3"/>
        <v>49.68</v>
      </c>
      <c r="C28" s="153"/>
      <c r="D28" s="153"/>
      <c r="E28" s="153"/>
      <c r="F28" s="153"/>
      <c r="G28" s="153"/>
      <c r="H28" s="153">
        <v>3.0779999999999998</v>
      </c>
      <c r="I28" s="153"/>
      <c r="J28" s="153"/>
      <c r="K28" s="153"/>
      <c r="L28" s="153">
        <v>42.766999999999996</v>
      </c>
      <c r="M28" s="153"/>
      <c r="N28" s="153">
        <v>3.2890000000000001</v>
      </c>
      <c r="O28" s="153"/>
      <c r="P28" s="153"/>
      <c r="Q28" s="153"/>
      <c r="R28" s="153"/>
      <c r="S28" s="153"/>
      <c r="T28" s="153"/>
      <c r="U28" s="153"/>
      <c r="V28" s="153"/>
      <c r="W28" s="153">
        <v>0.54600000000000004</v>
      </c>
      <c r="X28" s="153"/>
      <c r="Y28" s="153"/>
      <c r="Z28" s="153"/>
      <c r="AA28" s="153"/>
      <c r="AB28" s="153"/>
      <c r="AC28" s="153"/>
      <c r="AD28" s="153"/>
      <c r="AE28" s="153"/>
      <c r="AF28" s="153"/>
      <c r="AG28" s="153"/>
      <c r="AH28" s="155">
        <f t="shared" si="4"/>
        <v>49.68</v>
      </c>
    </row>
    <row r="29" spans="1:36" ht="12">
      <c r="A29" s="1519" t="s">
        <v>79</v>
      </c>
      <c r="B29" s="130">
        <f t="shared" si="3"/>
        <v>39.436</v>
      </c>
      <c r="C29" s="153">
        <v>3.452</v>
      </c>
      <c r="D29" s="153"/>
      <c r="E29" s="153"/>
      <c r="F29" s="153"/>
      <c r="G29" s="153"/>
      <c r="H29" s="153"/>
      <c r="I29" s="153"/>
      <c r="J29" s="153"/>
      <c r="K29" s="153"/>
      <c r="L29" s="153"/>
      <c r="M29" s="153"/>
      <c r="N29" s="153"/>
      <c r="O29" s="153"/>
      <c r="P29" s="153"/>
      <c r="Q29" s="153">
        <v>1.18</v>
      </c>
      <c r="R29" s="153">
        <v>13.535</v>
      </c>
      <c r="S29" s="153">
        <v>13.48</v>
      </c>
      <c r="T29" s="153">
        <v>0.14699999999999999</v>
      </c>
      <c r="U29" s="153">
        <v>7.6420000000000003</v>
      </c>
      <c r="V29" s="153"/>
      <c r="W29" s="153"/>
      <c r="X29" s="153"/>
      <c r="Y29" s="153"/>
      <c r="Z29" s="153"/>
      <c r="AA29" s="153"/>
      <c r="AB29" s="153"/>
      <c r="AC29" s="153"/>
      <c r="AD29" s="153"/>
      <c r="AE29" s="153"/>
      <c r="AF29" s="153"/>
      <c r="AG29" s="153"/>
      <c r="AH29" s="155">
        <f t="shared" si="4"/>
        <v>39.436</v>
      </c>
    </row>
    <row r="30" spans="1:36" ht="12">
      <c r="A30" s="1519" t="s">
        <v>80</v>
      </c>
      <c r="B30" s="130">
        <f t="shared" si="3"/>
        <v>1.4999999999999999E-2</v>
      </c>
      <c r="C30" s="153"/>
      <c r="D30" s="153"/>
      <c r="E30" s="153"/>
      <c r="F30" s="153"/>
      <c r="G30" s="153"/>
      <c r="H30" s="153"/>
      <c r="I30" s="153"/>
      <c r="J30" s="153"/>
      <c r="K30" s="153"/>
      <c r="L30" s="153"/>
      <c r="M30" s="153"/>
      <c r="N30" s="153"/>
      <c r="O30" s="153"/>
      <c r="P30" s="153"/>
      <c r="Q30" s="153"/>
      <c r="R30" s="153"/>
      <c r="S30" s="153"/>
      <c r="T30" s="153"/>
      <c r="U30" s="153"/>
      <c r="V30" s="153">
        <v>1.4999999999999999E-2</v>
      </c>
      <c r="W30" s="153"/>
      <c r="X30" s="153"/>
      <c r="Y30" s="153"/>
      <c r="Z30" s="153"/>
      <c r="AA30" s="153"/>
      <c r="AB30" s="153"/>
      <c r="AC30" s="153"/>
      <c r="AD30" s="153"/>
      <c r="AE30" s="153"/>
      <c r="AF30" s="153"/>
      <c r="AG30" s="153"/>
      <c r="AH30" s="155">
        <f t="shared" si="4"/>
        <v>1.4999999999999999E-2</v>
      </c>
    </row>
    <row r="31" spans="1:36" ht="12">
      <c r="A31" s="1519" t="s">
        <v>81</v>
      </c>
      <c r="B31" s="130">
        <f t="shared" si="3"/>
        <v>4.5199999999999996</v>
      </c>
      <c r="C31" s="153"/>
      <c r="D31" s="153"/>
      <c r="E31" s="153"/>
      <c r="F31" s="153"/>
      <c r="G31" s="153"/>
      <c r="H31" s="153"/>
      <c r="I31" s="153"/>
      <c r="J31" s="153"/>
      <c r="K31" s="153">
        <v>4.22</v>
      </c>
      <c r="L31" s="153"/>
      <c r="M31" s="153"/>
      <c r="N31" s="153"/>
      <c r="O31" s="153"/>
      <c r="P31" s="153"/>
      <c r="Q31" s="153"/>
      <c r="R31" s="153"/>
      <c r="S31" s="153"/>
      <c r="T31" s="153"/>
      <c r="U31" s="153"/>
      <c r="V31" s="153"/>
      <c r="W31" s="153"/>
      <c r="X31" s="153"/>
      <c r="Y31" s="153"/>
      <c r="Z31" s="153"/>
      <c r="AA31" s="153"/>
      <c r="AB31" s="153"/>
      <c r="AC31" s="153"/>
      <c r="AD31" s="153"/>
      <c r="AE31" s="153"/>
      <c r="AF31" s="153">
        <v>0.30000000000000004</v>
      </c>
      <c r="AG31" s="153"/>
      <c r="AH31" s="155">
        <f t="shared" si="4"/>
        <v>4.5199999999999996</v>
      </c>
    </row>
    <row r="32" spans="1:36" ht="12">
      <c r="A32" s="1519" t="s">
        <v>82</v>
      </c>
      <c r="B32" s="130">
        <f t="shared" si="3"/>
        <v>15.542999999999997</v>
      </c>
      <c r="C32" s="153"/>
      <c r="D32" s="153"/>
      <c r="E32" s="153"/>
      <c r="F32" s="153"/>
      <c r="G32" s="153"/>
      <c r="H32" s="153"/>
      <c r="I32" s="153"/>
      <c r="J32" s="153"/>
      <c r="K32" s="153"/>
      <c r="L32" s="153"/>
      <c r="M32" s="153"/>
      <c r="N32" s="153"/>
      <c r="O32" s="153"/>
      <c r="P32" s="153">
        <v>3.25</v>
      </c>
      <c r="Q32" s="153"/>
      <c r="R32" s="791"/>
      <c r="S32" s="791">
        <v>0.55000000000000004</v>
      </c>
      <c r="T32" s="791"/>
      <c r="U32" s="791">
        <v>1E-3</v>
      </c>
      <c r="V32" s="791"/>
      <c r="W32" s="791"/>
      <c r="X32" s="791"/>
      <c r="Y32" s="791">
        <v>0.77</v>
      </c>
      <c r="Z32" s="791">
        <v>7.03</v>
      </c>
      <c r="AA32" s="791"/>
      <c r="AB32" s="791"/>
      <c r="AC32" s="791"/>
      <c r="AD32" s="791">
        <v>3.8419999999999996</v>
      </c>
      <c r="AE32" s="791"/>
      <c r="AF32" s="791">
        <v>0.1</v>
      </c>
      <c r="AG32" s="791"/>
      <c r="AH32" s="155">
        <f t="shared" si="4"/>
        <v>15.542999999999997</v>
      </c>
    </row>
    <row r="33" spans="1:36" ht="12">
      <c r="A33" s="1519" t="s">
        <v>83</v>
      </c>
      <c r="B33" s="130">
        <f t="shared" si="3"/>
        <v>24.53</v>
      </c>
      <c r="C33" s="153"/>
      <c r="D33" s="791"/>
      <c r="E33" s="791"/>
      <c r="F33" s="791">
        <v>5.0599999999999996</v>
      </c>
      <c r="G33" s="791">
        <v>1.32</v>
      </c>
      <c r="H33" s="791"/>
      <c r="I33" s="791"/>
      <c r="J33" s="791"/>
      <c r="K33" s="791"/>
      <c r="L33" s="791"/>
      <c r="M33" s="791"/>
      <c r="N33" s="791"/>
      <c r="O33" s="791"/>
      <c r="P33" s="791"/>
      <c r="Q33" s="791">
        <v>1.85</v>
      </c>
      <c r="R33" s="1037"/>
      <c r="S33" s="1037"/>
      <c r="T33" s="1037">
        <v>1.27</v>
      </c>
      <c r="U33" s="1037">
        <v>10.469999999999999</v>
      </c>
      <c r="V33" s="1037"/>
      <c r="W33" s="1037">
        <v>1.55</v>
      </c>
      <c r="X33" s="1037">
        <v>1.72</v>
      </c>
      <c r="Y33" s="1037"/>
      <c r="Z33" s="1037"/>
      <c r="AA33" s="1037">
        <v>1.19</v>
      </c>
      <c r="AB33" s="1037"/>
      <c r="AC33" s="1037"/>
      <c r="AD33" s="1037"/>
      <c r="AE33" s="1037"/>
      <c r="AF33" s="1037">
        <v>0.1</v>
      </c>
      <c r="AG33" s="153"/>
      <c r="AH33" s="155">
        <f>SUM(C33:AG33)</f>
        <v>24.53</v>
      </c>
    </row>
    <row r="34" spans="1:36" ht="12">
      <c r="A34" s="1519" t="s">
        <v>84</v>
      </c>
      <c r="B34" s="130">
        <f t="shared" si="3"/>
        <v>5.0559999999999992</v>
      </c>
      <c r="C34" s="153"/>
      <c r="D34" s="1037">
        <v>2.11</v>
      </c>
      <c r="E34" s="1037">
        <v>2.9</v>
      </c>
      <c r="F34" s="1037">
        <v>2.1000000000000001E-2</v>
      </c>
      <c r="G34" s="153">
        <v>5.0000000000000001E-3</v>
      </c>
      <c r="H34" s="153"/>
      <c r="I34" s="153"/>
      <c r="J34" s="153">
        <v>1.2E-2</v>
      </c>
      <c r="K34" s="153"/>
      <c r="L34" s="153"/>
      <c r="M34" s="153">
        <v>8.0000000000000002E-3</v>
      </c>
      <c r="N34" s="153"/>
      <c r="O34" s="153"/>
      <c r="P34" s="153"/>
      <c r="Q34" s="153"/>
      <c r="R34" s="153"/>
      <c r="S34" s="153"/>
      <c r="T34" s="153"/>
      <c r="U34" s="153"/>
      <c r="V34" s="153"/>
      <c r="W34" s="153"/>
      <c r="X34" s="153"/>
      <c r="Y34" s="153"/>
      <c r="Z34" s="153"/>
      <c r="AA34" s="153"/>
      <c r="AB34" s="153"/>
      <c r="AC34" s="153"/>
      <c r="AD34" s="153"/>
      <c r="AE34" s="153"/>
      <c r="AF34" s="153"/>
      <c r="AG34" s="153"/>
      <c r="AH34" s="155">
        <f t="shared" si="4"/>
        <v>5.0559999999999992</v>
      </c>
    </row>
    <row r="35" spans="1:36" ht="12">
      <c r="A35" s="598" t="s">
        <v>72</v>
      </c>
      <c r="B35" s="154">
        <f>SUM(B23:B34)</f>
        <v>139.12</v>
      </c>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55"/>
      <c r="AG35" s="155"/>
      <c r="AH35" s="155">
        <f>SUM(AH23:AH34)</f>
        <v>139.12</v>
      </c>
    </row>
    <row r="36" spans="1:36" ht="12">
      <c r="A36" s="606"/>
      <c r="B36" s="606"/>
      <c r="C36" s="145"/>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145"/>
    </row>
    <row r="37" spans="1:36" ht="12">
      <c r="A37" s="3882" t="s">
        <v>92</v>
      </c>
      <c r="B37" s="3883"/>
      <c r="C37" s="3883"/>
      <c r="D37" s="3884"/>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145"/>
    </row>
    <row r="38" spans="1:36" ht="13.8">
      <c r="A38" s="146" t="s">
        <v>70</v>
      </c>
      <c r="B38" s="147" t="s">
        <v>71</v>
      </c>
      <c r="C38" s="146">
        <v>1</v>
      </c>
      <c r="D38" s="147">
        <v>2</v>
      </c>
      <c r="E38" s="147">
        <v>3</v>
      </c>
      <c r="F38" s="147">
        <v>4</v>
      </c>
      <c r="G38" s="147">
        <v>5</v>
      </c>
      <c r="H38" s="147">
        <v>6</v>
      </c>
      <c r="I38" s="147">
        <v>7</v>
      </c>
      <c r="J38" s="147">
        <v>8</v>
      </c>
      <c r="K38" s="147">
        <v>9</v>
      </c>
      <c r="L38" s="147">
        <v>10</v>
      </c>
      <c r="M38" s="147">
        <v>11</v>
      </c>
      <c r="N38" s="147">
        <v>12</v>
      </c>
      <c r="O38" s="147">
        <v>13</v>
      </c>
      <c r="P38" s="147">
        <v>14</v>
      </c>
      <c r="Q38" s="147">
        <v>15</v>
      </c>
      <c r="R38" s="147">
        <v>16</v>
      </c>
      <c r="S38" s="147">
        <v>17</v>
      </c>
      <c r="T38" s="147">
        <v>18</v>
      </c>
      <c r="U38" s="147">
        <v>19</v>
      </c>
      <c r="V38" s="147">
        <v>20</v>
      </c>
      <c r="W38" s="147">
        <v>21</v>
      </c>
      <c r="X38" s="147">
        <v>22</v>
      </c>
      <c r="Y38" s="147">
        <v>23</v>
      </c>
      <c r="Z38" s="147">
        <v>24</v>
      </c>
      <c r="AA38" s="147">
        <v>25</v>
      </c>
      <c r="AB38" s="147">
        <v>26</v>
      </c>
      <c r="AC38" s="147">
        <v>27</v>
      </c>
      <c r="AD38" s="147">
        <v>28</v>
      </c>
      <c r="AE38" s="147">
        <v>29</v>
      </c>
      <c r="AF38" s="147">
        <v>30</v>
      </c>
      <c r="AG38" s="147">
        <v>31</v>
      </c>
      <c r="AH38" s="146" t="s">
        <v>72</v>
      </c>
      <c r="AI38" s="2266" t="s">
        <v>1345</v>
      </c>
      <c r="AJ38" s="66">
        <f>(B51/COUNTIF($C$39:$AG$50,"&gt;0"))</f>
        <v>0.78100000000000003</v>
      </c>
    </row>
    <row r="39" spans="1:36" ht="12">
      <c r="A39" s="1073" t="s">
        <v>73</v>
      </c>
      <c r="B39" s="130">
        <f t="shared" ref="B39:B50" si="5">+AH39</f>
        <v>0</v>
      </c>
      <c r="C39" s="151">
        <f>+C56+C72</f>
        <v>0</v>
      </c>
      <c r="D39" s="151">
        <f t="shared" ref="D39:AG46" si="6">+D56+D72</f>
        <v>0</v>
      </c>
      <c r="E39" s="151">
        <f t="shared" si="6"/>
        <v>0</v>
      </c>
      <c r="F39" s="151">
        <f t="shared" si="6"/>
        <v>0</v>
      </c>
      <c r="G39" s="151">
        <f t="shared" si="6"/>
        <v>0</v>
      </c>
      <c r="H39" s="151">
        <f t="shared" si="6"/>
        <v>0</v>
      </c>
      <c r="I39" s="151">
        <v>0</v>
      </c>
      <c r="J39" s="151">
        <f t="shared" si="6"/>
        <v>0</v>
      </c>
      <c r="K39" s="151">
        <f t="shared" si="6"/>
        <v>0</v>
      </c>
      <c r="L39" s="151">
        <f t="shared" si="6"/>
        <v>0</v>
      </c>
      <c r="M39" s="151">
        <f t="shared" si="6"/>
        <v>0</v>
      </c>
      <c r="N39" s="151">
        <f t="shared" si="6"/>
        <v>0</v>
      </c>
      <c r="O39" s="151">
        <f t="shared" si="6"/>
        <v>0</v>
      </c>
      <c r="P39" s="151">
        <v>0</v>
      </c>
      <c r="Q39" s="151">
        <f t="shared" si="6"/>
        <v>0</v>
      </c>
      <c r="R39" s="151">
        <f t="shared" si="6"/>
        <v>0</v>
      </c>
      <c r="S39" s="151">
        <f t="shared" si="6"/>
        <v>0</v>
      </c>
      <c r="T39" s="151">
        <f t="shared" si="6"/>
        <v>0</v>
      </c>
      <c r="U39" s="151">
        <f t="shared" si="6"/>
        <v>0</v>
      </c>
      <c r="V39" s="151">
        <f t="shared" si="6"/>
        <v>0</v>
      </c>
      <c r="W39" s="151">
        <f t="shared" si="6"/>
        <v>0</v>
      </c>
      <c r="X39" s="151">
        <f t="shared" si="6"/>
        <v>0</v>
      </c>
      <c r="Y39" s="151">
        <f t="shared" si="6"/>
        <v>0</v>
      </c>
      <c r="Z39" s="151">
        <f t="shared" si="6"/>
        <v>0</v>
      </c>
      <c r="AA39" s="151">
        <f t="shared" si="6"/>
        <v>0</v>
      </c>
      <c r="AB39" s="151">
        <f t="shared" si="6"/>
        <v>0</v>
      </c>
      <c r="AC39" s="151">
        <f t="shared" si="6"/>
        <v>0</v>
      </c>
      <c r="AD39" s="151">
        <f t="shared" si="6"/>
        <v>0</v>
      </c>
      <c r="AE39" s="151">
        <f t="shared" si="6"/>
        <v>0</v>
      </c>
      <c r="AF39" s="151">
        <f t="shared" si="6"/>
        <v>0</v>
      </c>
      <c r="AG39" s="151">
        <f t="shared" si="6"/>
        <v>0</v>
      </c>
      <c r="AH39" s="151">
        <f>SUM(C39:AG39)</f>
        <v>0</v>
      </c>
    </row>
    <row r="40" spans="1:36" ht="12">
      <c r="A40" s="1073" t="s">
        <v>74</v>
      </c>
      <c r="B40" s="130">
        <f t="shared" si="5"/>
        <v>0.11</v>
      </c>
      <c r="C40" s="151">
        <f t="shared" ref="C40:R46" si="7">+C57+C73</f>
        <v>0</v>
      </c>
      <c r="D40" s="151">
        <f t="shared" si="7"/>
        <v>0</v>
      </c>
      <c r="E40" s="151">
        <f t="shared" si="7"/>
        <v>0</v>
      </c>
      <c r="F40" s="151">
        <f t="shared" si="7"/>
        <v>0</v>
      </c>
      <c r="G40" s="151">
        <f t="shared" si="7"/>
        <v>0</v>
      </c>
      <c r="H40" s="151">
        <f t="shared" si="7"/>
        <v>0</v>
      </c>
      <c r="I40" s="151">
        <f t="shared" si="7"/>
        <v>0</v>
      </c>
      <c r="J40" s="151">
        <f t="shared" si="7"/>
        <v>0</v>
      </c>
      <c r="K40" s="151">
        <f t="shared" si="7"/>
        <v>0</v>
      </c>
      <c r="L40" s="151">
        <f t="shared" si="7"/>
        <v>0</v>
      </c>
      <c r="M40" s="151">
        <f t="shared" si="7"/>
        <v>0</v>
      </c>
      <c r="N40" s="151">
        <f t="shared" si="7"/>
        <v>0</v>
      </c>
      <c r="O40" s="151">
        <f t="shared" si="7"/>
        <v>0</v>
      </c>
      <c r="P40" s="151">
        <f t="shared" si="7"/>
        <v>0</v>
      </c>
      <c r="Q40" s="151">
        <f t="shared" si="7"/>
        <v>0</v>
      </c>
      <c r="R40" s="151">
        <f t="shared" si="7"/>
        <v>0</v>
      </c>
      <c r="S40" s="151">
        <f t="shared" si="6"/>
        <v>0</v>
      </c>
      <c r="T40" s="151">
        <f t="shared" si="6"/>
        <v>0</v>
      </c>
      <c r="U40" s="151">
        <f t="shared" si="6"/>
        <v>0</v>
      </c>
      <c r="V40" s="151">
        <f t="shared" si="6"/>
        <v>0</v>
      </c>
      <c r="W40" s="151">
        <f t="shared" si="6"/>
        <v>0</v>
      </c>
      <c r="X40" s="151">
        <f t="shared" si="6"/>
        <v>0</v>
      </c>
      <c r="Y40" s="151">
        <f t="shared" si="6"/>
        <v>0</v>
      </c>
      <c r="Z40" s="151">
        <f t="shared" si="6"/>
        <v>0.11</v>
      </c>
      <c r="AA40" s="151">
        <f t="shared" si="6"/>
        <v>0</v>
      </c>
      <c r="AB40" s="151">
        <f t="shared" si="6"/>
        <v>0</v>
      </c>
      <c r="AC40" s="151">
        <f t="shared" si="6"/>
        <v>0</v>
      </c>
      <c r="AD40" s="151">
        <f t="shared" si="6"/>
        <v>0</v>
      </c>
      <c r="AE40" s="151">
        <f t="shared" si="6"/>
        <v>0</v>
      </c>
      <c r="AF40" s="151">
        <f t="shared" si="6"/>
        <v>0</v>
      </c>
      <c r="AG40" s="151">
        <f t="shared" si="6"/>
        <v>0</v>
      </c>
      <c r="AH40" s="151">
        <f t="shared" ref="AH40:AH50" si="8">SUM(C40:AG40)</f>
        <v>0.11</v>
      </c>
    </row>
    <row r="41" spans="1:36" ht="12">
      <c r="A41" s="1073" t="s">
        <v>75</v>
      </c>
      <c r="B41" s="130">
        <f t="shared" si="5"/>
        <v>0</v>
      </c>
      <c r="C41" s="151">
        <f t="shared" si="7"/>
        <v>0</v>
      </c>
      <c r="D41" s="151">
        <f t="shared" si="6"/>
        <v>0</v>
      </c>
      <c r="E41" s="151">
        <f t="shared" si="6"/>
        <v>0</v>
      </c>
      <c r="F41" s="151">
        <f t="shared" si="6"/>
        <v>0</v>
      </c>
      <c r="G41" s="151">
        <f t="shared" si="6"/>
        <v>0</v>
      </c>
      <c r="H41" s="151">
        <f t="shared" si="6"/>
        <v>0</v>
      </c>
      <c r="I41" s="151">
        <f t="shared" si="6"/>
        <v>0</v>
      </c>
      <c r="J41" s="151">
        <f t="shared" si="6"/>
        <v>0</v>
      </c>
      <c r="K41" s="151">
        <f t="shared" si="6"/>
        <v>0</v>
      </c>
      <c r="L41" s="151">
        <f t="shared" si="6"/>
        <v>0</v>
      </c>
      <c r="M41" s="151">
        <f t="shared" si="6"/>
        <v>0</v>
      </c>
      <c r="N41" s="151">
        <f t="shared" si="6"/>
        <v>0</v>
      </c>
      <c r="O41" s="151">
        <f t="shared" si="6"/>
        <v>0</v>
      </c>
      <c r="P41" s="151">
        <f t="shared" si="6"/>
        <v>0</v>
      </c>
      <c r="Q41" s="151">
        <f t="shared" si="6"/>
        <v>0</v>
      </c>
      <c r="R41" s="151">
        <f t="shared" si="6"/>
        <v>0</v>
      </c>
      <c r="S41" s="151">
        <f t="shared" si="6"/>
        <v>0</v>
      </c>
      <c r="T41" s="151">
        <f t="shared" si="6"/>
        <v>0</v>
      </c>
      <c r="U41" s="151">
        <f t="shared" si="6"/>
        <v>0</v>
      </c>
      <c r="V41" s="151">
        <f t="shared" si="6"/>
        <v>0</v>
      </c>
      <c r="W41" s="151">
        <f t="shared" si="6"/>
        <v>0</v>
      </c>
      <c r="X41" s="151">
        <f t="shared" si="6"/>
        <v>0</v>
      </c>
      <c r="Y41" s="151">
        <f t="shared" si="6"/>
        <v>0</v>
      </c>
      <c r="Z41" s="151">
        <f t="shared" si="6"/>
        <v>0</v>
      </c>
      <c r="AA41" s="151">
        <f t="shared" si="6"/>
        <v>0</v>
      </c>
      <c r="AB41" s="151">
        <f t="shared" si="6"/>
        <v>0</v>
      </c>
      <c r="AC41" s="151">
        <f t="shared" si="6"/>
        <v>0</v>
      </c>
      <c r="AD41" s="151">
        <f t="shared" si="6"/>
        <v>0</v>
      </c>
      <c r="AE41" s="151">
        <f t="shared" si="6"/>
        <v>0</v>
      </c>
      <c r="AF41" s="151">
        <f t="shared" si="6"/>
        <v>0</v>
      </c>
      <c r="AG41" s="151">
        <f t="shared" si="6"/>
        <v>0</v>
      </c>
      <c r="AH41" s="151">
        <f t="shared" si="8"/>
        <v>0</v>
      </c>
    </row>
    <row r="42" spans="1:36" ht="12">
      <c r="A42" s="1073" t="s">
        <v>76</v>
      </c>
      <c r="B42" s="130">
        <f t="shared" si="5"/>
        <v>0</v>
      </c>
      <c r="C42" s="151">
        <f t="shared" si="7"/>
        <v>0</v>
      </c>
      <c r="D42" s="151">
        <f t="shared" si="6"/>
        <v>0</v>
      </c>
      <c r="E42" s="151">
        <f t="shared" si="6"/>
        <v>0</v>
      </c>
      <c r="F42" s="151">
        <f t="shared" si="6"/>
        <v>0</v>
      </c>
      <c r="G42" s="151">
        <f t="shared" si="6"/>
        <v>0</v>
      </c>
      <c r="H42" s="151">
        <f t="shared" si="6"/>
        <v>0</v>
      </c>
      <c r="I42" s="151">
        <f t="shared" si="6"/>
        <v>0</v>
      </c>
      <c r="J42" s="151">
        <f t="shared" si="6"/>
        <v>0</v>
      </c>
      <c r="K42" s="151">
        <f t="shared" si="6"/>
        <v>0</v>
      </c>
      <c r="L42" s="151">
        <f t="shared" si="6"/>
        <v>0</v>
      </c>
      <c r="M42" s="151">
        <f t="shared" si="6"/>
        <v>0</v>
      </c>
      <c r="N42" s="151">
        <f t="shared" si="6"/>
        <v>0</v>
      </c>
      <c r="O42" s="151">
        <f t="shared" si="6"/>
        <v>0</v>
      </c>
      <c r="P42" s="151">
        <f t="shared" si="6"/>
        <v>0</v>
      </c>
      <c r="Q42" s="151">
        <f t="shared" si="6"/>
        <v>0</v>
      </c>
      <c r="R42" s="151">
        <f t="shared" si="6"/>
        <v>0</v>
      </c>
      <c r="S42" s="151">
        <f t="shared" si="6"/>
        <v>0</v>
      </c>
      <c r="T42" s="151">
        <f t="shared" si="6"/>
        <v>0</v>
      </c>
      <c r="U42" s="151">
        <f t="shared" si="6"/>
        <v>0</v>
      </c>
      <c r="V42" s="151">
        <f t="shared" si="6"/>
        <v>0</v>
      </c>
      <c r="W42" s="151">
        <f t="shared" si="6"/>
        <v>0</v>
      </c>
      <c r="X42" s="151">
        <f t="shared" si="6"/>
        <v>0</v>
      </c>
      <c r="Y42" s="151">
        <f t="shared" si="6"/>
        <v>0</v>
      </c>
      <c r="Z42" s="151">
        <f t="shared" si="6"/>
        <v>0</v>
      </c>
      <c r="AA42" s="151">
        <f t="shared" si="6"/>
        <v>0</v>
      </c>
      <c r="AB42" s="151">
        <f t="shared" si="6"/>
        <v>0</v>
      </c>
      <c r="AC42" s="151">
        <f t="shared" si="6"/>
        <v>0</v>
      </c>
      <c r="AD42" s="151">
        <f t="shared" si="6"/>
        <v>0</v>
      </c>
      <c r="AE42" s="151">
        <f t="shared" si="6"/>
        <v>0</v>
      </c>
      <c r="AF42" s="151">
        <f t="shared" si="6"/>
        <v>0</v>
      </c>
      <c r="AG42" s="151">
        <f t="shared" si="6"/>
        <v>0</v>
      </c>
      <c r="AH42" s="151">
        <f t="shared" si="8"/>
        <v>0</v>
      </c>
    </row>
    <row r="43" spans="1:36" ht="12">
      <c r="A43" s="1073" t="s">
        <v>77</v>
      </c>
      <c r="B43" s="130">
        <f t="shared" si="5"/>
        <v>0</v>
      </c>
      <c r="C43" s="151">
        <f t="shared" si="7"/>
        <v>0</v>
      </c>
      <c r="D43" s="151">
        <f t="shared" si="6"/>
        <v>0</v>
      </c>
      <c r="E43" s="151">
        <f t="shared" si="6"/>
        <v>0</v>
      </c>
      <c r="F43" s="151">
        <f t="shared" si="6"/>
        <v>0</v>
      </c>
      <c r="G43" s="151">
        <f t="shared" si="6"/>
        <v>0</v>
      </c>
      <c r="H43" s="151">
        <f t="shared" si="6"/>
        <v>0</v>
      </c>
      <c r="I43" s="151">
        <f t="shared" si="6"/>
        <v>0</v>
      </c>
      <c r="J43" s="151">
        <f t="shared" si="6"/>
        <v>0</v>
      </c>
      <c r="K43" s="151">
        <f t="shared" si="6"/>
        <v>0</v>
      </c>
      <c r="L43" s="151">
        <f t="shared" si="6"/>
        <v>0</v>
      </c>
      <c r="M43" s="151">
        <f t="shared" si="6"/>
        <v>0</v>
      </c>
      <c r="N43" s="151">
        <f t="shared" si="6"/>
        <v>0</v>
      </c>
      <c r="O43" s="151">
        <f t="shared" si="6"/>
        <v>0</v>
      </c>
      <c r="P43" s="151">
        <f t="shared" si="6"/>
        <v>0</v>
      </c>
      <c r="Q43" s="151">
        <f t="shared" si="6"/>
        <v>0</v>
      </c>
      <c r="R43" s="151">
        <f t="shared" si="6"/>
        <v>0</v>
      </c>
      <c r="S43" s="151">
        <f t="shared" si="6"/>
        <v>0</v>
      </c>
      <c r="T43" s="151">
        <f t="shared" si="6"/>
        <v>0</v>
      </c>
      <c r="U43" s="151">
        <f t="shared" si="6"/>
        <v>0</v>
      </c>
      <c r="V43" s="151">
        <f t="shared" si="6"/>
        <v>0</v>
      </c>
      <c r="W43" s="151">
        <f t="shared" si="6"/>
        <v>0</v>
      </c>
      <c r="X43" s="151">
        <f t="shared" si="6"/>
        <v>0</v>
      </c>
      <c r="Y43" s="151">
        <f t="shared" si="6"/>
        <v>0</v>
      </c>
      <c r="Z43" s="151">
        <f t="shared" si="6"/>
        <v>0</v>
      </c>
      <c r="AA43" s="151">
        <f t="shared" si="6"/>
        <v>0</v>
      </c>
      <c r="AB43" s="151">
        <f t="shared" si="6"/>
        <v>0</v>
      </c>
      <c r="AC43" s="151">
        <f t="shared" si="6"/>
        <v>0</v>
      </c>
      <c r="AD43" s="151">
        <f t="shared" si="6"/>
        <v>0</v>
      </c>
      <c r="AE43" s="151">
        <f t="shared" si="6"/>
        <v>0</v>
      </c>
      <c r="AF43" s="151">
        <f t="shared" si="6"/>
        <v>0</v>
      </c>
      <c r="AG43" s="151">
        <f t="shared" si="6"/>
        <v>0</v>
      </c>
      <c r="AH43" s="151">
        <f t="shared" si="8"/>
        <v>0</v>
      </c>
    </row>
    <row r="44" spans="1:36" ht="12">
      <c r="A44" s="1073" t="s">
        <v>78</v>
      </c>
      <c r="B44" s="130">
        <f t="shared" si="5"/>
        <v>0</v>
      </c>
      <c r="C44" s="151">
        <f t="shared" si="7"/>
        <v>0</v>
      </c>
      <c r="D44" s="151">
        <f t="shared" si="6"/>
        <v>0</v>
      </c>
      <c r="E44" s="151">
        <f t="shared" si="6"/>
        <v>0</v>
      </c>
      <c r="F44" s="151">
        <f t="shared" si="6"/>
        <v>0</v>
      </c>
      <c r="G44" s="151">
        <f t="shared" si="6"/>
        <v>0</v>
      </c>
      <c r="H44" s="151">
        <f t="shared" si="6"/>
        <v>0</v>
      </c>
      <c r="I44" s="151">
        <f t="shared" si="6"/>
        <v>0</v>
      </c>
      <c r="J44" s="151">
        <f t="shared" si="6"/>
        <v>0</v>
      </c>
      <c r="K44" s="151">
        <f t="shared" si="6"/>
        <v>0</v>
      </c>
      <c r="L44" s="151">
        <f t="shared" si="6"/>
        <v>0</v>
      </c>
      <c r="M44" s="151">
        <f t="shared" si="6"/>
        <v>0</v>
      </c>
      <c r="N44" s="151">
        <f t="shared" si="6"/>
        <v>0</v>
      </c>
      <c r="O44" s="151">
        <f t="shared" si="6"/>
        <v>0</v>
      </c>
      <c r="P44" s="151">
        <f t="shared" si="6"/>
        <v>0</v>
      </c>
      <c r="Q44" s="151">
        <v>0</v>
      </c>
      <c r="R44" s="151">
        <f t="shared" si="6"/>
        <v>0</v>
      </c>
      <c r="S44" s="151">
        <f t="shared" si="6"/>
        <v>0</v>
      </c>
      <c r="T44" s="151">
        <f t="shared" si="6"/>
        <v>0</v>
      </c>
      <c r="U44" s="151">
        <f t="shared" si="6"/>
        <v>0</v>
      </c>
      <c r="V44" s="151">
        <f t="shared" si="6"/>
        <v>0</v>
      </c>
      <c r="W44" s="151">
        <f t="shared" si="6"/>
        <v>0</v>
      </c>
      <c r="X44" s="151">
        <f t="shared" si="6"/>
        <v>0</v>
      </c>
      <c r="Y44" s="151">
        <f t="shared" si="6"/>
        <v>0</v>
      </c>
      <c r="Z44" s="151">
        <f t="shared" si="6"/>
        <v>0</v>
      </c>
      <c r="AA44" s="151">
        <f t="shared" si="6"/>
        <v>0</v>
      </c>
      <c r="AB44" s="151">
        <f t="shared" si="6"/>
        <v>0</v>
      </c>
      <c r="AC44" s="151">
        <f t="shared" si="6"/>
        <v>0</v>
      </c>
      <c r="AD44" s="151">
        <f t="shared" si="6"/>
        <v>0</v>
      </c>
      <c r="AE44" s="151">
        <f t="shared" si="6"/>
        <v>0</v>
      </c>
      <c r="AF44" s="151">
        <f t="shared" si="6"/>
        <v>0</v>
      </c>
      <c r="AG44" s="151">
        <f t="shared" si="6"/>
        <v>0</v>
      </c>
      <c r="AH44" s="151">
        <f t="shared" si="8"/>
        <v>0</v>
      </c>
    </row>
    <row r="45" spans="1:36" ht="12">
      <c r="A45" s="1073" t="s">
        <v>79</v>
      </c>
      <c r="B45" s="130">
        <f t="shared" si="5"/>
        <v>0</v>
      </c>
      <c r="C45" s="151">
        <f t="shared" si="7"/>
        <v>0</v>
      </c>
      <c r="D45" s="151">
        <f t="shared" si="6"/>
        <v>0</v>
      </c>
      <c r="E45" s="151">
        <f t="shared" si="6"/>
        <v>0</v>
      </c>
      <c r="F45" s="151">
        <f t="shared" si="6"/>
        <v>0</v>
      </c>
      <c r="G45" s="151">
        <f t="shared" si="6"/>
        <v>0</v>
      </c>
      <c r="H45" s="151">
        <f t="shared" si="6"/>
        <v>0</v>
      </c>
      <c r="I45" s="151">
        <f t="shared" si="6"/>
        <v>0</v>
      </c>
      <c r="J45" s="151">
        <f t="shared" si="6"/>
        <v>0</v>
      </c>
      <c r="K45" s="151">
        <f t="shared" si="6"/>
        <v>0</v>
      </c>
      <c r="L45" s="151">
        <f t="shared" si="6"/>
        <v>0</v>
      </c>
      <c r="M45" s="151">
        <f t="shared" si="6"/>
        <v>0</v>
      </c>
      <c r="N45" s="151">
        <f t="shared" si="6"/>
        <v>0</v>
      </c>
      <c r="O45" s="151">
        <f t="shared" si="6"/>
        <v>0</v>
      </c>
      <c r="P45" s="151">
        <f t="shared" si="6"/>
        <v>0</v>
      </c>
      <c r="Q45" s="151">
        <f t="shared" si="6"/>
        <v>0</v>
      </c>
      <c r="R45" s="151">
        <f t="shared" si="6"/>
        <v>0</v>
      </c>
      <c r="S45" s="151">
        <f t="shared" si="6"/>
        <v>0</v>
      </c>
      <c r="T45" s="151">
        <f t="shared" si="6"/>
        <v>0</v>
      </c>
      <c r="U45" s="151">
        <f t="shared" si="6"/>
        <v>0</v>
      </c>
      <c r="V45" s="151">
        <f t="shared" si="6"/>
        <v>0</v>
      </c>
      <c r="W45" s="151">
        <f t="shared" si="6"/>
        <v>0</v>
      </c>
      <c r="X45" s="151">
        <f t="shared" si="6"/>
        <v>0</v>
      </c>
      <c r="Y45" s="151">
        <f t="shared" si="6"/>
        <v>0</v>
      </c>
      <c r="Z45" s="151">
        <f t="shared" si="6"/>
        <v>0</v>
      </c>
      <c r="AA45" s="151">
        <f t="shared" si="6"/>
        <v>0</v>
      </c>
      <c r="AB45" s="151">
        <f t="shared" si="6"/>
        <v>0</v>
      </c>
      <c r="AC45" s="151">
        <f t="shared" si="6"/>
        <v>0</v>
      </c>
      <c r="AD45" s="151">
        <f t="shared" si="6"/>
        <v>0</v>
      </c>
      <c r="AE45" s="151">
        <f t="shared" si="6"/>
        <v>0</v>
      </c>
      <c r="AF45" s="151">
        <f t="shared" si="6"/>
        <v>0</v>
      </c>
      <c r="AG45" s="151">
        <f t="shared" si="6"/>
        <v>0</v>
      </c>
      <c r="AH45" s="151">
        <f t="shared" si="8"/>
        <v>0</v>
      </c>
    </row>
    <row r="46" spans="1:36" ht="12">
      <c r="A46" s="1073" t="s">
        <v>80</v>
      </c>
      <c r="B46" s="130">
        <f t="shared" si="5"/>
        <v>1.452</v>
      </c>
      <c r="C46" s="151">
        <f t="shared" si="7"/>
        <v>0</v>
      </c>
      <c r="D46" s="151">
        <f t="shared" si="6"/>
        <v>0</v>
      </c>
      <c r="E46" s="151">
        <f t="shared" si="6"/>
        <v>0</v>
      </c>
      <c r="F46" s="151">
        <f t="shared" si="6"/>
        <v>0</v>
      </c>
      <c r="G46" s="151">
        <f t="shared" si="6"/>
        <v>0</v>
      </c>
      <c r="H46" s="151">
        <f t="shared" si="6"/>
        <v>0</v>
      </c>
      <c r="I46" s="151">
        <f t="shared" si="6"/>
        <v>0</v>
      </c>
      <c r="J46" s="151">
        <f t="shared" si="6"/>
        <v>0</v>
      </c>
      <c r="K46" s="151">
        <f t="shared" si="6"/>
        <v>0</v>
      </c>
      <c r="L46" s="151">
        <f t="shared" si="6"/>
        <v>0</v>
      </c>
      <c r="M46" s="151">
        <f t="shared" si="6"/>
        <v>0</v>
      </c>
      <c r="N46" s="151">
        <f t="shared" si="6"/>
        <v>0</v>
      </c>
      <c r="O46" s="151">
        <f t="shared" si="6"/>
        <v>0</v>
      </c>
      <c r="P46" s="151">
        <f t="shared" si="6"/>
        <v>0</v>
      </c>
      <c r="Q46" s="151">
        <f t="shared" si="6"/>
        <v>0</v>
      </c>
      <c r="R46" s="151">
        <f t="shared" si="6"/>
        <v>0</v>
      </c>
      <c r="S46" s="151">
        <f t="shared" si="6"/>
        <v>0</v>
      </c>
      <c r="T46" s="151">
        <f t="shared" si="6"/>
        <v>0</v>
      </c>
      <c r="U46" s="151">
        <f t="shared" si="6"/>
        <v>0</v>
      </c>
      <c r="V46" s="151">
        <f t="shared" si="6"/>
        <v>0</v>
      </c>
      <c r="W46" s="151">
        <f t="shared" si="6"/>
        <v>0</v>
      </c>
      <c r="X46" s="151">
        <f t="shared" si="6"/>
        <v>0</v>
      </c>
      <c r="Y46" s="151">
        <f t="shared" si="6"/>
        <v>0</v>
      </c>
      <c r="Z46" s="151">
        <f t="shared" si="6"/>
        <v>0</v>
      </c>
      <c r="AA46" s="151">
        <f t="shared" si="6"/>
        <v>0</v>
      </c>
      <c r="AB46" s="151">
        <f t="shared" si="6"/>
        <v>1.452</v>
      </c>
      <c r="AC46" s="151">
        <f t="shared" si="6"/>
        <v>0</v>
      </c>
      <c r="AD46" s="151">
        <f t="shared" si="6"/>
        <v>0</v>
      </c>
      <c r="AE46" s="151">
        <f t="shared" si="6"/>
        <v>0</v>
      </c>
      <c r="AF46" s="151">
        <f t="shared" si="6"/>
        <v>0</v>
      </c>
      <c r="AG46" s="151">
        <f t="shared" si="6"/>
        <v>0</v>
      </c>
      <c r="AH46" s="151">
        <f t="shared" si="8"/>
        <v>1.452</v>
      </c>
    </row>
    <row r="47" spans="1:36" ht="12">
      <c r="A47" s="1073" t="s">
        <v>81</v>
      </c>
      <c r="B47" s="130">
        <f t="shared" si="5"/>
        <v>0</v>
      </c>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c r="AE47" s="151"/>
      <c r="AF47" s="151"/>
      <c r="AG47" s="151"/>
      <c r="AH47" s="151">
        <f t="shared" si="8"/>
        <v>0</v>
      </c>
    </row>
    <row r="48" spans="1:36" ht="12">
      <c r="A48" s="1073" t="s">
        <v>82</v>
      </c>
      <c r="B48" s="130">
        <f t="shared" si="5"/>
        <v>0</v>
      </c>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c r="AE48" s="151"/>
      <c r="AF48" s="151"/>
      <c r="AG48" s="151"/>
      <c r="AH48" s="151">
        <f t="shared" si="8"/>
        <v>0</v>
      </c>
    </row>
    <row r="49" spans="1:36" ht="12">
      <c r="A49" s="1519" t="s">
        <v>83</v>
      </c>
      <c r="B49" s="130">
        <f t="shared" si="5"/>
        <v>0</v>
      </c>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c r="AE49" s="151"/>
      <c r="AF49" s="151"/>
      <c r="AG49" s="151"/>
      <c r="AH49" s="151">
        <f t="shared" si="8"/>
        <v>0</v>
      </c>
    </row>
    <row r="50" spans="1:36" ht="12">
      <c r="A50" s="1519" t="s">
        <v>84</v>
      </c>
      <c r="B50" s="130">
        <f t="shared" si="5"/>
        <v>0</v>
      </c>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f t="shared" si="8"/>
        <v>0</v>
      </c>
    </row>
    <row r="51" spans="1:36" ht="12">
      <c r="A51" s="598" t="s">
        <v>72</v>
      </c>
      <c r="B51" s="747">
        <f>SUM(B39:B50)</f>
        <v>1.5620000000000001</v>
      </c>
      <c r="C51" s="151">
        <f t="shared" ref="C51:AH51" si="9">SUM(C39:C50)</f>
        <v>0</v>
      </c>
      <c r="D51" s="151">
        <f t="shared" si="9"/>
        <v>0</v>
      </c>
      <c r="E51" s="151">
        <f t="shared" si="9"/>
        <v>0</v>
      </c>
      <c r="F51" s="151">
        <f t="shared" si="9"/>
        <v>0</v>
      </c>
      <c r="G51" s="151">
        <f t="shared" si="9"/>
        <v>0</v>
      </c>
      <c r="H51" s="151">
        <f t="shared" si="9"/>
        <v>0</v>
      </c>
      <c r="I51" s="151">
        <f t="shared" si="9"/>
        <v>0</v>
      </c>
      <c r="J51" s="151">
        <f t="shared" si="9"/>
        <v>0</v>
      </c>
      <c r="K51" s="151">
        <f t="shared" si="9"/>
        <v>0</v>
      </c>
      <c r="L51" s="151">
        <f t="shared" si="9"/>
        <v>0</v>
      </c>
      <c r="M51" s="151">
        <f t="shared" si="9"/>
        <v>0</v>
      </c>
      <c r="N51" s="151">
        <f t="shared" si="9"/>
        <v>0</v>
      </c>
      <c r="O51" s="151">
        <f t="shared" si="9"/>
        <v>0</v>
      </c>
      <c r="P51" s="151">
        <f t="shared" si="9"/>
        <v>0</v>
      </c>
      <c r="Q51" s="151">
        <f t="shared" si="9"/>
        <v>0</v>
      </c>
      <c r="R51" s="151">
        <f t="shared" si="9"/>
        <v>0</v>
      </c>
      <c r="S51" s="151">
        <f t="shared" si="9"/>
        <v>0</v>
      </c>
      <c r="T51" s="151">
        <f t="shared" si="9"/>
        <v>0</v>
      </c>
      <c r="U51" s="151">
        <f t="shared" si="9"/>
        <v>0</v>
      </c>
      <c r="V51" s="151">
        <f t="shared" si="9"/>
        <v>0</v>
      </c>
      <c r="W51" s="151">
        <f t="shared" si="9"/>
        <v>0</v>
      </c>
      <c r="X51" s="151">
        <f t="shared" si="9"/>
        <v>0</v>
      </c>
      <c r="Y51" s="151">
        <f t="shared" si="9"/>
        <v>0</v>
      </c>
      <c r="Z51" s="151">
        <f t="shared" si="9"/>
        <v>0.11</v>
      </c>
      <c r="AA51" s="151">
        <f t="shared" si="9"/>
        <v>0</v>
      </c>
      <c r="AB51" s="151">
        <f t="shared" si="9"/>
        <v>1.452</v>
      </c>
      <c r="AC51" s="151">
        <f t="shared" si="9"/>
        <v>0</v>
      </c>
      <c r="AD51" s="151">
        <f t="shared" si="9"/>
        <v>0</v>
      </c>
      <c r="AE51" s="151">
        <f t="shared" si="9"/>
        <v>0</v>
      </c>
      <c r="AF51" s="151">
        <f t="shared" si="9"/>
        <v>0</v>
      </c>
      <c r="AG51" s="151">
        <f t="shared" si="9"/>
        <v>0</v>
      </c>
      <c r="AH51" s="151">
        <f t="shared" si="9"/>
        <v>1.5620000000000001</v>
      </c>
    </row>
    <row r="54" spans="1:36" ht="12">
      <c r="A54" s="3882" t="s">
        <v>580</v>
      </c>
      <c r="B54" s="3883"/>
      <c r="C54" s="3883"/>
      <c r="D54" s="3884"/>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145"/>
    </row>
    <row r="55" spans="1:36" ht="13.8">
      <c r="A55" s="146" t="s">
        <v>70</v>
      </c>
      <c r="B55" s="147" t="s">
        <v>71</v>
      </c>
      <c r="C55" s="146">
        <v>1</v>
      </c>
      <c r="D55" s="147">
        <v>2</v>
      </c>
      <c r="E55" s="147">
        <v>3</v>
      </c>
      <c r="F55" s="147">
        <v>4</v>
      </c>
      <c r="G55" s="147">
        <v>5</v>
      </c>
      <c r="H55" s="147">
        <v>6</v>
      </c>
      <c r="I55" s="147">
        <v>7</v>
      </c>
      <c r="J55" s="147">
        <v>8</v>
      </c>
      <c r="K55" s="147">
        <v>9</v>
      </c>
      <c r="L55" s="147">
        <v>10</v>
      </c>
      <c r="M55" s="147">
        <v>11</v>
      </c>
      <c r="N55" s="147">
        <v>12</v>
      </c>
      <c r="O55" s="147">
        <v>13</v>
      </c>
      <c r="P55" s="147">
        <v>14</v>
      </c>
      <c r="Q55" s="147">
        <v>15</v>
      </c>
      <c r="R55" s="147">
        <v>16</v>
      </c>
      <c r="S55" s="147">
        <v>17</v>
      </c>
      <c r="T55" s="147">
        <v>18</v>
      </c>
      <c r="U55" s="147">
        <v>19</v>
      </c>
      <c r="V55" s="147">
        <v>20</v>
      </c>
      <c r="W55" s="147">
        <v>21</v>
      </c>
      <c r="X55" s="147">
        <v>22</v>
      </c>
      <c r="Y55" s="147">
        <v>23</v>
      </c>
      <c r="Z55" s="147">
        <v>24</v>
      </c>
      <c r="AA55" s="147">
        <v>25</v>
      </c>
      <c r="AB55" s="147">
        <v>26</v>
      </c>
      <c r="AC55" s="147">
        <v>27</v>
      </c>
      <c r="AD55" s="147">
        <v>28</v>
      </c>
      <c r="AE55" s="147">
        <v>29</v>
      </c>
      <c r="AF55" s="147">
        <v>30</v>
      </c>
      <c r="AG55" s="147">
        <v>31</v>
      </c>
      <c r="AH55" s="146" t="s">
        <v>72</v>
      </c>
      <c r="AI55" s="2266" t="s">
        <v>1345</v>
      </c>
      <c r="AJ55" s="66">
        <f>(B68/COUNTIF($C$56:$AG$67,"&gt;0"))</f>
        <v>0.78100000000000003</v>
      </c>
    </row>
    <row r="56" spans="1:36" ht="12">
      <c r="A56" s="1073" t="s">
        <v>73</v>
      </c>
      <c r="B56" s="130">
        <f t="shared" ref="B56:B67" si="10">+AH56</f>
        <v>0</v>
      </c>
      <c r="C56" s="1205"/>
      <c r="D56" s="1205"/>
      <c r="E56" s="1205"/>
      <c r="F56" s="1205"/>
      <c r="G56" s="1205"/>
      <c r="H56" s="1205"/>
      <c r="I56" s="1205"/>
      <c r="J56" s="1205"/>
      <c r="K56" s="1205"/>
      <c r="L56" s="1205"/>
      <c r="M56" s="1205"/>
      <c r="N56" s="130"/>
      <c r="O56" s="130"/>
      <c r="P56" s="130"/>
      <c r="Q56" s="130"/>
      <c r="R56" s="130"/>
      <c r="S56" s="130"/>
      <c r="T56" s="130"/>
      <c r="U56" s="130"/>
      <c r="V56" s="130"/>
      <c r="W56" s="130"/>
      <c r="X56" s="130"/>
      <c r="Y56" s="130"/>
      <c r="Z56" s="130"/>
      <c r="AA56" s="130"/>
      <c r="AB56" s="130"/>
      <c r="AC56" s="130"/>
      <c r="AD56" s="130"/>
      <c r="AE56" s="130"/>
      <c r="AF56" s="130"/>
      <c r="AG56" s="130"/>
      <c r="AH56" s="151">
        <f>SUM(C56:AG56)</f>
        <v>0</v>
      </c>
      <c r="AJ56" s="137">
        <f>+'Res. Global'!J60</f>
        <v>243.43799999999999</v>
      </c>
    </row>
    <row r="57" spans="1:36" ht="12">
      <c r="A57" s="1073" t="s">
        <v>74</v>
      </c>
      <c r="B57" s="130">
        <f t="shared" si="10"/>
        <v>0.11</v>
      </c>
      <c r="C57" s="151"/>
      <c r="D57" s="130"/>
      <c r="E57" s="130"/>
      <c r="F57" s="130"/>
      <c r="G57" s="130"/>
      <c r="H57" s="130"/>
      <c r="I57" s="130"/>
      <c r="J57" s="130"/>
      <c r="K57" s="130"/>
      <c r="L57" s="130"/>
      <c r="M57" s="130"/>
      <c r="N57" s="130"/>
      <c r="O57" s="130"/>
      <c r="P57" s="130"/>
      <c r="Q57" s="130"/>
      <c r="R57" s="130"/>
      <c r="S57" s="130"/>
      <c r="T57" s="130"/>
      <c r="U57" s="130"/>
      <c r="V57" s="130"/>
      <c r="W57" s="130"/>
      <c r="X57" s="130"/>
      <c r="Y57" s="130"/>
      <c r="Z57" s="130">
        <v>0.11</v>
      </c>
      <c r="AA57" s="130"/>
      <c r="AB57" s="130"/>
      <c r="AC57" s="130"/>
      <c r="AD57" s="130"/>
      <c r="AE57" s="130"/>
      <c r="AF57" s="130"/>
      <c r="AG57" s="130"/>
      <c r="AH57" s="151">
        <f t="shared" ref="AH57:AH67" si="11">SUM(C57:AG57)</f>
        <v>0.11</v>
      </c>
      <c r="AJ57" s="3217">
        <f>+AJ56/AJ55</f>
        <v>311.70038412291933</v>
      </c>
    </row>
    <row r="58" spans="1:36" ht="12">
      <c r="A58" s="1073" t="s">
        <v>75</v>
      </c>
      <c r="B58" s="130">
        <f t="shared" si="10"/>
        <v>0</v>
      </c>
      <c r="C58" s="151"/>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c r="AH58" s="151">
        <f t="shared" si="11"/>
        <v>0</v>
      </c>
    </row>
    <row r="59" spans="1:36" ht="12">
      <c r="A59" s="1073" t="s">
        <v>76</v>
      </c>
      <c r="B59" s="130">
        <f t="shared" si="10"/>
        <v>0</v>
      </c>
      <c r="C59" s="151"/>
      <c r="D59" s="1038"/>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51">
        <f t="shared" si="11"/>
        <v>0</v>
      </c>
    </row>
    <row r="60" spans="1:36" ht="12">
      <c r="A60" s="1073" t="s">
        <v>77</v>
      </c>
      <c r="B60" s="130">
        <f t="shared" si="10"/>
        <v>0</v>
      </c>
      <c r="C60" s="151"/>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51">
        <f t="shared" si="11"/>
        <v>0</v>
      </c>
    </row>
    <row r="61" spans="1:36" ht="12">
      <c r="A61" s="1073" t="s">
        <v>78</v>
      </c>
      <c r="B61" s="130">
        <f t="shared" si="10"/>
        <v>0</v>
      </c>
      <c r="C61" s="151"/>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51">
        <f t="shared" si="11"/>
        <v>0</v>
      </c>
    </row>
    <row r="62" spans="1:36" ht="12">
      <c r="A62" s="1073" t="s">
        <v>79</v>
      </c>
      <c r="B62" s="130">
        <f t="shared" si="10"/>
        <v>0</v>
      </c>
      <c r="C62" s="151"/>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51">
        <f t="shared" si="11"/>
        <v>0</v>
      </c>
    </row>
    <row r="63" spans="1:36" ht="12">
      <c r="A63" s="1073" t="s">
        <v>80</v>
      </c>
      <c r="B63" s="130">
        <f t="shared" si="10"/>
        <v>1.452</v>
      </c>
      <c r="C63" s="151"/>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v>1.452</v>
      </c>
      <c r="AC63" s="130"/>
      <c r="AD63" s="130"/>
      <c r="AE63" s="130"/>
      <c r="AF63" s="130"/>
      <c r="AG63" s="130"/>
      <c r="AH63" s="151">
        <f t="shared" si="11"/>
        <v>1.452</v>
      </c>
    </row>
    <row r="64" spans="1:36" ht="12">
      <c r="A64" s="1073" t="s">
        <v>81</v>
      </c>
      <c r="B64" s="130">
        <f t="shared" si="10"/>
        <v>0</v>
      </c>
      <c r="C64" s="151"/>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51">
        <f t="shared" si="11"/>
        <v>0</v>
      </c>
    </row>
    <row r="65" spans="1:36" ht="12">
      <c r="A65" s="1073" t="s">
        <v>82</v>
      </c>
      <c r="B65" s="130">
        <f t="shared" si="10"/>
        <v>0</v>
      </c>
      <c r="C65" s="151"/>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51">
        <f t="shared" si="11"/>
        <v>0</v>
      </c>
    </row>
    <row r="66" spans="1:36" ht="12">
      <c r="A66" s="1519" t="s">
        <v>83</v>
      </c>
      <c r="B66" s="130">
        <f t="shared" si="10"/>
        <v>0</v>
      </c>
      <c r="C66" s="151"/>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51">
        <f t="shared" si="11"/>
        <v>0</v>
      </c>
    </row>
    <row r="67" spans="1:36" ht="12">
      <c r="A67" s="1519" t="s">
        <v>84</v>
      </c>
      <c r="B67" s="130">
        <f t="shared" si="10"/>
        <v>0</v>
      </c>
      <c r="C67" s="151"/>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51">
        <f t="shared" si="11"/>
        <v>0</v>
      </c>
    </row>
    <row r="68" spans="1:36" ht="12">
      <c r="A68" s="598" t="s">
        <v>72</v>
      </c>
      <c r="B68" s="747">
        <f>SUM(B56:B67)</f>
        <v>1.5620000000000001</v>
      </c>
      <c r="C68" s="151">
        <f t="shared" ref="C68:AH68" si="12">SUM(C56:C67)</f>
        <v>0</v>
      </c>
      <c r="D68" s="151">
        <f t="shared" si="12"/>
        <v>0</v>
      </c>
      <c r="E68" s="151">
        <f t="shared" si="12"/>
        <v>0</v>
      </c>
      <c r="F68" s="151">
        <f t="shared" si="12"/>
        <v>0</v>
      </c>
      <c r="G68" s="151">
        <f t="shared" si="12"/>
        <v>0</v>
      </c>
      <c r="H68" s="151">
        <f t="shared" si="12"/>
        <v>0</v>
      </c>
      <c r="I68" s="151">
        <f t="shared" si="12"/>
        <v>0</v>
      </c>
      <c r="J68" s="151">
        <f t="shared" si="12"/>
        <v>0</v>
      </c>
      <c r="K68" s="151">
        <f t="shared" si="12"/>
        <v>0</v>
      </c>
      <c r="L68" s="151">
        <f t="shared" si="12"/>
        <v>0</v>
      </c>
      <c r="M68" s="151">
        <f t="shared" si="12"/>
        <v>0</v>
      </c>
      <c r="N68" s="151">
        <f t="shared" si="12"/>
        <v>0</v>
      </c>
      <c r="O68" s="151">
        <f t="shared" si="12"/>
        <v>0</v>
      </c>
      <c r="P68" s="151">
        <f t="shared" si="12"/>
        <v>0</v>
      </c>
      <c r="Q68" s="151">
        <f t="shared" si="12"/>
        <v>0</v>
      </c>
      <c r="R68" s="151">
        <f t="shared" si="12"/>
        <v>0</v>
      </c>
      <c r="S68" s="151">
        <f t="shared" si="12"/>
        <v>0</v>
      </c>
      <c r="T68" s="151">
        <f t="shared" si="12"/>
        <v>0</v>
      </c>
      <c r="U68" s="151">
        <f t="shared" si="12"/>
        <v>0</v>
      </c>
      <c r="V68" s="151">
        <f t="shared" si="12"/>
        <v>0</v>
      </c>
      <c r="W68" s="151">
        <f t="shared" si="12"/>
        <v>0</v>
      </c>
      <c r="X68" s="151">
        <f t="shared" si="12"/>
        <v>0</v>
      </c>
      <c r="Y68" s="151">
        <f t="shared" si="12"/>
        <v>0</v>
      </c>
      <c r="Z68" s="151">
        <f t="shared" si="12"/>
        <v>0.11</v>
      </c>
      <c r="AA68" s="151">
        <f t="shared" si="12"/>
        <v>0</v>
      </c>
      <c r="AB68" s="151">
        <f t="shared" si="12"/>
        <v>1.452</v>
      </c>
      <c r="AC68" s="151">
        <f t="shared" si="12"/>
        <v>0</v>
      </c>
      <c r="AD68" s="151">
        <f t="shared" si="12"/>
        <v>0</v>
      </c>
      <c r="AE68" s="151">
        <f t="shared" si="12"/>
        <v>0</v>
      </c>
      <c r="AF68" s="151">
        <f t="shared" si="12"/>
        <v>0</v>
      </c>
      <c r="AG68" s="151">
        <f t="shared" si="12"/>
        <v>0</v>
      </c>
      <c r="AH68" s="151">
        <f t="shared" si="12"/>
        <v>1.5620000000000001</v>
      </c>
    </row>
    <row r="70" spans="1:36" ht="12">
      <c r="A70" s="3882" t="s">
        <v>581</v>
      </c>
      <c r="B70" s="3883"/>
      <c r="C70" s="3883"/>
      <c r="D70" s="3884"/>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145"/>
    </row>
    <row r="71" spans="1:36" ht="13.8">
      <c r="A71" s="146" t="s">
        <v>70</v>
      </c>
      <c r="B71" s="147" t="s">
        <v>71</v>
      </c>
      <c r="C71" s="146">
        <v>1</v>
      </c>
      <c r="D71" s="147">
        <v>2</v>
      </c>
      <c r="E71" s="147">
        <v>3</v>
      </c>
      <c r="F71" s="147">
        <v>4</v>
      </c>
      <c r="G71" s="147">
        <v>5</v>
      </c>
      <c r="H71" s="147">
        <v>6</v>
      </c>
      <c r="I71" s="147">
        <v>7</v>
      </c>
      <c r="J71" s="147">
        <v>8</v>
      </c>
      <c r="K71" s="147">
        <v>9</v>
      </c>
      <c r="L71" s="147">
        <v>10</v>
      </c>
      <c r="M71" s="147">
        <v>11</v>
      </c>
      <c r="N71" s="147">
        <v>12</v>
      </c>
      <c r="O71" s="147">
        <v>13</v>
      </c>
      <c r="P71" s="147">
        <v>14</v>
      </c>
      <c r="Q71" s="147">
        <v>15</v>
      </c>
      <c r="R71" s="147">
        <v>16</v>
      </c>
      <c r="S71" s="147">
        <v>17</v>
      </c>
      <c r="T71" s="147">
        <v>18</v>
      </c>
      <c r="U71" s="147">
        <v>19</v>
      </c>
      <c r="V71" s="147">
        <v>20</v>
      </c>
      <c r="W71" s="147">
        <v>21</v>
      </c>
      <c r="X71" s="147">
        <v>22</v>
      </c>
      <c r="Y71" s="147">
        <v>23</v>
      </c>
      <c r="Z71" s="147">
        <v>24</v>
      </c>
      <c r="AA71" s="147">
        <v>25</v>
      </c>
      <c r="AB71" s="147">
        <v>26</v>
      </c>
      <c r="AC71" s="147">
        <v>27</v>
      </c>
      <c r="AD71" s="147">
        <v>28</v>
      </c>
      <c r="AE71" s="147">
        <v>29</v>
      </c>
      <c r="AF71" s="147">
        <v>30</v>
      </c>
      <c r="AG71" s="147">
        <v>31</v>
      </c>
      <c r="AH71" s="146" t="s">
        <v>72</v>
      </c>
      <c r="AI71" s="2266" t="s">
        <v>1345</v>
      </c>
      <c r="AJ71" s="66">
        <f>(B84/COUNTIF($C$72:$AG$83,"&gt;0"))</f>
        <v>1.8857142857142857E-2</v>
      </c>
    </row>
    <row r="72" spans="1:36" ht="12">
      <c r="A72" s="1073" t="s">
        <v>73</v>
      </c>
      <c r="B72" s="2186">
        <f t="shared" ref="B72:B83" si="13">+AH72</f>
        <v>0.02</v>
      </c>
      <c r="C72" s="1333"/>
      <c r="D72" s="1333"/>
      <c r="E72" s="1333"/>
      <c r="F72" s="1333"/>
      <c r="G72" s="1333"/>
      <c r="H72" s="1333"/>
      <c r="I72" s="1333">
        <v>0.01</v>
      </c>
      <c r="J72" s="1333"/>
      <c r="K72" s="1333"/>
      <c r="L72" s="1333"/>
      <c r="M72" s="1333"/>
      <c r="N72" s="130"/>
      <c r="O72" s="130"/>
      <c r="P72" s="130">
        <v>0.01</v>
      </c>
      <c r="Q72" s="130"/>
      <c r="R72" s="130"/>
      <c r="S72" s="130"/>
      <c r="T72" s="130"/>
      <c r="U72" s="130"/>
      <c r="V72" s="130"/>
      <c r="W72" s="130"/>
      <c r="X72" s="130"/>
      <c r="Y72" s="130"/>
      <c r="Z72" s="130"/>
      <c r="AA72" s="130"/>
      <c r="AB72" s="130"/>
      <c r="AC72" s="130"/>
      <c r="AD72" s="130"/>
      <c r="AE72" s="130"/>
      <c r="AF72" s="130"/>
      <c r="AG72" s="130"/>
      <c r="AH72" s="151">
        <f>SUM(C72:AG72)</f>
        <v>0.02</v>
      </c>
      <c r="AJ72" s="137">
        <f>+'Res. Global'!J61</f>
        <v>104.86799999999999</v>
      </c>
    </row>
    <row r="73" spans="1:36" ht="12">
      <c r="A73" s="1073" t="s">
        <v>74</v>
      </c>
      <c r="B73" s="2186">
        <f t="shared" si="13"/>
        <v>0</v>
      </c>
      <c r="C73" s="151"/>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51">
        <f t="shared" ref="AH73:AH83" si="14">SUM(C73:AG73)</f>
        <v>0</v>
      </c>
      <c r="AJ73" s="137">
        <f>+AJ72/AJ71</f>
        <v>5561.181818181818</v>
      </c>
    </row>
    <row r="74" spans="1:36" ht="12">
      <c r="A74" s="1073" t="s">
        <v>75</v>
      </c>
      <c r="B74" s="2186">
        <f t="shared" si="13"/>
        <v>0</v>
      </c>
      <c r="C74" s="151"/>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51">
        <f t="shared" si="14"/>
        <v>0</v>
      </c>
    </row>
    <row r="75" spans="1:36" ht="12">
      <c r="A75" s="1073" t="s">
        <v>76</v>
      </c>
      <c r="B75" s="2186">
        <f t="shared" si="13"/>
        <v>0</v>
      </c>
      <c r="C75" s="151"/>
      <c r="D75" s="1038"/>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51">
        <f t="shared" si="14"/>
        <v>0</v>
      </c>
    </row>
    <row r="76" spans="1:36" ht="12">
      <c r="A76" s="1073" t="s">
        <v>77</v>
      </c>
      <c r="B76" s="2186">
        <f t="shared" si="13"/>
        <v>0</v>
      </c>
      <c r="C76" s="151"/>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51">
        <f t="shared" si="14"/>
        <v>0</v>
      </c>
    </row>
    <row r="77" spans="1:36" ht="12">
      <c r="A77" s="1073" t="s">
        <v>78</v>
      </c>
      <c r="B77" s="2186">
        <f t="shared" si="13"/>
        <v>2.7E-2</v>
      </c>
      <c r="C77" s="151"/>
      <c r="D77" s="130"/>
      <c r="E77" s="130"/>
      <c r="F77" s="130"/>
      <c r="G77" s="130"/>
      <c r="H77" s="130"/>
      <c r="I77" s="130"/>
      <c r="J77" s="130"/>
      <c r="K77" s="130"/>
      <c r="L77" s="130"/>
      <c r="M77" s="130"/>
      <c r="N77" s="130"/>
      <c r="O77" s="130"/>
      <c r="P77" s="130"/>
      <c r="Q77" s="130">
        <v>2.7E-2</v>
      </c>
      <c r="R77" s="130"/>
      <c r="S77" s="130"/>
      <c r="T77" s="130"/>
      <c r="U77" s="130"/>
      <c r="V77" s="130"/>
      <c r="W77" s="130"/>
      <c r="X77" s="130"/>
      <c r="Y77" s="130"/>
      <c r="Z77" s="130"/>
      <c r="AA77" s="130"/>
      <c r="AB77" s="130"/>
      <c r="AC77" s="130"/>
      <c r="AD77" s="130"/>
      <c r="AE77" s="130"/>
      <c r="AF77" s="130"/>
      <c r="AG77" s="130"/>
      <c r="AH77" s="151">
        <f t="shared" si="14"/>
        <v>2.7E-2</v>
      </c>
    </row>
    <row r="78" spans="1:36" ht="12">
      <c r="A78" s="1073" t="s">
        <v>79</v>
      </c>
      <c r="B78" s="2186">
        <f t="shared" si="13"/>
        <v>0</v>
      </c>
      <c r="C78" s="151"/>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51">
        <f t="shared" si="14"/>
        <v>0</v>
      </c>
    </row>
    <row r="79" spans="1:36" ht="12">
      <c r="A79" s="1073" t="s">
        <v>80</v>
      </c>
      <c r="B79" s="2186">
        <f t="shared" si="13"/>
        <v>0</v>
      </c>
      <c r="C79" s="151"/>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51">
        <f t="shared" si="14"/>
        <v>0</v>
      </c>
    </row>
    <row r="80" spans="1:36" ht="12">
      <c r="A80" s="1073" t="s">
        <v>81</v>
      </c>
      <c r="B80" s="2186">
        <f t="shared" si="13"/>
        <v>0</v>
      </c>
      <c r="C80" s="151"/>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51">
        <f t="shared" si="14"/>
        <v>0</v>
      </c>
    </row>
    <row r="81" spans="1:34" ht="12">
      <c r="A81" s="1073" t="s">
        <v>82</v>
      </c>
      <c r="B81" s="2186">
        <f t="shared" si="13"/>
        <v>0.06</v>
      </c>
      <c r="C81" s="151"/>
      <c r="D81" s="130"/>
      <c r="E81" s="130"/>
      <c r="F81" s="130"/>
      <c r="G81" s="130"/>
      <c r="H81" s="130"/>
      <c r="I81" s="130"/>
      <c r="J81" s="130"/>
      <c r="K81" s="130"/>
      <c r="L81" s="130"/>
      <c r="M81" s="130"/>
      <c r="N81" s="130">
        <v>0.03</v>
      </c>
      <c r="O81" s="130"/>
      <c r="P81" s="130"/>
      <c r="Q81" s="130"/>
      <c r="R81" s="130"/>
      <c r="S81" s="130"/>
      <c r="T81" s="130"/>
      <c r="U81" s="130"/>
      <c r="V81" s="130">
        <v>0.03</v>
      </c>
      <c r="W81" s="130"/>
      <c r="X81" s="130"/>
      <c r="Y81" s="130"/>
      <c r="Z81" s="130"/>
      <c r="AA81" s="130"/>
      <c r="AB81" s="130"/>
      <c r="AC81" s="130"/>
      <c r="AD81" s="130"/>
      <c r="AE81" s="130"/>
      <c r="AF81" s="130"/>
      <c r="AG81" s="130"/>
      <c r="AH81" s="151">
        <f t="shared" si="14"/>
        <v>0.06</v>
      </c>
    </row>
    <row r="82" spans="1:34" ht="12">
      <c r="A82" s="1519" t="s">
        <v>83</v>
      </c>
      <c r="B82" s="2186">
        <f t="shared" si="13"/>
        <v>2.5000000000000001E-2</v>
      </c>
      <c r="C82" s="151"/>
      <c r="D82" s="130"/>
      <c r="E82" s="130"/>
      <c r="F82" s="130"/>
      <c r="G82" s="130"/>
      <c r="H82" s="130"/>
      <c r="I82" s="130"/>
      <c r="J82" s="130"/>
      <c r="K82" s="130"/>
      <c r="L82" s="130"/>
      <c r="M82" s="130"/>
      <c r="N82" s="130"/>
      <c r="O82" s="130"/>
      <c r="P82" s="130"/>
      <c r="Q82" s="130">
        <v>0.01</v>
      </c>
      <c r="R82" s="130"/>
      <c r="S82" s="130"/>
      <c r="T82" s="130"/>
      <c r="U82" s="130"/>
      <c r="V82" s="130"/>
      <c r="W82" s="130"/>
      <c r="X82" s="130"/>
      <c r="Y82" s="130"/>
      <c r="Z82" s="130"/>
      <c r="AA82" s="130"/>
      <c r="AB82" s="130"/>
      <c r="AC82" s="130"/>
      <c r="AD82" s="130"/>
      <c r="AE82" s="130">
        <v>1.4999999999999999E-2</v>
      </c>
      <c r="AF82" s="130"/>
      <c r="AG82" s="130"/>
      <c r="AH82" s="151">
        <f t="shared" si="14"/>
        <v>2.5000000000000001E-2</v>
      </c>
    </row>
    <row r="83" spans="1:34" ht="12">
      <c r="A83" s="1519" t="s">
        <v>84</v>
      </c>
      <c r="B83" s="2186">
        <f t="shared" si="13"/>
        <v>0</v>
      </c>
      <c r="C83" s="151"/>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51">
        <f t="shared" si="14"/>
        <v>0</v>
      </c>
    </row>
    <row r="84" spans="1:34" ht="12">
      <c r="A84" s="598" t="s">
        <v>72</v>
      </c>
      <c r="B84" s="747">
        <f>SUM(B72:B83)</f>
        <v>0.13200000000000001</v>
      </c>
      <c r="C84" s="151">
        <f t="shared" ref="C84:AH84" si="15">SUM(C72:C83)</f>
        <v>0</v>
      </c>
      <c r="D84" s="151">
        <f t="shared" si="15"/>
        <v>0</v>
      </c>
      <c r="E84" s="151">
        <f t="shared" si="15"/>
        <v>0</v>
      </c>
      <c r="F84" s="151">
        <f t="shared" si="15"/>
        <v>0</v>
      </c>
      <c r="G84" s="151">
        <f t="shared" si="15"/>
        <v>0</v>
      </c>
      <c r="H84" s="151">
        <f t="shared" si="15"/>
        <v>0</v>
      </c>
      <c r="I84" s="151">
        <f t="shared" si="15"/>
        <v>0.01</v>
      </c>
      <c r="J84" s="151">
        <f t="shared" si="15"/>
        <v>0</v>
      </c>
      <c r="K84" s="151">
        <f t="shared" si="15"/>
        <v>0</v>
      </c>
      <c r="L84" s="151">
        <f t="shared" si="15"/>
        <v>0</v>
      </c>
      <c r="M84" s="151">
        <f t="shared" si="15"/>
        <v>0</v>
      </c>
      <c r="N84" s="151">
        <f t="shared" si="15"/>
        <v>0.03</v>
      </c>
      <c r="O84" s="151">
        <f t="shared" si="15"/>
        <v>0</v>
      </c>
      <c r="P84" s="151">
        <f t="shared" si="15"/>
        <v>0.01</v>
      </c>
      <c r="Q84" s="151">
        <f t="shared" si="15"/>
        <v>3.6999999999999998E-2</v>
      </c>
      <c r="R84" s="151">
        <f t="shared" si="15"/>
        <v>0</v>
      </c>
      <c r="S84" s="151">
        <f t="shared" si="15"/>
        <v>0</v>
      </c>
      <c r="T84" s="151">
        <f t="shared" si="15"/>
        <v>0</v>
      </c>
      <c r="U84" s="151">
        <f t="shared" si="15"/>
        <v>0</v>
      </c>
      <c r="V84" s="151">
        <f t="shared" si="15"/>
        <v>0.03</v>
      </c>
      <c r="W84" s="151">
        <f t="shared" si="15"/>
        <v>0</v>
      </c>
      <c r="X84" s="151">
        <f t="shared" si="15"/>
        <v>0</v>
      </c>
      <c r="Y84" s="151">
        <f t="shared" si="15"/>
        <v>0</v>
      </c>
      <c r="Z84" s="151">
        <f t="shared" si="15"/>
        <v>0</v>
      </c>
      <c r="AA84" s="151">
        <f t="shared" si="15"/>
        <v>0</v>
      </c>
      <c r="AB84" s="151">
        <f t="shared" si="15"/>
        <v>0</v>
      </c>
      <c r="AC84" s="151">
        <f t="shared" si="15"/>
        <v>0</v>
      </c>
      <c r="AD84" s="151">
        <f t="shared" si="15"/>
        <v>0</v>
      </c>
      <c r="AE84" s="151">
        <f t="shared" si="15"/>
        <v>1.4999999999999999E-2</v>
      </c>
      <c r="AF84" s="151">
        <f t="shared" si="15"/>
        <v>0</v>
      </c>
      <c r="AG84" s="151">
        <f t="shared" si="15"/>
        <v>0</v>
      </c>
      <c r="AH84" s="151">
        <f t="shared" si="15"/>
        <v>0.13200000000000001</v>
      </c>
    </row>
  </sheetData>
  <mergeCells count="6">
    <mergeCell ref="A70:D70"/>
    <mergeCell ref="A2:T2"/>
    <mergeCell ref="A5:C5"/>
    <mergeCell ref="A21:C21"/>
    <mergeCell ref="A37:D37"/>
    <mergeCell ref="A54:D54"/>
  </mergeCells>
  <phoneticPr fontId="0" type="noConversion"/>
  <pageMargins left="0.75" right="0.75" top="1" bottom="1" header="0" footer="0"/>
  <pageSetup orientation="portrait" r:id="rId1"/>
  <headerFooter alignWithMargins="0"/>
</worksheet>
</file>

<file path=xl/worksheets/sheet14.xml><?xml version="1.0" encoding="utf-8"?>
<worksheet xmlns="http://schemas.openxmlformats.org/spreadsheetml/2006/main" xmlns:r="http://schemas.openxmlformats.org/officeDocument/2006/relationships">
  <sheetPr>
    <tabColor rgb="FF00B050"/>
  </sheetPr>
  <dimension ref="A1:Q52"/>
  <sheetViews>
    <sheetView topLeftCell="A9" zoomScale="80" zoomScaleNormal="80" workbookViewId="0">
      <selection activeCell="J17" sqref="J17"/>
    </sheetView>
  </sheetViews>
  <sheetFormatPr baseColWidth="10" defaultRowHeight="13.2"/>
  <cols>
    <col min="1" max="1" width="47.6640625" customWidth="1"/>
    <col min="3" max="3" width="18" customWidth="1"/>
    <col min="4" max="4" width="11.6640625" bestFit="1" customWidth="1"/>
    <col min="5" max="5" width="17.6640625" bestFit="1" customWidth="1"/>
    <col min="6" max="6" width="17" bestFit="1" customWidth="1"/>
    <col min="9" max="9" width="22.109375" customWidth="1"/>
    <col min="10" max="10" width="19.5546875" customWidth="1"/>
    <col min="11" max="11" width="13.33203125" customWidth="1"/>
  </cols>
  <sheetData>
    <row r="1" spans="1:17" ht="13.8">
      <c r="A1" s="3886" t="s">
        <v>745</v>
      </c>
      <c r="B1" s="3887"/>
      <c r="C1" s="1693"/>
      <c r="D1" s="1693"/>
      <c r="E1" s="1693"/>
      <c r="F1" s="1693"/>
      <c r="G1" s="1694"/>
      <c r="H1" s="1695"/>
      <c r="I1" s="1201"/>
    </row>
    <row r="2" spans="1:17" ht="13.8">
      <c r="A2" s="1696"/>
      <c r="B2" s="1695"/>
      <c r="C2" s="1693"/>
      <c r="D2" s="1693">
        <f>+C9+C21</f>
        <v>1655</v>
      </c>
      <c r="E2" s="1693"/>
      <c r="F2" s="1694"/>
      <c r="G2" s="1694"/>
      <c r="H2" s="1697"/>
      <c r="I2" s="1201"/>
    </row>
    <row r="3" spans="1:17" ht="13.8">
      <c r="A3" s="1712" t="s">
        <v>45</v>
      </c>
      <c r="B3" s="1712" t="s">
        <v>46</v>
      </c>
      <c r="C3" s="1713" t="s">
        <v>47</v>
      </c>
      <c r="D3" s="1713" t="s">
        <v>181</v>
      </c>
      <c r="E3" s="1713" t="s">
        <v>48</v>
      </c>
      <c r="F3" s="1712" t="s">
        <v>19</v>
      </c>
      <c r="G3" s="1712" t="s">
        <v>20</v>
      </c>
      <c r="H3" s="1712" t="s">
        <v>49</v>
      </c>
      <c r="I3" s="1713" t="s">
        <v>22</v>
      </c>
    </row>
    <row r="4" spans="1:17" s="2261" customFormat="1" ht="15">
      <c r="A4" s="1098" t="s">
        <v>777</v>
      </c>
      <c r="B4" s="1202" t="s">
        <v>36</v>
      </c>
      <c r="C4" s="1108">
        <v>1321</v>
      </c>
      <c r="D4" s="1699"/>
      <c r="E4" s="1108">
        <f>+C4-D4</f>
        <v>1321</v>
      </c>
      <c r="F4" s="2146">
        <f>+SUM('Sardina austral X - XI'!B24:B29)</f>
        <v>1389.663</v>
      </c>
      <c r="G4" s="1700">
        <f t="shared" ref="G4" si="0">+E4-F4</f>
        <v>-68.663000000000011</v>
      </c>
      <c r="H4" s="2122">
        <f t="shared" ref="H4" si="1">+G4/E4</f>
        <v>-5.1978046934140813E-2</v>
      </c>
      <c r="I4" s="1701"/>
      <c r="L4" s="2261">
        <v>1321</v>
      </c>
      <c r="M4" s="2261">
        <v>1003</v>
      </c>
    </row>
    <row r="5" spans="1:17" ht="15">
      <c r="A5" s="1098" t="s">
        <v>60</v>
      </c>
      <c r="B5" s="1202" t="s">
        <v>36</v>
      </c>
      <c r="C5" s="1108">
        <v>286</v>
      </c>
      <c r="D5" s="1699"/>
      <c r="E5" s="1108">
        <f>+C5-D5</f>
        <v>286</v>
      </c>
      <c r="F5" s="2146">
        <f>+SUM('Sardina austral X - XI'!B40:B45)</f>
        <v>323.03899999999999</v>
      </c>
      <c r="G5" s="1700">
        <f t="shared" ref="G5:G12" si="2">+E5-F5</f>
        <v>-37.038999999999987</v>
      </c>
      <c r="H5" s="2122">
        <f t="shared" ref="H5:H12" si="3">+G5/E5</f>
        <v>-0.12950699300699295</v>
      </c>
      <c r="I5" s="1701"/>
      <c r="L5">
        <v>286</v>
      </c>
      <c r="M5">
        <v>217</v>
      </c>
    </row>
    <row r="6" spans="1:17" ht="15">
      <c r="A6" s="1098" t="s">
        <v>575</v>
      </c>
      <c r="B6" s="1202" t="s">
        <v>36</v>
      </c>
      <c r="C6" s="1711">
        <v>2257.92</v>
      </c>
      <c r="D6" s="1699"/>
      <c r="E6" s="1108">
        <f t="shared" ref="E6:E12" si="4">+C6-D6</f>
        <v>2257.92</v>
      </c>
      <c r="F6" s="2146">
        <f>+SUM('Sardina austral X - XI'!B56:B61)</f>
        <v>2191.7439999999997</v>
      </c>
      <c r="G6" s="1700">
        <f t="shared" si="2"/>
        <v>66.176000000000386</v>
      </c>
      <c r="H6" s="2122">
        <f t="shared" si="3"/>
        <v>2.9308390022675906E-2</v>
      </c>
      <c r="I6" s="2462" t="s">
        <v>1048</v>
      </c>
      <c r="J6" s="2462" t="s">
        <v>1308</v>
      </c>
      <c r="L6">
        <v>3174</v>
      </c>
      <c r="M6">
        <v>2409</v>
      </c>
    </row>
    <row r="7" spans="1:17" ht="15">
      <c r="A7" s="1098" t="s">
        <v>523</v>
      </c>
      <c r="B7" s="1202" t="s">
        <v>36</v>
      </c>
      <c r="C7" s="1108">
        <v>3174</v>
      </c>
      <c r="D7" s="1703"/>
      <c r="E7" s="1108">
        <f t="shared" si="4"/>
        <v>3174</v>
      </c>
      <c r="F7" s="2146">
        <f>+SUM('Sardina austral X - XI'!B72:B77)</f>
        <v>2936.1960000000004</v>
      </c>
      <c r="G7" s="1700">
        <f t="shared" si="2"/>
        <v>237.80399999999963</v>
      </c>
      <c r="H7" s="2122">
        <f t="shared" si="3"/>
        <v>7.4922495274101969E-2</v>
      </c>
      <c r="I7" s="1701"/>
      <c r="L7">
        <v>2258</v>
      </c>
      <c r="M7">
        <v>579</v>
      </c>
    </row>
    <row r="8" spans="1:17" ht="15">
      <c r="A8" s="1098" t="s">
        <v>576</v>
      </c>
      <c r="B8" s="1202" t="s">
        <v>36</v>
      </c>
      <c r="C8" s="1108">
        <v>1010</v>
      </c>
      <c r="D8" s="1703"/>
      <c r="E8" s="1108">
        <f t="shared" si="4"/>
        <v>1010</v>
      </c>
      <c r="F8" s="2146">
        <f>+SUM('Sardina austral X - XI'!B88:B93)</f>
        <v>1000.675</v>
      </c>
      <c r="G8" s="1700">
        <f t="shared" si="2"/>
        <v>9.3250000000000455</v>
      </c>
      <c r="H8" s="2122">
        <f t="shared" si="3"/>
        <v>9.2326732673267773E-3</v>
      </c>
      <c r="I8" s="2462" t="s">
        <v>1308</v>
      </c>
      <c r="L8">
        <v>1010</v>
      </c>
      <c r="M8">
        <v>767</v>
      </c>
    </row>
    <row r="9" spans="1:17" ht="15">
      <c r="A9" s="1098" t="s">
        <v>61</v>
      </c>
      <c r="B9" s="1202" t="s">
        <v>36</v>
      </c>
      <c r="C9" s="1108">
        <v>1343</v>
      </c>
      <c r="D9" s="1699"/>
      <c r="E9" s="1108">
        <f t="shared" si="4"/>
        <v>1343</v>
      </c>
      <c r="F9" s="2146">
        <f>+SUM('Sardina austral X - XI'!B104:B109)</f>
        <v>1114.1369999999999</v>
      </c>
      <c r="G9" s="1700">
        <f t="shared" si="2"/>
        <v>228.86300000000006</v>
      </c>
      <c r="H9" s="2122">
        <f t="shared" si="3"/>
        <v>0.1704117647058824</v>
      </c>
      <c r="I9" s="1701"/>
      <c r="L9">
        <v>1343</v>
      </c>
      <c r="M9">
        <v>312</v>
      </c>
    </row>
    <row r="10" spans="1:17" ht="15">
      <c r="A10" s="1098" t="s">
        <v>62</v>
      </c>
      <c r="B10" s="1202" t="s">
        <v>36</v>
      </c>
      <c r="C10" s="1108">
        <v>44</v>
      </c>
      <c r="D10" s="1699"/>
      <c r="E10" s="1108">
        <f t="shared" si="4"/>
        <v>44</v>
      </c>
      <c r="F10" s="2146">
        <f>+SUM('Sardina austral X - XI'!B120:B125)</f>
        <v>0</v>
      </c>
      <c r="G10" s="1700">
        <f t="shared" si="2"/>
        <v>44</v>
      </c>
      <c r="H10" s="2122">
        <f t="shared" si="3"/>
        <v>1</v>
      </c>
      <c r="I10" s="1701"/>
      <c r="J10" s="2138"/>
      <c r="L10" s="2266">
        <v>194</v>
      </c>
      <c r="M10">
        <v>375</v>
      </c>
      <c r="N10">
        <v>949</v>
      </c>
    </row>
    <row r="11" spans="1:17" ht="15">
      <c r="A11" s="1098" t="s">
        <v>121</v>
      </c>
      <c r="B11" s="1202" t="s">
        <v>36</v>
      </c>
      <c r="C11" s="1108">
        <v>2048</v>
      </c>
      <c r="D11" s="1699"/>
      <c r="E11" s="1108">
        <f t="shared" si="4"/>
        <v>2048</v>
      </c>
      <c r="F11" s="2146">
        <f>+SUM('Sardina austral X - XI'!B136:B141)</f>
        <v>2124.3670000000002</v>
      </c>
      <c r="G11" s="1700">
        <f t="shared" si="2"/>
        <v>-76.367000000000189</v>
      </c>
      <c r="H11" s="2122">
        <f t="shared" si="3"/>
        <v>-3.7288574218750092E-2</v>
      </c>
      <c r="I11" s="3590"/>
      <c r="L11" s="2266">
        <v>2048</v>
      </c>
      <c r="M11">
        <v>1554</v>
      </c>
      <c r="P11" s="184">
        <f>+C11+C23</f>
        <v>3602</v>
      </c>
    </row>
    <row r="12" spans="1:17" ht="15">
      <c r="A12" s="1098" t="s">
        <v>58</v>
      </c>
      <c r="B12" s="1202" t="s">
        <v>36</v>
      </c>
      <c r="C12" s="1108">
        <v>1906</v>
      </c>
      <c r="D12" s="1699"/>
      <c r="E12" s="1108">
        <f t="shared" si="4"/>
        <v>1906</v>
      </c>
      <c r="F12" s="2146">
        <f>+SUM('Sardina austral X - XI'!B152:B157)</f>
        <v>2040.2650000000001</v>
      </c>
      <c r="G12" s="1700">
        <f t="shared" si="2"/>
        <v>-134.2650000000001</v>
      </c>
      <c r="H12" s="2122">
        <f t="shared" si="3"/>
        <v>-7.0443336831059869E-2</v>
      </c>
      <c r="I12" s="1701" t="s">
        <v>1470</v>
      </c>
      <c r="J12" s="3368" t="s">
        <v>1471</v>
      </c>
      <c r="L12" s="2266">
        <v>1906</v>
      </c>
      <c r="M12">
        <v>1447</v>
      </c>
    </row>
    <row r="13" spans="1:17" ht="13.8">
      <c r="A13" s="1698" t="s">
        <v>50</v>
      </c>
      <c r="B13" s="2051" t="s">
        <v>36</v>
      </c>
      <c r="C13" s="1714">
        <f>SUM(C4:C12)</f>
        <v>13389.92</v>
      </c>
      <c r="D13" s="1704"/>
      <c r="E13" s="1714">
        <f>SUM(E4:E12)</f>
        <v>13389.92</v>
      </c>
      <c r="F13" s="1705">
        <f>SUM(F4:F12)</f>
        <v>13120.085999999999</v>
      </c>
      <c r="G13" s="2144">
        <f>+E13-F13</f>
        <v>269.83400000000074</v>
      </c>
      <c r="H13" s="1697"/>
      <c r="I13" s="1201"/>
      <c r="L13">
        <f>SUM(L4:L12)</f>
        <v>13540</v>
      </c>
      <c r="M13" s="3408">
        <f>SUM(M4:M12)</f>
        <v>8663</v>
      </c>
      <c r="N13">
        <f>SUM(L13:M13)</f>
        <v>22203</v>
      </c>
    </row>
    <row r="14" spans="1:17" ht="13.8">
      <c r="A14" s="1706"/>
      <c r="B14" s="1707"/>
      <c r="C14" s="1708"/>
      <c r="D14" s="1708"/>
      <c r="E14" s="1715"/>
      <c r="F14" s="1709"/>
      <c r="G14" s="1710"/>
      <c r="H14" s="1697"/>
      <c r="I14" s="1201"/>
    </row>
    <row r="15" spans="1:17" ht="14.4" thickBot="1">
      <c r="A15" s="1712" t="s">
        <v>45</v>
      </c>
      <c r="B15" s="1712" t="s">
        <v>46</v>
      </c>
      <c r="C15" s="3411" t="s">
        <v>47</v>
      </c>
      <c r="D15" s="1713" t="s">
        <v>181</v>
      </c>
      <c r="E15" s="1716" t="s">
        <v>48</v>
      </c>
      <c r="F15" s="1712" t="s">
        <v>19</v>
      </c>
      <c r="G15" s="1712" t="s">
        <v>20</v>
      </c>
      <c r="H15" s="1712" t="s">
        <v>49</v>
      </c>
      <c r="I15" s="1713" t="s">
        <v>22</v>
      </c>
      <c r="Q15" s="3408" t="s">
        <v>1542</v>
      </c>
    </row>
    <row r="16" spans="1:17" s="2261" customFormat="1" ht="15">
      <c r="A16" s="1098" t="s">
        <v>777</v>
      </c>
      <c r="B16" s="3409" t="s">
        <v>37</v>
      </c>
      <c r="C16" s="3413">
        <v>1003</v>
      </c>
      <c r="D16" s="3410"/>
      <c r="E16" s="1699">
        <f t="shared" ref="E16:E24" si="5">+C16+G4+D16</f>
        <v>934.33699999999999</v>
      </c>
      <c r="F16" s="1700">
        <f>+SUM('Sardina austral X - XI'!B30:B35)</f>
        <v>949.51900000000001</v>
      </c>
      <c r="G16" s="1700">
        <f t="shared" ref="G16" si="6">+E16-F16</f>
        <v>-15.182000000000016</v>
      </c>
      <c r="H16" s="2122">
        <f t="shared" ref="H16" si="7">+G16/E16</f>
        <v>-1.6248955141453261E-2</v>
      </c>
      <c r="I16" s="3589">
        <v>42003</v>
      </c>
      <c r="J16" s="1593">
        <f t="shared" ref="J16:J24" si="8">+F4+F16</f>
        <v>2339.1819999999998</v>
      </c>
      <c r="Q16" s="2261">
        <v>566</v>
      </c>
    </row>
    <row r="17" spans="1:17" ht="15">
      <c r="A17" s="1098" t="s">
        <v>60</v>
      </c>
      <c r="B17" s="3409" t="s">
        <v>37</v>
      </c>
      <c r="C17" s="3414">
        <v>217</v>
      </c>
      <c r="D17" s="3410"/>
      <c r="E17" s="1699">
        <f t="shared" si="5"/>
        <v>179.96100000000001</v>
      </c>
      <c r="F17" s="1700">
        <f>+SUM('Sardina austral X - XI'!B46:B51)</f>
        <v>173.21200000000002</v>
      </c>
      <c r="G17" s="1700">
        <f t="shared" ref="G17:G24" si="9">+E17-F17</f>
        <v>6.7489999999999952</v>
      </c>
      <c r="H17" s="2122">
        <f t="shared" ref="H17:H25" si="10">+G17/E17</f>
        <v>3.7502570001278025E-2</v>
      </c>
      <c r="I17" s="1701"/>
      <c r="J17" s="1593">
        <f t="shared" si="8"/>
        <v>496.25099999999998</v>
      </c>
      <c r="Q17">
        <v>123</v>
      </c>
    </row>
    <row r="18" spans="1:17" ht="15">
      <c r="A18" s="1098" t="s">
        <v>575</v>
      </c>
      <c r="B18" s="3409" t="s">
        <v>37</v>
      </c>
      <c r="C18" s="3414">
        <v>579</v>
      </c>
      <c r="D18" s="3410"/>
      <c r="E18" s="1108">
        <f t="shared" si="5"/>
        <v>645.17600000000039</v>
      </c>
      <c r="F18" s="1700">
        <f>+SUM('Sardina austral X - XI'!B62:B67)</f>
        <v>668.51199999999994</v>
      </c>
      <c r="G18" s="2156">
        <f t="shared" si="9"/>
        <v>-23.335999999999558</v>
      </c>
      <c r="H18" s="2122">
        <f t="shared" si="10"/>
        <v>-3.6169975324561891E-2</v>
      </c>
      <c r="I18" s="2462" t="s">
        <v>1489</v>
      </c>
      <c r="J18" s="1593">
        <f t="shared" si="8"/>
        <v>2860.2559999999994</v>
      </c>
      <c r="P18" s="2201" t="s">
        <v>401</v>
      </c>
      <c r="Q18">
        <v>46.08</v>
      </c>
    </row>
    <row r="19" spans="1:17" ht="15">
      <c r="A19" s="1098" t="s">
        <v>523</v>
      </c>
      <c r="B19" s="3409" t="s">
        <v>37</v>
      </c>
      <c r="C19" s="3414">
        <v>2409</v>
      </c>
      <c r="D19" s="3410"/>
      <c r="E19" s="1108">
        <f t="shared" si="5"/>
        <v>2646.8039999999996</v>
      </c>
      <c r="F19" s="1700">
        <f>+SUM('Sardina austral X - XI'!B78:B83)</f>
        <v>2633.5820000000003</v>
      </c>
      <c r="G19" s="1700">
        <f t="shared" si="9"/>
        <v>13.221999999999298</v>
      </c>
      <c r="H19" s="2122">
        <f t="shared" si="10"/>
        <v>4.9954586739325239E-3</v>
      </c>
      <c r="I19" s="3589">
        <v>42003</v>
      </c>
      <c r="J19" s="2174">
        <f t="shared" si="8"/>
        <v>5569.7780000000002</v>
      </c>
      <c r="Q19">
        <v>1360</v>
      </c>
    </row>
    <row r="20" spans="1:17" ht="15">
      <c r="A20" s="1702" t="s">
        <v>576</v>
      </c>
      <c r="B20" s="3593" t="s">
        <v>37</v>
      </c>
      <c r="C20" s="3594">
        <v>767</v>
      </c>
      <c r="D20" s="3595"/>
      <c r="E20" s="3596">
        <f t="shared" si="5"/>
        <v>776.32500000000005</v>
      </c>
      <c r="F20" s="2146">
        <f>+SUM('Sardina austral X - XI'!B94:B99)</f>
        <v>817.81799999999998</v>
      </c>
      <c r="G20" s="3597">
        <f t="shared" si="9"/>
        <v>-41.492999999999938</v>
      </c>
      <c r="H20" s="3598">
        <f t="shared" si="10"/>
        <v>-5.3447976040962145E-2</v>
      </c>
      <c r="I20" s="3589">
        <v>42004</v>
      </c>
      <c r="J20" s="2174">
        <f t="shared" si="8"/>
        <v>1818.4929999999999</v>
      </c>
      <c r="Q20">
        <v>433</v>
      </c>
    </row>
    <row r="21" spans="1:17" ht="15">
      <c r="A21" s="1098" t="s">
        <v>61</v>
      </c>
      <c r="B21" s="3409" t="s">
        <v>37</v>
      </c>
      <c r="C21" s="3414">
        <v>312</v>
      </c>
      <c r="D21" s="3410"/>
      <c r="E21" s="1108">
        <f t="shared" si="5"/>
        <v>540.86300000000006</v>
      </c>
      <c r="F21" s="1700">
        <f>+SUM('Sardina austral X - XI'!B110:B115)</f>
        <v>498.85300000000007</v>
      </c>
      <c r="G21" s="2156">
        <f t="shared" si="9"/>
        <v>42.009999999999991</v>
      </c>
      <c r="H21" s="2122">
        <f t="shared" si="10"/>
        <v>7.7672164670165994E-2</v>
      </c>
      <c r="I21" s="3592" t="s">
        <v>1649</v>
      </c>
      <c r="J21" s="1593">
        <f t="shared" si="8"/>
        <v>1612.99</v>
      </c>
      <c r="Q21">
        <v>1</v>
      </c>
    </row>
    <row r="22" spans="1:17" ht="15">
      <c r="A22" s="1098" t="s">
        <v>62</v>
      </c>
      <c r="B22" s="3409" t="s">
        <v>37</v>
      </c>
      <c r="C22" s="3414">
        <v>212</v>
      </c>
      <c r="D22" s="3410"/>
      <c r="E22" s="1108">
        <f t="shared" si="5"/>
        <v>256</v>
      </c>
      <c r="F22" s="1700">
        <f>+SUM('Sardina austral X - XI'!B126:B131)</f>
        <v>255.75</v>
      </c>
      <c r="G22" s="1700">
        <f t="shared" si="9"/>
        <v>0.25</v>
      </c>
      <c r="H22" s="2122">
        <f t="shared" si="10"/>
        <v>9.765625E-4</v>
      </c>
      <c r="I22" s="1701"/>
      <c r="J22" s="2199">
        <f t="shared" si="8"/>
        <v>255.75</v>
      </c>
      <c r="K22" s="2200" t="s">
        <v>722</v>
      </c>
      <c r="L22" s="2147"/>
      <c r="M22" s="2147"/>
      <c r="N22">
        <v>212</v>
      </c>
      <c r="Q22">
        <v>212</v>
      </c>
    </row>
    <row r="23" spans="1:17" ht="15">
      <c r="A23" s="1098" t="s">
        <v>121</v>
      </c>
      <c r="B23" s="3409" t="s">
        <v>37</v>
      </c>
      <c r="C23" s="3414">
        <v>1554</v>
      </c>
      <c r="D23" s="3410"/>
      <c r="E23" s="1108">
        <f t="shared" si="5"/>
        <v>1477.6329999999998</v>
      </c>
      <c r="F23" s="1700">
        <f>+SUM('Sardina austral X - XI'!B142:B147)</f>
        <v>1464.3220000000001</v>
      </c>
      <c r="G23" s="1700">
        <f t="shared" si="9"/>
        <v>13.310999999999694</v>
      </c>
      <c r="H23" s="2122">
        <f t="shared" si="10"/>
        <v>9.0083261540583465E-3</v>
      </c>
      <c r="I23" s="3589">
        <v>42003</v>
      </c>
      <c r="J23" s="1593">
        <f t="shared" si="8"/>
        <v>3588.6890000000003</v>
      </c>
      <c r="K23" s="2177"/>
      <c r="Q23">
        <v>878</v>
      </c>
    </row>
    <row r="24" spans="1:17" ht="15.6" thickBot="1">
      <c r="A24" s="1098" t="s">
        <v>58</v>
      </c>
      <c r="B24" s="3409" t="s">
        <v>37</v>
      </c>
      <c r="C24" s="3415">
        <v>1447</v>
      </c>
      <c r="D24" s="3410"/>
      <c r="E24" s="1108">
        <f t="shared" si="5"/>
        <v>1312.7349999999999</v>
      </c>
      <c r="F24" s="1700">
        <f>+SUM('Sardina austral X - XI'!B158:B163)</f>
        <v>1752.13</v>
      </c>
      <c r="G24" s="1700">
        <f t="shared" si="9"/>
        <v>-439.39500000000021</v>
      </c>
      <c r="H24" s="2122">
        <f t="shared" si="10"/>
        <v>-0.33471721253718401</v>
      </c>
      <c r="I24" s="1701"/>
      <c r="J24" s="1593">
        <f t="shared" si="8"/>
        <v>3792.3950000000004</v>
      </c>
      <c r="K24" s="1093" t="s">
        <v>1475</v>
      </c>
      <c r="Q24">
        <v>817</v>
      </c>
    </row>
    <row r="25" spans="1:17" ht="13.8">
      <c r="A25" s="1698" t="s">
        <v>50</v>
      </c>
      <c r="B25" s="2051" t="s">
        <v>37</v>
      </c>
      <c r="C25" s="3412">
        <f>SUM(C16:C24)</f>
        <v>8500</v>
      </c>
      <c r="D25" s="1705"/>
      <c r="E25" s="3147">
        <f>SUM(E16:E24)</f>
        <v>8769.8340000000007</v>
      </c>
      <c r="F25" s="1705">
        <f>SUM(F16:F24)</f>
        <v>9213.6980000000003</v>
      </c>
      <c r="G25" s="1711">
        <f>+E25-F25</f>
        <v>-443.86399999999958</v>
      </c>
      <c r="H25" s="1697">
        <f t="shared" si="10"/>
        <v>-5.061258856210956E-2</v>
      </c>
      <c r="I25" s="1201"/>
      <c r="J25" s="85">
        <f>SUM(J17:J24)</f>
        <v>19994.601999999999</v>
      </c>
    </row>
    <row r="26" spans="1:17" ht="13.8">
      <c r="B26" s="2053" t="s">
        <v>616</v>
      </c>
      <c r="C26" s="2052">
        <f>+C13+C25</f>
        <v>21889.919999999998</v>
      </c>
      <c r="F26" s="84">
        <f>+F13+F25</f>
        <v>22333.784</v>
      </c>
      <c r="G26" s="85">
        <f>+C26-F26</f>
        <v>-443.8640000000014</v>
      </c>
      <c r="L26" s="1114">
        <f>+C20+C8</f>
        <v>1777</v>
      </c>
    </row>
    <row r="27" spans="1:17">
      <c r="E27" s="1114"/>
    </row>
    <row r="28" spans="1:17">
      <c r="K28" s="1114"/>
    </row>
    <row r="29" spans="1:17" s="2215" customFormat="1" ht="13.8">
      <c r="A29" s="3886" t="s">
        <v>728</v>
      </c>
      <c r="B29" s="3887"/>
      <c r="C29" s="1693"/>
      <c r="D29" s="1693"/>
      <c r="E29" s="1693"/>
      <c r="F29" s="1693"/>
      <c r="G29" s="1694"/>
      <c r="H29" s="1695"/>
      <c r="I29" s="1201"/>
      <c r="M29" s="1114"/>
    </row>
    <row r="30" spans="1:17" s="2215" customFormat="1" ht="13.8">
      <c r="A30" s="1696"/>
      <c r="B30" s="1695"/>
      <c r="C30" s="1693"/>
      <c r="D30" s="1693"/>
      <c r="E30" s="1693"/>
      <c r="F30" s="1694"/>
      <c r="G30" s="1694"/>
      <c r="H30" s="1697"/>
      <c r="I30" s="1201"/>
    </row>
    <row r="31" spans="1:17" s="2215" customFormat="1" ht="13.8">
      <c r="A31" s="1712" t="s">
        <v>45</v>
      </c>
      <c r="B31" s="1712" t="s">
        <v>46</v>
      </c>
      <c r="C31" s="1713" t="s">
        <v>47</v>
      </c>
      <c r="D31" s="1713" t="s">
        <v>181</v>
      </c>
      <c r="E31" s="1713" t="s">
        <v>48</v>
      </c>
      <c r="F31" s="1712" t="s">
        <v>19</v>
      </c>
      <c r="G31" s="1712" t="s">
        <v>20</v>
      </c>
      <c r="H31" s="1712" t="s">
        <v>49</v>
      </c>
      <c r="I31" s="1713" t="s">
        <v>22</v>
      </c>
    </row>
    <row r="32" spans="1:17" s="2215" customFormat="1" ht="15">
      <c r="A32" s="1098"/>
      <c r="B32" s="1202" t="s">
        <v>36</v>
      </c>
      <c r="C32" s="1760">
        <v>5453</v>
      </c>
      <c r="D32" s="1699"/>
      <c r="E32" s="1108">
        <f>+C32-D32</f>
        <v>5453</v>
      </c>
      <c r="F32" s="2146">
        <f>+SUM('Sardina austral X - XI'!B6:B11)</f>
        <v>3043.41</v>
      </c>
      <c r="G32" s="1700">
        <f t="shared" ref="G32:G39" si="11">+E32-F32</f>
        <v>2409.59</v>
      </c>
      <c r="H32" s="2122">
        <f t="shared" ref="H32:H39" si="12">+G32/E32</f>
        <v>0.44188336695397029</v>
      </c>
      <c r="I32" s="1701"/>
    </row>
    <row r="33" spans="1:16" s="2215" customFormat="1" ht="15">
      <c r="A33" s="1702"/>
      <c r="B33" s="1202" t="s">
        <v>36</v>
      </c>
      <c r="C33" s="1760"/>
      <c r="D33" s="1699"/>
      <c r="E33" s="1108">
        <f t="shared" ref="E33:E39" si="13">+C33-D33</f>
        <v>0</v>
      </c>
      <c r="F33" s="2146"/>
      <c r="G33" s="1700">
        <f t="shared" si="11"/>
        <v>0</v>
      </c>
      <c r="H33" s="2122" t="e">
        <f t="shared" si="12"/>
        <v>#DIV/0!</v>
      </c>
      <c r="I33" s="1701"/>
    </row>
    <row r="34" spans="1:16" s="2215" customFormat="1" ht="15">
      <c r="A34" s="921"/>
      <c r="B34" s="1202" t="s">
        <v>36</v>
      </c>
      <c r="C34" s="1760"/>
      <c r="D34" s="1703"/>
      <c r="E34" s="1108">
        <f t="shared" si="13"/>
        <v>0</v>
      </c>
      <c r="F34" s="2146"/>
      <c r="G34" s="1700">
        <f t="shared" si="11"/>
        <v>0</v>
      </c>
      <c r="H34" s="2122" t="e">
        <f t="shared" si="12"/>
        <v>#DIV/0!</v>
      </c>
      <c r="I34" s="1701"/>
    </row>
    <row r="35" spans="1:16" s="2215" customFormat="1" ht="15">
      <c r="A35" s="1702"/>
      <c r="B35" s="1202" t="s">
        <v>36</v>
      </c>
      <c r="C35" s="1760"/>
      <c r="D35" s="1703"/>
      <c r="E35" s="1108">
        <f t="shared" si="13"/>
        <v>0</v>
      </c>
      <c r="F35" s="2146"/>
      <c r="G35" s="1700">
        <f t="shared" si="11"/>
        <v>0</v>
      </c>
      <c r="H35" s="2122" t="e">
        <f t="shared" si="12"/>
        <v>#DIV/0!</v>
      </c>
      <c r="I35" s="1701"/>
    </row>
    <row r="36" spans="1:16" s="2215" customFormat="1" ht="15">
      <c r="A36" s="1098"/>
      <c r="B36" s="1202" t="s">
        <v>36</v>
      </c>
      <c r="C36" s="1760"/>
      <c r="D36" s="1699"/>
      <c r="E36" s="1108">
        <f t="shared" si="13"/>
        <v>0</v>
      </c>
      <c r="F36" s="2146"/>
      <c r="G36" s="1700">
        <f t="shared" si="11"/>
        <v>0</v>
      </c>
      <c r="H36" s="2122" t="e">
        <f t="shared" si="12"/>
        <v>#DIV/0!</v>
      </c>
      <c r="I36" s="1701"/>
    </row>
    <row r="37" spans="1:16" s="2215" customFormat="1" ht="15">
      <c r="A37" s="1098"/>
      <c r="B37" s="1202" t="s">
        <v>36</v>
      </c>
      <c r="C37" s="1760"/>
      <c r="D37" s="1699"/>
      <c r="E37" s="1108">
        <f t="shared" si="13"/>
        <v>0</v>
      </c>
      <c r="F37" s="2146"/>
      <c r="G37" s="1700">
        <f t="shared" si="11"/>
        <v>0</v>
      </c>
      <c r="H37" s="2122" t="e">
        <f t="shared" si="12"/>
        <v>#DIV/0!</v>
      </c>
      <c r="I37" s="1701"/>
      <c r="J37" s="2138"/>
    </row>
    <row r="38" spans="1:16" s="2215" customFormat="1" ht="15">
      <c r="A38" s="1098"/>
      <c r="B38" s="1202" t="s">
        <v>36</v>
      </c>
      <c r="C38" s="1760"/>
      <c r="D38" s="1699"/>
      <c r="E38" s="1108">
        <f t="shared" si="13"/>
        <v>0</v>
      </c>
      <c r="F38" s="2146"/>
      <c r="G38" s="1700">
        <f t="shared" si="11"/>
        <v>0</v>
      </c>
      <c r="H38" s="2122" t="e">
        <f t="shared" si="12"/>
        <v>#DIV/0!</v>
      </c>
      <c r="I38" s="1701"/>
    </row>
    <row r="39" spans="1:16" s="2215" customFormat="1" ht="15">
      <c r="A39" s="1098"/>
      <c r="B39" s="1202" t="s">
        <v>36</v>
      </c>
      <c r="C39" s="1760"/>
      <c r="D39" s="1699"/>
      <c r="E39" s="1108">
        <f t="shared" si="13"/>
        <v>0</v>
      </c>
      <c r="F39" s="2146"/>
      <c r="G39" s="1700">
        <f t="shared" si="11"/>
        <v>0</v>
      </c>
      <c r="H39" s="2122" t="e">
        <f t="shared" si="12"/>
        <v>#DIV/0!</v>
      </c>
      <c r="I39" s="1701"/>
    </row>
    <row r="40" spans="1:16" s="2215" customFormat="1" ht="13.8">
      <c r="A40" s="1698" t="s">
        <v>50</v>
      </c>
      <c r="B40" s="2051" t="s">
        <v>36</v>
      </c>
      <c r="C40" s="1758">
        <f>SUM(C32:C39)</f>
        <v>5453</v>
      </c>
      <c r="D40" s="1704"/>
      <c r="E40" s="1714">
        <f>SUM(E32:E39)</f>
        <v>5453</v>
      </c>
      <c r="F40" s="1705">
        <f>SUM(F32:F39)</f>
        <v>3043.41</v>
      </c>
      <c r="G40" s="2216">
        <f>+E40-F40</f>
        <v>2409.59</v>
      </c>
      <c r="H40" s="1697"/>
      <c r="I40" s="1201"/>
    </row>
    <row r="41" spans="1:16" s="2215" customFormat="1" ht="13.8">
      <c r="A41" s="1706"/>
      <c r="B41" s="1707"/>
      <c r="C41" s="1708"/>
      <c r="D41" s="1708"/>
      <c r="E41" s="1715"/>
      <c r="F41" s="1709"/>
      <c r="G41" s="1710"/>
      <c r="H41" s="1697"/>
      <c r="I41" s="1201"/>
    </row>
    <row r="42" spans="1:16" s="2215" customFormat="1" ht="13.8">
      <c r="A42" s="1712" t="s">
        <v>45</v>
      </c>
      <c r="B42" s="1712" t="s">
        <v>46</v>
      </c>
      <c r="C42" s="1713" t="s">
        <v>47</v>
      </c>
      <c r="D42" s="1713" t="s">
        <v>181</v>
      </c>
      <c r="E42" s="1716" t="s">
        <v>48</v>
      </c>
      <c r="F42" s="1712" t="s">
        <v>19</v>
      </c>
      <c r="G42" s="1712" t="s">
        <v>20</v>
      </c>
      <c r="H42" s="1712" t="s">
        <v>49</v>
      </c>
      <c r="I42" s="1713" t="s">
        <v>22</v>
      </c>
    </row>
    <row r="43" spans="1:16" s="2215" customFormat="1" ht="15">
      <c r="A43" s="1098"/>
      <c r="B43" s="1202" t="s">
        <v>37</v>
      </c>
      <c r="C43" s="2185">
        <v>2337</v>
      </c>
      <c r="D43" s="1699"/>
      <c r="E43" s="1699">
        <f>+C43+G32+D43</f>
        <v>4746.59</v>
      </c>
      <c r="F43" s="1700">
        <f>+SUM('Sardina austral X - XI'!B12:B17)</f>
        <v>1456.9199999999998</v>
      </c>
      <c r="G43" s="1700">
        <f t="shared" ref="G43:G50" si="14">+E43-F43</f>
        <v>3289.67</v>
      </c>
      <c r="H43" s="2122">
        <f t="shared" ref="H43:H50" si="15">+G43/E43</f>
        <v>0.69305964913759144</v>
      </c>
      <c r="I43" s="1701"/>
      <c r="J43" s="1593">
        <f>+F32+F43</f>
        <v>4500.33</v>
      </c>
    </row>
    <row r="44" spans="1:16" s="2215" customFormat="1" ht="15">
      <c r="A44" s="1702"/>
      <c r="B44" s="1202" t="s">
        <v>37</v>
      </c>
      <c r="C44" s="2185"/>
      <c r="D44" s="1699"/>
      <c r="E44" s="1108">
        <f>+C44+G33+D44</f>
        <v>0</v>
      </c>
      <c r="F44" s="1700"/>
      <c r="G44" s="2156">
        <f t="shared" si="14"/>
        <v>0</v>
      </c>
      <c r="H44" s="2122" t="e">
        <f t="shared" si="15"/>
        <v>#DIV/0!</v>
      </c>
      <c r="I44" s="1701"/>
      <c r="J44" s="1593">
        <f t="shared" ref="J44" si="16">+F33+F44</f>
        <v>0</v>
      </c>
      <c r="P44" s="2215" t="s">
        <v>401</v>
      </c>
    </row>
    <row r="45" spans="1:16" s="2215" customFormat="1" ht="15">
      <c r="A45" s="921"/>
      <c r="B45" s="1202" t="s">
        <v>37</v>
      </c>
      <c r="C45" s="2185"/>
      <c r="D45" s="1699"/>
      <c r="E45" s="1108">
        <f>+C45+G34+D45</f>
        <v>0</v>
      </c>
      <c r="F45" s="1700"/>
      <c r="G45" s="1700">
        <f t="shared" si="14"/>
        <v>0</v>
      </c>
      <c r="H45" s="2122" t="e">
        <f t="shared" si="15"/>
        <v>#DIV/0!</v>
      </c>
      <c r="I45" s="1701"/>
      <c r="J45" s="2174">
        <f>+F34+F45</f>
        <v>0</v>
      </c>
    </row>
    <row r="46" spans="1:16" s="2215" customFormat="1" ht="15">
      <c r="A46" s="1702"/>
      <c r="B46" s="1202" t="s">
        <v>37</v>
      </c>
      <c r="C46" s="2185"/>
      <c r="D46" s="1699"/>
      <c r="E46" s="1108">
        <f>+C46+G35+D46</f>
        <v>0</v>
      </c>
      <c r="F46" s="1700"/>
      <c r="G46" s="2156">
        <f t="shared" si="14"/>
        <v>0</v>
      </c>
      <c r="H46" s="2122" t="e">
        <f t="shared" si="15"/>
        <v>#DIV/0!</v>
      </c>
      <c r="I46" s="1701"/>
      <c r="J46" s="2174">
        <f t="shared" ref="J46:J50" si="17">+F35+F46</f>
        <v>0</v>
      </c>
    </row>
    <row r="47" spans="1:16" s="2215" customFormat="1" ht="15">
      <c r="A47" s="1098"/>
      <c r="B47" s="1202" t="s">
        <v>37</v>
      </c>
      <c r="C47" s="2185"/>
      <c r="D47" s="1699"/>
      <c r="E47" s="1108">
        <f>+C47+G36+D47</f>
        <v>0</v>
      </c>
      <c r="F47" s="1700"/>
      <c r="G47" s="2156">
        <f t="shared" si="14"/>
        <v>0</v>
      </c>
      <c r="H47" s="2122" t="e">
        <f t="shared" si="15"/>
        <v>#DIV/0!</v>
      </c>
      <c r="I47" s="1701"/>
      <c r="J47" s="1593">
        <f t="shared" si="17"/>
        <v>0</v>
      </c>
    </row>
    <row r="48" spans="1:16" s="2215" customFormat="1" ht="15">
      <c r="A48" s="2192"/>
      <c r="B48" s="2193" t="s">
        <v>37</v>
      </c>
      <c r="C48" s="2185"/>
      <c r="D48" s="2194"/>
      <c r="E48" s="2195">
        <f t="shared" ref="E48:E50" si="18">+C48+G37+D48</f>
        <v>0</v>
      </c>
      <c r="F48" s="2196"/>
      <c r="G48" s="2196">
        <f t="shared" si="14"/>
        <v>0</v>
      </c>
      <c r="H48" s="2197" t="e">
        <f t="shared" si="15"/>
        <v>#DIV/0!</v>
      </c>
      <c r="I48" s="2198"/>
      <c r="J48" s="2199">
        <f t="shared" si="17"/>
        <v>0</v>
      </c>
      <c r="K48" s="2200" t="s">
        <v>722</v>
      </c>
      <c r="L48" s="2147"/>
      <c r="M48" s="2147"/>
    </row>
    <row r="49" spans="1:11" s="2215" customFormat="1" ht="15">
      <c r="A49" s="1098"/>
      <c r="B49" s="1202" t="s">
        <v>37</v>
      </c>
      <c r="C49" s="2185"/>
      <c r="D49" s="1699"/>
      <c r="E49" s="1108">
        <f t="shared" si="18"/>
        <v>0</v>
      </c>
      <c r="F49" s="1700"/>
      <c r="G49" s="1700">
        <f t="shared" si="14"/>
        <v>0</v>
      </c>
      <c r="H49" s="2122" t="e">
        <f t="shared" si="15"/>
        <v>#DIV/0!</v>
      </c>
      <c r="I49" s="1701"/>
      <c r="J49" s="1593">
        <f t="shared" si="17"/>
        <v>0</v>
      </c>
      <c r="K49" s="2214"/>
    </row>
    <row r="50" spans="1:11" s="2215" customFormat="1" ht="15">
      <c r="A50" s="1098"/>
      <c r="B50" s="1202" t="s">
        <v>37</v>
      </c>
      <c r="C50" s="2185"/>
      <c r="D50" s="1699"/>
      <c r="E50" s="1108">
        <f t="shared" si="18"/>
        <v>0</v>
      </c>
      <c r="F50" s="1700"/>
      <c r="G50" s="1700">
        <f t="shared" si="14"/>
        <v>0</v>
      </c>
      <c r="H50" s="2122" t="e">
        <f t="shared" si="15"/>
        <v>#DIV/0!</v>
      </c>
      <c r="I50" s="1701"/>
      <c r="J50" s="1593">
        <f t="shared" si="17"/>
        <v>0</v>
      </c>
      <c r="K50" s="2214"/>
    </row>
    <row r="51" spans="1:11" s="2215" customFormat="1" ht="13.8">
      <c r="A51" s="1698" t="s">
        <v>50</v>
      </c>
      <c r="B51" s="2051" t="s">
        <v>37</v>
      </c>
      <c r="C51" s="1759">
        <f>SUM(C43:C50)</f>
        <v>2337</v>
      </c>
      <c r="D51" s="1705"/>
      <c r="E51" s="1099">
        <f>+C51+G29</f>
        <v>2337</v>
      </c>
      <c r="F51" s="1705">
        <f>SUM(F43:F50)</f>
        <v>1456.9199999999998</v>
      </c>
      <c r="G51" s="2217">
        <f>+E51-F51</f>
        <v>880.08000000000015</v>
      </c>
      <c r="H51" s="1697"/>
      <c r="I51" s="1201"/>
      <c r="J51" s="85">
        <f>SUM(J43:J50)</f>
        <v>4500.33</v>
      </c>
    </row>
    <row r="52" spans="1:11" s="2215" customFormat="1" ht="13.8">
      <c r="B52" s="2053" t="s">
        <v>616</v>
      </c>
      <c r="C52" s="2052">
        <f>+C40+C51</f>
        <v>7790</v>
      </c>
      <c r="F52" s="84">
        <f>+F40+F51</f>
        <v>4500.33</v>
      </c>
      <c r="G52" s="2218">
        <f>+G40+G51</f>
        <v>3289.67</v>
      </c>
    </row>
  </sheetData>
  <mergeCells count="2">
    <mergeCell ref="A1:B1"/>
    <mergeCell ref="A29:B29"/>
  </mergeCells>
  <conditionalFormatting sqref="H32:H39 H43:H50 H4:H12 H16:H24">
    <cfRule type="cellIs" dxfId="130" priority="21" operator="lessThan">
      <formula>0.05</formula>
    </cfRule>
    <cfRule type="cellIs" dxfId="129" priority="22" operator="lessThan">
      <formula>0.1</formula>
    </cfRule>
    <cfRule type="cellIs" dxfId="128" priority="23" operator="lessThan">
      <formula>0.2</formula>
    </cfRule>
    <cfRule type="cellIs" dxfId="127" priority="24" operator="lessThan">
      <formula>0.5</formula>
    </cfRule>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sheetPr>
    <tabColor rgb="FF00B050"/>
  </sheetPr>
  <dimension ref="A1:AJ199"/>
  <sheetViews>
    <sheetView zoomScale="70" zoomScaleNormal="70" workbookViewId="0">
      <selection activeCell="F2" sqref="F2"/>
    </sheetView>
  </sheetViews>
  <sheetFormatPr baseColWidth="10" defaultRowHeight="13.2"/>
  <cols>
    <col min="1" max="1" width="16.33203125" bestFit="1" customWidth="1"/>
    <col min="2" max="2" width="11.109375" bestFit="1" customWidth="1"/>
    <col min="3" max="7" width="11.33203125" customWidth="1"/>
    <col min="8" max="8" width="14.33203125" customWidth="1"/>
    <col min="9" max="14" width="11.33203125" customWidth="1"/>
    <col min="15" max="15" width="15.6640625" bestFit="1" customWidth="1"/>
    <col min="17" max="17" width="21.5546875" customWidth="1"/>
    <col min="18" max="18" width="17.88671875" customWidth="1"/>
    <col min="20" max="20" width="14.109375" customWidth="1"/>
    <col min="35" max="35" width="12.88671875" customWidth="1"/>
  </cols>
  <sheetData>
    <row r="1" spans="1:36" ht="15">
      <c r="A1" s="3811" t="s">
        <v>746</v>
      </c>
      <c r="B1" s="3812"/>
      <c r="C1" s="3812"/>
      <c r="D1" s="3812"/>
      <c r="E1" s="3812"/>
      <c r="F1" s="3812"/>
      <c r="G1" s="3812"/>
      <c r="H1" s="3812"/>
      <c r="I1" s="3812"/>
      <c r="J1" s="3812"/>
      <c r="K1" s="3812"/>
      <c r="L1" s="3812"/>
      <c r="M1" s="3812"/>
      <c r="N1" s="3812"/>
      <c r="O1" s="3812"/>
      <c r="P1" s="3812"/>
      <c r="Q1" s="3812"/>
      <c r="R1" s="3812"/>
      <c r="S1" s="3812"/>
      <c r="T1" s="3813"/>
    </row>
    <row r="2" spans="1:36">
      <c r="AI2" s="2266" t="s">
        <v>1346</v>
      </c>
      <c r="AJ2" s="66"/>
    </row>
    <row r="3" spans="1:36" ht="15">
      <c r="A3" s="1"/>
      <c r="B3" s="1"/>
      <c r="C3" s="1"/>
      <c r="D3" s="11"/>
      <c r="E3" s="11"/>
      <c r="F3" s="11"/>
      <c r="G3" s="11"/>
      <c r="H3" s="11"/>
      <c r="I3" s="11"/>
      <c r="J3" s="1229"/>
      <c r="K3" s="11"/>
      <c r="L3" s="30"/>
      <c r="M3" s="11"/>
      <c r="N3" s="11"/>
      <c r="O3" s="11"/>
      <c r="P3" s="11"/>
      <c r="Q3" s="11"/>
      <c r="R3" s="11"/>
      <c r="S3" s="11"/>
      <c r="T3" s="11"/>
      <c r="U3" s="11"/>
      <c r="V3" s="11"/>
      <c r="W3" s="11"/>
      <c r="X3" s="11"/>
      <c r="Y3" s="11"/>
      <c r="Z3" s="11"/>
      <c r="AA3" s="11"/>
      <c r="AB3" s="11"/>
      <c r="AC3" s="11"/>
      <c r="AD3" s="11"/>
      <c r="AE3" s="11"/>
      <c r="AF3" s="11"/>
      <c r="AG3" s="11"/>
      <c r="AH3" s="1"/>
      <c r="AI3" s="66"/>
      <c r="AJ3" s="66"/>
    </row>
    <row r="4" spans="1:36" ht="15">
      <c r="A4" s="3811" t="s">
        <v>327</v>
      </c>
      <c r="B4" s="3812"/>
      <c r="C4" s="3813"/>
      <c r="D4" s="11"/>
      <c r="E4" s="11"/>
      <c r="F4" s="11"/>
      <c r="G4" s="11"/>
      <c r="H4" s="2457"/>
      <c r="I4" s="11"/>
      <c r="J4" s="11"/>
      <c r="K4" s="11"/>
      <c r="L4" s="11"/>
      <c r="M4" s="30"/>
      <c r="N4" s="11"/>
      <c r="O4" s="11"/>
      <c r="P4" s="11"/>
      <c r="Q4" s="11"/>
      <c r="R4" s="11"/>
      <c r="S4" s="11"/>
      <c r="T4" s="11"/>
      <c r="U4" s="11"/>
      <c r="V4" s="11"/>
      <c r="W4" s="11"/>
      <c r="X4" s="11"/>
      <c r="Y4" s="11"/>
      <c r="Z4" s="11"/>
      <c r="AA4" s="11"/>
      <c r="AB4" s="11"/>
      <c r="AC4" s="11"/>
      <c r="AD4" s="11"/>
      <c r="AE4" s="11"/>
      <c r="AF4" s="11"/>
      <c r="AG4" s="11"/>
      <c r="AH4" s="1"/>
      <c r="AI4" s="66"/>
      <c r="AJ4" s="66"/>
    </row>
    <row r="5" spans="1:36" ht="15">
      <c r="A5" s="5" t="s">
        <v>70</v>
      </c>
      <c r="B5" s="21" t="s">
        <v>71</v>
      </c>
      <c r="C5" s="5">
        <v>1</v>
      </c>
      <c r="D5" s="21">
        <v>2</v>
      </c>
      <c r="E5" s="21">
        <v>3</v>
      </c>
      <c r="F5" s="21">
        <v>4</v>
      </c>
      <c r="G5" s="21">
        <v>5</v>
      </c>
      <c r="H5" s="21">
        <v>6</v>
      </c>
      <c r="I5" s="21">
        <v>7</v>
      </c>
      <c r="J5" s="21">
        <v>8</v>
      </c>
      <c r="K5" s="21">
        <v>9</v>
      </c>
      <c r="L5" s="21">
        <v>10</v>
      </c>
      <c r="M5" s="21">
        <v>11</v>
      </c>
      <c r="N5" s="21">
        <v>12</v>
      </c>
      <c r="O5" s="21">
        <v>13</v>
      </c>
      <c r="P5" s="21">
        <v>14</v>
      </c>
      <c r="Q5" s="21">
        <v>15</v>
      </c>
      <c r="R5" s="21">
        <v>16</v>
      </c>
      <c r="S5" s="21">
        <v>17</v>
      </c>
      <c r="T5" s="21">
        <v>18</v>
      </c>
      <c r="U5" s="21">
        <v>19</v>
      </c>
      <c r="V5" s="21">
        <v>20</v>
      </c>
      <c r="W5" s="21">
        <v>21</v>
      </c>
      <c r="X5" s="21">
        <v>22</v>
      </c>
      <c r="Y5" s="21">
        <v>23</v>
      </c>
      <c r="Z5" s="21">
        <v>24</v>
      </c>
      <c r="AA5" s="21">
        <v>25</v>
      </c>
      <c r="AB5" s="21">
        <v>26</v>
      </c>
      <c r="AC5" s="21">
        <v>27</v>
      </c>
      <c r="AD5" s="21">
        <v>28</v>
      </c>
      <c r="AE5" s="21">
        <v>29</v>
      </c>
      <c r="AF5" s="21">
        <v>30</v>
      </c>
      <c r="AG5" s="21">
        <v>31</v>
      </c>
      <c r="AH5" s="25" t="s">
        <v>72</v>
      </c>
      <c r="AI5" s="2266" t="s">
        <v>1345</v>
      </c>
      <c r="AJ5" s="66">
        <f>(B18/COUNTIF($C$6:$AG$17,"&gt;0"))</f>
        <v>77.591896551724133</v>
      </c>
    </row>
    <row r="6" spans="1:36" ht="15">
      <c r="A6" s="1717" t="s">
        <v>73</v>
      </c>
      <c r="B6" s="15">
        <f t="shared" ref="B6:B17" si="0">+AH6</f>
        <v>867.18000000000006</v>
      </c>
      <c r="C6" s="1537"/>
      <c r="D6" s="1537"/>
      <c r="E6" s="1537"/>
      <c r="F6" s="1537"/>
      <c r="G6" s="1537"/>
      <c r="H6" s="1537"/>
      <c r="I6" s="1539"/>
      <c r="J6" s="1539"/>
      <c r="K6" s="1539"/>
      <c r="L6" s="1539"/>
      <c r="M6" s="1539"/>
      <c r="N6" s="1539"/>
      <c r="O6" s="1539"/>
      <c r="P6" s="1539"/>
      <c r="Q6" s="1539"/>
      <c r="R6" s="1539"/>
      <c r="S6" s="1539"/>
      <c r="T6" s="1539"/>
      <c r="U6" s="1539"/>
      <c r="V6" s="1539"/>
      <c r="W6" s="1539"/>
      <c r="X6" s="1539"/>
      <c r="Y6" s="1539">
        <v>70.87</v>
      </c>
      <c r="Z6" s="1539">
        <v>146.41999999999999</v>
      </c>
      <c r="AA6" s="1539">
        <v>158.34</v>
      </c>
      <c r="AB6" s="1539"/>
      <c r="AC6" s="1539">
        <v>103.69</v>
      </c>
      <c r="AD6" s="1539">
        <v>150.63999999999999</v>
      </c>
      <c r="AE6" s="1539"/>
      <c r="AF6" s="1539">
        <v>98.74</v>
      </c>
      <c r="AG6" s="1539">
        <v>138.47999999999999</v>
      </c>
      <c r="AH6" s="32">
        <f>SUM(C6:AG6)</f>
        <v>867.18000000000006</v>
      </c>
      <c r="AJ6">
        <f>+'Resumen RAE S. Austral'!G43</f>
        <v>3289.67</v>
      </c>
    </row>
    <row r="7" spans="1:36" ht="15">
      <c r="A7" s="1717" t="s">
        <v>74</v>
      </c>
      <c r="B7" s="3556">
        <f t="shared" si="0"/>
        <v>980.05</v>
      </c>
      <c r="C7" s="1537">
        <v>85.45</v>
      </c>
      <c r="D7" s="1537"/>
      <c r="E7" s="1537">
        <v>98.33</v>
      </c>
      <c r="F7" s="1537"/>
      <c r="G7" s="1537"/>
      <c r="H7" s="1537">
        <v>91</v>
      </c>
      <c r="I7" s="1540">
        <v>15.19</v>
      </c>
      <c r="J7" s="1540"/>
      <c r="K7" s="1540"/>
      <c r="L7" s="1540"/>
      <c r="M7" s="1540"/>
      <c r="N7" s="1540"/>
      <c r="O7" s="1540"/>
      <c r="P7" s="1540"/>
      <c r="Q7" s="1540"/>
      <c r="R7" s="1540"/>
      <c r="S7" s="1540"/>
      <c r="T7" s="1540"/>
      <c r="U7" s="1540"/>
      <c r="V7" s="1540"/>
      <c r="W7" s="1540">
        <v>34.979999999999997</v>
      </c>
      <c r="X7" s="1540">
        <v>132.96</v>
      </c>
      <c r="Y7" s="1539"/>
      <c r="Z7" s="1539">
        <v>112.66</v>
      </c>
      <c r="AA7" s="1539">
        <v>37.840000000000003</v>
      </c>
      <c r="AB7" s="1539">
        <v>148.5</v>
      </c>
      <c r="AC7" s="1539">
        <v>105.46</v>
      </c>
      <c r="AD7" s="1539">
        <v>117.68</v>
      </c>
      <c r="AE7" s="1539"/>
      <c r="AF7" s="1539"/>
      <c r="AG7" s="1539"/>
      <c r="AH7" s="32">
        <f t="shared" ref="AH7:AH17" si="1">SUM(C7:AG7)</f>
        <v>980.05</v>
      </c>
      <c r="AJ7" s="1093">
        <f>+AJ6/AJ5</f>
        <v>42.397081991765049</v>
      </c>
    </row>
    <row r="8" spans="1:36" ht="15">
      <c r="A8" s="1717" t="s">
        <v>75</v>
      </c>
      <c r="B8" s="15">
        <f t="shared" si="0"/>
        <v>765</v>
      </c>
      <c r="C8" s="1537">
        <v>72.510000000000005</v>
      </c>
      <c r="D8" s="1537"/>
      <c r="E8" s="1537">
        <v>78.09</v>
      </c>
      <c r="F8" s="1537"/>
      <c r="G8" s="1537">
        <v>143.08000000000001</v>
      </c>
      <c r="H8" s="1537"/>
      <c r="I8" s="1542">
        <v>32.549999999999997</v>
      </c>
      <c r="J8" s="1541"/>
      <c r="K8" s="1541"/>
      <c r="L8" s="1541"/>
      <c r="M8" s="1541"/>
      <c r="N8" s="1541"/>
      <c r="O8" s="1541"/>
      <c r="P8" s="1542"/>
      <c r="Q8" s="1542"/>
      <c r="R8" s="1542"/>
      <c r="S8" s="1542"/>
      <c r="T8" s="1542"/>
      <c r="U8" s="1542"/>
      <c r="V8" s="1542"/>
      <c r="W8" s="1542"/>
      <c r="X8" s="1542"/>
      <c r="Y8" s="1542"/>
      <c r="Z8" s="1542">
        <v>53.72</v>
      </c>
      <c r="AA8" s="1542">
        <v>35.25</v>
      </c>
      <c r="AB8" s="1542">
        <v>40.4</v>
      </c>
      <c r="AC8" s="1542"/>
      <c r="AD8" s="1542">
        <v>82.39</v>
      </c>
      <c r="AE8" s="1543">
        <v>95.5</v>
      </c>
      <c r="AF8" s="1541"/>
      <c r="AG8" s="1541">
        <v>131.51</v>
      </c>
      <c r="AH8" s="32">
        <f t="shared" si="1"/>
        <v>765</v>
      </c>
    </row>
    <row r="9" spans="1:36" ht="15">
      <c r="A9" s="1717" t="s">
        <v>76</v>
      </c>
      <c r="B9" s="1529">
        <f t="shared" si="0"/>
        <v>334.79999999999995</v>
      </c>
      <c r="C9" s="1538"/>
      <c r="D9" s="1538">
        <v>38.75</v>
      </c>
      <c r="E9" s="1538">
        <v>82.86</v>
      </c>
      <c r="F9" s="1538">
        <v>81.11</v>
      </c>
      <c r="G9" s="1538">
        <v>52.01</v>
      </c>
      <c r="H9" s="1538"/>
      <c r="I9" s="1542">
        <v>20.9</v>
      </c>
      <c r="J9" s="1542"/>
      <c r="K9" s="1542"/>
      <c r="L9" s="1542"/>
      <c r="M9" s="1541"/>
      <c r="N9" s="1541"/>
      <c r="O9" s="1541"/>
      <c r="P9" s="1541"/>
      <c r="Q9" s="1542"/>
      <c r="R9" s="1542"/>
      <c r="S9" s="1542"/>
      <c r="T9" s="1542"/>
      <c r="U9" s="1541"/>
      <c r="V9" s="1542"/>
      <c r="W9" s="1542"/>
      <c r="X9" s="1542"/>
      <c r="Y9" s="1542"/>
      <c r="Z9" s="1542">
        <v>40.65</v>
      </c>
      <c r="AA9" s="1542"/>
      <c r="AB9" s="1542">
        <v>18.52</v>
      </c>
      <c r="AC9" s="1541"/>
      <c r="AD9" s="1542"/>
      <c r="AE9" s="1542"/>
      <c r="AF9" s="1541"/>
      <c r="AG9" s="1541"/>
      <c r="AH9" s="32">
        <f t="shared" si="1"/>
        <v>334.79999999999995</v>
      </c>
    </row>
    <row r="10" spans="1:36" ht="15">
      <c r="A10" s="1717" t="s">
        <v>77</v>
      </c>
      <c r="B10" s="3557">
        <f t="shared" si="0"/>
        <v>70.849999999999994</v>
      </c>
      <c r="C10" s="1538"/>
      <c r="D10" s="1538"/>
      <c r="E10" s="1538"/>
      <c r="F10" s="1537"/>
      <c r="G10" s="1538"/>
      <c r="H10" s="1537"/>
      <c r="I10" s="1539"/>
      <c r="J10" s="1539"/>
      <c r="K10" s="1539"/>
      <c r="L10" s="1539"/>
      <c r="M10" s="1539"/>
      <c r="N10" s="1539"/>
      <c r="O10" s="1539"/>
      <c r="P10" s="1539"/>
      <c r="Q10" s="1539"/>
      <c r="R10" s="1539"/>
      <c r="S10" s="1539"/>
      <c r="T10" s="1539"/>
      <c r="U10" s="1539"/>
      <c r="V10" s="1539"/>
      <c r="W10" s="1539"/>
      <c r="X10" s="1539"/>
      <c r="Y10" s="1539"/>
      <c r="Z10" s="1539">
        <v>70.849999999999994</v>
      </c>
      <c r="AA10" s="1539"/>
      <c r="AB10" s="1539"/>
      <c r="AC10" s="1539"/>
      <c r="AD10" s="1539"/>
      <c r="AE10" s="1539"/>
      <c r="AF10" s="1539"/>
      <c r="AG10" s="1539"/>
      <c r="AH10" s="32">
        <f t="shared" si="1"/>
        <v>70.849999999999994</v>
      </c>
    </row>
    <row r="11" spans="1:36" ht="15">
      <c r="A11" s="1717" t="s">
        <v>78</v>
      </c>
      <c r="B11" s="15">
        <f t="shared" si="0"/>
        <v>25.53</v>
      </c>
      <c r="C11" s="1538"/>
      <c r="D11" s="1538"/>
      <c r="E11" s="1538">
        <v>25.53</v>
      </c>
      <c r="F11" s="1538"/>
      <c r="G11" s="1538"/>
      <c r="H11" s="1538"/>
      <c r="I11" s="1539"/>
      <c r="J11" s="1539"/>
      <c r="K11" s="1539"/>
      <c r="L11" s="1539"/>
      <c r="M11" s="1539"/>
      <c r="N11" s="1539"/>
      <c r="O11" s="1539"/>
      <c r="P11" s="1539"/>
      <c r="Q11" s="1539"/>
      <c r="R11" s="1539"/>
      <c r="S11" s="1539"/>
      <c r="T11" s="1539"/>
      <c r="U11" s="1539"/>
      <c r="V11" s="1539"/>
      <c r="W11" s="1539"/>
      <c r="X11" s="1539"/>
      <c r="Y11" s="1539"/>
      <c r="Z11" s="1539"/>
      <c r="AA11" s="1539"/>
      <c r="AB11" s="1539"/>
      <c r="AC11" s="1539"/>
      <c r="AD11" s="1539"/>
      <c r="AE11" s="1539"/>
      <c r="AF11" s="1539"/>
      <c r="AG11" s="1539"/>
      <c r="AH11" s="32">
        <f t="shared" si="1"/>
        <v>25.53</v>
      </c>
    </row>
    <row r="12" spans="1:36" ht="15">
      <c r="A12" s="21" t="s">
        <v>79</v>
      </c>
      <c r="B12" s="15">
        <f t="shared" si="0"/>
        <v>0</v>
      </c>
      <c r="C12" s="1539"/>
      <c r="D12" s="1539"/>
      <c r="E12" s="1539"/>
      <c r="F12" s="1539"/>
      <c r="G12" s="1539"/>
      <c r="H12" s="1539"/>
      <c r="I12" s="1539"/>
      <c r="J12" s="1539"/>
      <c r="K12" s="1539"/>
      <c r="L12" s="1539"/>
      <c r="M12" s="1539"/>
      <c r="N12" s="31"/>
      <c r="O12" s="31"/>
      <c r="P12" s="31"/>
      <c r="Q12" s="31"/>
      <c r="R12" s="31"/>
      <c r="S12" s="31"/>
      <c r="T12" s="31"/>
      <c r="U12" s="31"/>
      <c r="V12" s="31"/>
      <c r="W12" s="31"/>
      <c r="X12" s="31"/>
      <c r="Y12" s="31"/>
      <c r="Z12" s="31"/>
      <c r="AA12" s="31"/>
      <c r="AB12" s="31"/>
      <c r="AC12" s="31"/>
      <c r="AD12" s="31"/>
      <c r="AE12" s="31"/>
      <c r="AF12" s="31"/>
      <c r="AG12" s="31"/>
      <c r="AH12" s="32">
        <f t="shared" si="1"/>
        <v>0</v>
      </c>
    </row>
    <row r="13" spans="1:36" ht="15">
      <c r="A13" s="21" t="s">
        <v>80</v>
      </c>
      <c r="B13" s="15">
        <f t="shared" si="0"/>
        <v>0</v>
      </c>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2">
        <f t="shared" si="1"/>
        <v>0</v>
      </c>
    </row>
    <row r="14" spans="1:36" ht="15">
      <c r="A14" s="21" t="s">
        <v>81</v>
      </c>
      <c r="B14" s="15">
        <f t="shared" si="0"/>
        <v>0</v>
      </c>
      <c r="C14" s="31"/>
      <c r="D14" s="31"/>
      <c r="E14" s="31"/>
      <c r="F14" s="31"/>
      <c r="G14" s="31"/>
      <c r="H14" s="31"/>
      <c r="I14" s="31"/>
      <c r="J14" s="31"/>
      <c r="K14" s="31"/>
      <c r="L14" s="31"/>
      <c r="M14" s="31"/>
      <c r="N14" s="31"/>
      <c r="O14" s="31"/>
      <c r="P14" s="31"/>
      <c r="Q14" s="113" t="s">
        <v>398</v>
      </c>
      <c r="R14" s="113"/>
      <c r="S14" s="113" t="s">
        <v>398</v>
      </c>
      <c r="T14" s="113" t="s">
        <v>398</v>
      </c>
      <c r="U14" s="113" t="s">
        <v>398</v>
      </c>
      <c r="V14" s="113" t="s">
        <v>398</v>
      </c>
      <c r="W14" s="113" t="s">
        <v>398</v>
      </c>
      <c r="X14" s="113" t="s">
        <v>398</v>
      </c>
      <c r="Y14" s="113" t="s">
        <v>398</v>
      </c>
      <c r="Z14" s="113" t="s">
        <v>398</v>
      </c>
      <c r="AA14" s="113" t="s">
        <v>398</v>
      </c>
      <c r="AB14" s="113" t="s">
        <v>398</v>
      </c>
      <c r="AC14" s="113" t="s">
        <v>398</v>
      </c>
      <c r="AD14" s="113" t="s">
        <v>398</v>
      </c>
      <c r="AE14" s="113" t="s">
        <v>398</v>
      </c>
      <c r="AF14" s="113" t="s">
        <v>398</v>
      </c>
      <c r="AG14" s="113" t="s">
        <v>398</v>
      </c>
      <c r="AH14" s="32">
        <f t="shared" si="1"/>
        <v>0</v>
      </c>
    </row>
    <row r="15" spans="1:36" ht="15">
      <c r="A15" s="21" t="s">
        <v>82</v>
      </c>
      <c r="B15" s="15">
        <f t="shared" si="0"/>
        <v>0</v>
      </c>
      <c r="C15" s="113" t="s">
        <v>110</v>
      </c>
      <c r="D15" s="1718" t="s">
        <v>110</v>
      </c>
      <c r="E15" s="113" t="s">
        <v>110</v>
      </c>
      <c r="F15" s="113" t="s">
        <v>110</v>
      </c>
      <c r="G15" s="113" t="s">
        <v>110</v>
      </c>
      <c r="H15" s="113" t="s">
        <v>110</v>
      </c>
      <c r="I15" s="113" t="s">
        <v>110</v>
      </c>
      <c r="J15" s="113" t="s">
        <v>110</v>
      </c>
      <c r="K15" s="113" t="s">
        <v>110</v>
      </c>
      <c r="L15" s="113" t="s">
        <v>110</v>
      </c>
      <c r="M15" s="113" t="s">
        <v>110</v>
      </c>
      <c r="N15" s="113" t="s">
        <v>110</v>
      </c>
      <c r="O15" s="113" t="s">
        <v>110</v>
      </c>
      <c r="P15" s="113" t="s">
        <v>110</v>
      </c>
      <c r="Q15" s="113" t="s">
        <v>110</v>
      </c>
      <c r="R15" s="113" t="s">
        <v>110</v>
      </c>
      <c r="S15" s="113" t="s">
        <v>110</v>
      </c>
      <c r="T15" s="113" t="s">
        <v>110</v>
      </c>
      <c r="U15" s="113" t="s">
        <v>110</v>
      </c>
      <c r="V15" s="113" t="s">
        <v>110</v>
      </c>
      <c r="W15" s="113" t="s">
        <v>110</v>
      </c>
      <c r="X15" s="113" t="s">
        <v>110</v>
      </c>
      <c r="Y15" s="113" t="s">
        <v>110</v>
      </c>
      <c r="Z15" s="113" t="s">
        <v>110</v>
      </c>
      <c r="AA15" s="113" t="s">
        <v>110</v>
      </c>
      <c r="AB15" s="113" t="s">
        <v>110</v>
      </c>
      <c r="AC15" s="113" t="s">
        <v>110</v>
      </c>
      <c r="AD15" s="113" t="s">
        <v>110</v>
      </c>
      <c r="AE15" s="113" t="s">
        <v>110</v>
      </c>
      <c r="AF15" s="113" t="s">
        <v>110</v>
      </c>
      <c r="AG15" s="113" t="s">
        <v>110</v>
      </c>
      <c r="AH15" s="32">
        <f t="shared" si="1"/>
        <v>0</v>
      </c>
    </row>
    <row r="16" spans="1:36" ht="15">
      <c r="A16" s="21" t="s">
        <v>83</v>
      </c>
      <c r="B16" s="15">
        <f t="shared" si="0"/>
        <v>364.76</v>
      </c>
      <c r="C16" s="113" t="s">
        <v>110</v>
      </c>
      <c r="D16" s="1718" t="s">
        <v>110</v>
      </c>
      <c r="E16" s="113" t="s">
        <v>110</v>
      </c>
      <c r="F16" s="113" t="s">
        <v>110</v>
      </c>
      <c r="G16" s="113" t="s">
        <v>110</v>
      </c>
      <c r="H16" s="113" t="s">
        <v>110</v>
      </c>
      <c r="I16" s="113" t="s">
        <v>110</v>
      </c>
      <c r="J16" s="113" t="s">
        <v>110</v>
      </c>
      <c r="K16" s="113" t="s">
        <v>110</v>
      </c>
      <c r="L16" s="113" t="s">
        <v>110</v>
      </c>
      <c r="M16" s="113" t="s">
        <v>110</v>
      </c>
      <c r="N16" s="113" t="s">
        <v>110</v>
      </c>
      <c r="O16" s="113" t="s">
        <v>110</v>
      </c>
      <c r="P16" s="113" t="s">
        <v>110</v>
      </c>
      <c r="Q16" s="113" t="s">
        <v>110</v>
      </c>
      <c r="R16" s="34"/>
      <c r="S16" s="34"/>
      <c r="T16" s="34"/>
      <c r="U16" s="34">
        <v>119.98</v>
      </c>
      <c r="V16" s="34"/>
      <c r="W16" s="34">
        <v>20.309999999999999</v>
      </c>
      <c r="X16" s="34">
        <v>48.38</v>
      </c>
      <c r="Y16" s="2203"/>
      <c r="Z16" s="2203">
        <v>27.34</v>
      </c>
      <c r="AA16" s="2203"/>
      <c r="AB16" s="2203">
        <v>48.53</v>
      </c>
      <c r="AC16" s="2203">
        <v>31.13</v>
      </c>
      <c r="AD16" s="2203">
        <v>28.17</v>
      </c>
      <c r="AE16" s="2203">
        <v>40.92</v>
      </c>
      <c r="AF16" s="2203"/>
      <c r="AG16" s="31"/>
      <c r="AH16" s="32">
        <f>SUM(C16:AG16)</f>
        <v>364.76</v>
      </c>
    </row>
    <row r="17" spans="1:36" ht="15">
      <c r="A17" s="21" t="s">
        <v>84</v>
      </c>
      <c r="B17" s="15">
        <f t="shared" si="0"/>
        <v>1092.1599999999999</v>
      </c>
      <c r="C17" s="31"/>
      <c r="D17" s="34"/>
      <c r="E17" s="2203"/>
      <c r="F17" s="2203"/>
      <c r="G17" s="2203"/>
      <c r="H17" s="2203"/>
      <c r="I17" s="2203"/>
      <c r="J17" s="2203"/>
      <c r="K17" s="2203"/>
      <c r="L17" s="2203"/>
      <c r="M17" s="31">
        <v>31.15</v>
      </c>
      <c r="N17" s="31">
        <v>110.92999999999999</v>
      </c>
      <c r="O17" s="31">
        <v>144.49</v>
      </c>
      <c r="P17" s="31">
        <v>43.26</v>
      </c>
      <c r="Q17" s="31">
        <v>80.569999999999993</v>
      </c>
      <c r="R17" s="31">
        <v>60.620000000000005</v>
      </c>
      <c r="S17" s="31">
        <v>91.16</v>
      </c>
      <c r="T17" s="31">
        <v>134.16</v>
      </c>
      <c r="U17" s="31"/>
      <c r="V17" s="31"/>
      <c r="W17" s="31"/>
      <c r="X17" s="31">
        <v>139.84</v>
      </c>
      <c r="Y17" s="31">
        <v>78.66</v>
      </c>
      <c r="Z17" s="31">
        <v>122.92</v>
      </c>
      <c r="AA17" s="31"/>
      <c r="AB17" s="31"/>
      <c r="AC17" s="31">
        <v>36.33</v>
      </c>
      <c r="AD17" s="31"/>
      <c r="AE17" s="31"/>
      <c r="AF17" s="31">
        <v>18.07</v>
      </c>
      <c r="AG17" s="31"/>
      <c r="AH17" s="32">
        <f t="shared" si="1"/>
        <v>1092.1599999999999</v>
      </c>
    </row>
    <row r="18" spans="1:36" ht="15">
      <c r="A18" s="71" t="s">
        <v>72</v>
      </c>
      <c r="B18" s="72">
        <f>SUM(B6:B17)</f>
        <v>4500.33</v>
      </c>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f>SUM(AH6:AH17)</f>
        <v>4500.33</v>
      </c>
    </row>
    <row r="21" spans="1:36" ht="15">
      <c r="A21" s="3818" t="s">
        <v>59</v>
      </c>
      <c r="B21" s="3819"/>
      <c r="C21" s="3819"/>
      <c r="D21" s="3819"/>
      <c r="E21" s="3819"/>
      <c r="F21" s="3819"/>
      <c r="G21" s="3819"/>
      <c r="H21" s="3819"/>
      <c r="I21" s="3819"/>
      <c r="J21" s="3819"/>
      <c r="K21" s="3819"/>
      <c r="L21" s="3819"/>
      <c r="M21" s="3819"/>
      <c r="N21" s="3819"/>
      <c r="O21" s="3819"/>
      <c r="P21" s="3819"/>
      <c r="Q21" s="3819"/>
      <c r="R21" s="3820"/>
      <c r="S21" s="11"/>
      <c r="T21" s="11"/>
      <c r="U21" s="11"/>
      <c r="V21" s="11"/>
      <c r="W21" s="11"/>
      <c r="X21" s="11"/>
      <c r="Y21" s="11"/>
      <c r="Z21" s="11"/>
      <c r="AA21" s="11"/>
      <c r="AB21" s="11"/>
      <c r="AC21" s="11"/>
      <c r="AD21" s="11"/>
      <c r="AE21" s="11"/>
      <c r="AF21" s="11"/>
      <c r="AG21" s="11"/>
      <c r="AH21" s="11"/>
    </row>
    <row r="22" spans="1:36" s="2261" customFormat="1" ht="15">
      <c r="A22" s="3821" t="s">
        <v>777</v>
      </c>
      <c r="B22" s="3822"/>
      <c r="C22" s="3822"/>
      <c r="D22" s="3822"/>
      <c r="E22" s="3822"/>
      <c r="F22" s="3822"/>
      <c r="G22" s="3822"/>
      <c r="H22" s="3823"/>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row>
    <row r="23" spans="1:36" s="2261" customFormat="1" ht="15">
      <c r="A23" s="5" t="s">
        <v>89</v>
      </c>
      <c r="B23" s="56" t="s">
        <v>71</v>
      </c>
      <c r="C23" s="1054">
        <v>1</v>
      </c>
      <c r="D23" s="21">
        <v>2</v>
      </c>
      <c r="E23" s="21">
        <v>3</v>
      </c>
      <c r="F23" s="21">
        <v>4</v>
      </c>
      <c r="G23" s="21">
        <v>5</v>
      </c>
      <c r="H23" s="21">
        <v>6</v>
      </c>
      <c r="I23" s="21">
        <v>7</v>
      </c>
      <c r="J23" s="21">
        <v>8</v>
      </c>
      <c r="K23" s="21">
        <v>9</v>
      </c>
      <c r="L23" s="21">
        <v>10</v>
      </c>
      <c r="M23" s="21">
        <v>11</v>
      </c>
      <c r="N23" s="21">
        <v>12</v>
      </c>
      <c r="O23" s="21">
        <v>13</v>
      </c>
      <c r="P23" s="21">
        <v>14</v>
      </c>
      <c r="Q23" s="21">
        <v>15</v>
      </c>
      <c r="R23" s="21">
        <v>16</v>
      </c>
      <c r="S23" s="21">
        <v>17</v>
      </c>
      <c r="T23" s="21">
        <v>18</v>
      </c>
      <c r="U23" s="21">
        <v>19</v>
      </c>
      <c r="V23" s="21">
        <v>20</v>
      </c>
      <c r="W23" s="21">
        <v>21</v>
      </c>
      <c r="X23" s="21">
        <v>22</v>
      </c>
      <c r="Y23" s="21">
        <v>23</v>
      </c>
      <c r="Z23" s="21">
        <v>24</v>
      </c>
      <c r="AA23" s="21">
        <v>25</v>
      </c>
      <c r="AB23" s="21">
        <v>26</v>
      </c>
      <c r="AC23" s="21">
        <v>27</v>
      </c>
      <c r="AD23" s="21">
        <v>28</v>
      </c>
      <c r="AE23" s="21">
        <v>29</v>
      </c>
      <c r="AF23" s="21">
        <v>30</v>
      </c>
      <c r="AG23" s="21">
        <v>31</v>
      </c>
      <c r="AH23" s="25" t="s">
        <v>72</v>
      </c>
      <c r="AI23" s="2266" t="s">
        <v>1345</v>
      </c>
      <c r="AJ23" s="66">
        <f>(B36/COUNTIF($C$24:$AG$35,"&gt;0"))</f>
        <v>32.94622535211267</v>
      </c>
    </row>
    <row r="24" spans="1:36" s="2261" customFormat="1" ht="15">
      <c r="A24" s="1719" t="s">
        <v>73</v>
      </c>
      <c r="B24" s="1090">
        <f t="shared" ref="B24:B35" si="2">+AH24</f>
        <v>90.454000000000008</v>
      </c>
      <c r="C24" s="35"/>
      <c r="D24" s="15"/>
      <c r="E24" s="15"/>
      <c r="F24" s="15"/>
      <c r="G24" s="15"/>
      <c r="H24" s="15"/>
      <c r="I24" s="15"/>
      <c r="J24" s="15"/>
      <c r="K24" s="15"/>
      <c r="L24" s="15"/>
      <c r="M24" s="15"/>
      <c r="N24" s="15"/>
      <c r="O24" s="15"/>
      <c r="P24" s="15"/>
      <c r="Q24" s="52"/>
      <c r="R24" s="52"/>
      <c r="S24" s="52"/>
      <c r="T24" s="52"/>
      <c r="U24" s="52"/>
      <c r="V24" s="52"/>
      <c r="W24" s="52"/>
      <c r="X24" s="52"/>
      <c r="Y24" s="52"/>
      <c r="Z24" s="52"/>
      <c r="AA24" s="52"/>
      <c r="AB24" s="52"/>
      <c r="AC24" s="52">
        <v>38.44</v>
      </c>
      <c r="AD24" s="52">
        <v>35.861000000000004</v>
      </c>
      <c r="AE24" s="52">
        <v>3.11</v>
      </c>
      <c r="AF24" s="52">
        <v>13.042999999999999</v>
      </c>
      <c r="AG24" s="52"/>
      <c r="AH24" s="39">
        <f>SUM(C24:AG24)</f>
        <v>90.454000000000008</v>
      </c>
      <c r="AJ24" s="2261">
        <f>+'Resumen RAE S. Austral'!G16</f>
        <v>-15.182000000000016</v>
      </c>
    </row>
    <row r="25" spans="1:36" s="2261" customFormat="1" ht="15">
      <c r="A25" s="1719" t="s">
        <v>74</v>
      </c>
      <c r="B25" s="1090">
        <f t="shared" si="2"/>
        <v>341.27599999999995</v>
      </c>
      <c r="C25" s="35"/>
      <c r="D25" s="15"/>
      <c r="E25" s="15"/>
      <c r="F25" s="15">
        <v>10.029999999999999</v>
      </c>
      <c r="G25" s="15"/>
      <c r="H25" s="15"/>
      <c r="I25" s="15"/>
      <c r="J25" s="15"/>
      <c r="K25" s="15"/>
      <c r="L25" s="15"/>
      <c r="M25" s="15">
        <v>107.43899999999999</v>
      </c>
      <c r="N25" s="15">
        <v>75.66</v>
      </c>
      <c r="O25" s="15"/>
      <c r="P25" s="15"/>
      <c r="Q25" s="15">
        <v>43.19</v>
      </c>
      <c r="R25" s="15"/>
      <c r="S25" s="15"/>
      <c r="T25" s="15">
        <v>10.83</v>
      </c>
      <c r="U25" s="15"/>
      <c r="V25" s="15"/>
      <c r="W25" s="15"/>
      <c r="X25" s="15"/>
      <c r="Y25" s="15"/>
      <c r="Z25" s="15">
        <v>26.46</v>
      </c>
      <c r="AA25" s="15"/>
      <c r="AB25" s="15">
        <v>32.26</v>
      </c>
      <c r="AC25" s="15">
        <v>16.52</v>
      </c>
      <c r="AD25" s="15">
        <v>18.887</v>
      </c>
      <c r="AE25" s="15"/>
      <c r="AF25" s="15"/>
      <c r="AG25" s="15"/>
      <c r="AH25" s="39">
        <f t="shared" ref="AH25:AH35" si="3">SUM(C25:AG25)</f>
        <v>341.27599999999995</v>
      </c>
      <c r="AJ25" s="1093">
        <f>+AJ24/AJ23</f>
        <v>-0.46081151445248869</v>
      </c>
    </row>
    <row r="26" spans="1:36" s="2261" customFormat="1" ht="15">
      <c r="A26" s="1719" t="s">
        <v>75</v>
      </c>
      <c r="B26" s="1090">
        <f t="shared" si="2"/>
        <v>404.00599999999997</v>
      </c>
      <c r="C26" s="35">
        <v>29.189</v>
      </c>
      <c r="D26" s="15"/>
      <c r="E26" s="15"/>
      <c r="F26" s="15">
        <v>37.35</v>
      </c>
      <c r="G26" s="15">
        <v>101.352</v>
      </c>
      <c r="H26" s="15">
        <v>92.45</v>
      </c>
      <c r="I26" s="15"/>
      <c r="J26" s="15"/>
      <c r="K26" s="15"/>
      <c r="L26" s="15"/>
      <c r="M26" s="15">
        <v>17.827999999999999</v>
      </c>
      <c r="N26" s="15">
        <v>37.106999999999999</v>
      </c>
      <c r="O26" s="15">
        <v>10.86</v>
      </c>
      <c r="P26" s="15"/>
      <c r="Q26" s="2458">
        <v>38.33</v>
      </c>
      <c r="R26" s="1084" t="s">
        <v>127</v>
      </c>
      <c r="S26" s="1084" t="s">
        <v>127</v>
      </c>
      <c r="T26" s="1084" t="s">
        <v>127</v>
      </c>
      <c r="U26" s="1084" t="s">
        <v>127</v>
      </c>
      <c r="V26" s="1084" t="s">
        <v>127</v>
      </c>
      <c r="W26" s="1084" t="s">
        <v>127</v>
      </c>
      <c r="X26" s="1084" t="s">
        <v>127</v>
      </c>
      <c r="Y26" s="1084" t="s">
        <v>127</v>
      </c>
      <c r="Z26" s="1084" t="s">
        <v>127</v>
      </c>
      <c r="AA26" s="1084" t="s">
        <v>127</v>
      </c>
      <c r="AB26" s="1084" t="s">
        <v>127</v>
      </c>
      <c r="AC26" s="1084" t="s">
        <v>127</v>
      </c>
      <c r="AD26" s="1084">
        <v>22.12</v>
      </c>
      <c r="AE26" s="1084" t="s">
        <v>127</v>
      </c>
      <c r="AF26" s="1084" t="s">
        <v>127</v>
      </c>
      <c r="AG26" s="1084">
        <v>17.420000000000002</v>
      </c>
      <c r="AH26" s="39">
        <f t="shared" si="3"/>
        <v>404.00599999999997</v>
      </c>
    </row>
    <row r="27" spans="1:36" s="2261" customFormat="1" ht="15.6" thickBot="1">
      <c r="A27" s="1719" t="s">
        <v>76</v>
      </c>
      <c r="B27" s="1090">
        <f t="shared" si="2"/>
        <v>209.88000000000002</v>
      </c>
      <c r="C27" s="1084">
        <v>72.709999999999994</v>
      </c>
      <c r="D27" s="1084"/>
      <c r="E27" s="2458">
        <v>121.28</v>
      </c>
      <c r="F27" s="1084" t="s">
        <v>110</v>
      </c>
      <c r="G27" s="1084" t="s">
        <v>110</v>
      </c>
      <c r="H27" s="1084" t="s">
        <v>110</v>
      </c>
      <c r="I27" s="1084" t="s">
        <v>110</v>
      </c>
      <c r="J27" s="1084" t="s">
        <v>110</v>
      </c>
      <c r="K27" s="1084" t="s">
        <v>110</v>
      </c>
      <c r="L27" s="1084" t="s">
        <v>110</v>
      </c>
      <c r="M27" s="1084">
        <v>2.8</v>
      </c>
      <c r="N27" s="1084" t="s">
        <v>110</v>
      </c>
      <c r="O27" s="1084" t="s">
        <v>110</v>
      </c>
      <c r="P27" s="1084">
        <v>2</v>
      </c>
      <c r="Q27" s="1084" t="s">
        <v>110</v>
      </c>
      <c r="R27" s="1084" t="s">
        <v>110</v>
      </c>
      <c r="S27" s="1084" t="s">
        <v>110</v>
      </c>
      <c r="T27" s="1084" t="s">
        <v>110</v>
      </c>
      <c r="U27" s="1084" t="s">
        <v>110</v>
      </c>
      <c r="V27" s="1084" t="s">
        <v>110</v>
      </c>
      <c r="W27" s="1084" t="s">
        <v>110</v>
      </c>
      <c r="X27" s="1084">
        <v>3.8</v>
      </c>
      <c r="Y27" s="1084" t="s">
        <v>110</v>
      </c>
      <c r="Z27" s="1084" t="s">
        <v>110</v>
      </c>
      <c r="AA27" s="1084" t="s">
        <v>110</v>
      </c>
      <c r="AB27" s="1084">
        <v>3.01</v>
      </c>
      <c r="AC27" s="1084">
        <v>4.28</v>
      </c>
      <c r="AD27" s="1084" t="s">
        <v>110</v>
      </c>
      <c r="AE27" s="1084" t="s">
        <v>110</v>
      </c>
      <c r="AF27" s="1084" t="s">
        <v>110</v>
      </c>
      <c r="AG27" s="1084" t="s">
        <v>110</v>
      </c>
      <c r="AH27" s="39">
        <f t="shared" si="3"/>
        <v>209.88000000000002</v>
      </c>
      <c r="AI27" s="2421">
        <v>41691</v>
      </c>
    </row>
    <row r="28" spans="1:36" s="2261" customFormat="1" ht="15">
      <c r="A28" s="1719" t="s">
        <v>77</v>
      </c>
      <c r="B28" s="1090">
        <f t="shared" si="2"/>
        <v>344.04699999999997</v>
      </c>
      <c r="C28" s="1084" t="s">
        <v>110</v>
      </c>
      <c r="D28" s="1084" t="s">
        <v>110</v>
      </c>
      <c r="E28" s="1084" t="s">
        <v>110</v>
      </c>
      <c r="F28" s="1084" t="s">
        <v>110</v>
      </c>
      <c r="G28" s="1084" t="s">
        <v>110</v>
      </c>
      <c r="H28" s="1084" t="s">
        <v>110</v>
      </c>
      <c r="I28" s="1084" t="s">
        <v>110</v>
      </c>
      <c r="J28" s="1084" t="s">
        <v>110</v>
      </c>
      <c r="K28" s="1084" t="s">
        <v>110</v>
      </c>
      <c r="L28" s="1084" t="s">
        <v>110</v>
      </c>
      <c r="M28" s="1084" t="s">
        <v>110</v>
      </c>
      <c r="N28" s="1084" t="s">
        <v>110</v>
      </c>
      <c r="O28" s="1084" t="s">
        <v>110</v>
      </c>
      <c r="P28" s="1084" t="s">
        <v>110</v>
      </c>
      <c r="Q28" s="1084" t="s">
        <v>110</v>
      </c>
      <c r="R28" s="15"/>
      <c r="S28" s="15"/>
      <c r="T28" s="15">
        <v>0</v>
      </c>
      <c r="U28" s="15"/>
      <c r="V28" s="15">
        <v>0.66300000000000003</v>
      </c>
      <c r="W28" s="15">
        <v>0.58499999999999996</v>
      </c>
      <c r="X28" s="15">
        <v>33.793999999999997</v>
      </c>
      <c r="Y28" s="15">
        <v>79.846000000000004</v>
      </c>
      <c r="Z28" s="15" t="s">
        <v>127</v>
      </c>
      <c r="AA28" s="15"/>
      <c r="AB28" s="15">
        <v>56.378</v>
      </c>
      <c r="AC28" s="15"/>
      <c r="AD28" s="15">
        <v>121.571</v>
      </c>
      <c r="AE28" s="15"/>
      <c r="AF28" s="15">
        <v>51.21</v>
      </c>
      <c r="AG28" s="15"/>
      <c r="AH28" s="2416">
        <f t="shared" si="3"/>
        <v>344.04699999999997</v>
      </c>
      <c r="AI28" s="2417" t="s">
        <v>817</v>
      </c>
      <c r="AJ28" s="2418"/>
    </row>
    <row r="29" spans="1:36" s="2261" customFormat="1" ht="15.6" thickBot="1">
      <c r="A29" s="1719" t="s">
        <v>78</v>
      </c>
      <c r="B29" s="1090">
        <f t="shared" si="2"/>
        <v>0</v>
      </c>
      <c r="C29" s="3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2416">
        <f t="shared" si="3"/>
        <v>0</v>
      </c>
      <c r="AI29" s="2419">
        <f>+B36+B52+B68+B84+B100+B116+B132+B148+B164</f>
        <v>22333.784</v>
      </c>
      <c r="AJ29" s="2420"/>
    </row>
    <row r="30" spans="1:36" s="2261" customFormat="1" ht="15">
      <c r="A30" s="1054" t="s">
        <v>79</v>
      </c>
      <c r="B30" s="1090">
        <f t="shared" si="2"/>
        <v>210.58199999999994</v>
      </c>
      <c r="C30" s="35"/>
      <c r="D30" s="39">
        <v>38.054000000000002</v>
      </c>
      <c r="E30" s="39"/>
      <c r="F30" s="39"/>
      <c r="G30" s="15">
        <v>87.99</v>
      </c>
      <c r="H30" s="15">
        <v>0.45</v>
      </c>
      <c r="I30" s="15"/>
      <c r="J30" s="43">
        <v>0.90900000000000003</v>
      </c>
      <c r="K30" s="43"/>
      <c r="L30" s="39">
        <v>29.24</v>
      </c>
      <c r="M30" s="39"/>
      <c r="N30" s="39"/>
      <c r="O30" s="39"/>
      <c r="P30" s="39"/>
      <c r="Q30" s="39"/>
      <c r="R30" s="39">
        <v>0.82499999999999996</v>
      </c>
      <c r="S30" s="39">
        <v>0.48</v>
      </c>
      <c r="T30" s="39">
        <v>13.276999999999999</v>
      </c>
      <c r="U30" s="39">
        <v>0.71199999999999997</v>
      </c>
      <c r="V30" s="39"/>
      <c r="W30" s="39">
        <v>0.432</v>
      </c>
      <c r="X30" s="39">
        <v>0.54</v>
      </c>
      <c r="Y30" s="39">
        <v>37.672999999999995</v>
      </c>
      <c r="Z30" s="39"/>
      <c r="AA30" s="39"/>
      <c r="AB30" s="39"/>
      <c r="AC30" s="39"/>
      <c r="AD30" s="39"/>
      <c r="AE30" s="39"/>
      <c r="AF30" s="39"/>
      <c r="AG30" s="39"/>
      <c r="AH30" s="39">
        <f t="shared" si="3"/>
        <v>210.58199999999994</v>
      </c>
    </row>
    <row r="31" spans="1:36" s="2261" customFormat="1" ht="15">
      <c r="A31" s="1054" t="s">
        <v>80</v>
      </c>
      <c r="B31" s="1090">
        <f t="shared" si="2"/>
        <v>7.77</v>
      </c>
      <c r="C31" s="35"/>
      <c r="D31" s="15"/>
      <c r="E31" s="15"/>
      <c r="F31" s="15"/>
      <c r="G31" s="15"/>
      <c r="H31" s="15"/>
      <c r="I31" s="15"/>
      <c r="J31" s="43"/>
      <c r="K31" s="43"/>
      <c r="L31" s="39"/>
      <c r="M31" s="39"/>
      <c r="N31" s="39"/>
      <c r="O31" s="39"/>
      <c r="P31" s="39"/>
      <c r="Q31" s="39"/>
      <c r="R31" s="39"/>
      <c r="S31" s="39"/>
      <c r="T31" s="39"/>
      <c r="U31" s="39"/>
      <c r="V31" s="39"/>
      <c r="W31" s="39"/>
      <c r="X31" s="39"/>
      <c r="Y31" s="39"/>
      <c r="Z31" s="39"/>
      <c r="AA31" s="39">
        <v>2.0499999999999998</v>
      </c>
      <c r="AB31" s="39"/>
      <c r="AC31" s="39"/>
      <c r="AD31" s="39"/>
      <c r="AE31" s="39">
        <v>5.72</v>
      </c>
      <c r="AF31" s="39"/>
      <c r="AG31" s="39"/>
      <c r="AH31" s="39">
        <f t="shared" si="3"/>
        <v>7.77</v>
      </c>
    </row>
    <row r="32" spans="1:36" s="2261" customFormat="1" ht="15">
      <c r="A32" s="1054" t="s">
        <v>81</v>
      </c>
      <c r="B32" s="1090">
        <f t="shared" si="2"/>
        <v>7.07</v>
      </c>
      <c r="C32" s="31"/>
      <c r="D32" s="31"/>
      <c r="E32" s="31"/>
      <c r="F32" s="31"/>
      <c r="G32" s="31"/>
      <c r="H32" s="31"/>
      <c r="I32" s="31"/>
      <c r="J32" s="31"/>
      <c r="K32" s="31"/>
      <c r="L32" s="31"/>
      <c r="M32" s="31"/>
      <c r="N32" s="31">
        <v>1.5</v>
      </c>
      <c r="O32" s="31"/>
      <c r="P32" s="31"/>
      <c r="Q32" s="113"/>
      <c r="R32" s="113"/>
      <c r="S32" s="113"/>
      <c r="T32" s="113"/>
      <c r="U32" s="113"/>
      <c r="V32" s="113"/>
      <c r="W32" s="113"/>
      <c r="X32" s="113">
        <v>0.5</v>
      </c>
      <c r="Y32" s="113"/>
      <c r="Z32" s="113"/>
      <c r="AA32" s="113"/>
      <c r="AB32" s="113">
        <v>5.07</v>
      </c>
      <c r="AC32" s="113" t="s">
        <v>398</v>
      </c>
      <c r="AD32" s="113" t="s">
        <v>398</v>
      </c>
      <c r="AE32" s="113" t="s">
        <v>398</v>
      </c>
      <c r="AF32" s="113" t="s">
        <v>398</v>
      </c>
      <c r="AG32" s="113" t="s">
        <v>398</v>
      </c>
      <c r="AH32" s="39">
        <f t="shared" si="3"/>
        <v>7.07</v>
      </c>
    </row>
    <row r="33" spans="1:36" s="2261" customFormat="1" ht="15">
      <c r="A33" s="1054" t="s">
        <v>82</v>
      </c>
      <c r="B33" s="24">
        <f t="shared" si="2"/>
        <v>0</v>
      </c>
      <c r="C33" s="113" t="s">
        <v>110</v>
      </c>
      <c r="D33" s="1718" t="s">
        <v>110</v>
      </c>
      <c r="E33" s="113" t="s">
        <v>110</v>
      </c>
      <c r="F33" s="113" t="s">
        <v>110</v>
      </c>
      <c r="G33" s="113" t="s">
        <v>110</v>
      </c>
      <c r="H33" s="113" t="s">
        <v>110</v>
      </c>
      <c r="I33" s="113" t="s">
        <v>110</v>
      </c>
      <c r="J33" s="113" t="s">
        <v>110</v>
      </c>
      <c r="K33" s="113" t="s">
        <v>110</v>
      </c>
      <c r="L33" s="113" t="s">
        <v>110</v>
      </c>
      <c r="M33" s="113" t="s">
        <v>110</v>
      </c>
      <c r="N33" s="113" t="s">
        <v>110</v>
      </c>
      <c r="O33" s="113" t="s">
        <v>110</v>
      </c>
      <c r="P33" s="113" t="s">
        <v>110</v>
      </c>
      <c r="Q33" s="113" t="s">
        <v>110</v>
      </c>
      <c r="R33" s="113" t="s">
        <v>110</v>
      </c>
      <c r="S33" s="113" t="s">
        <v>110</v>
      </c>
      <c r="T33" s="113" t="s">
        <v>110</v>
      </c>
      <c r="U33" s="113" t="s">
        <v>110</v>
      </c>
      <c r="V33" s="113" t="s">
        <v>110</v>
      </c>
      <c r="W33" s="113" t="s">
        <v>110</v>
      </c>
      <c r="X33" s="113" t="s">
        <v>110</v>
      </c>
      <c r="Y33" s="113" t="s">
        <v>110</v>
      </c>
      <c r="Z33" s="113" t="s">
        <v>110</v>
      </c>
      <c r="AA33" s="113" t="s">
        <v>110</v>
      </c>
      <c r="AB33" s="113" t="s">
        <v>110</v>
      </c>
      <c r="AC33" s="113" t="s">
        <v>110</v>
      </c>
      <c r="AD33" s="113" t="s">
        <v>110</v>
      </c>
      <c r="AE33" s="113" t="s">
        <v>110</v>
      </c>
      <c r="AF33" s="113" t="s">
        <v>110</v>
      </c>
      <c r="AG33" s="113" t="s">
        <v>110</v>
      </c>
      <c r="AH33" s="39">
        <f t="shared" si="3"/>
        <v>0</v>
      </c>
    </row>
    <row r="34" spans="1:36" s="2261" customFormat="1" ht="15">
      <c r="A34" s="1054" t="s">
        <v>83</v>
      </c>
      <c r="B34" s="24">
        <f t="shared" si="2"/>
        <v>435.06900000000002</v>
      </c>
      <c r="C34" s="113"/>
      <c r="D34" s="1718"/>
      <c r="E34" s="113"/>
      <c r="F34" s="113"/>
      <c r="G34" s="113"/>
      <c r="H34" s="113"/>
      <c r="I34" s="113"/>
      <c r="J34" s="113"/>
      <c r="K34" s="113"/>
      <c r="L34" s="113"/>
      <c r="M34" s="113"/>
      <c r="N34" s="113"/>
      <c r="O34" s="113"/>
      <c r="P34" s="113"/>
      <c r="Q34" s="113">
        <v>5.5</v>
      </c>
      <c r="R34" s="34"/>
      <c r="S34" s="34">
        <v>36.35</v>
      </c>
      <c r="T34" s="34">
        <v>19.288</v>
      </c>
      <c r="U34" s="34">
        <v>7.9169999999999998</v>
      </c>
      <c r="V34" s="34">
        <v>67.522999999999996</v>
      </c>
      <c r="W34" s="34">
        <v>75.674000000000007</v>
      </c>
      <c r="X34" s="34">
        <v>62.441000000000003</v>
      </c>
      <c r="Y34" s="34"/>
      <c r="Z34" s="34">
        <v>20</v>
      </c>
      <c r="AA34" s="34">
        <v>19.968</v>
      </c>
      <c r="AB34" s="34">
        <v>42.438000000000002</v>
      </c>
      <c r="AC34" s="34">
        <v>32.78</v>
      </c>
      <c r="AD34" s="34">
        <v>8.26</v>
      </c>
      <c r="AE34" s="34">
        <v>36.93</v>
      </c>
      <c r="AF34" s="34"/>
      <c r="AG34" s="31"/>
      <c r="AH34" s="39">
        <f t="shared" si="3"/>
        <v>435.06900000000002</v>
      </c>
    </row>
    <row r="35" spans="1:36" s="2261" customFormat="1" ht="15">
      <c r="A35" s="1054" t="s">
        <v>84</v>
      </c>
      <c r="B35" s="24">
        <f t="shared" si="2"/>
        <v>289.02800000000002</v>
      </c>
      <c r="C35" s="35"/>
      <c r="D35" s="15">
        <v>7.87</v>
      </c>
      <c r="E35" s="15"/>
      <c r="F35" s="15"/>
      <c r="G35" s="15"/>
      <c r="H35" s="15"/>
      <c r="I35" s="15"/>
      <c r="J35" s="15"/>
      <c r="K35" s="15"/>
      <c r="L35" s="15"/>
      <c r="M35" s="15"/>
      <c r="N35" s="15"/>
      <c r="O35" s="15"/>
      <c r="P35" s="15"/>
      <c r="Q35" s="15">
        <v>70.099000000000004</v>
      </c>
      <c r="R35" s="15">
        <v>112.249</v>
      </c>
      <c r="S35" s="15"/>
      <c r="T35" s="15"/>
      <c r="U35" s="15"/>
      <c r="V35" s="15"/>
      <c r="W35" s="15"/>
      <c r="X35" s="15"/>
      <c r="Y35" s="15"/>
      <c r="Z35" s="15"/>
      <c r="AA35" s="15"/>
      <c r="AB35" s="15"/>
      <c r="AC35" s="15">
        <v>98.81</v>
      </c>
      <c r="AD35" s="15"/>
      <c r="AE35" s="39"/>
      <c r="AF35" s="15"/>
      <c r="AG35" s="39"/>
      <c r="AH35" s="39">
        <f t="shared" si="3"/>
        <v>289.02800000000002</v>
      </c>
    </row>
    <row r="36" spans="1:36" s="2261" customFormat="1" ht="15">
      <c r="A36" s="71" t="s">
        <v>72</v>
      </c>
      <c r="B36" s="74">
        <f>SUM(B24:B35)</f>
        <v>2339.1819999999998</v>
      </c>
      <c r="C36" s="32">
        <f>SUM(C24:C34)</f>
        <v>101.899</v>
      </c>
      <c r="D36" s="39">
        <f>SUM(D24:D34)</f>
        <v>38.054000000000002</v>
      </c>
      <c r="E36" s="39">
        <v>0</v>
      </c>
      <c r="F36" s="39">
        <f t="shared" ref="F36:AC36" si="4">SUM(F24:F34)</f>
        <v>47.38</v>
      </c>
      <c r="G36" s="39">
        <f t="shared" si="4"/>
        <v>189.34199999999998</v>
      </c>
      <c r="H36" s="39">
        <f t="shared" si="4"/>
        <v>92.9</v>
      </c>
      <c r="I36" s="39">
        <f t="shared" si="4"/>
        <v>0</v>
      </c>
      <c r="J36" s="39">
        <f t="shared" si="4"/>
        <v>0.90900000000000003</v>
      </c>
      <c r="K36" s="39">
        <f t="shared" si="4"/>
        <v>0</v>
      </c>
      <c r="L36" s="39">
        <f t="shared" si="4"/>
        <v>29.24</v>
      </c>
      <c r="M36" s="39">
        <f t="shared" si="4"/>
        <v>128.06700000000001</v>
      </c>
      <c r="N36" s="39">
        <f t="shared" si="4"/>
        <v>114.267</v>
      </c>
      <c r="O36" s="39">
        <f t="shared" si="4"/>
        <v>10.86</v>
      </c>
      <c r="P36" s="39">
        <f t="shared" si="4"/>
        <v>2</v>
      </c>
      <c r="Q36" s="39">
        <f t="shared" si="4"/>
        <v>87.02</v>
      </c>
      <c r="R36" s="39">
        <f t="shared" si="4"/>
        <v>0.82499999999999996</v>
      </c>
      <c r="S36" s="39">
        <f t="shared" si="4"/>
        <v>36.83</v>
      </c>
      <c r="T36" s="39">
        <f t="shared" si="4"/>
        <v>43.394999999999996</v>
      </c>
      <c r="U36" s="39">
        <f t="shared" si="4"/>
        <v>8.6289999999999996</v>
      </c>
      <c r="V36" s="39">
        <f t="shared" si="4"/>
        <v>68.185999999999993</v>
      </c>
      <c r="W36" s="39">
        <f t="shared" si="4"/>
        <v>76.691000000000003</v>
      </c>
      <c r="X36" s="39">
        <f t="shared" si="4"/>
        <v>101.07499999999999</v>
      </c>
      <c r="Y36" s="39">
        <f t="shared" si="4"/>
        <v>117.51900000000001</v>
      </c>
      <c r="Z36" s="39">
        <f t="shared" si="4"/>
        <v>46.46</v>
      </c>
      <c r="AA36" s="39">
        <f t="shared" si="4"/>
        <v>22.018000000000001</v>
      </c>
      <c r="AB36" s="39">
        <f t="shared" si="4"/>
        <v>139.15600000000001</v>
      </c>
      <c r="AC36" s="39">
        <f t="shared" si="4"/>
        <v>92.02</v>
      </c>
      <c r="AD36" s="39">
        <v>0</v>
      </c>
      <c r="AE36" s="39">
        <f>SUM(AE24:AE34)</f>
        <v>45.76</v>
      </c>
      <c r="AF36" s="39">
        <f>SUM(AF24:AF34)</f>
        <v>64.253</v>
      </c>
      <c r="AG36" s="39">
        <f>SUM(AG24:AG34)</f>
        <v>17.420000000000002</v>
      </c>
      <c r="AH36" s="32">
        <f>SUM(AH24:AH35)</f>
        <v>2339.1819999999998</v>
      </c>
    </row>
    <row r="37" spans="1:36" ht="15">
      <c r="A37" s="36"/>
      <c r="B37" s="58"/>
      <c r="C37" s="36"/>
      <c r="D37" s="36"/>
      <c r="E37" s="36"/>
      <c r="F37" s="36"/>
      <c r="G37" s="36"/>
      <c r="H37" s="36"/>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row>
    <row r="38" spans="1:36" ht="15">
      <c r="A38" s="3821" t="s">
        <v>60</v>
      </c>
      <c r="B38" s="3822"/>
      <c r="C38" s="3822"/>
      <c r="D38" s="3822"/>
      <c r="E38" s="3822"/>
      <c r="F38" s="3822"/>
      <c r="G38" s="3822"/>
      <c r="H38" s="3823"/>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row>
    <row r="39" spans="1:36" ht="15">
      <c r="A39" s="5" t="s">
        <v>89</v>
      </c>
      <c r="B39" s="56" t="s">
        <v>71</v>
      </c>
      <c r="C39" s="1054">
        <v>1</v>
      </c>
      <c r="D39" s="21">
        <v>2</v>
      </c>
      <c r="E39" s="21">
        <v>3</v>
      </c>
      <c r="F39" s="21">
        <v>4</v>
      </c>
      <c r="G39" s="21">
        <v>5</v>
      </c>
      <c r="H39" s="21">
        <v>6</v>
      </c>
      <c r="I39" s="21">
        <v>7</v>
      </c>
      <c r="J39" s="21">
        <v>8</v>
      </c>
      <c r="K39" s="21">
        <v>9</v>
      </c>
      <c r="L39" s="21">
        <v>10</v>
      </c>
      <c r="M39" s="21">
        <v>11</v>
      </c>
      <c r="N39" s="21">
        <v>12</v>
      </c>
      <c r="O39" s="21">
        <v>13</v>
      </c>
      <c r="P39" s="21">
        <v>14</v>
      </c>
      <c r="Q39" s="21">
        <v>15</v>
      </c>
      <c r="R39" s="21">
        <v>16</v>
      </c>
      <c r="S39" s="21">
        <v>17</v>
      </c>
      <c r="T39" s="21">
        <v>18</v>
      </c>
      <c r="U39" s="21">
        <v>19</v>
      </c>
      <c r="V39" s="21">
        <v>20</v>
      </c>
      <c r="W39" s="21">
        <v>21</v>
      </c>
      <c r="X39" s="21">
        <v>22</v>
      </c>
      <c r="Y39" s="21">
        <v>23</v>
      </c>
      <c r="Z39" s="21">
        <v>24</v>
      </c>
      <c r="AA39" s="21">
        <v>25</v>
      </c>
      <c r="AB39" s="21">
        <v>26</v>
      </c>
      <c r="AC39" s="21">
        <v>27</v>
      </c>
      <c r="AD39" s="21">
        <v>28</v>
      </c>
      <c r="AE39" s="21">
        <v>29</v>
      </c>
      <c r="AF39" s="21">
        <v>30</v>
      </c>
      <c r="AG39" s="21">
        <v>31</v>
      </c>
      <c r="AH39" s="25" t="s">
        <v>72</v>
      </c>
      <c r="AI39" s="2266" t="s">
        <v>1345</v>
      </c>
      <c r="AJ39" s="66">
        <f>(B52/COUNTIF($C$40:$AG$51,"&gt;0"))</f>
        <v>35.4465</v>
      </c>
    </row>
    <row r="40" spans="1:36" ht="15">
      <c r="A40" s="1719" t="s">
        <v>73</v>
      </c>
      <c r="B40" s="1090">
        <f t="shared" ref="B40:B51" si="5">+AH40</f>
        <v>0</v>
      </c>
      <c r="C40" s="35"/>
      <c r="D40" s="15"/>
      <c r="E40" s="15"/>
      <c r="F40" s="15"/>
      <c r="G40" s="15"/>
      <c r="H40" s="15"/>
      <c r="I40" s="15"/>
      <c r="J40" s="15"/>
      <c r="K40" s="15"/>
      <c r="L40" s="15"/>
      <c r="M40" s="15"/>
      <c r="N40" s="15"/>
      <c r="O40" s="15"/>
      <c r="P40" s="15"/>
      <c r="Q40" s="52"/>
      <c r="R40" s="52"/>
      <c r="S40" s="52"/>
      <c r="T40" s="52"/>
      <c r="U40" s="52"/>
      <c r="V40" s="52"/>
      <c r="W40" s="52"/>
      <c r="X40" s="52"/>
      <c r="Y40" s="52"/>
      <c r="Z40" s="52"/>
      <c r="AA40" s="52"/>
      <c r="AB40" s="52"/>
      <c r="AC40" s="52"/>
      <c r="AD40" s="2356"/>
      <c r="AE40" s="2356"/>
      <c r="AF40" s="2356"/>
      <c r="AG40" s="52"/>
      <c r="AH40" s="39">
        <f>SUM(C40:AG40)</f>
        <v>0</v>
      </c>
      <c r="AJ40">
        <f>+'Resumen RAE S. Austral'!G17</f>
        <v>6.7489999999999952</v>
      </c>
    </row>
    <row r="41" spans="1:36" ht="15">
      <c r="A41" s="1719" t="s">
        <v>74</v>
      </c>
      <c r="B41" s="1090">
        <f t="shared" si="5"/>
        <v>0</v>
      </c>
      <c r="C41" s="3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39">
        <f t="shared" ref="AH41:AH51" si="6">SUM(C41:AG41)</f>
        <v>0</v>
      </c>
      <c r="AJ41" s="1093">
        <f>+AJ40/AJ39</f>
        <v>0.19039961632319116</v>
      </c>
    </row>
    <row r="42" spans="1:36" ht="15">
      <c r="A42" s="1719" t="s">
        <v>75</v>
      </c>
      <c r="B42" s="1090">
        <f t="shared" si="5"/>
        <v>0</v>
      </c>
      <c r="C42" s="35"/>
      <c r="D42" s="15"/>
      <c r="E42" s="15"/>
      <c r="F42" s="15"/>
      <c r="G42" s="15"/>
      <c r="H42" s="15"/>
      <c r="I42" s="15"/>
      <c r="J42" s="15"/>
      <c r="K42" s="15"/>
      <c r="L42" s="15"/>
      <c r="M42" s="15"/>
      <c r="N42" s="15"/>
      <c r="O42" s="15"/>
      <c r="P42" s="15"/>
      <c r="Q42" s="1084"/>
      <c r="R42" s="1084"/>
      <c r="S42" s="1084"/>
      <c r="T42" s="1084"/>
      <c r="U42" s="1084"/>
      <c r="V42" s="1084"/>
      <c r="W42" s="1084"/>
      <c r="X42" s="1084"/>
      <c r="Y42" s="1084"/>
      <c r="Z42" s="1084"/>
      <c r="AA42" s="1084"/>
      <c r="AB42" s="1084"/>
      <c r="AC42" s="1084"/>
      <c r="AD42" s="1084"/>
      <c r="AE42" s="1084"/>
      <c r="AF42" s="1084"/>
      <c r="AG42" s="1084"/>
      <c r="AH42" s="39">
        <f t="shared" si="6"/>
        <v>0</v>
      </c>
    </row>
    <row r="43" spans="1:36" ht="15">
      <c r="A43" s="1719" t="s">
        <v>76</v>
      </c>
      <c r="B43" s="1090">
        <f t="shared" si="5"/>
        <v>0</v>
      </c>
      <c r="C43" s="1084"/>
      <c r="D43" s="1084"/>
      <c r="E43" s="1084"/>
      <c r="F43" s="1084"/>
      <c r="G43" s="1084"/>
      <c r="H43" s="1084"/>
      <c r="I43" s="1084"/>
      <c r="J43" s="1084"/>
      <c r="K43" s="1084"/>
      <c r="L43" s="1084"/>
      <c r="M43" s="1084"/>
      <c r="N43" s="2169"/>
      <c r="O43" s="2169"/>
      <c r="P43" s="2169"/>
      <c r="Q43" s="2169"/>
      <c r="R43" s="1084"/>
      <c r="S43" s="1084"/>
      <c r="T43" s="1084"/>
      <c r="U43" s="1084"/>
      <c r="V43" s="1084"/>
      <c r="W43" s="1084"/>
      <c r="X43" s="1084"/>
      <c r="Y43" s="1084"/>
      <c r="Z43" s="1084"/>
      <c r="AA43" s="1084"/>
      <c r="AB43" s="1084"/>
      <c r="AC43" s="1084"/>
      <c r="AD43" s="1084"/>
      <c r="AE43" s="1084"/>
      <c r="AF43" s="1084" t="s">
        <v>110</v>
      </c>
      <c r="AG43" s="1084" t="s">
        <v>110</v>
      </c>
      <c r="AH43" s="39">
        <f t="shared" si="6"/>
        <v>0</v>
      </c>
    </row>
    <row r="44" spans="1:36" ht="15">
      <c r="A44" s="1719" t="s">
        <v>77</v>
      </c>
      <c r="B44" s="1090">
        <f t="shared" si="5"/>
        <v>130.334</v>
      </c>
      <c r="C44" s="1084" t="s">
        <v>110</v>
      </c>
      <c r="D44" s="1084" t="s">
        <v>110</v>
      </c>
      <c r="E44" s="1084" t="s">
        <v>110</v>
      </c>
      <c r="F44" s="1084" t="s">
        <v>110</v>
      </c>
      <c r="G44" s="1084" t="s">
        <v>110</v>
      </c>
      <c r="H44" s="1084" t="s">
        <v>110</v>
      </c>
      <c r="I44" s="1084" t="s">
        <v>110</v>
      </c>
      <c r="J44" s="1084" t="s">
        <v>110</v>
      </c>
      <c r="K44" s="1084" t="s">
        <v>110</v>
      </c>
      <c r="L44" s="1084" t="s">
        <v>110</v>
      </c>
      <c r="M44" s="1084" t="s">
        <v>110</v>
      </c>
      <c r="N44" s="1084" t="s">
        <v>110</v>
      </c>
      <c r="O44" s="1084" t="s">
        <v>110</v>
      </c>
      <c r="P44" s="1084" t="s">
        <v>110</v>
      </c>
      <c r="Q44" s="1084" t="s">
        <v>110</v>
      </c>
      <c r="R44" s="15"/>
      <c r="S44" s="15"/>
      <c r="T44" s="15"/>
      <c r="U44" s="15"/>
      <c r="V44" s="15"/>
      <c r="W44" s="15"/>
      <c r="X44" s="15"/>
      <c r="Y44" s="15">
        <v>34.725999999999999</v>
      </c>
      <c r="Z44" s="15">
        <v>19.48</v>
      </c>
      <c r="AA44" s="15"/>
      <c r="AB44" s="15">
        <v>42.8</v>
      </c>
      <c r="AC44" s="15">
        <v>11.27</v>
      </c>
      <c r="AD44" s="15">
        <v>22.058</v>
      </c>
      <c r="AE44" s="15"/>
      <c r="AF44" s="15"/>
      <c r="AG44" s="15"/>
      <c r="AH44" s="39">
        <f t="shared" si="6"/>
        <v>130.334</v>
      </c>
    </row>
    <row r="45" spans="1:36" ht="15">
      <c r="A45" s="1719" t="s">
        <v>78</v>
      </c>
      <c r="B45" s="1090">
        <f t="shared" si="5"/>
        <v>192.70499999999998</v>
      </c>
      <c r="C45" s="35"/>
      <c r="D45" s="15"/>
      <c r="E45" s="15">
        <v>20.875</v>
      </c>
      <c r="F45" s="15"/>
      <c r="G45" s="15"/>
      <c r="H45" s="15"/>
      <c r="I45" s="15"/>
      <c r="J45" s="15"/>
      <c r="K45" s="15"/>
      <c r="L45" s="15"/>
      <c r="M45" s="15"/>
      <c r="N45" s="15"/>
      <c r="O45" s="15">
        <v>42.12</v>
      </c>
      <c r="P45" s="15"/>
      <c r="Q45" s="15">
        <v>0</v>
      </c>
      <c r="R45" s="15">
        <v>50.91</v>
      </c>
      <c r="S45" s="15">
        <v>32.799999999999997</v>
      </c>
      <c r="T45" s="15">
        <v>46</v>
      </c>
      <c r="U45" s="15"/>
      <c r="V45" s="15"/>
      <c r="W45" s="15"/>
      <c r="X45" s="15"/>
      <c r="Y45" s="15"/>
      <c r="Z45" s="15"/>
      <c r="AA45" s="15"/>
      <c r="AB45" s="15"/>
      <c r="AC45" s="15"/>
      <c r="AD45" s="15"/>
      <c r="AE45" s="15"/>
      <c r="AF45" s="15"/>
      <c r="AG45" s="15"/>
      <c r="AH45" s="39">
        <f t="shared" si="6"/>
        <v>192.70499999999998</v>
      </c>
    </row>
    <row r="46" spans="1:36" ht="15">
      <c r="A46" s="1054" t="s">
        <v>79</v>
      </c>
      <c r="B46" s="1090">
        <f t="shared" si="5"/>
        <v>0</v>
      </c>
      <c r="C46" s="35"/>
      <c r="D46" s="39"/>
      <c r="E46" s="39"/>
      <c r="F46" s="39"/>
      <c r="G46" s="15"/>
      <c r="H46" s="15"/>
      <c r="I46" s="15"/>
      <c r="J46" s="43"/>
      <c r="K46" s="43"/>
      <c r="L46" s="39"/>
      <c r="M46" s="39"/>
      <c r="N46" s="39"/>
      <c r="O46" s="39"/>
      <c r="P46" s="39"/>
      <c r="Q46" s="39"/>
      <c r="R46" s="39"/>
      <c r="S46" s="39"/>
      <c r="T46" s="39"/>
      <c r="U46" s="39"/>
      <c r="V46" s="39"/>
      <c r="W46" s="39"/>
      <c r="X46" s="39"/>
      <c r="Y46" s="39"/>
      <c r="Z46" s="39"/>
      <c r="AA46" s="39"/>
      <c r="AB46" s="39"/>
      <c r="AC46" s="39"/>
      <c r="AD46" s="39"/>
      <c r="AE46" s="39"/>
      <c r="AF46" s="39"/>
      <c r="AG46" s="39"/>
      <c r="AH46" s="39">
        <f t="shared" si="6"/>
        <v>0</v>
      </c>
    </row>
    <row r="47" spans="1:36" ht="15">
      <c r="A47" s="1054" t="s">
        <v>80</v>
      </c>
      <c r="B47" s="1090">
        <f t="shared" si="5"/>
        <v>0</v>
      </c>
      <c r="C47" s="35"/>
      <c r="D47" s="15"/>
      <c r="E47" s="15"/>
      <c r="F47" s="15"/>
      <c r="G47" s="15"/>
      <c r="H47" s="15"/>
      <c r="I47" s="15"/>
      <c r="J47" s="43"/>
      <c r="K47" s="43"/>
      <c r="L47" s="39"/>
      <c r="M47" s="39"/>
      <c r="N47" s="39"/>
      <c r="O47" s="39"/>
      <c r="P47" s="39"/>
      <c r="Q47" s="39"/>
      <c r="R47" s="39"/>
      <c r="S47" s="39"/>
      <c r="T47" s="39"/>
      <c r="U47" s="39"/>
      <c r="V47" s="39"/>
      <c r="W47" s="39"/>
      <c r="X47" s="39"/>
      <c r="Y47" s="39"/>
      <c r="Z47" s="39"/>
      <c r="AA47" s="39"/>
      <c r="AB47" s="39"/>
      <c r="AC47" s="39"/>
      <c r="AD47" s="39"/>
      <c r="AE47" s="39"/>
      <c r="AF47" s="39"/>
      <c r="AG47" s="39"/>
      <c r="AH47" s="39">
        <f t="shared" si="6"/>
        <v>0</v>
      </c>
    </row>
    <row r="48" spans="1:36" ht="15">
      <c r="A48" s="1054" t="s">
        <v>81</v>
      </c>
      <c r="B48" s="1090">
        <f t="shared" si="5"/>
        <v>0</v>
      </c>
      <c r="C48" s="31"/>
      <c r="D48" s="31"/>
      <c r="E48" s="31"/>
      <c r="F48" s="31"/>
      <c r="G48" s="31"/>
      <c r="H48" s="31"/>
      <c r="I48" s="31"/>
      <c r="J48" s="31"/>
      <c r="K48" s="31"/>
      <c r="L48" s="31"/>
      <c r="M48" s="31"/>
      <c r="N48" s="31"/>
      <c r="O48" s="31"/>
      <c r="P48" s="31"/>
      <c r="Q48" s="113" t="s">
        <v>398</v>
      </c>
      <c r="R48" s="113" t="s">
        <v>398</v>
      </c>
      <c r="S48" s="113" t="s">
        <v>398</v>
      </c>
      <c r="T48" s="113" t="s">
        <v>398</v>
      </c>
      <c r="U48" s="113" t="s">
        <v>398</v>
      </c>
      <c r="V48" s="113" t="s">
        <v>398</v>
      </c>
      <c r="W48" s="113" t="s">
        <v>398</v>
      </c>
      <c r="X48" s="113" t="s">
        <v>398</v>
      </c>
      <c r="Y48" s="113" t="s">
        <v>398</v>
      </c>
      <c r="Z48" s="113" t="s">
        <v>398</v>
      </c>
      <c r="AA48" s="113" t="s">
        <v>398</v>
      </c>
      <c r="AB48" s="113" t="s">
        <v>398</v>
      </c>
      <c r="AC48" s="113" t="s">
        <v>398</v>
      </c>
      <c r="AD48" s="113" t="s">
        <v>398</v>
      </c>
      <c r="AE48" s="113" t="s">
        <v>398</v>
      </c>
      <c r="AF48" s="113" t="s">
        <v>398</v>
      </c>
      <c r="AG48" s="113" t="s">
        <v>398</v>
      </c>
      <c r="AH48" s="39">
        <f t="shared" si="6"/>
        <v>0</v>
      </c>
    </row>
    <row r="49" spans="1:36" ht="15">
      <c r="A49" s="1054" t="s">
        <v>82</v>
      </c>
      <c r="B49" s="24">
        <f t="shared" si="5"/>
        <v>0</v>
      </c>
      <c r="C49" s="113" t="s">
        <v>110</v>
      </c>
      <c r="D49" s="1718" t="s">
        <v>110</v>
      </c>
      <c r="E49" s="113" t="s">
        <v>110</v>
      </c>
      <c r="F49" s="113" t="s">
        <v>110</v>
      </c>
      <c r="G49" s="113" t="s">
        <v>110</v>
      </c>
      <c r="H49" s="113" t="s">
        <v>110</v>
      </c>
      <c r="I49" s="113" t="s">
        <v>110</v>
      </c>
      <c r="J49" s="113" t="s">
        <v>110</v>
      </c>
      <c r="K49" s="113" t="s">
        <v>110</v>
      </c>
      <c r="L49" s="113" t="s">
        <v>110</v>
      </c>
      <c r="M49" s="113" t="s">
        <v>110</v>
      </c>
      <c r="N49" s="113" t="s">
        <v>110</v>
      </c>
      <c r="O49" s="113" t="s">
        <v>110</v>
      </c>
      <c r="P49" s="113" t="s">
        <v>110</v>
      </c>
      <c r="Q49" s="113" t="s">
        <v>110</v>
      </c>
      <c r="R49" s="113" t="s">
        <v>110</v>
      </c>
      <c r="S49" s="113" t="s">
        <v>110</v>
      </c>
      <c r="T49" s="113" t="s">
        <v>110</v>
      </c>
      <c r="U49" s="113" t="s">
        <v>110</v>
      </c>
      <c r="V49" s="113" t="s">
        <v>110</v>
      </c>
      <c r="W49" s="113" t="s">
        <v>110</v>
      </c>
      <c r="X49" s="113" t="s">
        <v>110</v>
      </c>
      <c r="Y49" s="113" t="s">
        <v>110</v>
      </c>
      <c r="Z49" s="113" t="s">
        <v>110</v>
      </c>
      <c r="AA49" s="113" t="s">
        <v>110</v>
      </c>
      <c r="AB49" s="113" t="s">
        <v>110</v>
      </c>
      <c r="AC49" s="113" t="s">
        <v>110</v>
      </c>
      <c r="AD49" s="113" t="s">
        <v>110</v>
      </c>
      <c r="AE49" s="113" t="s">
        <v>110</v>
      </c>
      <c r="AF49" s="113" t="s">
        <v>110</v>
      </c>
      <c r="AG49" s="113" t="s">
        <v>110</v>
      </c>
      <c r="AH49" s="39">
        <f t="shared" si="6"/>
        <v>0</v>
      </c>
    </row>
    <row r="50" spans="1:36" ht="15">
      <c r="A50" s="1054" t="s">
        <v>83</v>
      </c>
      <c r="B50" s="24">
        <f t="shared" si="5"/>
        <v>0</v>
      </c>
      <c r="C50" s="113" t="s">
        <v>110</v>
      </c>
      <c r="D50" s="1718" t="s">
        <v>110</v>
      </c>
      <c r="E50" s="113" t="s">
        <v>110</v>
      </c>
      <c r="F50" s="113" t="s">
        <v>110</v>
      </c>
      <c r="G50" s="113" t="s">
        <v>110</v>
      </c>
      <c r="H50" s="113" t="s">
        <v>110</v>
      </c>
      <c r="I50" s="113" t="s">
        <v>110</v>
      </c>
      <c r="J50" s="113" t="s">
        <v>110</v>
      </c>
      <c r="K50" s="113" t="s">
        <v>110</v>
      </c>
      <c r="L50" s="113" t="s">
        <v>110</v>
      </c>
      <c r="M50" s="113" t="s">
        <v>110</v>
      </c>
      <c r="N50" s="113" t="s">
        <v>110</v>
      </c>
      <c r="O50" s="113" t="s">
        <v>110</v>
      </c>
      <c r="P50" s="113" t="s">
        <v>110</v>
      </c>
      <c r="Q50" s="113" t="s">
        <v>110</v>
      </c>
      <c r="R50" s="34"/>
      <c r="S50" s="34"/>
      <c r="T50" s="34"/>
      <c r="U50" s="34"/>
      <c r="V50" s="34"/>
      <c r="W50" s="34"/>
      <c r="X50" s="34"/>
      <c r="Y50" s="34"/>
      <c r="Z50" s="34"/>
      <c r="AA50" s="34"/>
      <c r="AB50" s="34"/>
      <c r="AC50" s="34"/>
      <c r="AD50" s="34"/>
      <c r="AE50" s="34"/>
      <c r="AF50" s="34"/>
      <c r="AG50" s="31"/>
      <c r="AH50" s="39">
        <f t="shared" si="6"/>
        <v>0</v>
      </c>
    </row>
    <row r="51" spans="1:36" ht="15">
      <c r="A51" s="1054" t="s">
        <v>84</v>
      </c>
      <c r="B51" s="24">
        <f t="shared" si="5"/>
        <v>173.21200000000002</v>
      </c>
      <c r="C51" s="35"/>
      <c r="D51" s="15"/>
      <c r="E51" s="15"/>
      <c r="F51" s="15"/>
      <c r="G51" s="15"/>
      <c r="H51" s="15"/>
      <c r="I51" s="15"/>
      <c r="J51" s="15"/>
      <c r="K51" s="15"/>
      <c r="L51" s="15"/>
      <c r="M51" s="15"/>
      <c r="N51" s="15"/>
      <c r="O51" s="15"/>
      <c r="P51" s="15"/>
      <c r="Q51" s="15"/>
      <c r="R51" s="15"/>
      <c r="S51" s="15"/>
      <c r="T51" s="15"/>
      <c r="U51" s="15"/>
      <c r="V51" s="15">
        <v>54.31</v>
      </c>
      <c r="W51" s="15"/>
      <c r="X51" s="15">
        <v>49.36</v>
      </c>
      <c r="Y51" s="15">
        <v>40.35</v>
      </c>
      <c r="Z51" s="15"/>
      <c r="AA51" s="15"/>
      <c r="AB51" s="15"/>
      <c r="AC51" s="15">
        <v>29.192</v>
      </c>
      <c r="AD51" s="15"/>
      <c r="AE51" s="39"/>
      <c r="AF51" s="15"/>
      <c r="AG51" s="39"/>
      <c r="AH51" s="39">
        <f t="shared" si="6"/>
        <v>173.21200000000002</v>
      </c>
    </row>
    <row r="52" spans="1:36" ht="15">
      <c r="A52" s="71" t="s">
        <v>72</v>
      </c>
      <c r="B52" s="74">
        <f>SUM(B40:B51)</f>
        <v>496.25099999999998</v>
      </c>
      <c r="C52" s="32">
        <f>SUM(C40:C50)</f>
        <v>0</v>
      </c>
      <c r="D52" s="39">
        <f>SUM(D40:D50)</f>
        <v>0</v>
      </c>
      <c r="E52" s="39">
        <v>0</v>
      </c>
      <c r="F52" s="39">
        <f t="shared" ref="F52:AC52" si="7">SUM(F40:F50)</f>
        <v>0</v>
      </c>
      <c r="G52" s="39">
        <f t="shared" si="7"/>
        <v>0</v>
      </c>
      <c r="H52" s="39">
        <f t="shared" si="7"/>
        <v>0</v>
      </c>
      <c r="I52" s="39">
        <f t="shared" si="7"/>
        <v>0</v>
      </c>
      <c r="J52" s="39">
        <f t="shared" si="7"/>
        <v>0</v>
      </c>
      <c r="K52" s="39">
        <f t="shared" si="7"/>
        <v>0</v>
      </c>
      <c r="L52" s="39">
        <f t="shared" si="7"/>
        <v>0</v>
      </c>
      <c r="M52" s="39">
        <f t="shared" si="7"/>
        <v>0</v>
      </c>
      <c r="N52" s="39">
        <f t="shared" si="7"/>
        <v>0</v>
      </c>
      <c r="O52" s="39">
        <f t="shared" si="7"/>
        <v>42.12</v>
      </c>
      <c r="P52" s="39">
        <f t="shared" si="7"/>
        <v>0</v>
      </c>
      <c r="Q52" s="39">
        <f t="shared" si="7"/>
        <v>0</v>
      </c>
      <c r="R52" s="39">
        <f t="shared" si="7"/>
        <v>50.91</v>
      </c>
      <c r="S52" s="39">
        <f t="shared" si="7"/>
        <v>32.799999999999997</v>
      </c>
      <c r="T52" s="39">
        <f t="shared" si="7"/>
        <v>46</v>
      </c>
      <c r="U52" s="39">
        <f t="shared" si="7"/>
        <v>0</v>
      </c>
      <c r="V52" s="39">
        <f t="shared" si="7"/>
        <v>0</v>
      </c>
      <c r="W52" s="39">
        <f t="shared" si="7"/>
        <v>0</v>
      </c>
      <c r="X52" s="39">
        <f t="shared" si="7"/>
        <v>0</v>
      </c>
      <c r="Y52" s="39">
        <f t="shared" si="7"/>
        <v>34.725999999999999</v>
      </c>
      <c r="Z52" s="39">
        <f t="shared" si="7"/>
        <v>19.48</v>
      </c>
      <c r="AA52" s="39">
        <f t="shared" si="7"/>
        <v>0</v>
      </c>
      <c r="AB52" s="39">
        <f t="shared" si="7"/>
        <v>42.8</v>
      </c>
      <c r="AC52" s="39">
        <f t="shared" si="7"/>
        <v>11.27</v>
      </c>
      <c r="AD52" s="39">
        <v>0</v>
      </c>
      <c r="AE52" s="39">
        <f>SUM(AE40:AE50)</f>
        <v>0</v>
      </c>
      <c r="AF52" s="39">
        <f>SUM(AF40:AF50)</f>
        <v>0</v>
      </c>
      <c r="AG52" s="39">
        <f>SUM(AG40:AG50)</f>
        <v>0</v>
      </c>
      <c r="AH52" s="32">
        <f>SUM(AH40:AH51)</f>
        <v>496.25099999999998</v>
      </c>
    </row>
    <row r="53" spans="1:36" ht="15">
      <c r="A53" s="14"/>
      <c r="B53" s="55"/>
      <c r="C53" s="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row>
    <row r="54" spans="1:36" ht="15">
      <c r="A54" s="3872" t="s">
        <v>575</v>
      </c>
      <c r="B54" s="3873"/>
      <c r="C54" s="3873"/>
      <c r="D54" s="3873"/>
      <c r="E54" s="3873"/>
      <c r="F54" s="3873"/>
      <c r="G54" s="3873"/>
      <c r="H54" s="3874"/>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row>
    <row r="55" spans="1:36" ht="15">
      <c r="A55" s="5" t="s">
        <v>89</v>
      </c>
      <c r="B55" s="56" t="s">
        <v>71</v>
      </c>
      <c r="C55" s="1054">
        <v>1</v>
      </c>
      <c r="D55" s="21">
        <v>2</v>
      </c>
      <c r="E55" s="21">
        <v>3</v>
      </c>
      <c r="F55" s="21">
        <v>4</v>
      </c>
      <c r="G55" s="21">
        <v>5</v>
      </c>
      <c r="H55" s="21">
        <v>6</v>
      </c>
      <c r="I55" s="21">
        <v>7</v>
      </c>
      <c r="J55" s="21">
        <v>8</v>
      </c>
      <c r="K55" s="21">
        <v>9</v>
      </c>
      <c r="L55" s="21">
        <v>10</v>
      </c>
      <c r="M55" s="21">
        <v>11</v>
      </c>
      <c r="N55" s="21">
        <v>12</v>
      </c>
      <c r="O55" s="21">
        <v>13</v>
      </c>
      <c r="P55" s="21">
        <v>14</v>
      </c>
      <c r="Q55" s="21">
        <v>15</v>
      </c>
      <c r="R55" s="21">
        <v>16</v>
      </c>
      <c r="S55" s="21">
        <v>17</v>
      </c>
      <c r="T55" s="21">
        <v>18</v>
      </c>
      <c r="U55" s="21">
        <v>19</v>
      </c>
      <c r="V55" s="21">
        <v>20</v>
      </c>
      <c r="W55" s="21">
        <v>21</v>
      </c>
      <c r="X55" s="21">
        <v>22</v>
      </c>
      <c r="Y55" s="21">
        <v>23</v>
      </c>
      <c r="Z55" s="21">
        <v>24</v>
      </c>
      <c r="AA55" s="21">
        <v>25</v>
      </c>
      <c r="AB55" s="21">
        <v>26</v>
      </c>
      <c r="AC55" s="21">
        <v>27</v>
      </c>
      <c r="AD55" s="21">
        <v>28</v>
      </c>
      <c r="AE55" s="21">
        <v>29</v>
      </c>
      <c r="AF55" s="21">
        <v>30</v>
      </c>
      <c r="AG55" s="21">
        <v>31</v>
      </c>
      <c r="AH55" s="25" t="s">
        <v>72</v>
      </c>
      <c r="AI55" s="2266" t="s">
        <v>1345</v>
      </c>
      <c r="AJ55" s="66">
        <f>(B68/COUNTIF($C$56:$AG$67,"&gt;0"))</f>
        <v>36.669948717948714</v>
      </c>
    </row>
    <row r="56" spans="1:36" ht="15">
      <c r="A56" s="1719" t="s">
        <v>73</v>
      </c>
      <c r="B56" s="1055">
        <f t="shared" ref="B56:B67" si="8">+AH56</f>
        <v>389.05299999999994</v>
      </c>
      <c r="C56" s="1091"/>
      <c r="D56" s="1091"/>
      <c r="E56" s="1091"/>
      <c r="F56" s="1091"/>
      <c r="G56" s="1091"/>
      <c r="H56" s="1091"/>
      <c r="I56" s="1091"/>
      <c r="J56" s="1091"/>
      <c r="K56" s="1091"/>
      <c r="L56" s="1091"/>
      <c r="M56" s="1091"/>
      <c r="N56" s="1091"/>
      <c r="O56" s="1091"/>
      <c r="P56" s="1091"/>
      <c r="Q56" s="1591"/>
      <c r="R56" s="1591"/>
      <c r="S56" s="1591"/>
      <c r="T56" s="1591"/>
      <c r="U56" s="1591"/>
      <c r="V56" s="1591"/>
      <c r="W56" s="1591"/>
      <c r="X56" s="1591"/>
      <c r="Y56" s="1591"/>
      <c r="Z56" s="1591">
        <v>38.93</v>
      </c>
      <c r="AA56" s="1591"/>
      <c r="AB56" s="1591"/>
      <c r="AC56" s="1591">
        <v>109.73</v>
      </c>
      <c r="AD56" s="1591">
        <v>122.09</v>
      </c>
      <c r="AE56" s="1591">
        <v>43.96</v>
      </c>
      <c r="AF56" s="1591">
        <v>46.728999999999999</v>
      </c>
      <c r="AG56" s="1591">
        <v>27.614000000000001</v>
      </c>
      <c r="AH56" s="39">
        <f>SUM(C56:AG56)</f>
        <v>389.05299999999994</v>
      </c>
      <c r="AJ56">
        <f>+'Resumen RAE S. Austral'!G18</f>
        <v>-23.335999999999558</v>
      </c>
    </row>
    <row r="57" spans="1:36" ht="15">
      <c r="A57" s="1719" t="s">
        <v>74</v>
      </c>
      <c r="B57" s="1055">
        <f t="shared" si="8"/>
        <v>547.15300000000002</v>
      </c>
      <c r="C57" s="1091">
        <v>39.802999999999997</v>
      </c>
      <c r="D57" s="1091"/>
      <c r="E57" s="1091"/>
      <c r="F57" s="1091">
        <v>21.92</v>
      </c>
      <c r="G57" s="1091"/>
      <c r="H57" s="1091">
        <v>1.5329999999999999</v>
      </c>
      <c r="I57" s="1091">
        <v>0.307</v>
      </c>
      <c r="J57" s="1091"/>
      <c r="K57" s="1091"/>
      <c r="L57" s="1091"/>
      <c r="M57" s="1091"/>
      <c r="N57" s="1091">
        <v>59.41</v>
      </c>
      <c r="O57" s="1091">
        <v>66.989999999999995</v>
      </c>
      <c r="P57" s="1091">
        <v>126.88</v>
      </c>
      <c r="Q57" s="1091">
        <v>36.75</v>
      </c>
      <c r="R57" s="1091"/>
      <c r="S57" s="1091">
        <v>50.62</v>
      </c>
      <c r="T57" s="1091">
        <v>2.5999999999999999E-2</v>
      </c>
      <c r="U57" s="1091">
        <v>10.49</v>
      </c>
      <c r="V57" s="1091">
        <v>11.03</v>
      </c>
      <c r="W57" s="1091">
        <v>49.13</v>
      </c>
      <c r="X57" s="1091">
        <v>38.045000000000002</v>
      </c>
      <c r="Y57" s="1091"/>
      <c r="Z57" s="1091"/>
      <c r="AA57" s="1091"/>
      <c r="AB57" s="1091">
        <v>34.219000000000001</v>
      </c>
      <c r="AC57" s="1091"/>
      <c r="AD57" s="1091"/>
      <c r="AE57" s="1091"/>
      <c r="AF57" s="1091"/>
      <c r="AG57" s="1091"/>
      <c r="AH57" s="39">
        <f t="shared" ref="AH57:AH67" si="9">SUM(C57:AG57)</f>
        <v>547.15300000000002</v>
      </c>
      <c r="AJ57" s="1093">
        <f>+AJ56/AJ55</f>
        <v>-0.63637940100465329</v>
      </c>
    </row>
    <row r="58" spans="1:36" ht="15">
      <c r="A58" s="1719" t="s">
        <v>75</v>
      </c>
      <c r="B58" s="1055">
        <f t="shared" si="8"/>
        <v>1009.2869999999998</v>
      </c>
      <c r="C58" s="35">
        <v>43.03</v>
      </c>
      <c r="D58" s="15"/>
      <c r="E58" s="15"/>
      <c r="F58" s="15">
        <v>84.21</v>
      </c>
      <c r="G58" s="15">
        <v>281.93</v>
      </c>
      <c r="H58" s="15">
        <v>73.06</v>
      </c>
      <c r="I58" s="15">
        <v>109.17999999999999</v>
      </c>
      <c r="J58" s="15">
        <v>27.03</v>
      </c>
      <c r="K58" s="15"/>
      <c r="L58" s="15"/>
      <c r="M58" s="15">
        <v>140.24600000000001</v>
      </c>
      <c r="N58" s="15">
        <v>55.65</v>
      </c>
      <c r="O58" s="15">
        <v>20.419</v>
      </c>
      <c r="P58" s="15">
        <v>67.971999999999994</v>
      </c>
      <c r="Q58" s="2169">
        <v>106.56</v>
      </c>
      <c r="R58" s="2169"/>
      <c r="S58" s="2169"/>
      <c r="T58" s="2169"/>
      <c r="U58" s="2169"/>
      <c r="V58" s="2169"/>
      <c r="W58" s="2169"/>
      <c r="X58" s="2169"/>
      <c r="Y58" s="1084"/>
      <c r="Z58" s="1084"/>
      <c r="AA58" s="1084"/>
      <c r="AB58" s="1084"/>
      <c r="AC58" s="1084"/>
      <c r="AD58" s="1084"/>
      <c r="AE58" s="1084"/>
      <c r="AF58" s="1084"/>
      <c r="AG58" s="1084"/>
      <c r="AH58" s="39">
        <f t="shared" si="9"/>
        <v>1009.2869999999998</v>
      </c>
    </row>
    <row r="59" spans="1:36" ht="15">
      <c r="A59" s="1719" t="s">
        <v>76</v>
      </c>
      <c r="B59" s="1055">
        <f t="shared" si="8"/>
        <v>16.667000000000002</v>
      </c>
      <c r="C59" s="1084"/>
      <c r="D59" s="1084"/>
      <c r="E59" s="2458">
        <v>2.1970000000000001</v>
      </c>
      <c r="F59" s="1084"/>
      <c r="G59" s="1084"/>
      <c r="H59" s="1084"/>
      <c r="I59" s="1084"/>
      <c r="J59" s="1084"/>
      <c r="K59" s="1084"/>
      <c r="L59" s="1084"/>
      <c r="M59" s="1084"/>
      <c r="N59" s="1084"/>
      <c r="O59" s="1084">
        <v>5</v>
      </c>
      <c r="P59" s="1084"/>
      <c r="Q59" s="1084" t="s">
        <v>110</v>
      </c>
      <c r="R59" s="1084" t="s">
        <v>110</v>
      </c>
      <c r="S59" s="1084" t="s">
        <v>110</v>
      </c>
      <c r="T59" s="1084" t="s">
        <v>110</v>
      </c>
      <c r="U59" s="1084" t="s">
        <v>110</v>
      </c>
      <c r="V59" s="1084" t="s">
        <v>110</v>
      </c>
      <c r="W59" s="1084" t="s">
        <v>110</v>
      </c>
      <c r="X59" s="1084">
        <v>2.12</v>
      </c>
      <c r="Y59" s="1084">
        <v>7.35</v>
      </c>
      <c r="Z59" s="1084" t="s">
        <v>110</v>
      </c>
      <c r="AA59" s="1084" t="s">
        <v>110</v>
      </c>
      <c r="AB59" s="1084" t="s">
        <v>110</v>
      </c>
      <c r="AC59" s="1084" t="s">
        <v>110</v>
      </c>
      <c r="AD59" s="1084" t="s">
        <v>110</v>
      </c>
      <c r="AE59" s="1084" t="s">
        <v>110</v>
      </c>
      <c r="AF59" s="1084" t="s">
        <v>110</v>
      </c>
      <c r="AG59" s="1084" t="s">
        <v>110</v>
      </c>
      <c r="AH59" s="39">
        <f t="shared" si="9"/>
        <v>16.667000000000002</v>
      </c>
    </row>
    <row r="60" spans="1:36" ht="15">
      <c r="A60" s="1719" t="s">
        <v>77</v>
      </c>
      <c r="B60" s="1055">
        <f>+AH60</f>
        <v>173.011</v>
      </c>
      <c r="C60" s="2646" t="s">
        <v>110</v>
      </c>
      <c r="D60" s="2646" t="s">
        <v>110</v>
      </c>
      <c r="E60" s="2646" t="s">
        <v>110</v>
      </c>
      <c r="F60" s="2646" t="s">
        <v>110</v>
      </c>
      <c r="G60" s="2646" t="s">
        <v>110</v>
      </c>
      <c r="H60" s="2646" t="s">
        <v>110</v>
      </c>
      <c r="I60" s="1091">
        <v>10</v>
      </c>
      <c r="J60" s="2646" t="s">
        <v>110</v>
      </c>
      <c r="K60" s="2646" t="s">
        <v>110</v>
      </c>
      <c r="L60" s="2646" t="s">
        <v>110</v>
      </c>
      <c r="M60" s="2646" t="s">
        <v>110</v>
      </c>
      <c r="N60" s="2646" t="s">
        <v>110</v>
      </c>
      <c r="O60" s="2646" t="s">
        <v>110</v>
      </c>
      <c r="P60" s="2646" t="s">
        <v>110</v>
      </c>
      <c r="Q60" s="2646" t="s">
        <v>110</v>
      </c>
      <c r="R60" s="2646"/>
      <c r="S60" s="2646">
        <v>1.3720000000000001</v>
      </c>
      <c r="T60" s="2646">
        <v>2.7789999999999999</v>
      </c>
      <c r="U60" s="2646"/>
      <c r="V60" s="2646">
        <v>57.81</v>
      </c>
      <c r="W60" s="15">
        <v>1.125</v>
      </c>
      <c r="X60" s="15">
        <v>0.6</v>
      </c>
      <c r="Y60" s="15"/>
      <c r="Z60" s="15">
        <v>0.625</v>
      </c>
      <c r="AA60" s="15"/>
      <c r="AB60" s="15">
        <v>54.29</v>
      </c>
      <c r="AC60" s="15"/>
      <c r="AD60" s="15">
        <v>44.41</v>
      </c>
      <c r="AE60" s="15"/>
      <c r="AF60" s="15"/>
      <c r="AG60" s="15"/>
      <c r="AH60" s="39">
        <f>SUM(C60:AG60)</f>
        <v>173.011</v>
      </c>
    </row>
    <row r="61" spans="1:36" ht="15">
      <c r="A61" s="1719" t="s">
        <v>78</v>
      </c>
      <c r="B61" s="1055">
        <f t="shared" si="8"/>
        <v>56.573</v>
      </c>
      <c r="C61" s="1091"/>
      <c r="D61" s="1091"/>
      <c r="E61" s="1091"/>
      <c r="F61" s="1091"/>
      <c r="G61" s="1091"/>
      <c r="H61" s="1091"/>
      <c r="I61" s="1091"/>
      <c r="J61" s="1091"/>
      <c r="K61" s="1091"/>
      <c r="L61" s="1091">
        <v>0.69</v>
      </c>
      <c r="M61" s="1091"/>
      <c r="N61" s="1091">
        <v>52.08</v>
      </c>
      <c r="O61" s="1091">
        <v>1.798</v>
      </c>
      <c r="P61" s="1091"/>
      <c r="Q61" s="1091">
        <v>1.3049999999999999</v>
      </c>
      <c r="R61" s="1091"/>
      <c r="S61" s="1091">
        <v>0.7</v>
      </c>
      <c r="T61" s="1091"/>
      <c r="U61" s="1091"/>
      <c r="V61" s="1091"/>
      <c r="W61" s="1091"/>
      <c r="X61" s="1091"/>
      <c r="Y61" s="1091"/>
      <c r="Z61" s="1091"/>
      <c r="AA61" s="1091"/>
      <c r="AB61" s="1091"/>
      <c r="AC61" s="1091"/>
      <c r="AD61" s="1091"/>
      <c r="AE61" s="1091"/>
      <c r="AF61" s="1091"/>
      <c r="AG61" s="1091"/>
      <c r="AH61" s="39">
        <f t="shared" si="9"/>
        <v>56.573</v>
      </c>
    </row>
    <row r="62" spans="1:36" ht="15">
      <c r="A62" s="1054" t="s">
        <v>79</v>
      </c>
      <c r="B62" s="1055">
        <f t="shared" si="8"/>
        <v>13.323</v>
      </c>
      <c r="C62" s="35">
        <v>1.1559999999999999</v>
      </c>
      <c r="D62" s="39" t="s">
        <v>127</v>
      </c>
      <c r="E62" s="39">
        <v>0.16200000000000001</v>
      </c>
      <c r="F62" s="39" t="s">
        <v>127</v>
      </c>
      <c r="G62" s="15" t="s">
        <v>127</v>
      </c>
      <c r="H62" s="15">
        <v>0.25800000000000001</v>
      </c>
      <c r="I62" s="15" t="s">
        <v>127</v>
      </c>
      <c r="J62" s="43">
        <v>0.433</v>
      </c>
      <c r="K62" s="43" t="s">
        <v>127</v>
      </c>
      <c r="L62" s="39"/>
      <c r="M62" s="39"/>
      <c r="N62" s="39"/>
      <c r="O62" s="39"/>
      <c r="P62" s="39"/>
      <c r="Q62" s="1268"/>
      <c r="R62" s="1268"/>
      <c r="S62" s="1268"/>
      <c r="T62" s="1268">
        <v>0.23699999999999999</v>
      </c>
      <c r="U62" s="1268"/>
      <c r="V62" s="1268"/>
      <c r="W62" s="1268">
        <v>0.67500000000000004</v>
      </c>
      <c r="X62" s="1268">
        <v>0.24199999999999999</v>
      </c>
      <c r="Y62" s="1268">
        <v>0.18</v>
      </c>
      <c r="Z62" s="1268"/>
      <c r="AA62" s="1268">
        <v>0.22</v>
      </c>
      <c r="AB62" s="1268"/>
      <c r="AC62" s="1268"/>
      <c r="AD62" s="3329">
        <v>9.76</v>
      </c>
      <c r="AE62" s="1268"/>
      <c r="AF62" s="1268"/>
      <c r="AG62" s="1268"/>
      <c r="AH62" s="39">
        <f t="shared" si="9"/>
        <v>13.323</v>
      </c>
    </row>
    <row r="63" spans="1:36" ht="15">
      <c r="A63" s="1054" t="s">
        <v>80</v>
      </c>
      <c r="B63" s="1055">
        <f t="shared" si="8"/>
        <v>102.998</v>
      </c>
      <c r="C63" s="35"/>
      <c r="D63" s="15"/>
      <c r="E63" s="15"/>
      <c r="F63" s="15"/>
      <c r="G63" s="15"/>
      <c r="H63" s="15">
        <v>2.64</v>
      </c>
      <c r="I63" s="15"/>
      <c r="J63" s="43"/>
      <c r="K63" s="43">
        <v>43.34</v>
      </c>
      <c r="L63" s="39"/>
      <c r="M63" s="39"/>
      <c r="N63" s="39"/>
      <c r="O63" s="39"/>
      <c r="P63" s="39"/>
      <c r="Q63" s="39"/>
      <c r="R63" s="39"/>
      <c r="S63" s="39"/>
      <c r="T63" s="39"/>
      <c r="U63" s="39"/>
      <c r="V63" s="39">
        <v>6.5659999999999998</v>
      </c>
      <c r="W63" s="39"/>
      <c r="X63" s="39">
        <v>39.061999999999998</v>
      </c>
      <c r="Y63" s="39"/>
      <c r="Z63" s="39"/>
      <c r="AA63" s="39"/>
      <c r="AB63" s="39"/>
      <c r="AC63" s="39"/>
      <c r="AD63" s="39"/>
      <c r="AE63" s="39"/>
      <c r="AF63" s="39">
        <v>9.6430000000000007</v>
      </c>
      <c r="AG63" s="39">
        <v>1.7470000000000001</v>
      </c>
      <c r="AH63" s="39">
        <f t="shared" si="9"/>
        <v>102.998</v>
      </c>
    </row>
    <row r="64" spans="1:36" ht="15">
      <c r="A64" s="1054" t="s">
        <v>81</v>
      </c>
      <c r="B64" s="1055">
        <f t="shared" si="8"/>
        <v>0</v>
      </c>
      <c r="C64" s="31"/>
      <c r="D64" s="31"/>
      <c r="E64" s="31"/>
      <c r="F64" s="31"/>
      <c r="G64" s="31"/>
      <c r="H64" s="31"/>
      <c r="I64" s="31"/>
      <c r="J64" s="31"/>
      <c r="K64" s="31"/>
      <c r="L64" s="31"/>
      <c r="M64" s="31"/>
      <c r="N64" s="31"/>
      <c r="O64" s="31"/>
      <c r="P64" s="31"/>
      <c r="Q64" s="113"/>
      <c r="R64" s="2180"/>
      <c r="S64" s="113" t="s">
        <v>398</v>
      </c>
      <c r="T64" s="113" t="s">
        <v>398</v>
      </c>
      <c r="U64" s="113" t="s">
        <v>398</v>
      </c>
      <c r="V64" s="113" t="s">
        <v>398</v>
      </c>
      <c r="W64" s="113" t="s">
        <v>398</v>
      </c>
      <c r="X64" s="113" t="s">
        <v>398</v>
      </c>
      <c r="Y64" s="113" t="s">
        <v>398</v>
      </c>
      <c r="Z64" s="113" t="s">
        <v>398</v>
      </c>
      <c r="AA64" s="113" t="s">
        <v>398</v>
      </c>
      <c r="AB64" s="113" t="s">
        <v>398</v>
      </c>
      <c r="AC64" s="113" t="s">
        <v>398</v>
      </c>
      <c r="AD64" s="113" t="s">
        <v>398</v>
      </c>
      <c r="AE64" s="113" t="s">
        <v>398</v>
      </c>
      <c r="AF64" s="113" t="s">
        <v>398</v>
      </c>
      <c r="AG64" s="113" t="s">
        <v>398</v>
      </c>
      <c r="AH64" s="39">
        <f t="shared" si="9"/>
        <v>0</v>
      </c>
    </row>
    <row r="65" spans="1:36" ht="15">
      <c r="A65" s="1054" t="s">
        <v>82</v>
      </c>
      <c r="B65" s="19">
        <f t="shared" si="8"/>
        <v>6.7</v>
      </c>
      <c r="C65" s="113">
        <v>2</v>
      </c>
      <c r="D65" s="1718"/>
      <c r="E65" s="113" t="s">
        <v>127</v>
      </c>
      <c r="F65" s="113"/>
      <c r="G65" s="113"/>
      <c r="H65" s="113">
        <v>2.7</v>
      </c>
      <c r="I65" s="113"/>
      <c r="J65" s="113">
        <v>2</v>
      </c>
      <c r="K65" s="113" t="s">
        <v>110</v>
      </c>
      <c r="L65" s="113" t="s">
        <v>110</v>
      </c>
      <c r="M65" s="113" t="s">
        <v>110</v>
      </c>
      <c r="N65" s="113" t="s">
        <v>110</v>
      </c>
      <c r="O65" s="113" t="s">
        <v>110</v>
      </c>
      <c r="P65" s="113" t="s">
        <v>110</v>
      </c>
      <c r="Q65" s="113" t="s">
        <v>110</v>
      </c>
      <c r="R65" s="113" t="s">
        <v>110</v>
      </c>
      <c r="S65" s="113" t="s">
        <v>110</v>
      </c>
      <c r="T65" s="113" t="s">
        <v>110</v>
      </c>
      <c r="U65" s="113" t="s">
        <v>110</v>
      </c>
      <c r="V65" s="113" t="s">
        <v>110</v>
      </c>
      <c r="W65" s="113" t="s">
        <v>110</v>
      </c>
      <c r="X65" s="113" t="s">
        <v>110</v>
      </c>
      <c r="Y65" s="113" t="s">
        <v>110</v>
      </c>
      <c r="Z65" s="113" t="s">
        <v>110</v>
      </c>
      <c r="AA65" s="113" t="s">
        <v>110</v>
      </c>
      <c r="AB65" s="113" t="s">
        <v>110</v>
      </c>
      <c r="AC65" s="113" t="s">
        <v>110</v>
      </c>
      <c r="AD65" s="113" t="s">
        <v>110</v>
      </c>
      <c r="AE65" s="113" t="s">
        <v>110</v>
      </c>
      <c r="AF65" s="113" t="s">
        <v>110</v>
      </c>
      <c r="AG65" s="113" t="s">
        <v>110</v>
      </c>
      <c r="AH65" s="39">
        <f t="shared" si="9"/>
        <v>6.7</v>
      </c>
    </row>
    <row r="66" spans="1:36" ht="15">
      <c r="A66" s="1054" t="s">
        <v>83</v>
      </c>
      <c r="B66" s="19">
        <f t="shared" si="8"/>
        <v>230.59</v>
      </c>
      <c r="C66" s="113" t="s">
        <v>110</v>
      </c>
      <c r="D66" s="1718" t="s">
        <v>110</v>
      </c>
      <c r="E66" s="113" t="s">
        <v>110</v>
      </c>
      <c r="F66" s="113" t="s">
        <v>110</v>
      </c>
      <c r="G66" s="113" t="s">
        <v>110</v>
      </c>
      <c r="H66" s="113" t="s">
        <v>110</v>
      </c>
      <c r="I66" s="113" t="s">
        <v>110</v>
      </c>
      <c r="J66" s="113" t="s">
        <v>110</v>
      </c>
      <c r="K66" s="113" t="s">
        <v>110</v>
      </c>
      <c r="L66" s="113" t="s">
        <v>110</v>
      </c>
      <c r="M66" s="113" t="s">
        <v>110</v>
      </c>
      <c r="N66" s="113" t="s">
        <v>110</v>
      </c>
      <c r="O66" s="113" t="s">
        <v>110</v>
      </c>
      <c r="P66" s="113" t="s">
        <v>110</v>
      </c>
      <c r="Q66" s="113" t="s">
        <v>110</v>
      </c>
      <c r="R66" s="34"/>
      <c r="S66" s="34"/>
      <c r="T66" s="34">
        <v>51.16</v>
      </c>
      <c r="U66" s="34"/>
      <c r="V66" s="34">
        <v>49</v>
      </c>
      <c r="W66" s="34"/>
      <c r="X66" s="34"/>
      <c r="Y66" s="34">
        <v>36.69</v>
      </c>
      <c r="Z66" s="34"/>
      <c r="AA66" s="34"/>
      <c r="AB66" s="34">
        <v>49.06</v>
      </c>
      <c r="AC66" s="34">
        <v>44.68</v>
      </c>
      <c r="AD66" s="34"/>
      <c r="AE66" s="34"/>
      <c r="AF66" s="34"/>
      <c r="AG66" s="31"/>
      <c r="AH66" s="39">
        <f t="shared" si="9"/>
        <v>230.59</v>
      </c>
    </row>
    <row r="67" spans="1:36" ht="15">
      <c r="A67" s="1054" t="s">
        <v>84</v>
      </c>
      <c r="B67" s="19">
        <f t="shared" si="8"/>
        <v>314.90099999999995</v>
      </c>
      <c r="C67" s="35"/>
      <c r="D67" s="15"/>
      <c r="E67" s="15"/>
      <c r="F67" s="15"/>
      <c r="G67" s="15"/>
      <c r="H67" s="15"/>
      <c r="I67" s="15"/>
      <c r="J67" s="15"/>
      <c r="K67" s="15"/>
      <c r="L67" s="15"/>
      <c r="M67" s="15">
        <v>78.102999999999994</v>
      </c>
      <c r="N67" s="15"/>
      <c r="O67" s="15"/>
      <c r="P67" s="15"/>
      <c r="Q67" s="15"/>
      <c r="R67" s="15">
        <v>37.4</v>
      </c>
      <c r="S67" s="15">
        <v>77.13</v>
      </c>
      <c r="T67" s="15">
        <v>122.268</v>
      </c>
      <c r="U67" s="15"/>
      <c r="V67" s="15"/>
      <c r="W67" s="15"/>
      <c r="X67" s="15"/>
      <c r="Y67" s="15"/>
      <c r="Z67" s="15"/>
      <c r="AA67" s="15"/>
      <c r="AB67" s="15"/>
      <c r="AC67" s="15"/>
      <c r="AD67" s="15"/>
      <c r="AE67" s="39"/>
      <c r="AF67" s="15"/>
      <c r="AG67" s="39"/>
      <c r="AH67" s="39">
        <f t="shared" si="9"/>
        <v>314.90099999999995</v>
      </c>
    </row>
    <row r="68" spans="1:36" ht="15">
      <c r="A68" s="71" t="s">
        <v>72</v>
      </c>
      <c r="B68" s="73">
        <f>SUM(B56:B67)</f>
        <v>2860.2559999999994</v>
      </c>
      <c r="C68" s="32">
        <f>SUM(C56:C66)</f>
        <v>85.989000000000004</v>
      </c>
      <c r="D68" s="39">
        <f>SUM(D56:D66)</f>
        <v>0</v>
      </c>
      <c r="E68" s="39">
        <v>0</v>
      </c>
      <c r="F68" s="39">
        <f t="shared" ref="F68:AC68" si="10">SUM(F56:F66)</f>
        <v>106.13</v>
      </c>
      <c r="G68" s="39">
        <f t="shared" si="10"/>
        <v>281.93</v>
      </c>
      <c r="H68" s="39">
        <f t="shared" si="10"/>
        <v>80.191000000000003</v>
      </c>
      <c r="I68" s="39">
        <f t="shared" si="10"/>
        <v>119.48699999999999</v>
      </c>
      <c r="J68" s="39">
        <f t="shared" si="10"/>
        <v>29.463000000000001</v>
      </c>
      <c r="K68" s="39">
        <f t="shared" si="10"/>
        <v>43.34</v>
      </c>
      <c r="L68" s="39">
        <f t="shared" si="10"/>
        <v>0.69</v>
      </c>
      <c r="M68" s="39">
        <f t="shared" si="10"/>
        <v>140.24600000000001</v>
      </c>
      <c r="N68" s="39">
        <f t="shared" si="10"/>
        <v>167.14</v>
      </c>
      <c r="O68" s="39">
        <f t="shared" si="10"/>
        <v>94.206999999999994</v>
      </c>
      <c r="P68" s="39">
        <f t="shared" si="10"/>
        <v>194.85199999999998</v>
      </c>
      <c r="Q68" s="39">
        <f t="shared" si="10"/>
        <v>144.61500000000001</v>
      </c>
      <c r="R68" s="39">
        <f t="shared" si="10"/>
        <v>0</v>
      </c>
      <c r="S68" s="39">
        <f t="shared" si="10"/>
        <v>52.692</v>
      </c>
      <c r="T68" s="39">
        <f t="shared" si="10"/>
        <v>54.201999999999998</v>
      </c>
      <c r="U68" s="39">
        <f t="shared" si="10"/>
        <v>10.49</v>
      </c>
      <c r="V68" s="39">
        <f t="shared" si="10"/>
        <v>124.40600000000001</v>
      </c>
      <c r="W68" s="39">
        <f t="shared" si="10"/>
        <v>50.93</v>
      </c>
      <c r="X68" s="39">
        <f t="shared" si="10"/>
        <v>80.068999999999988</v>
      </c>
      <c r="Y68" s="39">
        <f t="shared" si="10"/>
        <v>44.22</v>
      </c>
      <c r="Z68" s="39">
        <f t="shared" si="10"/>
        <v>39.555</v>
      </c>
      <c r="AA68" s="39">
        <f t="shared" si="10"/>
        <v>0.22</v>
      </c>
      <c r="AB68" s="39">
        <f t="shared" si="10"/>
        <v>137.56900000000002</v>
      </c>
      <c r="AC68" s="39">
        <f t="shared" si="10"/>
        <v>154.41</v>
      </c>
      <c r="AD68" s="39">
        <v>0</v>
      </c>
      <c r="AE68" s="39">
        <f>SUM(AE56:AE66)</f>
        <v>43.96</v>
      </c>
      <c r="AF68" s="39">
        <f>SUM(AF56:AF66)</f>
        <v>56.372</v>
      </c>
      <c r="AG68" s="39">
        <f>SUM(AG56:AG66)</f>
        <v>29.361000000000001</v>
      </c>
      <c r="AH68" s="32">
        <f>SUM(AH56:AH67)</f>
        <v>2860.2559999999994</v>
      </c>
    </row>
    <row r="69" spans="1:36" ht="15">
      <c r="A69" s="14"/>
      <c r="B69" s="55"/>
      <c r="C69" s="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row>
    <row r="70" spans="1:36" ht="15">
      <c r="A70" s="3821" t="s">
        <v>582</v>
      </c>
      <c r="B70" s="3822"/>
      <c r="C70" s="3822"/>
      <c r="D70" s="3822"/>
      <c r="E70" s="3822"/>
      <c r="F70" s="3822"/>
      <c r="G70" s="3822"/>
      <c r="H70" s="3823"/>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row>
    <row r="71" spans="1:36" ht="15">
      <c r="A71" s="5" t="s">
        <v>89</v>
      </c>
      <c r="B71" s="56" t="s">
        <v>71</v>
      </c>
      <c r="C71" s="1054">
        <v>1</v>
      </c>
      <c r="D71" s="21">
        <v>2</v>
      </c>
      <c r="E71" s="21">
        <v>3</v>
      </c>
      <c r="F71" s="21">
        <v>4</v>
      </c>
      <c r="G71" s="21">
        <v>5</v>
      </c>
      <c r="H71" s="21">
        <v>6</v>
      </c>
      <c r="I71" s="21">
        <v>7</v>
      </c>
      <c r="J71" s="21">
        <v>8</v>
      </c>
      <c r="K71" s="21">
        <v>9</v>
      </c>
      <c r="L71" s="21">
        <v>10</v>
      </c>
      <c r="M71" s="21">
        <v>11</v>
      </c>
      <c r="N71" s="21">
        <v>12</v>
      </c>
      <c r="O71" s="21">
        <v>13</v>
      </c>
      <c r="P71" s="21">
        <v>14</v>
      </c>
      <c r="Q71" s="21">
        <v>15</v>
      </c>
      <c r="R71" s="21">
        <v>16</v>
      </c>
      <c r="S71" s="21">
        <v>17</v>
      </c>
      <c r="T71" s="21">
        <v>18</v>
      </c>
      <c r="U71" s="21">
        <v>19</v>
      </c>
      <c r="V71" s="21">
        <v>20</v>
      </c>
      <c r="W71" s="21">
        <v>21</v>
      </c>
      <c r="X71" s="21">
        <v>22</v>
      </c>
      <c r="Y71" s="21">
        <v>23</v>
      </c>
      <c r="Z71" s="21">
        <v>24</v>
      </c>
      <c r="AA71" s="21">
        <v>25</v>
      </c>
      <c r="AB71" s="21">
        <v>26</v>
      </c>
      <c r="AC71" s="21">
        <v>27</v>
      </c>
      <c r="AD71" s="21">
        <v>28</v>
      </c>
      <c r="AE71" s="21">
        <v>29</v>
      </c>
      <c r="AF71" s="21">
        <v>30</v>
      </c>
      <c r="AG71" s="21">
        <v>31</v>
      </c>
      <c r="AH71" s="25" t="s">
        <v>72</v>
      </c>
      <c r="AI71" s="2266" t="s">
        <v>1345</v>
      </c>
      <c r="AJ71" s="66">
        <f>(B84/COUNTIF($C$72:$AG$83,"&gt;0"))</f>
        <v>61.886422222222222</v>
      </c>
    </row>
    <row r="72" spans="1:36" ht="15">
      <c r="A72" s="1719" t="s">
        <v>73</v>
      </c>
      <c r="B72" s="1055">
        <f t="shared" ref="B72:B83" si="11">+AH72</f>
        <v>130.34</v>
      </c>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v>36.36</v>
      </c>
      <c r="AE72" s="105">
        <v>74.569999999999993</v>
      </c>
      <c r="AF72" s="105">
        <v>19.41</v>
      </c>
      <c r="AG72" s="105"/>
      <c r="AH72" s="99">
        <f>SUM(C72:AG72)</f>
        <v>130.34</v>
      </c>
      <c r="AJ72">
        <f>+'Resumen RAE S. Austral'!G19</f>
        <v>13.221999999999298</v>
      </c>
    </row>
    <row r="73" spans="1:36" ht="15">
      <c r="A73" s="1719" t="s">
        <v>74</v>
      </c>
      <c r="B73" s="1055">
        <f t="shared" si="11"/>
        <v>982.35500000000002</v>
      </c>
      <c r="C73" s="1591">
        <v>43.075000000000003</v>
      </c>
      <c r="D73" s="1591">
        <v>59.23</v>
      </c>
      <c r="E73" s="1591">
        <v>13.398</v>
      </c>
      <c r="F73" s="1591"/>
      <c r="G73" s="1591">
        <v>1.157</v>
      </c>
      <c r="H73" s="1591"/>
      <c r="I73" s="1591">
        <v>8.4000000000000005E-2</v>
      </c>
      <c r="J73" s="1591">
        <v>69.457999999999998</v>
      </c>
      <c r="K73" s="1591"/>
      <c r="L73" s="1591"/>
      <c r="M73" s="1591">
        <v>72.87</v>
      </c>
      <c r="N73" s="1591">
        <v>67</v>
      </c>
      <c r="O73" s="1591">
        <v>188.136</v>
      </c>
      <c r="P73" s="1591"/>
      <c r="Q73" s="1591">
        <v>63.27</v>
      </c>
      <c r="R73" s="1591"/>
      <c r="S73" s="1591"/>
      <c r="T73" s="1591">
        <v>40.89</v>
      </c>
      <c r="U73" s="1591">
        <v>59.3</v>
      </c>
      <c r="V73" s="1591"/>
      <c r="W73" s="1591">
        <v>28.722000000000001</v>
      </c>
      <c r="X73" s="1591">
        <v>46.82</v>
      </c>
      <c r="Y73" s="1591"/>
      <c r="Z73" s="1591">
        <v>87.32</v>
      </c>
      <c r="AA73" s="1591"/>
      <c r="AB73" s="52">
        <v>129.649</v>
      </c>
      <c r="AC73" s="52">
        <v>11.976000000000001</v>
      </c>
      <c r="AD73" s="52"/>
      <c r="AE73" s="52"/>
      <c r="AF73" s="52"/>
      <c r="AG73" s="52"/>
      <c r="AH73" s="39">
        <f>SUM(C73:AG73)</f>
        <v>982.35500000000002</v>
      </c>
      <c r="AJ73" s="1093">
        <f>+AJ72/AJ71</f>
        <v>0.21364944886491649</v>
      </c>
    </row>
    <row r="74" spans="1:36" ht="15">
      <c r="A74" s="1719" t="s">
        <v>75</v>
      </c>
      <c r="B74" s="1055">
        <f t="shared" si="11"/>
        <v>1075.7130000000002</v>
      </c>
      <c r="C74" s="35">
        <v>20.62</v>
      </c>
      <c r="D74" s="15"/>
      <c r="E74" s="15"/>
      <c r="F74" s="15">
        <v>60.09</v>
      </c>
      <c r="G74" s="15">
        <v>120.03</v>
      </c>
      <c r="H74" s="15">
        <v>114.37</v>
      </c>
      <c r="I74" s="15">
        <v>149.82999999999998</v>
      </c>
      <c r="J74" s="15">
        <v>30.66</v>
      </c>
      <c r="K74" s="15"/>
      <c r="L74" s="15"/>
      <c r="M74" s="15">
        <v>41.094000000000001</v>
      </c>
      <c r="N74" s="15">
        <v>90.34</v>
      </c>
      <c r="O74" s="15">
        <v>49.03</v>
      </c>
      <c r="P74" s="15">
        <v>63.21</v>
      </c>
      <c r="Q74" s="1084">
        <v>33.950000000000003</v>
      </c>
      <c r="R74" s="1084" t="s">
        <v>127</v>
      </c>
      <c r="S74" s="1084" t="s">
        <v>127</v>
      </c>
      <c r="T74" s="1084" t="s">
        <v>127</v>
      </c>
      <c r="U74" s="1084" t="s">
        <v>127</v>
      </c>
      <c r="V74" s="1084" t="s">
        <v>127</v>
      </c>
      <c r="W74" s="1084" t="s">
        <v>127</v>
      </c>
      <c r="X74" s="1084" t="s">
        <v>127</v>
      </c>
      <c r="Y74" s="1084" t="s">
        <v>127</v>
      </c>
      <c r="Z74" s="1084" t="s">
        <v>127</v>
      </c>
      <c r="AA74" s="1084" t="s">
        <v>127</v>
      </c>
      <c r="AB74" s="1084" t="s">
        <v>127</v>
      </c>
      <c r="AC74" s="1084">
        <v>3.8340000000000001</v>
      </c>
      <c r="AD74" s="1084" t="s">
        <v>127</v>
      </c>
      <c r="AE74" s="1084">
        <v>36.840000000000003</v>
      </c>
      <c r="AF74" s="1084" t="s">
        <v>127</v>
      </c>
      <c r="AG74" s="1084">
        <v>261.815</v>
      </c>
      <c r="AH74" s="99">
        <f>SUM(C74:AG74)</f>
        <v>1075.7130000000002</v>
      </c>
    </row>
    <row r="75" spans="1:36" ht="15">
      <c r="A75" s="1719" t="s">
        <v>76</v>
      </c>
      <c r="B75" s="1055">
        <f t="shared" si="11"/>
        <v>401.48199999999997</v>
      </c>
      <c r="C75" s="1084">
        <v>39.103000000000002</v>
      </c>
      <c r="D75" s="1084">
        <v>51.04</v>
      </c>
      <c r="E75" s="2458">
        <v>61.92</v>
      </c>
      <c r="F75" s="2458">
        <v>249.41899999999998</v>
      </c>
      <c r="G75" s="1084"/>
      <c r="H75" s="1084"/>
      <c r="I75" s="1084"/>
      <c r="J75" s="1084"/>
      <c r="K75" s="1084"/>
      <c r="L75" s="1084"/>
      <c r="M75" s="1084"/>
      <c r="N75" s="1084"/>
      <c r="O75" s="1084"/>
      <c r="P75" s="1084"/>
      <c r="Q75" s="1084"/>
      <c r="R75" s="1084"/>
      <c r="S75" s="1084"/>
      <c r="T75" s="1084"/>
      <c r="U75" s="1084"/>
      <c r="V75" s="1084"/>
      <c r="W75" s="1084"/>
      <c r="X75" s="1084"/>
      <c r="Y75" s="1084"/>
      <c r="Z75" s="1084"/>
      <c r="AA75" s="1084"/>
      <c r="AB75" s="1084"/>
      <c r="AC75" s="1084"/>
      <c r="AD75" s="1084"/>
      <c r="AE75" s="1084"/>
      <c r="AF75" s="1084" t="s">
        <v>110</v>
      </c>
      <c r="AG75" s="1084" t="s">
        <v>110</v>
      </c>
      <c r="AH75" s="39">
        <f t="shared" ref="AH75:AH83" si="12">SUM(C75:AG75)</f>
        <v>401.48199999999997</v>
      </c>
    </row>
    <row r="76" spans="1:36" ht="15">
      <c r="A76" s="1719" t="s">
        <v>77</v>
      </c>
      <c r="B76" s="1055">
        <f t="shared" si="11"/>
        <v>111.31</v>
      </c>
      <c r="C76" s="1084" t="s">
        <v>110</v>
      </c>
      <c r="D76" s="1084" t="s">
        <v>110</v>
      </c>
      <c r="E76" s="1084" t="s">
        <v>110</v>
      </c>
      <c r="F76" s="1084" t="s">
        <v>110</v>
      </c>
      <c r="G76" s="1084" t="s">
        <v>110</v>
      </c>
      <c r="H76" s="1084" t="s">
        <v>110</v>
      </c>
      <c r="I76" s="1084" t="s">
        <v>110</v>
      </c>
      <c r="J76" s="1084" t="s">
        <v>110</v>
      </c>
      <c r="K76" s="1084" t="s">
        <v>110</v>
      </c>
      <c r="L76" s="1084" t="s">
        <v>110</v>
      </c>
      <c r="M76" s="1084" t="s">
        <v>110</v>
      </c>
      <c r="N76" s="1084" t="s">
        <v>110</v>
      </c>
      <c r="O76" s="1084" t="s">
        <v>110</v>
      </c>
      <c r="P76" s="1084" t="s">
        <v>110</v>
      </c>
      <c r="Q76" s="1084" t="s">
        <v>110</v>
      </c>
      <c r="R76" s="15"/>
      <c r="S76" s="15"/>
      <c r="T76" s="15"/>
      <c r="U76" s="15"/>
      <c r="V76" s="15"/>
      <c r="W76" s="15"/>
      <c r="X76" s="15"/>
      <c r="Y76" s="15">
        <v>28.94</v>
      </c>
      <c r="Z76" s="15">
        <v>34.299999999999997</v>
      </c>
      <c r="AA76" s="15"/>
      <c r="AB76" s="15">
        <v>48.07</v>
      </c>
      <c r="AC76" s="15"/>
      <c r="AD76" s="15"/>
      <c r="AE76" s="15"/>
      <c r="AF76" s="15"/>
      <c r="AG76" s="15"/>
      <c r="AH76" s="39">
        <f t="shared" si="12"/>
        <v>111.31</v>
      </c>
    </row>
    <row r="77" spans="1:36" ht="15">
      <c r="A77" s="1719" t="s">
        <v>78</v>
      </c>
      <c r="B77" s="1055">
        <f t="shared" si="11"/>
        <v>234.99599999999998</v>
      </c>
      <c r="C77" s="173"/>
      <c r="D77" s="52"/>
      <c r="E77" s="52"/>
      <c r="F77" s="52"/>
      <c r="G77" s="52"/>
      <c r="H77" s="52">
        <v>34.659999999999997</v>
      </c>
      <c r="I77" s="52"/>
      <c r="J77" s="52"/>
      <c r="K77" s="52"/>
      <c r="L77" s="52"/>
      <c r="M77" s="52"/>
      <c r="N77" s="1591"/>
      <c r="O77" s="1591">
        <v>2.5990000000000002</v>
      </c>
      <c r="P77" s="1591"/>
      <c r="Q77" s="1591"/>
      <c r="R77" s="1591"/>
      <c r="S77" s="1591">
        <v>44.18</v>
      </c>
      <c r="T77" s="1591"/>
      <c r="U77" s="1591"/>
      <c r="V77" s="1591">
        <v>32.270000000000003</v>
      </c>
      <c r="W77" s="1591"/>
      <c r="X77" s="1591"/>
      <c r="Y77" s="1591">
        <v>5.0490000000000004</v>
      </c>
      <c r="Z77" s="1591">
        <v>9.4079999999999995</v>
      </c>
      <c r="AA77" s="1591"/>
      <c r="AB77" s="1591"/>
      <c r="AC77" s="1591"/>
      <c r="AD77" s="1591">
        <v>106.83</v>
      </c>
      <c r="AE77" s="1591"/>
      <c r="AF77" s="1591"/>
      <c r="AG77" s="1591"/>
      <c r="AH77" s="39">
        <f t="shared" si="12"/>
        <v>234.99599999999998</v>
      </c>
    </row>
    <row r="78" spans="1:36" ht="15">
      <c r="A78" s="1054" t="s">
        <v>79</v>
      </c>
      <c r="B78" s="1055">
        <f t="shared" si="11"/>
        <v>846.76699999999994</v>
      </c>
      <c r="C78" s="173"/>
      <c r="D78" s="52">
        <v>100.16</v>
      </c>
      <c r="E78" s="52">
        <v>28.91</v>
      </c>
      <c r="F78" s="52">
        <v>48.33</v>
      </c>
      <c r="G78" s="52">
        <v>87.95</v>
      </c>
      <c r="H78" s="52"/>
      <c r="I78" s="52">
        <v>78.930000000000007</v>
      </c>
      <c r="J78" s="173"/>
      <c r="K78" s="173">
        <v>50.488999999999997</v>
      </c>
      <c r="L78" s="52">
        <v>35.747999999999998</v>
      </c>
      <c r="M78" s="52"/>
      <c r="N78" s="1591"/>
      <c r="O78" s="1591"/>
      <c r="P78" s="1591"/>
      <c r="Q78" s="1591"/>
      <c r="R78" s="1591"/>
      <c r="S78" s="1591"/>
      <c r="T78" s="1591"/>
      <c r="U78" s="1591"/>
      <c r="V78" s="1591"/>
      <c r="W78" s="1591">
        <v>70.260000000000005</v>
      </c>
      <c r="X78" s="1591">
        <v>157</v>
      </c>
      <c r="Y78" s="1591">
        <v>116.27</v>
      </c>
      <c r="Z78" s="1591">
        <v>57.08</v>
      </c>
      <c r="AA78" s="1591"/>
      <c r="AB78" s="1591">
        <v>15.64</v>
      </c>
      <c r="AC78" s="1591"/>
      <c r="AD78" s="1591"/>
      <c r="AE78" s="1591"/>
      <c r="AF78" s="1591"/>
      <c r="AG78" s="1591"/>
      <c r="AH78" s="39">
        <f t="shared" si="12"/>
        <v>846.76699999999994</v>
      </c>
    </row>
    <row r="79" spans="1:36" ht="15">
      <c r="A79" s="1054" t="s">
        <v>80</v>
      </c>
      <c r="B79" s="1055">
        <f t="shared" si="11"/>
        <v>23.63</v>
      </c>
      <c r="C79" s="35"/>
      <c r="D79" s="15"/>
      <c r="E79" s="15"/>
      <c r="F79" s="15"/>
      <c r="G79" s="15"/>
      <c r="H79" s="15"/>
      <c r="I79" s="15"/>
      <c r="J79" s="35"/>
      <c r="K79" s="35"/>
      <c r="L79" s="15"/>
      <c r="M79" s="15"/>
      <c r="N79" s="15"/>
      <c r="O79" s="15"/>
      <c r="P79" s="15"/>
      <c r="Q79" s="15"/>
      <c r="R79" s="15"/>
      <c r="S79" s="15"/>
      <c r="T79" s="15"/>
      <c r="U79" s="15">
        <v>18.13</v>
      </c>
      <c r="V79" s="15"/>
      <c r="W79" s="15"/>
      <c r="X79" s="15"/>
      <c r="Y79" s="15"/>
      <c r="Z79" s="15">
        <v>5.5</v>
      </c>
      <c r="AA79" s="15"/>
      <c r="AB79" s="15"/>
      <c r="AC79" s="15"/>
      <c r="AD79" s="15"/>
      <c r="AE79" s="15"/>
      <c r="AF79" s="15"/>
      <c r="AG79" s="15"/>
      <c r="AH79" s="39">
        <f t="shared" si="12"/>
        <v>23.63</v>
      </c>
    </row>
    <row r="80" spans="1:36" ht="15">
      <c r="A80" s="1054" t="s">
        <v>81</v>
      </c>
      <c r="B80" s="1055">
        <f t="shared" si="11"/>
        <v>6.8199999999999994</v>
      </c>
      <c r="C80" s="31"/>
      <c r="D80" s="31"/>
      <c r="E80" s="31"/>
      <c r="F80" s="31"/>
      <c r="G80" s="31"/>
      <c r="H80" s="31"/>
      <c r="I80" s="31"/>
      <c r="J80" s="31"/>
      <c r="K80" s="31"/>
      <c r="L80" s="31"/>
      <c r="M80" s="31"/>
      <c r="N80" s="31"/>
      <c r="O80" s="31"/>
      <c r="P80" s="31"/>
      <c r="Q80" s="113"/>
      <c r="R80" s="113"/>
      <c r="S80" s="113"/>
      <c r="T80" s="113"/>
      <c r="U80" s="113"/>
      <c r="V80" s="113"/>
      <c r="W80" s="113"/>
      <c r="X80" s="113"/>
      <c r="Y80" s="113"/>
      <c r="Z80" s="113"/>
      <c r="AA80" s="113">
        <v>4.0199999999999996</v>
      </c>
      <c r="AB80" s="113" t="s">
        <v>398</v>
      </c>
      <c r="AC80" s="113" t="s">
        <v>398</v>
      </c>
      <c r="AD80" s="113" t="s">
        <v>398</v>
      </c>
      <c r="AE80" s="15">
        <v>2.8</v>
      </c>
      <c r="AF80" s="113" t="s">
        <v>398</v>
      </c>
      <c r="AG80" s="113" t="s">
        <v>398</v>
      </c>
      <c r="AH80" s="39">
        <f t="shared" si="12"/>
        <v>6.8199999999999994</v>
      </c>
    </row>
    <row r="81" spans="1:36" ht="15">
      <c r="A81" s="1054" t="s">
        <v>82</v>
      </c>
      <c r="B81" s="19">
        <f t="shared" si="11"/>
        <v>0</v>
      </c>
      <c r="C81" s="113" t="s">
        <v>110</v>
      </c>
      <c r="D81" s="1718" t="s">
        <v>110</v>
      </c>
      <c r="E81" s="113" t="s">
        <v>110</v>
      </c>
      <c r="F81" s="113" t="s">
        <v>110</v>
      </c>
      <c r="G81" s="113" t="s">
        <v>110</v>
      </c>
      <c r="H81" s="113" t="s">
        <v>110</v>
      </c>
      <c r="I81" s="113" t="s">
        <v>110</v>
      </c>
      <c r="J81" s="113" t="s">
        <v>110</v>
      </c>
      <c r="K81" s="113" t="s">
        <v>110</v>
      </c>
      <c r="L81" s="113" t="s">
        <v>110</v>
      </c>
      <c r="M81" s="113" t="s">
        <v>110</v>
      </c>
      <c r="N81" s="113" t="s">
        <v>110</v>
      </c>
      <c r="O81" s="113" t="s">
        <v>110</v>
      </c>
      <c r="P81" s="113" t="s">
        <v>110</v>
      </c>
      <c r="Q81" s="113" t="s">
        <v>110</v>
      </c>
      <c r="R81" s="113" t="s">
        <v>110</v>
      </c>
      <c r="S81" s="113" t="s">
        <v>110</v>
      </c>
      <c r="T81" s="113" t="s">
        <v>110</v>
      </c>
      <c r="U81" s="113" t="s">
        <v>110</v>
      </c>
      <c r="V81" s="113" t="s">
        <v>110</v>
      </c>
      <c r="W81" s="113" t="s">
        <v>110</v>
      </c>
      <c r="X81" s="113" t="s">
        <v>110</v>
      </c>
      <c r="Y81" s="113" t="s">
        <v>110</v>
      </c>
      <c r="Z81" s="113" t="s">
        <v>110</v>
      </c>
      <c r="AA81" s="113" t="s">
        <v>110</v>
      </c>
      <c r="AB81" s="113" t="s">
        <v>110</v>
      </c>
      <c r="AC81" s="113" t="s">
        <v>110</v>
      </c>
      <c r="AD81" s="113" t="s">
        <v>110</v>
      </c>
      <c r="AE81" s="113" t="s">
        <v>110</v>
      </c>
      <c r="AF81" s="113" t="s">
        <v>110</v>
      </c>
      <c r="AG81" s="113" t="s">
        <v>110</v>
      </c>
      <c r="AH81" s="39">
        <f t="shared" si="12"/>
        <v>0</v>
      </c>
    </row>
    <row r="82" spans="1:36" ht="15">
      <c r="A82" s="1054" t="s">
        <v>83</v>
      </c>
      <c r="B82" s="19">
        <f t="shared" si="11"/>
        <v>438.20099999999996</v>
      </c>
      <c r="C82" s="113"/>
      <c r="D82" s="1718"/>
      <c r="E82" s="113"/>
      <c r="F82" s="113"/>
      <c r="G82" s="113"/>
      <c r="H82" s="113"/>
      <c r="I82" s="113"/>
      <c r="J82" s="113"/>
      <c r="K82" s="113"/>
      <c r="L82" s="113"/>
      <c r="M82" s="113"/>
      <c r="N82" s="113"/>
      <c r="O82" s="113"/>
      <c r="P82" s="113"/>
      <c r="Q82" s="113"/>
      <c r="R82" s="34"/>
      <c r="S82" s="34"/>
      <c r="T82" s="34">
        <v>50.01</v>
      </c>
      <c r="U82" s="34">
        <v>44.68</v>
      </c>
      <c r="V82" s="34"/>
      <c r="W82" s="34">
        <v>22.7</v>
      </c>
      <c r="X82" s="34"/>
      <c r="Y82" s="34"/>
      <c r="Z82" s="34">
        <v>26.05</v>
      </c>
      <c r="AA82" s="34">
        <v>39.56</v>
      </c>
      <c r="AB82" s="34">
        <v>85.491</v>
      </c>
      <c r="AC82" s="34">
        <v>91.41</v>
      </c>
      <c r="AD82" s="34">
        <v>47.63</v>
      </c>
      <c r="AE82" s="34">
        <v>30.67</v>
      </c>
      <c r="AF82" s="34"/>
      <c r="AG82" s="31"/>
      <c r="AH82" s="39">
        <f t="shared" si="12"/>
        <v>438.20099999999996</v>
      </c>
    </row>
    <row r="83" spans="1:36" ht="15">
      <c r="A83" s="1054" t="s">
        <v>84</v>
      </c>
      <c r="B83" s="19">
        <f t="shared" si="11"/>
        <v>1318.1640000000002</v>
      </c>
      <c r="C83" s="35"/>
      <c r="D83" s="15">
        <v>11.071999999999999</v>
      </c>
      <c r="E83" s="15">
        <v>9.17</v>
      </c>
      <c r="F83" s="15">
        <v>15.33</v>
      </c>
      <c r="G83" s="15"/>
      <c r="H83" s="15"/>
      <c r="I83" s="15"/>
      <c r="J83" s="15"/>
      <c r="K83" s="15">
        <v>29.21</v>
      </c>
      <c r="L83" s="15"/>
      <c r="M83" s="15"/>
      <c r="N83" s="15">
        <v>64.471000000000004</v>
      </c>
      <c r="O83" s="15">
        <v>49.56</v>
      </c>
      <c r="P83" s="15"/>
      <c r="Q83" s="15">
        <v>145.16999999999999</v>
      </c>
      <c r="R83" s="15">
        <v>108.544</v>
      </c>
      <c r="S83" s="15">
        <v>49.344000000000001</v>
      </c>
      <c r="T83" s="15">
        <v>96.050999999999988</v>
      </c>
      <c r="U83" s="15"/>
      <c r="V83" s="15">
        <v>145.339</v>
      </c>
      <c r="W83" s="15"/>
      <c r="X83" s="15">
        <v>180.24</v>
      </c>
      <c r="Y83" s="15">
        <v>102.98</v>
      </c>
      <c r="Z83" s="15">
        <v>68.25</v>
      </c>
      <c r="AA83" s="15"/>
      <c r="AB83" s="15"/>
      <c r="AC83" s="15">
        <v>162.833</v>
      </c>
      <c r="AD83" s="15"/>
      <c r="AE83" s="39">
        <v>62.15</v>
      </c>
      <c r="AF83" s="15">
        <v>18.45</v>
      </c>
      <c r="AG83" s="39"/>
      <c r="AH83" s="39">
        <f t="shared" si="12"/>
        <v>1318.1640000000002</v>
      </c>
    </row>
    <row r="84" spans="1:36" ht="15">
      <c r="A84" s="71" t="s">
        <v>72</v>
      </c>
      <c r="B84" s="74">
        <f>SUM(B72:B83)</f>
        <v>5569.7780000000002</v>
      </c>
      <c r="C84" s="32">
        <f>SUM(C72:C82)</f>
        <v>102.798</v>
      </c>
      <c r="D84" s="39">
        <f>SUM(D72:D82)</f>
        <v>210.43</v>
      </c>
      <c r="E84" s="39">
        <v>0</v>
      </c>
      <c r="F84" s="39">
        <f t="shared" ref="F84:AC84" si="13">SUM(F72:F82)</f>
        <v>357.839</v>
      </c>
      <c r="G84" s="39">
        <f t="shared" si="13"/>
        <v>209.137</v>
      </c>
      <c r="H84" s="39">
        <f t="shared" si="13"/>
        <v>149.03</v>
      </c>
      <c r="I84" s="39">
        <f t="shared" si="13"/>
        <v>228.84399999999999</v>
      </c>
      <c r="J84" s="39">
        <f t="shared" si="13"/>
        <v>100.11799999999999</v>
      </c>
      <c r="K84" s="39">
        <f t="shared" si="13"/>
        <v>50.488999999999997</v>
      </c>
      <c r="L84" s="39">
        <f t="shared" si="13"/>
        <v>35.747999999999998</v>
      </c>
      <c r="M84" s="39">
        <f t="shared" si="13"/>
        <v>113.964</v>
      </c>
      <c r="N84" s="39">
        <f t="shared" si="13"/>
        <v>157.34</v>
      </c>
      <c r="O84" s="39">
        <f t="shared" si="13"/>
        <v>239.76499999999999</v>
      </c>
      <c r="P84" s="39">
        <f t="shared" si="13"/>
        <v>63.21</v>
      </c>
      <c r="Q84" s="39">
        <f t="shared" si="13"/>
        <v>97.22</v>
      </c>
      <c r="R84" s="39">
        <f t="shared" si="13"/>
        <v>0</v>
      </c>
      <c r="S84" s="39">
        <f t="shared" si="13"/>
        <v>44.18</v>
      </c>
      <c r="T84" s="39">
        <f t="shared" si="13"/>
        <v>90.9</v>
      </c>
      <c r="U84" s="39">
        <f t="shared" si="13"/>
        <v>122.10999999999999</v>
      </c>
      <c r="V84" s="39">
        <f t="shared" si="13"/>
        <v>32.270000000000003</v>
      </c>
      <c r="W84" s="39">
        <f t="shared" si="13"/>
        <v>121.682</v>
      </c>
      <c r="X84" s="39">
        <f t="shared" si="13"/>
        <v>203.82</v>
      </c>
      <c r="Y84" s="39">
        <f t="shared" si="13"/>
        <v>150.25900000000001</v>
      </c>
      <c r="Z84" s="39">
        <f t="shared" si="13"/>
        <v>219.65800000000002</v>
      </c>
      <c r="AA84" s="39">
        <f t="shared" si="13"/>
        <v>43.58</v>
      </c>
      <c r="AB84" s="39">
        <f t="shared" si="13"/>
        <v>278.84999999999997</v>
      </c>
      <c r="AC84" s="39">
        <f t="shared" si="13"/>
        <v>107.22</v>
      </c>
      <c r="AD84" s="39">
        <v>0</v>
      </c>
      <c r="AE84" s="39">
        <f>SUM(AE72:AE82)</f>
        <v>144.88</v>
      </c>
      <c r="AF84" s="39">
        <f>SUM(AF72:AF82)</f>
        <v>19.41</v>
      </c>
      <c r="AG84" s="39">
        <f>SUM(AG72:AG82)</f>
        <v>261.815</v>
      </c>
      <c r="AH84" s="32">
        <f>SUM(AH72:AH83)</f>
        <v>5569.7780000000002</v>
      </c>
    </row>
    <row r="85" spans="1:36" ht="15">
      <c r="A85" s="1691"/>
      <c r="B85" s="1687"/>
      <c r="C85" s="1686"/>
      <c r="D85" s="1686"/>
      <c r="E85" s="1686"/>
      <c r="F85" s="1686"/>
      <c r="G85" s="1686"/>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13"/>
    </row>
    <row r="86" spans="1:36" ht="15">
      <c r="A86" s="3872" t="s">
        <v>592</v>
      </c>
      <c r="B86" s="3873"/>
      <c r="C86" s="3873"/>
      <c r="D86" s="3873"/>
      <c r="E86" s="3873"/>
      <c r="F86" s="3873"/>
      <c r="G86" s="3873"/>
      <c r="H86" s="3874"/>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row>
    <row r="87" spans="1:36" ht="15">
      <c r="A87" s="5" t="s">
        <v>89</v>
      </c>
      <c r="B87" s="56" t="s">
        <v>71</v>
      </c>
      <c r="C87" s="1054">
        <v>1</v>
      </c>
      <c r="D87" s="21">
        <v>2</v>
      </c>
      <c r="E87" s="21">
        <v>3</v>
      </c>
      <c r="F87" s="21">
        <v>4</v>
      </c>
      <c r="G87" s="21">
        <v>5</v>
      </c>
      <c r="H87" s="21">
        <v>6</v>
      </c>
      <c r="I87" s="21">
        <v>7</v>
      </c>
      <c r="J87" s="21">
        <v>8</v>
      </c>
      <c r="K87" s="21">
        <v>9</v>
      </c>
      <c r="L87" s="21">
        <v>10</v>
      </c>
      <c r="M87" s="21">
        <v>11</v>
      </c>
      <c r="N87" s="21">
        <v>12</v>
      </c>
      <c r="O87" s="21">
        <v>13</v>
      </c>
      <c r="P87" s="21">
        <v>14</v>
      </c>
      <c r="Q87" s="21">
        <v>15</v>
      </c>
      <c r="R87" s="21">
        <v>16</v>
      </c>
      <c r="S87" s="21">
        <v>17</v>
      </c>
      <c r="T87" s="21">
        <v>18</v>
      </c>
      <c r="U87" s="21">
        <v>19</v>
      </c>
      <c r="V87" s="21">
        <v>20</v>
      </c>
      <c r="W87" s="21">
        <v>21</v>
      </c>
      <c r="X87" s="21">
        <v>22</v>
      </c>
      <c r="Y87" s="21">
        <v>23</v>
      </c>
      <c r="Z87" s="21">
        <v>24</v>
      </c>
      <c r="AA87" s="21">
        <v>25</v>
      </c>
      <c r="AB87" s="21">
        <v>26</v>
      </c>
      <c r="AC87" s="21">
        <v>27</v>
      </c>
      <c r="AD87" s="21">
        <v>28</v>
      </c>
      <c r="AE87" s="21">
        <v>29</v>
      </c>
      <c r="AF87" s="21">
        <v>30</v>
      </c>
      <c r="AG87" s="21">
        <v>31</v>
      </c>
      <c r="AH87" s="25" t="s">
        <v>72</v>
      </c>
      <c r="AI87" s="2266" t="s">
        <v>1345</v>
      </c>
      <c r="AJ87" s="66">
        <f>(B100/COUNTIF($C$88:$AG$99,"&gt;0"))</f>
        <v>49.148459459459453</v>
      </c>
    </row>
    <row r="88" spans="1:36" ht="15">
      <c r="A88" s="1719" t="s">
        <v>73</v>
      </c>
      <c r="B88" s="1055">
        <f t="shared" ref="B88:B99" si="14">+AH88</f>
        <v>0</v>
      </c>
      <c r="C88" s="94"/>
      <c r="D88" s="94"/>
      <c r="E88" s="94"/>
      <c r="F88" s="94"/>
      <c r="G88" s="1091"/>
      <c r="H88" s="1091"/>
      <c r="I88" s="1091"/>
      <c r="J88" s="1091"/>
      <c r="K88" s="1091"/>
      <c r="L88" s="1091"/>
      <c r="M88" s="1091"/>
      <c r="N88" s="1091"/>
      <c r="O88" s="1091"/>
      <c r="P88" s="1091"/>
      <c r="Q88" s="1091"/>
      <c r="R88" s="1091"/>
      <c r="S88" s="1091"/>
      <c r="T88" s="1091"/>
      <c r="U88" s="1091"/>
      <c r="V88" s="1091"/>
      <c r="W88" s="1091"/>
      <c r="X88" s="1091"/>
      <c r="Y88" s="1091"/>
      <c r="Z88" s="1091"/>
      <c r="AA88" s="1091"/>
      <c r="AB88" s="1091"/>
      <c r="AC88" s="1091"/>
      <c r="AD88" s="1091"/>
      <c r="AE88" s="1091"/>
      <c r="AF88" s="1091"/>
      <c r="AG88" s="94"/>
      <c r="AH88" s="99">
        <f>SUM(C88:AG88)</f>
        <v>0</v>
      </c>
      <c r="AJ88">
        <f>+'Resumen RAE S. Austral'!G20</f>
        <v>-41.492999999999938</v>
      </c>
    </row>
    <row r="89" spans="1:36" ht="15">
      <c r="A89" s="1719" t="s">
        <v>74</v>
      </c>
      <c r="B89" s="1055">
        <f t="shared" si="14"/>
        <v>193.85300000000001</v>
      </c>
      <c r="C89" s="35"/>
      <c r="D89" s="35"/>
      <c r="E89" s="15"/>
      <c r="F89" s="15"/>
      <c r="G89" s="1091"/>
      <c r="H89" s="1091"/>
      <c r="I89" s="1091"/>
      <c r="J89" s="1091"/>
      <c r="K89" s="1091"/>
      <c r="L89" s="1091"/>
      <c r="M89" s="1091"/>
      <c r="N89" s="1091"/>
      <c r="O89" s="1091">
        <v>72.8</v>
      </c>
      <c r="P89" s="1091"/>
      <c r="Q89" s="1091">
        <v>27.09</v>
      </c>
      <c r="R89" s="1091"/>
      <c r="S89" s="1091"/>
      <c r="T89" s="1091"/>
      <c r="U89" s="1091"/>
      <c r="V89" s="1091"/>
      <c r="W89" s="1091"/>
      <c r="X89" s="1091"/>
      <c r="Y89" s="1091"/>
      <c r="Z89" s="1091"/>
      <c r="AA89" s="1091"/>
      <c r="AB89" s="1091">
        <v>41.329000000000001</v>
      </c>
      <c r="AC89" s="1091">
        <v>39.393999999999998</v>
      </c>
      <c r="AD89" s="1091">
        <v>13.24</v>
      </c>
      <c r="AE89" s="1091"/>
      <c r="AF89" s="1091"/>
      <c r="AG89" s="15"/>
      <c r="AH89" s="39">
        <f>SUM(C89:AG89)</f>
        <v>193.85300000000001</v>
      </c>
      <c r="AJ89" s="1093">
        <f>+AJ88/AJ87</f>
        <v>-0.84423805865625989</v>
      </c>
    </row>
    <row r="90" spans="1:36" ht="15">
      <c r="A90" s="1719" t="s">
        <v>75</v>
      </c>
      <c r="B90" s="1055">
        <f t="shared" si="14"/>
        <v>187.304</v>
      </c>
      <c r="C90" s="35">
        <v>21.356000000000002</v>
      </c>
      <c r="D90" s="15"/>
      <c r="E90" s="15">
        <v>4.8079999999999998</v>
      </c>
      <c r="F90" s="15"/>
      <c r="G90" s="15"/>
      <c r="H90" s="15"/>
      <c r="I90" s="15"/>
      <c r="J90" s="15">
        <v>38.479999999999997</v>
      </c>
      <c r="K90" s="15"/>
      <c r="L90" s="15"/>
      <c r="M90" s="15">
        <v>70.06</v>
      </c>
      <c r="N90" s="15"/>
      <c r="O90" s="15">
        <v>22.94</v>
      </c>
      <c r="P90" s="15">
        <v>29.66</v>
      </c>
      <c r="Q90" s="1084"/>
      <c r="R90" s="1084"/>
      <c r="S90" s="1084"/>
      <c r="T90" s="1084"/>
      <c r="U90" s="1084"/>
      <c r="V90" s="1084"/>
      <c r="W90" s="1084"/>
      <c r="X90" s="1084"/>
      <c r="Y90" s="1084"/>
      <c r="Z90" s="1084"/>
      <c r="AA90" s="1084"/>
      <c r="AB90" s="1084"/>
      <c r="AC90" s="1084"/>
      <c r="AD90" s="1084"/>
      <c r="AE90" s="1084"/>
      <c r="AF90" s="1084"/>
      <c r="AG90" s="1084"/>
      <c r="AH90" s="99">
        <f>SUM(C90:AG90)</f>
        <v>187.304</v>
      </c>
    </row>
    <row r="91" spans="1:36" ht="15">
      <c r="A91" s="1719" t="s">
        <v>76</v>
      </c>
      <c r="B91" s="1055">
        <f t="shared" si="14"/>
        <v>0</v>
      </c>
      <c r="C91" s="1084"/>
      <c r="D91" s="1084"/>
      <c r="E91" s="1084"/>
      <c r="F91" s="1084"/>
      <c r="G91" s="1084"/>
      <c r="H91" s="1084"/>
      <c r="I91" s="1084"/>
      <c r="J91" s="1084"/>
      <c r="K91" s="1084"/>
      <c r="L91" s="1084"/>
      <c r="M91" s="1084"/>
      <c r="N91" s="1084"/>
      <c r="O91" s="1084"/>
      <c r="P91" s="1084"/>
      <c r="Q91" s="1084"/>
      <c r="R91" s="1084"/>
      <c r="S91" s="1084"/>
      <c r="T91" s="1084"/>
      <c r="U91" s="1084"/>
      <c r="V91" s="1084"/>
      <c r="W91" s="1084"/>
      <c r="X91" s="1084"/>
      <c r="Y91" s="1084"/>
      <c r="Z91" s="1084"/>
      <c r="AA91" s="1084"/>
      <c r="AB91" s="1084"/>
      <c r="AC91" s="1084"/>
      <c r="AD91" s="1084"/>
      <c r="AE91" s="1084"/>
      <c r="AF91" s="1084" t="s">
        <v>110</v>
      </c>
      <c r="AG91" s="1084" t="s">
        <v>110</v>
      </c>
      <c r="AH91" s="39">
        <f t="shared" ref="AH91:AH99" si="15">SUM(C91:AG91)</f>
        <v>0</v>
      </c>
    </row>
    <row r="92" spans="1:36" ht="15">
      <c r="A92" s="1719" t="s">
        <v>77</v>
      </c>
      <c r="B92" s="1055">
        <f>+AH92</f>
        <v>243.49700000000001</v>
      </c>
      <c r="C92" s="1084" t="s">
        <v>110</v>
      </c>
      <c r="D92" s="1084" t="s">
        <v>110</v>
      </c>
      <c r="E92" s="1084" t="s">
        <v>110</v>
      </c>
      <c r="F92" s="1084" t="s">
        <v>110</v>
      </c>
      <c r="G92" s="1084" t="s">
        <v>110</v>
      </c>
      <c r="H92" s="1084" t="s">
        <v>110</v>
      </c>
      <c r="I92" s="1084" t="s">
        <v>110</v>
      </c>
      <c r="J92" s="1084" t="s">
        <v>110</v>
      </c>
      <c r="K92" s="1084" t="s">
        <v>110</v>
      </c>
      <c r="L92" s="1084" t="s">
        <v>110</v>
      </c>
      <c r="M92" s="1084" t="s">
        <v>110</v>
      </c>
      <c r="N92" s="1084" t="s">
        <v>110</v>
      </c>
      <c r="O92" s="1084" t="s">
        <v>110</v>
      </c>
      <c r="P92" s="1084" t="s">
        <v>110</v>
      </c>
      <c r="Q92" s="1084" t="s">
        <v>110</v>
      </c>
      <c r="R92" s="15"/>
      <c r="S92" s="15"/>
      <c r="T92" s="15"/>
      <c r="U92" s="15">
        <v>14.006</v>
      </c>
      <c r="V92" s="15"/>
      <c r="W92" s="15">
        <v>11.356</v>
      </c>
      <c r="X92" s="15">
        <v>41.164000000000001</v>
      </c>
      <c r="Y92" s="15">
        <v>114.387</v>
      </c>
      <c r="Z92" s="15"/>
      <c r="AA92" s="15"/>
      <c r="AB92" s="15"/>
      <c r="AC92" s="15"/>
      <c r="AD92" s="15">
        <v>62.584000000000003</v>
      </c>
      <c r="AE92" s="15"/>
      <c r="AF92" s="15"/>
      <c r="AG92" s="15"/>
      <c r="AH92" s="39">
        <f>SUM(C92:AG92)</f>
        <v>243.49700000000001</v>
      </c>
    </row>
    <row r="93" spans="1:36" ht="15">
      <c r="A93" s="1719" t="s">
        <v>78</v>
      </c>
      <c r="B93" s="1055">
        <f t="shared" si="14"/>
        <v>376.02100000000002</v>
      </c>
      <c r="C93" s="1091"/>
      <c r="D93" s="1091"/>
      <c r="E93" s="1091"/>
      <c r="F93" s="1091"/>
      <c r="G93" s="1091">
        <v>0</v>
      </c>
      <c r="H93" s="1091"/>
      <c r="I93" s="1091"/>
      <c r="J93" s="1091"/>
      <c r="K93" s="1091"/>
      <c r="L93" s="1091"/>
      <c r="M93" s="1091"/>
      <c r="N93" s="1091">
        <v>132.14099999999999</v>
      </c>
      <c r="O93" s="1091">
        <v>221.2</v>
      </c>
      <c r="P93" s="1091"/>
      <c r="Q93" s="15"/>
      <c r="R93" s="15"/>
      <c r="S93" s="15">
        <v>22.68</v>
      </c>
      <c r="T93" s="15"/>
      <c r="U93" s="15"/>
      <c r="V93" s="15"/>
      <c r="W93" s="15"/>
      <c r="X93" s="15"/>
      <c r="Y93" s="15"/>
      <c r="Z93" s="15"/>
      <c r="AA93" s="15"/>
      <c r="AB93" s="15"/>
      <c r="AC93" s="15"/>
      <c r="AD93" s="15"/>
      <c r="AE93" s="15"/>
      <c r="AF93" s="15"/>
      <c r="AG93" s="15"/>
      <c r="AH93" s="39">
        <f t="shared" si="15"/>
        <v>376.02100000000002</v>
      </c>
    </row>
    <row r="94" spans="1:36" ht="15">
      <c r="A94" s="1054" t="s">
        <v>79</v>
      </c>
      <c r="B94" s="1055">
        <f t="shared" si="14"/>
        <v>0</v>
      </c>
      <c r="C94" s="35"/>
      <c r="D94" s="15"/>
      <c r="E94" s="15"/>
      <c r="F94" s="15"/>
      <c r="G94" s="15"/>
      <c r="H94" s="15"/>
      <c r="I94" s="15"/>
      <c r="J94" s="35"/>
      <c r="K94" s="35"/>
      <c r="L94" s="15"/>
      <c r="M94" s="15"/>
      <c r="N94" s="15"/>
      <c r="O94" s="15"/>
      <c r="P94" s="15"/>
      <c r="Q94" s="15"/>
      <c r="R94" s="15"/>
      <c r="S94" s="15"/>
      <c r="T94" s="15"/>
      <c r="U94" s="15"/>
      <c r="V94" s="15"/>
      <c r="W94" s="15"/>
      <c r="X94" s="15"/>
      <c r="Y94" s="15"/>
      <c r="Z94" s="15"/>
      <c r="AA94" s="15"/>
      <c r="AB94" s="15"/>
      <c r="AC94" s="15"/>
      <c r="AD94" s="15"/>
      <c r="AE94" s="15"/>
      <c r="AF94" s="15"/>
      <c r="AG94" s="15"/>
      <c r="AH94" s="39">
        <f t="shared" si="15"/>
        <v>0</v>
      </c>
    </row>
    <row r="95" spans="1:36" ht="15">
      <c r="A95" s="1054" t="s">
        <v>80</v>
      </c>
      <c r="B95" s="1055">
        <f t="shared" si="14"/>
        <v>25.888999999999999</v>
      </c>
      <c r="C95" s="35"/>
      <c r="D95" s="15"/>
      <c r="E95" s="15"/>
      <c r="F95" s="15"/>
      <c r="G95" s="15"/>
      <c r="H95" s="15"/>
      <c r="I95" s="15"/>
      <c r="J95" s="35"/>
      <c r="K95" s="35"/>
      <c r="L95" s="15"/>
      <c r="M95" s="15"/>
      <c r="N95" s="15"/>
      <c r="O95" s="15"/>
      <c r="P95" s="15"/>
      <c r="Q95" s="15"/>
      <c r="R95" s="15"/>
      <c r="S95" s="15"/>
      <c r="T95" s="15"/>
      <c r="U95" s="15"/>
      <c r="V95" s="15"/>
      <c r="W95" s="15"/>
      <c r="X95" s="15"/>
      <c r="Y95" s="15"/>
      <c r="Z95" s="15"/>
      <c r="AA95" s="15"/>
      <c r="AB95" s="15">
        <v>10.247999999999999</v>
      </c>
      <c r="AC95" s="15"/>
      <c r="AD95" s="15">
        <v>15.641</v>
      </c>
      <c r="AE95" s="15"/>
      <c r="AF95" s="15"/>
      <c r="AG95" s="15"/>
      <c r="AH95" s="39">
        <f t="shared" si="15"/>
        <v>25.888999999999999</v>
      </c>
    </row>
    <row r="96" spans="1:36" ht="15">
      <c r="A96" s="1054" t="s">
        <v>81</v>
      </c>
      <c r="B96" s="1055">
        <f t="shared" si="14"/>
        <v>24.36</v>
      </c>
      <c r="C96" s="31"/>
      <c r="D96" s="31"/>
      <c r="E96" s="31">
        <v>5.61</v>
      </c>
      <c r="F96" s="31"/>
      <c r="G96" s="31"/>
      <c r="H96" s="31"/>
      <c r="I96" s="31"/>
      <c r="J96" s="31"/>
      <c r="K96" s="31"/>
      <c r="L96" s="31"/>
      <c r="M96" s="31"/>
      <c r="N96" s="31"/>
      <c r="O96" s="31">
        <v>18.75</v>
      </c>
      <c r="P96" s="31"/>
      <c r="Q96" s="113" t="s">
        <v>398</v>
      </c>
      <c r="R96" s="113" t="s">
        <v>398</v>
      </c>
      <c r="S96" s="113" t="s">
        <v>398</v>
      </c>
      <c r="T96" s="113" t="s">
        <v>398</v>
      </c>
      <c r="U96" s="113" t="s">
        <v>398</v>
      </c>
      <c r="V96" s="113" t="s">
        <v>398</v>
      </c>
      <c r="W96" s="113" t="s">
        <v>398</v>
      </c>
      <c r="X96" s="113" t="s">
        <v>398</v>
      </c>
      <c r="Y96" s="113" t="s">
        <v>398</v>
      </c>
      <c r="Z96" s="113" t="s">
        <v>398</v>
      </c>
      <c r="AA96" s="113" t="s">
        <v>398</v>
      </c>
      <c r="AB96" s="113" t="s">
        <v>398</v>
      </c>
      <c r="AC96" s="113" t="s">
        <v>398</v>
      </c>
      <c r="AD96" s="113" t="s">
        <v>398</v>
      </c>
      <c r="AE96" s="113" t="s">
        <v>398</v>
      </c>
      <c r="AF96" s="113" t="s">
        <v>398</v>
      </c>
      <c r="AG96" s="113" t="s">
        <v>398</v>
      </c>
      <c r="AH96" s="39">
        <f t="shared" si="15"/>
        <v>24.36</v>
      </c>
    </row>
    <row r="97" spans="1:36" ht="15">
      <c r="A97" s="1054" t="s">
        <v>82</v>
      </c>
      <c r="B97" s="19">
        <f t="shared" si="14"/>
        <v>0</v>
      </c>
      <c r="C97" s="113" t="s">
        <v>110</v>
      </c>
      <c r="D97" s="1718" t="s">
        <v>110</v>
      </c>
      <c r="E97" s="113" t="s">
        <v>110</v>
      </c>
      <c r="F97" s="113" t="s">
        <v>110</v>
      </c>
      <c r="G97" s="113" t="s">
        <v>110</v>
      </c>
      <c r="H97" s="113" t="s">
        <v>110</v>
      </c>
      <c r="I97" s="113" t="s">
        <v>110</v>
      </c>
      <c r="J97" s="113" t="s">
        <v>110</v>
      </c>
      <c r="K97" s="113" t="s">
        <v>110</v>
      </c>
      <c r="L97" s="113" t="s">
        <v>110</v>
      </c>
      <c r="M97" s="113" t="s">
        <v>110</v>
      </c>
      <c r="N97" s="113" t="s">
        <v>110</v>
      </c>
      <c r="O97" s="113" t="s">
        <v>110</v>
      </c>
      <c r="P97" s="113" t="s">
        <v>110</v>
      </c>
      <c r="Q97" s="113" t="s">
        <v>110</v>
      </c>
      <c r="R97" s="113" t="s">
        <v>110</v>
      </c>
      <c r="S97" s="113" t="s">
        <v>110</v>
      </c>
      <c r="T97" s="113" t="s">
        <v>110</v>
      </c>
      <c r="U97" s="113" t="s">
        <v>110</v>
      </c>
      <c r="V97" s="113" t="s">
        <v>110</v>
      </c>
      <c r="W97" s="113" t="s">
        <v>110</v>
      </c>
      <c r="X97" s="113" t="s">
        <v>110</v>
      </c>
      <c r="Y97" s="113" t="s">
        <v>110</v>
      </c>
      <c r="Z97" s="113" t="s">
        <v>110</v>
      </c>
      <c r="AA97" s="113" t="s">
        <v>110</v>
      </c>
      <c r="AB97" s="113" t="s">
        <v>110</v>
      </c>
      <c r="AC97" s="113" t="s">
        <v>110</v>
      </c>
      <c r="AD97" s="113" t="s">
        <v>110</v>
      </c>
      <c r="AE97" s="113" t="s">
        <v>110</v>
      </c>
      <c r="AF97" s="113" t="s">
        <v>110</v>
      </c>
      <c r="AG97" s="113" t="s">
        <v>110</v>
      </c>
      <c r="AH97" s="39">
        <f t="shared" si="15"/>
        <v>0</v>
      </c>
    </row>
    <row r="98" spans="1:36" ht="15">
      <c r="A98" s="1054" t="s">
        <v>83</v>
      </c>
      <c r="B98" s="19">
        <f t="shared" si="14"/>
        <v>387.32099999999997</v>
      </c>
      <c r="C98" s="113" t="s">
        <v>110</v>
      </c>
      <c r="D98" s="1718" t="s">
        <v>110</v>
      </c>
      <c r="E98" s="113" t="s">
        <v>110</v>
      </c>
      <c r="F98" s="113" t="s">
        <v>110</v>
      </c>
      <c r="G98" s="113" t="s">
        <v>110</v>
      </c>
      <c r="H98" s="113" t="s">
        <v>110</v>
      </c>
      <c r="I98" s="113" t="s">
        <v>110</v>
      </c>
      <c r="J98" s="113" t="s">
        <v>110</v>
      </c>
      <c r="K98" s="113" t="s">
        <v>110</v>
      </c>
      <c r="L98" s="113" t="s">
        <v>110</v>
      </c>
      <c r="M98" s="113" t="s">
        <v>110</v>
      </c>
      <c r="N98" s="113" t="s">
        <v>110</v>
      </c>
      <c r="O98" s="113" t="s">
        <v>110</v>
      </c>
      <c r="P98" s="113" t="s">
        <v>110</v>
      </c>
      <c r="Q98" s="113" t="s">
        <v>110</v>
      </c>
      <c r="R98" s="34"/>
      <c r="S98" s="34">
        <v>25.39</v>
      </c>
      <c r="T98" s="34">
        <v>34.590000000000003</v>
      </c>
      <c r="U98" s="34">
        <v>59.88</v>
      </c>
      <c r="V98" s="34">
        <v>74.08</v>
      </c>
      <c r="W98" s="34"/>
      <c r="X98" s="34"/>
      <c r="Y98" s="34"/>
      <c r="Z98" s="34"/>
      <c r="AA98" s="34">
        <v>134.81399999999999</v>
      </c>
      <c r="AB98" s="34">
        <v>52.356999999999999</v>
      </c>
      <c r="AC98" s="34"/>
      <c r="AD98" s="34"/>
      <c r="AE98" s="34">
        <v>6.21</v>
      </c>
      <c r="AF98" s="34"/>
      <c r="AG98" s="31"/>
      <c r="AH98" s="39">
        <f t="shared" si="15"/>
        <v>387.32099999999997</v>
      </c>
    </row>
    <row r="99" spans="1:36" ht="15">
      <c r="A99" s="1054" t="s">
        <v>84</v>
      </c>
      <c r="B99" s="19">
        <f t="shared" si="14"/>
        <v>380.24800000000005</v>
      </c>
      <c r="C99" s="35"/>
      <c r="D99" s="15">
        <v>13.534000000000001</v>
      </c>
      <c r="E99" s="15"/>
      <c r="F99" s="15"/>
      <c r="G99" s="15"/>
      <c r="H99" s="15"/>
      <c r="I99" s="15"/>
      <c r="J99" s="15"/>
      <c r="K99" s="15"/>
      <c r="L99" s="15"/>
      <c r="M99" s="15"/>
      <c r="N99" s="15"/>
      <c r="O99" s="15"/>
      <c r="P99" s="15"/>
      <c r="Q99" s="15">
        <v>36.938000000000002</v>
      </c>
      <c r="R99" s="15"/>
      <c r="S99" s="15">
        <v>58.85</v>
      </c>
      <c r="T99" s="15"/>
      <c r="U99" s="15"/>
      <c r="V99" s="15"/>
      <c r="W99" s="15"/>
      <c r="X99" s="15">
        <v>56.22</v>
      </c>
      <c r="Y99" s="15"/>
      <c r="Z99" s="15"/>
      <c r="AA99" s="15"/>
      <c r="AB99" s="15">
        <v>121.79600000000001</v>
      </c>
      <c r="AC99" s="15"/>
      <c r="AD99" s="15"/>
      <c r="AE99" s="39">
        <v>23.07</v>
      </c>
      <c r="AF99" s="15">
        <v>69.84</v>
      </c>
      <c r="AG99" s="39"/>
      <c r="AH99" s="39">
        <f t="shared" si="15"/>
        <v>380.24800000000005</v>
      </c>
    </row>
    <row r="100" spans="1:36" ht="15">
      <c r="A100" s="71" t="s">
        <v>72</v>
      </c>
      <c r="B100" s="74">
        <f>SUM(B88:B99)</f>
        <v>1818.4929999999997</v>
      </c>
      <c r="C100" s="32">
        <f>SUM(C88:C98)</f>
        <v>21.356000000000002</v>
      </c>
      <c r="D100" s="39">
        <f>SUM(D88:D98)</f>
        <v>0</v>
      </c>
      <c r="E100" s="39">
        <v>0</v>
      </c>
      <c r="F100" s="39">
        <f t="shared" ref="F100:AC100" si="16">SUM(F88:F98)</f>
        <v>0</v>
      </c>
      <c r="G100" s="39">
        <f t="shared" si="16"/>
        <v>0</v>
      </c>
      <c r="H100" s="39">
        <f t="shared" si="16"/>
        <v>0</v>
      </c>
      <c r="I100" s="39">
        <f t="shared" si="16"/>
        <v>0</v>
      </c>
      <c r="J100" s="39">
        <f t="shared" si="16"/>
        <v>38.479999999999997</v>
      </c>
      <c r="K100" s="39">
        <f t="shared" si="16"/>
        <v>0</v>
      </c>
      <c r="L100" s="39">
        <f t="shared" si="16"/>
        <v>0</v>
      </c>
      <c r="M100" s="39">
        <f t="shared" si="16"/>
        <v>70.06</v>
      </c>
      <c r="N100" s="39">
        <f t="shared" si="16"/>
        <v>132.14099999999999</v>
      </c>
      <c r="O100" s="39">
        <f t="shared" si="16"/>
        <v>335.69</v>
      </c>
      <c r="P100" s="39">
        <f t="shared" si="16"/>
        <v>29.66</v>
      </c>
      <c r="Q100" s="39">
        <f t="shared" si="16"/>
        <v>27.09</v>
      </c>
      <c r="R100" s="39">
        <f t="shared" si="16"/>
        <v>0</v>
      </c>
      <c r="S100" s="39">
        <f t="shared" si="16"/>
        <v>48.07</v>
      </c>
      <c r="T100" s="39">
        <f t="shared" si="16"/>
        <v>34.590000000000003</v>
      </c>
      <c r="U100" s="39">
        <f t="shared" si="16"/>
        <v>73.885999999999996</v>
      </c>
      <c r="V100" s="39">
        <f t="shared" si="16"/>
        <v>74.08</v>
      </c>
      <c r="W100" s="39">
        <f t="shared" si="16"/>
        <v>11.356</v>
      </c>
      <c r="X100" s="39">
        <f t="shared" si="16"/>
        <v>41.164000000000001</v>
      </c>
      <c r="Y100" s="39">
        <f t="shared" si="16"/>
        <v>114.387</v>
      </c>
      <c r="Z100" s="39">
        <f t="shared" si="16"/>
        <v>0</v>
      </c>
      <c r="AA100" s="39">
        <f t="shared" si="16"/>
        <v>134.81399999999999</v>
      </c>
      <c r="AB100" s="39">
        <f t="shared" si="16"/>
        <v>103.934</v>
      </c>
      <c r="AC100" s="39">
        <f t="shared" si="16"/>
        <v>39.393999999999998</v>
      </c>
      <c r="AD100" s="39">
        <v>0</v>
      </c>
      <c r="AE100" s="39">
        <f>SUM(AE88:AE98)</f>
        <v>6.21</v>
      </c>
      <c r="AF100" s="39">
        <f>SUM(AF88:AF98)</f>
        <v>0</v>
      </c>
      <c r="AG100" s="39">
        <f>SUM(AG88:AG98)</f>
        <v>0</v>
      </c>
      <c r="AH100" s="32">
        <f>SUM(AH88:AH99)</f>
        <v>1818.4929999999997</v>
      </c>
    </row>
    <row r="101" spans="1:36" ht="15">
      <c r="A101" s="1559"/>
      <c r="B101" s="1688"/>
      <c r="C101" s="1229"/>
      <c r="D101" s="1229"/>
      <c r="E101" s="1229"/>
      <c r="F101" s="1229"/>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row>
    <row r="102" spans="1:36" ht="15">
      <c r="A102" s="3821" t="s">
        <v>61</v>
      </c>
      <c r="B102" s="3822"/>
      <c r="C102" s="3822"/>
      <c r="D102" s="3822"/>
      <c r="E102" s="3822"/>
      <c r="F102" s="3822"/>
      <c r="G102" s="3822"/>
      <c r="H102" s="3823"/>
      <c r="I102" s="858"/>
      <c r="J102" s="858"/>
      <c r="K102" s="858"/>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row>
    <row r="103" spans="1:36" ht="15">
      <c r="A103" s="5" t="s">
        <v>89</v>
      </c>
      <c r="B103" s="56" t="s">
        <v>71</v>
      </c>
      <c r="C103" s="1054">
        <v>1</v>
      </c>
      <c r="D103" s="21">
        <v>2</v>
      </c>
      <c r="E103" s="21">
        <v>3</v>
      </c>
      <c r="F103" s="21">
        <v>4</v>
      </c>
      <c r="G103" s="21">
        <v>5</v>
      </c>
      <c r="H103" s="21">
        <v>6</v>
      </c>
      <c r="I103" s="21">
        <v>7</v>
      </c>
      <c r="J103" s="21">
        <v>8</v>
      </c>
      <c r="K103" s="21">
        <v>9</v>
      </c>
      <c r="L103" s="21">
        <v>10</v>
      </c>
      <c r="M103" s="21">
        <v>11</v>
      </c>
      <c r="N103" s="21">
        <v>12</v>
      </c>
      <c r="O103" s="21">
        <v>13</v>
      </c>
      <c r="P103" s="21">
        <v>14</v>
      </c>
      <c r="Q103" s="21">
        <v>15</v>
      </c>
      <c r="R103" s="21">
        <v>16</v>
      </c>
      <c r="S103" s="21">
        <v>17</v>
      </c>
      <c r="T103" s="21">
        <v>18</v>
      </c>
      <c r="U103" s="21">
        <v>19</v>
      </c>
      <c r="V103" s="21">
        <v>20</v>
      </c>
      <c r="W103" s="21">
        <v>21</v>
      </c>
      <c r="X103" s="21">
        <v>22</v>
      </c>
      <c r="Y103" s="21">
        <v>23</v>
      </c>
      <c r="Z103" s="21">
        <v>24</v>
      </c>
      <c r="AA103" s="21">
        <v>25</v>
      </c>
      <c r="AB103" s="21">
        <v>26</v>
      </c>
      <c r="AC103" s="21">
        <v>27</v>
      </c>
      <c r="AD103" s="21">
        <v>28</v>
      </c>
      <c r="AE103" s="21">
        <v>29</v>
      </c>
      <c r="AF103" s="21">
        <v>30</v>
      </c>
      <c r="AG103" s="21">
        <v>31</v>
      </c>
      <c r="AH103" s="25" t="s">
        <v>72</v>
      </c>
      <c r="AI103" s="2266" t="s">
        <v>1345</v>
      </c>
      <c r="AJ103" s="66">
        <f>(B116/COUNTIF($C$104:$AG$115,"&gt;0"))</f>
        <v>47.440882352941173</v>
      </c>
    </row>
    <row r="104" spans="1:36" ht="15">
      <c r="A104" s="1719" t="s">
        <v>73</v>
      </c>
      <c r="B104" s="1055">
        <f t="shared" ref="B104:B115" si="17">+AH104</f>
        <v>145.85</v>
      </c>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v>95.62</v>
      </c>
      <c r="AE104" s="35"/>
      <c r="AF104" s="35">
        <v>46.08</v>
      </c>
      <c r="AG104" s="35">
        <v>4.1500000000000004</v>
      </c>
      <c r="AH104" s="39">
        <f>SUM(C104:AG104)</f>
        <v>145.85</v>
      </c>
      <c r="AJ104">
        <f>+'Resumen RAE S. Austral'!G21</f>
        <v>42.009999999999991</v>
      </c>
    </row>
    <row r="105" spans="1:36" ht="15">
      <c r="A105" s="1719" t="s">
        <v>74</v>
      </c>
      <c r="B105" s="1055">
        <f t="shared" si="17"/>
        <v>272.02600000000001</v>
      </c>
      <c r="C105" s="35">
        <v>10.53</v>
      </c>
      <c r="D105" s="35" t="s">
        <v>127</v>
      </c>
      <c r="E105" s="35" t="s">
        <v>127</v>
      </c>
      <c r="F105" s="35" t="s">
        <v>127</v>
      </c>
      <c r="G105" s="35" t="s">
        <v>127</v>
      </c>
      <c r="H105" s="35">
        <v>4.3959999999999999</v>
      </c>
      <c r="I105" s="35" t="s">
        <v>127</v>
      </c>
      <c r="J105" s="35" t="s">
        <v>127</v>
      </c>
      <c r="K105" s="35" t="s">
        <v>127</v>
      </c>
      <c r="L105" s="35">
        <v>72.2</v>
      </c>
      <c r="M105" s="35" t="s">
        <v>127</v>
      </c>
      <c r="N105" s="35">
        <v>128.33000000000001</v>
      </c>
      <c r="O105" s="35" t="s">
        <v>127</v>
      </c>
      <c r="P105" s="35" t="s">
        <v>127</v>
      </c>
      <c r="Q105" s="35">
        <v>56.57</v>
      </c>
      <c r="R105" s="35" t="s">
        <v>127</v>
      </c>
      <c r="S105" s="35" t="s">
        <v>127</v>
      </c>
      <c r="T105" s="35" t="s">
        <v>127</v>
      </c>
      <c r="U105" s="35" t="s">
        <v>127</v>
      </c>
      <c r="V105" s="35" t="s">
        <v>127</v>
      </c>
      <c r="W105" s="2054" t="s">
        <v>127</v>
      </c>
      <c r="X105" s="35" t="s">
        <v>127</v>
      </c>
      <c r="Y105" s="35" t="s">
        <v>127</v>
      </c>
      <c r="Z105" s="35" t="s">
        <v>127</v>
      </c>
      <c r="AA105" s="35" t="s">
        <v>127</v>
      </c>
      <c r="AB105" s="35" t="s">
        <v>127</v>
      </c>
      <c r="AC105" s="35" t="s">
        <v>127</v>
      </c>
      <c r="AD105" s="35" t="s">
        <v>127</v>
      </c>
      <c r="AE105" s="35" t="s">
        <v>127</v>
      </c>
      <c r="AF105" s="35" t="s">
        <v>127</v>
      </c>
      <c r="AG105" s="35" t="s">
        <v>127</v>
      </c>
      <c r="AH105" s="39">
        <f t="shared" ref="AH105:AH115" si="18">SUM(C105:AG105)</f>
        <v>272.02600000000001</v>
      </c>
      <c r="AJ105" s="1093">
        <f>+AJ104/AJ103</f>
        <v>0.88552315885405353</v>
      </c>
    </row>
    <row r="106" spans="1:36" ht="15">
      <c r="A106" s="1719" t="s">
        <v>75</v>
      </c>
      <c r="B106" s="1055">
        <f t="shared" si="17"/>
        <v>183.46</v>
      </c>
      <c r="C106" s="35"/>
      <c r="D106" s="15"/>
      <c r="E106" s="15"/>
      <c r="F106" s="15"/>
      <c r="G106" s="15"/>
      <c r="H106" s="15"/>
      <c r="I106" s="15"/>
      <c r="J106" s="15"/>
      <c r="K106" s="15"/>
      <c r="L106" s="15"/>
      <c r="M106" s="15"/>
      <c r="N106" s="15"/>
      <c r="O106" s="15">
        <v>34.25</v>
      </c>
      <c r="P106" s="15"/>
      <c r="Q106" s="1084">
        <v>72.2</v>
      </c>
      <c r="R106" s="1084" t="s">
        <v>110</v>
      </c>
      <c r="S106" s="1084" t="s">
        <v>110</v>
      </c>
      <c r="T106" s="1084" t="s">
        <v>110</v>
      </c>
      <c r="U106" s="1084" t="s">
        <v>110</v>
      </c>
      <c r="V106" s="1084" t="s">
        <v>110</v>
      </c>
      <c r="W106" s="1084" t="s">
        <v>110</v>
      </c>
      <c r="X106" s="1084" t="s">
        <v>110</v>
      </c>
      <c r="Y106" s="1084" t="s">
        <v>110</v>
      </c>
      <c r="Z106" s="1084" t="s">
        <v>110</v>
      </c>
      <c r="AA106" s="1084" t="s">
        <v>110</v>
      </c>
      <c r="AB106" s="1084" t="s">
        <v>110</v>
      </c>
      <c r="AC106" s="1084">
        <v>70.66</v>
      </c>
      <c r="AD106" s="1084">
        <v>6.35</v>
      </c>
      <c r="AE106" s="1084" t="s">
        <v>110</v>
      </c>
      <c r="AF106" s="1084" t="s">
        <v>110</v>
      </c>
      <c r="AG106" s="1084" t="s">
        <v>110</v>
      </c>
      <c r="AH106" s="39">
        <f t="shared" si="18"/>
        <v>183.46</v>
      </c>
    </row>
    <row r="107" spans="1:36" ht="15">
      <c r="A107" s="1719" t="s">
        <v>76</v>
      </c>
      <c r="B107" s="1055">
        <f t="shared" si="17"/>
        <v>109.22399999999999</v>
      </c>
      <c r="C107" s="1084">
        <v>45.661999999999999</v>
      </c>
      <c r="D107" s="1084"/>
      <c r="E107" s="1084"/>
      <c r="F107" s="2458">
        <v>63.561999999999998</v>
      </c>
      <c r="G107" s="1084"/>
      <c r="H107" s="1084"/>
      <c r="I107" s="1084"/>
      <c r="J107" s="1084"/>
      <c r="K107" s="1084"/>
      <c r="L107" s="1084"/>
      <c r="M107" s="1084"/>
      <c r="N107" s="1084"/>
      <c r="O107" s="1084"/>
      <c r="P107" s="1084"/>
      <c r="Q107" s="1084"/>
      <c r="R107" s="1084"/>
      <c r="S107" s="1084"/>
      <c r="T107" s="1084"/>
      <c r="U107" s="1084"/>
      <c r="V107" s="1084"/>
      <c r="W107" s="1084"/>
      <c r="X107" s="1084"/>
      <c r="Y107" s="1084"/>
      <c r="Z107" s="1084"/>
      <c r="AA107" s="1084"/>
      <c r="AB107" s="1084"/>
      <c r="AC107" s="1084"/>
      <c r="AD107" s="1084"/>
      <c r="AE107" s="1084"/>
      <c r="AF107" s="1084" t="s">
        <v>110</v>
      </c>
      <c r="AG107" s="1084" t="s">
        <v>110</v>
      </c>
      <c r="AH107" s="39">
        <f t="shared" si="18"/>
        <v>109.22399999999999</v>
      </c>
    </row>
    <row r="108" spans="1:36" ht="15">
      <c r="A108" s="1719" t="s">
        <v>77</v>
      </c>
      <c r="B108" s="1055">
        <f t="shared" si="17"/>
        <v>403.57700000000006</v>
      </c>
      <c r="C108" s="1084" t="s">
        <v>110</v>
      </c>
      <c r="D108" s="1084" t="s">
        <v>110</v>
      </c>
      <c r="E108" s="1084" t="s">
        <v>110</v>
      </c>
      <c r="F108" s="1084" t="s">
        <v>110</v>
      </c>
      <c r="G108" s="1084" t="s">
        <v>110</v>
      </c>
      <c r="H108" s="1084" t="s">
        <v>110</v>
      </c>
      <c r="I108" s="1084" t="s">
        <v>110</v>
      </c>
      <c r="J108" s="1084" t="s">
        <v>110</v>
      </c>
      <c r="K108" s="1084" t="s">
        <v>110</v>
      </c>
      <c r="L108" s="1084" t="s">
        <v>110</v>
      </c>
      <c r="M108" s="1084" t="s">
        <v>110</v>
      </c>
      <c r="N108" s="1084" t="s">
        <v>110</v>
      </c>
      <c r="O108" s="1084" t="s">
        <v>110</v>
      </c>
      <c r="P108" s="1084" t="s">
        <v>110</v>
      </c>
      <c r="Q108" s="1084" t="s">
        <v>110</v>
      </c>
      <c r="R108" s="15"/>
      <c r="S108" s="15"/>
      <c r="T108" s="15"/>
      <c r="U108" s="15"/>
      <c r="V108" s="15">
        <v>59.8</v>
      </c>
      <c r="W108" s="15">
        <v>60.036999999999999</v>
      </c>
      <c r="X108" s="15">
        <v>67.510000000000005</v>
      </c>
      <c r="Y108" s="15"/>
      <c r="Z108" s="15"/>
      <c r="AA108" s="15"/>
      <c r="AB108" s="15">
        <v>73.97</v>
      </c>
      <c r="AC108" s="15">
        <v>69.72</v>
      </c>
      <c r="AD108" s="15">
        <v>72.540000000000006</v>
      </c>
      <c r="AE108" s="15"/>
      <c r="AF108" s="15"/>
      <c r="AG108" s="15"/>
      <c r="AH108" s="39">
        <f t="shared" si="18"/>
        <v>403.57700000000006</v>
      </c>
    </row>
    <row r="109" spans="1:36" ht="15">
      <c r="A109" s="1719" t="s">
        <v>78</v>
      </c>
      <c r="B109" s="1055">
        <f t="shared" si="17"/>
        <v>0</v>
      </c>
      <c r="C109" s="1091"/>
      <c r="D109" s="1091"/>
      <c r="E109" s="1091"/>
      <c r="F109" s="1091"/>
      <c r="G109" s="1091"/>
      <c r="H109" s="1091"/>
      <c r="I109" s="1091"/>
      <c r="J109" s="1091"/>
      <c r="K109" s="1091"/>
      <c r="L109" s="1091"/>
      <c r="M109" s="1091"/>
      <c r="N109" s="1091"/>
      <c r="O109" s="1091"/>
      <c r="P109" s="1091"/>
      <c r="Q109" s="1091"/>
      <c r="R109" s="1091"/>
      <c r="S109" s="1091"/>
      <c r="T109" s="1091"/>
      <c r="U109" s="1091"/>
      <c r="V109" s="1091"/>
      <c r="W109" s="1091"/>
      <c r="X109" s="1091"/>
      <c r="Y109" s="1091"/>
      <c r="Z109" s="1091"/>
      <c r="AA109" s="1091"/>
      <c r="AB109" s="1091"/>
      <c r="AC109" s="1091"/>
      <c r="AD109" s="1091"/>
      <c r="AE109" s="1091"/>
      <c r="AF109" s="1091"/>
      <c r="AG109" s="1091"/>
      <c r="AH109" s="39">
        <f t="shared" si="18"/>
        <v>0</v>
      </c>
    </row>
    <row r="110" spans="1:36" ht="15">
      <c r="A110" s="1054" t="s">
        <v>79</v>
      </c>
      <c r="B110" s="1055">
        <f t="shared" si="17"/>
        <v>0</v>
      </c>
      <c r="C110" s="35"/>
      <c r="D110" s="15"/>
      <c r="E110" s="15"/>
      <c r="F110" s="15"/>
      <c r="G110" s="15"/>
      <c r="H110" s="15"/>
      <c r="I110" s="15"/>
      <c r="J110" s="35"/>
      <c r="K110" s="3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39">
        <f t="shared" si="18"/>
        <v>0</v>
      </c>
    </row>
    <row r="111" spans="1:36" ht="15">
      <c r="A111" s="1054" t="s">
        <v>80</v>
      </c>
      <c r="B111" s="1055">
        <f t="shared" si="17"/>
        <v>0</v>
      </c>
      <c r="C111" s="35"/>
      <c r="D111" s="15"/>
      <c r="E111" s="15"/>
      <c r="F111" s="15"/>
      <c r="G111" s="15"/>
      <c r="H111" s="15"/>
      <c r="I111" s="15"/>
      <c r="J111" s="35"/>
      <c r="K111" s="3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39">
        <f t="shared" si="18"/>
        <v>0</v>
      </c>
    </row>
    <row r="112" spans="1:36" ht="15">
      <c r="A112" s="1054" t="s">
        <v>81</v>
      </c>
      <c r="B112" s="1055">
        <f t="shared" si="17"/>
        <v>2.8</v>
      </c>
      <c r="C112" s="31"/>
      <c r="D112" s="31"/>
      <c r="E112" s="31"/>
      <c r="F112" s="31">
        <v>2.8</v>
      </c>
      <c r="G112" s="31"/>
      <c r="H112" s="31"/>
      <c r="I112" s="31"/>
      <c r="J112" s="31"/>
      <c r="K112" s="31"/>
      <c r="L112" s="31"/>
      <c r="M112" s="31"/>
      <c r="N112" s="31"/>
      <c r="O112" s="31"/>
      <c r="P112" s="31"/>
      <c r="Q112" s="113" t="s">
        <v>398</v>
      </c>
      <c r="R112" s="113" t="s">
        <v>398</v>
      </c>
      <c r="S112" s="113" t="s">
        <v>398</v>
      </c>
      <c r="T112" s="113" t="s">
        <v>398</v>
      </c>
      <c r="U112" s="113" t="s">
        <v>398</v>
      </c>
      <c r="V112" s="113" t="s">
        <v>398</v>
      </c>
      <c r="W112" s="113" t="s">
        <v>398</v>
      </c>
      <c r="X112" s="113" t="s">
        <v>398</v>
      </c>
      <c r="Y112" s="113" t="s">
        <v>398</v>
      </c>
      <c r="Z112" s="113" t="s">
        <v>398</v>
      </c>
      <c r="AA112" s="113" t="s">
        <v>398</v>
      </c>
      <c r="AB112" s="113" t="s">
        <v>398</v>
      </c>
      <c r="AC112" s="113" t="s">
        <v>398</v>
      </c>
      <c r="AD112" s="113" t="s">
        <v>398</v>
      </c>
      <c r="AE112" s="113" t="s">
        <v>398</v>
      </c>
      <c r="AF112" s="113" t="s">
        <v>398</v>
      </c>
      <c r="AG112" s="113" t="s">
        <v>398</v>
      </c>
      <c r="AH112" s="39">
        <f t="shared" si="18"/>
        <v>2.8</v>
      </c>
    </row>
    <row r="113" spans="1:36" ht="15">
      <c r="A113" s="1054" t="s">
        <v>82</v>
      </c>
      <c r="B113" s="1055">
        <f t="shared" si="17"/>
        <v>0</v>
      </c>
      <c r="C113" s="113" t="s">
        <v>110</v>
      </c>
      <c r="D113" s="1718" t="s">
        <v>110</v>
      </c>
      <c r="E113" s="113" t="s">
        <v>110</v>
      </c>
      <c r="F113" s="113" t="s">
        <v>110</v>
      </c>
      <c r="G113" s="113" t="s">
        <v>110</v>
      </c>
      <c r="H113" s="113" t="s">
        <v>110</v>
      </c>
      <c r="I113" s="113" t="s">
        <v>110</v>
      </c>
      <c r="J113" s="113" t="s">
        <v>110</v>
      </c>
      <c r="K113" s="113" t="s">
        <v>110</v>
      </c>
      <c r="L113" s="113" t="s">
        <v>110</v>
      </c>
      <c r="M113" s="113" t="s">
        <v>110</v>
      </c>
      <c r="N113" s="113" t="s">
        <v>110</v>
      </c>
      <c r="O113" s="113" t="s">
        <v>110</v>
      </c>
      <c r="P113" s="113" t="s">
        <v>110</v>
      </c>
      <c r="Q113" s="113" t="s">
        <v>110</v>
      </c>
      <c r="R113" s="113" t="s">
        <v>110</v>
      </c>
      <c r="S113" s="113" t="s">
        <v>110</v>
      </c>
      <c r="T113" s="113" t="s">
        <v>110</v>
      </c>
      <c r="U113" s="113" t="s">
        <v>110</v>
      </c>
      <c r="V113" s="113" t="s">
        <v>110</v>
      </c>
      <c r="W113" s="113" t="s">
        <v>110</v>
      </c>
      <c r="X113" s="113" t="s">
        <v>110</v>
      </c>
      <c r="Y113" s="113" t="s">
        <v>110</v>
      </c>
      <c r="Z113" s="113" t="s">
        <v>110</v>
      </c>
      <c r="AA113" s="113" t="s">
        <v>110</v>
      </c>
      <c r="AB113" s="113" t="s">
        <v>110</v>
      </c>
      <c r="AC113" s="113" t="s">
        <v>110</v>
      </c>
      <c r="AD113" s="113" t="s">
        <v>110</v>
      </c>
      <c r="AE113" s="113" t="s">
        <v>110</v>
      </c>
      <c r="AF113" s="113" t="s">
        <v>110</v>
      </c>
      <c r="AG113" s="113" t="s">
        <v>110</v>
      </c>
      <c r="AH113" s="39">
        <f t="shared" si="18"/>
        <v>0</v>
      </c>
    </row>
    <row r="114" spans="1:36" ht="15">
      <c r="A114" s="1054" t="s">
        <v>83</v>
      </c>
      <c r="B114" s="19">
        <f t="shared" si="17"/>
        <v>99.215000000000003</v>
      </c>
      <c r="C114" s="113" t="s">
        <v>110</v>
      </c>
      <c r="D114" s="1718" t="s">
        <v>110</v>
      </c>
      <c r="E114" s="113" t="s">
        <v>110</v>
      </c>
      <c r="F114" s="113" t="s">
        <v>110</v>
      </c>
      <c r="G114" s="113"/>
      <c r="H114" s="113" t="s">
        <v>110</v>
      </c>
      <c r="I114" s="113" t="s">
        <v>110</v>
      </c>
      <c r="J114" s="113" t="s">
        <v>110</v>
      </c>
      <c r="K114" s="113" t="s">
        <v>110</v>
      </c>
      <c r="L114" s="113" t="s">
        <v>110</v>
      </c>
      <c r="M114" s="113" t="s">
        <v>110</v>
      </c>
      <c r="N114" s="113" t="s">
        <v>110</v>
      </c>
      <c r="O114" s="113" t="s">
        <v>110</v>
      </c>
      <c r="P114" s="113" t="s">
        <v>110</v>
      </c>
      <c r="Q114" s="113" t="s">
        <v>110</v>
      </c>
      <c r="R114" s="34"/>
      <c r="S114" s="34"/>
      <c r="T114" s="34"/>
      <c r="U114" s="34">
        <v>14.53</v>
      </c>
      <c r="V114" s="34"/>
      <c r="W114" s="34"/>
      <c r="X114" s="34">
        <v>30.24</v>
      </c>
      <c r="Y114" s="34"/>
      <c r="Z114" s="34"/>
      <c r="AA114" s="34">
        <v>23.76</v>
      </c>
      <c r="AB114" s="34">
        <v>30.684999999999999</v>
      </c>
      <c r="AC114" s="34"/>
      <c r="AD114" s="34"/>
      <c r="AE114" s="34"/>
      <c r="AF114" s="34"/>
      <c r="AG114" s="31"/>
      <c r="AH114" s="39">
        <f t="shared" si="18"/>
        <v>99.215000000000003</v>
      </c>
    </row>
    <row r="115" spans="1:36" ht="15">
      <c r="A115" s="1054" t="s">
        <v>84</v>
      </c>
      <c r="B115" s="19">
        <f t="shared" si="17"/>
        <v>396.83800000000008</v>
      </c>
      <c r="C115" s="35"/>
      <c r="D115" s="35"/>
      <c r="E115" s="35"/>
      <c r="F115" s="35"/>
      <c r="G115" s="35"/>
      <c r="H115" s="35"/>
      <c r="I115" s="35"/>
      <c r="J115" s="35"/>
      <c r="K115" s="35">
        <v>26.498000000000001</v>
      </c>
      <c r="L115" s="35"/>
      <c r="M115" s="35"/>
      <c r="N115" s="35">
        <v>43.764000000000003</v>
      </c>
      <c r="O115" s="35">
        <v>33.17</v>
      </c>
      <c r="P115" s="3584"/>
      <c r="Q115" s="35">
        <v>63.75</v>
      </c>
      <c r="R115" s="35">
        <v>68.13</v>
      </c>
      <c r="S115" s="35"/>
      <c r="T115" s="35">
        <v>63.79</v>
      </c>
      <c r="U115" s="35"/>
      <c r="V115" s="35">
        <v>53.093000000000004</v>
      </c>
      <c r="W115" s="35"/>
      <c r="X115" s="35">
        <v>23.663</v>
      </c>
      <c r="Y115" s="15">
        <v>20.98</v>
      </c>
      <c r="Z115" s="15"/>
      <c r="AA115" s="15"/>
      <c r="AB115" s="15"/>
      <c r="AC115" s="15"/>
      <c r="AD115" s="15"/>
      <c r="AE115" s="15"/>
      <c r="AF115" s="15"/>
      <c r="AG115" s="15"/>
      <c r="AH115" s="39">
        <f t="shared" si="18"/>
        <v>396.83800000000008</v>
      </c>
    </row>
    <row r="116" spans="1:36" ht="15">
      <c r="A116" s="71" t="s">
        <v>72</v>
      </c>
      <c r="B116" s="73">
        <f>SUM(B104:B115)</f>
        <v>1612.9899999999998</v>
      </c>
      <c r="C116" s="32">
        <f>SUM(C104:C114)</f>
        <v>56.192</v>
      </c>
      <c r="D116" s="39">
        <f>SUM(D104:D114)</f>
        <v>0</v>
      </c>
      <c r="E116" s="39">
        <v>0</v>
      </c>
      <c r="F116" s="39">
        <f t="shared" ref="F116:AC116" si="19">SUM(F104:F114)</f>
        <v>66.361999999999995</v>
      </c>
      <c r="G116" s="39">
        <f t="shared" si="19"/>
        <v>0</v>
      </c>
      <c r="H116" s="39">
        <f t="shared" si="19"/>
        <v>4.3959999999999999</v>
      </c>
      <c r="I116" s="39">
        <f t="shared" si="19"/>
        <v>0</v>
      </c>
      <c r="J116" s="39">
        <f t="shared" si="19"/>
        <v>0</v>
      </c>
      <c r="K116" s="39">
        <f t="shared" si="19"/>
        <v>0</v>
      </c>
      <c r="L116" s="39">
        <f t="shared" si="19"/>
        <v>72.2</v>
      </c>
      <c r="M116" s="39">
        <f t="shared" si="19"/>
        <v>0</v>
      </c>
      <c r="N116" s="39">
        <f t="shared" si="19"/>
        <v>128.33000000000001</v>
      </c>
      <c r="O116" s="39">
        <f t="shared" si="19"/>
        <v>34.25</v>
      </c>
      <c r="P116" s="39">
        <f t="shared" si="19"/>
        <v>0</v>
      </c>
      <c r="Q116" s="39">
        <f t="shared" si="19"/>
        <v>128.77000000000001</v>
      </c>
      <c r="R116" s="39">
        <f t="shared" si="19"/>
        <v>0</v>
      </c>
      <c r="S116" s="39">
        <f t="shared" si="19"/>
        <v>0</v>
      </c>
      <c r="T116" s="39">
        <f t="shared" si="19"/>
        <v>0</v>
      </c>
      <c r="U116" s="39">
        <f t="shared" si="19"/>
        <v>14.53</v>
      </c>
      <c r="V116" s="39">
        <f t="shared" si="19"/>
        <v>59.8</v>
      </c>
      <c r="W116" s="39">
        <f t="shared" si="19"/>
        <v>60.036999999999999</v>
      </c>
      <c r="X116" s="39">
        <f t="shared" si="19"/>
        <v>97.75</v>
      </c>
      <c r="Y116" s="39">
        <f t="shared" si="19"/>
        <v>0</v>
      </c>
      <c r="Z116" s="39">
        <f t="shared" si="19"/>
        <v>0</v>
      </c>
      <c r="AA116" s="39">
        <f t="shared" si="19"/>
        <v>23.76</v>
      </c>
      <c r="AB116" s="39">
        <f t="shared" si="19"/>
        <v>104.655</v>
      </c>
      <c r="AC116" s="39">
        <f t="shared" si="19"/>
        <v>140.38</v>
      </c>
      <c r="AD116" s="39">
        <v>0</v>
      </c>
      <c r="AE116" s="39">
        <f>SUM(AE104:AE114)</f>
        <v>0</v>
      </c>
      <c r="AF116" s="39">
        <f>SUM(AF104:AF114)</f>
        <v>46.08</v>
      </c>
      <c r="AG116" s="39">
        <f>SUM(AG104:AG114)</f>
        <v>4.1500000000000004</v>
      </c>
      <c r="AH116" s="32">
        <f>SUM(AH104:AH115)</f>
        <v>1612.9899999999998</v>
      </c>
    </row>
    <row r="117" spans="1:36" ht="15">
      <c r="A117" s="14"/>
      <c r="B117" s="55"/>
      <c r="C117" s="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row>
    <row r="118" spans="1:36" ht="15">
      <c r="A118" s="3821" t="s">
        <v>62</v>
      </c>
      <c r="B118" s="3822"/>
      <c r="C118" s="3822"/>
      <c r="D118" s="3822"/>
      <c r="E118" s="3822"/>
      <c r="F118" s="3822"/>
      <c r="G118" s="3822"/>
      <c r="H118" s="3823"/>
      <c r="I118" s="858"/>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row>
    <row r="119" spans="1:36" ht="15">
      <c r="A119" s="5" t="s">
        <v>89</v>
      </c>
      <c r="B119" s="56" t="s">
        <v>71</v>
      </c>
      <c r="C119" s="1054">
        <v>1</v>
      </c>
      <c r="D119" s="21">
        <v>2</v>
      </c>
      <c r="E119" s="21">
        <v>3</v>
      </c>
      <c r="F119" s="21">
        <v>4</v>
      </c>
      <c r="G119" s="21">
        <v>5</v>
      </c>
      <c r="H119" s="21">
        <v>6</v>
      </c>
      <c r="I119" s="21">
        <v>7</v>
      </c>
      <c r="J119" s="21">
        <v>8</v>
      </c>
      <c r="K119" s="21">
        <v>9</v>
      </c>
      <c r="L119" s="21">
        <v>10</v>
      </c>
      <c r="M119" s="21">
        <v>11</v>
      </c>
      <c r="N119" s="21">
        <v>12</v>
      </c>
      <c r="O119" s="21">
        <v>13</v>
      </c>
      <c r="P119" s="21">
        <v>14</v>
      </c>
      <c r="Q119" s="21">
        <v>15</v>
      </c>
      <c r="R119" s="21">
        <v>16</v>
      </c>
      <c r="S119" s="21">
        <v>17</v>
      </c>
      <c r="T119" s="21">
        <v>18</v>
      </c>
      <c r="U119" s="21">
        <v>19</v>
      </c>
      <c r="V119" s="21">
        <v>20</v>
      </c>
      <c r="W119" s="21">
        <v>21</v>
      </c>
      <c r="X119" s="21">
        <v>22</v>
      </c>
      <c r="Y119" s="21">
        <v>23</v>
      </c>
      <c r="Z119" s="21">
        <v>24</v>
      </c>
      <c r="AA119" s="21">
        <v>25</v>
      </c>
      <c r="AB119" s="21">
        <v>26</v>
      </c>
      <c r="AC119" s="21">
        <v>27</v>
      </c>
      <c r="AD119" s="21">
        <v>28</v>
      </c>
      <c r="AE119" s="21">
        <v>29</v>
      </c>
      <c r="AF119" s="21">
        <v>30</v>
      </c>
      <c r="AG119" s="21">
        <v>31</v>
      </c>
      <c r="AH119" s="25" t="s">
        <v>72</v>
      </c>
      <c r="AI119" s="2266" t="s">
        <v>1345</v>
      </c>
      <c r="AJ119" s="66">
        <f>(B132/COUNTIF($C$120:$AG$131,"&gt;0"))</f>
        <v>51.15</v>
      </c>
    </row>
    <row r="120" spans="1:36" ht="15">
      <c r="A120" s="1719" t="s">
        <v>73</v>
      </c>
      <c r="B120" s="1055">
        <f t="shared" ref="B120:B131" si="20">+AH120</f>
        <v>0</v>
      </c>
      <c r="C120" s="3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35"/>
      <c r="AF120" s="15"/>
      <c r="AG120" s="15"/>
      <c r="AH120" s="39">
        <f>SUM(C120:AG120)</f>
        <v>0</v>
      </c>
    </row>
    <row r="121" spans="1:36" ht="15">
      <c r="A121" s="1719" t="s">
        <v>74</v>
      </c>
      <c r="B121" s="1055">
        <f t="shared" si="20"/>
        <v>0</v>
      </c>
      <c r="C121" s="1091"/>
      <c r="D121" s="1091"/>
      <c r="E121" s="1091"/>
      <c r="F121" s="1091"/>
      <c r="G121" s="1091"/>
      <c r="H121" s="1091"/>
      <c r="I121" s="1091"/>
      <c r="J121" s="1091"/>
      <c r="K121" s="1091"/>
      <c r="L121" s="1091"/>
      <c r="M121" s="1091"/>
      <c r="N121" s="1091"/>
      <c r="O121" s="1091"/>
      <c r="P121" s="1091"/>
      <c r="Q121" s="1091"/>
      <c r="R121" s="1091"/>
      <c r="S121" s="1091"/>
      <c r="T121" s="1091"/>
      <c r="U121" s="1091"/>
      <c r="V121" s="1091"/>
      <c r="W121" s="1091"/>
      <c r="X121" s="1091"/>
      <c r="Y121" s="1091"/>
      <c r="Z121" s="1091"/>
      <c r="AA121" s="1091"/>
      <c r="AB121" s="1091"/>
      <c r="AC121" s="1091"/>
      <c r="AD121" s="1091"/>
      <c r="AE121" s="1091"/>
      <c r="AF121" s="1091"/>
      <c r="AG121" s="1091"/>
      <c r="AH121" s="39">
        <f t="shared" ref="AH121:AH131" si="21">SUM(C121:AG121)</f>
        <v>0</v>
      </c>
    </row>
    <row r="122" spans="1:36" ht="15">
      <c r="A122" s="1719" t="s">
        <v>75</v>
      </c>
      <c r="B122" s="1055">
        <f t="shared" si="20"/>
        <v>0</v>
      </c>
      <c r="C122" s="35"/>
      <c r="D122" s="15"/>
      <c r="E122" s="15"/>
      <c r="F122" s="15"/>
      <c r="G122" s="15"/>
      <c r="H122" s="15"/>
      <c r="I122" s="15"/>
      <c r="J122" s="15"/>
      <c r="K122" s="15"/>
      <c r="L122" s="15"/>
      <c r="M122" s="15"/>
      <c r="N122" s="15"/>
      <c r="O122" s="15"/>
      <c r="P122" s="15"/>
      <c r="Q122" s="1084"/>
      <c r="R122" s="1084"/>
      <c r="S122" s="1084"/>
      <c r="T122" s="1084"/>
      <c r="U122" s="1084"/>
      <c r="V122" s="1084"/>
      <c r="W122" s="1084"/>
      <c r="X122" s="1084"/>
      <c r="Y122" s="1084"/>
      <c r="Z122" s="1084"/>
      <c r="AA122" s="1084"/>
      <c r="AB122" s="1084"/>
      <c r="AC122" s="1084"/>
      <c r="AD122" s="1084"/>
      <c r="AE122" s="1084"/>
      <c r="AF122" s="1084"/>
      <c r="AG122" s="1084"/>
      <c r="AH122" s="39">
        <f t="shared" si="21"/>
        <v>0</v>
      </c>
    </row>
    <row r="123" spans="1:36" ht="15">
      <c r="A123" s="1719" t="s">
        <v>76</v>
      </c>
      <c r="B123" s="1055">
        <f t="shared" si="20"/>
        <v>0</v>
      </c>
      <c r="C123" s="1084"/>
      <c r="D123" s="1084"/>
      <c r="E123" s="1084"/>
      <c r="F123" s="1084"/>
      <c r="G123" s="1084"/>
      <c r="H123" s="1084"/>
      <c r="I123" s="1084"/>
      <c r="J123" s="1084"/>
      <c r="K123" s="1084"/>
      <c r="L123" s="1084"/>
      <c r="M123" s="1084"/>
      <c r="N123" s="1084"/>
      <c r="O123" s="1084"/>
      <c r="P123" s="1084"/>
      <c r="Q123" s="1084"/>
      <c r="R123" s="1084"/>
      <c r="S123" s="1084"/>
      <c r="T123" s="1084"/>
      <c r="U123" s="1084"/>
      <c r="V123" s="1084"/>
      <c r="W123" s="1084"/>
      <c r="X123" s="1084"/>
      <c r="Y123" s="1084"/>
      <c r="Z123" s="1084"/>
      <c r="AA123" s="1084"/>
      <c r="AB123" s="1084"/>
      <c r="AC123" s="1084"/>
      <c r="AD123" s="1084"/>
      <c r="AE123" s="1084"/>
      <c r="AF123" s="1084" t="s">
        <v>110</v>
      </c>
      <c r="AG123" s="1084" t="s">
        <v>110</v>
      </c>
      <c r="AH123" s="39">
        <f t="shared" si="21"/>
        <v>0</v>
      </c>
    </row>
    <row r="124" spans="1:36" ht="15">
      <c r="A124" s="1719" t="s">
        <v>77</v>
      </c>
      <c r="B124" s="1055">
        <f t="shared" si="20"/>
        <v>0</v>
      </c>
      <c r="C124" s="1084" t="s">
        <v>110</v>
      </c>
      <c r="D124" s="1084" t="s">
        <v>110</v>
      </c>
      <c r="E124" s="1084" t="s">
        <v>110</v>
      </c>
      <c r="F124" s="1084" t="s">
        <v>110</v>
      </c>
      <c r="G124" s="1084" t="s">
        <v>110</v>
      </c>
      <c r="H124" s="1084" t="s">
        <v>110</v>
      </c>
      <c r="I124" s="1084" t="s">
        <v>110</v>
      </c>
      <c r="J124" s="1084" t="s">
        <v>110</v>
      </c>
      <c r="K124" s="1084" t="s">
        <v>110</v>
      </c>
      <c r="L124" s="1084" t="s">
        <v>110</v>
      </c>
      <c r="M124" s="1084" t="s">
        <v>110</v>
      </c>
      <c r="N124" s="1084" t="s">
        <v>110</v>
      </c>
      <c r="O124" s="1084" t="s">
        <v>110</v>
      </c>
      <c r="P124" s="1084" t="s">
        <v>110</v>
      </c>
      <c r="Q124" s="1084" t="s">
        <v>110</v>
      </c>
      <c r="R124" s="15"/>
      <c r="S124" s="15"/>
      <c r="T124" s="15"/>
      <c r="U124" s="15"/>
      <c r="V124" s="15"/>
      <c r="W124" s="15"/>
      <c r="X124" s="15"/>
      <c r="Y124" s="15"/>
      <c r="Z124" s="15"/>
      <c r="AA124" s="15"/>
      <c r="AB124" s="15"/>
      <c r="AC124" s="15"/>
      <c r="AD124" s="15"/>
      <c r="AE124" s="15"/>
      <c r="AF124" s="15"/>
      <c r="AG124" s="15"/>
      <c r="AH124" s="39">
        <f t="shared" si="21"/>
        <v>0</v>
      </c>
    </row>
    <row r="125" spans="1:36" ht="15">
      <c r="A125" s="1719" t="s">
        <v>78</v>
      </c>
      <c r="B125" s="1055">
        <f t="shared" si="20"/>
        <v>0</v>
      </c>
      <c r="C125" s="1091"/>
      <c r="D125" s="1091"/>
      <c r="E125" s="1091"/>
      <c r="F125" s="1091"/>
      <c r="G125" s="1091"/>
      <c r="H125" s="1091"/>
      <c r="I125" s="1091"/>
      <c r="J125" s="1091"/>
      <c r="K125" s="1091"/>
      <c r="L125" s="1091"/>
      <c r="M125" s="1091"/>
      <c r="N125" s="1091"/>
      <c r="O125" s="1091"/>
      <c r="P125" s="1091"/>
      <c r="Q125" s="1091"/>
      <c r="R125" s="1091"/>
      <c r="S125" s="1091"/>
      <c r="T125" s="1091"/>
      <c r="U125" s="1091"/>
      <c r="V125" s="1091"/>
      <c r="W125" s="1091"/>
      <c r="X125" s="1091"/>
      <c r="Y125" s="1091"/>
      <c r="Z125" s="1091"/>
      <c r="AA125" s="1091"/>
      <c r="AB125" s="1091"/>
      <c r="AC125" s="1091"/>
      <c r="AD125" s="1091"/>
      <c r="AE125" s="1091"/>
      <c r="AF125" s="1091"/>
      <c r="AG125" s="1091"/>
      <c r="AH125" s="39">
        <f t="shared" si="21"/>
        <v>0</v>
      </c>
    </row>
    <row r="126" spans="1:36" ht="15">
      <c r="A126" s="1054" t="s">
        <v>79</v>
      </c>
      <c r="B126" s="1055">
        <f t="shared" si="20"/>
        <v>117.42</v>
      </c>
      <c r="C126" s="1091"/>
      <c r="D126" s="1091"/>
      <c r="E126" s="1091"/>
      <c r="F126" s="1091"/>
      <c r="G126" s="1091"/>
      <c r="H126" s="1091"/>
      <c r="I126" s="1091"/>
      <c r="J126" s="1091"/>
      <c r="K126" s="1091"/>
      <c r="L126" s="1091"/>
      <c r="M126" s="1091"/>
      <c r="N126" s="1091"/>
      <c r="O126" s="1091"/>
      <c r="P126" s="1091"/>
      <c r="Q126" s="1091"/>
      <c r="R126" s="1091"/>
      <c r="S126" s="1091"/>
      <c r="T126" s="1091"/>
      <c r="U126" s="1091"/>
      <c r="V126" s="1091"/>
      <c r="W126" s="1091"/>
      <c r="X126" s="1091"/>
      <c r="Y126" s="1091"/>
      <c r="Z126" s="1091"/>
      <c r="AA126" s="1091"/>
      <c r="AB126" s="1091">
        <v>28.29</v>
      </c>
      <c r="AC126" s="1091"/>
      <c r="AD126" s="1091"/>
      <c r="AE126" s="1091">
        <v>31.21</v>
      </c>
      <c r="AF126" s="1091">
        <v>57.92</v>
      </c>
      <c r="AG126" s="1091"/>
      <c r="AH126" s="39">
        <f t="shared" si="21"/>
        <v>117.42</v>
      </c>
    </row>
    <row r="127" spans="1:36" ht="15">
      <c r="A127" s="1054" t="s">
        <v>80</v>
      </c>
      <c r="B127" s="1055">
        <f t="shared" si="20"/>
        <v>138.32999999999998</v>
      </c>
      <c r="C127" s="35"/>
      <c r="D127" s="15"/>
      <c r="E127" s="15"/>
      <c r="F127" s="15">
        <v>68.87</v>
      </c>
      <c r="G127" s="15"/>
      <c r="H127" s="15">
        <v>69.459999999999994</v>
      </c>
      <c r="I127" s="15"/>
      <c r="J127" s="35"/>
      <c r="K127" s="3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39">
        <f t="shared" si="21"/>
        <v>138.32999999999998</v>
      </c>
    </row>
    <row r="128" spans="1:36" ht="15">
      <c r="A128" s="1054" t="s">
        <v>81</v>
      </c>
      <c r="B128" s="1055">
        <f t="shared" si="20"/>
        <v>0</v>
      </c>
      <c r="C128" s="31"/>
      <c r="D128" s="31"/>
      <c r="E128" s="31"/>
      <c r="F128" s="31"/>
      <c r="G128" s="31"/>
      <c r="H128" s="31"/>
      <c r="I128" s="31"/>
      <c r="J128" s="31"/>
      <c r="K128" s="31"/>
      <c r="L128" s="31"/>
      <c r="M128" s="31"/>
      <c r="N128" s="31"/>
      <c r="O128" s="31"/>
      <c r="P128" s="31"/>
      <c r="Q128" s="113" t="s">
        <v>398</v>
      </c>
      <c r="R128" s="113" t="s">
        <v>398</v>
      </c>
      <c r="S128" s="113" t="s">
        <v>398</v>
      </c>
      <c r="T128" s="113" t="s">
        <v>398</v>
      </c>
      <c r="U128" s="113" t="s">
        <v>398</v>
      </c>
      <c r="V128" s="113" t="s">
        <v>398</v>
      </c>
      <c r="W128" s="113" t="s">
        <v>398</v>
      </c>
      <c r="X128" s="113" t="s">
        <v>398</v>
      </c>
      <c r="Y128" s="113" t="s">
        <v>398</v>
      </c>
      <c r="Z128" s="113" t="s">
        <v>398</v>
      </c>
      <c r="AA128" s="113" t="s">
        <v>398</v>
      </c>
      <c r="AB128" s="113" t="s">
        <v>398</v>
      </c>
      <c r="AC128" s="113" t="s">
        <v>398</v>
      </c>
      <c r="AD128" s="113" t="s">
        <v>398</v>
      </c>
      <c r="AE128" s="113" t="s">
        <v>398</v>
      </c>
      <c r="AF128" s="113" t="s">
        <v>398</v>
      </c>
      <c r="AG128" s="113" t="s">
        <v>398</v>
      </c>
      <c r="AH128" s="39">
        <f t="shared" si="21"/>
        <v>0</v>
      </c>
    </row>
    <row r="129" spans="1:36" ht="15">
      <c r="A129" s="1054" t="s">
        <v>82</v>
      </c>
      <c r="B129" s="19">
        <f t="shared" si="20"/>
        <v>0</v>
      </c>
      <c r="C129" s="113" t="s">
        <v>110</v>
      </c>
      <c r="D129" s="1718" t="s">
        <v>110</v>
      </c>
      <c r="E129" s="113" t="s">
        <v>110</v>
      </c>
      <c r="F129" s="113" t="s">
        <v>110</v>
      </c>
      <c r="G129" s="113" t="s">
        <v>110</v>
      </c>
      <c r="H129" s="113" t="s">
        <v>110</v>
      </c>
      <c r="I129" s="113" t="s">
        <v>110</v>
      </c>
      <c r="J129" s="113" t="s">
        <v>110</v>
      </c>
      <c r="K129" s="113" t="s">
        <v>110</v>
      </c>
      <c r="L129" s="113" t="s">
        <v>110</v>
      </c>
      <c r="M129" s="113"/>
      <c r="N129" s="113" t="s">
        <v>110</v>
      </c>
      <c r="O129" s="113" t="s">
        <v>110</v>
      </c>
      <c r="P129" s="113" t="s">
        <v>110</v>
      </c>
      <c r="Q129" s="113" t="s">
        <v>110</v>
      </c>
      <c r="R129" s="113" t="s">
        <v>110</v>
      </c>
      <c r="S129" s="113"/>
      <c r="T129" s="113" t="s">
        <v>110</v>
      </c>
      <c r="U129" s="113" t="s">
        <v>110</v>
      </c>
      <c r="V129" s="113" t="s">
        <v>110</v>
      </c>
      <c r="W129" s="113" t="s">
        <v>110</v>
      </c>
      <c r="X129" s="113" t="s">
        <v>110</v>
      </c>
      <c r="Y129" s="113" t="s">
        <v>110</v>
      </c>
      <c r="Z129" s="113" t="s">
        <v>110</v>
      </c>
      <c r="AA129" s="113" t="s">
        <v>110</v>
      </c>
      <c r="AB129" s="113" t="s">
        <v>110</v>
      </c>
      <c r="AC129" s="113" t="s">
        <v>110</v>
      </c>
      <c r="AD129" s="113" t="s">
        <v>110</v>
      </c>
      <c r="AE129" s="113" t="s">
        <v>110</v>
      </c>
      <c r="AF129" s="113" t="s">
        <v>110</v>
      </c>
      <c r="AG129" s="113" t="s">
        <v>110</v>
      </c>
      <c r="AH129" s="39">
        <f t="shared" si="21"/>
        <v>0</v>
      </c>
    </row>
    <row r="130" spans="1:36" ht="15">
      <c r="A130" s="1054" t="s">
        <v>83</v>
      </c>
      <c r="B130" s="19">
        <f t="shared" si="20"/>
        <v>0</v>
      </c>
      <c r="C130" s="113" t="s">
        <v>110</v>
      </c>
      <c r="D130" s="1718" t="s">
        <v>110</v>
      </c>
      <c r="E130" s="113" t="s">
        <v>110</v>
      </c>
      <c r="F130" s="113" t="s">
        <v>110</v>
      </c>
      <c r="G130" s="113" t="s">
        <v>110</v>
      </c>
      <c r="H130" s="113" t="s">
        <v>110</v>
      </c>
      <c r="I130" s="113" t="s">
        <v>110</v>
      </c>
      <c r="J130" s="113" t="s">
        <v>110</v>
      </c>
      <c r="K130" s="113" t="s">
        <v>110</v>
      </c>
      <c r="L130" s="113" t="s">
        <v>110</v>
      </c>
      <c r="M130" s="113" t="s">
        <v>110</v>
      </c>
      <c r="N130" s="113" t="s">
        <v>110</v>
      </c>
      <c r="O130" s="113" t="s">
        <v>110</v>
      </c>
      <c r="P130" s="113" t="s">
        <v>110</v>
      </c>
      <c r="Q130" s="113" t="s">
        <v>110</v>
      </c>
      <c r="R130" s="34"/>
      <c r="S130" s="34"/>
      <c r="T130" s="34"/>
      <c r="U130" s="34"/>
      <c r="V130" s="34"/>
      <c r="W130" s="34"/>
      <c r="X130" s="34"/>
      <c r="Y130" s="34"/>
      <c r="Z130" s="34"/>
      <c r="AA130" s="34"/>
      <c r="AB130" s="34"/>
      <c r="AC130" s="34"/>
      <c r="AD130" s="34"/>
      <c r="AE130" s="34"/>
      <c r="AF130" s="34"/>
      <c r="AG130" s="31"/>
      <c r="AH130" s="39">
        <f t="shared" si="21"/>
        <v>0</v>
      </c>
    </row>
    <row r="131" spans="1:36" ht="15">
      <c r="A131" s="1054" t="s">
        <v>84</v>
      </c>
      <c r="B131" s="19">
        <f t="shared" si="20"/>
        <v>0</v>
      </c>
      <c r="C131" s="35"/>
      <c r="D131" s="35"/>
      <c r="E131" s="35"/>
      <c r="F131" s="35"/>
      <c r="G131" s="35"/>
      <c r="H131" s="35"/>
      <c r="I131" s="35"/>
      <c r="J131" s="35"/>
      <c r="K131" s="35"/>
      <c r="L131" s="35"/>
      <c r="M131" s="35"/>
      <c r="N131" s="35"/>
      <c r="O131" s="15"/>
      <c r="P131" s="15"/>
      <c r="Q131" s="15"/>
      <c r="R131" s="15"/>
      <c r="S131" s="15"/>
      <c r="T131" s="15"/>
      <c r="U131" s="15"/>
      <c r="V131" s="15"/>
      <c r="W131" s="15"/>
      <c r="X131" s="15"/>
      <c r="Y131" s="15"/>
      <c r="Z131" s="15"/>
      <c r="AA131" s="15"/>
      <c r="AB131" s="15"/>
      <c r="AC131" s="15"/>
      <c r="AD131" s="15"/>
      <c r="AE131" s="39"/>
      <c r="AF131" s="15"/>
      <c r="AG131" s="39"/>
      <c r="AH131" s="39">
        <f t="shared" si="21"/>
        <v>0</v>
      </c>
    </row>
    <row r="132" spans="1:36" ht="15">
      <c r="A132" s="71" t="s">
        <v>72</v>
      </c>
      <c r="B132" s="73">
        <f>SUM(B120:B131)</f>
        <v>255.75</v>
      </c>
      <c r="C132" s="32">
        <f>SUM(C120:C130)</f>
        <v>0</v>
      </c>
      <c r="D132" s="39">
        <f>SUM(D120:D130)</f>
        <v>0</v>
      </c>
      <c r="E132" s="39">
        <v>0</v>
      </c>
      <c r="F132" s="39">
        <f t="shared" ref="F132:AC132" si="22">SUM(F120:F130)</f>
        <v>68.87</v>
      </c>
      <c r="G132" s="39">
        <f t="shared" si="22"/>
        <v>0</v>
      </c>
      <c r="H132" s="39">
        <f t="shared" si="22"/>
        <v>69.459999999999994</v>
      </c>
      <c r="I132" s="39">
        <f t="shared" si="22"/>
        <v>0</v>
      </c>
      <c r="J132" s="39">
        <f t="shared" si="22"/>
        <v>0</v>
      </c>
      <c r="K132" s="39">
        <f t="shared" si="22"/>
        <v>0</v>
      </c>
      <c r="L132" s="39">
        <f t="shared" si="22"/>
        <v>0</v>
      </c>
      <c r="M132" s="39">
        <f t="shared" si="22"/>
        <v>0</v>
      </c>
      <c r="N132" s="39">
        <f t="shared" si="22"/>
        <v>0</v>
      </c>
      <c r="O132" s="39">
        <f t="shared" si="22"/>
        <v>0</v>
      </c>
      <c r="P132" s="39">
        <f t="shared" si="22"/>
        <v>0</v>
      </c>
      <c r="Q132" s="39">
        <f t="shared" si="22"/>
        <v>0</v>
      </c>
      <c r="R132" s="39">
        <f t="shared" si="22"/>
        <v>0</v>
      </c>
      <c r="S132" s="39">
        <f t="shared" si="22"/>
        <v>0</v>
      </c>
      <c r="T132" s="39">
        <f t="shared" si="22"/>
        <v>0</v>
      </c>
      <c r="U132" s="39">
        <f t="shared" si="22"/>
        <v>0</v>
      </c>
      <c r="V132" s="39">
        <f t="shared" si="22"/>
        <v>0</v>
      </c>
      <c r="W132" s="39">
        <f t="shared" si="22"/>
        <v>0</v>
      </c>
      <c r="X132" s="39">
        <f t="shared" si="22"/>
        <v>0</v>
      </c>
      <c r="Y132" s="39">
        <f t="shared" si="22"/>
        <v>0</v>
      </c>
      <c r="Z132" s="39">
        <f t="shared" si="22"/>
        <v>0</v>
      </c>
      <c r="AA132" s="39">
        <f t="shared" si="22"/>
        <v>0</v>
      </c>
      <c r="AB132" s="39">
        <f t="shared" si="22"/>
        <v>28.29</v>
      </c>
      <c r="AC132" s="39">
        <f t="shared" si="22"/>
        <v>0</v>
      </c>
      <c r="AD132" s="39">
        <v>0</v>
      </c>
      <c r="AE132" s="39">
        <f>SUM(AE120:AE130)</f>
        <v>31.21</v>
      </c>
      <c r="AF132" s="39">
        <f>SUM(AF120:AF130)</f>
        <v>57.92</v>
      </c>
      <c r="AG132" s="39">
        <f>SUM(AG120:AG130)</f>
        <v>0</v>
      </c>
      <c r="AH132" s="32">
        <f>SUM(AH120:AH131)</f>
        <v>255.75</v>
      </c>
    </row>
    <row r="133" spans="1:36" ht="15">
      <c r="A133" s="14"/>
      <c r="B133" s="14"/>
      <c r="C133" s="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
    </row>
    <row r="134" spans="1:36" ht="15">
      <c r="A134" s="3821" t="s">
        <v>121</v>
      </c>
      <c r="B134" s="3822"/>
      <c r="C134" s="3822"/>
      <c r="D134" s="3822"/>
      <c r="E134" s="3822"/>
      <c r="F134" s="3822"/>
      <c r="G134" s="3822"/>
      <c r="H134" s="3823"/>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row>
    <row r="135" spans="1:36" ht="15.6">
      <c r="A135" s="5" t="s">
        <v>70</v>
      </c>
      <c r="B135" s="5" t="s">
        <v>71</v>
      </c>
      <c r="C135" s="1275">
        <v>1</v>
      </c>
      <c r="D135" s="21">
        <v>2</v>
      </c>
      <c r="E135" s="21">
        <v>3</v>
      </c>
      <c r="F135" s="21">
        <v>4</v>
      </c>
      <c r="G135" s="21">
        <v>5</v>
      </c>
      <c r="H135" s="21">
        <v>6</v>
      </c>
      <c r="I135" s="21">
        <v>7</v>
      </c>
      <c r="J135" s="21">
        <v>8</v>
      </c>
      <c r="K135" s="21">
        <v>9</v>
      </c>
      <c r="L135" s="21">
        <v>10</v>
      </c>
      <c r="M135" s="21">
        <v>11</v>
      </c>
      <c r="N135" s="21">
        <v>12</v>
      </c>
      <c r="O135" s="21">
        <v>13</v>
      </c>
      <c r="P135" s="21">
        <v>14</v>
      </c>
      <c r="Q135" s="21">
        <v>15</v>
      </c>
      <c r="R135" s="21">
        <v>16</v>
      </c>
      <c r="S135" s="21">
        <v>17</v>
      </c>
      <c r="T135" s="21">
        <v>18</v>
      </c>
      <c r="U135" s="21">
        <v>19</v>
      </c>
      <c r="V135" s="21">
        <v>20</v>
      </c>
      <c r="W135" s="21">
        <v>21</v>
      </c>
      <c r="X135" s="21">
        <v>22</v>
      </c>
      <c r="Y135" s="21">
        <v>23</v>
      </c>
      <c r="Z135" s="21">
        <v>24</v>
      </c>
      <c r="AA135" s="21">
        <v>25</v>
      </c>
      <c r="AB135" s="21">
        <v>26</v>
      </c>
      <c r="AC135" s="21">
        <v>27</v>
      </c>
      <c r="AD135" s="21">
        <v>28</v>
      </c>
      <c r="AE135" s="21">
        <v>29</v>
      </c>
      <c r="AF135" s="21">
        <v>30</v>
      </c>
      <c r="AG135" s="21">
        <v>31</v>
      </c>
      <c r="AH135" s="25" t="s">
        <v>72</v>
      </c>
      <c r="AI135" s="2266" t="s">
        <v>1345</v>
      </c>
      <c r="AJ135" s="66">
        <f>(B148/COUNTIF($C$136:$AG$147,"&gt;0"))</f>
        <v>64.083732142857144</v>
      </c>
    </row>
    <row r="136" spans="1:36" ht="15">
      <c r="A136" s="1719" t="s">
        <v>73</v>
      </c>
      <c r="B136" s="1091">
        <f t="shared" ref="B136:B147" si="23">+AH136</f>
        <v>152.22800000000001</v>
      </c>
      <c r="C136" s="35"/>
      <c r="D136" s="39"/>
      <c r="E136" s="39"/>
      <c r="F136" s="39"/>
      <c r="G136" s="15"/>
      <c r="H136" s="15"/>
      <c r="I136" s="15"/>
      <c r="J136" s="15"/>
      <c r="K136" s="15"/>
      <c r="L136" s="15"/>
      <c r="M136" s="15"/>
      <c r="N136" s="15"/>
      <c r="O136" s="15"/>
      <c r="P136" s="15"/>
      <c r="Q136" s="39"/>
      <c r="R136" s="15"/>
      <c r="S136" s="15"/>
      <c r="T136" s="15"/>
      <c r="U136" s="15"/>
      <c r="V136" s="39"/>
      <c r="W136" s="39"/>
      <c r="X136" s="15"/>
      <c r="Y136" s="15"/>
      <c r="Z136" s="15"/>
      <c r="AA136" s="15"/>
      <c r="AB136" s="15"/>
      <c r="AC136" s="15"/>
      <c r="AD136" s="39">
        <v>32.838000000000001</v>
      </c>
      <c r="AE136" s="15">
        <v>82.5</v>
      </c>
      <c r="AF136" s="15">
        <v>36.89</v>
      </c>
      <c r="AG136" s="15"/>
      <c r="AH136" s="39">
        <f>SUM(C136:AG136)</f>
        <v>152.22800000000001</v>
      </c>
      <c r="AJ136">
        <f>+'Resumen RAE S. Austral'!G23</f>
        <v>13.310999999999694</v>
      </c>
    </row>
    <row r="137" spans="1:36" ht="15">
      <c r="A137" s="1719" t="s">
        <v>74</v>
      </c>
      <c r="B137" s="1591">
        <f t="shared" si="23"/>
        <v>458.83100000000002</v>
      </c>
      <c r="C137" s="35" t="s">
        <v>127</v>
      </c>
      <c r="D137" s="15" t="s">
        <v>127</v>
      </c>
      <c r="E137" s="15" t="s">
        <v>127</v>
      </c>
      <c r="F137" s="15">
        <v>1.867</v>
      </c>
      <c r="G137" s="15" t="s">
        <v>127</v>
      </c>
      <c r="H137" s="15" t="s">
        <v>127</v>
      </c>
      <c r="I137" s="15" t="s">
        <v>127</v>
      </c>
      <c r="J137" s="15" t="s">
        <v>127</v>
      </c>
      <c r="K137" s="15" t="s">
        <v>127</v>
      </c>
      <c r="L137" s="15">
        <v>171.679</v>
      </c>
      <c r="M137" s="15">
        <v>12.064</v>
      </c>
      <c r="N137" s="15" t="s">
        <v>127</v>
      </c>
      <c r="O137" s="15">
        <v>60.308</v>
      </c>
      <c r="P137" s="15" t="s">
        <v>127</v>
      </c>
      <c r="Q137" s="15" t="s">
        <v>127</v>
      </c>
      <c r="R137" s="15" t="s">
        <v>127</v>
      </c>
      <c r="S137" s="15" t="s">
        <v>127</v>
      </c>
      <c r="T137" s="15">
        <v>17.02</v>
      </c>
      <c r="U137" s="15">
        <v>51.95</v>
      </c>
      <c r="V137" s="15" t="s">
        <v>127</v>
      </c>
      <c r="W137" s="15" t="s">
        <v>127</v>
      </c>
      <c r="X137" s="15">
        <v>54.62</v>
      </c>
      <c r="Y137" s="15" t="s">
        <v>127</v>
      </c>
      <c r="Z137" s="15" t="s">
        <v>127</v>
      </c>
      <c r="AA137" s="15" t="s">
        <v>127</v>
      </c>
      <c r="AB137" s="15">
        <v>43.99</v>
      </c>
      <c r="AC137" s="15">
        <v>45.332999999999998</v>
      </c>
      <c r="AD137" s="15"/>
      <c r="AE137" s="15"/>
      <c r="AF137" s="15"/>
      <c r="AG137" s="15"/>
      <c r="AH137" s="39">
        <f t="shared" ref="AH137:AH147" si="24">SUM(C137:AG137)</f>
        <v>458.83100000000002</v>
      </c>
      <c r="AJ137" s="1093">
        <f>+AJ136/AJ135</f>
        <v>0.20771262151721223</v>
      </c>
    </row>
    <row r="138" spans="1:36" ht="15">
      <c r="A138" s="1719" t="s">
        <v>75</v>
      </c>
      <c r="B138" s="1591">
        <f t="shared" si="23"/>
        <v>740.44600000000003</v>
      </c>
      <c r="C138" s="35"/>
      <c r="D138" s="15"/>
      <c r="E138" s="15"/>
      <c r="F138" s="15">
        <v>76.819999999999993</v>
      </c>
      <c r="G138" s="15"/>
      <c r="H138" s="15">
        <v>115.25999999999999</v>
      </c>
      <c r="I138" s="15"/>
      <c r="J138" s="15"/>
      <c r="K138" s="15"/>
      <c r="L138" s="15">
        <v>129.16999999999999</v>
      </c>
      <c r="M138" s="15">
        <v>126.01</v>
      </c>
      <c r="N138" s="15"/>
      <c r="O138" s="15">
        <v>102.89</v>
      </c>
      <c r="P138" s="15"/>
      <c r="Q138" s="1084"/>
      <c r="R138" s="1084"/>
      <c r="S138" s="1084"/>
      <c r="T138" s="1084"/>
      <c r="U138" s="1084"/>
      <c r="V138" s="1084"/>
      <c r="W138" s="1084"/>
      <c r="X138" s="1084"/>
      <c r="Y138" s="1084"/>
      <c r="Z138" s="1084"/>
      <c r="AA138" s="1084"/>
      <c r="AB138" s="1084"/>
      <c r="AC138" s="1084"/>
      <c r="AD138" s="1084">
        <v>85.759999999999991</v>
      </c>
      <c r="AE138" s="1084">
        <v>42.588999999999999</v>
      </c>
      <c r="AF138" s="1084" t="s">
        <v>127</v>
      </c>
      <c r="AG138" s="1084">
        <v>61.947000000000003</v>
      </c>
      <c r="AH138" s="39">
        <f t="shared" si="24"/>
        <v>740.44600000000003</v>
      </c>
    </row>
    <row r="139" spans="1:36" ht="15">
      <c r="A139" s="1719" t="s">
        <v>76</v>
      </c>
      <c r="B139" s="1591">
        <f t="shared" si="23"/>
        <v>239.148</v>
      </c>
      <c r="C139" s="1084">
        <v>77.748000000000005</v>
      </c>
      <c r="D139" s="1084"/>
      <c r="E139" s="2458">
        <v>58.94</v>
      </c>
      <c r="F139" s="2458">
        <v>102.46000000000001</v>
      </c>
      <c r="G139" s="1084"/>
      <c r="H139" s="1084"/>
      <c r="I139" s="1084"/>
      <c r="J139" s="1084"/>
      <c r="K139" s="1084"/>
      <c r="L139" s="1084"/>
      <c r="M139" s="1084"/>
      <c r="N139" s="1084"/>
      <c r="O139" s="1084"/>
      <c r="P139" s="1084"/>
      <c r="Q139" s="1084"/>
      <c r="R139" s="1084"/>
      <c r="S139" s="1084"/>
      <c r="T139" s="1084"/>
      <c r="U139" s="1084"/>
      <c r="V139" s="1084"/>
      <c r="W139" s="1084"/>
      <c r="X139" s="1084"/>
      <c r="Y139" s="1084"/>
      <c r="Z139" s="1084"/>
      <c r="AA139" s="1084"/>
      <c r="AB139" s="1084"/>
      <c r="AC139" s="1084"/>
      <c r="AD139" s="1084"/>
      <c r="AE139" s="1084"/>
      <c r="AF139" s="1084" t="s">
        <v>110</v>
      </c>
      <c r="AG139" s="1084" t="s">
        <v>110</v>
      </c>
      <c r="AH139" s="39">
        <f t="shared" si="24"/>
        <v>239.148</v>
      </c>
    </row>
    <row r="140" spans="1:36" ht="15">
      <c r="A140" s="1719" t="s">
        <v>77</v>
      </c>
      <c r="B140" s="1591">
        <f t="shared" si="23"/>
        <v>103.24199999999999</v>
      </c>
      <c r="C140" s="1084" t="s">
        <v>110</v>
      </c>
      <c r="D140" s="1084" t="s">
        <v>110</v>
      </c>
      <c r="E140" s="1084" t="s">
        <v>110</v>
      </c>
      <c r="F140" s="1084" t="s">
        <v>110</v>
      </c>
      <c r="G140" s="1084" t="s">
        <v>110</v>
      </c>
      <c r="H140" s="1084" t="s">
        <v>110</v>
      </c>
      <c r="I140" s="1084" t="s">
        <v>110</v>
      </c>
      <c r="J140" s="1084" t="s">
        <v>110</v>
      </c>
      <c r="K140" s="1084" t="s">
        <v>110</v>
      </c>
      <c r="L140" s="1084" t="s">
        <v>110</v>
      </c>
      <c r="M140" s="1084" t="s">
        <v>110</v>
      </c>
      <c r="N140" s="1084" t="s">
        <v>110</v>
      </c>
      <c r="O140" s="1084" t="s">
        <v>110</v>
      </c>
      <c r="P140" s="1084" t="s">
        <v>110</v>
      </c>
      <c r="Q140" s="1084" t="s">
        <v>110</v>
      </c>
      <c r="R140" s="15"/>
      <c r="S140" s="15"/>
      <c r="T140" s="15"/>
      <c r="U140" s="15"/>
      <c r="V140" s="15"/>
      <c r="W140" s="15"/>
      <c r="X140" s="15">
        <v>33.231999999999999</v>
      </c>
      <c r="Y140" s="15">
        <v>52.94</v>
      </c>
      <c r="Z140" s="15">
        <v>17.07</v>
      </c>
      <c r="AA140" s="15"/>
      <c r="AB140" s="15"/>
      <c r="AC140" s="15"/>
      <c r="AD140" s="15"/>
      <c r="AE140" s="15"/>
      <c r="AF140" s="15"/>
      <c r="AG140" s="15"/>
      <c r="AH140" s="39">
        <f t="shared" si="24"/>
        <v>103.24199999999999</v>
      </c>
    </row>
    <row r="141" spans="1:36" ht="15">
      <c r="A141" s="1719" t="s">
        <v>78</v>
      </c>
      <c r="B141" s="1591">
        <f t="shared" si="23"/>
        <v>430.47200000000004</v>
      </c>
      <c r="C141" s="32"/>
      <c r="D141" s="39"/>
      <c r="E141" s="39"/>
      <c r="F141" s="39"/>
      <c r="G141" s="39"/>
      <c r="H141" s="39"/>
      <c r="I141" s="39"/>
      <c r="J141" s="39"/>
      <c r="K141" s="39"/>
      <c r="L141" s="39"/>
      <c r="M141" s="39"/>
      <c r="N141" s="39">
        <v>52.01</v>
      </c>
      <c r="O141" s="39">
        <v>60.38</v>
      </c>
      <c r="P141" s="39"/>
      <c r="Q141" s="1268"/>
      <c r="R141" s="1268"/>
      <c r="S141" s="1268">
        <v>89.36</v>
      </c>
      <c r="T141" s="1268"/>
      <c r="U141" s="1268"/>
      <c r="V141" s="1268">
        <v>25.74</v>
      </c>
      <c r="W141" s="1268"/>
      <c r="X141" s="1268"/>
      <c r="Y141" s="1268"/>
      <c r="Z141" s="1268"/>
      <c r="AA141" s="1268">
        <v>33.031999999999996</v>
      </c>
      <c r="AB141" s="1268">
        <v>103.53</v>
      </c>
      <c r="AC141" s="1268"/>
      <c r="AD141" s="1268">
        <v>66.42</v>
      </c>
      <c r="AE141" s="1268"/>
      <c r="AF141" s="1268"/>
      <c r="AG141" s="1268"/>
      <c r="AH141" s="39">
        <f t="shared" si="24"/>
        <v>430.47200000000004</v>
      </c>
    </row>
    <row r="142" spans="1:36" ht="15">
      <c r="A142" s="1054" t="s">
        <v>79</v>
      </c>
      <c r="B142" s="1591">
        <f t="shared" si="23"/>
        <v>416.67199999999997</v>
      </c>
      <c r="C142" s="35"/>
      <c r="D142" s="39"/>
      <c r="E142" s="39">
        <v>72.08</v>
      </c>
      <c r="F142" s="39">
        <v>78.680000000000007</v>
      </c>
      <c r="G142" s="15">
        <v>77.87</v>
      </c>
      <c r="H142" s="15"/>
      <c r="I142" s="15"/>
      <c r="J142" s="43">
        <v>71.209999999999994</v>
      </c>
      <c r="K142" s="43">
        <v>50.262</v>
      </c>
      <c r="L142" s="39"/>
      <c r="M142" s="39"/>
      <c r="N142" s="39"/>
      <c r="O142" s="39"/>
      <c r="P142" s="39"/>
      <c r="Q142" s="39"/>
      <c r="R142" s="39"/>
      <c r="S142" s="39"/>
      <c r="T142" s="39"/>
      <c r="U142" s="39">
        <v>66.569999999999993</v>
      </c>
      <c r="V142" s="39"/>
      <c r="W142" s="39"/>
      <c r="X142" s="39"/>
      <c r="Y142" s="39"/>
      <c r="Z142" s="39"/>
      <c r="AA142" s="39"/>
      <c r="AB142" s="39"/>
      <c r="AC142" s="39"/>
      <c r="AD142" s="39"/>
      <c r="AE142" s="39"/>
      <c r="AF142" s="39"/>
      <c r="AG142" s="39"/>
      <c r="AH142" s="39">
        <f t="shared" si="24"/>
        <v>416.67199999999997</v>
      </c>
    </row>
    <row r="143" spans="1:36" ht="15">
      <c r="A143" s="1054" t="s">
        <v>80</v>
      </c>
      <c r="B143" s="1591">
        <f t="shared" si="23"/>
        <v>55.793999999999997</v>
      </c>
      <c r="C143" s="35"/>
      <c r="D143" s="15"/>
      <c r="E143" s="15"/>
      <c r="F143" s="15"/>
      <c r="G143" s="15"/>
      <c r="H143" s="15"/>
      <c r="I143" s="15"/>
      <c r="J143" s="43"/>
      <c r="K143" s="43"/>
      <c r="L143" s="39"/>
      <c r="M143" s="39"/>
      <c r="N143" s="39"/>
      <c r="O143" s="39"/>
      <c r="P143" s="39"/>
      <c r="Q143" s="39"/>
      <c r="R143" s="39"/>
      <c r="S143" s="39"/>
      <c r="T143" s="39"/>
      <c r="U143" s="39"/>
      <c r="V143" s="39"/>
      <c r="W143" s="39"/>
      <c r="X143" s="39"/>
      <c r="Y143" s="39"/>
      <c r="Z143" s="39"/>
      <c r="AA143" s="39"/>
      <c r="AB143" s="39"/>
      <c r="AC143" s="39"/>
      <c r="AD143" s="39">
        <v>55.793999999999997</v>
      </c>
      <c r="AE143" s="39"/>
      <c r="AF143" s="39"/>
      <c r="AG143" s="39"/>
      <c r="AH143" s="39">
        <f t="shared" si="24"/>
        <v>55.793999999999997</v>
      </c>
    </row>
    <row r="144" spans="1:36" ht="15">
      <c r="A144" s="1054" t="s">
        <v>81</v>
      </c>
      <c r="B144" s="1591">
        <f t="shared" si="23"/>
        <v>0</v>
      </c>
      <c r="C144" s="31"/>
      <c r="D144" s="31"/>
      <c r="E144" s="31"/>
      <c r="F144" s="31"/>
      <c r="G144" s="31"/>
      <c r="H144" s="31"/>
      <c r="I144" s="31"/>
      <c r="J144" s="31"/>
      <c r="K144" s="31"/>
      <c r="L144" s="31"/>
      <c r="M144" s="31"/>
      <c r="N144" s="31"/>
      <c r="O144" s="31"/>
      <c r="P144" s="31"/>
      <c r="Q144" s="113" t="s">
        <v>398</v>
      </c>
      <c r="R144" s="113" t="s">
        <v>398</v>
      </c>
      <c r="S144" s="113" t="s">
        <v>398</v>
      </c>
      <c r="T144" s="113" t="s">
        <v>398</v>
      </c>
      <c r="U144" s="113" t="s">
        <v>398</v>
      </c>
      <c r="V144" s="113" t="s">
        <v>398</v>
      </c>
      <c r="W144" s="113" t="s">
        <v>398</v>
      </c>
      <c r="X144" s="113" t="s">
        <v>398</v>
      </c>
      <c r="Y144" s="113" t="s">
        <v>398</v>
      </c>
      <c r="Z144" s="113" t="s">
        <v>398</v>
      </c>
      <c r="AA144" s="113" t="s">
        <v>398</v>
      </c>
      <c r="AB144" s="113" t="s">
        <v>398</v>
      </c>
      <c r="AC144" s="113" t="s">
        <v>398</v>
      </c>
      <c r="AD144" s="113" t="s">
        <v>398</v>
      </c>
      <c r="AE144" s="113" t="s">
        <v>398</v>
      </c>
      <c r="AF144" s="113" t="s">
        <v>398</v>
      </c>
      <c r="AG144" s="113" t="s">
        <v>398</v>
      </c>
      <c r="AH144" s="39">
        <f t="shared" si="24"/>
        <v>0</v>
      </c>
    </row>
    <row r="145" spans="1:36" ht="15">
      <c r="A145" s="1054" t="s">
        <v>82</v>
      </c>
      <c r="B145" s="1591">
        <f t="shared" si="23"/>
        <v>0</v>
      </c>
      <c r="C145" s="113" t="s">
        <v>110</v>
      </c>
      <c r="D145" s="1718" t="s">
        <v>110</v>
      </c>
      <c r="E145" s="113" t="s">
        <v>110</v>
      </c>
      <c r="F145" s="113" t="s">
        <v>110</v>
      </c>
      <c r="G145" s="113" t="s">
        <v>110</v>
      </c>
      <c r="H145" s="113" t="s">
        <v>110</v>
      </c>
      <c r="I145" s="113" t="s">
        <v>110</v>
      </c>
      <c r="J145" s="113" t="s">
        <v>110</v>
      </c>
      <c r="K145" s="113" t="s">
        <v>110</v>
      </c>
      <c r="L145" s="113" t="s">
        <v>110</v>
      </c>
      <c r="M145" s="113" t="s">
        <v>110</v>
      </c>
      <c r="N145" s="113" t="s">
        <v>110</v>
      </c>
      <c r="O145" s="113" t="s">
        <v>110</v>
      </c>
      <c r="P145" s="113" t="s">
        <v>110</v>
      </c>
      <c r="Q145" s="113" t="s">
        <v>110</v>
      </c>
      <c r="R145" s="113" t="s">
        <v>110</v>
      </c>
      <c r="S145" s="113" t="s">
        <v>110</v>
      </c>
      <c r="T145" s="113" t="s">
        <v>110</v>
      </c>
      <c r="U145" s="113" t="s">
        <v>110</v>
      </c>
      <c r="V145" s="113" t="s">
        <v>110</v>
      </c>
      <c r="W145" s="113" t="s">
        <v>110</v>
      </c>
      <c r="X145" s="113" t="s">
        <v>110</v>
      </c>
      <c r="Y145" s="113" t="s">
        <v>110</v>
      </c>
      <c r="Z145" s="113" t="s">
        <v>110</v>
      </c>
      <c r="AA145" s="113" t="s">
        <v>110</v>
      </c>
      <c r="AB145" s="113" t="s">
        <v>110</v>
      </c>
      <c r="AC145" s="113" t="s">
        <v>110</v>
      </c>
      <c r="AD145" s="113" t="s">
        <v>110</v>
      </c>
      <c r="AE145" s="113" t="s">
        <v>110</v>
      </c>
      <c r="AF145" s="113" t="s">
        <v>110</v>
      </c>
      <c r="AG145" s="113" t="s">
        <v>110</v>
      </c>
      <c r="AH145" s="39">
        <f t="shared" si="24"/>
        <v>0</v>
      </c>
    </row>
    <row r="146" spans="1:36" ht="15">
      <c r="A146" s="1054" t="s">
        <v>83</v>
      </c>
      <c r="B146" s="1591">
        <f t="shared" si="23"/>
        <v>383.15800000000002</v>
      </c>
      <c r="C146" s="113"/>
      <c r="D146" s="1718"/>
      <c r="E146" s="113"/>
      <c r="F146" s="113"/>
      <c r="G146" s="113"/>
      <c r="H146" s="113"/>
      <c r="I146" s="113"/>
      <c r="J146" s="113"/>
      <c r="K146" s="113"/>
      <c r="L146" s="113"/>
      <c r="M146" s="113"/>
      <c r="N146" s="113"/>
      <c r="O146" s="113"/>
      <c r="P146" s="113"/>
      <c r="Q146" s="113"/>
      <c r="R146" s="34"/>
      <c r="S146" s="34"/>
      <c r="T146" s="34"/>
      <c r="U146" s="34"/>
      <c r="V146" s="34"/>
      <c r="W146" s="34"/>
      <c r="X146" s="34"/>
      <c r="Y146" s="34"/>
      <c r="Z146" s="34">
        <v>14.2</v>
      </c>
      <c r="AA146" s="34">
        <v>47.16</v>
      </c>
      <c r="AB146" s="34">
        <v>159.18799999999999</v>
      </c>
      <c r="AC146" s="34">
        <v>101.79</v>
      </c>
      <c r="AD146" s="34">
        <v>60.82</v>
      </c>
      <c r="AE146" s="34"/>
      <c r="AF146" s="34"/>
      <c r="AG146" s="31"/>
      <c r="AH146" s="39">
        <f t="shared" si="24"/>
        <v>383.15800000000002</v>
      </c>
    </row>
    <row r="147" spans="1:36" ht="15">
      <c r="A147" s="1054" t="s">
        <v>84</v>
      </c>
      <c r="B147" s="1591">
        <f t="shared" si="23"/>
        <v>608.69799999999998</v>
      </c>
      <c r="C147" s="35">
        <v>38.950000000000003</v>
      </c>
      <c r="D147" s="15">
        <v>84.06</v>
      </c>
      <c r="E147" s="15"/>
      <c r="F147" s="15">
        <v>13.1</v>
      </c>
      <c r="G147" s="15"/>
      <c r="H147" s="15"/>
      <c r="I147" s="15"/>
      <c r="J147" s="15"/>
      <c r="K147" s="15"/>
      <c r="L147" s="15"/>
      <c r="M147" s="15">
        <v>45.45</v>
      </c>
      <c r="N147" s="15"/>
      <c r="O147" s="15">
        <v>24.79</v>
      </c>
      <c r="P147" s="15"/>
      <c r="Q147" s="15"/>
      <c r="R147" s="15">
        <v>25.51</v>
      </c>
      <c r="S147" s="15"/>
      <c r="T147" s="15">
        <v>111.02000000000001</v>
      </c>
      <c r="U147" s="15"/>
      <c r="V147" s="15"/>
      <c r="W147" s="15"/>
      <c r="X147" s="15">
        <v>98.72</v>
      </c>
      <c r="Y147" s="15"/>
      <c r="Z147" s="15">
        <v>52.8</v>
      </c>
      <c r="AA147" s="15"/>
      <c r="AB147" s="15"/>
      <c r="AC147" s="15">
        <v>58.787999999999997</v>
      </c>
      <c r="AD147" s="15"/>
      <c r="AE147" s="39">
        <v>55.51</v>
      </c>
      <c r="AF147" s="15"/>
      <c r="AG147" s="39"/>
      <c r="AH147" s="39">
        <f t="shared" si="24"/>
        <v>608.69799999999998</v>
      </c>
    </row>
    <row r="148" spans="1:36" ht="15">
      <c r="A148" s="71" t="s">
        <v>72</v>
      </c>
      <c r="B148" s="72">
        <f>SUM(B136:B147)</f>
        <v>3588.6889999999999</v>
      </c>
      <c r="C148" s="32">
        <f>SUM(C136:C146)</f>
        <v>77.748000000000005</v>
      </c>
      <c r="D148" s="39">
        <f>SUM(D136:D146)</f>
        <v>0</v>
      </c>
      <c r="E148" s="39">
        <v>0</v>
      </c>
      <c r="F148" s="39">
        <f t="shared" ref="F148:AC148" si="25">SUM(F136:F146)</f>
        <v>259.827</v>
      </c>
      <c r="G148" s="39">
        <f t="shared" si="25"/>
        <v>77.87</v>
      </c>
      <c r="H148" s="39">
        <f t="shared" si="25"/>
        <v>115.25999999999999</v>
      </c>
      <c r="I148" s="39">
        <f t="shared" si="25"/>
        <v>0</v>
      </c>
      <c r="J148" s="39">
        <f t="shared" si="25"/>
        <v>71.209999999999994</v>
      </c>
      <c r="K148" s="39">
        <f t="shared" si="25"/>
        <v>50.262</v>
      </c>
      <c r="L148" s="39">
        <f t="shared" si="25"/>
        <v>300.84899999999999</v>
      </c>
      <c r="M148" s="39">
        <f t="shared" si="25"/>
        <v>138.07400000000001</v>
      </c>
      <c r="N148" s="39">
        <f t="shared" si="25"/>
        <v>52.01</v>
      </c>
      <c r="O148" s="39">
        <f t="shared" si="25"/>
        <v>223.578</v>
      </c>
      <c r="P148" s="39">
        <f t="shared" si="25"/>
        <v>0</v>
      </c>
      <c r="Q148" s="39">
        <f t="shared" si="25"/>
        <v>0</v>
      </c>
      <c r="R148" s="39">
        <f t="shared" si="25"/>
        <v>0</v>
      </c>
      <c r="S148" s="39">
        <f t="shared" si="25"/>
        <v>89.36</v>
      </c>
      <c r="T148" s="39">
        <f t="shared" si="25"/>
        <v>17.02</v>
      </c>
      <c r="U148" s="39">
        <f t="shared" si="25"/>
        <v>118.52</v>
      </c>
      <c r="V148" s="39">
        <f t="shared" si="25"/>
        <v>25.74</v>
      </c>
      <c r="W148" s="39">
        <f t="shared" si="25"/>
        <v>0</v>
      </c>
      <c r="X148" s="39">
        <f t="shared" si="25"/>
        <v>87.852000000000004</v>
      </c>
      <c r="Y148" s="39">
        <f t="shared" si="25"/>
        <v>52.94</v>
      </c>
      <c r="Z148" s="39">
        <f t="shared" si="25"/>
        <v>31.27</v>
      </c>
      <c r="AA148" s="39">
        <f t="shared" si="25"/>
        <v>80.191999999999993</v>
      </c>
      <c r="AB148" s="39">
        <f t="shared" si="25"/>
        <v>306.70799999999997</v>
      </c>
      <c r="AC148" s="39">
        <f t="shared" si="25"/>
        <v>147.12299999999999</v>
      </c>
      <c r="AD148" s="39">
        <v>0</v>
      </c>
      <c r="AE148" s="39">
        <f>SUM(AE136:AE146)</f>
        <v>125.089</v>
      </c>
      <c r="AF148" s="39">
        <f>SUM(AF136:AF146)</f>
        <v>36.89</v>
      </c>
      <c r="AG148" s="39">
        <f>SUM(AG136:AG146)</f>
        <v>61.947000000000003</v>
      </c>
      <c r="AH148" s="32">
        <f>SUM(AH136:AH146)</f>
        <v>2979.991</v>
      </c>
    </row>
    <row r="149" spans="1:36">
      <c r="A149" s="66"/>
      <c r="B149" s="69"/>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row>
    <row r="150" spans="1:36" s="1692" customFormat="1" ht="15">
      <c r="A150" s="3821" t="s">
        <v>58</v>
      </c>
      <c r="B150" s="3822"/>
      <c r="C150" s="3822"/>
      <c r="D150" s="3822"/>
      <c r="E150" s="3822"/>
      <c r="F150" s="3822"/>
      <c r="G150" s="3822"/>
      <c r="H150" s="3823"/>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row>
    <row r="151" spans="1:36" s="1692" customFormat="1" ht="15">
      <c r="A151" s="5" t="s">
        <v>89</v>
      </c>
      <c r="B151" s="56" t="s">
        <v>71</v>
      </c>
      <c r="C151" s="1054">
        <v>1</v>
      </c>
      <c r="D151" s="21">
        <v>2</v>
      </c>
      <c r="E151" s="21">
        <v>3</v>
      </c>
      <c r="F151" s="21">
        <v>4</v>
      </c>
      <c r="G151" s="21">
        <v>5</v>
      </c>
      <c r="H151" s="21">
        <v>6</v>
      </c>
      <c r="I151" s="21">
        <v>7</v>
      </c>
      <c r="J151" s="21">
        <v>8</v>
      </c>
      <c r="K151" s="21">
        <v>9</v>
      </c>
      <c r="L151" s="21">
        <v>10</v>
      </c>
      <c r="M151" s="21">
        <v>11</v>
      </c>
      <c r="N151" s="21">
        <v>12</v>
      </c>
      <c r="O151" s="21">
        <v>13</v>
      </c>
      <c r="P151" s="21">
        <v>14</v>
      </c>
      <c r="Q151" s="21">
        <v>15</v>
      </c>
      <c r="R151" s="21">
        <v>16</v>
      </c>
      <c r="S151" s="21">
        <v>17</v>
      </c>
      <c r="T151" s="21">
        <v>18</v>
      </c>
      <c r="U151" s="21">
        <v>19</v>
      </c>
      <c r="V151" s="21">
        <v>20</v>
      </c>
      <c r="W151" s="21">
        <v>21</v>
      </c>
      <c r="X151" s="21">
        <v>22</v>
      </c>
      <c r="Y151" s="21">
        <v>23</v>
      </c>
      <c r="Z151" s="21">
        <v>24</v>
      </c>
      <c r="AA151" s="21">
        <v>25</v>
      </c>
      <c r="AB151" s="21">
        <v>26</v>
      </c>
      <c r="AC151" s="21">
        <v>27</v>
      </c>
      <c r="AD151" s="21">
        <v>28</v>
      </c>
      <c r="AE151" s="21">
        <v>29</v>
      </c>
      <c r="AF151" s="21">
        <v>30</v>
      </c>
      <c r="AG151" s="21">
        <v>31</v>
      </c>
      <c r="AH151" s="25" t="s">
        <v>72</v>
      </c>
      <c r="AI151" s="2266" t="s">
        <v>1345</v>
      </c>
      <c r="AJ151" s="66">
        <f>(B164/COUNTIF($C$152:$AG$163,"&gt;0"))</f>
        <v>39.919947368421056</v>
      </c>
    </row>
    <row r="152" spans="1:36" s="1692" customFormat="1" ht="15">
      <c r="A152" s="1719" t="s">
        <v>73</v>
      </c>
      <c r="B152" s="1090">
        <f t="shared" ref="B152:B163" si="26">+AH152</f>
        <v>73.170999999999992</v>
      </c>
      <c r="C152" s="1091"/>
      <c r="D152" s="1268"/>
      <c r="E152" s="1268"/>
      <c r="F152" s="1268"/>
      <c r="G152" s="1091"/>
      <c r="H152" s="1091"/>
      <c r="I152" s="1091"/>
      <c r="J152" s="1091"/>
      <c r="K152" s="1091"/>
      <c r="L152" s="1091"/>
      <c r="M152" s="1091"/>
      <c r="N152" s="1091"/>
      <c r="O152" s="1091"/>
      <c r="P152" s="1091"/>
      <c r="Q152" s="1268"/>
      <c r="R152" s="1091"/>
      <c r="S152" s="1091"/>
      <c r="T152" s="1091"/>
      <c r="U152" s="1091"/>
      <c r="V152" s="1268"/>
      <c r="W152" s="1268"/>
      <c r="X152" s="1091"/>
      <c r="Y152" s="1091"/>
      <c r="Z152" s="1091">
        <v>4.3209999999999997</v>
      </c>
      <c r="AA152" s="1091"/>
      <c r="AB152" s="1091"/>
      <c r="AC152" s="1091"/>
      <c r="AD152" s="1268">
        <v>3.49</v>
      </c>
      <c r="AE152" s="1091">
        <v>50.45</v>
      </c>
      <c r="AF152" s="1091">
        <v>6.75</v>
      </c>
      <c r="AG152" s="1091">
        <v>8.16</v>
      </c>
      <c r="AH152" s="39">
        <f>SUM(C152:AG152)</f>
        <v>73.170999999999992</v>
      </c>
      <c r="AJ152" s="1692">
        <f>+'Resumen RAE S. Austral'!G24</f>
        <v>-439.39500000000021</v>
      </c>
    </row>
    <row r="153" spans="1:36" s="1692" customFormat="1" ht="15">
      <c r="A153" s="1719" t="s">
        <v>74</v>
      </c>
      <c r="B153" s="1090">
        <f t="shared" si="26"/>
        <v>509.149</v>
      </c>
      <c r="C153" s="1091">
        <v>12.75</v>
      </c>
      <c r="D153" s="1091">
        <v>19.39</v>
      </c>
      <c r="E153" s="1091"/>
      <c r="F153" s="1091">
        <v>17.591999999999999</v>
      </c>
      <c r="G153" s="1091">
        <v>2.2040000000000002</v>
      </c>
      <c r="H153" s="1091"/>
      <c r="I153" s="1091"/>
      <c r="J153" s="1091"/>
      <c r="K153" s="1091"/>
      <c r="L153" s="1091"/>
      <c r="M153" s="1091">
        <v>21.16</v>
      </c>
      <c r="N153" s="1091">
        <v>22.17</v>
      </c>
      <c r="O153" s="1091">
        <v>8.9</v>
      </c>
      <c r="P153" s="1091">
        <v>50.88</v>
      </c>
      <c r="Q153" s="1091">
        <v>16.95</v>
      </c>
      <c r="R153" s="1091"/>
      <c r="S153" s="1091">
        <v>12.07</v>
      </c>
      <c r="T153" s="1091">
        <v>23.14</v>
      </c>
      <c r="U153" s="1091">
        <v>46.769999999999996</v>
      </c>
      <c r="V153" s="1091">
        <v>70.83</v>
      </c>
      <c r="W153" s="1091">
        <v>39.700000000000003</v>
      </c>
      <c r="X153" s="1091"/>
      <c r="Y153" s="1091"/>
      <c r="Z153" s="1091"/>
      <c r="AA153" s="1091">
        <v>24.78</v>
      </c>
      <c r="AB153" s="1091">
        <v>69.893000000000001</v>
      </c>
      <c r="AC153" s="1091">
        <v>49.97</v>
      </c>
      <c r="AD153" s="1091"/>
      <c r="AE153" s="1091"/>
      <c r="AF153" s="1091"/>
      <c r="AG153" s="1091"/>
      <c r="AH153" s="39">
        <f t="shared" ref="AH153:AH163" si="27">SUM(C153:AG153)</f>
        <v>509.149</v>
      </c>
      <c r="AJ153" s="1093">
        <f>+AJ152/AJ151</f>
        <v>-11.006903289346182</v>
      </c>
    </row>
    <row r="154" spans="1:36" s="1692" customFormat="1" ht="15">
      <c r="A154" s="1719" t="s">
        <v>75</v>
      </c>
      <c r="B154" s="1090">
        <f t="shared" si="26"/>
        <v>369.21299999999997</v>
      </c>
      <c r="C154" s="35"/>
      <c r="D154" s="15"/>
      <c r="E154" s="15"/>
      <c r="F154" s="15">
        <v>52.52</v>
      </c>
      <c r="G154" s="15">
        <v>49.28</v>
      </c>
      <c r="H154" s="15"/>
      <c r="I154" s="15">
        <v>17.07</v>
      </c>
      <c r="J154" s="15"/>
      <c r="K154" s="15"/>
      <c r="L154" s="15"/>
      <c r="M154" s="15">
        <v>28.2</v>
      </c>
      <c r="N154" s="15">
        <v>78.804000000000002</v>
      </c>
      <c r="O154" s="15">
        <v>3.41</v>
      </c>
      <c r="P154" s="15">
        <v>55.325000000000003</v>
      </c>
      <c r="Q154" s="1084">
        <v>14.791</v>
      </c>
      <c r="R154" s="1084" t="s">
        <v>127</v>
      </c>
      <c r="S154" s="1084" t="s">
        <v>127</v>
      </c>
      <c r="T154" s="1084" t="s">
        <v>127</v>
      </c>
      <c r="U154" s="1084" t="s">
        <v>127</v>
      </c>
      <c r="V154" s="2458">
        <v>21.5</v>
      </c>
      <c r="W154" s="1084" t="s">
        <v>127</v>
      </c>
      <c r="X154" s="1084" t="s">
        <v>127</v>
      </c>
      <c r="Y154" s="1084" t="s">
        <v>127</v>
      </c>
      <c r="Z154" s="1084" t="s">
        <v>127</v>
      </c>
      <c r="AA154" s="1084" t="s">
        <v>127</v>
      </c>
      <c r="AB154" s="1084" t="s">
        <v>127</v>
      </c>
      <c r="AC154" s="1084" t="s">
        <v>127</v>
      </c>
      <c r="AD154" s="1084">
        <v>13.94</v>
      </c>
      <c r="AE154" s="1084" t="s">
        <v>127</v>
      </c>
      <c r="AF154" s="1084" t="s">
        <v>127</v>
      </c>
      <c r="AG154" s="1084">
        <v>34.372999999999998</v>
      </c>
      <c r="AH154" s="39">
        <f t="shared" si="27"/>
        <v>369.21299999999997</v>
      </c>
    </row>
    <row r="155" spans="1:36" s="1692" customFormat="1" ht="15">
      <c r="A155" s="1719" t="s">
        <v>76</v>
      </c>
      <c r="B155" s="1090">
        <f t="shared" si="26"/>
        <v>213.12000000000003</v>
      </c>
      <c r="C155" s="1084">
        <v>43.63</v>
      </c>
      <c r="D155" s="1084">
        <v>7.57</v>
      </c>
      <c r="E155" s="2458">
        <v>43.32</v>
      </c>
      <c r="F155" s="2458">
        <v>73.58</v>
      </c>
      <c r="G155" s="2458">
        <v>15.02</v>
      </c>
      <c r="H155" s="1084" t="s">
        <v>110</v>
      </c>
      <c r="I155" s="1084" t="s">
        <v>110</v>
      </c>
      <c r="J155" s="1084" t="s">
        <v>110</v>
      </c>
      <c r="K155" s="1084" t="s">
        <v>110</v>
      </c>
      <c r="L155" s="1084" t="s">
        <v>110</v>
      </c>
      <c r="M155" s="1084" t="s">
        <v>110</v>
      </c>
      <c r="N155" s="1084" t="s">
        <v>110</v>
      </c>
      <c r="O155" s="1084" t="s">
        <v>110</v>
      </c>
      <c r="P155" s="1084" t="s">
        <v>110</v>
      </c>
      <c r="Q155" s="1084" t="s">
        <v>110</v>
      </c>
      <c r="R155" s="1084" t="s">
        <v>110</v>
      </c>
      <c r="S155" s="1084" t="s">
        <v>110</v>
      </c>
      <c r="T155" s="1084" t="s">
        <v>110</v>
      </c>
      <c r="U155" s="1084" t="s">
        <v>110</v>
      </c>
      <c r="V155" s="1084" t="s">
        <v>110</v>
      </c>
      <c r="W155" s="1084" t="s">
        <v>110</v>
      </c>
      <c r="X155" s="1084" t="s">
        <v>110</v>
      </c>
      <c r="Y155" s="1084" t="s">
        <v>110</v>
      </c>
      <c r="Z155" s="1084" t="s">
        <v>110</v>
      </c>
      <c r="AA155" s="1084">
        <v>8</v>
      </c>
      <c r="AB155" s="1084" t="s">
        <v>110</v>
      </c>
      <c r="AC155" s="1084" t="s">
        <v>110</v>
      </c>
      <c r="AD155" s="1084" t="s">
        <v>110</v>
      </c>
      <c r="AE155" s="1084">
        <v>22</v>
      </c>
      <c r="AF155" s="1084" t="s">
        <v>110</v>
      </c>
      <c r="AG155" s="1084" t="s">
        <v>110</v>
      </c>
      <c r="AH155" s="39">
        <f t="shared" si="27"/>
        <v>213.12000000000003</v>
      </c>
    </row>
    <row r="156" spans="1:36" s="1692" customFormat="1" ht="15">
      <c r="A156" s="1719" t="s">
        <v>77</v>
      </c>
      <c r="B156" s="1090">
        <f>+AH156</f>
        <v>382.06200000000001</v>
      </c>
      <c r="C156" s="1084" t="s">
        <v>110</v>
      </c>
      <c r="D156" s="1084" t="s">
        <v>110</v>
      </c>
      <c r="E156" s="1084" t="s">
        <v>110</v>
      </c>
      <c r="F156" s="1084" t="s">
        <v>110</v>
      </c>
      <c r="G156" s="1084" t="s">
        <v>110</v>
      </c>
      <c r="H156" s="1084" t="s">
        <v>110</v>
      </c>
      <c r="I156" s="1084" t="s">
        <v>110</v>
      </c>
      <c r="J156" s="1084" t="s">
        <v>110</v>
      </c>
      <c r="K156" s="1084" t="s">
        <v>110</v>
      </c>
      <c r="L156" s="1084" t="s">
        <v>110</v>
      </c>
      <c r="M156" s="1084" t="s">
        <v>110</v>
      </c>
      <c r="N156" s="1084" t="s">
        <v>110</v>
      </c>
      <c r="O156" s="1084" t="s">
        <v>110</v>
      </c>
      <c r="P156" s="1084" t="s">
        <v>110</v>
      </c>
      <c r="Q156" s="1084" t="s">
        <v>110</v>
      </c>
      <c r="R156" s="15"/>
      <c r="S156" s="15">
        <v>5.782</v>
      </c>
      <c r="T156" s="15"/>
      <c r="U156" s="15">
        <v>15.481999999999999</v>
      </c>
      <c r="V156" s="15">
        <v>18.498000000000001</v>
      </c>
      <c r="W156" s="15"/>
      <c r="X156" s="15">
        <v>39.480000000000004</v>
      </c>
      <c r="Y156" s="15">
        <v>95.52</v>
      </c>
      <c r="Z156" s="15">
        <v>61.400000000000006</v>
      </c>
      <c r="AA156" s="15"/>
      <c r="AB156" s="15">
        <v>22.61</v>
      </c>
      <c r="AC156" s="15"/>
      <c r="AD156" s="15">
        <v>63.379999999999995</v>
      </c>
      <c r="AE156" s="15"/>
      <c r="AF156" s="15">
        <v>59.91</v>
      </c>
      <c r="AG156" s="15"/>
      <c r="AH156" s="39">
        <f>SUM(C156:AG156)</f>
        <v>382.06200000000001</v>
      </c>
    </row>
    <row r="157" spans="1:36" s="1692" customFormat="1" ht="15">
      <c r="A157" s="1719" t="s">
        <v>78</v>
      </c>
      <c r="B157" s="1090">
        <f t="shared" si="26"/>
        <v>493.55</v>
      </c>
      <c r="C157" s="1268"/>
      <c r="D157" s="1268"/>
      <c r="E157" s="1268"/>
      <c r="F157" s="1268"/>
      <c r="G157" s="1268"/>
      <c r="H157" s="1268"/>
      <c r="I157" s="1268"/>
      <c r="J157" s="1268"/>
      <c r="K157" s="1268"/>
      <c r="L157" s="1268"/>
      <c r="M157" s="1268"/>
      <c r="N157" s="1268">
        <v>147.06</v>
      </c>
      <c r="O157" s="1268">
        <v>101.12</v>
      </c>
      <c r="P157" s="1268"/>
      <c r="Q157" s="1268"/>
      <c r="R157" s="1268">
        <v>71.490000000000009</v>
      </c>
      <c r="S157" s="3094">
        <v>155.08000000000001</v>
      </c>
      <c r="T157" s="1268"/>
      <c r="U157" s="1268">
        <v>18.8</v>
      </c>
      <c r="V157" s="1268"/>
      <c r="W157" s="1268"/>
      <c r="X157" s="1268"/>
      <c r="Y157" s="1268"/>
      <c r="Z157" s="1268"/>
      <c r="AA157" s="1268"/>
      <c r="AB157" s="1268"/>
      <c r="AC157" s="1268"/>
      <c r="AD157" s="1268"/>
      <c r="AE157" s="1268"/>
      <c r="AF157" s="1268"/>
      <c r="AG157" s="1268"/>
      <c r="AH157" s="39">
        <f t="shared" si="27"/>
        <v>493.55</v>
      </c>
    </row>
    <row r="158" spans="1:36" s="1692" customFormat="1" ht="15">
      <c r="A158" s="1054" t="s">
        <v>79</v>
      </c>
      <c r="B158" s="1090">
        <f t="shared" si="26"/>
        <v>947.88000000000011</v>
      </c>
      <c r="C158" s="1091">
        <v>51.9</v>
      </c>
      <c r="D158" s="1268"/>
      <c r="E158" s="1268">
        <v>28.91</v>
      </c>
      <c r="F158" s="1268">
        <v>43.94</v>
      </c>
      <c r="G158" s="1091">
        <v>37.299999999999997</v>
      </c>
      <c r="H158" s="1091"/>
      <c r="I158" s="1091"/>
      <c r="J158" s="2068">
        <v>27</v>
      </c>
      <c r="K158" s="2068">
        <v>56.52</v>
      </c>
      <c r="L158" s="1268">
        <v>71.92</v>
      </c>
      <c r="M158" s="1268">
        <v>58.61</v>
      </c>
      <c r="N158" s="1268"/>
      <c r="O158" s="1268"/>
      <c r="P158" s="1268"/>
      <c r="Q158" s="1268"/>
      <c r="R158" s="1268">
        <v>2</v>
      </c>
      <c r="S158" s="1268">
        <v>43.39</v>
      </c>
      <c r="T158" s="1268" t="s">
        <v>127</v>
      </c>
      <c r="U158" s="1268">
        <v>45.31</v>
      </c>
      <c r="V158" s="1268">
        <v>132.29</v>
      </c>
      <c r="W158" s="1268">
        <v>132.32999999999998</v>
      </c>
      <c r="X158" s="1268">
        <v>153.96</v>
      </c>
      <c r="Y158" s="1268">
        <v>62.5</v>
      </c>
      <c r="Z158" s="1268"/>
      <c r="AA158" s="1268"/>
      <c r="AB158" s="1268"/>
      <c r="AC158" s="1268"/>
      <c r="AD158" s="1268"/>
      <c r="AE158" s="1268"/>
      <c r="AF158" s="1268"/>
      <c r="AG158" s="1268"/>
      <c r="AH158" s="39">
        <f t="shared" si="27"/>
        <v>947.88000000000011</v>
      </c>
      <c r="AI158" s="1093" t="s">
        <v>1371</v>
      </c>
    </row>
    <row r="159" spans="1:36" s="1692" customFormat="1" ht="15">
      <c r="A159" s="1054" t="s">
        <v>80</v>
      </c>
      <c r="B159" s="1090">
        <f t="shared" si="26"/>
        <v>0</v>
      </c>
      <c r="C159" s="1091"/>
      <c r="D159" s="1091"/>
      <c r="E159" s="1091"/>
      <c r="F159" s="1091"/>
      <c r="G159" s="1091"/>
      <c r="H159" s="1091"/>
      <c r="I159" s="1091"/>
      <c r="J159" s="2068"/>
      <c r="K159" s="2068"/>
      <c r="L159" s="1268"/>
      <c r="M159" s="1268"/>
      <c r="N159" s="1268"/>
      <c r="O159" s="1268"/>
      <c r="P159" s="1268"/>
      <c r="Q159" s="1268"/>
      <c r="R159" s="1268"/>
      <c r="S159" s="1268"/>
      <c r="T159" s="1268"/>
      <c r="U159" s="1268"/>
      <c r="V159" s="1268"/>
      <c r="W159" s="1268"/>
      <c r="X159" s="1268"/>
      <c r="Y159" s="1268"/>
      <c r="Z159" s="1268"/>
      <c r="AA159" s="1268"/>
      <c r="AB159" s="1268"/>
      <c r="AC159" s="1268"/>
      <c r="AD159" s="1268"/>
      <c r="AE159" s="1268"/>
      <c r="AF159" s="1268"/>
      <c r="AG159" s="1268"/>
      <c r="AH159" s="39">
        <f t="shared" si="27"/>
        <v>0</v>
      </c>
    </row>
    <row r="160" spans="1:36" s="1692" customFormat="1" ht="15">
      <c r="A160" s="1054" t="s">
        <v>81</v>
      </c>
      <c r="B160" s="1090">
        <f t="shared" si="26"/>
        <v>0</v>
      </c>
      <c r="C160" s="31"/>
      <c r="D160" s="31"/>
      <c r="E160" s="31"/>
      <c r="F160" s="31"/>
      <c r="G160" s="31"/>
      <c r="H160" s="31"/>
      <c r="I160" s="31"/>
      <c r="J160" s="31"/>
      <c r="K160" s="31"/>
      <c r="L160" s="31"/>
      <c r="M160" s="31"/>
      <c r="N160" s="31"/>
      <c r="O160" s="31"/>
      <c r="P160" s="31"/>
      <c r="Q160" s="113" t="s">
        <v>398</v>
      </c>
      <c r="R160" s="113" t="s">
        <v>398</v>
      </c>
      <c r="S160" s="113" t="s">
        <v>398</v>
      </c>
      <c r="T160" s="113" t="s">
        <v>398</v>
      </c>
      <c r="U160" s="113" t="s">
        <v>398</v>
      </c>
      <c r="V160" s="113" t="s">
        <v>398</v>
      </c>
      <c r="W160" s="113" t="s">
        <v>398</v>
      </c>
      <c r="X160" s="113" t="s">
        <v>398</v>
      </c>
      <c r="Y160" s="113" t="s">
        <v>398</v>
      </c>
      <c r="Z160" s="113" t="s">
        <v>398</v>
      </c>
      <c r="AA160" s="113" t="s">
        <v>398</v>
      </c>
      <c r="AB160" s="113" t="s">
        <v>398</v>
      </c>
      <c r="AC160" s="113" t="s">
        <v>398</v>
      </c>
      <c r="AD160" s="113" t="s">
        <v>398</v>
      </c>
      <c r="AE160" s="113" t="s">
        <v>398</v>
      </c>
      <c r="AF160" s="113"/>
      <c r="AG160" s="113" t="s">
        <v>398</v>
      </c>
      <c r="AH160" s="39">
        <f t="shared" si="27"/>
        <v>0</v>
      </c>
    </row>
    <row r="161" spans="1:34" s="1692" customFormat="1" ht="15">
      <c r="A161" s="1054" t="s">
        <v>82</v>
      </c>
      <c r="B161" s="1090">
        <f t="shared" si="26"/>
        <v>151.66000000000003</v>
      </c>
      <c r="C161" s="2180"/>
      <c r="D161" s="2180"/>
      <c r="E161" s="113"/>
      <c r="F161" s="113"/>
      <c r="G161" s="113"/>
      <c r="H161" s="113"/>
      <c r="I161" s="113"/>
      <c r="J161" s="113"/>
      <c r="K161" s="113"/>
      <c r="L161" s="113"/>
      <c r="M161" s="113"/>
      <c r="N161" s="113"/>
      <c r="O161" s="113"/>
      <c r="P161" s="113"/>
      <c r="Q161" s="113"/>
      <c r="R161" s="113"/>
      <c r="S161" s="113"/>
      <c r="T161" s="113"/>
      <c r="U161" s="113"/>
      <c r="V161" s="113"/>
      <c r="W161" s="2180"/>
      <c r="X161" s="2180"/>
      <c r="Y161" s="2180">
        <v>1.5</v>
      </c>
      <c r="Z161" s="113">
        <v>13.53</v>
      </c>
      <c r="AA161" s="2180">
        <v>48.32</v>
      </c>
      <c r="AB161" s="113">
        <v>1.3</v>
      </c>
      <c r="AC161" s="113">
        <v>43.370000000000005</v>
      </c>
      <c r="AD161" s="2180">
        <v>36.24</v>
      </c>
      <c r="AE161" s="2180"/>
      <c r="AF161" s="2180"/>
      <c r="AG161" s="113">
        <v>7.4</v>
      </c>
      <c r="AH161" s="39">
        <f t="shared" si="27"/>
        <v>151.66000000000003</v>
      </c>
    </row>
    <row r="162" spans="1:34" s="1692" customFormat="1" ht="15">
      <c r="A162" s="1054" t="s">
        <v>83</v>
      </c>
      <c r="B162" s="1090">
        <f t="shared" si="26"/>
        <v>652.59</v>
      </c>
      <c r="C162" s="113">
        <v>5.8</v>
      </c>
      <c r="D162" s="1718">
        <v>0.8</v>
      </c>
      <c r="E162" s="113">
        <v>6.7</v>
      </c>
      <c r="F162" s="113">
        <v>6.9</v>
      </c>
      <c r="G162" s="113">
        <v>6.6</v>
      </c>
      <c r="H162" s="113"/>
      <c r="I162" s="113">
        <v>0.9</v>
      </c>
      <c r="J162" s="113">
        <v>8.6</v>
      </c>
      <c r="K162" s="113">
        <v>9.1</v>
      </c>
      <c r="L162" s="113">
        <v>7.9</v>
      </c>
      <c r="M162" s="113">
        <v>7.8</v>
      </c>
      <c r="N162" s="113">
        <v>9</v>
      </c>
      <c r="O162" s="113">
        <v>8.6999999999999993</v>
      </c>
      <c r="P162" s="113">
        <v>7.9</v>
      </c>
      <c r="Q162" s="113">
        <v>7.9</v>
      </c>
      <c r="R162" s="34">
        <v>7.5</v>
      </c>
      <c r="S162" s="34">
        <v>112.232</v>
      </c>
      <c r="T162" s="34">
        <v>118.37</v>
      </c>
      <c r="U162" s="34">
        <v>167.91800000000001</v>
      </c>
      <c r="V162" s="34">
        <v>151.97</v>
      </c>
      <c r="W162" s="34"/>
      <c r="X162" s="34"/>
      <c r="Y162" s="34"/>
      <c r="Z162" s="34"/>
      <c r="AA162" s="34"/>
      <c r="AB162" s="34"/>
      <c r="AC162" s="34"/>
      <c r="AD162" s="34"/>
      <c r="AE162" s="34"/>
      <c r="AF162" s="34"/>
      <c r="AG162" s="31"/>
      <c r="AH162" s="39">
        <f t="shared" si="27"/>
        <v>652.59</v>
      </c>
    </row>
    <row r="163" spans="1:34" s="1692" customFormat="1" ht="15">
      <c r="A163" s="1054" t="s">
        <v>84</v>
      </c>
      <c r="B163" s="1090">
        <f t="shared" si="26"/>
        <v>0</v>
      </c>
      <c r="C163" s="3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39"/>
      <c r="AF163" s="15"/>
      <c r="AG163" s="39"/>
      <c r="AH163" s="39">
        <f t="shared" si="27"/>
        <v>0</v>
      </c>
    </row>
    <row r="164" spans="1:34" s="1692" customFormat="1" ht="15">
      <c r="A164" s="71" t="s">
        <v>72</v>
      </c>
      <c r="B164" s="73">
        <f>SUM(B152:B163)</f>
        <v>3792.3950000000004</v>
      </c>
      <c r="C164" s="32">
        <f>SUM(C152:C162)</f>
        <v>114.08</v>
      </c>
      <c r="D164" s="39">
        <f>SUM(D152:D162)</f>
        <v>27.76</v>
      </c>
      <c r="E164" s="39">
        <v>0</v>
      </c>
      <c r="F164" s="39">
        <f t="shared" ref="F164:AC164" si="28">SUM(F152:F162)</f>
        <v>194.53200000000001</v>
      </c>
      <c r="G164" s="39">
        <f t="shared" si="28"/>
        <v>110.404</v>
      </c>
      <c r="H164" s="39">
        <f t="shared" si="28"/>
        <v>0</v>
      </c>
      <c r="I164" s="39">
        <f t="shared" si="28"/>
        <v>17.97</v>
      </c>
      <c r="J164" s="39">
        <f t="shared" si="28"/>
        <v>35.6</v>
      </c>
      <c r="K164" s="39">
        <f t="shared" si="28"/>
        <v>65.62</v>
      </c>
      <c r="L164" s="39">
        <f t="shared" si="28"/>
        <v>79.820000000000007</v>
      </c>
      <c r="M164" s="39">
        <f t="shared" si="28"/>
        <v>115.77</v>
      </c>
      <c r="N164" s="39">
        <f t="shared" si="28"/>
        <v>257.03399999999999</v>
      </c>
      <c r="O164" s="39">
        <f t="shared" si="28"/>
        <v>122.13000000000001</v>
      </c>
      <c r="P164" s="39">
        <f t="shared" si="28"/>
        <v>114.10500000000002</v>
      </c>
      <c r="Q164" s="39">
        <f t="shared" si="28"/>
        <v>39.640999999999998</v>
      </c>
      <c r="R164" s="39">
        <f t="shared" si="28"/>
        <v>80.990000000000009</v>
      </c>
      <c r="S164" s="39">
        <f t="shared" si="28"/>
        <v>328.55399999999997</v>
      </c>
      <c r="T164" s="39">
        <f t="shared" si="28"/>
        <v>141.51</v>
      </c>
      <c r="U164" s="39">
        <f t="shared" si="28"/>
        <v>294.27999999999997</v>
      </c>
      <c r="V164" s="39">
        <f t="shared" si="28"/>
        <v>395.08799999999997</v>
      </c>
      <c r="W164" s="39">
        <f t="shared" si="28"/>
        <v>172.02999999999997</v>
      </c>
      <c r="X164" s="39">
        <f t="shared" si="28"/>
        <v>193.44</v>
      </c>
      <c r="Y164" s="39">
        <f t="shared" si="28"/>
        <v>159.51999999999998</v>
      </c>
      <c r="Z164" s="39">
        <f t="shared" si="28"/>
        <v>79.251000000000005</v>
      </c>
      <c r="AA164" s="39">
        <f t="shared" si="28"/>
        <v>81.099999999999994</v>
      </c>
      <c r="AB164" s="39">
        <f t="shared" si="28"/>
        <v>93.802999999999997</v>
      </c>
      <c r="AC164" s="39">
        <f t="shared" si="28"/>
        <v>93.34</v>
      </c>
      <c r="AD164" s="39">
        <v>0</v>
      </c>
      <c r="AE164" s="39">
        <f>SUM(AE152:AE162)</f>
        <v>72.45</v>
      </c>
      <c r="AF164" s="39">
        <f>SUM(AF152:AF162)</f>
        <v>66.66</v>
      </c>
      <c r="AG164" s="39">
        <f>SUM(AG152:AG162)</f>
        <v>49.933</v>
      </c>
      <c r="AH164" s="32">
        <f>SUM(AH152:AH163)</f>
        <v>3792.3950000000004</v>
      </c>
    </row>
    <row r="166" spans="1:34" ht="14.4">
      <c r="A166" s="2162"/>
    </row>
    <row r="167" spans="1:34">
      <c r="A167" s="2348" t="s">
        <v>791</v>
      </c>
      <c r="B167" s="2347"/>
      <c r="C167" s="89" t="s">
        <v>73</v>
      </c>
      <c r="D167" s="89" t="s">
        <v>74</v>
      </c>
      <c r="E167" s="89" t="s">
        <v>75</v>
      </c>
      <c r="F167" s="89" t="s">
        <v>76</v>
      </c>
      <c r="G167" s="89" t="s">
        <v>77</v>
      </c>
      <c r="H167" s="89" t="s">
        <v>78</v>
      </c>
      <c r="I167" s="89" t="s">
        <v>79</v>
      </c>
      <c r="J167" s="89" t="s">
        <v>80</v>
      </c>
      <c r="K167" s="89" t="s">
        <v>81</v>
      </c>
      <c r="L167" s="89" t="s">
        <v>82</v>
      </c>
      <c r="M167" s="89" t="s">
        <v>83</v>
      </c>
      <c r="N167" s="89" t="s">
        <v>84</v>
      </c>
      <c r="O167" s="2348" t="s">
        <v>792</v>
      </c>
      <c r="P167" s="2348" t="s">
        <v>146</v>
      </c>
      <c r="Q167" s="2348" t="s">
        <v>66</v>
      </c>
      <c r="R167" s="2349" t="s">
        <v>793</v>
      </c>
      <c r="S167" s="2347"/>
      <c r="T167" s="2421">
        <v>41698</v>
      </c>
    </row>
    <row r="168" spans="1:34">
      <c r="A168" s="2350" t="s">
        <v>794</v>
      </c>
      <c r="B168" s="2351">
        <v>960907</v>
      </c>
      <c r="C168" s="89">
        <v>26.46</v>
      </c>
      <c r="D168" s="89">
        <v>98.754000000000005</v>
      </c>
      <c r="E168" s="89">
        <v>82.887</v>
      </c>
      <c r="F168" s="89">
        <v>28.490000000000002</v>
      </c>
      <c r="G168" s="89">
        <v>54.65</v>
      </c>
      <c r="H168" s="89"/>
      <c r="I168" s="89"/>
      <c r="J168" s="89"/>
      <c r="K168" s="89"/>
      <c r="L168" s="89"/>
      <c r="M168" s="89">
        <v>16.7</v>
      </c>
      <c r="N168" s="89"/>
      <c r="O168" s="2352">
        <f>SUM(C168:N168)</f>
        <v>307.94099999999997</v>
      </c>
      <c r="P168" s="2347">
        <v>332</v>
      </c>
      <c r="Q168" s="89">
        <f>P168-O168</f>
        <v>24.059000000000026</v>
      </c>
      <c r="R168" s="2349">
        <f>O168/P168</f>
        <v>0.92753313253012037</v>
      </c>
      <c r="S168" s="2347" t="s">
        <v>795</v>
      </c>
      <c r="T168" s="2347"/>
    </row>
    <row r="169" spans="1:34">
      <c r="A169" s="2350" t="s">
        <v>796</v>
      </c>
      <c r="B169" s="2351">
        <v>960945</v>
      </c>
      <c r="C169" s="2347"/>
      <c r="D169" s="89"/>
      <c r="E169" s="89"/>
      <c r="F169" s="89"/>
      <c r="G169" s="89"/>
      <c r="H169" s="89"/>
      <c r="I169" s="89"/>
      <c r="J169" s="89"/>
      <c r="K169" s="89"/>
      <c r="L169" s="89"/>
      <c r="M169" s="89"/>
      <c r="N169" s="89"/>
      <c r="O169" s="2352">
        <f t="shared" ref="O169:O194" si="29">SUM(C169:N169)</f>
        <v>0</v>
      </c>
      <c r="P169" s="1771">
        <v>0</v>
      </c>
      <c r="Q169" s="89">
        <f t="shared" ref="Q169:Q194" si="30">P169-O169</f>
        <v>0</v>
      </c>
      <c r="R169" s="2349" t="e">
        <f t="shared" ref="R169:R194" si="31">O169/P169</f>
        <v>#DIV/0!</v>
      </c>
      <c r="S169" s="2347"/>
      <c r="T169" s="2347"/>
    </row>
    <row r="170" spans="1:34">
      <c r="A170" s="2350" t="s">
        <v>797</v>
      </c>
      <c r="B170" s="2351">
        <v>958704</v>
      </c>
      <c r="C170" s="2647">
        <v>13.68</v>
      </c>
      <c r="D170" s="2647">
        <v>170.38300000000001</v>
      </c>
      <c r="E170" s="2647">
        <v>51.21</v>
      </c>
      <c r="F170" s="2647"/>
      <c r="G170" s="2647"/>
      <c r="H170" s="2647"/>
      <c r="I170" s="2647"/>
      <c r="J170" s="2647"/>
      <c r="K170" s="2647"/>
      <c r="L170" s="2647"/>
      <c r="M170" s="2647">
        <v>37.409999999999997</v>
      </c>
      <c r="N170" s="2647"/>
      <c r="O170" s="2352">
        <f t="shared" si="29"/>
        <v>272.68299999999999</v>
      </c>
      <c r="P170" s="2347">
        <v>332</v>
      </c>
      <c r="Q170" s="89">
        <f t="shared" si="30"/>
        <v>59.317000000000007</v>
      </c>
      <c r="R170" s="2349">
        <f t="shared" si="31"/>
        <v>0.82133433734939754</v>
      </c>
      <c r="S170" s="2347" t="s">
        <v>795</v>
      </c>
      <c r="T170" s="2347"/>
    </row>
    <row r="171" spans="1:34">
      <c r="A171" s="2353" t="s">
        <v>798</v>
      </c>
      <c r="B171" s="2354">
        <v>953348</v>
      </c>
      <c r="C171" s="89"/>
      <c r="D171" s="89"/>
      <c r="E171" s="89"/>
      <c r="F171" s="89"/>
      <c r="G171" s="89"/>
      <c r="H171" s="89"/>
      <c r="I171" s="89"/>
      <c r="J171" s="89"/>
      <c r="K171" s="89"/>
      <c r="L171" s="89"/>
      <c r="M171" s="89"/>
      <c r="N171" s="89"/>
      <c r="O171" s="2352">
        <f t="shared" si="29"/>
        <v>0</v>
      </c>
      <c r="P171" s="89"/>
      <c r="Q171" s="89">
        <f t="shared" si="30"/>
        <v>0</v>
      </c>
      <c r="R171" s="2349" t="e">
        <f t="shared" si="31"/>
        <v>#DIV/0!</v>
      </c>
      <c r="S171" s="2347"/>
      <c r="T171" s="2347"/>
    </row>
    <row r="172" spans="1:34">
      <c r="A172" s="2353" t="s">
        <v>799</v>
      </c>
      <c r="B172" s="2354">
        <v>951177</v>
      </c>
      <c r="C172" s="89"/>
      <c r="D172" s="89"/>
      <c r="E172" s="89"/>
      <c r="F172" s="89"/>
      <c r="G172" s="89"/>
      <c r="H172" s="89"/>
      <c r="I172" s="89"/>
      <c r="J172" s="89"/>
      <c r="K172" s="89"/>
      <c r="L172" s="89"/>
      <c r="M172" s="89"/>
      <c r="N172" s="89"/>
      <c r="O172" s="2352">
        <f t="shared" si="29"/>
        <v>0</v>
      </c>
      <c r="P172" s="89"/>
      <c r="Q172" s="89">
        <f t="shared" si="30"/>
        <v>0</v>
      </c>
      <c r="R172" s="2349" t="e">
        <f t="shared" si="31"/>
        <v>#DIV/0!</v>
      </c>
      <c r="S172" s="2347"/>
      <c r="T172" s="2347"/>
    </row>
    <row r="173" spans="1:34">
      <c r="A173" s="2353" t="s">
        <v>708</v>
      </c>
      <c r="B173" s="2354">
        <v>960663</v>
      </c>
      <c r="C173" s="89"/>
      <c r="D173" s="89"/>
      <c r="E173" s="89"/>
      <c r="F173" s="89"/>
      <c r="G173" s="89">
        <v>99.199999999999989</v>
      </c>
      <c r="H173" s="89">
        <v>141.24</v>
      </c>
      <c r="I173" s="89">
        <v>6.1</v>
      </c>
      <c r="J173" s="89"/>
      <c r="K173" s="89"/>
      <c r="L173" s="89"/>
      <c r="M173" s="89">
        <v>70.97</v>
      </c>
      <c r="N173" s="89"/>
      <c r="O173" s="2352">
        <f t="shared" si="29"/>
        <v>317.51</v>
      </c>
      <c r="P173" s="89">
        <v>332</v>
      </c>
      <c r="Q173" s="89">
        <f t="shared" si="30"/>
        <v>14.490000000000009</v>
      </c>
      <c r="R173" s="2349">
        <f t="shared" si="31"/>
        <v>0.95635542168674692</v>
      </c>
      <c r="S173" s="2347"/>
      <c r="T173" s="2347"/>
    </row>
    <row r="174" spans="1:34">
      <c r="A174" s="2353" t="s">
        <v>707</v>
      </c>
      <c r="B174" s="2354">
        <v>950966</v>
      </c>
      <c r="C174" s="89"/>
      <c r="D174" s="89"/>
      <c r="E174" s="89"/>
      <c r="F174" s="89">
        <v>12</v>
      </c>
      <c r="G174" s="89"/>
      <c r="H174" s="89"/>
      <c r="I174" s="89">
        <v>101</v>
      </c>
      <c r="J174" s="89"/>
      <c r="K174" s="89"/>
      <c r="L174" s="89">
        <v>68.459999999999994</v>
      </c>
      <c r="M174" s="89"/>
      <c r="N174" s="89"/>
      <c r="O174" s="2352">
        <f t="shared" si="29"/>
        <v>181.45999999999998</v>
      </c>
      <c r="P174" s="89">
        <v>332</v>
      </c>
      <c r="Q174" s="89">
        <f t="shared" si="30"/>
        <v>150.54000000000002</v>
      </c>
      <c r="R174" s="2349">
        <f t="shared" si="31"/>
        <v>0.54656626506024086</v>
      </c>
      <c r="S174" s="2347"/>
      <c r="T174" s="2347"/>
    </row>
    <row r="175" spans="1:34">
      <c r="A175" s="2353" t="s">
        <v>709</v>
      </c>
      <c r="B175" s="2354">
        <v>953579</v>
      </c>
      <c r="C175" s="89">
        <v>4.3209999999999997</v>
      </c>
      <c r="D175" s="89">
        <v>12.22</v>
      </c>
      <c r="E175" s="89">
        <v>9.7799999999999994</v>
      </c>
      <c r="F175" s="89">
        <v>32.11</v>
      </c>
      <c r="G175" s="89">
        <v>65.569000000000003</v>
      </c>
      <c r="H175" s="89">
        <v>15.11</v>
      </c>
      <c r="I175" s="89">
        <v>132.55000000000001</v>
      </c>
      <c r="J175" s="89"/>
      <c r="K175" s="89"/>
      <c r="L175" s="89"/>
      <c r="M175" s="89">
        <v>15.988</v>
      </c>
      <c r="N175" s="89"/>
      <c r="O175" s="2352">
        <f t="shared" si="29"/>
        <v>287.64800000000002</v>
      </c>
      <c r="P175" s="2347">
        <v>332</v>
      </c>
      <c r="Q175" s="89">
        <f t="shared" si="30"/>
        <v>44.351999999999975</v>
      </c>
      <c r="R175" s="2349">
        <f t="shared" si="31"/>
        <v>0.86640963855421693</v>
      </c>
      <c r="S175" s="2347" t="s">
        <v>795</v>
      </c>
      <c r="T175" s="2347"/>
    </row>
    <row r="176" spans="1:34">
      <c r="A176" s="2353" t="s">
        <v>800</v>
      </c>
      <c r="B176" s="2354">
        <v>953360</v>
      </c>
      <c r="C176" s="89"/>
      <c r="D176" s="89"/>
      <c r="E176" s="89"/>
      <c r="F176" s="89">
        <v>29.009999999999998</v>
      </c>
      <c r="G176" s="89"/>
      <c r="H176" s="89"/>
      <c r="I176" s="89"/>
      <c r="J176" s="89"/>
      <c r="K176" s="89"/>
      <c r="L176" s="89"/>
      <c r="M176" s="89"/>
      <c r="N176" s="89"/>
      <c r="O176" s="2352">
        <f t="shared" si="29"/>
        <v>29.009999999999998</v>
      </c>
      <c r="P176" s="89">
        <v>332</v>
      </c>
      <c r="Q176" s="89">
        <f t="shared" si="30"/>
        <v>302.99</v>
      </c>
      <c r="R176" s="2349">
        <f t="shared" si="31"/>
        <v>8.737951807228915E-2</v>
      </c>
      <c r="S176" s="2347"/>
      <c r="T176" s="2347"/>
    </row>
    <row r="177" spans="1:20">
      <c r="A177" s="2353" t="s">
        <v>710</v>
      </c>
      <c r="B177" s="2354">
        <v>953697</v>
      </c>
      <c r="C177" s="89"/>
      <c r="D177" s="89">
        <v>38.26</v>
      </c>
      <c r="E177" s="89">
        <v>23.48</v>
      </c>
      <c r="F177" s="89"/>
      <c r="G177" s="89">
        <v>10.276</v>
      </c>
      <c r="H177" s="89">
        <v>32.43</v>
      </c>
      <c r="I177" s="89">
        <v>121.60399999999998</v>
      </c>
      <c r="J177" s="89"/>
      <c r="K177" s="89"/>
      <c r="L177" s="89"/>
      <c r="M177" s="89">
        <v>46.53</v>
      </c>
      <c r="N177" s="89"/>
      <c r="O177" s="2352">
        <f t="shared" si="29"/>
        <v>272.58</v>
      </c>
      <c r="P177" s="89">
        <v>332</v>
      </c>
      <c r="Q177" s="89">
        <f t="shared" si="30"/>
        <v>59.420000000000016</v>
      </c>
      <c r="R177" s="2349">
        <f t="shared" si="31"/>
        <v>0.82102409638554208</v>
      </c>
      <c r="S177" s="2347"/>
      <c r="T177" s="2347"/>
    </row>
    <row r="178" spans="1:20">
      <c r="A178" s="2353" t="s">
        <v>706</v>
      </c>
      <c r="B178" s="2354">
        <v>7996</v>
      </c>
      <c r="C178" s="89"/>
      <c r="D178" s="89"/>
      <c r="E178" s="89">
        <v>17.45</v>
      </c>
      <c r="F178" s="89"/>
      <c r="G178" s="89"/>
      <c r="H178" s="89"/>
      <c r="I178" s="89">
        <v>153.39000000000001</v>
      </c>
      <c r="J178" s="89"/>
      <c r="K178" s="89"/>
      <c r="L178" s="89"/>
      <c r="M178" s="89">
        <v>103.512</v>
      </c>
      <c r="N178" s="89"/>
      <c r="O178" s="2352">
        <f t="shared" si="29"/>
        <v>274.35199999999998</v>
      </c>
      <c r="P178" s="89">
        <v>332</v>
      </c>
      <c r="Q178" s="89">
        <f t="shared" si="30"/>
        <v>57.648000000000025</v>
      </c>
      <c r="R178" s="2349">
        <f t="shared" si="31"/>
        <v>0.82636144578313242</v>
      </c>
      <c r="S178" s="2347"/>
      <c r="T178" s="2347"/>
    </row>
    <row r="179" spans="1:20" s="2184" customFormat="1">
      <c r="A179" s="2353" t="s">
        <v>718</v>
      </c>
      <c r="B179" s="2354">
        <v>960750</v>
      </c>
      <c r="C179" s="89"/>
      <c r="D179" s="89">
        <v>7.95</v>
      </c>
      <c r="E179" s="89">
        <v>57.891000000000005</v>
      </c>
      <c r="F179" s="89"/>
      <c r="G179" s="89">
        <v>58.762999999999998</v>
      </c>
      <c r="H179" s="89">
        <v>28.43</v>
      </c>
      <c r="I179" s="89">
        <v>42.11</v>
      </c>
      <c r="J179" s="89"/>
      <c r="K179" s="89"/>
      <c r="L179" s="89"/>
      <c r="M179" s="89"/>
      <c r="N179" s="89"/>
      <c r="O179" s="2352">
        <f t="shared" si="29"/>
        <v>195.14400000000001</v>
      </c>
      <c r="P179" s="89">
        <v>332</v>
      </c>
      <c r="Q179" s="89">
        <f t="shared" si="30"/>
        <v>136.85599999999999</v>
      </c>
      <c r="R179" s="2349">
        <f t="shared" si="31"/>
        <v>0.58778313253012049</v>
      </c>
      <c r="S179" s="2347"/>
      <c r="T179" s="2347"/>
    </row>
    <row r="180" spans="1:20" s="2184" customFormat="1">
      <c r="A180" s="2353" t="s">
        <v>801</v>
      </c>
      <c r="B180" s="2354">
        <v>959188</v>
      </c>
      <c r="C180" s="89"/>
      <c r="D180" s="89"/>
      <c r="E180" s="89"/>
      <c r="F180" s="89"/>
      <c r="G180" s="89"/>
      <c r="H180" s="89"/>
      <c r="I180" s="89"/>
      <c r="J180" s="89"/>
      <c r="K180" s="89"/>
      <c r="L180" s="89"/>
      <c r="M180" s="89"/>
      <c r="N180" s="89"/>
      <c r="O180" s="2352">
        <f t="shared" si="29"/>
        <v>0</v>
      </c>
      <c r="P180" s="89"/>
      <c r="Q180" s="89">
        <f t="shared" si="30"/>
        <v>0</v>
      </c>
      <c r="R180" s="2349" t="e">
        <f t="shared" si="31"/>
        <v>#DIV/0!</v>
      </c>
      <c r="S180" s="2347"/>
      <c r="T180" s="2347"/>
    </row>
    <row r="181" spans="1:20">
      <c r="A181" s="2353" t="s">
        <v>802</v>
      </c>
      <c r="B181" s="2354">
        <v>953112</v>
      </c>
      <c r="C181" s="89"/>
      <c r="D181" s="89"/>
      <c r="E181" s="89"/>
      <c r="F181" s="89"/>
      <c r="G181" s="89"/>
      <c r="H181" s="89"/>
      <c r="I181" s="89"/>
      <c r="J181" s="89"/>
      <c r="K181" s="89"/>
      <c r="L181" s="89"/>
      <c r="M181" s="89"/>
      <c r="N181" s="89"/>
      <c r="O181" s="2352">
        <f t="shared" si="29"/>
        <v>0</v>
      </c>
      <c r="P181" s="89"/>
      <c r="Q181" s="89">
        <f t="shared" si="30"/>
        <v>0</v>
      </c>
      <c r="R181" s="2349" t="e">
        <f t="shared" si="31"/>
        <v>#DIV/0!</v>
      </c>
      <c r="S181" s="2347"/>
      <c r="T181" s="2347"/>
    </row>
    <row r="182" spans="1:20">
      <c r="A182" s="2353" t="s">
        <v>705</v>
      </c>
      <c r="B182" s="2354">
        <v>7703</v>
      </c>
      <c r="C182" s="89"/>
      <c r="D182" s="89"/>
      <c r="E182" s="89"/>
      <c r="F182" s="89"/>
      <c r="G182" s="89">
        <v>12.843999999999999</v>
      </c>
      <c r="H182" s="89">
        <v>30.51</v>
      </c>
      <c r="I182" s="89">
        <v>148.97599999999997</v>
      </c>
      <c r="J182" s="89"/>
      <c r="K182" s="89"/>
      <c r="L182" s="89"/>
      <c r="M182" s="89">
        <v>115.587</v>
      </c>
      <c r="N182" s="89"/>
      <c r="O182" s="2352">
        <f t="shared" si="29"/>
        <v>307.91699999999997</v>
      </c>
      <c r="P182" s="89">
        <v>332</v>
      </c>
      <c r="Q182" s="89">
        <f t="shared" si="30"/>
        <v>24.083000000000027</v>
      </c>
      <c r="R182" s="2349">
        <f t="shared" si="31"/>
        <v>0.92746084337349388</v>
      </c>
      <c r="S182" s="2347"/>
      <c r="T182" s="2347"/>
    </row>
    <row r="183" spans="1:20">
      <c r="A183" s="2353" t="s">
        <v>803</v>
      </c>
      <c r="B183" s="2354">
        <v>950041</v>
      </c>
      <c r="C183" s="89"/>
      <c r="D183" s="89"/>
      <c r="E183" s="89"/>
      <c r="F183" s="89"/>
      <c r="G183" s="89"/>
      <c r="H183" s="89"/>
      <c r="I183" s="89"/>
      <c r="J183" s="89"/>
      <c r="K183" s="89"/>
      <c r="L183" s="89"/>
      <c r="M183" s="89"/>
      <c r="N183" s="89"/>
      <c r="O183" s="2352">
        <f t="shared" si="29"/>
        <v>0</v>
      </c>
      <c r="P183" s="89"/>
      <c r="Q183" s="89">
        <f t="shared" si="30"/>
        <v>0</v>
      </c>
      <c r="R183" s="2349" t="e">
        <f t="shared" si="31"/>
        <v>#DIV/0!</v>
      </c>
      <c r="S183" s="2347"/>
      <c r="T183" s="2347"/>
    </row>
    <row r="184" spans="1:20">
      <c r="A184" s="2353" t="s">
        <v>804</v>
      </c>
      <c r="B184" s="2354">
        <v>950492</v>
      </c>
      <c r="C184" s="89"/>
      <c r="D184" s="89"/>
      <c r="E184" s="89"/>
      <c r="F184" s="89"/>
      <c r="G184" s="89">
        <v>6.5049999999999999</v>
      </c>
      <c r="H184" s="89">
        <v>52.031999999999996</v>
      </c>
      <c r="I184" s="89">
        <v>5.81</v>
      </c>
      <c r="J184" s="89"/>
      <c r="K184" s="89"/>
      <c r="L184" s="89"/>
      <c r="M184" s="89"/>
      <c r="N184" s="89"/>
      <c r="O184" s="2352">
        <f t="shared" si="29"/>
        <v>64.346999999999994</v>
      </c>
      <c r="P184" s="89">
        <v>332</v>
      </c>
      <c r="Q184" s="89">
        <f t="shared" si="30"/>
        <v>267.65300000000002</v>
      </c>
      <c r="R184" s="2349">
        <f t="shared" si="31"/>
        <v>0.19381626506024094</v>
      </c>
      <c r="S184" s="2347"/>
      <c r="T184" s="2347"/>
    </row>
    <row r="185" spans="1:20">
      <c r="A185" s="2353" t="s">
        <v>805</v>
      </c>
      <c r="B185" s="2354">
        <v>953662</v>
      </c>
      <c r="C185" s="89"/>
      <c r="D185" s="89">
        <v>17.239999999999998</v>
      </c>
      <c r="E185" s="89"/>
      <c r="F185" s="89">
        <v>15.02</v>
      </c>
      <c r="G185" s="89"/>
      <c r="H185" s="89">
        <v>151.86000000000001</v>
      </c>
      <c r="I185" s="89">
        <v>34.340000000000003</v>
      </c>
      <c r="J185" s="89"/>
      <c r="K185" s="89"/>
      <c r="L185" s="89"/>
      <c r="M185" s="89">
        <v>39.049999999999997</v>
      </c>
      <c r="N185" s="89"/>
      <c r="O185" s="2352">
        <f t="shared" si="29"/>
        <v>257.51</v>
      </c>
      <c r="P185" s="89">
        <v>332</v>
      </c>
      <c r="Q185" s="89">
        <f t="shared" si="30"/>
        <v>74.490000000000009</v>
      </c>
      <c r="R185" s="2349">
        <f t="shared" si="31"/>
        <v>0.77563253012048194</v>
      </c>
      <c r="S185" s="2347"/>
      <c r="T185" s="2347"/>
    </row>
    <row r="186" spans="1:20">
      <c r="A186" s="2353" t="s">
        <v>806</v>
      </c>
      <c r="B186" s="2354">
        <v>952453</v>
      </c>
      <c r="C186" s="89"/>
      <c r="D186" s="89"/>
      <c r="E186" s="89"/>
      <c r="F186" s="89"/>
      <c r="G186" s="89"/>
      <c r="H186" s="89"/>
      <c r="I186" s="89"/>
      <c r="J186" s="89"/>
      <c r="K186" s="89"/>
      <c r="L186" s="89"/>
      <c r="M186" s="89"/>
      <c r="N186" s="89"/>
      <c r="O186" s="2352">
        <f t="shared" si="29"/>
        <v>0</v>
      </c>
      <c r="P186" s="89"/>
      <c r="Q186" s="89">
        <f t="shared" si="30"/>
        <v>0</v>
      </c>
      <c r="R186" s="2349" t="e">
        <f t="shared" si="31"/>
        <v>#DIV/0!</v>
      </c>
      <c r="S186" s="2347"/>
      <c r="T186" s="2347"/>
    </row>
    <row r="187" spans="1:20">
      <c r="A187" s="2353" t="s">
        <v>807</v>
      </c>
      <c r="B187" s="2351">
        <v>960860</v>
      </c>
      <c r="C187" s="89"/>
      <c r="D187" s="89"/>
      <c r="E187" s="89"/>
      <c r="F187" s="89"/>
      <c r="G187" s="89"/>
      <c r="H187" s="89"/>
      <c r="I187" s="89"/>
      <c r="J187" s="89"/>
      <c r="K187" s="89"/>
      <c r="L187" s="89">
        <v>6.2</v>
      </c>
      <c r="M187" s="89">
        <v>126.45</v>
      </c>
      <c r="N187" s="89"/>
      <c r="O187" s="2352">
        <f t="shared" si="29"/>
        <v>132.65</v>
      </c>
      <c r="P187" s="89">
        <v>332</v>
      </c>
      <c r="Q187" s="89">
        <f t="shared" si="30"/>
        <v>199.35</v>
      </c>
      <c r="R187" s="2349">
        <f t="shared" si="31"/>
        <v>0.39954819277108433</v>
      </c>
      <c r="S187" s="2347"/>
      <c r="T187" s="2347"/>
    </row>
    <row r="188" spans="1:20">
      <c r="A188" s="2353" t="s">
        <v>723</v>
      </c>
      <c r="B188" s="2354">
        <v>955062</v>
      </c>
      <c r="C188" s="89"/>
      <c r="D188" s="89"/>
      <c r="E188" s="89"/>
      <c r="F188" s="89"/>
      <c r="G188" s="89"/>
      <c r="H188" s="89"/>
      <c r="I188" s="89">
        <v>104</v>
      </c>
      <c r="J188" s="89"/>
      <c r="K188" s="89"/>
      <c r="L188" s="89">
        <v>69.5</v>
      </c>
      <c r="M188" s="89"/>
      <c r="N188" s="89"/>
      <c r="O188" s="2352">
        <f t="shared" si="29"/>
        <v>173.5</v>
      </c>
      <c r="P188" s="89">
        <v>332</v>
      </c>
      <c r="Q188" s="89">
        <f t="shared" si="30"/>
        <v>158.5</v>
      </c>
      <c r="R188" s="2349">
        <f t="shared" si="31"/>
        <v>0.52259036144578308</v>
      </c>
      <c r="S188" s="2347"/>
      <c r="T188" s="2347"/>
    </row>
    <row r="189" spans="1:20">
      <c r="A189" s="2353" t="s">
        <v>808</v>
      </c>
      <c r="B189" s="2354">
        <v>13221</v>
      </c>
      <c r="C189" s="89"/>
      <c r="D189" s="89"/>
      <c r="E189" s="89"/>
      <c r="F189" s="89"/>
      <c r="G189" s="89"/>
      <c r="H189" s="89"/>
      <c r="I189" s="89"/>
      <c r="J189" s="89"/>
      <c r="K189" s="89"/>
      <c r="L189" s="89"/>
      <c r="M189" s="89"/>
      <c r="N189" s="89"/>
      <c r="O189" s="2352">
        <f t="shared" si="29"/>
        <v>0</v>
      </c>
      <c r="P189" s="89"/>
      <c r="Q189" s="89">
        <f t="shared" si="30"/>
        <v>0</v>
      </c>
      <c r="R189" s="2349" t="e">
        <f t="shared" si="31"/>
        <v>#DIV/0!</v>
      </c>
      <c r="S189" s="2347"/>
      <c r="T189" s="2347"/>
    </row>
    <row r="190" spans="1:20">
      <c r="A190" s="2353" t="s">
        <v>809</v>
      </c>
      <c r="B190" s="2354">
        <v>953082</v>
      </c>
      <c r="C190" s="89"/>
      <c r="D190" s="89"/>
      <c r="E190" s="89"/>
      <c r="F190" s="89"/>
      <c r="G190" s="89"/>
      <c r="H190" s="89"/>
      <c r="I190" s="89"/>
      <c r="J190" s="89"/>
      <c r="K190" s="89"/>
      <c r="L190" s="89">
        <v>7.5</v>
      </c>
      <c r="M190" s="89">
        <v>6.7</v>
      </c>
      <c r="N190" s="89"/>
      <c r="O190" s="2352">
        <f t="shared" si="29"/>
        <v>14.2</v>
      </c>
      <c r="P190" s="89">
        <v>332</v>
      </c>
      <c r="Q190" s="89">
        <f t="shared" si="30"/>
        <v>317.8</v>
      </c>
      <c r="R190" s="2349">
        <f t="shared" si="31"/>
        <v>4.2771084337349392E-2</v>
      </c>
      <c r="S190" s="2347"/>
    </row>
    <row r="191" spans="1:20">
      <c r="A191" s="2353" t="s">
        <v>719</v>
      </c>
      <c r="B191" s="2354">
        <v>954301</v>
      </c>
      <c r="C191" s="89"/>
      <c r="D191" s="89"/>
      <c r="E191" s="89"/>
      <c r="F191" s="89">
        <v>18</v>
      </c>
      <c r="G191" s="89"/>
      <c r="H191" s="89"/>
      <c r="I191" s="89">
        <v>98</v>
      </c>
      <c r="J191" s="89"/>
      <c r="K191" s="89"/>
      <c r="L191" s="89"/>
      <c r="M191" s="89"/>
      <c r="N191" s="89"/>
      <c r="O191" s="2352">
        <f t="shared" si="29"/>
        <v>116</v>
      </c>
      <c r="P191" s="89">
        <v>100</v>
      </c>
      <c r="Q191" s="89">
        <f t="shared" si="30"/>
        <v>-16</v>
      </c>
      <c r="R191" s="2349">
        <f t="shared" si="31"/>
        <v>1.1599999999999999</v>
      </c>
      <c r="S191" s="2347"/>
      <c r="T191" s="2347"/>
    </row>
    <row r="192" spans="1:20">
      <c r="A192" s="2353" t="s">
        <v>810</v>
      </c>
      <c r="B192" s="2354">
        <v>923515</v>
      </c>
      <c r="C192" s="89"/>
      <c r="D192" s="89"/>
      <c r="E192" s="89"/>
      <c r="F192" s="89"/>
      <c r="G192" s="89">
        <v>17.585000000000001</v>
      </c>
      <c r="H192" s="89">
        <v>41.938000000000002</v>
      </c>
      <c r="I192" s="89"/>
      <c r="J192" s="89"/>
      <c r="K192" s="89"/>
      <c r="L192" s="89"/>
      <c r="M192" s="89"/>
      <c r="N192" s="89"/>
      <c r="O192" s="2352">
        <f t="shared" si="29"/>
        <v>59.523000000000003</v>
      </c>
      <c r="P192" s="89">
        <v>100</v>
      </c>
      <c r="Q192" s="89">
        <f t="shared" si="30"/>
        <v>40.476999999999997</v>
      </c>
      <c r="R192" s="2349">
        <f t="shared" si="31"/>
        <v>0.59523000000000004</v>
      </c>
      <c r="S192" s="2347"/>
      <c r="T192" s="2347"/>
    </row>
    <row r="193" spans="1:20">
      <c r="A193" s="2353" t="s">
        <v>711</v>
      </c>
      <c r="B193" s="2354">
        <v>956913</v>
      </c>
      <c r="C193" s="89"/>
      <c r="D193" s="89">
        <v>77.44</v>
      </c>
      <c r="E193" s="89">
        <v>18.16</v>
      </c>
      <c r="F193" s="89">
        <v>40.200000000000003</v>
      </c>
      <c r="G193" s="89">
        <v>56.67</v>
      </c>
      <c r="H193" s="89"/>
      <c r="I193" s="89"/>
      <c r="J193" s="89"/>
      <c r="K193" s="89"/>
      <c r="L193" s="89"/>
      <c r="M193" s="89">
        <v>73.692999999999998</v>
      </c>
      <c r="N193" s="89"/>
      <c r="O193" s="2352">
        <f t="shared" si="29"/>
        <v>266.16300000000001</v>
      </c>
      <c r="P193" s="89">
        <v>332</v>
      </c>
      <c r="Q193" s="89">
        <f t="shared" si="30"/>
        <v>65.836999999999989</v>
      </c>
      <c r="R193" s="2349">
        <f t="shared" si="31"/>
        <v>0.8016957831325302</v>
      </c>
      <c r="S193" s="2347"/>
      <c r="T193" s="2347"/>
    </row>
    <row r="194" spans="1:20">
      <c r="A194" s="2474" t="s">
        <v>811</v>
      </c>
      <c r="B194" s="2354">
        <v>950650</v>
      </c>
      <c r="C194" s="89">
        <v>28.71</v>
      </c>
      <c r="D194" s="89">
        <v>86.902000000000001</v>
      </c>
      <c r="E194" s="89">
        <v>108.35499999999999</v>
      </c>
      <c r="F194" s="89">
        <v>38.29</v>
      </c>
      <c r="G194" s="89"/>
      <c r="H194" s="89"/>
      <c r="I194" s="89"/>
      <c r="J194" s="89"/>
      <c r="K194" s="89"/>
      <c r="L194" s="89"/>
      <c r="M194" s="89"/>
      <c r="N194" s="89"/>
      <c r="O194" s="2352">
        <f t="shared" si="29"/>
        <v>262.25700000000001</v>
      </c>
      <c r="P194" s="89">
        <v>332</v>
      </c>
      <c r="Q194" s="89">
        <f t="shared" si="30"/>
        <v>69.742999999999995</v>
      </c>
      <c r="R194" s="2349">
        <f t="shared" si="31"/>
        <v>0.78993072289156629</v>
      </c>
      <c r="S194" s="2131" t="s">
        <v>795</v>
      </c>
      <c r="T194" s="2131" t="s">
        <v>1069</v>
      </c>
    </row>
    <row r="195" spans="1:20" ht="15.6">
      <c r="A195" s="2347"/>
      <c r="C195">
        <f>SUM(C168:C194)</f>
        <v>73.170999999999992</v>
      </c>
      <c r="D195" s="2629">
        <f t="shared" ref="D195:N195" si="32">SUM(D168:D194)</f>
        <v>509.149</v>
      </c>
      <c r="E195" s="2629">
        <f t="shared" si="32"/>
        <v>369.21299999999997</v>
      </c>
      <c r="F195" s="2629">
        <f t="shared" si="32"/>
        <v>213.11999999999998</v>
      </c>
      <c r="G195" s="2629">
        <f t="shared" si="32"/>
        <v>382.06199999999995</v>
      </c>
      <c r="H195" s="3095">
        <f t="shared" si="32"/>
        <v>493.55</v>
      </c>
      <c r="I195" s="3156">
        <f t="shared" si="32"/>
        <v>947.88</v>
      </c>
      <c r="J195" s="3156">
        <f t="shared" si="32"/>
        <v>0</v>
      </c>
      <c r="K195" s="3156">
        <f t="shared" si="32"/>
        <v>0</v>
      </c>
      <c r="L195" s="3156">
        <f t="shared" si="32"/>
        <v>151.66</v>
      </c>
      <c r="M195" s="3156">
        <f t="shared" si="32"/>
        <v>652.59</v>
      </c>
      <c r="N195" s="3156">
        <f t="shared" si="32"/>
        <v>0</v>
      </c>
      <c r="O195" s="2355">
        <f>SUM(O168:O194)</f>
        <v>3792.3950000000009</v>
      </c>
      <c r="P195" s="2347"/>
      <c r="Q195" s="2347"/>
      <c r="R195" s="2347"/>
      <c r="S195" s="2131"/>
      <c r="T195" s="2131" t="s">
        <v>1070</v>
      </c>
    </row>
    <row r="196" spans="1:20">
      <c r="A196" s="2347"/>
      <c r="D196" s="2347"/>
      <c r="E196" s="2347"/>
      <c r="F196" s="2347"/>
      <c r="G196" s="2347"/>
      <c r="H196" s="2347"/>
      <c r="I196" s="2347"/>
      <c r="J196" s="2347"/>
      <c r="K196" s="2347"/>
      <c r="L196" s="2347"/>
      <c r="M196" s="2347"/>
      <c r="N196" s="2347"/>
      <c r="O196" s="2347"/>
      <c r="P196" s="2347"/>
      <c r="Q196" s="2347"/>
      <c r="R196" s="2347"/>
      <c r="S196" s="2347"/>
      <c r="T196" s="2347"/>
    </row>
    <row r="197" spans="1:20" ht="13.8" thickBot="1"/>
    <row r="198" spans="1:20" ht="15.6">
      <c r="A198" s="2347">
        <v>269</v>
      </c>
      <c r="B198" s="2347" t="s">
        <v>812</v>
      </c>
      <c r="L198" s="2266" t="s">
        <v>1345</v>
      </c>
      <c r="M198" s="66">
        <f>(O195/COUNTIF($C$168:$N$194,"&gt;0"))</f>
        <v>53.414014084507052</v>
      </c>
      <c r="Q198" s="3602" t="s">
        <v>1652</v>
      </c>
    </row>
    <row r="199" spans="1:20" ht="16.2" thickBot="1">
      <c r="A199" s="2347">
        <v>81</v>
      </c>
      <c r="B199" s="2347" t="s">
        <v>813</v>
      </c>
      <c r="Q199" s="3603">
        <v>42006</v>
      </c>
    </row>
  </sheetData>
  <mergeCells count="12">
    <mergeCell ref="A4:C4"/>
    <mergeCell ref="A1:T1"/>
    <mergeCell ref="A21:R21"/>
    <mergeCell ref="A38:H38"/>
    <mergeCell ref="A150:H150"/>
    <mergeCell ref="A134:H134"/>
    <mergeCell ref="A54:H54"/>
    <mergeCell ref="A70:H70"/>
    <mergeCell ref="A86:H86"/>
    <mergeCell ref="A102:H102"/>
    <mergeCell ref="A118:H118"/>
    <mergeCell ref="A22:H22"/>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sheetPr>
    <tabColor theme="0"/>
  </sheetPr>
  <dimension ref="A1:AY291"/>
  <sheetViews>
    <sheetView workbookViewId="0"/>
  </sheetViews>
  <sheetFormatPr baseColWidth="10" defaultRowHeight="13.2"/>
  <cols>
    <col min="1" max="1" width="51.88671875" customWidth="1"/>
    <col min="2" max="2" width="33.5546875" customWidth="1"/>
    <col min="3" max="3" width="13.109375" customWidth="1"/>
    <col min="4" max="4" width="23.5546875" customWidth="1"/>
    <col min="5" max="5" width="14.44140625" customWidth="1"/>
    <col min="6" max="6" width="12.109375" bestFit="1" customWidth="1"/>
    <col min="7" max="7" width="16.44140625" customWidth="1"/>
    <col min="8" max="8" width="24" style="54" customWidth="1"/>
    <col min="9" max="9" width="29.44140625" customWidth="1"/>
    <col min="10" max="10" width="11.44140625" style="54" customWidth="1"/>
    <col min="11" max="11" width="20.33203125" customWidth="1"/>
    <col min="12" max="12" width="21.5546875" customWidth="1"/>
    <col min="13" max="13" width="17.88671875" customWidth="1"/>
    <col min="14" max="14" width="12.6640625" customWidth="1"/>
    <col min="15" max="15" width="16.6640625" customWidth="1"/>
    <col min="16" max="16" width="20.44140625" customWidth="1"/>
    <col min="36" max="36" width="6" customWidth="1"/>
    <col min="37" max="37" width="15.88671875" customWidth="1"/>
    <col min="44" max="44" width="14" customWidth="1"/>
  </cols>
  <sheetData>
    <row r="1" spans="1:9" ht="13.8" thickBot="1">
      <c r="A1" s="137"/>
      <c r="B1" s="137"/>
      <c r="C1" s="137"/>
      <c r="D1" s="137"/>
      <c r="E1" s="137"/>
      <c r="F1" s="137"/>
      <c r="G1" s="137"/>
    </row>
    <row r="2" spans="1:9" ht="13.8" thickBot="1">
      <c r="A2" s="3895" t="s">
        <v>279</v>
      </c>
      <c r="B2" s="3896"/>
      <c r="C2" s="253" t="s">
        <v>8</v>
      </c>
      <c r="D2" s="1103" t="s">
        <v>500</v>
      </c>
      <c r="E2" s="254"/>
      <c r="F2" s="255"/>
      <c r="G2" s="137"/>
    </row>
    <row r="3" spans="1:9" ht="13.8" thickBot="1">
      <c r="A3" s="3897" t="s">
        <v>240</v>
      </c>
      <c r="B3" s="3898"/>
      <c r="C3" s="256"/>
      <c r="D3" s="255"/>
      <c r="E3" s="255"/>
      <c r="F3" s="255"/>
      <c r="G3" s="137"/>
    </row>
    <row r="4" spans="1:9" ht="13.8" thickBot="1">
      <c r="A4" s="257"/>
      <c r="B4" s="258" t="s">
        <v>133</v>
      </c>
      <c r="C4" s="259"/>
      <c r="D4" s="260" t="s">
        <v>134</v>
      </c>
      <c r="E4" s="261" t="s">
        <v>65</v>
      </c>
      <c r="F4" s="261" t="s">
        <v>66</v>
      </c>
      <c r="G4" s="262" t="s">
        <v>132</v>
      </c>
    </row>
    <row r="5" spans="1:9">
      <c r="A5" s="263"/>
      <c r="B5" s="264"/>
      <c r="C5" s="265"/>
      <c r="D5" s="266"/>
      <c r="E5" s="1308">
        <f>+SUM('Planillas diarias trapasos'!B16)</f>
        <v>0</v>
      </c>
      <c r="F5" s="1308">
        <f>+D5-E5</f>
        <v>0</v>
      </c>
      <c r="G5" s="877"/>
      <c r="H5" s="1057"/>
    </row>
    <row r="6" spans="1:9" ht="13.8" thickBot="1">
      <c r="A6" s="269"/>
      <c r="B6" s="270"/>
      <c r="C6" s="270"/>
      <c r="D6" s="271"/>
      <c r="E6" s="272"/>
      <c r="F6" s="273"/>
      <c r="G6" s="274"/>
      <c r="H6" s="1276"/>
    </row>
    <row r="7" spans="1:9" ht="13.8" thickBot="1">
      <c r="A7" s="137"/>
      <c r="B7" s="137"/>
      <c r="C7" s="137"/>
      <c r="D7" s="275">
        <f>SUM(D5:D6)</f>
        <v>0</v>
      </c>
      <c r="E7" s="276">
        <f>SUM(E5:E6)</f>
        <v>0</v>
      </c>
      <c r="F7" s="277">
        <f>SUM(F5:F6)</f>
        <v>0</v>
      </c>
      <c r="G7" s="137"/>
      <c r="H7" s="1276"/>
      <c r="I7" s="184"/>
    </row>
    <row r="8" spans="1:9" ht="13.8" thickBot="1">
      <c r="A8" s="137"/>
      <c r="B8" s="137"/>
      <c r="C8" s="137"/>
      <c r="D8" s="137"/>
      <c r="E8" s="137"/>
      <c r="F8" s="137"/>
      <c r="G8" s="137"/>
      <c r="H8" s="1276"/>
    </row>
    <row r="9" spans="1:9" ht="13.8" thickBot="1">
      <c r="A9" s="3895" t="s">
        <v>279</v>
      </c>
      <c r="B9" s="3896"/>
      <c r="C9" s="253" t="s">
        <v>8</v>
      </c>
      <c r="D9" s="1103" t="s">
        <v>278</v>
      </c>
      <c r="E9" s="254"/>
      <c r="F9" s="255"/>
      <c r="G9" s="137"/>
      <c r="H9" s="1276"/>
    </row>
    <row r="10" spans="1:9" ht="13.8" thickBot="1">
      <c r="A10" s="3897" t="s">
        <v>240</v>
      </c>
      <c r="B10" s="3898"/>
      <c r="C10" s="256"/>
      <c r="D10" s="255"/>
      <c r="E10" s="255"/>
      <c r="F10" s="255"/>
      <c r="G10" s="137"/>
      <c r="H10" s="1276"/>
    </row>
    <row r="11" spans="1:9" ht="13.8" thickBot="1">
      <c r="A11" s="257"/>
      <c r="B11" s="258" t="s">
        <v>133</v>
      </c>
      <c r="C11" s="259"/>
      <c r="D11" s="260" t="s">
        <v>134</v>
      </c>
      <c r="E11" s="261" t="s">
        <v>65</v>
      </c>
      <c r="F11" s="261" t="s">
        <v>66</v>
      </c>
      <c r="G11" s="262" t="s">
        <v>132</v>
      </c>
      <c r="H11" s="1057"/>
    </row>
    <row r="12" spans="1:9">
      <c r="A12" s="263"/>
      <c r="B12" s="264"/>
      <c r="C12" s="265"/>
      <c r="D12" s="266"/>
      <c r="E12" s="1308">
        <f>+SUM('Planillas diarias trapasos'!B35)</f>
        <v>0</v>
      </c>
      <c r="F12" s="1308">
        <f>+D12-E12</f>
        <v>0</v>
      </c>
      <c r="G12" s="877"/>
      <c r="H12" s="1276"/>
    </row>
    <row r="13" spans="1:9" ht="13.8" thickBot="1">
      <c r="A13" s="269"/>
      <c r="B13" s="270"/>
      <c r="C13" s="270"/>
      <c r="D13" s="271"/>
      <c r="E13" s="272"/>
      <c r="F13" s="273"/>
      <c r="G13" s="274"/>
      <c r="H13" s="1276"/>
    </row>
    <row r="14" spans="1:9" ht="13.8" thickBot="1">
      <c r="A14" s="137"/>
      <c r="B14" s="137"/>
      <c r="C14" s="137"/>
      <c r="D14" s="275">
        <f>SUM(D12:D13)</f>
        <v>0</v>
      </c>
      <c r="E14" s="276">
        <v>0</v>
      </c>
      <c r="F14" s="1243">
        <f>SUM(F12:F13)</f>
        <v>0</v>
      </c>
      <c r="G14" s="137"/>
      <c r="H14" s="1276"/>
    </row>
    <row r="15" spans="1:9">
      <c r="A15" s="137"/>
      <c r="B15" s="137"/>
      <c r="C15" s="137"/>
      <c r="D15" s="255"/>
      <c r="E15" s="931"/>
      <c r="F15" s="931"/>
      <c r="G15" s="137"/>
      <c r="H15" s="1276"/>
    </row>
    <row r="16" spans="1:9" ht="13.8" thickBot="1">
      <c r="A16" s="137"/>
      <c r="B16" s="137"/>
      <c r="C16" s="137"/>
      <c r="D16" s="255"/>
      <c r="E16" s="931"/>
      <c r="F16" s="931"/>
      <c r="G16" s="137"/>
      <c r="H16" s="1276"/>
    </row>
    <row r="17" spans="1:10" ht="13.8" thickBot="1">
      <c r="A17" s="3895" t="s">
        <v>279</v>
      </c>
      <c r="B17" s="3896"/>
      <c r="C17" s="253" t="s">
        <v>8</v>
      </c>
      <c r="D17" s="1103" t="s">
        <v>467</v>
      </c>
      <c r="E17" s="254"/>
      <c r="F17" s="255"/>
      <c r="G17" s="137"/>
      <c r="H17" s="1057"/>
    </row>
    <row r="18" spans="1:10" ht="13.8" thickBot="1">
      <c r="A18" s="3897" t="s">
        <v>240</v>
      </c>
      <c r="B18" s="3898"/>
      <c r="C18" s="256"/>
      <c r="D18" s="255"/>
      <c r="E18" s="255"/>
      <c r="F18" s="255"/>
      <c r="G18" s="137"/>
      <c r="H18" s="1276"/>
    </row>
    <row r="19" spans="1:10" ht="13.8" thickBot="1">
      <c r="A19" s="257"/>
      <c r="B19" s="258" t="s">
        <v>133</v>
      </c>
      <c r="C19" s="259"/>
      <c r="D19" s="260" t="s">
        <v>134</v>
      </c>
      <c r="E19" s="261" t="s">
        <v>65</v>
      </c>
      <c r="F19" s="261" t="s">
        <v>66</v>
      </c>
      <c r="G19" s="262" t="s">
        <v>132</v>
      </c>
      <c r="H19" s="1097"/>
      <c r="I19" s="1096"/>
      <c r="J19" s="1096"/>
    </row>
    <row r="20" spans="1:10">
      <c r="A20" s="263"/>
      <c r="B20" s="264" t="s">
        <v>466</v>
      </c>
      <c r="C20" s="265"/>
      <c r="D20" s="266"/>
      <c r="E20" s="1308">
        <f>+SUM('Planillas diarias trapasos'!B53)</f>
        <v>0</v>
      </c>
      <c r="F20" s="1308">
        <f>+D20-E20</f>
        <v>0</v>
      </c>
      <c r="G20" s="877"/>
      <c r="H20" s="1057"/>
    </row>
    <row r="21" spans="1:10" ht="13.8" thickBot="1">
      <c r="A21" s="269"/>
      <c r="B21" s="270"/>
      <c r="C21" s="270"/>
      <c r="D21" s="271"/>
      <c r="E21" s="272"/>
      <c r="F21" s="273"/>
      <c r="G21" s="274"/>
      <c r="H21" s="1276"/>
    </row>
    <row r="22" spans="1:10" ht="13.8" thickBot="1">
      <c r="A22" s="137"/>
      <c r="B22" s="137"/>
      <c r="C22" s="137"/>
      <c r="D22" s="275">
        <f>SUM(D20:D21)</f>
        <v>0</v>
      </c>
      <c r="E22" s="276">
        <v>0</v>
      </c>
      <c r="F22" s="1243">
        <f>SUM(F20:F21)</f>
        <v>0</v>
      </c>
      <c r="G22" s="137"/>
      <c r="H22" s="1058"/>
    </row>
    <row r="23" spans="1:10" s="1053" customFormat="1" ht="13.8" thickBot="1">
      <c r="A23" s="137"/>
      <c r="B23" s="137"/>
      <c r="C23" s="137"/>
      <c r="D23" s="255"/>
      <c r="E23" s="931"/>
      <c r="F23" s="931"/>
      <c r="G23" s="137"/>
      <c r="H23" s="1058"/>
      <c r="J23" s="54"/>
    </row>
    <row r="24" spans="1:10" s="1053" customFormat="1" ht="13.8" thickBot="1">
      <c r="A24" s="3895" t="s">
        <v>279</v>
      </c>
      <c r="B24" s="3896"/>
      <c r="C24" s="253" t="s">
        <v>8</v>
      </c>
      <c r="D24" s="1103" t="s">
        <v>495</v>
      </c>
      <c r="E24" s="254"/>
      <c r="F24" s="255"/>
      <c r="G24" s="137"/>
      <c r="H24" s="1058"/>
      <c r="J24" s="54"/>
    </row>
    <row r="25" spans="1:10" s="1053" customFormat="1" ht="13.8" thickBot="1">
      <c r="A25" s="3897" t="s">
        <v>240</v>
      </c>
      <c r="B25" s="3898"/>
      <c r="C25" s="256"/>
      <c r="D25" s="255"/>
      <c r="E25" s="255"/>
      <c r="F25" s="255"/>
      <c r="G25" s="137"/>
      <c r="H25" s="1058"/>
      <c r="J25" s="54"/>
    </row>
    <row r="26" spans="1:10" s="1053" customFormat="1" ht="13.8" thickBot="1">
      <c r="A26" s="257"/>
      <c r="B26" s="258" t="s">
        <v>133</v>
      </c>
      <c r="C26" s="259"/>
      <c r="D26" s="260" t="s">
        <v>134</v>
      </c>
      <c r="E26" s="261" t="s">
        <v>65</v>
      </c>
      <c r="F26" s="261" t="s">
        <v>66</v>
      </c>
      <c r="G26" s="262" t="s">
        <v>132</v>
      </c>
      <c r="H26" s="1057"/>
      <c r="J26" s="54"/>
    </row>
    <row r="27" spans="1:10" s="1053" customFormat="1">
      <c r="A27" s="263"/>
      <c r="B27" s="264" t="s">
        <v>466</v>
      </c>
      <c r="C27" s="265"/>
      <c r="D27" s="266"/>
      <c r="E27" s="1308">
        <f>+SUM('Planillas diarias trapasos'!B71)</f>
        <v>0</v>
      </c>
      <c r="F27" s="1308">
        <f>+D27-E27</f>
        <v>0</v>
      </c>
      <c r="G27" s="877"/>
      <c r="H27" s="1058"/>
      <c r="J27" s="54"/>
    </row>
    <row r="28" spans="1:10" s="1053" customFormat="1" ht="13.8" thickBot="1">
      <c r="A28" s="269"/>
      <c r="B28" s="270"/>
      <c r="C28" s="270"/>
      <c r="D28" s="271"/>
      <c r="E28" s="272"/>
      <c r="F28" s="273"/>
      <c r="G28" s="274"/>
      <c r="H28" s="1058"/>
      <c r="J28" s="54"/>
    </row>
    <row r="29" spans="1:10" s="1053" customFormat="1" ht="13.8" thickBot="1">
      <c r="A29" s="137"/>
      <c r="B29" s="137"/>
      <c r="C29" s="137"/>
      <c r="D29" s="275">
        <f>SUM(D27:D28)</f>
        <v>0</v>
      </c>
      <c r="E29" s="276">
        <f>SUM(E27:E28)</f>
        <v>0</v>
      </c>
      <c r="F29" s="277">
        <f>SUM(F27:F28)</f>
        <v>0</v>
      </c>
      <c r="G29" s="137"/>
      <c r="H29" s="1058"/>
      <c r="J29" s="54"/>
    </row>
    <row r="30" spans="1:10" s="1235" customFormat="1" ht="13.8" thickBot="1">
      <c r="A30" s="137"/>
      <c r="B30" s="137"/>
      <c r="C30" s="137"/>
      <c r="D30" s="255"/>
      <c r="E30" s="931"/>
      <c r="F30" s="931"/>
      <c r="G30" s="137"/>
      <c r="H30" s="1058"/>
      <c r="J30" s="54"/>
    </row>
    <row r="31" spans="1:10" s="1235" customFormat="1" ht="13.8" thickBot="1">
      <c r="A31" s="3895" t="s">
        <v>279</v>
      </c>
      <c r="B31" s="3896"/>
      <c r="C31" s="253" t="s">
        <v>8</v>
      </c>
      <c r="D31" s="1103" t="s">
        <v>541</v>
      </c>
      <c r="E31" s="254"/>
      <c r="F31" s="255"/>
      <c r="G31" s="137"/>
      <c r="H31" s="1058"/>
      <c r="J31" s="54"/>
    </row>
    <row r="32" spans="1:10" s="1235" customFormat="1" ht="13.8" thickBot="1">
      <c r="A32" s="3897" t="s">
        <v>240</v>
      </c>
      <c r="B32" s="3898"/>
      <c r="C32" s="256"/>
      <c r="D32" s="255"/>
      <c r="E32" s="255"/>
      <c r="F32" s="255"/>
      <c r="G32" s="137"/>
      <c r="H32" s="1058"/>
      <c r="J32" s="54"/>
    </row>
    <row r="33" spans="1:15" s="1235" customFormat="1" ht="13.8" thickBot="1">
      <c r="A33" s="257"/>
      <c r="B33" s="258" t="s">
        <v>133</v>
      </c>
      <c r="C33" s="259"/>
      <c r="D33" s="260" t="s">
        <v>134</v>
      </c>
      <c r="E33" s="261" t="s">
        <v>65</v>
      </c>
      <c r="F33" s="261" t="s">
        <v>66</v>
      </c>
      <c r="G33" s="262" t="s">
        <v>132</v>
      </c>
      <c r="H33" s="1057"/>
      <c r="J33" s="54"/>
    </row>
    <row r="34" spans="1:15" s="1235" customFormat="1">
      <c r="A34" s="263"/>
      <c r="B34" s="264" t="s">
        <v>466</v>
      </c>
      <c r="C34" s="265"/>
      <c r="D34" s="266"/>
      <c r="E34" s="1308">
        <f>+SUM('Planillas diarias trapasos'!B90)</f>
        <v>0</v>
      </c>
      <c r="F34" s="1308">
        <f>+D34-E34</f>
        <v>0</v>
      </c>
      <c r="G34" s="877"/>
      <c r="H34" s="1058"/>
      <c r="J34" s="54"/>
    </row>
    <row r="35" spans="1:15" s="1235" customFormat="1" ht="13.8" thickBot="1">
      <c r="A35" s="269"/>
      <c r="B35" s="270"/>
      <c r="C35" s="270"/>
      <c r="D35" s="271"/>
      <c r="E35" s="272"/>
      <c r="F35" s="273"/>
      <c r="G35" s="274"/>
      <c r="H35" s="1058"/>
      <c r="J35" s="54"/>
    </row>
    <row r="36" spans="1:15" s="1235" customFormat="1" ht="13.8" thickBot="1">
      <c r="A36" s="137"/>
      <c r="B36" s="137"/>
      <c r="C36" s="137"/>
      <c r="D36" s="275">
        <f>SUM(D34:D35)</f>
        <v>0</v>
      </c>
      <c r="E36" s="276">
        <f>SUM(E34:E35)</f>
        <v>0</v>
      </c>
      <c r="F36" s="277">
        <f>SUM(F34:F35)</f>
        <v>0</v>
      </c>
      <c r="G36" s="137"/>
      <c r="H36" s="1058"/>
      <c r="J36" s="54"/>
    </row>
    <row r="37" spans="1:15" s="1053" customFormat="1">
      <c r="A37" s="137"/>
      <c r="B37" s="137"/>
      <c r="C37" s="1100"/>
      <c r="D37" s="1101">
        <f>+D27+D20+D12+D5</f>
        <v>0</v>
      </c>
      <c r="E37" s="1102">
        <f>+E27+E20+E12+E5-F22</f>
        <v>0</v>
      </c>
      <c r="F37" s="1102">
        <f>+D37-E37</f>
        <v>0</v>
      </c>
      <c r="G37" s="1100"/>
      <c r="H37" s="1058"/>
      <c r="J37" s="54"/>
    </row>
    <row r="38" spans="1:15" ht="15.6" thickBot="1">
      <c r="A38" s="137"/>
      <c r="B38" s="137"/>
      <c r="C38" s="137"/>
      <c r="D38" s="137"/>
      <c r="E38" s="137"/>
      <c r="F38" s="137"/>
      <c r="G38" s="137"/>
      <c r="H38" s="1293"/>
      <c r="I38" s="245"/>
      <c r="J38" s="246"/>
      <c r="K38" s="245"/>
      <c r="L38" s="245"/>
      <c r="M38" s="245"/>
      <c r="N38" s="245"/>
      <c r="O38" s="245"/>
    </row>
    <row r="39" spans="1:15" ht="15.6" thickBot="1">
      <c r="A39" s="3899" t="s">
        <v>399</v>
      </c>
      <c r="B39" s="3900"/>
      <c r="C39" s="1104" t="s">
        <v>138</v>
      </c>
      <c r="D39" s="3922" t="s">
        <v>142</v>
      </c>
      <c r="E39" s="3923"/>
      <c r="F39" s="255"/>
      <c r="G39" s="137"/>
      <c r="H39" s="1293"/>
      <c r="I39" s="245"/>
      <c r="J39" s="246"/>
      <c r="K39" s="245"/>
      <c r="L39" s="245"/>
      <c r="M39" s="245"/>
      <c r="N39" s="245"/>
      <c r="O39" s="245"/>
    </row>
    <row r="40" spans="1:15" ht="15">
      <c r="A40" s="278"/>
      <c r="B40" s="278"/>
      <c r="C40" s="279"/>
      <c r="D40" s="255"/>
      <c r="E40" s="255"/>
      <c r="F40" s="255"/>
      <c r="G40" s="137"/>
      <c r="H40" s="1293"/>
      <c r="I40" s="245"/>
      <c r="J40" s="246"/>
      <c r="K40" s="245"/>
      <c r="L40" s="245"/>
      <c r="M40" s="245"/>
      <c r="N40" s="245"/>
      <c r="O40" s="245"/>
    </row>
    <row r="41" spans="1:15" ht="15.6" thickBot="1">
      <c r="A41" s="280" t="s">
        <v>131</v>
      </c>
      <c r="B41" s="261" t="s">
        <v>133</v>
      </c>
      <c r="C41" s="261"/>
      <c r="D41" s="261" t="s">
        <v>134</v>
      </c>
      <c r="E41" s="261" t="s">
        <v>65</v>
      </c>
      <c r="F41" s="261" t="s">
        <v>66</v>
      </c>
      <c r="G41" s="262" t="s">
        <v>132</v>
      </c>
      <c r="H41" s="1310"/>
      <c r="I41" s="245"/>
      <c r="J41" s="246"/>
      <c r="K41" s="245"/>
      <c r="L41" s="245"/>
      <c r="M41" s="245"/>
      <c r="N41" s="245"/>
      <c r="O41" s="245"/>
    </row>
    <row r="42" spans="1:15" ht="15">
      <c r="A42" s="269" t="s">
        <v>137</v>
      </c>
      <c r="B42" s="281"/>
      <c r="C42" s="282"/>
      <c r="D42" s="266"/>
      <c r="E42" s="267">
        <f>+SUM('Planillas diarias trapasos'!B311)</f>
        <v>0</v>
      </c>
      <c r="F42" s="283">
        <f>+D42-E42</f>
        <v>0</v>
      </c>
      <c r="G42" s="268"/>
      <c r="H42" s="1293"/>
      <c r="I42" s="245"/>
      <c r="J42" s="246"/>
      <c r="K42" s="245"/>
      <c r="L42" s="245"/>
      <c r="M42" s="245"/>
      <c r="N42" s="245"/>
      <c r="O42" s="245"/>
    </row>
    <row r="43" spans="1:15" ht="12.75" customHeight="1" thickBot="1">
      <c r="A43" s="269" t="s">
        <v>139</v>
      </c>
      <c r="B43" s="270"/>
      <c r="C43" s="284"/>
      <c r="D43" s="271"/>
      <c r="E43" s="272">
        <f>+SUM('Planillas diarias trapasos'!B328)</f>
        <v>0</v>
      </c>
      <c r="F43" s="273">
        <f>+D43-E43</f>
        <v>0</v>
      </c>
      <c r="G43" s="274"/>
      <c r="H43" s="1293"/>
      <c r="I43" s="245"/>
      <c r="J43" s="246"/>
      <c r="K43" s="245"/>
      <c r="L43" s="245"/>
      <c r="M43" s="245"/>
      <c r="N43" s="245"/>
      <c r="O43" s="245"/>
    </row>
    <row r="44" spans="1:15" ht="12.75" customHeight="1" thickBot="1">
      <c r="A44" s="285" t="s">
        <v>50</v>
      </c>
      <c r="B44" s="137"/>
      <c r="C44" s="137"/>
      <c r="D44" s="287">
        <f>SUM(D42:D43)</f>
        <v>0</v>
      </c>
      <c r="E44" s="288">
        <f>SUM(E42:E43)</f>
        <v>0</v>
      </c>
      <c r="F44" s="288">
        <f>SUM(F42:F43)</f>
        <v>0</v>
      </c>
      <c r="G44" s="137"/>
      <c r="H44" s="1293"/>
      <c r="I44" s="245"/>
      <c r="J44" s="246"/>
      <c r="K44" s="245"/>
      <c r="L44" s="245"/>
      <c r="M44" s="245"/>
      <c r="N44" s="245"/>
      <c r="O44" s="245"/>
    </row>
    <row r="45" spans="1:15" ht="12.75" customHeight="1" thickBot="1">
      <c r="A45" s="285"/>
      <c r="B45" s="137"/>
      <c r="C45" s="137"/>
      <c r="D45" s="286"/>
      <c r="E45" s="286"/>
      <c r="F45" s="137"/>
      <c r="G45" s="137"/>
      <c r="H45" s="1293"/>
      <c r="I45" s="245"/>
      <c r="J45" s="246"/>
      <c r="K45" s="245"/>
      <c r="L45" s="245"/>
      <c r="M45" s="245"/>
      <c r="N45" s="245"/>
      <c r="O45" s="245"/>
    </row>
    <row r="46" spans="1:15" ht="12.75" customHeight="1" thickBot="1">
      <c r="A46" s="3899" t="s">
        <v>136</v>
      </c>
      <c r="B46" s="3900"/>
      <c r="C46" s="943" t="s">
        <v>8</v>
      </c>
      <c r="D46" s="3905" t="s">
        <v>273</v>
      </c>
      <c r="E46" s="3906"/>
      <c r="F46" s="137"/>
      <c r="G46" s="137"/>
      <c r="H46" s="1293"/>
      <c r="I46" s="245"/>
      <c r="J46" s="246"/>
      <c r="K46" s="245"/>
      <c r="L46" s="245"/>
      <c r="M46" s="245"/>
      <c r="N46" s="245"/>
      <c r="O46" s="245"/>
    </row>
    <row r="47" spans="1:15" ht="12.75" customHeight="1" thickBot="1">
      <c r="A47" s="280" t="s">
        <v>131</v>
      </c>
      <c r="B47" s="261" t="s">
        <v>133</v>
      </c>
      <c r="C47" s="261"/>
      <c r="D47" s="376" t="s">
        <v>134</v>
      </c>
      <c r="E47" s="376" t="s">
        <v>65</v>
      </c>
      <c r="F47" s="261" t="s">
        <v>66</v>
      </c>
      <c r="G47" s="262" t="s">
        <v>132</v>
      </c>
      <c r="H47" s="1293"/>
      <c r="I47" s="245"/>
      <c r="J47" s="246"/>
      <c r="K47" s="245"/>
      <c r="L47" s="245"/>
      <c r="M47" s="245"/>
      <c r="N47" s="245"/>
      <c r="O47" s="245"/>
    </row>
    <row r="48" spans="1:15" ht="12.75" customHeight="1">
      <c r="A48" s="269" t="s">
        <v>137</v>
      </c>
      <c r="B48" s="281"/>
      <c r="C48" s="282"/>
      <c r="D48" s="266"/>
      <c r="E48" s="267">
        <f>+SUM('Planillas diarias trapasos'!B375)</f>
        <v>0</v>
      </c>
      <c r="F48" s="283">
        <f>+D48-E48</f>
        <v>0</v>
      </c>
      <c r="G48" s="268"/>
      <c r="H48" s="1310"/>
      <c r="I48" s="245"/>
      <c r="J48" s="246"/>
      <c r="K48" s="245"/>
      <c r="L48" s="245"/>
      <c r="M48" s="245"/>
      <c r="N48" s="245"/>
      <c r="O48" s="245"/>
    </row>
    <row r="49" spans="1:16" ht="12.75" customHeight="1" thickBot="1">
      <c r="A49" s="269"/>
      <c r="B49" s="270"/>
      <c r="C49" s="284"/>
      <c r="D49" s="271"/>
      <c r="E49" s="273"/>
      <c r="F49" s="273"/>
      <c r="G49" s="274"/>
      <c r="H49" s="1293"/>
      <c r="I49" s="245"/>
      <c r="J49" s="246"/>
      <c r="K49" s="245"/>
      <c r="L49" s="245"/>
      <c r="M49" s="245"/>
      <c r="N49" s="245"/>
      <c r="O49" s="245"/>
    </row>
    <row r="50" spans="1:16" ht="12.75" customHeight="1" thickBot="1">
      <c r="A50" s="285" t="s">
        <v>50</v>
      </c>
      <c r="B50" s="137"/>
      <c r="C50" s="137"/>
      <c r="D50" s="287">
        <f>SUM(D48:D49)</f>
        <v>0</v>
      </c>
      <c r="E50" s="288">
        <f>SUM(E48:E49)</f>
        <v>0</v>
      </c>
      <c r="F50" s="288">
        <f>SUM(F48:F49)</f>
        <v>0</v>
      </c>
      <c r="G50" s="138"/>
      <c r="H50" s="1293"/>
      <c r="I50" s="245"/>
      <c r="J50" s="246"/>
      <c r="K50" s="245"/>
      <c r="L50" s="245"/>
      <c r="M50" s="245"/>
      <c r="N50" s="245"/>
      <c r="O50" s="245"/>
    </row>
    <row r="51" spans="1:16" ht="12.75" customHeight="1" thickBot="1">
      <c r="A51" s="285"/>
      <c r="B51" s="137"/>
      <c r="C51" s="137"/>
      <c r="D51" s="286"/>
      <c r="E51" s="286"/>
      <c r="F51" s="137"/>
      <c r="G51" s="137"/>
      <c r="H51" s="1293"/>
      <c r="I51" s="245"/>
      <c r="J51" s="246"/>
      <c r="K51" s="245"/>
      <c r="L51" s="245"/>
      <c r="M51" s="245"/>
      <c r="N51" s="245"/>
      <c r="O51" s="245"/>
    </row>
    <row r="52" spans="1:16" ht="12.75" customHeight="1" thickBot="1">
      <c r="A52" s="3899" t="s">
        <v>136</v>
      </c>
      <c r="B52" s="3900"/>
      <c r="C52" s="943" t="s">
        <v>8</v>
      </c>
      <c r="D52" s="3905" t="s">
        <v>274</v>
      </c>
      <c r="E52" s="3906"/>
      <c r="F52" s="137"/>
      <c r="G52" s="137"/>
      <c r="H52" s="1293"/>
      <c r="I52" s="245"/>
      <c r="J52" s="246"/>
      <c r="K52" s="245"/>
      <c r="L52" s="245"/>
      <c r="M52" s="245"/>
      <c r="N52" s="245"/>
      <c r="O52" s="245"/>
    </row>
    <row r="53" spans="1:16" ht="12.75" customHeight="1" thickBot="1">
      <c r="A53" s="280" t="s">
        <v>131</v>
      </c>
      <c r="B53" s="261" t="s">
        <v>133</v>
      </c>
      <c r="C53" s="261"/>
      <c r="D53" s="376" t="s">
        <v>134</v>
      </c>
      <c r="E53" s="376" t="s">
        <v>65</v>
      </c>
      <c r="F53" s="261" t="s">
        <v>66</v>
      </c>
      <c r="G53" s="262" t="s">
        <v>132</v>
      </c>
      <c r="H53" s="1293"/>
      <c r="I53" s="245"/>
      <c r="J53" s="246"/>
      <c r="K53" s="245"/>
      <c r="L53" s="245"/>
      <c r="M53" s="245"/>
      <c r="N53" s="245"/>
      <c r="O53" s="245"/>
    </row>
    <row r="54" spans="1:16" ht="12.75" customHeight="1">
      <c r="A54" s="269" t="s">
        <v>137</v>
      </c>
      <c r="B54" s="281"/>
      <c r="C54" s="282"/>
      <c r="D54" s="266"/>
      <c r="E54" s="267">
        <f>+'Planillas diarias trapasos'!B392</f>
        <v>0</v>
      </c>
      <c r="F54" s="283">
        <f>+D54-E54</f>
        <v>0</v>
      </c>
      <c r="G54" s="268"/>
      <c r="H54" s="1310"/>
      <c r="I54" s="245"/>
      <c r="J54" s="246"/>
      <c r="K54" s="245"/>
      <c r="L54" s="245"/>
      <c r="M54" s="245"/>
      <c r="N54" s="245"/>
      <c r="O54" s="245"/>
    </row>
    <row r="55" spans="1:16" ht="12.75" customHeight="1" thickBot="1">
      <c r="A55" s="269"/>
      <c r="B55" s="270"/>
      <c r="C55" s="284"/>
      <c r="D55" s="271"/>
      <c r="E55" s="272">
        <f>+SUM('Planillas diarias trapasos'!B342:B343)</f>
        <v>0</v>
      </c>
      <c r="F55" s="273"/>
      <c r="G55" s="274"/>
      <c r="H55" s="1293"/>
      <c r="I55" s="245"/>
      <c r="J55" s="246"/>
      <c r="K55" s="245"/>
      <c r="L55" s="245"/>
      <c r="M55" s="245"/>
      <c r="N55" s="245"/>
      <c r="O55" s="245"/>
    </row>
    <row r="56" spans="1:16" ht="12.75" customHeight="1" thickBot="1">
      <c r="A56" s="285" t="s">
        <v>50</v>
      </c>
      <c r="B56" s="137"/>
      <c r="C56" s="137"/>
      <c r="D56" s="287">
        <f>SUM(D54:D55)</f>
        <v>0</v>
      </c>
      <c r="E56" s="288">
        <f>SUM(E54:E55)</f>
        <v>0</v>
      </c>
      <c r="F56" s="375">
        <f>SUM(F54:F55)</f>
        <v>0</v>
      </c>
      <c r="G56" s="137"/>
      <c r="H56" s="1293"/>
      <c r="I56" s="245"/>
      <c r="J56" s="246"/>
      <c r="K56" s="245"/>
      <c r="L56" s="245"/>
      <c r="M56" s="245"/>
      <c r="N56" s="245"/>
      <c r="O56" s="245"/>
    </row>
    <row r="57" spans="1:16" ht="12.75" customHeight="1" thickBot="1">
      <c r="A57" s="285"/>
      <c r="B57" s="137"/>
      <c r="C57" s="137"/>
      <c r="D57" s="254"/>
      <c r="E57" s="254"/>
      <c r="F57" s="254"/>
      <c r="G57" s="137"/>
      <c r="H57" s="246"/>
      <c r="I57" s="245"/>
      <c r="J57" s="246"/>
      <c r="K57" s="245"/>
      <c r="L57" s="245"/>
      <c r="M57" s="245"/>
      <c r="N57" s="245"/>
      <c r="O57" s="245"/>
    </row>
    <row r="58" spans="1:16" ht="12.75" customHeight="1" thickBot="1">
      <c r="A58" s="3899" t="s">
        <v>136</v>
      </c>
      <c r="B58" s="3900"/>
      <c r="C58" s="1104" t="s">
        <v>138</v>
      </c>
      <c r="D58" s="3909" t="s">
        <v>319</v>
      </c>
      <c r="E58" s="3910"/>
      <c r="F58" s="255"/>
      <c r="G58" s="137"/>
      <c r="H58" s="246"/>
      <c r="I58" s="245"/>
      <c r="J58" s="246"/>
      <c r="K58" s="245"/>
      <c r="L58" s="245"/>
      <c r="M58" s="245"/>
      <c r="N58" s="245"/>
      <c r="O58" s="245"/>
    </row>
    <row r="59" spans="1:16" ht="12.75" customHeight="1">
      <c r="A59" s="278"/>
      <c r="B59" s="278"/>
      <c r="C59" s="279"/>
      <c r="D59" s="255"/>
      <c r="E59" s="255"/>
      <c r="F59" s="255"/>
      <c r="G59" s="137"/>
      <c r="H59" s="246"/>
      <c r="I59" s="245"/>
      <c r="J59" s="246"/>
      <c r="K59" s="245"/>
      <c r="L59" s="245"/>
      <c r="M59" s="245"/>
      <c r="N59" s="245"/>
      <c r="O59" s="245"/>
    </row>
    <row r="60" spans="1:16" ht="12.75" customHeight="1" thickBot="1">
      <c r="A60" s="280" t="s">
        <v>131</v>
      </c>
      <c r="B60" s="261" t="s">
        <v>133</v>
      </c>
      <c r="C60" s="261"/>
      <c r="D60" s="261" t="s">
        <v>134</v>
      </c>
      <c r="E60" s="261" t="s">
        <v>400</v>
      </c>
      <c r="F60" s="261" t="s">
        <v>65</v>
      </c>
      <c r="G60" s="261" t="s">
        <v>66</v>
      </c>
      <c r="H60" s="262" t="s">
        <v>132</v>
      </c>
      <c r="I60" s="246"/>
      <c r="J60" s="246"/>
      <c r="K60" s="246"/>
      <c r="L60" s="245"/>
      <c r="M60" s="245"/>
      <c r="N60" s="245"/>
      <c r="O60" s="245"/>
      <c r="P60" s="245"/>
    </row>
    <row r="61" spans="1:16" ht="12.75" customHeight="1" thickBot="1">
      <c r="A61" s="269" t="s">
        <v>409</v>
      </c>
      <c r="B61" s="281"/>
      <c r="C61" s="282"/>
      <c r="D61" s="266"/>
      <c r="E61" s="860">
        <f>+D61</f>
        <v>0</v>
      </c>
      <c r="F61" s="267">
        <f>+SUM('Planillas diarias trapasos'!B332:B341)</f>
        <v>0</v>
      </c>
      <c r="G61" s="283">
        <f>+D61-F61</f>
        <v>0</v>
      </c>
      <c r="H61" s="1050"/>
      <c r="I61" s="1310"/>
      <c r="J61" s="246"/>
      <c r="K61" s="246"/>
      <c r="L61" s="245"/>
      <c r="M61" s="245"/>
      <c r="N61" s="245"/>
      <c r="O61" s="245"/>
      <c r="P61" s="245"/>
    </row>
    <row r="62" spans="1:16" ht="12.75" customHeight="1" thickBot="1">
      <c r="A62" s="269" t="s">
        <v>410</v>
      </c>
      <c r="B62" s="270"/>
      <c r="C62" s="284"/>
      <c r="D62" s="271"/>
      <c r="E62" s="859">
        <f>+G61+D62</f>
        <v>0</v>
      </c>
      <c r="F62" s="272">
        <f>+SUM('Planillas diarias trapasos'!B377)</f>
        <v>0</v>
      </c>
      <c r="G62" s="272">
        <f>+E62-F62</f>
        <v>0</v>
      </c>
      <c r="H62" s="1050"/>
      <c r="I62" s="1311"/>
      <c r="J62" s="246"/>
      <c r="K62" s="246"/>
      <c r="L62" s="245"/>
      <c r="M62" s="245"/>
      <c r="N62" s="245"/>
      <c r="O62" s="245"/>
      <c r="P62" s="245"/>
    </row>
    <row r="63" spans="1:16" ht="12.75" customHeight="1" thickBot="1">
      <c r="A63" s="285" t="s">
        <v>50</v>
      </c>
      <c r="B63" s="137"/>
      <c r="C63" s="137"/>
      <c r="D63" s="287">
        <f>SUM(D61:D62)</f>
        <v>0</v>
      </c>
      <c r="E63" s="287">
        <v>0</v>
      </c>
      <c r="F63" s="288">
        <f>SUM(F61:F62)</f>
        <v>0</v>
      </c>
      <c r="G63" s="288">
        <f>+D63-F63</f>
        <v>0</v>
      </c>
      <c r="H63" s="137"/>
      <c r="I63" s="1293"/>
      <c r="J63" s="246"/>
      <c r="K63" s="246"/>
      <c r="L63" s="245"/>
      <c r="M63" s="245"/>
      <c r="N63" s="245"/>
      <c r="O63" s="245"/>
      <c r="P63" s="245"/>
    </row>
    <row r="64" spans="1:16" ht="12.75" customHeight="1">
      <c r="A64" s="285"/>
      <c r="B64" s="137"/>
      <c r="C64" s="137"/>
      <c r="D64" s="254"/>
      <c r="E64" s="254"/>
      <c r="F64" s="254"/>
      <c r="G64" s="254"/>
      <c r="H64" s="137"/>
      <c r="I64" s="1293"/>
      <c r="J64" s="246"/>
      <c r="K64" s="246"/>
      <c r="L64" s="245"/>
      <c r="M64" s="245"/>
      <c r="N64" s="245"/>
      <c r="O64" s="245"/>
      <c r="P64" s="245"/>
    </row>
    <row r="65" spans="1:51" ht="12.75" customHeight="1" thickBot="1">
      <c r="A65" s="285"/>
      <c r="B65" s="137"/>
      <c r="C65" s="137"/>
      <c r="D65" s="254"/>
      <c r="E65" s="254"/>
      <c r="F65" s="254"/>
      <c r="G65" s="254"/>
      <c r="H65" s="137"/>
      <c r="I65" s="246"/>
      <c r="J65" s="246"/>
      <c r="K65" s="246"/>
      <c r="L65" s="245"/>
      <c r="M65" s="245"/>
      <c r="N65" s="245"/>
      <c r="O65" s="245"/>
      <c r="P65" s="245"/>
    </row>
    <row r="66" spans="1:51" ht="12.75" customHeight="1" thickBot="1">
      <c r="A66" s="3909" t="s">
        <v>136</v>
      </c>
      <c r="B66" s="3924"/>
      <c r="C66" s="1104" t="s">
        <v>138</v>
      </c>
      <c r="D66" s="3909" t="s">
        <v>411</v>
      </c>
      <c r="E66" s="3910"/>
      <c r="F66" s="255"/>
      <c r="G66" s="137"/>
      <c r="H66" s="246"/>
      <c r="I66" s="246"/>
      <c r="J66" s="246"/>
      <c r="K66" s="246"/>
      <c r="L66" s="245"/>
      <c r="M66" s="245"/>
      <c r="N66" s="245"/>
      <c r="O66" s="245"/>
      <c r="P66" s="245"/>
    </row>
    <row r="67" spans="1:51" ht="12.75" customHeight="1">
      <c r="A67" s="278"/>
      <c r="B67" s="278"/>
      <c r="C67" s="279"/>
      <c r="D67" s="255"/>
      <c r="E67" s="255"/>
      <c r="F67" s="255"/>
      <c r="G67" s="137"/>
      <c r="H67" s="246"/>
      <c r="I67" s="1293"/>
      <c r="J67" s="246"/>
      <c r="K67" s="246"/>
      <c r="L67" s="245"/>
      <c r="M67" s="245"/>
      <c r="N67" s="245"/>
      <c r="O67" s="245"/>
      <c r="P67" s="245"/>
    </row>
    <row r="68" spans="1:51" ht="12.75" customHeight="1" thickBot="1">
      <c r="A68" s="280" t="s">
        <v>131</v>
      </c>
      <c r="B68" s="261" t="s">
        <v>133</v>
      </c>
      <c r="C68" s="261"/>
      <c r="D68" s="261" t="s">
        <v>134</v>
      </c>
      <c r="E68" s="261" t="s">
        <v>400</v>
      </c>
      <c r="F68" s="261" t="s">
        <v>65</v>
      </c>
      <c r="G68" s="261" t="s">
        <v>66</v>
      </c>
      <c r="H68" s="262" t="s">
        <v>132</v>
      </c>
      <c r="I68" s="1310"/>
      <c r="J68" s="246"/>
      <c r="K68" s="246"/>
      <c r="L68" s="245"/>
      <c r="M68" s="245"/>
      <c r="N68" s="245"/>
      <c r="O68" s="245"/>
      <c r="P68" s="245"/>
    </row>
    <row r="69" spans="1:51" ht="12.75" customHeight="1">
      <c r="A69" s="269" t="s">
        <v>412</v>
      </c>
      <c r="B69" s="281"/>
      <c r="C69" s="282"/>
      <c r="D69" s="266"/>
      <c r="E69" s="283">
        <f>+D69</f>
        <v>0</v>
      </c>
      <c r="F69" s="267">
        <f>+SUM('Planillas diarias trapasos'!B349:B353)</f>
        <v>0</v>
      </c>
      <c r="G69" s="296">
        <f>+D69-F69</f>
        <v>0</v>
      </c>
      <c r="H69" s="873"/>
      <c r="I69" s="1293"/>
      <c r="J69" s="246"/>
      <c r="K69" s="246"/>
      <c r="L69" s="245"/>
      <c r="M69" s="245"/>
      <c r="N69" s="245"/>
      <c r="O69" s="245"/>
      <c r="P69" s="245"/>
    </row>
    <row r="70" spans="1:51" ht="12.75" customHeight="1" thickBot="1">
      <c r="A70" s="269" t="s">
        <v>413</v>
      </c>
      <c r="B70" s="270"/>
      <c r="C70" s="284"/>
      <c r="D70" s="271"/>
      <c r="E70" s="273">
        <f>+G69+D70</f>
        <v>0</v>
      </c>
      <c r="F70" s="272">
        <f>+SUM('Planillas diarias trapasos'!B354:B355)</f>
        <v>0</v>
      </c>
      <c r="G70" s="830">
        <f>+E70-F70</f>
        <v>0</v>
      </c>
      <c r="H70" s="1292"/>
      <c r="I70" s="1301"/>
      <c r="J70" s="246"/>
      <c r="K70" s="246"/>
      <c r="L70" s="245"/>
      <c r="M70" s="245"/>
      <c r="N70" s="245"/>
      <c r="O70" s="245"/>
      <c r="P70" s="245"/>
    </row>
    <row r="71" spans="1:51" ht="12.75" customHeight="1" thickBot="1">
      <c r="A71" s="285" t="s">
        <v>50</v>
      </c>
      <c r="B71" s="137"/>
      <c r="C71" s="137"/>
      <c r="D71" s="871">
        <f>SUM(D69:D70)</f>
        <v>0</v>
      </c>
      <c r="E71" s="871">
        <v>0</v>
      </c>
      <c r="F71" s="872">
        <f>SUM(F69:F70)</f>
        <v>0</v>
      </c>
      <c r="G71" s="872">
        <f>+D71-F71</f>
        <v>0</v>
      </c>
      <c r="H71" s="1234"/>
      <c r="I71" s="1293"/>
      <c r="J71" s="246"/>
      <c r="K71" s="246"/>
      <c r="L71" s="245"/>
      <c r="M71" s="245"/>
      <c r="N71" s="245"/>
      <c r="O71" s="245"/>
      <c r="P71" s="245"/>
    </row>
    <row r="72" spans="1:51" ht="12.75" customHeight="1">
      <c r="A72" s="285"/>
      <c r="B72" s="137"/>
      <c r="C72" s="137"/>
      <c r="D72" s="254"/>
      <c r="E72" s="254">
        <f>SUM(E63)</f>
        <v>0</v>
      </c>
      <c r="F72" s="254"/>
      <c r="G72" s="137"/>
      <c r="H72" s="1293"/>
      <c r="I72" s="245"/>
      <c r="J72" s="246"/>
      <c r="K72" s="245"/>
      <c r="L72" s="245"/>
      <c r="M72" s="245"/>
      <c r="N72" s="245"/>
      <c r="O72" s="245"/>
    </row>
    <row r="73" spans="1:51" ht="15">
      <c r="A73" s="137"/>
      <c r="B73" s="137"/>
      <c r="C73" s="137"/>
      <c r="D73" s="137"/>
      <c r="E73" s="137"/>
      <c r="F73" s="137"/>
      <c r="G73" s="137"/>
      <c r="H73" s="1293"/>
      <c r="I73" s="245"/>
      <c r="J73" s="246"/>
      <c r="K73" s="245"/>
      <c r="L73" s="245"/>
      <c r="M73" s="245"/>
      <c r="N73" s="245"/>
      <c r="O73" s="245"/>
    </row>
    <row r="74" spans="1:51" s="117" customFormat="1" ht="12.75" customHeight="1">
      <c r="A74" s="278"/>
      <c r="B74" s="676"/>
      <c r="C74" s="676"/>
      <c r="D74" s="676"/>
      <c r="E74" s="676"/>
      <c r="F74" s="676"/>
      <c r="G74" s="676"/>
      <c r="H74" s="1293"/>
      <c r="I74" s="247"/>
      <c r="J74" s="666"/>
      <c r="K74" s="247"/>
      <c r="L74" s="247"/>
      <c r="M74" s="247"/>
      <c r="N74" s="247"/>
      <c r="O74" s="247"/>
      <c r="AC74"/>
      <c r="AD74"/>
      <c r="AE74"/>
      <c r="AF74"/>
      <c r="AG74"/>
      <c r="AH74"/>
      <c r="AI74"/>
      <c r="AK74" s="137"/>
      <c r="AL74" s="678"/>
      <c r="AM74" s="677"/>
      <c r="AN74" s="677"/>
      <c r="AO74" s="677"/>
      <c r="AP74" s="677"/>
      <c r="AQ74" s="677"/>
      <c r="AS74" s="137"/>
      <c r="AT74" s="864"/>
      <c r="AU74" s="137"/>
      <c r="AV74" s="137"/>
      <c r="AW74" s="137"/>
      <c r="AX74" s="137"/>
      <c r="AY74" s="137"/>
    </row>
    <row r="75" spans="1:51" s="117" customFormat="1" ht="12.75" customHeight="1" thickBot="1">
      <c r="A75" s="278"/>
      <c r="B75" s="676"/>
      <c r="C75" s="676"/>
      <c r="D75" s="676"/>
      <c r="E75" s="676"/>
      <c r="F75" s="676"/>
      <c r="G75" s="676"/>
      <c r="H75" s="1293"/>
      <c r="I75" s="247"/>
      <c r="J75" s="666"/>
      <c r="K75" s="247"/>
      <c r="L75" s="247"/>
      <c r="M75" s="247"/>
      <c r="N75" s="247"/>
      <c r="O75" s="247"/>
      <c r="AC75"/>
      <c r="AD75"/>
      <c r="AE75"/>
      <c r="AF75"/>
      <c r="AG75"/>
      <c r="AH75"/>
      <c r="AI75"/>
      <c r="AK75" t="s">
        <v>143</v>
      </c>
      <c r="AL75" t="e">
        <f>#REF!+#REF!</f>
        <v>#REF!</v>
      </c>
      <c r="AM75" t="e">
        <f>#REF!+#REF!</f>
        <v>#REF!</v>
      </c>
      <c r="AN75" t="e">
        <f>#REF!+#REF!</f>
        <v>#REF!</v>
      </c>
      <c r="AO75" t="e">
        <f>#REF!+#REF!</f>
        <v>#REF!</v>
      </c>
      <c r="AP75" t="e">
        <f>#REF!+#REF!</f>
        <v>#REF!</v>
      </c>
      <c r="AQ75" t="e">
        <f>#REF!+#REF!</f>
        <v>#REF!</v>
      </c>
      <c r="AS75" t="s">
        <v>143</v>
      </c>
      <c r="AT75" t="e">
        <f>#REF!+#REF!</f>
        <v>#REF!</v>
      </c>
      <c r="AU75" t="e">
        <f>#REF!+#REF!</f>
        <v>#REF!</v>
      </c>
      <c r="AV75" t="e">
        <f>#REF!+#REF!</f>
        <v>#REF!</v>
      </c>
      <c r="AW75" t="e">
        <f>#REF!+#REF!</f>
        <v>#REF!</v>
      </c>
      <c r="AX75" t="e">
        <f>#REF!+#REF!</f>
        <v>#REF!</v>
      </c>
      <c r="AY75" t="e">
        <f>#REF!+#REF!</f>
        <v>#REF!</v>
      </c>
    </row>
    <row r="76" spans="1:51" ht="15.6" thickBot="1">
      <c r="A76" s="137"/>
      <c r="B76" s="137"/>
      <c r="C76" s="137"/>
      <c r="D76" s="137"/>
      <c r="E76" s="137"/>
      <c r="F76" s="137"/>
      <c r="G76" s="289"/>
      <c r="H76" s="1293"/>
      <c r="I76" s="245"/>
      <c r="J76" s="246"/>
      <c r="K76" s="245"/>
      <c r="L76" s="245"/>
      <c r="M76" s="245"/>
      <c r="N76" s="245"/>
      <c r="O76" s="245"/>
    </row>
    <row r="77" spans="1:51" ht="15.6" thickBot="1">
      <c r="A77" s="3888" t="s">
        <v>385</v>
      </c>
      <c r="B77" s="3889"/>
      <c r="C77" s="3889"/>
      <c r="D77" s="3889"/>
      <c r="E77" s="3889"/>
      <c r="F77" s="3889"/>
      <c r="G77" s="3890"/>
      <c r="H77" s="1294"/>
      <c r="I77" s="245"/>
      <c r="J77" s="246"/>
      <c r="K77" s="245"/>
      <c r="L77" s="245"/>
      <c r="M77" s="245"/>
      <c r="N77" s="245"/>
      <c r="O77" s="245"/>
    </row>
    <row r="78" spans="1:51" ht="15.6" thickBot="1">
      <c r="A78" s="290"/>
      <c r="B78" s="291"/>
      <c r="C78" s="290" t="s">
        <v>146</v>
      </c>
      <c r="D78" s="292" t="s">
        <v>145</v>
      </c>
      <c r="E78" s="293" t="s">
        <v>65</v>
      </c>
      <c r="F78" s="293" t="s">
        <v>108</v>
      </c>
      <c r="G78" s="293" t="s">
        <v>132</v>
      </c>
      <c r="H78" s="1289"/>
      <c r="I78" s="245"/>
      <c r="J78" s="246"/>
      <c r="K78" s="245"/>
      <c r="L78" s="245"/>
      <c r="M78" s="245"/>
      <c r="N78" s="245"/>
      <c r="O78" s="245"/>
    </row>
    <row r="79" spans="1:51" ht="15">
      <c r="A79" s="294" t="s">
        <v>362</v>
      </c>
      <c r="B79" s="295"/>
      <c r="C79" s="3911"/>
      <c r="D79" s="3912"/>
      <c r="E79" s="1308">
        <f>+SUM('Planillas diarias trapasos'!B138:B147)</f>
        <v>0</v>
      </c>
      <c r="F79" s="1308">
        <f>+C79-E79</f>
        <v>0</v>
      </c>
      <c r="G79" s="1309"/>
      <c r="H79" s="1295"/>
      <c r="I79" s="245"/>
      <c r="J79" s="246"/>
      <c r="K79" s="245"/>
      <c r="L79" s="245"/>
      <c r="M79" s="245"/>
      <c r="N79" s="245"/>
      <c r="O79" s="245"/>
    </row>
    <row r="80" spans="1:51" ht="15">
      <c r="A80" s="297" t="s">
        <v>151</v>
      </c>
      <c r="B80" s="228"/>
      <c r="C80" s="3918"/>
      <c r="D80" s="3919"/>
      <c r="E80" s="298">
        <f>+SUM('Planillas diarias trapasos'!B154:B163)</f>
        <v>0</v>
      </c>
      <c r="F80" s="298">
        <f>+C80-E80</f>
        <v>0</v>
      </c>
      <c r="G80" s="679"/>
      <c r="H80" s="1289"/>
      <c r="I80" s="245"/>
      <c r="J80" s="246"/>
      <c r="K80" s="245"/>
      <c r="L80" s="245"/>
      <c r="M80" s="245"/>
      <c r="N80" s="245"/>
      <c r="O80" s="245"/>
    </row>
    <row r="81" spans="1:15" ht="15">
      <c r="A81" s="299" t="s">
        <v>147</v>
      </c>
      <c r="B81" s="300"/>
      <c r="C81" s="3918"/>
      <c r="D81" s="3919"/>
      <c r="E81" s="298">
        <f>+SUM('Planillas diarias trapasos'!B170:B179)</f>
        <v>0</v>
      </c>
      <c r="F81" s="298">
        <f>+C81-E81</f>
        <v>0</v>
      </c>
      <c r="G81" s="679"/>
      <c r="H81" s="1296"/>
      <c r="I81" s="245"/>
      <c r="J81" s="246"/>
      <c r="K81" s="245"/>
      <c r="L81" s="245"/>
      <c r="M81" s="245"/>
      <c r="N81" s="245"/>
      <c r="O81" s="245"/>
    </row>
    <row r="82" spans="1:15" ht="16.2" thickBot="1">
      <c r="A82" s="301" t="s">
        <v>148</v>
      </c>
      <c r="B82" s="302"/>
      <c r="C82" s="3925"/>
      <c r="D82" s="3926"/>
      <c r="E82" s="272">
        <f>+SUM('Planillas diarias trapasos'!B186:B195)</f>
        <v>0</v>
      </c>
      <c r="F82" s="1326">
        <f>+C82-E82</f>
        <v>0</v>
      </c>
      <c r="G82" s="681"/>
      <c r="H82" s="1297"/>
      <c r="I82" s="1065"/>
      <c r="J82" s="874"/>
      <c r="K82" s="245"/>
      <c r="L82" s="245"/>
      <c r="M82" s="245"/>
      <c r="N82" s="245"/>
      <c r="O82" s="245"/>
    </row>
    <row r="83" spans="1:15" ht="15.6" thickBot="1">
      <c r="A83" s="303"/>
      <c r="B83" s="304" t="s">
        <v>50</v>
      </c>
      <c r="C83" s="3891">
        <f>SUM(C79:C82)</f>
        <v>0</v>
      </c>
      <c r="D83" s="3892"/>
      <c r="E83" s="950">
        <f>SUM(E79:E82)</f>
        <v>0</v>
      </c>
      <c r="F83" s="305">
        <f>SUM(F79:F82)</f>
        <v>0</v>
      </c>
      <c r="G83" s="680"/>
      <c r="H83" s="1289"/>
      <c r="I83" s="1064"/>
      <c r="J83" s="246"/>
      <c r="K83" s="245"/>
      <c r="L83" s="245"/>
      <c r="M83" s="245"/>
      <c r="N83" s="245"/>
      <c r="O83" s="245"/>
    </row>
    <row r="84" spans="1:15" s="1204" customFormat="1" ht="15.6" thickBot="1">
      <c r="A84" s="303"/>
      <c r="B84" s="138"/>
      <c r="C84" s="254"/>
      <c r="D84" s="254"/>
      <c r="E84" s="1206"/>
      <c r="F84" s="254"/>
      <c r="G84" s="255"/>
      <c r="H84" s="1289"/>
      <c r="I84" s="1064"/>
      <c r="J84" s="246"/>
      <c r="K84" s="245"/>
      <c r="L84" s="245"/>
      <c r="M84" s="245"/>
      <c r="N84" s="245"/>
      <c r="O84" s="245"/>
    </row>
    <row r="85" spans="1:15" ht="15.6" thickBot="1">
      <c r="A85" s="372" t="s">
        <v>386</v>
      </c>
      <c r="B85" s="775"/>
      <c r="C85" s="138"/>
      <c r="D85" s="138"/>
      <c r="E85" s="138"/>
      <c r="F85" s="138"/>
      <c r="G85" s="307"/>
      <c r="H85" s="1289"/>
      <c r="J85" s="246"/>
      <c r="K85" s="245"/>
      <c r="L85" s="245"/>
      <c r="M85" s="245"/>
      <c r="N85" s="245"/>
      <c r="O85" s="245"/>
    </row>
    <row r="86" spans="1:15" ht="15.6" thickBot="1">
      <c r="A86" s="3913" t="s">
        <v>144</v>
      </c>
      <c r="B86" s="3914"/>
      <c r="C86" s="3914"/>
      <c r="D86" s="3914"/>
      <c r="E86" s="3914"/>
      <c r="F86" s="3914"/>
      <c r="G86" s="3915"/>
      <c r="H86" s="1294"/>
      <c r="I86" s="245"/>
      <c r="J86" s="246"/>
      <c r="K86" s="245"/>
      <c r="L86" s="245"/>
      <c r="M86" s="245"/>
      <c r="N86" s="245"/>
      <c r="O86" s="245"/>
    </row>
    <row r="87" spans="1:15" ht="15.6" thickBot="1">
      <c r="A87" s="612" t="s">
        <v>114</v>
      </c>
      <c r="B87" s="761" t="s">
        <v>8</v>
      </c>
      <c r="C87" s="308" t="s">
        <v>146</v>
      </c>
      <c r="D87" s="309" t="s">
        <v>171</v>
      </c>
      <c r="E87" s="309" t="s">
        <v>65</v>
      </c>
      <c r="F87" s="309" t="s">
        <v>108</v>
      </c>
      <c r="G87" s="309" t="s">
        <v>132</v>
      </c>
      <c r="H87" s="1288"/>
      <c r="I87" s="245"/>
      <c r="J87" s="246"/>
      <c r="K87" s="245"/>
      <c r="L87" s="245"/>
      <c r="M87" s="245"/>
      <c r="N87" s="245"/>
      <c r="O87" s="245"/>
    </row>
    <row r="88" spans="1:15">
      <c r="A88" s="638" t="s">
        <v>275</v>
      </c>
      <c r="B88" s="639"/>
      <c r="C88" s="3916"/>
      <c r="D88" s="3917"/>
      <c r="E88" s="759">
        <f>+SUM('Planillas diarias trapasos'!B214)</f>
        <v>0</v>
      </c>
      <c r="F88" s="1327">
        <f>C88-E88</f>
        <v>0</v>
      </c>
      <c r="G88" s="629"/>
      <c r="H88" s="1298"/>
      <c r="I88" s="132"/>
      <c r="J88" s="875"/>
      <c r="K88" s="117"/>
    </row>
    <row r="89" spans="1:15">
      <c r="A89" s="630"/>
      <c r="B89" s="631"/>
      <c r="C89" s="3907" t="s">
        <v>272</v>
      </c>
      <c r="D89" s="3908"/>
      <c r="E89" s="632"/>
      <c r="F89" s="366"/>
      <c r="G89" s="633"/>
      <c r="H89" s="1289"/>
      <c r="I89" s="117"/>
    </row>
    <row r="90" spans="1:15" ht="13.8" thickBot="1">
      <c r="A90" s="634"/>
      <c r="B90" s="635"/>
      <c r="C90" s="3920"/>
      <c r="D90" s="3921"/>
      <c r="E90" s="636">
        <v>0</v>
      </c>
      <c r="F90" s="1328">
        <f>+C90+F88</f>
        <v>0</v>
      </c>
      <c r="G90" s="637"/>
      <c r="H90" s="1299"/>
      <c r="I90" s="117"/>
    </row>
    <row r="91" spans="1:15" ht="13.8" thickBot="1">
      <c r="A91" s="755" t="s">
        <v>114</v>
      </c>
      <c r="B91" s="760" t="s">
        <v>158</v>
      </c>
      <c r="C91" s="613"/>
      <c r="D91" s="309" t="s">
        <v>171</v>
      </c>
      <c r="E91" s="310"/>
      <c r="F91" s="1329"/>
      <c r="G91" s="1307"/>
      <c r="H91" s="1289"/>
      <c r="I91" s="1106"/>
    </row>
    <row r="92" spans="1:15" ht="13.8" thickBot="1">
      <c r="A92" s="758" t="s">
        <v>275</v>
      </c>
      <c r="B92" s="373"/>
      <c r="C92" s="3901"/>
      <c r="D92" s="3902"/>
      <c r="E92" s="310">
        <v>0</v>
      </c>
      <c r="F92" s="1330">
        <f>C92-E92</f>
        <v>0</v>
      </c>
      <c r="G92" s="310"/>
      <c r="H92" s="1288"/>
    </row>
    <row r="93" spans="1:15" ht="13.8" thickBot="1">
      <c r="A93" s="398"/>
      <c r="B93" s="374"/>
      <c r="C93" s="3903" t="s">
        <v>272</v>
      </c>
      <c r="D93" s="3904"/>
      <c r="E93" s="310"/>
      <c r="F93" s="1330"/>
      <c r="G93" s="310"/>
      <c r="H93" s="1289"/>
    </row>
    <row r="94" spans="1:15" ht="13.8" thickBot="1">
      <c r="A94" s="312"/>
      <c r="B94" s="757"/>
      <c r="C94" s="3901"/>
      <c r="D94" s="3902"/>
      <c r="E94" s="754">
        <v>0</v>
      </c>
      <c r="F94" s="756">
        <f>C94-E94</f>
        <v>0</v>
      </c>
      <c r="G94" s="754"/>
      <c r="H94" s="1289"/>
    </row>
    <row r="95" spans="1:15" ht="13.8" thickBot="1">
      <c r="A95" s="312"/>
      <c r="B95" s="311" t="s">
        <v>50</v>
      </c>
      <c r="C95" s="3901"/>
      <c r="D95" s="3902"/>
      <c r="E95" s="310">
        <f>SUM(E88:E92)</f>
        <v>0</v>
      </c>
      <c r="F95" s="310"/>
      <c r="G95" s="310"/>
      <c r="H95" s="1289"/>
    </row>
    <row r="96" spans="1:15" ht="13.8" thickBot="1">
      <c r="A96" s="312"/>
      <c r="B96" s="312"/>
      <c r="C96" s="313"/>
      <c r="D96" s="313"/>
      <c r="E96" s="313"/>
      <c r="F96" s="313"/>
      <c r="G96" s="313"/>
      <c r="H96" s="1289"/>
    </row>
    <row r="97" spans="1:10" ht="15.6" thickBot="1">
      <c r="A97" s="3888" t="s">
        <v>388</v>
      </c>
      <c r="B97" s="3889"/>
      <c r="C97" s="3889"/>
      <c r="D97" s="3889"/>
      <c r="E97" s="3889"/>
      <c r="F97" s="3889"/>
      <c r="G97" s="3890"/>
      <c r="H97" s="1294"/>
    </row>
    <row r="98" spans="1:10" ht="13.8" thickBot="1">
      <c r="A98" s="290"/>
      <c r="B98" s="291"/>
      <c r="C98" s="290" t="s">
        <v>146</v>
      </c>
      <c r="D98" s="292" t="s">
        <v>145</v>
      </c>
      <c r="E98" s="293" t="s">
        <v>65</v>
      </c>
      <c r="F98" s="293" t="s">
        <v>108</v>
      </c>
      <c r="G98" s="293" t="s">
        <v>132</v>
      </c>
      <c r="H98" s="1289"/>
    </row>
    <row r="99" spans="1:10" ht="13.8" thickBot="1">
      <c r="A99" s="294" t="s">
        <v>326</v>
      </c>
      <c r="B99" s="295"/>
      <c r="C99" s="3893"/>
      <c r="D99" s="3894"/>
      <c r="E99" s="267">
        <f>+SUM('Planillas diarias trapasos'!B262)</f>
        <v>0</v>
      </c>
      <c r="F99" s="267">
        <f>+C99-E99</f>
        <v>0</v>
      </c>
      <c r="G99" s="296"/>
      <c r="H99" s="1295"/>
      <c r="I99" s="858"/>
      <c r="J99" s="876"/>
    </row>
    <row r="100" spans="1:10" ht="13.8" thickBot="1">
      <c r="A100" s="303"/>
      <c r="B100" s="304" t="s">
        <v>50</v>
      </c>
      <c r="C100" s="3891">
        <f>SUM(C99:C99)</f>
        <v>0</v>
      </c>
      <c r="D100" s="3892"/>
      <c r="E100" s="950">
        <f>SUM(E99)</f>
        <v>0</v>
      </c>
      <c r="F100" s="305">
        <f>SUM(F99:F99)</f>
        <v>0</v>
      </c>
      <c r="G100" s="306"/>
      <c r="H100" s="1289"/>
    </row>
    <row r="101" spans="1:10" s="1204" customFormat="1" ht="13.8" thickBot="1">
      <c r="A101" s="138"/>
      <c r="B101" s="138"/>
      <c r="C101" s="254"/>
      <c r="D101" s="254"/>
      <c r="E101" s="1206"/>
      <c r="F101" s="254"/>
      <c r="G101" s="255"/>
      <c r="H101" s="1289"/>
      <c r="J101" s="54"/>
    </row>
    <row r="102" spans="1:10" s="1204" customFormat="1" ht="13.8" thickBot="1">
      <c r="A102" s="3888" t="s">
        <v>536</v>
      </c>
      <c r="B102" s="3889"/>
      <c r="C102" s="3889"/>
      <c r="D102" s="3889"/>
      <c r="E102" s="3889"/>
      <c r="F102" s="3889"/>
      <c r="G102" s="3890"/>
      <c r="H102" s="1289"/>
      <c r="J102" s="54"/>
    </row>
    <row r="103" spans="1:10" s="1204" customFormat="1" ht="13.8" thickBot="1">
      <c r="A103" s="290"/>
      <c r="B103" s="1203"/>
      <c r="C103" s="290" t="s">
        <v>146</v>
      </c>
      <c r="D103" s="292" t="s">
        <v>145</v>
      </c>
      <c r="E103" s="293" t="s">
        <v>65</v>
      </c>
      <c r="F103" s="293" t="s">
        <v>108</v>
      </c>
      <c r="G103" s="293" t="s">
        <v>132</v>
      </c>
      <c r="H103" s="1289"/>
      <c r="J103" s="54"/>
    </row>
    <row r="104" spans="1:10" s="1204" customFormat="1" ht="13.8" thickBot="1">
      <c r="A104" s="1207" t="s">
        <v>538</v>
      </c>
      <c r="B104" s="295"/>
      <c r="C104" s="3893"/>
      <c r="D104" s="3894"/>
      <c r="E104" s="267">
        <f>+SUM('Planillas diarias trapasos'!B267)</f>
        <v>0</v>
      </c>
      <c r="F104" s="267">
        <f>+C104-E104</f>
        <v>0</v>
      </c>
      <c r="G104" s="296"/>
      <c r="H104" s="1289"/>
      <c r="J104" s="54"/>
    </row>
    <row r="105" spans="1:10" s="1204" customFormat="1" ht="13.8" thickBot="1">
      <c r="A105" s="303"/>
      <c r="B105" s="304" t="s">
        <v>50</v>
      </c>
      <c r="C105" s="3891">
        <f>SUM(C104:C104)</f>
        <v>0</v>
      </c>
      <c r="D105" s="3892"/>
      <c r="E105" s="950">
        <f>SUM(E104)</f>
        <v>0</v>
      </c>
      <c r="F105" s="305">
        <f>SUM(F104:F104)</f>
        <v>0</v>
      </c>
      <c r="G105" s="306"/>
      <c r="H105" s="1289"/>
      <c r="J105" s="54"/>
    </row>
    <row r="106" spans="1:10" s="1204" customFormat="1" ht="13.8" thickBot="1">
      <c r="A106" s="138"/>
      <c r="B106" s="138"/>
      <c r="C106" s="254"/>
      <c r="D106" s="254"/>
      <c r="E106" s="1206"/>
      <c r="F106" s="254"/>
      <c r="G106" s="255"/>
      <c r="H106" s="1289"/>
      <c r="J106" s="54"/>
    </row>
    <row r="107" spans="1:10" s="1204" customFormat="1" ht="13.8" thickBot="1">
      <c r="A107" s="3888" t="s">
        <v>536</v>
      </c>
      <c r="B107" s="3889"/>
      <c r="C107" s="3889"/>
      <c r="D107" s="3889"/>
      <c r="E107" s="3889"/>
      <c r="F107" s="3889"/>
      <c r="G107" s="3890"/>
      <c r="H107" s="1289"/>
      <c r="J107" s="54"/>
    </row>
    <row r="108" spans="1:10" s="1204" customFormat="1" ht="13.8" thickBot="1">
      <c r="A108" s="290" t="s">
        <v>537</v>
      </c>
      <c r="B108" s="1203"/>
      <c r="C108" s="290" t="s">
        <v>146</v>
      </c>
      <c r="D108" s="292" t="s">
        <v>145</v>
      </c>
      <c r="E108" s="293" t="s">
        <v>65</v>
      </c>
      <c r="F108" s="293" t="s">
        <v>108</v>
      </c>
      <c r="G108" s="293" t="s">
        <v>132</v>
      </c>
      <c r="H108" s="1289"/>
      <c r="J108" s="54"/>
    </row>
    <row r="109" spans="1:10" s="1204" customFormat="1" ht="13.8" thickBot="1">
      <c r="A109" s="294" t="s">
        <v>535</v>
      </c>
      <c r="B109" s="295"/>
      <c r="C109" s="3893"/>
      <c r="D109" s="3894"/>
      <c r="E109" s="267">
        <f>+SUM('Planillas diarias trapasos'!B272)</f>
        <v>0</v>
      </c>
      <c r="F109" s="267">
        <f>+C109-E109</f>
        <v>0</v>
      </c>
      <c r="G109" s="296"/>
      <c r="H109" s="1289"/>
      <c r="J109" s="54"/>
    </row>
    <row r="110" spans="1:10" s="1204" customFormat="1" ht="13.8" thickBot="1">
      <c r="A110" s="303"/>
      <c r="B110" s="304" t="s">
        <v>50</v>
      </c>
      <c r="C110" s="3891">
        <f>SUM(C109:C109)</f>
        <v>0</v>
      </c>
      <c r="D110" s="3892"/>
      <c r="E110" s="950">
        <f>SUM(E109)</f>
        <v>0</v>
      </c>
      <c r="F110" s="305">
        <f>SUM(F109:F109)</f>
        <v>0</v>
      </c>
      <c r="G110" s="306"/>
      <c r="H110" s="1289"/>
      <c r="J110" s="54"/>
    </row>
    <row r="111" spans="1:10" s="1204" customFormat="1">
      <c r="A111" s="138"/>
      <c r="B111" s="138"/>
      <c r="C111" s="254"/>
      <c r="D111" s="254"/>
      <c r="E111" s="1206"/>
      <c r="F111" s="254"/>
      <c r="G111" s="255"/>
      <c r="H111" s="1289"/>
      <c r="J111" s="54"/>
    </row>
    <row r="112" spans="1:10" ht="13.8" thickBot="1">
      <c r="A112" s="138"/>
      <c r="B112" s="138"/>
      <c r="C112" s="254"/>
      <c r="D112" s="254"/>
      <c r="E112" s="254"/>
      <c r="F112" s="254"/>
      <c r="G112" s="255"/>
      <c r="H112" s="1289"/>
    </row>
    <row r="113" spans="1:10" ht="16.2" thickBot="1">
      <c r="A113" s="3888" t="s">
        <v>387</v>
      </c>
      <c r="B113" s="3889"/>
      <c r="C113" s="3889"/>
      <c r="D113" s="3889"/>
      <c r="E113" s="3889"/>
      <c r="F113" s="3889"/>
      <c r="G113" s="3890"/>
      <c r="H113" s="1300"/>
      <c r="I113" s="1074"/>
    </row>
    <row r="114" spans="1:10" ht="13.8" thickBot="1">
      <c r="A114" s="290"/>
      <c r="B114" s="291"/>
      <c r="C114" s="290" t="s">
        <v>146</v>
      </c>
      <c r="D114" s="292" t="s">
        <v>145</v>
      </c>
      <c r="E114" s="293" t="s">
        <v>65</v>
      </c>
      <c r="F114" s="293" t="s">
        <v>108</v>
      </c>
      <c r="G114" s="293" t="s">
        <v>132</v>
      </c>
      <c r="H114" s="1288"/>
    </row>
    <row r="115" spans="1:10" ht="16.2" thickBot="1">
      <c r="A115" s="294" t="s">
        <v>342</v>
      </c>
      <c r="B115" s="295"/>
      <c r="C115" s="3893"/>
      <c r="D115" s="3894"/>
      <c r="E115" s="267">
        <f>+SUM('Planillas diarias trapasos'!B246)</f>
        <v>0</v>
      </c>
      <c r="F115" s="267">
        <f>+C115-E115</f>
        <v>0</v>
      </c>
      <c r="G115" s="905"/>
      <c r="H115" s="1301"/>
    </row>
    <row r="116" spans="1:10" ht="15.6" thickBot="1">
      <c r="A116" s="303"/>
      <c r="B116" s="304" t="s">
        <v>50</v>
      </c>
      <c r="C116" s="3891">
        <f>SUM(C115:C115)</f>
        <v>0</v>
      </c>
      <c r="D116" s="3892"/>
      <c r="E116" s="305">
        <v>0</v>
      </c>
      <c r="F116" s="305">
        <f>SUM(F115:F115)</f>
        <v>0</v>
      </c>
      <c r="G116" s="306"/>
      <c r="H116" s="1293"/>
    </row>
    <row r="117" spans="1:10" ht="15.6" thickBot="1">
      <c r="A117" s="138"/>
      <c r="B117" s="138"/>
      <c r="C117" s="254"/>
      <c r="D117" s="254"/>
      <c r="E117" s="254"/>
      <c r="F117" s="254"/>
      <c r="G117" s="255"/>
      <c r="H117" s="1293"/>
    </row>
    <row r="118" spans="1:10" ht="15.6" thickBot="1">
      <c r="A118" s="3888" t="s">
        <v>435</v>
      </c>
      <c r="B118" s="3889"/>
      <c r="C118" s="3889"/>
      <c r="D118" s="3889"/>
      <c r="E118" s="3889"/>
      <c r="F118" s="3889"/>
      <c r="G118" s="3890"/>
      <c r="H118" s="1293"/>
    </row>
    <row r="119" spans="1:10" ht="13.8" thickBot="1">
      <c r="A119" s="290"/>
      <c r="B119" s="291"/>
      <c r="C119" s="290" t="s">
        <v>146</v>
      </c>
      <c r="D119" s="292" t="s">
        <v>145</v>
      </c>
      <c r="E119" s="293" t="s">
        <v>65</v>
      </c>
      <c r="F119" s="293" t="s">
        <v>108</v>
      </c>
      <c r="G119" s="293" t="s">
        <v>132</v>
      </c>
      <c r="H119" s="1097"/>
    </row>
    <row r="120" spans="1:10" ht="13.8" thickBot="1">
      <c r="A120" s="294" t="s">
        <v>342</v>
      </c>
      <c r="B120" s="295"/>
      <c r="C120" s="3893"/>
      <c r="D120" s="3894"/>
      <c r="E120" s="267">
        <f>+SUM('Planillas diarias trapasos'!B278)</f>
        <v>0</v>
      </c>
      <c r="F120" s="267">
        <f>+C120-E120</f>
        <v>0</v>
      </c>
      <c r="G120" s="296"/>
      <c r="H120" s="1302"/>
    </row>
    <row r="121" spans="1:10" ht="13.8" thickBot="1">
      <c r="A121" s="303"/>
      <c r="B121" s="304" t="s">
        <v>50</v>
      </c>
      <c r="C121" s="3891">
        <f>SUM(C120:C120)</f>
        <v>0</v>
      </c>
      <c r="D121" s="3892"/>
      <c r="E121" s="305">
        <v>0</v>
      </c>
      <c r="F121" s="305">
        <f>SUM(F120:F120)</f>
        <v>0</v>
      </c>
      <c r="G121" s="306"/>
      <c r="H121" s="1303"/>
    </row>
    <row r="122" spans="1:10" s="1067" customFormat="1">
      <c r="A122" s="138"/>
      <c r="B122" s="138"/>
      <c r="C122" s="254"/>
      <c r="D122" s="254"/>
      <c r="E122" s="254"/>
      <c r="F122" s="254"/>
      <c r="G122" s="255"/>
      <c r="H122" s="1303"/>
      <c r="J122" s="54"/>
    </row>
    <row r="123" spans="1:10" s="1067" customFormat="1" ht="13.8" thickBot="1">
      <c r="A123" s="138"/>
      <c r="B123" s="138"/>
      <c r="C123" s="254"/>
      <c r="D123" s="254"/>
      <c r="E123" s="254"/>
      <c r="F123" s="254"/>
      <c r="G123" s="255"/>
      <c r="H123" s="1303"/>
      <c r="J123" s="54"/>
    </row>
    <row r="124" spans="1:10" s="1067" customFormat="1" ht="13.8" thickBot="1">
      <c r="A124" s="3888" t="s">
        <v>498</v>
      </c>
      <c r="B124" s="3889"/>
      <c r="C124" s="3889"/>
      <c r="D124" s="3889"/>
      <c r="E124" s="3889"/>
      <c r="F124" s="3889"/>
      <c r="G124" s="3890"/>
      <c r="H124" s="1097"/>
      <c r="J124" s="54"/>
    </row>
    <row r="125" spans="1:10" s="1067" customFormat="1" ht="13.8" thickBot="1">
      <c r="A125" s="290"/>
      <c r="B125" s="1066"/>
      <c r="C125" s="290" t="s">
        <v>146</v>
      </c>
      <c r="D125" s="292" t="s">
        <v>145</v>
      </c>
      <c r="E125" s="293" t="s">
        <v>65</v>
      </c>
      <c r="F125" s="293" t="s">
        <v>108</v>
      </c>
      <c r="G125" s="293" t="s">
        <v>132</v>
      </c>
      <c r="H125" s="1303"/>
      <c r="J125" s="54"/>
    </row>
    <row r="126" spans="1:10" s="1067" customFormat="1" ht="13.8" thickBot="1">
      <c r="A126" s="294" t="s">
        <v>342</v>
      </c>
      <c r="B126" s="295"/>
      <c r="C126" s="3893"/>
      <c r="D126" s="3894"/>
      <c r="E126" s="267"/>
      <c r="F126" s="267">
        <f>+C126-E126</f>
        <v>0</v>
      </c>
      <c r="G126" s="296"/>
      <c r="H126" s="1303"/>
      <c r="J126" s="54"/>
    </row>
    <row r="127" spans="1:10" s="1067" customFormat="1" ht="13.8" thickBot="1">
      <c r="A127" s="303"/>
      <c r="B127" s="304" t="s">
        <v>50</v>
      </c>
      <c r="C127" s="3891">
        <f>SUM(C126:C126)</f>
        <v>0</v>
      </c>
      <c r="D127" s="3892"/>
      <c r="E127" s="305">
        <v>0</v>
      </c>
      <c r="F127" s="305">
        <f>SUM(F126:F126)</f>
        <v>0</v>
      </c>
      <c r="G127" s="306"/>
      <c r="H127" s="1303"/>
      <c r="J127" s="54"/>
    </row>
    <row r="128" spans="1:10" s="1067" customFormat="1">
      <c r="A128" s="138"/>
      <c r="B128" s="138"/>
      <c r="C128" s="254"/>
      <c r="D128" s="254"/>
      <c r="E128" s="254"/>
      <c r="F128" s="254"/>
      <c r="G128" s="255"/>
      <c r="H128" s="1303"/>
      <c r="J128" s="54"/>
    </row>
    <row r="129" spans="1:10" ht="13.8" thickBot="1">
      <c r="A129" s="138"/>
      <c r="B129" s="138"/>
      <c r="C129" s="254"/>
      <c r="D129" s="254"/>
      <c r="E129" s="254"/>
      <c r="F129" s="254"/>
      <c r="G129" s="255"/>
      <c r="H129" s="1303"/>
    </row>
    <row r="130" spans="1:10" ht="13.8" thickBot="1">
      <c r="A130" s="3927" t="s">
        <v>479</v>
      </c>
      <c r="B130" s="3928"/>
      <c r="C130" s="3928"/>
      <c r="D130" s="3928"/>
      <c r="E130" s="3928"/>
      <c r="F130" s="3928"/>
      <c r="G130" s="3929"/>
      <c r="H130" s="1097"/>
    </row>
    <row r="131" spans="1:10" s="1113" customFormat="1" ht="13.8" thickBot="1">
      <c r="A131" s="1110"/>
      <c r="B131" s="1111"/>
      <c r="C131" s="1111" t="s">
        <v>396</v>
      </c>
      <c r="D131" s="1111"/>
      <c r="E131" s="1111"/>
      <c r="F131" s="1111"/>
      <c r="G131" s="1112"/>
      <c r="H131" s="1097"/>
      <c r="J131" s="54"/>
    </row>
    <row r="132" spans="1:10" ht="13.8" thickBot="1">
      <c r="A132" s="832" t="s">
        <v>133</v>
      </c>
      <c r="B132" s="1059" t="s">
        <v>260</v>
      </c>
      <c r="C132" s="1059" t="s">
        <v>480</v>
      </c>
      <c r="D132" s="1059" t="s">
        <v>481</v>
      </c>
      <c r="E132" s="1059" t="s">
        <v>108</v>
      </c>
      <c r="F132" s="1059" t="s">
        <v>269</v>
      </c>
      <c r="G132" s="1060"/>
      <c r="H132" s="1302"/>
    </row>
    <row r="133" spans="1:10">
      <c r="A133" s="266">
        <v>923204</v>
      </c>
      <c r="B133" s="283" t="s">
        <v>482</v>
      </c>
      <c r="C133" s="283"/>
      <c r="D133" s="283"/>
      <c r="E133" s="283">
        <f>+C133-D133</f>
        <v>0</v>
      </c>
      <c r="F133" s="283"/>
      <c r="G133" s="1304"/>
      <c r="H133" s="1303"/>
    </row>
    <row r="134" spans="1:10">
      <c r="A134" s="1061">
        <v>955658</v>
      </c>
      <c r="B134" s="1076" t="s">
        <v>483</v>
      </c>
      <c r="C134" s="679"/>
      <c r="D134" s="679"/>
      <c r="E134" s="679">
        <f>+C134-D134</f>
        <v>0</v>
      </c>
      <c r="F134" s="679"/>
      <c r="G134" s="1305"/>
      <c r="H134" s="1303"/>
    </row>
    <row r="135" spans="1:10">
      <c r="A135" s="1061">
        <v>913399</v>
      </c>
      <c r="B135" s="679" t="s">
        <v>484</v>
      </c>
      <c r="C135" s="679"/>
      <c r="D135" s="679"/>
      <c r="E135" s="679">
        <f>+C135-D135</f>
        <v>0</v>
      </c>
      <c r="F135" s="679"/>
      <c r="G135" s="1304"/>
      <c r="H135" s="1303"/>
    </row>
    <row r="136" spans="1:10" ht="13.8" thickBot="1">
      <c r="A136" s="1062">
        <v>920731</v>
      </c>
      <c r="B136" s="1063" t="s">
        <v>485</v>
      </c>
      <c r="C136" s="1063"/>
      <c r="D136" s="1063"/>
      <c r="E136" s="1063">
        <f>+C136-D136</f>
        <v>0</v>
      </c>
      <c r="F136" s="1063"/>
      <c r="G136" s="1180"/>
      <c r="H136" s="1303"/>
    </row>
    <row r="137" spans="1:10" ht="13.8" thickBot="1">
      <c r="A137" s="832"/>
      <c r="B137" s="1059" t="s">
        <v>72</v>
      </c>
      <c r="C137" s="258">
        <f>SUM(C133:C136)</f>
        <v>0</v>
      </c>
      <c r="D137" s="1059">
        <f>SUM(D133:D136)</f>
        <v>0</v>
      </c>
      <c r="E137" s="258">
        <f>SUM(E133:E136)</f>
        <v>0</v>
      </c>
      <c r="F137" s="1059"/>
      <c r="G137" s="1060"/>
      <c r="H137" s="1302"/>
    </row>
    <row r="138" spans="1:10" ht="13.8" thickBot="1">
      <c r="A138" s="286"/>
      <c r="B138" s="286"/>
      <c r="C138" s="286"/>
      <c r="D138" s="286"/>
      <c r="E138" s="286"/>
      <c r="F138" s="286"/>
      <c r="G138" s="255"/>
      <c r="H138" s="1303"/>
    </row>
    <row r="139" spans="1:10" ht="13.8" thickBot="1">
      <c r="A139" s="3927" t="s">
        <v>486</v>
      </c>
      <c r="B139" s="3928"/>
      <c r="C139" s="3928"/>
      <c r="D139" s="3928"/>
      <c r="E139" s="3928"/>
      <c r="F139" s="3928"/>
      <c r="G139" s="3929"/>
      <c r="H139" s="1097"/>
    </row>
    <row r="140" spans="1:10" ht="13.8" thickBot="1">
      <c r="C140" s="1134" t="s">
        <v>396</v>
      </c>
      <c r="H140" s="1303"/>
    </row>
    <row r="141" spans="1:10">
      <c r="A141" s="679" t="s">
        <v>133</v>
      </c>
      <c r="B141" s="679" t="s">
        <v>260</v>
      </c>
      <c r="C141" s="1133" t="s">
        <v>480</v>
      </c>
      <c r="D141" s="679" t="s">
        <v>481</v>
      </c>
      <c r="E141" s="679" t="s">
        <v>108</v>
      </c>
      <c r="F141" s="679" t="s">
        <v>269</v>
      </c>
      <c r="G141" s="679"/>
      <c r="H141" s="1303"/>
    </row>
    <row r="142" spans="1:10">
      <c r="A142" s="679">
        <v>913399</v>
      </c>
      <c r="B142" s="679" t="s">
        <v>484</v>
      </c>
      <c r="C142" s="679"/>
      <c r="D142" s="679">
        <v>0</v>
      </c>
      <c r="E142" s="679">
        <f>+C142-D142</f>
        <v>0</v>
      </c>
      <c r="F142" s="679"/>
      <c r="G142" s="679"/>
      <c r="H142" s="1106"/>
    </row>
    <row r="143" spans="1:10">
      <c r="A143" s="679"/>
      <c r="B143" s="679" t="s">
        <v>72</v>
      </c>
      <c r="C143" s="280">
        <f>SUM(C142)</f>
        <v>0</v>
      </c>
      <c r="D143" s="280">
        <v>0</v>
      </c>
      <c r="E143" s="280">
        <f>SUM(E142)</f>
        <v>0</v>
      </c>
      <c r="F143" s="679"/>
      <c r="G143" s="679"/>
      <c r="H143" s="1303"/>
    </row>
    <row r="144" spans="1:10" s="1026" customFormat="1" ht="13.8" thickBot="1">
      <c r="A144" s="255"/>
      <c r="B144" s="255"/>
      <c r="C144" s="255"/>
      <c r="D144" s="255"/>
      <c r="E144" s="255"/>
      <c r="F144" s="255"/>
      <c r="G144" s="255"/>
      <c r="H144" s="1303"/>
      <c r="J144" s="54"/>
    </row>
    <row r="145" spans="1:11" s="1026" customFormat="1" ht="13.8" thickBot="1">
      <c r="A145" s="3888" t="s">
        <v>493</v>
      </c>
      <c r="B145" s="3889"/>
      <c r="C145" s="3889"/>
      <c r="D145" s="3889"/>
      <c r="E145" s="3889"/>
      <c r="F145" s="3889"/>
      <c r="G145" s="3890"/>
      <c r="H145" s="1303"/>
      <c r="J145" s="54"/>
    </row>
    <row r="146" spans="1:11" s="1026" customFormat="1" ht="13.8" thickBot="1">
      <c r="A146" s="290" t="s">
        <v>494</v>
      </c>
      <c r="B146" s="1025"/>
      <c r="C146" s="852" t="s">
        <v>146</v>
      </c>
      <c r="D146" s="292" t="s">
        <v>145</v>
      </c>
      <c r="E146" s="293" t="s">
        <v>65</v>
      </c>
      <c r="F146" s="293" t="s">
        <v>108</v>
      </c>
      <c r="G146" s="293" t="s">
        <v>132</v>
      </c>
      <c r="H146" s="1097"/>
      <c r="J146" s="54"/>
    </row>
    <row r="147" spans="1:11" s="1026" customFormat="1" ht="15.6" thickBot="1">
      <c r="A147" s="288" t="s">
        <v>492</v>
      </c>
      <c r="B147" s="288" t="s">
        <v>492</v>
      </c>
      <c r="C147" s="3893"/>
      <c r="D147" s="3894"/>
      <c r="E147" s="1105"/>
      <c r="F147" s="267">
        <f>+C147-E147</f>
        <v>0</v>
      </c>
      <c r="G147" s="296"/>
      <c r="H147" s="1293"/>
      <c r="J147" s="54"/>
    </row>
    <row r="148" spans="1:11" s="1026" customFormat="1" ht="15.6" thickBot="1">
      <c r="A148" s="303"/>
      <c r="B148" s="304" t="s">
        <v>50</v>
      </c>
      <c r="C148" s="3891">
        <f>SUM(C147:C147)</f>
        <v>0</v>
      </c>
      <c r="D148" s="3892"/>
      <c r="E148" s="305">
        <v>0</v>
      </c>
      <c r="F148" s="305">
        <f>SUM(F147:F147)</f>
        <v>0</v>
      </c>
      <c r="G148" s="1306"/>
      <c r="H148" s="1293"/>
      <c r="J148" s="54"/>
    </row>
    <row r="149" spans="1:11" s="1026" customFormat="1" ht="15.6" thickBot="1">
      <c r="A149" s="255"/>
      <c r="B149" s="255"/>
      <c r="C149" s="255"/>
      <c r="D149" s="255"/>
      <c r="E149" s="255"/>
      <c r="F149" s="255"/>
      <c r="G149" s="255"/>
      <c r="H149" s="1293"/>
      <c r="J149" s="54"/>
    </row>
    <row r="150" spans="1:11" s="1067" customFormat="1" ht="15.6" thickBot="1">
      <c r="A150" s="3927" t="s">
        <v>497</v>
      </c>
      <c r="B150" s="3928"/>
      <c r="C150" s="3928"/>
      <c r="D150" s="3928"/>
      <c r="E150" s="3928"/>
      <c r="F150" s="3928"/>
      <c r="G150" s="3929"/>
      <c r="H150" s="1293"/>
      <c r="J150" s="54"/>
    </row>
    <row r="151" spans="1:11" s="1067" customFormat="1" ht="15">
      <c r="C151" s="1109" t="s">
        <v>396</v>
      </c>
      <c r="H151" s="246"/>
      <c r="J151" s="54"/>
    </row>
    <row r="152" spans="1:11" s="1067" customFormat="1" ht="13.8" thickBot="1">
      <c r="A152" s="280" t="s">
        <v>133</v>
      </c>
      <c r="B152" s="280" t="s">
        <v>260</v>
      </c>
      <c r="C152" s="280" t="s">
        <v>480</v>
      </c>
      <c r="D152" s="280" t="s">
        <v>481</v>
      </c>
      <c r="E152" s="280" t="s">
        <v>108</v>
      </c>
      <c r="F152" s="280" t="s">
        <v>269</v>
      </c>
      <c r="G152" s="679"/>
      <c r="H152" s="1097"/>
      <c r="J152" s="54"/>
    </row>
    <row r="153" spans="1:11" s="1067" customFormat="1" ht="15">
      <c r="A153" s="679">
        <v>913399</v>
      </c>
      <c r="B153" s="679" t="s">
        <v>484</v>
      </c>
      <c r="C153" s="679"/>
      <c r="D153" s="1105"/>
      <c r="E153" s="679">
        <f>+C153-D153</f>
        <v>0</v>
      </c>
      <c r="F153" s="679"/>
      <c r="G153" s="679"/>
      <c r="H153" s="246"/>
      <c r="J153" s="54"/>
    </row>
    <row r="154" spans="1:11" s="1067" customFormat="1" ht="15">
      <c r="A154" s="679" t="s">
        <v>401</v>
      </c>
      <c r="B154" s="679" t="s">
        <v>72</v>
      </c>
      <c r="C154" s="280">
        <f>SUM(C153)</f>
        <v>0</v>
      </c>
      <c r="D154" s="280">
        <v>0</v>
      </c>
      <c r="E154" s="280">
        <f>SUM(E153)</f>
        <v>0</v>
      </c>
      <c r="F154" s="679"/>
      <c r="G154" s="679"/>
      <c r="H154" s="246"/>
      <c r="J154" s="54"/>
    </row>
    <row r="155" spans="1:11" s="1067" customFormat="1" ht="15">
      <c r="A155" s="255"/>
      <c r="B155" s="255"/>
      <c r="C155" s="255"/>
      <c r="D155" s="255"/>
      <c r="E155" s="255"/>
      <c r="F155" s="255"/>
      <c r="G155" s="255"/>
      <c r="H155" s="246"/>
      <c r="J155" s="54"/>
    </row>
    <row r="156" spans="1:11" ht="15.6" thickBot="1">
      <c r="A156" s="312"/>
      <c r="B156" s="312"/>
      <c r="C156" s="313"/>
      <c r="D156" s="313"/>
      <c r="E156" s="313"/>
      <c r="F156" s="313"/>
      <c r="G156" s="313"/>
      <c r="H156" s="246"/>
      <c r="J156" s="1276"/>
      <c r="K156" s="1106"/>
    </row>
    <row r="157" spans="1:11" ht="15" thickBot="1">
      <c r="A157" s="331" t="s">
        <v>330</v>
      </c>
      <c r="B157" s="332"/>
      <c r="C157" s="332"/>
      <c r="D157" s="332"/>
      <c r="E157" s="332"/>
      <c r="F157" s="332"/>
      <c r="G157" s="333"/>
      <c r="H157" s="348"/>
      <c r="I157" s="54"/>
      <c r="J157" s="1276"/>
      <c r="K157" s="1106"/>
    </row>
    <row r="158" spans="1:11" ht="13.8" thickBot="1">
      <c r="A158" s="358"/>
      <c r="B158" s="359"/>
      <c r="C158" s="3930" t="s">
        <v>283</v>
      </c>
      <c r="D158" s="3931"/>
      <c r="E158" s="3930" t="s">
        <v>267</v>
      </c>
      <c r="F158" s="3932"/>
      <c r="G158" s="3930" t="s">
        <v>154</v>
      </c>
      <c r="H158" s="3931"/>
      <c r="I158" s="346"/>
      <c r="J158" s="1288"/>
      <c r="K158" s="1106"/>
    </row>
    <row r="159" spans="1:11" ht="21.6" thickBot="1">
      <c r="A159" s="314" t="s">
        <v>133</v>
      </c>
      <c r="B159" s="315" t="s">
        <v>260</v>
      </c>
      <c r="C159" s="316" t="s">
        <v>261</v>
      </c>
      <c r="D159" s="338" t="s">
        <v>268</v>
      </c>
      <c r="E159" s="316" t="s">
        <v>261</v>
      </c>
      <c r="F159" s="316" t="s">
        <v>268</v>
      </c>
      <c r="G159" s="316" t="s">
        <v>261</v>
      </c>
      <c r="H159" s="317" t="s">
        <v>268</v>
      </c>
      <c r="I159" s="337" t="s">
        <v>269</v>
      </c>
      <c r="J159" s="1289"/>
      <c r="K159" s="1106"/>
    </row>
    <row r="160" spans="1:11" ht="13.8" thickBot="1">
      <c r="A160" s="318">
        <v>957995</v>
      </c>
      <c r="B160" s="319" t="s">
        <v>239</v>
      </c>
      <c r="C160" s="320"/>
      <c r="D160" s="320"/>
      <c r="E160" s="347">
        <f>+SUM('Planillas diarias trapasos'!B443)</f>
        <v>0</v>
      </c>
      <c r="F160" s="363">
        <f>+SUM('Planillas diarias trapasos'!B444)</f>
        <v>0</v>
      </c>
      <c r="G160" s="352">
        <f>+C160-E160</f>
        <v>0</v>
      </c>
      <c r="H160" s="659">
        <f>+D160-F160</f>
        <v>0</v>
      </c>
      <c r="I160" s="381"/>
      <c r="J160" s="1290"/>
      <c r="K160" s="1106"/>
    </row>
    <row r="161" spans="1:11" ht="13.8" thickBot="1">
      <c r="B161" s="349" t="s">
        <v>72</v>
      </c>
      <c r="C161" s="349"/>
      <c r="D161" s="350">
        <f>+D160</f>
        <v>0</v>
      </c>
      <c r="E161" s="351">
        <f>SUM(E160)</f>
        <v>0</v>
      </c>
      <c r="F161" s="351">
        <f>SUM(F160)</f>
        <v>0</v>
      </c>
      <c r="G161" s="351">
        <f>SUM(G156:G160)</f>
        <v>0</v>
      </c>
      <c r="H161" s="411">
        <f>SUM(H156:H160)</f>
        <v>0</v>
      </c>
      <c r="I161" s="383"/>
      <c r="J161" s="1289"/>
      <c r="K161" s="1106"/>
    </row>
    <row r="162" spans="1:11" ht="15.6" thickBot="1">
      <c r="A162" s="312"/>
      <c r="B162" s="312"/>
      <c r="C162" s="313"/>
      <c r="D162" s="313"/>
      <c r="E162" s="313"/>
      <c r="F162" s="313"/>
      <c r="G162" s="313"/>
      <c r="H162" s="246"/>
      <c r="J162" s="1289"/>
      <c r="K162" s="1106"/>
    </row>
    <row r="163" spans="1:11" ht="15" thickBot="1">
      <c r="A163" s="331" t="s">
        <v>270</v>
      </c>
      <c r="B163" s="332"/>
      <c r="C163" s="332"/>
      <c r="D163" s="332"/>
      <c r="E163" s="332"/>
      <c r="F163" s="332"/>
      <c r="G163" s="333"/>
      <c r="H163" s="348"/>
      <c r="I163" s="54"/>
      <c r="J163" s="1289"/>
      <c r="K163" s="1106"/>
    </row>
    <row r="164" spans="1:11" ht="13.8" thickBot="1">
      <c r="A164" s="358"/>
      <c r="B164" s="359"/>
      <c r="C164" s="3930" t="s">
        <v>283</v>
      </c>
      <c r="D164" s="3931"/>
      <c r="E164" s="3930" t="s">
        <v>267</v>
      </c>
      <c r="F164" s="3932"/>
      <c r="G164" s="3930" t="s">
        <v>154</v>
      </c>
      <c r="H164" s="3931"/>
      <c r="I164" s="346"/>
      <c r="J164" s="1288"/>
      <c r="K164" s="1106"/>
    </row>
    <row r="165" spans="1:11" ht="21.6" thickBot="1">
      <c r="A165" s="314" t="s">
        <v>133</v>
      </c>
      <c r="B165" s="315" t="s">
        <v>260</v>
      </c>
      <c r="C165" s="316" t="s">
        <v>261</v>
      </c>
      <c r="D165" s="338" t="s">
        <v>268</v>
      </c>
      <c r="E165" s="316" t="s">
        <v>261</v>
      </c>
      <c r="F165" s="316" t="s">
        <v>268</v>
      </c>
      <c r="G165" s="316" t="s">
        <v>261</v>
      </c>
      <c r="H165" s="317" t="s">
        <v>268</v>
      </c>
      <c r="I165" s="337" t="s">
        <v>269</v>
      </c>
      <c r="J165" s="1289"/>
      <c r="K165" s="1106"/>
    </row>
    <row r="166" spans="1:11" ht="13.8" thickBot="1">
      <c r="A166" s="318">
        <v>957995</v>
      </c>
      <c r="B166" s="319" t="s">
        <v>239</v>
      </c>
      <c r="C166" s="320"/>
      <c r="D166" s="320"/>
      <c r="E166" s="347">
        <f>+SUM('Planillas diarias trapasos'!B460)</f>
        <v>0</v>
      </c>
      <c r="F166" s="363">
        <f>+SUM('Planillas diarias trapasos'!B476)</f>
        <v>0</v>
      </c>
      <c r="G166" s="1312">
        <f>+C166-E166</f>
        <v>0</v>
      </c>
      <c r="H166" s="659">
        <f>+D166-F166</f>
        <v>0</v>
      </c>
      <c r="I166" s="381"/>
      <c r="J166" s="1291"/>
      <c r="K166" s="1106"/>
    </row>
    <row r="167" spans="1:11" ht="13.8" thickBot="1">
      <c r="B167" s="349" t="s">
        <v>72</v>
      </c>
      <c r="C167" s="349"/>
      <c r="D167" s="350"/>
      <c r="E167" s="351">
        <f>SUM(E166)</f>
        <v>0</v>
      </c>
      <c r="F167" s="351">
        <f>SUM(F166)</f>
        <v>0</v>
      </c>
      <c r="G167" s="351">
        <f>SUM(G162:G166)</f>
        <v>0</v>
      </c>
      <c r="H167" s="411">
        <f>SUM(H162:H166)</f>
        <v>0</v>
      </c>
      <c r="I167" s="383"/>
      <c r="J167" s="1289"/>
      <c r="K167" s="1106"/>
    </row>
    <row r="168" spans="1:11" s="1023" customFormat="1">
      <c r="B168" s="360"/>
      <c r="C168" s="360"/>
      <c r="D168" s="361"/>
      <c r="E168" s="362"/>
      <c r="F168" s="362"/>
      <c r="G168" s="362"/>
      <c r="H168" s="362"/>
      <c r="I168" s="139"/>
      <c r="J168" s="286"/>
    </row>
    <row r="169" spans="1:11" s="1187" customFormat="1">
      <c r="B169" s="360"/>
      <c r="C169" s="360"/>
      <c r="D169" s="361"/>
      <c r="E169" s="362"/>
      <c r="F169" s="362"/>
      <c r="G169" s="362"/>
      <c r="H169" s="362"/>
      <c r="I169" s="139"/>
      <c r="J169" s="286"/>
    </row>
    <row r="170" spans="1:11" s="1187" customFormat="1">
      <c r="A170" s="1109" t="s">
        <v>534</v>
      </c>
      <c r="B170" s="360"/>
      <c r="C170" s="360"/>
      <c r="D170" s="361"/>
      <c r="E170" s="362"/>
      <c r="F170" s="362"/>
      <c r="G170" s="362"/>
      <c r="H170" s="362"/>
      <c r="I170" s="139"/>
      <c r="J170" s="286"/>
    </row>
    <row r="171" spans="1:11" s="1187" customFormat="1" ht="14.4">
      <c r="A171" s="139"/>
      <c r="B171" s="360"/>
      <c r="C171" s="360"/>
      <c r="D171" s="361"/>
      <c r="E171" s="362"/>
      <c r="F171" s="362"/>
      <c r="G171" s="362"/>
      <c r="H171" s="354"/>
      <c r="I171" s="139"/>
      <c r="J171" s="54"/>
    </row>
    <row r="172" spans="1:11" ht="15" thickBot="1">
      <c r="B172" s="360"/>
      <c r="C172" s="360"/>
      <c r="D172" s="361"/>
      <c r="E172" s="362"/>
      <c r="F172" s="362"/>
      <c r="G172" s="362"/>
      <c r="H172" s="354"/>
    </row>
    <row r="173" spans="1:11" ht="21.6" thickBot="1">
      <c r="A173" s="341" t="s">
        <v>280</v>
      </c>
      <c r="B173" s="1182" t="s">
        <v>528</v>
      </c>
      <c r="C173" s="340"/>
      <c r="D173" s="340"/>
      <c r="E173" s="675"/>
      <c r="F173" s="675"/>
      <c r="G173" s="340"/>
      <c r="H173" s="667"/>
      <c r="I173" s="342"/>
    </row>
    <row r="174" spans="1:11" ht="13.8" thickBot="1">
      <c r="A174" s="343"/>
      <c r="B174" s="344"/>
      <c r="C174" s="3930" t="s">
        <v>283</v>
      </c>
      <c r="D174" s="3931"/>
      <c r="E174" s="3930" t="s">
        <v>267</v>
      </c>
      <c r="F174" s="3931"/>
      <c r="G174" s="3930" t="s">
        <v>154</v>
      </c>
      <c r="H174" s="3931"/>
      <c r="I174" s="346"/>
      <c r="J174" s="1276"/>
      <c r="K174" s="1106"/>
    </row>
    <row r="175" spans="1:11" ht="21.6" thickBot="1">
      <c r="A175" s="387" t="s">
        <v>133</v>
      </c>
      <c r="B175" s="386" t="s">
        <v>260</v>
      </c>
      <c r="C175" s="337" t="s">
        <v>261</v>
      </c>
      <c r="D175" s="338" t="s">
        <v>268</v>
      </c>
      <c r="E175" s="316" t="s">
        <v>261</v>
      </c>
      <c r="F175" s="316" t="s">
        <v>268</v>
      </c>
      <c r="G175" s="316" t="s">
        <v>261</v>
      </c>
      <c r="H175" s="395" t="s">
        <v>268</v>
      </c>
      <c r="I175" s="316" t="s">
        <v>269</v>
      </c>
      <c r="J175" s="1281"/>
      <c r="K175" s="1106"/>
    </row>
    <row r="176" spans="1:11">
      <c r="A176" s="396"/>
      <c r="B176" s="399" t="s">
        <v>281</v>
      </c>
      <c r="C176" s="325"/>
      <c r="D176" s="326"/>
      <c r="E176" s="325"/>
      <c r="F176" s="325"/>
      <c r="G176" s="325">
        <f>+C176-E176</f>
        <v>0</v>
      </c>
      <c r="H176" s="325">
        <f>+D176-F176</f>
        <v>0</v>
      </c>
      <c r="I176" s="388"/>
      <c r="J176" s="1276"/>
      <c r="K176" s="1106"/>
    </row>
    <row r="177" spans="1:11" ht="13.8" thickBot="1">
      <c r="A177" s="397"/>
      <c r="B177" s="400" t="s">
        <v>282</v>
      </c>
      <c r="C177" s="327"/>
      <c r="D177" s="390"/>
      <c r="E177" s="391"/>
      <c r="F177" s="391"/>
      <c r="G177" s="391">
        <f>+C177-E177</f>
        <v>0</v>
      </c>
      <c r="H177" s="391">
        <f>+D177-F177</f>
        <v>0</v>
      </c>
      <c r="I177" s="401"/>
      <c r="J177" s="1276"/>
      <c r="K177" s="1106"/>
    </row>
    <row r="178" spans="1:11" ht="13.8" thickBot="1">
      <c r="A178" s="398"/>
      <c r="B178" s="402" t="s">
        <v>220</v>
      </c>
      <c r="C178" s="389">
        <f t="shared" ref="C178:H178" si="0">SUM(C176:C177)</f>
        <v>0</v>
      </c>
      <c r="D178" s="392">
        <f t="shared" si="0"/>
        <v>0</v>
      </c>
      <c r="E178" s="393">
        <f t="shared" si="0"/>
        <v>0</v>
      </c>
      <c r="F178" s="393">
        <f t="shared" si="0"/>
        <v>0</v>
      </c>
      <c r="G178" s="393">
        <f t="shared" si="0"/>
        <v>0</v>
      </c>
      <c r="H178" s="393">
        <f t="shared" si="0"/>
        <v>0</v>
      </c>
      <c r="I178" s="394"/>
      <c r="J178" s="1276"/>
      <c r="K178" s="1106"/>
    </row>
    <row r="179" spans="1:11" ht="14.4">
      <c r="A179" s="139"/>
      <c r="B179" s="360"/>
      <c r="C179" s="360"/>
      <c r="D179" s="361"/>
      <c r="E179" s="362"/>
      <c r="F179" s="362"/>
      <c r="G179" s="362"/>
      <c r="H179" s="354"/>
      <c r="I179" s="139"/>
      <c r="J179" s="1276"/>
      <c r="K179" s="1106"/>
    </row>
    <row r="180" spans="1:11" s="1052" customFormat="1" ht="13.8" thickBot="1">
      <c r="A180" s="485"/>
      <c r="B180" s="486"/>
      <c r="C180" s="485"/>
      <c r="D180" s="485"/>
      <c r="E180" s="485"/>
      <c r="F180" s="485"/>
      <c r="G180" s="485"/>
      <c r="H180" s="485"/>
      <c r="I180" s="485"/>
      <c r="J180" s="1285"/>
      <c r="K180" s="1286"/>
    </row>
    <row r="181" spans="1:11" s="1052" customFormat="1" ht="21.6" thickBot="1">
      <c r="A181" s="963" t="s">
        <v>496</v>
      </c>
      <c r="B181" s="1182" t="s">
        <v>528</v>
      </c>
      <c r="C181" s="340"/>
      <c r="D181" s="340"/>
      <c r="E181" s="1051"/>
      <c r="F181" s="1051"/>
      <c r="G181" s="340"/>
      <c r="H181" s="673"/>
      <c r="I181" s="342"/>
      <c r="J181" s="1287"/>
      <c r="K181" s="1286"/>
    </row>
    <row r="182" spans="1:11" s="1052" customFormat="1" ht="13.8" thickBot="1">
      <c r="A182" s="343"/>
      <c r="B182" s="344"/>
      <c r="C182" s="3930" t="s">
        <v>283</v>
      </c>
      <c r="D182" s="3931"/>
      <c r="E182" s="3930" t="s">
        <v>267</v>
      </c>
      <c r="F182" s="3931"/>
      <c r="G182" s="3930" t="s">
        <v>154</v>
      </c>
      <c r="H182" s="3931"/>
      <c r="I182" s="346"/>
      <c r="J182" s="1285"/>
      <c r="K182" s="1286"/>
    </row>
    <row r="183" spans="1:11" s="1052" customFormat="1" ht="21.6" thickBot="1">
      <c r="A183" s="387" t="s">
        <v>133</v>
      </c>
      <c r="B183" s="386" t="s">
        <v>260</v>
      </c>
      <c r="C183" s="337" t="s">
        <v>261</v>
      </c>
      <c r="D183" s="338" t="s">
        <v>268</v>
      </c>
      <c r="E183" s="316" t="s">
        <v>261</v>
      </c>
      <c r="F183" s="316" t="s">
        <v>268</v>
      </c>
      <c r="G183" s="316" t="s">
        <v>261</v>
      </c>
      <c r="H183" s="395" t="s">
        <v>268</v>
      </c>
      <c r="I183" s="316" t="s">
        <v>269</v>
      </c>
      <c r="J183" s="1285"/>
      <c r="K183" s="1286"/>
    </row>
    <row r="184" spans="1:11" s="1052" customFormat="1" ht="13.8" thickBot="1">
      <c r="A184" s="1068">
        <v>901835</v>
      </c>
      <c r="B184" s="1069" t="s">
        <v>296</v>
      </c>
      <c r="C184" s="391"/>
      <c r="D184" s="390"/>
      <c r="E184" s="391"/>
      <c r="F184" s="391"/>
      <c r="G184" s="391">
        <f>+C184-E184</f>
        <v>0</v>
      </c>
      <c r="H184" s="391">
        <f>+D184-F184</f>
        <v>0</v>
      </c>
      <c r="I184" s="401"/>
      <c r="J184" s="1285"/>
      <c r="K184" s="1286"/>
    </row>
    <row r="185" spans="1:11" s="1052" customFormat="1" ht="19.5" customHeight="1" thickBot="1">
      <c r="A185" s="1070"/>
      <c r="B185" s="1071" t="s">
        <v>220</v>
      </c>
      <c r="C185" s="1072">
        <f t="shared" ref="C185:H185" si="1">SUM(C184:C184)</f>
        <v>0</v>
      </c>
      <c r="D185" s="392">
        <f t="shared" si="1"/>
        <v>0</v>
      </c>
      <c r="E185" s="393">
        <f t="shared" si="1"/>
        <v>0</v>
      </c>
      <c r="F185" s="393">
        <f t="shared" si="1"/>
        <v>0</v>
      </c>
      <c r="G185" s="393">
        <f t="shared" si="1"/>
        <v>0</v>
      </c>
      <c r="H185" s="393">
        <f t="shared" si="1"/>
        <v>0</v>
      </c>
      <c r="I185" s="394"/>
      <c r="J185" s="1285"/>
      <c r="K185" s="1286"/>
    </row>
    <row r="186" spans="1:11" s="1052" customFormat="1" ht="15" thickBot="1">
      <c r="A186" s="139"/>
      <c r="B186" s="360"/>
      <c r="C186" s="360"/>
      <c r="D186" s="361"/>
      <c r="E186" s="362"/>
      <c r="F186" s="362"/>
      <c r="G186" s="362"/>
      <c r="H186" s="354"/>
      <c r="I186" s="139"/>
      <c r="J186" s="1276"/>
      <c r="K186" s="1106"/>
    </row>
    <row r="187" spans="1:11" s="1210" customFormat="1" ht="15" thickBot="1">
      <c r="A187" s="1196" t="s">
        <v>531</v>
      </c>
      <c r="B187" s="1212" t="s">
        <v>268</v>
      </c>
      <c r="C187" s="1193"/>
      <c r="D187" s="1193"/>
      <c r="E187" s="3937"/>
      <c r="F187" s="3937"/>
      <c r="G187" s="1193"/>
      <c r="H187" s="1194"/>
      <c r="I187" s="1195"/>
      <c r="J187" s="1057"/>
      <c r="K187" s="1106"/>
    </row>
    <row r="188" spans="1:11" s="1210" customFormat="1" ht="13.8" thickBot="1">
      <c r="A188" s="343"/>
      <c r="B188" s="344"/>
      <c r="C188" s="344"/>
      <c r="D188" s="1178" t="s">
        <v>396</v>
      </c>
      <c r="E188" s="3934" t="s">
        <v>267</v>
      </c>
      <c r="F188" s="3935"/>
      <c r="G188" s="3934" t="s">
        <v>154</v>
      </c>
      <c r="H188" s="3936"/>
      <c r="I188" s="1200"/>
      <c r="J188" s="1276"/>
      <c r="K188" s="1106"/>
    </row>
    <row r="189" spans="1:11" s="1210" customFormat="1" ht="21.6" thickBot="1">
      <c r="A189" s="316" t="s">
        <v>133</v>
      </c>
      <c r="B189" s="338"/>
      <c r="C189" s="337"/>
      <c r="D189" s="338" t="s">
        <v>268</v>
      </c>
      <c r="E189" s="337"/>
      <c r="F189" s="338" t="s">
        <v>268</v>
      </c>
      <c r="G189" s="337"/>
      <c r="H189" s="338" t="s">
        <v>268</v>
      </c>
      <c r="I189" s="337" t="s">
        <v>269</v>
      </c>
      <c r="J189" s="1276"/>
      <c r="K189" s="1106"/>
    </row>
    <row r="190" spans="1:11" s="1210" customFormat="1" ht="13.8" thickBot="1">
      <c r="A190" s="1184">
        <v>957485</v>
      </c>
      <c r="B190" s="1185" t="s">
        <v>529</v>
      </c>
      <c r="C190" s="337"/>
      <c r="D190" s="338"/>
      <c r="E190" s="337"/>
      <c r="F190" s="338"/>
      <c r="G190" s="337"/>
      <c r="H190" s="948">
        <f>+D190-F190</f>
        <v>0</v>
      </c>
      <c r="I190" s="337"/>
      <c r="J190" s="1276"/>
      <c r="K190" s="1106"/>
    </row>
    <row r="191" spans="1:11" s="1210" customFormat="1" ht="15" thickBot="1">
      <c r="A191" s="944">
        <v>955414</v>
      </c>
      <c r="B191" s="1186" t="s">
        <v>530</v>
      </c>
      <c r="C191" s="946"/>
      <c r="D191" s="947"/>
      <c r="E191" s="948"/>
      <c r="F191" s="949"/>
      <c r="G191" s="851"/>
      <c r="H191" s="948">
        <f>+D191-F191</f>
        <v>0</v>
      </c>
      <c r="I191" s="955"/>
      <c r="J191" s="54"/>
    </row>
    <row r="192" spans="1:11" s="1210" customFormat="1" ht="15" thickBot="1">
      <c r="A192" s="339"/>
      <c r="B192" s="930" t="s">
        <v>72</v>
      </c>
      <c r="C192" s="409"/>
      <c r="D192" s="947">
        <v>500</v>
      </c>
      <c r="E192" s="411"/>
      <c r="F192" s="411">
        <f>SUM(F190:F191)</f>
        <v>0</v>
      </c>
      <c r="G192" s="411"/>
      <c r="H192" s="411">
        <f>SUM(H190:H191)</f>
        <v>0</v>
      </c>
      <c r="I192" s="1209"/>
      <c r="J192" s="54"/>
    </row>
    <row r="193" spans="1:11" s="1210" customFormat="1" ht="14.4">
      <c r="A193" s="139"/>
      <c r="B193" s="360"/>
      <c r="C193" s="360"/>
      <c r="D193" s="361"/>
      <c r="E193" s="362"/>
      <c r="F193" s="362"/>
      <c r="G193" s="362"/>
      <c r="H193" s="354"/>
      <c r="I193" s="139"/>
      <c r="J193" s="54"/>
    </row>
    <row r="194" spans="1:11" ht="15.6" thickBot="1">
      <c r="A194" s="137"/>
      <c r="B194" s="137"/>
      <c r="C194" s="137"/>
      <c r="D194" s="137"/>
      <c r="E194" s="286"/>
      <c r="F194" s="137"/>
      <c r="G194" s="137"/>
      <c r="H194" s="246"/>
    </row>
    <row r="195" spans="1:11" ht="15" thickBot="1">
      <c r="A195" s="971" t="s">
        <v>266</v>
      </c>
      <c r="B195" s="972"/>
      <c r="C195" s="972"/>
      <c r="D195" s="972"/>
      <c r="E195" s="3933"/>
      <c r="F195" s="3933"/>
      <c r="G195" s="972"/>
      <c r="H195" s="973"/>
      <c r="I195" s="974"/>
    </row>
    <row r="196" spans="1:11" ht="13.8" thickBot="1">
      <c r="A196" s="343"/>
      <c r="B196" s="344"/>
      <c r="C196" s="344"/>
      <c r="D196" s="345"/>
      <c r="E196" s="3934" t="s">
        <v>267</v>
      </c>
      <c r="F196" s="3935"/>
      <c r="G196" s="3934" t="s">
        <v>154</v>
      </c>
      <c r="H196" s="3936"/>
      <c r="I196" s="346"/>
      <c r="J196" s="1276"/>
      <c r="K196" s="1106"/>
    </row>
    <row r="197" spans="1:11" ht="21.6" thickBot="1">
      <c r="A197" s="314" t="s">
        <v>133</v>
      </c>
      <c r="B197" s="315" t="s">
        <v>260</v>
      </c>
      <c r="C197" s="316" t="s">
        <v>261</v>
      </c>
      <c r="D197" s="338" t="s">
        <v>268</v>
      </c>
      <c r="E197" s="316" t="s">
        <v>261</v>
      </c>
      <c r="F197" s="316" t="s">
        <v>268</v>
      </c>
      <c r="G197" s="316" t="s">
        <v>261</v>
      </c>
      <c r="H197" s="317" t="s">
        <v>268</v>
      </c>
      <c r="I197" s="337" t="s">
        <v>269</v>
      </c>
      <c r="J197" s="1281"/>
      <c r="K197" s="1106"/>
    </row>
    <row r="198" spans="1:11" ht="14.4">
      <c r="A198" s="318">
        <v>916009</v>
      </c>
      <c r="B198" s="319" t="s">
        <v>246</v>
      </c>
      <c r="C198" s="320"/>
      <c r="D198" s="334"/>
      <c r="E198" s="363"/>
      <c r="F198" s="363"/>
      <c r="G198" s="352">
        <f t="shared" ref="G198:G203" si="2">+C198-E198</f>
        <v>0</v>
      </c>
      <c r="H198" s="355">
        <f t="shared" ref="H198:H203" si="3">+D198-F198</f>
        <v>0</v>
      </c>
      <c r="I198" s="381"/>
      <c r="J198" s="1282"/>
      <c r="K198" s="1106"/>
    </row>
    <row r="199" spans="1:11" ht="14.4">
      <c r="A199" s="321">
        <v>916010</v>
      </c>
      <c r="B199" s="322" t="s">
        <v>262</v>
      </c>
      <c r="C199" s="323"/>
      <c r="D199" s="335"/>
      <c r="E199" s="405"/>
      <c r="F199" s="405"/>
      <c r="G199" s="352">
        <f t="shared" si="2"/>
        <v>0</v>
      </c>
      <c r="H199" s="356">
        <f t="shared" si="3"/>
        <v>0</v>
      </c>
      <c r="I199" s="853"/>
      <c r="J199" s="1282"/>
      <c r="K199" s="1106"/>
    </row>
    <row r="200" spans="1:11" ht="14.4">
      <c r="A200" s="325">
        <v>953048</v>
      </c>
      <c r="B200" s="326" t="s">
        <v>263</v>
      </c>
      <c r="C200" s="324"/>
      <c r="D200" s="335"/>
      <c r="E200" s="405"/>
      <c r="F200" s="405"/>
      <c r="G200" s="352">
        <f t="shared" si="2"/>
        <v>0</v>
      </c>
      <c r="H200" s="356">
        <f t="shared" si="3"/>
        <v>0</v>
      </c>
      <c r="I200" s="853"/>
      <c r="J200" s="1283"/>
      <c r="K200" s="1106"/>
    </row>
    <row r="201" spans="1:11" ht="15" thickBot="1">
      <c r="A201" s="1318">
        <v>954700</v>
      </c>
      <c r="B201" s="984" t="s">
        <v>264</v>
      </c>
      <c r="C201" s="1319"/>
      <c r="D201" s="1320"/>
      <c r="E201" s="990"/>
      <c r="F201" s="405"/>
      <c r="G201" s="352">
        <f t="shared" si="2"/>
        <v>0</v>
      </c>
      <c r="H201" s="356">
        <f t="shared" si="3"/>
        <v>0</v>
      </c>
      <c r="I201" s="853"/>
      <c r="J201" s="1282"/>
      <c r="K201" s="1106"/>
    </row>
    <row r="202" spans="1:11" ht="15" thickBot="1">
      <c r="A202" s="1321">
        <v>902835</v>
      </c>
      <c r="B202" s="1322" t="s">
        <v>265</v>
      </c>
      <c r="C202" s="1323"/>
      <c r="D202" s="1324"/>
      <c r="E202" s="990"/>
      <c r="F202" s="1313"/>
      <c r="G202" s="1312">
        <f t="shared" si="2"/>
        <v>0</v>
      </c>
      <c r="H202" s="1314">
        <f t="shared" si="3"/>
        <v>0</v>
      </c>
      <c r="I202" s="1315"/>
      <c r="J202" s="1284"/>
      <c r="K202" s="1270"/>
    </row>
    <row r="203" spans="1:11" ht="15" thickBot="1">
      <c r="A203" s="327">
        <v>953646</v>
      </c>
      <c r="B203" s="328" t="s">
        <v>252</v>
      </c>
      <c r="C203" s="329"/>
      <c r="D203" s="336"/>
      <c r="E203" s="924"/>
      <c r="F203" s="924"/>
      <c r="G203" s="352">
        <f t="shared" si="2"/>
        <v>0</v>
      </c>
      <c r="H203" s="357">
        <f t="shared" si="3"/>
        <v>0</v>
      </c>
      <c r="I203" s="854"/>
      <c r="J203" s="1276"/>
      <c r="K203" s="1106"/>
    </row>
    <row r="204" spans="1:11" ht="15" thickBot="1">
      <c r="A204" s="330"/>
      <c r="B204" s="349" t="s">
        <v>72</v>
      </c>
      <c r="C204" s="349">
        <v>30</v>
      </c>
      <c r="D204" s="350">
        <v>2600</v>
      </c>
      <c r="E204" s="351">
        <v>0</v>
      </c>
      <c r="F204" s="351">
        <v>0</v>
      </c>
      <c r="G204" s="351">
        <f>SUM(G198:G203)</f>
        <v>0</v>
      </c>
      <c r="H204" s="353">
        <f>SUM(H198:H203)</f>
        <v>0</v>
      </c>
      <c r="I204" s="54"/>
      <c r="J204" s="1276"/>
      <c r="K204" s="1106"/>
    </row>
    <row r="205" spans="1:11" ht="14.4">
      <c r="A205" s="339"/>
      <c r="B205" s="360"/>
      <c r="C205" s="360"/>
      <c r="D205" s="361"/>
      <c r="E205" s="362"/>
      <c r="F205" s="362"/>
      <c r="G205" s="362"/>
      <c r="H205" s="354"/>
      <c r="I205" s="54"/>
      <c r="J205" s="1276"/>
      <c r="K205" s="1106"/>
    </row>
    <row r="206" spans="1:11" ht="15" thickBot="1">
      <c r="A206" s="339"/>
      <c r="B206" s="360"/>
      <c r="C206" s="360"/>
      <c r="D206" s="361"/>
      <c r="E206" s="362"/>
      <c r="F206" s="362"/>
      <c r="G206" s="362"/>
      <c r="H206" s="354"/>
      <c r="I206" s="702"/>
      <c r="J206" s="1276"/>
      <c r="K206" s="1106"/>
    </row>
    <row r="207" spans="1:11" ht="15" thickBot="1">
      <c r="A207" s="971" t="s">
        <v>391</v>
      </c>
      <c r="B207" s="972"/>
      <c r="C207" s="972"/>
      <c r="D207" s="972"/>
      <c r="E207" s="3933"/>
      <c r="F207" s="3933"/>
      <c r="G207" s="972"/>
      <c r="H207" s="973"/>
      <c r="I207" s="974"/>
      <c r="J207" s="1276"/>
      <c r="K207" s="1106"/>
    </row>
    <row r="208" spans="1:11" ht="13.8" thickBot="1">
      <c r="A208" s="343"/>
      <c r="B208" s="344"/>
      <c r="C208" s="344"/>
      <c r="D208" s="345"/>
      <c r="E208" s="3934" t="s">
        <v>267</v>
      </c>
      <c r="F208" s="3935"/>
      <c r="G208" s="3934" t="s">
        <v>154</v>
      </c>
      <c r="H208" s="3936"/>
      <c r="I208" s="346"/>
      <c r="J208" s="1281"/>
      <c r="K208" s="1106"/>
    </row>
    <row r="209" spans="1:11" ht="21.6" thickBot="1">
      <c r="A209" s="314" t="s">
        <v>133</v>
      </c>
      <c r="B209" s="315" t="s">
        <v>260</v>
      </c>
      <c r="C209" s="316" t="s">
        <v>261</v>
      </c>
      <c r="D209" s="338" t="s">
        <v>268</v>
      </c>
      <c r="E209" s="316" t="s">
        <v>261</v>
      </c>
      <c r="F209" s="316" t="s">
        <v>268</v>
      </c>
      <c r="G209" s="316" t="s">
        <v>261</v>
      </c>
      <c r="H209" s="317" t="s">
        <v>268</v>
      </c>
      <c r="I209" s="337" t="s">
        <v>269</v>
      </c>
      <c r="J209" s="1276"/>
      <c r="K209" s="1106"/>
    </row>
    <row r="210" spans="1:11" ht="15" thickBot="1">
      <c r="A210" s="385" t="s">
        <v>392</v>
      </c>
      <c r="B210" s="1223"/>
      <c r="C210" s="1223"/>
      <c r="D210" s="1197"/>
      <c r="E210" s="1224"/>
      <c r="F210" s="1225">
        <f>+SUM('Planillas diarias trapasos'!B127)</f>
        <v>0</v>
      </c>
      <c r="G210" s="1226">
        <f>+C210-E210</f>
        <v>0</v>
      </c>
      <c r="H210" s="1227">
        <f>+D210-F210</f>
        <v>0</v>
      </c>
      <c r="I210" s="1208"/>
      <c r="J210" s="1276"/>
      <c r="K210" s="1106"/>
    </row>
    <row r="211" spans="1:11" ht="15" thickBot="1">
      <c r="A211" s="384"/>
      <c r="B211" s="408" t="s">
        <v>72</v>
      </c>
      <c r="C211" s="1198">
        <v>0</v>
      </c>
      <c r="D211" s="1199"/>
      <c r="E211" s="351">
        <v>0</v>
      </c>
      <c r="F211" s="351">
        <f>SUM(F210)</f>
        <v>0</v>
      </c>
      <c r="G211" s="351">
        <f>SUM(G210:G210)</f>
        <v>0</v>
      </c>
      <c r="H211" s="1228">
        <f>SUM(H210:H210)</f>
        <v>0</v>
      </c>
      <c r="I211" s="851"/>
      <c r="J211" s="1276"/>
      <c r="K211" s="1106"/>
    </row>
    <row r="212" spans="1:11" ht="14.4">
      <c r="A212" s="339"/>
      <c r="B212" s="360"/>
      <c r="C212" s="360"/>
      <c r="D212" s="361"/>
      <c r="E212" s="362"/>
      <c r="F212" s="362"/>
      <c r="G212" s="362"/>
      <c r="H212" s="354"/>
      <c r="I212" s="702"/>
      <c r="J212" s="1276"/>
      <c r="K212" s="1106"/>
    </row>
    <row r="213" spans="1:11" ht="13.8" thickBot="1">
      <c r="E213" s="54"/>
      <c r="J213" s="1276"/>
      <c r="K213" s="1106"/>
    </row>
    <row r="214" spans="1:11" ht="15" thickBot="1">
      <c r="A214" s="971" t="s">
        <v>295</v>
      </c>
      <c r="B214" s="972"/>
      <c r="C214" s="972"/>
      <c r="D214" s="972"/>
      <c r="E214" s="3933"/>
      <c r="F214" s="3933"/>
      <c r="G214" s="972"/>
      <c r="H214" s="973"/>
      <c r="I214" s="974"/>
      <c r="J214" s="1276"/>
      <c r="K214" s="1106"/>
    </row>
    <row r="215" spans="1:11" ht="13.8" thickBot="1">
      <c r="A215" s="343"/>
      <c r="B215" s="344"/>
      <c r="C215" s="344"/>
      <c r="D215" s="345"/>
      <c r="E215" s="3934" t="s">
        <v>267</v>
      </c>
      <c r="F215" s="3935"/>
      <c r="G215" s="3934" t="s">
        <v>154</v>
      </c>
      <c r="H215" s="3936"/>
      <c r="I215" s="346"/>
      <c r="J215" s="1276"/>
      <c r="K215" s="1106"/>
    </row>
    <row r="216" spans="1:11" ht="21.6" thickBot="1">
      <c r="A216" s="316" t="s">
        <v>133</v>
      </c>
      <c r="B216" s="338" t="s">
        <v>260</v>
      </c>
      <c r="C216" s="337" t="s">
        <v>261</v>
      </c>
      <c r="D216" s="338" t="s">
        <v>268</v>
      </c>
      <c r="E216" s="337" t="s">
        <v>261</v>
      </c>
      <c r="F216" s="337" t="s">
        <v>268</v>
      </c>
      <c r="G216" s="337" t="s">
        <v>261</v>
      </c>
      <c r="H216" s="317" t="s">
        <v>268</v>
      </c>
      <c r="I216" s="337" t="s">
        <v>269</v>
      </c>
      <c r="J216" s="1281"/>
      <c r="K216" s="1106"/>
    </row>
    <row r="217" spans="1:11" ht="14.4">
      <c r="A217" s="334"/>
      <c r="B217" s="682" t="s">
        <v>284</v>
      </c>
      <c r="C217" s="420"/>
      <c r="D217" s="421"/>
      <c r="E217" s="417"/>
      <c r="F217" s="413"/>
      <c r="G217" s="413">
        <f>+C217-E217</f>
        <v>0</v>
      </c>
      <c r="H217" s="412">
        <f>+D217-F217</f>
        <v>0</v>
      </c>
      <c r="I217" s="404"/>
      <c r="J217" s="1276"/>
      <c r="K217" s="1106"/>
    </row>
    <row r="218" spans="1:11" ht="14.4">
      <c r="A218" s="406"/>
      <c r="B218" s="683" t="s">
        <v>285</v>
      </c>
      <c r="C218" s="422"/>
      <c r="D218" s="423"/>
      <c r="E218" s="418"/>
      <c r="F218" s="1312"/>
      <c r="G218" s="1316">
        <f t="shared" ref="G218:G227" si="4">+C218-E218</f>
        <v>0</v>
      </c>
      <c r="H218" s="990">
        <f t="shared" ref="H218:H227" si="5">+D218-F218</f>
        <v>0</v>
      </c>
      <c r="I218" s="407"/>
      <c r="J218" s="1276"/>
      <c r="K218" s="1106"/>
    </row>
    <row r="219" spans="1:11" ht="14.4">
      <c r="A219" s="406"/>
      <c r="B219" s="1317" t="s">
        <v>286</v>
      </c>
      <c r="C219" s="422"/>
      <c r="D219" s="423"/>
      <c r="E219" s="418"/>
      <c r="F219" s="1312"/>
      <c r="G219" s="1316">
        <f t="shared" si="4"/>
        <v>0</v>
      </c>
      <c r="H219" s="990">
        <f t="shared" si="5"/>
        <v>0</v>
      </c>
      <c r="I219" s="407"/>
      <c r="J219" s="1277"/>
      <c r="K219" s="1106"/>
    </row>
    <row r="220" spans="1:11" ht="14.4">
      <c r="A220" s="406"/>
      <c r="B220" s="1317" t="s">
        <v>287</v>
      </c>
      <c r="C220" s="422"/>
      <c r="D220" s="423"/>
      <c r="E220" s="418"/>
      <c r="F220" s="1312"/>
      <c r="G220" s="1316">
        <f t="shared" si="4"/>
        <v>0</v>
      </c>
      <c r="H220" s="990">
        <f t="shared" si="5"/>
        <v>0</v>
      </c>
      <c r="I220" s="407"/>
      <c r="J220" s="1276"/>
      <c r="K220" s="1106"/>
    </row>
    <row r="221" spans="1:11" ht="14.4">
      <c r="A221" s="406"/>
      <c r="B221" s="1317" t="s">
        <v>288</v>
      </c>
      <c r="C221" s="422"/>
      <c r="D221" s="423"/>
      <c r="E221" s="418"/>
      <c r="F221" s="1312"/>
      <c r="G221" s="1316">
        <f t="shared" si="4"/>
        <v>0</v>
      </c>
      <c r="H221" s="990">
        <f t="shared" si="5"/>
        <v>0</v>
      </c>
      <c r="I221" s="407"/>
      <c r="J221" s="1276"/>
      <c r="K221" s="1106"/>
    </row>
    <row r="222" spans="1:11" ht="14.4">
      <c r="A222" s="406"/>
      <c r="B222" s="1317" t="s">
        <v>289</v>
      </c>
      <c r="C222" s="422"/>
      <c r="D222" s="423"/>
      <c r="E222" s="418"/>
      <c r="F222" s="1312"/>
      <c r="G222" s="1316">
        <f t="shared" si="4"/>
        <v>0</v>
      </c>
      <c r="H222" s="990">
        <f t="shared" si="5"/>
        <v>0</v>
      </c>
      <c r="I222" s="407"/>
      <c r="J222" s="1276"/>
      <c r="K222" s="1106"/>
    </row>
    <row r="223" spans="1:11" ht="14.4">
      <c r="A223" s="406"/>
      <c r="B223" s="1317" t="s">
        <v>290</v>
      </c>
      <c r="C223" s="422"/>
      <c r="D223" s="423"/>
      <c r="E223" s="418"/>
      <c r="F223" s="1312"/>
      <c r="G223" s="1316">
        <f t="shared" si="4"/>
        <v>0</v>
      </c>
      <c r="H223" s="990">
        <f t="shared" si="5"/>
        <v>0</v>
      </c>
      <c r="I223" s="407"/>
      <c r="J223" s="1276"/>
      <c r="K223" s="1278"/>
    </row>
    <row r="224" spans="1:11" ht="14.4">
      <c r="A224" s="406"/>
      <c r="B224" s="1317" t="s">
        <v>291</v>
      </c>
      <c r="C224" s="422"/>
      <c r="D224" s="423"/>
      <c r="E224" s="418"/>
      <c r="F224" s="1312"/>
      <c r="G224" s="1316">
        <f t="shared" si="4"/>
        <v>0</v>
      </c>
      <c r="H224" s="1325">
        <f t="shared" si="5"/>
        <v>0</v>
      </c>
      <c r="I224" s="407"/>
      <c r="J224" s="1277"/>
      <c r="K224" s="1106"/>
    </row>
    <row r="225" spans="1:11" ht="14.4">
      <c r="A225" s="406"/>
      <c r="B225" s="1317" t="s">
        <v>292</v>
      </c>
      <c r="C225" s="422"/>
      <c r="D225" s="423"/>
      <c r="E225" s="418"/>
      <c r="F225" s="1312"/>
      <c r="G225" s="1316">
        <f t="shared" si="4"/>
        <v>0</v>
      </c>
      <c r="H225" s="990">
        <f t="shared" si="5"/>
        <v>0</v>
      </c>
      <c r="I225" s="407"/>
      <c r="J225" s="1276"/>
      <c r="K225" s="1106"/>
    </row>
    <row r="226" spans="1:11" ht="14.4">
      <c r="A226" s="406"/>
      <c r="B226" s="683" t="s">
        <v>293</v>
      </c>
      <c r="C226" s="422"/>
      <c r="D226" s="423"/>
      <c r="E226" s="418"/>
      <c r="F226" s="403"/>
      <c r="G226" s="426">
        <f t="shared" si="4"/>
        <v>0</v>
      </c>
      <c r="H226" s="405">
        <f t="shared" si="5"/>
        <v>0</v>
      </c>
      <c r="I226" s="407"/>
      <c r="J226" s="1276"/>
      <c r="K226" s="1106"/>
    </row>
    <row r="227" spans="1:11" ht="15" thickBot="1">
      <c r="A227" s="414"/>
      <c r="B227" s="684" t="s">
        <v>294</v>
      </c>
      <c r="C227" s="424"/>
      <c r="D227" s="425"/>
      <c r="E227" s="419"/>
      <c r="F227" s="415"/>
      <c r="G227" s="427">
        <f t="shared" si="4"/>
        <v>0</v>
      </c>
      <c r="H227" s="428">
        <f t="shared" si="5"/>
        <v>0</v>
      </c>
      <c r="I227" s="416"/>
      <c r="J227" s="1276"/>
      <c r="K227" s="1106"/>
    </row>
    <row r="228" spans="1:11" ht="13.8" thickBot="1">
      <c r="A228" s="339"/>
      <c r="B228" s="408" t="s">
        <v>72</v>
      </c>
      <c r="C228" s="409">
        <f t="shared" ref="C228:H228" si="6">SUM(C217:C227)</f>
        <v>0</v>
      </c>
      <c r="D228" s="410">
        <f t="shared" si="6"/>
        <v>0</v>
      </c>
      <c r="E228" s="351">
        <f t="shared" si="6"/>
        <v>0</v>
      </c>
      <c r="F228" s="351">
        <f t="shared" si="6"/>
        <v>0</v>
      </c>
      <c r="G228" s="411">
        <f t="shared" si="6"/>
        <v>0</v>
      </c>
      <c r="H228" s="411">
        <f t="shared" si="6"/>
        <v>0</v>
      </c>
      <c r="I228" s="54"/>
      <c r="J228" s="1276"/>
      <c r="K228" s="1106"/>
    </row>
    <row r="229" spans="1:11">
      <c r="A229" s="339"/>
      <c r="B229" s="360"/>
      <c r="C229" s="360"/>
      <c r="D229" s="361"/>
      <c r="E229" s="362"/>
      <c r="F229" s="362"/>
      <c r="G229" s="362"/>
      <c r="H229" s="362"/>
      <c r="I229" s="54"/>
      <c r="J229" s="1276"/>
      <c r="K229" s="1106"/>
    </row>
    <row r="230" spans="1:11" ht="13.8" thickBot="1">
      <c r="J230" s="1276"/>
      <c r="K230" s="1106"/>
    </row>
    <row r="231" spans="1:11" ht="15" thickBot="1">
      <c r="A231" s="971" t="s">
        <v>457</v>
      </c>
      <c r="B231" s="972"/>
      <c r="C231" s="972"/>
      <c r="D231" s="972"/>
      <c r="E231" s="3933"/>
      <c r="F231" s="3933"/>
      <c r="G231" s="972"/>
      <c r="H231" s="973"/>
      <c r="I231" s="974"/>
      <c r="J231" s="1276"/>
      <c r="K231" s="1106"/>
    </row>
    <row r="232" spans="1:11" ht="13.8" thickBot="1">
      <c r="A232" s="343"/>
      <c r="B232" s="344"/>
      <c r="C232" s="344"/>
      <c r="D232" s="345"/>
      <c r="E232" s="3934" t="s">
        <v>267</v>
      </c>
      <c r="F232" s="3935"/>
      <c r="G232" s="3934" t="s">
        <v>154</v>
      </c>
      <c r="H232" s="3936"/>
      <c r="I232" s="346"/>
      <c r="J232" s="1276"/>
      <c r="K232" s="1106"/>
    </row>
    <row r="233" spans="1:11" ht="21.6" thickBot="1">
      <c r="A233" s="316" t="s">
        <v>133</v>
      </c>
      <c r="B233" s="338" t="s">
        <v>260</v>
      </c>
      <c r="C233" s="337" t="s">
        <v>261</v>
      </c>
      <c r="D233" s="338" t="s">
        <v>268</v>
      </c>
      <c r="E233" s="337" t="s">
        <v>261</v>
      </c>
      <c r="F233" s="337" t="s">
        <v>268</v>
      </c>
      <c r="G233" s="337" t="s">
        <v>261</v>
      </c>
      <c r="H233" s="317" t="s">
        <v>268</v>
      </c>
      <c r="I233" s="933" t="s">
        <v>269</v>
      </c>
      <c r="J233" s="1279"/>
      <c r="K233" s="1280"/>
    </row>
    <row r="234" spans="1:11" ht="14.4">
      <c r="A234" s="334">
        <v>956882</v>
      </c>
      <c r="B234" s="682" t="s">
        <v>459</v>
      </c>
      <c r="C234" s="420"/>
      <c r="D234" s="421"/>
      <c r="E234" s="417"/>
      <c r="F234" s="413"/>
      <c r="G234" s="413">
        <f>+C234-E234</f>
        <v>0</v>
      </c>
      <c r="H234" s="412">
        <f>+D234-F234</f>
        <v>0</v>
      </c>
      <c r="I234" s="404"/>
      <c r="J234" s="1276"/>
      <c r="K234" s="1106"/>
    </row>
    <row r="235" spans="1:11" ht="15" thickBot="1">
      <c r="A235" s="406">
        <v>953446</v>
      </c>
      <c r="B235" s="1215" t="s">
        <v>458</v>
      </c>
      <c r="C235" s="1216"/>
      <c r="D235" s="1217"/>
      <c r="E235" s="1218"/>
      <c r="F235" s="1219"/>
      <c r="G235" s="1220">
        <f>+C235-E235</f>
        <v>0</v>
      </c>
      <c r="H235" s="924">
        <f>+D235-F235</f>
        <v>0</v>
      </c>
      <c r="I235" s="407"/>
      <c r="J235" s="1276"/>
      <c r="K235" s="1106"/>
    </row>
    <row r="236" spans="1:11" ht="13.8" thickBot="1">
      <c r="A236" s="339"/>
      <c r="B236" s="1213" t="s">
        <v>72</v>
      </c>
      <c r="C236" s="1221">
        <f t="shared" ref="C236:H236" si="7">SUM(C234:C235)</f>
        <v>0</v>
      </c>
      <c r="D236" s="1222">
        <f t="shared" si="7"/>
        <v>0</v>
      </c>
      <c r="E236" s="1214">
        <f t="shared" si="7"/>
        <v>0</v>
      </c>
      <c r="F236" s="1214">
        <f t="shared" si="7"/>
        <v>0</v>
      </c>
      <c r="G236" s="1214">
        <f t="shared" si="7"/>
        <v>0</v>
      </c>
      <c r="H236" s="1214">
        <f t="shared" si="7"/>
        <v>0</v>
      </c>
      <c r="I236" s="54"/>
      <c r="J236" s="1276"/>
      <c r="K236" s="1106"/>
    </row>
    <row r="237" spans="1:11">
      <c r="A237" s="339"/>
      <c r="B237" s="360"/>
      <c r="C237" s="360"/>
      <c r="D237" s="361"/>
      <c r="E237" s="362"/>
      <c r="F237" s="362"/>
      <c r="G237" s="362"/>
      <c r="H237" s="362"/>
      <c r="I237" s="54"/>
    </row>
    <row r="238" spans="1:11" ht="13.8" thickBot="1">
      <c r="A238" s="339"/>
      <c r="B238" s="360"/>
      <c r="C238" s="360"/>
      <c r="D238" s="361"/>
      <c r="E238" s="362"/>
      <c r="F238" s="362"/>
      <c r="G238" s="362"/>
      <c r="H238" s="362"/>
      <c r="I238" s="54"/>
    </row>
    <row r="239" spans="1:11" ht="15" thickBot="1">
      <c r="A239" s="971" t="s">
        <v>460</v>
      </c>
      <c r="B239" s="972"/>
      <c r="C239" s="972"/>
      <c r="D239" s="972"/>
      <c r="E239" s="3933"/>
      <c r="F239" s="3933"/>
      <c r="G239" s="972"/>
      <c r="H239" s="973"/>
      <c r="I239" s="974"/>
    </row>
    <row r="240" spans="1:11" ht="13.8" thickBot="1">
      <c r="A240" s="343"/>
      <c r="B240" s="344"/>
      <c r="C240" s="344"/>
      <c r="D240" s="345"/>
      <c r="E240" s="3934" t="s">
        <v>267</v>
      </c>
      <c r="F240" s="3935"/>
      <c r="G240" s="3934" t="s">
        <v>154</v>
      </c>
      <c r="H240" s="3936"/>
      <c r="I240" s="346"/>
      <c r="J240" s="1276"/>
      <c r="K240" s="1106"/>
    </row>
    <row r="241" spans="1:11" ht="21.6" thickBot="1">
      <c r="A241" s="316" t="s">
        <v>133</v>
      </c>
      <c r="B241" s="338" t="s">
        <v>260</v>
      </c>
      <c r="C241" s="337" t="s">
        <v>261</v>
      </c>
      <c r="D241" s="338" t="s">
        <v>268</v>
      </c>
      <c r="E241" s="337" t="s">
        <v>261</v>
      </c>
      <c r="F241" s="337" t="s">
        <v>268</v>
      </c>
      <c r="G241" s="337" t="s">
        <v>261</v>
      </c>
      <c r="H241" s="317" t="s">
        <v>268</v>
      </c>
      <c r="I241" s="337" t="s">
        <v>269</v>
      </c>
      <c r="J241" s="1057"/>
      <c r="K241" s="1106"/>
    </row>
    <row r="242" spans="1:11" ht="14.4">
      <c r="A242" s="334">
        <v>957377</v>
      </c>
      <c r="B242" s="936" t="s">
        <v>464</v>
      </c>
      <c r="C242" s="940"/>
      <c r="D242" s="937"/>
      <c r="E242" s="412"/>
      <c r="F242" s="417"/>
      <c r="G242" s="927">
        <f>+C242-E242</f>
        <v>0</v>
      </c>
      <c r="H242" s="412">
        <f>+D242-F242</f>
        <v>0</v>
      </c>
      <c r="I242" s="404"/>
      <c r="J242" s="1276"/>
      <c r="K242" s="1106"/>
    </row>
    <row r="243" spans="1:11" ht="14.4">
      <c r="A243" s="406">
        <v>11718</v>
      </c>
      <c r="B243" s="934" t="s">
        <v>285</v>
      </c>
      <c r="C243" s="941"/>
      <c r="D243" s="938"/>
      <c r="E243" s="363"/>
      <c r="F243" s="418"/>
      <c r="G243" s="926">
        <f t="shared" ref="G243:G254" si="8">+C243-E243</f>
        <v>0</v>
      </c>
      <c r="H243" s="405">
        <f t="shared" ref="H243:H254" si="9">+D243-F243</f>
        <v>0</v>
      </c>
      <c r="I243" s="407"/>
      <c r="J243" s="1276"/>
      <c r="K243" s="1106"/>
    </row>
    <row r="244" spans="1:11" ht="14.4">
      <c r="A244" s="977">
        <v>916067</v>
      </c>
      <c r="B244" s="978" t="s">
        <v>286</v>
      </c>
      <c r="C244" s="985"/>
      <c r="D244" s="986"/>
      <c r="E244" s="987"/>
      <c r="F244" s="988"/>
      <c r="G244" s="989">
        <f t="shared" si="8"/>
        <v>0</v>
      </c>
      <c r="H244" s="990">
        <f t="shared" si="9"/>
        <v>0</v>
      </c>
      <c r="I244" s="407"/>
      <c r="J244" s="1277"/>
      <c r="K244" s="1106"/>
    </row>
    <row r="245" spans="1:11" ht="14.4">
      <c r="A245" s="406">
        <v>925404</v>
      </c>
      <c r="B245" s="934" t="s">
        <v>462</v>
      </c>
      <c r="C245" s="985"/>
      <c r="D245" s="986"/>
      <c r="E245" s="987"/>
      <c r="F245" s="988"/>
      <c r="G245" s="989">
        <f t="shared" si="8"/>
        <v>0</v>
      </c>
      <c r="H245" s="990">
        <f t="shared" si="9"/>
        <v>0</v>
      </c>
      <c r="I245" s="407"/>
      <c r="J245" s="1276"/>
      <c r="K245" s="1106"/>
    </row>
    <row r="246" spans="1:11" ht="14.4">
      <c r="A246" s="406">
        <v>951206</v>
      </c>
      <c r="B246" s="934" t="s">
        <v>287</v>
      </c>
      <c r="C246" s="985"/>
      <c r="D246" s="986"/>
      <c r="E246" s="987"/>
      <c r="F246" s="988"/>
      <c r="G246" s="989">
        <f t="shared" si="8"/>
        <v>0</v>
      </c>
      <c r="H246" s="990">
        <f t="shared" si="9"/>
        <v>0</v>
      </c>
      <c r="I246" s="407"/>
      <c r="J246" s="1276"/>
      <c r="K246" s="1106"/>
    </row>
    <row r="247" spans="1:11" ht="14.4">
      <c r="A247" s="406">
        <v>950656</v>
      </c>
      <c r="B247" s="934" t="s">
        <v>461</v>
      </c>
      <c r="C247" s="985"/>
      <c r="D247" s="986"/>
      <c r="E247" s="987"/>
      <c r="F247" s="988"/>
      <c r="G247" s="989">
        <f t="shared" si="8"/>
        <v>0</v>
      </c>
      <c r="H247" s="990">
        <f t="shared" si="9"/>
        <v>0</v>
      </c>
      <c r="I247" s="407"/>
      <c r="J247" s="1276"/>
      <c r="K247" s="1106"/>
    </row>
    <row r="248" spans="1:11" ht="14.4">
      <c r="A248" s="406">
        <v>956926</v>
      </c>
      <c r="B248" s="934" t="s">
        <v>288</v>
      </c>
      <c r="C248" s="985"/>
      <c r="D248" s="986"/>
      <c r="E248" s="987"/>
      <c r="F248" s="988"/>
      <c r="G248" s="989">
        <f t="shared" si="8"/>
        <v>0</v>
      </c>
      <c r="H248" s="990">
        <f t="shared" si="9"/>
        <v>0</v>
      </c>
      <c r="I248" s="407"/>
      <c r="J248" s="1276"/>
      <c r="K248" s="1106"/>
    </row>
    <row r="249" spans="1:11" ht="14.4">
      <c r="A249" s="406">
        <v>951254</v>
      </c>
      <c r="B249" s="934" t="s">
        <v>463</v>
      </c>
      <c r="C249" s="985"/>
      <c r="D249" s="986"/>
      <c r="E249" s="987"/>
      <c r="F249" s="988"/>
      <c r="G249" s="989">
        <f t="shared" si="8"/>
        <v>0</v>
      </c>
      <c r="H249" s="990">
        <f t="shared" si="9"/>
        <v>0</v>
      </c>
      <c r="I249" s="407"/>
      <c r="J249" s="1276"/>
      <c r="K249" s="1106"/>
    </row>
    <row r="250" spans="1:11" ht="14.4">
      <c r="A250" s="406">
        <v>953746</v>
      </c>
      <c r="B250" s="934" t="s">
        <v>468</v>
      </c>
      <c r="C250" s="985"/>
      <c r="D250" s="986"/>
      <c r="E250" s="987"/>
      <c r="F250" s="988"/>
      <c r="G250" s="989">
        <f t="shared" si="8"/>
        <v>0</v>
      </c>
      <c r="H250" s="990">
        <f t="shared" si="9"/>
        <v>0</v>
      </c>
      <c r="I250" s="407"/>
      <c r="J250" s="1276"/>
      <c r="K250" s="1106"/>
    </row>
    <row r="251" spans="1:11" ht="14.4">
      <c r="A251" s="406">
        <v>953053</v>
      </c>
      <c r="B251" s="934" t="s">
        <v>289</v>
      </c>
      <c r="C251" s="985"/>
      <c r="D251" s="986"/>
      <c r="E251" s="987"/>
      <c r="F251" s="988"/>
      <c r="G251" s="989">
        <f t="shared" si="8"/>
        <v>0</v>
      </c>
      <c r="H251" s="990">
        <f t="shared" si="9"/>
        <v>0</v>
      </c>
      <c r="I251" s="407"/>
      <c r="J251" s="1276"/>
      <c r="K251" s="1106"/>
    </row>
    <row r="252" spans="1:11" ht="14.4">
      <c r="A252" s="977">
        <v>951220</v>
      </c>
      <c r="B252" s="978" t="s">
        <v>290</v>
      </c>
      <c r="C252" s="985"/>
      <c r="D252" s="986"/>
      <c r="E252" s="987"/>
      <c r="F252" s="988"/>
      <c r="G252" s="989">
        <f t="shared" si="8"/>
        <v>0</v>
      </c>
      <c r="H252" s="990">
        <f t="shared" si="9"/>
        <v>0</v>
      </c>
      <c r="I252" s="407"/>
      <c r="J252" s="1276"/>
      <c r="K252" s="1106"/>
    </row>
    <row r="253" spans="1:11" ht="14.4">
      <c r="A253" s="984">
        <v>958703</v>
      </c>
      <c r="B253" s="978" t="s">
        <v>291</v>
      </c>
      <c r="C253" s="985"/>
      <c r="D253" s="986"/>
      <c r="E253" s="990"/>
      <c r="F253" s="992"/>
      <c r="G253" s="989">
        <f t="shared" si="8"/>
        <v>0</v>
      </c>
      <c r="H253" s="990">
        <f t="shared" si="9"/>
        <v>0</v>
      </c>
      <c r="I253" s="925"/>
      <c r="J253" s="1277"/>
      <c r="K253" s="1106"/>
    </row>
    <row r="254" spans="1:11" ht="15" thickBot="1">
      <c r="A254" s="414">
        <v>956970</v>
      </c>
      <c r="B254" s="935" t="s">
        <v>469</v>
      </c>
      <c r="C254" s="942"/>
      <c r="D254" s="939"/>
      <c r="E254" s="928"/>
      <c r="F254" s="419"/>
      <c r="G254" s="929">
        <f t="shared" si="8"/>
        <v>0</v>
      </c>
      <c r="H254" s="924">
        <f t="shared" si="9"/>
        <v>0</v>
      </c>
      <c r="I254" s="416"/>
      <c r="J254" s="1276"/>
      <c r="K254" s="1106"/>
    </row>
    <row r="255" spans="1:11" ht="13.8" thickBot="1">
      <c r="A255" s="339"/>
      <c r="B255" s="930" t="s">
        <v>72</v>
      </c>
      <c r="C255" s="409">
        <f t="shared" ref="C255:H255" si="10">SUM(C242:C254)</f>
        <v>0</v>
      </c>
      <c r="D255" s="410">
        <f t="shared" si="10"/>
        <v>0</v>
      </c>
      <c r="E255" s="351">
        <f t="shared" si="10"/>
        <v>0</v>
      </c>
      <c r="F255" s="351">
        <f t="shared" si="10"/>
        <v>0</v>
      </c>
      <c r="G255" s="351">
        <f t="shared" si="10"/>
        <v>0</v>
      </c>
      <c r="H255" s="351">
        <f t="shared" si="10"/>
        <v>0</v>
      </c>
      <c r="I255" s="54"/>
    </row>
    <row r="256" spans="1:11">
      <c r="A256" s="339"/>
      <c r="B256" s="360"/>
      <c r="C256" s="360"/>
      <c r="D256" s="361"/>
      <c r="E256" s="362"/>
      <c r="F256" s="362"/>
      <c r="G256" s="362"/>
      <c r="H256" s="362"/>
      <c r="I256" s="54"/>
    </row>
    <row r="257" spans="1:10" ht="13.8" thickBot="1">
      <c r="A257" s="339"/>
      <c r="B257" s="360"/>
      <c r="C257" s="360"/>
      <c r="D257" s="361"/>
      <c r="E257" s="362"/>
      <c r="F257" s="362"/>
      <c r="G257" s="362"/>
      <c r="H257" s="362"/>
      <c r="I257" s="54"/>
    </row>
    <row r="258" spans="1:10" ht="15" thickBot="1">
      <c r="A258" s="971" t="s">
        <v>472</v>
      </c>
      <c r="B258" s="972"/>
      <c r="C258" s="972"/>
      <c r="D258" s="972"/>
      <c r="E258" s="3933"/>
      <c r="F258" s="3933"/>
      <c r="G258" s="972"/>
      <c r="H258" s="973"/>
      <c r="I258" s="974"/>
      <c r="J258" s="1057"/>
    </row>
    <row r="259" spans="1:10" ht="13.8" thickBot="1">
      <c r="A259" s="343"/>
      <c r="B259" s="344"/>
      <c r="C259" s="344"/>
      <c r="D259" s="345"/>
      <c r="E259" s="3934" t="s">
        <v>267</v>
      </c>
      <c r="F259" s="3935"/>
      <c r="G259" s="3934" t="s">
        <v>154</v>
      </c>
      <c r="H259" s="3936"/>
      <c r="I259" s="346"/>
    </row>
    <row r="260" spans="1:10" ht="21.6" thickBot="1">
      <c r="A260" s="316" t="s">
        <v>133</v>
      </c>
      <c r="B260" s="338" t="s">
        <v>260</v>
      </c>
      <c r="C260" s="337" t="s">
        <v>261</v>
      </c>
      <c r="D260" s="338" t="s">
        <v>268</v>
      </c>
      <c r="E260" s="337" t="s">
        <v>261</v>
      </c>
      <c r="F260" s="337" t="s">
        <v>268</v>
      </c>
      <c r="G260" s="337" t="s">
        <v>261</v>
      </c>
      <c r="H260" s="317" t="s">
        <v>268</v>
      </c>
      <c r="I260" s="337" t="s">
        <v>269</v>
      </c>
    </row>
    <row r="261" spans="1:10" ht="15" thickBot="1">
      <c r="A261" s="944">
        <v>957377</v>
      </c>
      <c r="B261" s="945" t="s">
        <v>473</v>
      </c>
      <c r="C261" s="946"/>
      <c r="D261" s="947"/>
      <c r="E261" s="948"/>
      <c r="F261" s="949"/>
      <c r="G261" s="851">
        <f>+C261-E261</f>
        <v>0</v>
      </c>
      <c r="H261" s="948">
        <f>+D261-F261</f>
        <v>0</v>
      </c>
      <c r="I261" s="955"/>
    </row>
    <row r="262" spans="1:10" ht="13.8" thickBot="1">
      <c r="A262" s="339"/>
      <c r="B262" s="930" t="s">
        <v>72</v>
      </c>
      <c r="C262" s="409">
        <f t="shared" ref="C262:H262" si="11">SUM(C261:C261)</f>
        <v>0</v>
      </c>
      <c r="D262" s="410">
        <f t="shared" si="11"/>
        <v>0</v>
      </c>
      <c r="E262" s="411">
        <f t="shared" si="11"/>
        <v>0</v>
      </c>
      <c r="F262" s="411">
        <f t="shared" si="11"/>
        <v>0</v>
      </c>
      <c r="G262" s="411">
        <f t="shared" si="11"/>
        <v>0</v>
      </c>
      <c r="H262" s="411">
        <f t="shared" si="11"/>
        <v>0</v>
      </c>
      <c r="I262" s="382"/>
    </row>
    <row r="263" spans="1:10">
      <c r="A263" s="339"/>
      <c r="B263" s="360"/>
      <c r="C263" s="360"/>
      <c r="D263" s="361"/>
      <c r="E263" s="362"/>
      <c r="F263" s="362"/>
      <c r="G263" s="362"/>
      <c r="H263" s="362"/>
      <c r="I263" s="54"/>
    </row>
    <row r="264" spans="1:10" s="970" customFormat="1" ht="13.8" thickBot="1">
      <c r="A264" s="339"/>
      <c r="B264" s="360"/>
      <c r="C264" s="360"/>
      <c r="D264" s="361"/>
      <c r="E264" s="362"/>
      <c r="F264" s="362"/>
      <c r="G264" s="362"/>
      <c r="H264" s="362"/>
      <c r="I264" s="54"/>
      <c r="J264" s="54"/>
    </row>
    <row r="265" spans="1:10" s="970" customFormat="1" ht="15" thickBot="1">
      <c r="A265" s="976" t="s">
        <v>491</v>
      </c>
      <c r="B265" s="972"/>
      <c r="C265" s="972"/>
      <c r="D265" s="972"/>
      <c r="E265" s="3933"/>
      <c r="F265" s="3933"/>
      <c r="G265" s="972"/>
      <c r="H265" s="973"/>
      <c r="I265" s="974"/>
      <c r="J265" s="1057"/>
    </row>
    <row r="266" spans="1:10" s="970" customFormat="1" ht="13.8" thickBot="1">
      <c r="A266" s="343"/>
      <c r="B266" s="344"/>
      <c r="C266" s="344"/>
      <c r="D266" s="345"/>
      <c r="E266" s="3934" t="s">
        <v>267</v>
      </c>
      <c r="F266" s="3935"/>
      <c r="G266" s="3934" t="s">
        <v>154</v>
      </c>
      <c r="H266" s="3936"/>
      <c r="I266" s="346"/>
      <c r="J266" s="54"/>
    </row>
    <row r="267" spans="1:10" s="970" customFormat="1" ht="21.6" thickBot="1">
      <c r="A267" s="316" t="s">
        <v>133</v>
      </c>
      <c r="B267" s="338" t="s">
        <v>260</v>
      </c>
      <c r="C267" s="337" t="s">
        <v>261</v>
      </c>
      <c r="D267" s="338" t="s">
        <v>268</v>
      </c>
      <c r="E267" s="337" t="s">
        <v>261</v>
      </c>
      <c r="F267" s="337" t="s">
        <v>268</v>
      </c>
      <c r="G267" s="337" t="s">
        <v>261</v>
      </c>
      <c r="H267" s="317" t="s">
        <v>268</v>
      </c>
      <c r="I267" s="337" t="s">
        <v>269</v>
      </c>
      <c r="J267" s="54"/>
    </row>
    <row r="268" spans="1:10" s="970" customFormat="1" ht="14.4">
      <c r="A268" s="977">
        <v>953746</v>
      </c>
      <c r="B268" s="978" t="s">
        <v>286</v>
      </c>
      <c r="C268" s="979"/>
      <c r="D268" s="980"/>
      <c r="E268" s="981"/>
      <c r="F268" s="982"/>
      <c r="G268" s="983">
        <f>+C268-E268</f>
        <v>0</v>
      </c>
      <c r="H268" s="981">
        <f>+D268-F268</f>
        <v>0</v>
      </c>
      <c r="I268" s="404"/>
      <c r="J268" s="54"/>
    </row>
    <row r="269" spans="1:10" s="970" customFormat="1" ht="14.4">
      <c r="A269" s="984">
        <v>950656</v>
      </c>
      <c r="B269" s="978" t="s">
        <v>291</v>
      </c>
      <c r="C269" s="985"/>
      <c r="D269" s="986"/>
      <c r="E269" s="987"/>
      <c r="F269" s="988"/>
      <c r="G269" s="989">
        <f t="shared" ref="G269:G279" si="12">+C269-E269</f>
        <v>0</v>
      </c>
      <c r="H269" s="990">
        <f t="shared" ref="H269:H279" si="13">+D269-F269</f>
        <v>0</v>
      </c>
      <c r="I269" s="407"/>
      <c r="J269" s="54"/>
    </row>
    <row r="270" spans="1:10" s="970" customFormat="1" ht="14.4">
      <c r="A270" s="977">
        <v>952178</v>
      </c>
      <c r="B270" s="991" t="s">
        <v>292</v>
      </c>
      <c r="C270" s="985"/>
      <c r="D270" s="986"/>
      <c r="E270" s="987"/>
      <c r="F270" s="988"/>
      <c r="G270" s="989">
        <f t="shared" si="12"/>
        <v>0</v>
      </c>
      <c r="H270" s="990">
        <f t="shared" si="13"/>
        <v>0</v>
      </c>
      <c r="I270" s="407"/>
      <c r="J270" s="54"/>
    </row>
    <row r="271" spans="1:10" s="970" customFormat="1" ht="14.4">
      <c r="A271" s="977">
        <v>957495</v>
      </c>
      <c r="B271" s="991" t="s">
        <v>487</v>
      </c>
      <c r="C271" s="985"/>
      <c r="D271" s="986"/>
      <c r="E271" s="987"/>
      <c r="F271" s="988"/>
      <c r="G271" s="989">
        <f t="shared" si="12"/>
        <v>0</v>
      </c>
      <c r="H271" s="990">
        <f t="shared" si="13"/>
        <v>0</v>
      </c>
      <c r="I271" s="407"/>
      <c r="J271" s="54"/>
    </row>
    <row r="272" spans="1:10" s="970" customFormat="1" ht="14.4">
      <c r="A272" s="977">
        <v>951254</v>
      </c>
      <c r="B272" s="991" t="s">
        <v>285</v>
      </c>
      <c r="C272" s="985"/>
      <c r="D272" s="986"/>
      <c r="E272" s="987"/>
      <c r="F272" s="988"/>
      <c r="G272" s="989">
        <f t="shared" si="12"/>
        <v>0</v>
      </c>
      <c r="H272" s="990">
        <f t="shared" si="13"/>
        <v>0</v>
      </c>
      <c r="I272" s="407"/>
      <c r="J272" s="54"/>
    </row>
    <row r="273" spans="1:10" s="970" customFormat="1" ht="14.4">
      <c r="A273" s="977">
        <v>95122</v>
      </c>
      <c r="B273" s="991" t="s">
        <v>289</v>
      </c>
      <c r="C273" s="985"/>
      <c r="D273" s="986"/>
      <c r="E273" s="987"/>
      <c r="F273" s="988"/>
      <c r="G273" s="989">
        <f t="shared" si="12"/>
        <v>0</v>
      </c>
      <c r="H273" s="990">
        <f t="shared" si="13"/>
        <v>0</v>
      </c>
      <c r="I273" s="407"/>
      <c r="J273" s="54"/>
    </row>
    <row r="274" spans="1:10" s="970" customFormat="1" ht="14.4">
      <c r="A274" s="977">
        <v>11698</v>
      </c>
      <c r="B274" s="991" t="s">
        <v>488</v>
      </c>
      <c r="C274" s="985"/>
      <c r="D274" s="986"/>
      <c r="E274" s="987"/>
      <c r="F274" s="988"/>
      <c r="G274" s="989">
        <f t="shared" si="12"/>
        <v>0</v>
      </c>
      <c r="H274" s="990">
        <f t="shared" si="13"/>
        <v>0</v>
      </c>
      <c r="I274" s="407"/>
      <c r="J274" s="54"/>
    </row>
    <row r="275" spans="1:10" s="970" customFormat="1" ht="14.4">
      <c r="A275" s="977">
        <v>958703</v>
      </c>
      <c r="B275" s="991" t="s">
        <v>489</v>
      </c>
      <c r="C275" s="985"/>
      <c r="D275" s="986"/>
      <c r="E275" s="987"/>
      <c r="F275" s="988"/>
      <c r="G275" s="989">
        <f t="shared" si="12"/>
        <v>0</v>
      </c>
      <c r="H275" s="990">
        <f t="shared" si="13"/>
        <v>0</v>
      </c>
      <c r="I275" s="407"/>
      <c r="J275" s="54"/>
    </row>
    <row r="276" spans="1:10" s="970" customFormat="1" ht="14.4">
      <c r="A276" s="977">
        <v>11718</v>
      </c>
      <c r="B276" s="991" t="s">
        <v>490</v>
      </c>
      <c r="C276" s="985"/>
      <c r="D276" s="986"/>
      <c r="E276" s="987"/>
      <c r="F276" s="988"/>
      <c r="G276" s="989">
        <f t="shared" si="12"/>
        <v>0</v>
      </c>
      <c r="H276" s="990">
        <f t="shared" si="13"/>
        <v>0</v>
      </c>
      <c r="I276" s="407"/>
      <c r="J276" s="54"/>
    </row>
    <row r="277" spans="1:10" s="970" customFormat="1" ht="14.4">
      <c r="A277" s="977">
        <v>925451</v>
      </c>
      <c r="B277" s="991" t="s">
        <v>284</v>
      </c>
      <c r="C277" s="985"/>
      <c r="D277" s="986"/>
      <c r="E277" s="987"/>
      <c r="F277" s="988"/>
      <c r="G277" s="989">
        <f t="shared" si="12"/>
        <v>0</v>
      </c>
      <c r="H277" s="990">
        <f t="shared" si="13"/>
        <v>0</v>
      </c>
      <c r="I277" s="407"/>
      <c r="J277" s="54"/>
    </row>
    <row r="278" spans="1:10" s="970" customFormat="1" ht="14.4">
      <c r="A278" s="977">
        <v>951206</v>
      </c>
      <c r="B278" s="991" t="s">
        <v>463</v>
      </c>
      <c r="C278" s="985"/>
      <c r="D278" s="986"/>
      <c r="E278" s="987"/>
      <c r="F278" s="988"/>
      <c r="G278" s="989">
        <f t="shared" si="12"/>
        <v>0</v>
      </c>
      <c r="H278" s="990">
        <f t="shared" si="13"/>
        <v>0</v>
      </c>
      <c r="I278" s="407"/>
      <c r="J278" s="54"/>
    </row>
    <row r="279" spans="1:10" s="970" customFormat="1" ht="15" thickBot="1">
      <c r="A279" s="984">
        <v>925404</v>
      </c>
      <c r="B279" s="991" t="s">
        <v>462</v>
      </c>
      <c r="C279" s="985"/>
      <c r="D279" s="986"/>
      <c r="E279" s="990"/>
      <c r="F279" s="992"/>
      <c r="G279" s="989">
        <f t="shared" si="12"/>
        <v>0</v>
      </c>
      <c r="H279" s="990">
        <f t="shared" si="13"/>
        <v>0</v>
      </c>
      <c r="I279" s="993"/>
      <c r="J279" s="54"/>
    </row>
    <row r="280" spans="1:10" s="970" customFormat="1" ht="13.8" thickBot="1">
      <c r="A280" s="339"/>
      <c r="B280" s="930" t="s">
        <v>72</v>
      </c>
      <c r="C280" s="409">
        <f t="shared" ref="C280:H280" si="14">SUM(C268:C279)</f>
        <v>0</v>
      </c>
      <c r="D280" s="410">
        <f t="shared" si="14"/>
        <v>0</v>
      </c>
      <c r="E280" s="351">
        <f t="shared" si="14"/>
        <v>0</v>
      </c>
      <c r="F280" s="351">
        <f t="shared" si="14"/>
        <v>0</v>
      </c>
      <c r="G280" s="351">
        <f t="shared" si="14"/>
        <v>0</v>
      </c>
      <c r="H280" s="351">
        <f t="shared" si="14"/>
        <v>0</v>
      </c>
      <c r="I280" s="54"/>
      <c r="J280" s="54"/>
    </row>
    <row r="281" spans="1:10" s="970" customFormat="1">
      <c r="A281" s="339"/>
      <c r="B281" s="360"/>
      <c r="C281" s="360"/>
      <c r="D281" s="361"/>
      <c r="E281" s="362"/>
      <c r="F281" s="362"/>
      <c r="G281" s="362"/>
      <c r="H281" s="362"/>
      <c r="I281" s="54"/>
      <c r="J281" s="54"/>
    </row>
    <row r="282" spans="1:10" s="970" customFormat="1">
      <c r="A282" s="339"/>
      <c r="B282" s="360"/>
      <c r="C282" s="360"/>
      <c r="D282" s="361"/>
      <c r="E282" s="362"/>
      <c r="F282" s="362"/>
      <c r="G282" s="362"/>
      <c r="H282" s="362"/>
      <c r="I282" s="54"/>
      <c r="J282" s="54"/>
    </row>
    <row r="283" spans="1:10" s="970" customFormat="1">
      <c r="A283" s="339"/>
      <c r="B283" s="360"/>
      <c r="C283" s="360"/>
      <c r="D283" s="361"/>
      <c r="E283" s="362"/>
      <c r="F283" s="362"/>
      <c r="G283" s="362"/>
      <c r="H283" s="362"/>
      <c r="I283" s="54"/>
      <c r="J283" s="54"/>
    </row>
    <row r="286" spans="1:10" ht="13.8" thickBot="1"/>
    <row r="287" spans="1:10" ht="15" thickBot="1">
      <c r="A287" s="1177" t="s">
        <v>478</v>
      </c>
      <c r="B287" s="340"/>
      <c r="C287" s="340"/>
      <c r="D287" s="340"/>
      <c r="E287" s="3938"/>
      <c r="F287" s="3938"/>
      <c r="G287" s="340"/>
      <c r="H287" s="673"/>
      <c r="I287" s="342"/>
    </row>
    <row r="288" spans="1:10" ht="13.8" thickBot="1">
      <c r="A288" s="343"/>
      <c r="B288" s="344"/>
      <c r="C288" s="344"/>
      <c r="D288" s="345"/>
      <c r="E288" s="3934" t="s">
        <v>267</v>
      </c>
      <c r="F288" s="3935"/>
      <c r="G288" s="3934" t="s">
        <v>154</v>
      </c>
      <c r="H288" s="3936"/>
      <c r="I288" s="346"/>
    </row>
    <row r="289" spans="1:9" ht="21.6" thickBot="1">
      <c r="A289" s="316" t="s">
        <v>133</v>
      </c>
      <c r="B289" s="338" t="s">
        <v>260</v>
      </c>
      <c r="C289" s="337" t="s">
        <v>261</v>
      </c>
      <c r="D289" s="338" t="s">
        <v>268</v>
      </c>
      <c r="E289" s="337" t="s">
        <v>261</v>
      </c>
      <c r="F289" s="337" t="s">
        <v>268</v>
      </c>
      <c r="G289" s="337" t="s">
        <v>261</v>
      </c>
      <c r="H289" s="317" t="s">
        <v>268</v>
      </c>
      <c r="I289" s="337" t="s">
        <v>269</v>
      </c>
    </row>
    <row r="290" spans="1:9" ht="15" thickBot="1">
      <c r="A290" s="944">
        <v>957377</v>
      </c>
      <c r="B290" s="945" t="s">
        <v>473</v>
      </c>
      <c r="C290" s="946"/>
      <c r="D290" s="947"/>
      <c r="E290" s="948">
        <f>+SUM('Planillas diarias trapasos'!B492)</f>
        <v>0</v>
      </c>
      <c r="F290" s="964">
        <v>0</v>
      </c>
      <c r="G290" s="550">
        <f>+C290-E290</f>
        <v>0</v>
      </c>
      <c r="H290" s="949">
        <f>+D290-F290</f>
        <v>0</v>
      </c>
      <c r="I290" s="965"/>
    </row>
    <row r="291" spans="1:9" ht="13.8" thickBot="1">
      <c r="A291" s="339"/>
      <c r="B291" s="930" t="s">
        <v>72</v>
      </c>
      <c r="C291" s="409">
        <f t="shared" ref="C291:H291" si="15">SUM(C290:C290)</f>
        <v>0</v>
      </c>
      <c r="D291" s="410">
        <f t="shared" si="15"/>
        <v>0</v>
      </c>
      <c r="E291" s="411">
        <f t="shared" si="15"/>
        <v>0</v>
      </c>
      <c r="F291" s="411">
        <f t="shared" si="15"/>
        <v>0</v>
      </c>
      <c r="G291" s="411">
        <f t="shared" si="15"/>
        <v>0</v>
      </c>
      <c r="H291" s="411">
        <f t="shared" si="15"/>
        <v>0</v>
      </c>
      <c r="I291" s="382"/>
    </row>
  </sheetData>
  <mergeCells count="97">
    <mergeCell ref="E287:F287"/>
    <mergeCell ref="E288:F288"/>
    <mergeCell ref="G288:H288"/>
    <mergeCell ref="E215:F215"/>
    <mergeCell ref="G215:H215"/>
    <mergeCell ref="G266:H266"/>
    <mergeCell ref="G259:H259"/>
    <mergeCell ref="E265:F265"/>
    <mergeCell ref="E266:F266"/>
    <mergeCell ref="E239:F239"/>
    <mergeCell ref="E240:F240"/>
    <mergeCell ref="E259:F259"/>
    <mergeCell ref="G240:H240"/>
    <mergeCell ref="E258:F258"/>
    <mergeCell ref="E232:F232"/>
    <mergeCell ref="G232:H232"/>
    <mergeCell ref="C127:D127"/>
    <mergeCell ref="A130:G130"/>
    <mergeCell ref="C115:D115"/>
    <mergeCell ref="A139:G139"/>
    <mergeCell ref="C116:D116"/>
    <mergeCell ref="C120:D120"/>
    <mergeCell ref="E196:F196"/>
    <mergeCell ref="G196:H196"/>
    <mergeCell ref="E187:F187"/>
    <mergeCell ref="E188:F188"/>
    <mergeCell ref="G188:H188"/>
    <mergeCell ref="E195:F195"/>
    <mergeCell ref="E214:F214"/>
    <mergeCell ref="E208:F208"/>
    <mergeCell ref="E207:F207"/>
    <mergeCell ref="E231:F231"/>
    <mergeCell ref="G208:H208"/>
    <mergeCell ref="C147:D147"/>
    <mergeCell ref="C148:D148"/>
    <mergeCell ref="A150:G150"/>
    <mergeCell ref="E182:F182"/>
    <mergeCell ref="G182:H182"/>
    <mergeCell ref="C182:D182"/>
    <mergeCell ref="E158:F158"/>
    <mergeCell ref="E164:F164"/>
    <mergeCell ref="G158:H158"/>
    <mergeCell ref="C174:D174"/>
    <mergeCell ref="C158:D158"/>
    <mergeCell ref="C164:D164"/>
    <mergeCell ref="G164:H164"/>
    <mergeCell ref="G174:H174"/>
    <mergeCell ref="E174:F174"/>
    <mergeCell ref="C99:D99"/>
    <mergeCell ref="A97:G97"/>
    <mergeCell ref="A66:B66"/>
    <mergeCell ref="D66:E66"/>
    <mergeCell ref="C82:D82"/>
    <mergeCell ref="A2:B2"/>
    <mergeCell ref="A3:B3"/>
    <mergeCell ref="A39:B39"/>
    <mergeCell ref="D39:E39"/>
    <mergeCell ref="A46:B46"/>
    <mergeCell ref="A9:B9"/>
    <mergeCell ref="A10:B10"/>
    <mergeCell ref="D46:E46"/>
    <mergeCell ref="A17:B17"/>
    <mergeCell ref="A18:B18"/>
    <mergeCell ref="A24:B24"/>
    <mergeCell ref="A25:B25"/>
    <mergeCell ref="A145:G145"/>
    <mergeCell ref="A124:G124"/>
    <mergeCell ref="D52:E52"/>
    <mergeCell ref="A52:B52"/>
    <mergeCell ref="C89:D89"/>
    <mergeCell ref="C100:D100"/>
    <mergeCell ref="D58:E58"/>
    <mergeCell ref="C92:D92"/>
    <mergeCell ref="C79:D79"/>
    <mergeCell ref="A86:G86"/>
    <mergeCell ref="C88:D88"/>
    <mergeCell ref="C83:D83"/>
    <mergeCell ref="C81:D81"/>
    <mergeCell ref="C80:D80"/>
    <mergeCell ref="C90:D90"/>
    <mergeCell ref="A77:G77"/>
    <mergeCell ref="A113:G113"/>
    <mergeCell ref="C121:D121"/>
    <mergeCell ref="A118:G118"/>
    <mergeCell ref="C126:D126"/>
    <mergeCell ref="A31:B31"/>
    <mergeCell ref="A32:B32"/>
    <mergeCell ref="C109:D109"/>
    <mergeCell ref="C110:D110"/>
    <mergeCell ref="A102:G102"/>
    <mergeCell ref="C104:D104"/>
    <mergeCell ref="C105:D105"/>
    <mergeCell ref="A107:G107"/>
    <mergeCell ref="A58:B58"/>
    <mergeCell ref="C94:D94"/>
    <mergeCell ref="C93:D93"/>
    <mergeCell ref="C95:D95"/>
  </mergeCell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sheetPr>
    <tabColor theme="0"/>
  </sheetPr>
  <dimension ref="A2:AI544"/>
  <sheetViews>
    <sheetView workbookViewId="0">
      <selection activeCell="AG41" sqref="AG41"/>
    </sheetView>
  </sheetViews>
  <sheetFormatPr baseColWidth="10" defaultRowHeight="13.2"/>
  <cols>
    <col min="1" max="1" width="16.109375" customWidth="1"/>
    <col min="2" max="2" width="19.44140625" customWidth="1"/>
    <col min="3" max="3" width="21.109375" customWidth="1"/>
    <col min="4" max="4" width="7.6640625" customWidth="1"/>
    <col min="5" max="5" width="9" customWidth="1"/>
    <col min="6" max="6" width="7.6640625" customWidth="1"/>
    <col min="7" max="7" width="10.88671875" customWidth="1"/>
    <col min="8" max="8" width="10.33203125" customWidth="1"/>
    <col min="9" max="9" width="7" bestFit="1" customWidth="1"/>
    <col min="10" max="10" width="8.109375" bestFit="1" customWidth="1"/>
    <col min="11" max="14" width="7" bestFit="1" customWidth="1"/>
    <col min="15" max="15" width="7.44140625" bestFit="1" customWidth="1"/>
    <col min="16" max="16" width="6.5546875" bestFit="1" customWidth="1"/>
    <col min="17" max="19" width="7" bestFit="1" customWidth="1"/>
    <col min="20" max="20" width="7.44140625" bestFit="1" customWidth="1"/>
    <col min="21" max="21" width="7.6640625" bestFit="1" customWidth="1"/>
    <col min="22" max="23" width="7.44140625" bestFit="1" customWidth="1"/>
    <col min="24" max="24" width="8" customWidth="1"/>
    <col min="25" max="27" width="7" bestFit="1" customWidth="1"/>
    <col min="28" max="28" width="6.5546875" customWidth="1"/>
    <col min="29" max="29" width="9.109375" customWidth="1"/>
    <col min="30" max="30" width="7.44140625" customWidth="1"/>
    <col min="31" max="31" width="7.109375" customWidth="1"/>
    <col min="32" max="32" width="8.109375" customWidth="1"/>
    <col min="33" max="33" width="7.88671875" customWidth="1"/>
    <col min="34" max="34" width="8.88671875" customWidth="1"/>
    <col min="35" max="35" width="19" bestFit="1" customWidth="1"/>
  </cols>
  <sheetData>
    <row r="2" spans="1:34" ht="13.8">
      <c r="A2" s="191" t="s">
        <v>271</v>
      </c>
      <c r="B2" s="192"/>
      <c r="C2" s="193"/>
      <c r="D2" s="218"/>
      <c r="E2" s="218"/>
      <c r="F2" s="430"/>
      <c r="G2" s="430"/>
      <c r="H2" s="716"/>
      <c r="I2" s="218"/>
      <c r="J2" s="218"/>
      <c r="K2" s="218"/>
      <c r="L2" s="218"/>
      <c r="M2" s="219"/>
      <c r="N2" s="218"/>
      <c r="O2" s="218"/>
      <c r="P2" s="218"/>
      <c r="Q2" s="218"/>
      <c r="R2" s="218"/>
      <c r="S2" s="218"/>
      <c r="T2" s="218"/>
      <c r="U2" s="218"/>
      <c r="V2" s="218"/>
      <c r="W2" s="218"/>
      <c r="X2" s="218"/>
      <c r="Y2" s="218"/>
      <c r="Z2" s="218"/>
      <c r="AA2" s="218"/>
      <c r="AB2" s="218"/>
      <c r="AC2" s="218"/>
      <c r="AD2" s="218"/>
      <c r="AE2" s="218"/>
      <c r="AF2" s="218"/>
      <c r="AG2" s="218"/>
      <c r="AH2" s="174"/>
    </row>
    <row r="3" spans="1:34" ht="13.8">
      <c r="A3" s="146" t="s">
        <v>70</v>
      </c>
      <c r="B3" s="220" t="s">
        <v>71</v>
      </c>
      <c r="C3" s="366">
        <v>1</v>
      </c>
      <c r="D3" s="366">
        <v>2</v>
      </c>
      <c r="E3" s="366">
        <v>3</v>
      </c>
      <c r="F3" s="366">
        <v>4</v>
      </c>
      <c r="G3" s="366">
        <v>5</v>
      </c>
      <c r="H3" s="366">
        <v>6</v>
      </c>
      <c r="I3" s="366">
        <v>7</v>
      </c>
      <c r="J3" s="366">
        <v>8</v>
      </c>
      <c r="K3" s="366">
        <v>9</v>
      </c>
      <c r="L3" s="366">
        <v>10</v>
      </c>
      <c r="M3" s="366">
        <v>11</v>
      </c>
      <c r="N3" s="366">
        <v>12</v>
      </c>
      <c r="O3" s="366">
        <v>13</v>
      </c>
      <c r="P3" s="366">
        <v>14</v>
      </c>
      <c r="Q3" s="366">
        <v>15</v>
      </c>
      <c r="R3" s="366">
        <v>16</v>
      </c>
      <c r="S3" s="366">
        <v>17</v>
      </c>
      <c r="T3" s="234">
        <v>18</v>
      </c>
      <c r="U3" s="234">
        <v>19</v>
      </c>
      <c r="V3" s="234">
        <v>20</v>
      </c>
      <c r="W3" s="234">
        <v>21</v>
      </c>
      <c r="X3" s="234">
        <v>22</v>
      </c>
      <c r="Y3" s="234">
        <v>23</v>
      </c>
      <c r="Z3" s="234">
        <v>24</v>
      </c>
      <c r="AA3" s="234">
        <v>25</v>
      </c>
      <c r="AB3" s="234">
        <v>26</v>
      </c>
      <c r="AC3" s="234">
        <v>27</v>
      </c>
      <c r="AD3" s="234">
        <v>28</v>
      </c>
      <c r="AE3" s="234">
        <v>29</v>
      </c>
      <c r="AF3" s="234">
        <v>30</v>
      </c>
      <c r="AG3" s="234">
        <v>31</v>
      </c>
      <c r="AH3" s="221" t="s">
        <v>50</v>
      </c>
    </row>
    <row r="4" spans="1:34" ht="13.8">
      <c r="A4" s="147" t="s">
        <v>73</v>
      </c>
      <c r="B4" s="213">
        <f t="shared" ref="B4:B7" si="0">+AH4</f>
        <v>0</v>
      </c>
      <c r="C4" s="367"/>
      <c r="D4" s="367"/>
      <c r="E4" s="367"/>
      <c r="F4" s="367"/>
      <c r="G4" s="367"/>
      <c r="H4" s="367"/>
      <c r="I4" s="367"/>
      <c r="J4" s="367"/>
      <c r="K4" s="367"/>
      <c r="L4" s="367"/>
      <c r="M4" s="367"/>
      <c r="N4" s="367"/>
      <c r="O4" s="367"/>
      <c r="P4" s="367"/>
      <c r="Q4" s="367"/>
      <c r="R4" s="367"/>
      <c r="S4" s="367"/>
      <c r="T4" s="226"/>
      <c r="U4" s="226"/>
      <c r="V4" s="226"/>
      <c r="W4" s="226"/>
      <c r="X4" s="226"/>
      <c r="Y4" s="226"/>
      <c r="Z4" s="226"/>
      <c r="AA4" s="226"/>
      <c r="AB4" s="226"/>
      <c r="AC4" s="226"/>
      <c r="AD4" s="226"/>
      <c r="AE4" s="226"/>
      <c r="AF4" s="226"/>
      <c r="AG4" s="226"/>
      <c r="AH4" s="222">
        <f>SUM(C4:AG4)</f>
        <v>0</v>
      </c>
    </row>
    <row r="5" spans="1:34" ht="13.8">
      <c r="A5" s="147" t="s">
        <v>74</v>
      </c>
      <c r="B5" s="213">
        <f t="shared" si="0"/>
        <v>0</v>
      </c>
      <c r="C5" s="367"/>
      <c r="D5" s="367"/>
      <c r="E5" s="367"/>
      <c r="F5" s="367"/>
      <c r="G5" s="367"/>
      <c r="H5" s="367"/>
      <c r="I5" s="367"/>
      <c r="J5" s="367"/>
      <c r="K5" s="367"/>
      <c r="L5" s="367"/>
      <c r="M5" s="367"/>
      <c r="N5" s="367"/>
      <c r="O5" s="367"/>
      <c r="P5" s="367"/>
      <c r="Q5" s="367"/>
      <c r="R5" s="367"/>
      <c r="S5" s="367"/>
      <c r="T5" s="226"/>
      <c r="U5" s="226"/>
      <c r="V5" s="226"/>
      <c r="W5" s="226"/>
      <c r="X5" s="226"/>
      <c r="Y5" s="226"/>
      <c r="Z5" s="226"/>
      <c r="AA5" s="226"/>
      <c r="AB5" s="226"/>
      <c r="AC5" s="226"/>
      <c r="AD5" s="226"/>
      <c r="AE5" s="226"/>
      <c r="AF5" s="226"/>
      <c r="AG5" s="226"/>
      <c r="AH5" s="222">
        <f>SUM(C5:AG5)</f>
        <v>0</v>
      </c>
    </row>
    <row r="6" spans="1:34" ht="13.8">
      <c r="A6" s="147" t="s">
        <v>75</v>
      </c>
      <c r="B6" s="213">
        <f t="shared" si="0"/>
        <v>0</v>
      </c>
      <c r="C6" s="367"/>
      <c r="D6" s="367"/>
      <c r="E6" s="367"/>
      <c r="F6" s="367"/>
      <c r="G6" s="367"/>
      <c r="H6" s="367"/>
      <c r="I6" s="367"/>
      <c r="J6" s="367"/>
      <c r="K6" s="367"/>
      <c r="L6" s="367"/>
      <c r="M6" s="367"/>
      <c r="N6" s="367"/>
      <c r="O6" s="367"/>
      <c r="P6" s="367"/>
      <c r="Q6" s="367"/>
      <c r="R6" s="367"/>
      <c r="S6" s="367"/>
      <c r="T6" s="226"/>
      <c r="U6" s="226"/>
      <c r="V6" s="226"/>
      <c r="W6" s="226"/>
      <c r="X6" s="226"/>
      <c r="Y6" s="226"/>
      <c r="Z6" s="226"/>
      <c r="AA6" s="226"/>
      <c r="AB6" s="226"/>
      <c r="AC6" s="226"/>
      <c r="AD6" s="226"/>
      <c r="AE6" s="226"/>
      <c r="AF6" s="226"/>
      <c r="AG6" s="226"/>
      <c r="AH6" s="222">
        <f>SUM(C6:AG6)</f>
        <v>0</v>
      </c>
    </row>
    <row r="7" spans="1:34" ht="13.8">
      <c r="A7" s="147" t="s">
        <v>76</v>
      </c>
      <c r="B7" s="213">
        <f t="shared" si="0"/>
        <v>0</v>
      </c>
      <c r="C7" s="368"/>
      <c r="D7" s="368"/>
      <c r="E7" s="368"/>
      <c r="F7" s="368"/>
      <c r="G7" s="368"/>
      <c r="H7" s="368"/>
      <c r="I7" s="368"/>
      <c r="J7" s="368"/>
      <c r="K7" s="368"/>
      <c r="L7" s="368"/>
      <c r="M7" s="368"/>
      <c r="N7" s="368"/>
      <c r="O7" s="368"/>
      <c r="P7" s="368"/>
      <c r="Q7" s="368"/>
      <c r="R7" s="368"/>
      <c r="S7" s="368"/>
      <c r="T7" s="238"/>
      <c r="U7" s="238"/>
      <c r="V7" s="238"/>
      <c r="W7" s="238"/>
      <c r="X7" s="238"/>
      <c r="Y7" s="238"/>
      <c r="Z7" s="238"/>
      <c r="AA7" s="238"/>
      <c r="AB7" s="238"/>
      <c r="AC7" s="238"/>
      <c r="AD7" s="238"/>
      <c r="AE7" s="238"/>
      <c r="AF7" s="238"/>
      <c r="AG7" s="238"/>
      <c r="AH7" s="222">
        <f t="shared" ref="AH7:AH16" si="1">SUM(C7:AG7)</f>
        <v>0</v>
      </c>
    </row>
    <row r="8" spans="1:34" ht="13.8">
      <c r="A8" s="147" t="s">
        <v>77</v>
      </c>
      <c r="B8" s="213">
        <f t="shared" ref="B8:B15" si="2">+AH8</f>
        <v>0</v>
      </c>
      <c r="C8" s="368"/>
      <c r="D8" s="368"/>
      <c r="E8" s="368"/>
      <c r="F8" s="368"/>
      <c r="G8" s="368"/>
      <c r="H8" s="368"/>
      <c r="I8" s="368"/>
      <c r="J8" s="368"/>
      <c r="K8" s="368"/>
      <c r="L8" s="368"/>
      <c r="M8" s="368"/>
      <c r="N8" s="368"/>
      <c r="O8" s="368"/>
      <c r="P8" s="368"/>
      <c r="Q8" s="368"/>
      <c r="R8" s="368"/>
      <c r="S8" s="368"/>
      <c r="T8" s="238"/>
      <c r="U8" s="238"/>
      <c r="V8" s="238"/>
      <c r="W8" s="238"/>
      <c r="X8" s="238"/>
      <c r="Y8" s="238"/>
      <c r="Z8" s="238"/>
      <c r="AA8" s="238"/>
      <c r="AB8" s="223"/>
      <c r="AC8" s="223"/>
      <c r="AD8" s="223"/>
      <c r="AE8" s="223"/>
      <c r="AF8" s="223"/>
      <c r="AG8" s="223"/>
      <c r="AH8" s="222">
        <f t="shared" si="1"/>
        <v>0</v>
      </c>
    </row>
    <row r="9" spans="1:34" ht="13.8">
      <c r="A9" s="147" t="s">
        <v>78</v>
      </c>
      <c r="B9" s="213">
        <f t="shared" si="2"/>
        <v>0</v>
      </c>
      <c r="C9" s="369"/>
      <c r="D9" s="370"/>
      <c r="E9" s="370"/>
      <c r="F9" s="370"/>
      <c r="G9" s="370"/>
      <c r="H9" s="370"/>
      <c r="I9" s="370"/>
      <c r="J9" s="370"/>
      <c r="K9" s="370"/>
      <c r="L9" s="370"/>
      <c r="M9" s="370"/>
      <c r="N9" s="370"/>
      <c r="O9" s="370"/>
      <c r="P9" s="370"/>
      <c r="Q9" s="370"/>
      <c r="R9" s="370"/>
      <c r="S9" s="370"/>
      <c r="T9" s="223"/>
      <c r="U9" s="223"/>
      <c r="V9" s="223"/>
      <c r="W9" s="223"/>
      <c r="X9" s="223"/>
      <c r="Y9" s="223"/>
      <c r="Z9" s="223"/>
      <c r="AA9" s="223"/>
      <c r="AB9" s="223"/>
      <c r="AC9" s="223"/>
      <c r="AD9" s="223"/>
      <c r="AE9" s="223"/>
      <c r="AF9" s="223"/>
      <c r="AG9" s="223"/>
      <c r="AH9" s="222">
        <f t="shared" si="1"/>
        <v>0</v>
      </c>
    </row>
    <row r="10" spans="1:34" ht="13.8">
      <c r="A10" s="159" t="s">
        <v>79</v>
      </c>
      <c r="B10" s="213">
        <f t="shared" si="2"/>
        <v>0</v>
      </c>
      <c r="C10" s="369"/>
      <c r="D10" s="370"/>
      <c r="E10" s="370"/>
      <c r="F10" s="370"/>
      <c r="G10" s="370"/>
      <c r="H10" s="370"/>
      <c r="I10" s="370"/>
      <c r="J10" s="370"/>
      <c r="K10" s="370"/>
      <c r="L10" s="370"/>
      <c r="M10" s="370"/>
      <c r="N10" s="370"/>
      <c r="O10" s="370"/>
      <c r="P10" s="370"/>
      <c r="Q10" s="370"/>
      <c r="R10" s="370"/>
      <c r="S10" s="370"/>
      <c r="T10" s="223"/>
      <c r="U10" s="223"/>
      <c r="V10" s="223"/>
      <c r="W10" s="223"/>
      <c r="X10" s="223"/>
      <c r="Y10" s="223"/>
      <c r="Z10" s="223"/>
      <c r="AA10" s="223"/>
      <c r="AB10" s="223"/>
      <c r="AC10" s="223"/>
      <c r="AD10" s="223"/>
      <c r="AE10" s="223"/>
      <c r="AF10" s="223"/>
      <c r="AG10" s="223"/>
      <c r="AH10" s="222">
        <f t="shared" si="1"/>
        <v>0</v>
      </c>
    </row>
    <row r="11" spans="1:34" ht="13.8">
      <c r="A11" s="159" t="s">
        <v>80</v>
      </c>
      <c r="B11" s="213">
        <f t="shared" si="2"/>
        <v>0</v>
      </c>
      <c r="C11" s="369"/>
      <c r="D11" s="370"/>
      <c r="E11" s="370"/>
      <c r="F11" s="370"/>
      <c r="G11" s="370"/>
      <c r="H11" s="370"/>
      <c r="I11" s="370"/>
      <c r="J11" s="370"/>
      <c r="K11" s="370"/>
      <c r="L11" s="370"/>
      <c r="M11" s="370"/>
      <c r="N11" s="370"/>
      <c r="O11" s="370"/>
      <c r="P11" s="370"/>
      <c r="Q11" s="370"/>
      <c r="R11" s="370"/>
      <c r="S11" s="370"/>
      <c r="T11" s="223"/>
      <c r="U11" s="223"/>
      <c r="V11" s="223"/>
      <c r="W11" s="223"/>
      <c r="X11" s="223"/>
      <c r="Y11" s="223"/>
      <c r="Z11" s="223"/>
      <c r="AA11" s="223"/>
      <c r="AB11" s="223"/>
      <c r="AC11" s="223"/>
      <c r="AD11" s="223"/>
      <c r="AE11" s="223"/>
      <c r="AF11" s="223"/>
      <c r="AG11" s="223"/>
      <c r="AH11" s="222">
        <f t="shared" si="1"/>
        <v>0</v>
      </c>
    </row>
    <row r="12" spans="1:34" ht="13.8">
      <c r="A12" s="159" t="s">
        <v>81</v>
      </c>
      <c r="B12" s="213">
        <f t="shared" si="2"/>
        <v>0</v>
      </c>
      <c r="C12" s="369"/>
      <c r="D12" s="370"/>
      <c r="E12" s="370"/>
      <c r="F12" s="370"/>
      <c r="G12" s="370"/>
      <c r="H12" s="370"/>
      <c r="I12" s="370"/>
      <c r="J12" s="370"/>
      <c r="K12" s="370"/>
      <c r="L12" s="370"/>
      <c r="M12" s="370"/>
      <c r="N12" s="370"/>
      <c r="O12" s="370"/>
      <c r="P12" s="370"/>
      <c r="Q12" s="370"/>
      <c r="R12" s="370"/>
      <c r="S12" s="370"/>
      <c r="T12" s="223"/>
      <c r="U12" s="223"/>
      <c r="V12" s="223"/>
      <c r="W12" s="223"/>
      <c r="X12" s="223"/>
      <c r="Y12" s="223"/>
      <c r="Z12" s="223"/>
      <c r="AA12" s="223"/>
      <c r="AB12" s="223"/>
      <c r="AC12" s="223"/>
      <c r="AD12" s="223"/>
      <c r="AE12" s="223"/>
      <c r="AF12" s="223"/>
      <c r="AG12" s="223"/>
      <c r="AH12" s="222">
        <f t="shared" si="1"/>
        <v>0</v>
      </c>
    </row>
    <row r="13" spans="1:34" ht="13.8">
      <c r="A13" s="159" t="s">
        <v>82</v>
      </c>
      <c r="B13" s="213">
        <f t="shared" si="2"/>
        <v>0</v>
      </c>
      <c r="C13" s="369"/>
      <c r="D13" s="370"/>
      <c r="E13" s="370"/>
      <c r="F13" s="370"/>
      <c r="G13" s="370"/>
      <c r="H13" s="370"/>
      <c r="I13" s="370"/>
      <c r="J13" s="370"/>
      <c r="K13" s="370"/>
      <c r="L13" s="370"/>
      <c r="M13" s="370"/>
      <c r="N13" s="370"/>
      <c r="O13" s="370"/>
      <c r="P13" s="370"/>
      <c r="Q13" s="370"/>
      <c r="R13" s="370"/>
      <c r="S13" s="370"/>
      <c r="T13" s="223"/>
      <c r="U13" s="223"/>
      <c r="V13" s="223"/>
      <c r="W13" s="223"/>
      <c r="X13" s="223"/>
      <c r="Y13" s="223"/>
      <c r="Z13" s="223"/>
      <c r="AA13" s="223"/>
      <c r="AB13" s="223"/>
      <c r="AC13" s="223"/>
      <c r="AD13" s="223"/>
      <c r="AE13" s="223"/>
      <c r="AF13" s="223"/>
      <c r="AG13" s="223"/>
      <c r="AH13" s="222">
        <f t="shared" si="1"/>
        <v>0</v>
      </c>
    </row>
    <row r="14" spans="1:34" ht="13.8">
      <c r="A14" s="159" t="s">
        <v>83</v>
      </c>
      <c r="B14" s="213">
        <f t="shared" si="2"/>
        <v>0</v>
      </c>
      <c r="C14" s="1092"/>
      <c r="D14" s="1092"/>
      <c r="E14" s="1092"/>
      <c r="F14" s="1092"/>
      <c r="G14" s="1092"/>
      <c r="H14" s="1092"/>
      <c r="I14" s="1092"/>
      <c r="J14" s="1092"/>
      <c r="K14" s="1092"/>
      <c r="L14" s="1092"/>
      <c r="M14" s="1092"/>
      <c r="N14" s="1092"/>
      <c r="O14" s="1092"/>
      <c r="P14" s="1092"/>
      <c r="Q14" s="1092"/>
      <c r="R14" s="1092"/>
      <c r="S14" s="1092"/>
      <c r="T14" s="1092"/>
      <c r="U14" s="1092"/>
      <c r="V14" s="1092"/>
      <c r="W14" s="1092"/>
      <c r="X14" s="1092"/>
      <c r="Y14" s="1092"/>
      <c r="Z14" s="1092"/>
      <c r="AA14" s="1092"/>
      <c r="AB14" s="1188"/>
      <c r="AC14" s="1188"/>
      <c r="AD14" s="1092"/>
      <c r="AE14" s="1092"/>
      <c r="AF14" s="1092"/>
      <c r="AG14" s="1092"/>
      <c r="AH14" s="222">
        <f t="shared" si="1"/>
        <v>0</v>
      </c>
    </row>
    <row r="15" spans="1:34" ht="13.8">
      <c r="A15" s="159" t="s">
        <v>84</v>
      </c>
      <c r="B15" s="213">
        <f t="shared" si="2"/>
        <v>0</v>
      </c>
      <c r="C15" s="369">
        <v>0</v>
      </c>
      <c r="D15" s="370">
        <v>0</v>
      </c>
      <c r="E15" s="370">
        <v>0</v>
      </c>
      <c r="F15" s="370">
        <v>0</v>
      </c>
      <c r="G15" s="370">
        <v>0</v>
      </c>
      <c r="H15" s="370">
        <v>0</v>
      </c>
      <c r="I15" s="370">
        <v>0</v>
      </c>
      <c r="J15" s="370">
        <v>0</v>
      </c>
      <c r="K15" s="370">
        <v>0</v>
      </c>
      <c r="L15" s="1149"/>
      <c r="M15" s="370">
        <v>0</v>
      </c>
      <c r="N15" s="370">
        <v>0</v>
      </c>
      <c r="O15" s="370">
        <v>0</v>
      </c>
      <c r="P15" s="370">
        <v>0</v>
      </c>
      <c r="Q15" s="370">
        <v>0</v>
      </c>
      <c r="R15" s="370">
        <v>0</v>
      </c>
      <c r="S15" s="370">
        <v>0</v>
      </c>
      <c r="T15" s="223">
        <v>0</v>
      </c>
      <c r="U15" s="223">
        <v>0</v>
      </c>
      <c r="V15" s="223">
        <v>0</v>
      </c>
      <c r="W15" s="223">
        <v>0</v>
      </c>
      <c r="X15" s="223">
        <v>0</v>
      </c>
      <c r="Y15" s="223">
        <v>0</v>
      </c>
      <c r="Z15" s="223">
        <v>0</v>
      </c>
      <c r="AA15" s="223">
        <v>0</v>
      </c>
      <c r="AB15" s="223">
        <v>0</v>
      </c>
      <c r="AC15" s="223">
        <v>0</v>
      </c>
      <c r="AD15" s="223">
        <v>0</v>
      </c>
      <c r="AE15" s="223">
        <v>0</v>
      </c>
      <c r="AF15" s="223">
        <v>0</v>
      </c>
      <c r="AG15" s="223">
        <v>0</v>
      </c>
      <c r="AH15" s="222">
        <f t="shared" si="1"/>
        <v>0</v>
      </c>
    </row>
    <row r="16" spans="1:34" ht="13.8">
      <c r="A16" s="154" t="s">
        <v>50</v>
      </c>
      <c r="B16" s="224">
        <f>SUM(B4:B15)</f>
        <v>0</v>
      </c>
      <c r="C16" s="371"/>
      <c r="D16" s="371"/>
      <c r="E16" s="371"/>
      <c r="F16" s="371"/>
      <c r="G16" s="371"/>
      <c r="H16" s="371"/>
      <c r="I16" s="371"/>
      <c r="J16" s="371"/>
      <c r="K16" s="371"/>
      <c r="L16" s="371"/>
      <c r="M16" s="371"/>
      <c r="N16" s="371"/>
      <c r="O16" s="371"/>
      <c r="P16" s="371"/>
      <c r="Q16" s="371"/>
      <c r="R16" s="371"/>
      <c r="S16" s="371"/>
      <c r="T16" s="225"/>
      <c r="U16" s="225"/>
      <c r="V16" s="225"/>
      <c r="W16" s="225"/>
      <c r="X16" s="225"/>
      <c r="Y16" s="225"/>
      <c r="Z16" s="225"/>
      <c r="AA16" s="225"/>
      <c r="AB16" s="225"/>
      <c r="AC16" s="225"/>
      <c r="AD16" s="225"/>
      <c r="AE16" s="225"/>
      <c r="AF16" s="225"/>
      <c r="AG16" s="225"/>
      <c r="AH16" s="222">
        <f t="shared" si="1"/>
        <v>0</v>
      </c>
    </row>
    <row r="17" spans="1:34">
      <c r="A17" s="239" t="s">
        <v>237</v>
      </c>
      <c r="B17" s="956"/>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row>
    <row r="18" spans="1:34" ht="13.8">
      <c r="A18" s="241" t="s">
        <v>66</v>
      </c>
      <c r="B18" s="956">
        <f>+B17-B16</f>
        <v>0</v>
      </c>
      <c r="C18" s="1094"/>
    </row>
    <row r="19" spans="1:34" ht="13.8">
      <c r="A19" s="379"/>
      <c r="B19" s="380"/>
    </row>
    <row r="20" spans="1:34" ht="13.8">
      <c r="A20" s="379"/>
      <c r="B20" s="380"/>
    </row>
    <row r="21" spans="1:34" ht="13.8">
      <c r="A21" s="191" t="s">
        <v>277</v>
      </c>
      <c r="B21" s="192"/>
      <c r="C21" s="193"/>
      <c r="D21" s="218"/>
      <c r="E21" s="218"/>
      <c r="F21" s="218"/>
      <c r="G21" s="218"/>
      <c r="H21" s="218"/>
      <c r="I21" s="218"/>
      <c r="J21" s="218"/>
      <c r="K21" s="218"/>
      <c r="L21" s="218"/>
      <c r="M21" s="219"/>
      <c r="N21" s="218"/>
      <c r="O21" s="218"/>
      <c r="P21" s="218"/>
      <c r="Q21" s="218"/>
      <c r="R21" s="218"/>
      <c r="S21" s="218"/>
      <c r="T21" s="218"/>
      <c r="U21" s="218"/>
      <c r="V21" s="218"/>
      <c r="W21" s="218"/>
      <c r="X21" s="218"/>
      <c r="Y21" s="218"/>
      <c r="Z21" s="218"/>
      <c r="AA21" s="218"/>
      <c r="AB21" s="218"/>
      <c r="AC21" s="218"/>
      <c r="AD21" s="218"/>
      <c r="AE21" s="218"/>
      <c r="AF21" s="218"/>
      <c r="AG21" s="218"/>
      <c r="AH21" s="174"/>
    </row>
    <row r="22" spans="1:34" ht="13.8">
      <c r="A22" s="146" t="s">
        <v>70</v>
      </c>
      <c r="B22" s="220" t="s">
        <v>71</v>
      </c>
      <c r="C22" s="366">
        <v>1</v>
      </c>
      <c r="D22" s="366">
        <v>2</v>
      </c>
      <c r="E22" s="366">
        <v>3</v>
      </c>
      <c r="F22" s="366">
        <v>4</v>
      </c>
      <c r="G22" s="366">
        <v>5</v>
      </c>
      <c r="H22" s="366">
        <v>6</v>
      </c>
      <c r="I22" s="366">
        <v>7</v>
      </c>
      <c r="J22" s="366">
        <v>8</v>
      </c>
      <c r="K22" s="366">
        <v>9</v>
      </c>
      <c r="L22" s="366">
        <v>10</v>
      </c>
      <c r="M22" s="366">
        <v>11</v>
      </c>
      <c r="N22" s="366">
        <v>12</v>
      </c>
      <c r="O22" s="366">
        <v>13</v>
      </c>
      <c r="P22" s="366">
        <v>14</v>
      </c>
      <c r="Q22" s="366">
        <v>15</v>
      </c>
      <c r="R22" s="366">
        <v>16</v>
      </c>
      <c r="S22" s="366">
        <v>17</v>
      </c>
      <c r="T22" s="234">
        <v>18</v>
      </c>
      <c r="U22" s="234">
        <v>19</v>
      </c>
      <c r="V22" s="234">
        <v>20</v>
      </c>
      <c r="W22" s="234">
        <v>21</v>
      </c>
      <c r="X22" s="234">
        <v>22</v>
      </c>
      <c r="Y22" s="234">
        <v>23</v>
      </c>
      <c r="Z22" s="234">
        <v>24</v>
      </c>
      <c r="AA22" s="234">
        <v>25</v>
      </c>
      <c r="AB22" s="234">
        <v>26</v>
      </c>
      <c r="AC22" s="234">
        <v>27</v>
      </c>
      <c r="AD22" s="234">
        <v>28</v>
      </c>
      <c r="AE22" s="234">
        <v>29</v>
      </c>
      <c r="AF22" s="234">
        <v>30</v>
      </c>
      <c r="AG22" s="234">
        <v>31</v>
      </c>
      <c r="AH22" s="221" t="s">
        <v>50</v>
      </c>
    </row>
    <row r="23" spans="1:34" ht="13.8">
      <c r="A23" s="147" t="s">
        <v>73</v>
      </c>
      <c r="B23" s="213">
        <f t="shared" ref="B23:B27" si="3">+AH23</f>
        <v>0</v>
      </c>
      <c r="C23" s="367"/>
      <c r="D23" s="367"/>
      <c r="E23" s="367"/>
      <c r="F23" s="367"/>
      <c r="G23" s="367"/>
      <c r="H23" s="367"/>
      <c r="I23" s="367"/>
      <c r="J23" s="367"/>
      <c r="K23" s="367"/>
      <c r="L23" s="367"/>
      <c r="M23" s="367"/>
      <c r="N23" s="367"/>
      <c r="O23" s="367"/>
      <c r="P23" s="367"/>
      <c r="Q23" s="367"/>
      <c r="R23" s="367"/>
      <c r="S23" s="367"/>
      <c r="T23" s="367"/>
      <c r="U23" s="367"/>
      <c r="V23" s="367"/>
      <c r="W23" s="367"/>
      <c r="X23" s="367"/>
      <c r="Y23" s="367"/>
      <c r="Z23" s="367"/>
      <c r="AA23" s="367"/>
      <c r="AB23" s="367"/>
      <c r="AC23" s="367"/>
      <c r="AD23" s="367"/>
      <c r="AE23" s="367"/>
      <c r="AF23" s="367"/>
      <c r="AG23" s="367"/>
      <c r="AH23" s="222">
        <f>SUM(C23:AG23)</f>
        <v>0</v>
      </c>
    </row>
    <row r="24" spans="1:34" ht="13.8">
      <c r="A24" s="147" t="s">
        <v>74</v>
      </c>
      <c r="B24" s="213">
        <f t="shared" si="3"/>
        <v>0</v>
      </c>
      <c r="C24" s="367"/>
      <c r="D24" s="367"/>
      <c r="E24" s="367"/>
      <c r="F24" s="367"/>
      <c r="G24" s="367"/>
      <c r="H24" s="367"/>
      <c r="I24" s="367"/>
      <c r="J24" s="367"/>
      <c r="K24" s="367"/>
      <c r="L24" s="367"/>
      <c r="M24" s="367"/>
      <c r="N24" s="367"/>
      <c r="O24" s="367"/>
      <c r="P24" s="367"/>
      <c r="Q24" s="367"/>
      <c r="R24" s="367"/>
      <c r="S24" s="367"/>
      <c r="T24" s="367"/>
      <c r="U24" s="367"/>
      <c r="V24" s="367"/>
      <c r="W24" s="367"/>
      <c r="X24" s="367"/>
      <c r="Y24" s="367"/>
      <c r="Z24" s="367"/>
      <c r="AA24" s="367"/>
      <c r="AB24" s="367"/>
      <c r="AC24" s="367"/>
      <c r="AD24" s="367"/>
      <c r="AE24" s="367"/>
      <c r="AF24" s="367"/>
      <c r="AG24" s="367"/>
      <c r="AH24" s="222">
        <f>SUM(C24:AG24)</f>
        <v>0</v>
      </c>
    </row>
    <row r="25" spans="1:34" ht="13.8">
      <c r="A25" s="147" t="s">
        <v>75</v>
      </c>
      <c r="B25" s="213">
        <f t="shared" si="3"/>
        <v>0</v>
      </c>
      <c r="C25" s="367"/>
      <c r="D25" s="367"/>
      <c r="E25" s="367"/>
      <c r="F25" s="367"/>
      <c r="G25" s="367"/>
      <c r="H25" s="367"/>
      <c r="I25" s="367"/>
      <c r="J25" s="367"/>
      <c r="K25" s="367"/>
      <c r="L25" s="367"/>
      <c r="M25" s="367"/>
      <c r="N25" s="367"/>
      <c r="O25" s="367"/>
      <c r="P25" s="367"/>
      <c r="Q25" s="367"/>
      <c r="R25" s="367"/>
      <c r="S25" s="367"/>
      <c r="T25" s="367"/>
      <c r="U25" s="367"/>
      <c r="V25" s="367"/>
      <c r="W25" s="367"/>
      <c r="X25" s="367"/>
      <c r="Y25" s="367"/>
      <c r="Z25" s="367"/>
      <c r="AA25" s="367"/>
      <c r="AB25" s="367"/>
      <c r="AC25" s="367"/>
      <c r="AD25" s="367"/>
      <c r="AE25" s="367"/>
      <c r="AF25" s="367"/>
      <c r="AG25" s="367"/>
      <c r="AH25" s="222">
        <f>SUM(C25:AG25)</f>
        <v>0</v>
      </c>
    </row>
    <row r="26" spans="1:34" ht="13.8">
      <c r="A26" s="147" t="s">
        <v>76</v>
      </c>
      <c r="B26" s="213">
        <f t="shared" si="3"/>
        <v>0</v>
      </c>
      <c r="C26" s="367"/>
      <c r="D26" s="367"/>
      <c r="E26" s="367"/>
      <c r="F26" s="367"/>
      <c r="G26" s="367"/>
      <c r="H26" s="367"/>
      <c r="I26" s="367"/>
      <c r="J26" s="367"/>
      <c r="K26" s="367"/>
      <c r="L26" s="367"/>
      <c r="M26" s="367"/>
      <c r="N26" s="367"/>
      <c r="O26" s="367"/>
      <c r="P26" s="367"/>
      <c r="Q26" s="367"/>
      <c r="R26" s="367"/>
      <c r="S26" s="367"/>
      <c r="T26" s="367"/>
      <c r="U26" s="367"/>
      <c r="V26" s="367"/>
      <c r="W26" s="367"/>
      <c r="X26" s="367"/>
      <c r="Y26" s="367"/>
      <c r="Z26" s="367"/>
      <c r="AA26" s="367"/>
      <c r="AB26" s="367"/>
      <c r="AC26" s="367"/>
      <c r="AD26" s="367"/>
      <c r="AE26" s="367"/>
      <c r="AF26" s="367"/>
      <c r="AG26" s="367"/>
      <c r="AH26" s="222">
        <f t="shared" ref="AH26:AH35" si="4">SUM(C26:AG26)</f>
        <v>0</v>
      </c>
    </row>
    <row r="27" spans="1:34" ht="13.8">
      <c r="A27" s="147" t="s">
        <v>77</v>
      </c>
      <c r="B27" s="213">
        <f t="shared" si="3"/>
        <v>0</v>
      </c>
      <c r="C27" s="367"/>
      <c r="D27" s="367"/>
      <c r="E27" s="367"/>
      <c r="F27" s="367"/>
      <c r="G27" s="367"/>
      <c r="H27" s="367"/>
      <c r="I27" s="367"/>
      <c r="J27" s="367"/>
      <c r="K27" s="367"/>
      <c r="L27" s="367"/>
      <c r="M27" s="367"/>
      <c r="N27" s="367"/>
      <c r="O27" s="367"/>
      <c r="P27" s="367"/>
      <c r="Q27" s="367"/>
      <c r="R27" s="367"/>
      <c r="S27" s="367"/>
      <c r="T27" s="367"/>
      <c r="U27" s="367"/>
      <c r="V27" s="367"/>
      <c r="W27" s="367"/>
      <c r="X27" s="367"/>
      <c r="Y27" s="367"/>
      <c r="Z27" s="367"/>
      <c r="AA27" s="367"/>
      <c r="AB27" s="551"/>
      <c r="AC27" s="551"/>
      <c r="AD27" s="551"/>
      <c r="AE27" s="551"/>
      <c r="AF27" s="551"/>
      <c r="AG27" s="551"/>
      <c r="AH27" s="222">
        <v>0</v>
      </c>
    </row>
    <row r="28" spans="1:34" ht="13.8">
      <c r="A28" s="147" t="s">
        <v>78</v>
      </c>
      <c r="B28" s="213">
        <f>+AH28</f>
        <v>0</v>
      </c>
      <c r="C28" s="298"/>
      <c r="D28" s="551"/>
      <c r="E28" s="551"/>
      <c r="F28" s="551"/>
      <c r="G28" s="551"/>
      <c r="H28" s="551"/>
      <c r="I28" s="551"/>
      <c r="J28" s="551"/>
      <c r="K28" s="551"/>
      <c r="L28" s="551"/>
      <c r="M28" s="551"/>
      <c r="N28" s="551"/>
      <c r="O28" s="551"/>
      <c r="P28" s="551"/>
      <c r="Q28" s="551"/>
      <c r="R28" s="551"/>
      <c r="S28" s="551"/>
      <c r="T28" s="551"/>
      <c r="U28" s="551"/>
      <c r="V28" s="551"/>
      <c r="W28" s="551"/>
      <c r="X28" s="378"/>
      <c r="Y28" s="551"/>
      <c r="Z28" s="551"/>
      <c r="AA28" s="551"/>
      <c r="AB28" s="551"/>
      <c r="AC28" s="551"/>
      <c r="AD28" s="551"/>
      <c r="AE28" s="551"/>
      <c r="AF28" s="551"/>
      <c r="AG28" s="551"/>
      <c r="AH28" s="222">
        <f t="shared" si="4"/>
        <v>0</v>
      </c>
    </row>
    <row r="29" spans="1:34" ht="13.8">
      <c r="A29" s="159" t="s">
        <v>79</v>
      </c>
      <c r="B29" s="213">
        <f t="shared" ref="B29:B34" si="5">+AH29</f>
        <v>0</v>
      </c>
      <c r="C29" s="298"/>
      <c r="D29" s="551"/>
      <c r="E29" s="551"/>
      <c r="F29" s="551"/>
      <c r="G29" s="551"/>
      <c r="H29" s="551"/>
      <c r="I29" s="551"/>
      <c r="J29" s="551"/>
      <c r="K29" s="551"/>
      <c r="L29" s="551"/>
      <c r="M29" s="551"/>
      <c r="N29" s="551"/>
      <c r="O29" s="551"/>
      <c r="P29" s="551"/>
      <c r="Q29" s="551"/>
      <c r="R29" s="551"/>
      <c r="S29" s="551"/>
      <c r="T29" s="551"/>
      <c r="U29" s="551"/>
      <c r="V29" s="551"/>
      <c r="W29" s="551"/>
      <c r="X29" s="551"/>
      <c r="Y29" s="551"/>
      <c r="Z29" s="551"/>
      <c r="AA29" s="551"/>
      <c r="AB29" s="551"/>
      <c r="AC29" s="551"/>
      <c r="AD29" s="551"/>
      <c r="AE29" s="551"/>
      <c r="AF29" s="551"/>
      <c r="AG29" s="551"/>
      <c r="AH29" s="222">
        <f t="shared" si="4"/>
        <v>0</v>
      </c>
    </row>
    <row r="30" spans="1:34" ht="13.8">
      <c r="A30" s="159" t="s">
        <v>80</v>
      </c>
      <c r="B30" s="213">
        <f t="shared" si="5"/>
        <v>0</v>
      </c>
      <c r="C30" s="298"/>
      <c r="D30" s="551"/>
      <c r="E30" s="551"/>
      <c r="F30" s="551"/>
      <c r="G30" s="551"/>
      <c r="H30" s="551"/>
      <c r="I30" s="551"/>
      <c r="J30" s="551"/>
      <c r="K30" s="551"/>
      <c r="L30" s="551"/>
      <c r="M30" s="551"/>
      <c r="N30" s="551"/>
      <c r="O30" s="551"/>
      <c r="P30" s="551"/>
      <c r="Q30" s="551"/>
      <c r="R30" s="551"/>
      <c r="S30" s="551"/>
      <c r="T30" s="551"/>
      <c r="U30" s="551"/>
      <c r="V30" s="551"/>
      <c r="W30" s="551"/>
      <c r="X30" s="551"/>
      <c r="Y30" s="551"/>
      <c r="Z30" s="551"/>
      <c r="AA30" s="551"/>
      <c r="AB30" s="551"/>
      <c r="AC30" s="551"/>
      <c r="AD30" s="551"/>
      <c r="AE30" s="551"/>
      <c r="AF30" s="551"/>
      <c r="AG30" s="551"/>
      <c r="AH30" s="222">
        <f t="shared" si="4"/>
        <v>0</v>
      </c>
    </row>
    <row r="31" spans="1:34" ht="13.8">
      <c r="A31" s="159" t="s">
        <v>81</v>
      </c>
      <c r="B31" s="213">
        <f t="shared" si="5"/>
        <v>0</v>
      </c>
      <c r="C31" s="298"/>
      <c r="D31" s="551"/>
      <c r="E31" s="551"/>
      <c r="F31" s="551"/>
      <c r="G31" s="551"/>
      <c r="H31" s="551"/>
      <c r="I31" s="551"/>
      <c r="J31" s="551"/>
      <c r="K31" s="551"/>
      <c r="L31" s="551"/>
      <c r="M31" s="551"/>
      <c r="N31" s="551"/>
      <c r="O31" s="551"/>
      <c r="P31" s="551"/>
      <c r="Q31" s="551"/>
      <c r="R31" s="551"/>
      <c r="S31" s="551"/>
      <c r="T31" s="551"/>
      <c r="U31" s="551"/>
      <c r="V31" s="551"/>
      <c r="W31" s="551"/>
      <c r="X31" s="551"/>
      <c r="Y31" s="551"/>
      <c r="Z31" s="551"/>
      <c r="AA31" s="551"/>
      <c r="AB31" s="551"/>
      <c r="AC31" s="551"/>
      <c r="AD31" s="551"/>
      <c r="AE31" s="551"/>
      <c r="AF31" s="551"/>
      <c r="AG31" s="551"/>
      <c r="AH31" s="222">
        <f t="shared" si="4"/>
        <v>0</v>
      </c>
    </row>
    <row r="32" spans="1:34" ht="13.8">
      <c r="A32" s="159" t="s">
        <v>82</v>
      </c>
      <c r="B32" s="213">
        <f t="shared" si="5"/>
        <v>0</v>
      </c>
      <c r="C32" s="298"/>
      <c r="D32" s="551"/>
      <c r="E32" s="551"/>
      <c r="F32" s="551"/>
      <c r="G32" s="551"/>
      <c r="H32" s="551"/>
      <c r="I32" s="551"/>
      <c r="J32" s="551"/>
      <c r="K32" s="551"/>
      <c r="L32" s="551"/>
      <c r="M32" s="551"/>
      <c r="N32" s="551"/>
      <c r="O32" s="551"/>
      <c r="P32" s="551"/>
      <c r="Q32" s="551"/>
      <c r="R32" s="551"/>
      <c r="S32" s="551"/>
      <c r="T32" s="551"/>
      <c r="U32" s="551"/>
      <c r="V32" s="551"/>
      <c r="W32" s="551"/>
      <c r="X32" s="551"/>
      <c r="Y32" s="551"/>
      <c r="Z32" s="551"/>
      <c r="AA32" s="551"/>
      <c r="AB32" s="551"/>
      <c r="AC32" s="551"/>
      <c r="AD32" s="551"/>
      <c r="AE32" s="551"/>
      <c r="AF32" s="551"/>
      <c r="AG32" s="551"/>
      <c r="AH32" s="222">
        <f t="shared" si="4"/>
        <v>0</v>
      </c>
    </row>
    <row r="33" spans="1:34" ht="13.8">
      <c r="A33" s="159" t="s">
        <v>83</v>
      </c>
      <c r="B33" s="213">
        <f t="shared" si="5"/>
        <v>0</v>
      </c>
      <c r="C33" s="298"/>
      <c r="D33" s="551"/>
      <c r="E33" s="551"/>
      <c r="F33" s="551"/>
      <c r="G33" s="551"/>
      <c r="H33" s="551"/>
      <c r="I33" s="551"/>
      <c r="J33" s="551"/>
      <c r="K33" s="551"/>
      <c r="L33" s="551"/>
      <c r="M33" s="551"/>
      <c r="N33" s="551"/>
      <c r="O33" s="551"/>
      <c r="P33" s="551"/>
      <c r="Q33" s="551"/>
      <c r="R33" s="551"/>
      <c r="S33" s="551"/>
      <c r="T33" s="551"/>
      <c r="U33" s="551"/>
      <c r="V33" s="551"/>
      <c r="W33" s="551"/>
      <c r="X33" s="551"/>
      <c r="Y33" s="551"/>
      <c r="Z33" s="551"/>
      <c r="AA33" s="551"/>
      <c r="AB33" s="1189"/>
      <c r="AC33" s="551"/>
      <c r="AD33" s="551"/>
      <c r="AE33" s="551"/>
      <c r="AF33" s="551"/>
      <c r="AG33" s="551"/>
      <c r="AH33" s="222">
        <f t="shared" si="4"/>
        <v>0</v>
      </c>
    </row>
    <row r="34" spans="1:34" ht="13.8">
      <c r="A34" s="159" t="s">
        <v>84</v>
      </c>
      <c r="B34" s="213">
        <f t="shared" si="5"/>
        <v>0</v>
      </c>
      <c r="C34" s="298"/>
      <c r="D34" s="551"/>
      <c r="E34" s="551"/>
      <c r="F34" s="551"/>
      <c r="G34" s="551"/>
      <c r="H34" s="551"/>
      <c r="I34" s="551"/>
      <c r="J34" s="551"/>
      <c r="K34" s="551"/>
      <c r="L34" s="551"/>
      <c r="M34" s="551"/>
      <c r="N34" s="551"/>
      <c r="O34" s="551"/>
      <c r="P34" s="551"/>
      <c r="Q34" s="551"/>
      <c r="R34" s="551"/>
      <c r="S34" s="551"/>
      <c r="T34" s="551"/>
      <c r="U34" s="551"/>
      <c r="V34" s="551"/>
      <c r="W34" s="551"/>
      <c r="X34" s="551"/>
      <c r="Y34" s="551"/>
      <c r="Z34" s="551"/>
      <c r="AA34" s="551"/>
      <c r="AB34" s="551"/>
      <c r="AC34" s="551"/>
      <c r="AD34" s="551"/>
      <c r="AE34" s="551"/>
      <c r="AF34" s="551"/>
      <c r="AG34" s="551"/>
      <c r="AH34" s="222">
        <f t="shared" si="4"/>
        <v>0</v>
      </c>
    </row>
    <row r="35" spans="1:34" ht="14.4" thickBot="1">
      <c r="A35" s="957" t="s">
        <v>50</v>
      </c>
      <c r="B35" s="958">
        <f>SUM(B23:B34)</f>
        <v>0</v>
      </c>
      <c r="C35" s="371"/>
      <c r="D35" s="371"/>
      <c r="E35" s="371"/>
      <c r="F35" s="371"/>
      <c r="G35" s="371"/>
      <c r="H35" s="371"/>
      <c r="I35" s="371"/>
      <c r="J35" s="371"/>
      <c r="K35" s="371"/>
      <c r="L35" s="371"/>
      <c r="M35" s="371"/>
      <c r="N35" s="371"/>
      <c r="O35" s="371"/>
      <c r="P35" s="371"/>
      <c r="Q35" s="371"/>
      <c r="R35" s="371"/>
      <c r="S35" s="371"/>
      <c r="T35" s="225"/>
      <c r="U35" s="225"/>
      <c r="V35" s="225"/>
      <c r="W35" s="225"/>
      <c r="X35" s="225"/>
      <c r="Y35" s="225"/>
      <c r="Z35" s="225"/>
      <c r="AA35" s="225"/>
      <c r="AB35" s="225"/>
      <c r="AC35" s="225"/>
      <c r="AD35" s="225"/>
      <c r="AE35" s="225"/>
      <c r="AF35" s="225"/>
      <c r="AG35" s="225"/>
      <c r="AH35" s="222">
        <f t="shared" si="4"/>
        <v>0</v>
      </c>
    </row>
    <row r="36" spans="1:34" ht="13.8">
      <c r="A36" s="959" t="s">
        <v>474</v>
      </c>
      <c r="B36" s="962"/>
    </row>
    <row r="37" spans="1:34" ht="14.4" thickBot="1">
      <c r="A37" s="961" t="s">
        <v>66</v>
      </c>
      <c r="B37" s="1331">
        <f>+B36-B35</f>
        <v>0</v>
      </c>
      <c r="C37" s="1093"/>
      <c r="H37" s="1191"/>
      <c r="I37" s="1106"/>
      <c r="J37" s="1106"/>
      <c r="K37" s="1190"/>
      <c r="L37" s="1106"/>
      <c r="M37" s="1190"/>
      <c r="N37" s="1190"/>
      <c r="O37" s="1106"/>
      <c r="P37" s="1106"/>
    </row>
    <row r="38" spans="1:34" ht="13.8">
      <c r="A38" s="379"/>
      <c r="B38" s="380"/>
    </row>
    <row r="39" spans="1:34" ht="13.8">
      <c r="A39" s="191" t="s">
        <v>465</v>
      </c>
      <c r="B39" s="192"/>
      <c r="C39" s="193"/>
      <c r="D39" s="218"/>
      <c r="E39" s="218"/>
      <c r="F39" s="218"/>
      <c r="G39" s="218"/>
      <c r="H39" s="218"/>
      <c r="I39" s="218"/>
      <c r="J39" s="218"/>
      <c r="K39" s="218"/>
      <c r="L39" s="218"/>
      <c r="M39" s="219"/>
      <c r="N39" s="218"/>
      <c r="O39" s="218"/>
      <c r="P39" s="218"/>
      <c r="Q39" s="218"/>
      <c r="R39" s="218"/>
      <c r="S39" s="218"/>
      <c r="T39" s="218"/>
      <c r="U39" s="218"/>
      <c r="V39" s="218"/>
      <c r="W39" s="218"/>
      <c r="X39" s="218"/>
      <c r="Y39" s="218"/>
      <c r="Z39" s="218"/>
      <c r="AA39" s="218"/>
      <c r="AB39" s="218"/>
      <c r="AC39" s="218"/>
      <c r="AD39" s="218"/>
      <c r="AE39" s="218"/>
      <c r="AF39" s="218"/>
      <c r="AG39" s="218"/>
      <c r="AH39" s="174"/>
    </row>
    <row r="40" spans="1:34" ht="13.8">
      <c r="A40" s="146" t="s">
        <v>70</v>
      </c>
      <c r="B40" s="220" t="s">
        <v>71</v>
      </c>
      <c r="C40" s="366">
        <v>1</v>
      </c>
      <c r="D40" s="366">
        <v>2</v>
      </c>
      <c r="E40" s="366">
        <v>3</v>
      </c>
      <c r="F40" s="366">
        <v>4</v>
      </c>
      <c r="G40" s="366">
        <v>5</v>
      </c>
      <c r="H40" s="366">
        <v>6</v>
      </c>
      <c r="I40" s="366">
        <v>7</v>
      </c>
      <c r="J40" s="366">
        <v>8</v>
      </c>
      <c r="K40" s="366">
        <v>9</v>
      </c>
      <c r="L40" s="366">
        <v>10</v>
      </c>
      <c r="M40" s="366">
        <v>11</v>
      </c>
      <c r="N40" s="366">
        <v>12</v>
      </c>
      <c r="O40" s="366">
        <v>13</v>
      </c>
      <c r="P40" s="366">
        <v>14</v>
      </c>
      <c r="Q40" s="366">
        <v>15</v>
      </c>
      <c r="R40" s="366">
        <v>16</v>
      </c>
      <c r="S40" s="366">
        <v>17</v>
      </c>
      <c r="T40" s="234">
        <v>18</v>
      </c>
      <c r="U40" s="234">
        <v>19</v>
      </c>
      <c r="V40" s="234">
        <v>20</v>
      </c>
      <c r="W40" s="234">
        <v>21</v>
      </c>
      <c r="X40" s="234">
        <v>22</v>
      </c>
      <c r="Y40" s="234">
        <v>23</v>
      </c>
      <c r="Z40" s="234">
        <v>24</v>
      </c>
      <c r="AA40" s="234">
        <v>25</v>
      </c>
      <c r="AB40" s="234">
        <v>26</v>
      </c>
      <c r="AC40" s="234">
        <v>27</v>
      </c>
      <c r="AD40" s="234">
        <v>28</v>
      </c>
      <c r="AE40" s="234">
        <v>29</v>
      </c>
      <c r="AF40" s="234">
        <v>30</v>
      </c>
      <c r="AG40" s="234">
        <v>31</v>
      </c>
      <c r="AH40" s="221" t="s">
        <v>50</v>
      </c>
    </row>
    <row r="41" spans="1:34" ht="13.8">
      <c r="A41" s="147" t="s">
        <v>73</v>
      </c>
      <c r="B41" s="213">
        <f t="shared" ref="B41:B46" si="6">+AH41</f>
        <v>0</v>
      </c>
      <c r="C41" s="367">
        <v>0</v>
      </c>
      <c r="D41" s="367">
        <v>0</v>
      </c>
      <c r="E41" s="367">
        <v>0</v>
      </c>
      <c r="F41" s="367">
        <v>0</v>
      </c>
      <c r="G41" s="367">
        <v>0</v>
      </c>
      <c r="H41" s="367">
        <v>0</v>
      </c>
      <c r="I41" s="367">
        <v>0</v>
      </c>
      <c r="J41" s="367">
        <v>0</v>
      </c>
      <c r="K41" s="367">
        <v>0</v>
      </c>
      <c r="L41" s="367">
        <v>0</v>
      </c>
      <c r="M41" s="367">
        <v>0</v>
      </c>
      <c r="N41" s="367">
        <v>0</v>
      </c>
      <c r="O41" s="367">
        <v>0</v>
      </c>
      <c r="P41" s="367">
        <v>0</v>
      </c>
      <c r="Q41" s="367">
        <v>0</v>
      </c>
      <c r="R41" s="367">
        <v>0</v>
      </c>
      <c r="S41" s="367">
        <v>0</v>
      </c>
      <c r="T41" s="367">
        <v>0</v>
      </c>
      <c r="U41" s="367">
        <v>0</v>
      </c>
      <c r="V41" s="367">
        <v>0</v>
      </c>
      <c r="W41" s="367">
        <v>0</v>
      </c>
      <c r="X41" s="367">
        <v>0</v>
      </c>
      <c r="Y41" s="367">
        <v>0</v>
      </c>
      <c r="Z41" s="367">
        <v>0</v>
      </c>
      <c r="AA41" s="367">
        <v>0</v>
      </c>
      <c r="AB41" s="367">
        <v>0</v>
      </c>
      <c r="AC41" s="367">
        <v>0</v>
      </c>
      <c r="AD41" s="367">
        <v>0</v>
      </c>
      <c r="AE41" s="367">
        <v>0</v>
      </c>
      <c r="AF41" s="367">
        <v>0</v>
      </c>
      <c r="AG41" s="367">
        <v>0</v>
      </c>
      <c r="AH41" s="222">
        <f>SUM(C41:AG41)</f>
        <v>0</v>
      </c>
    </row>
    <row r="42" spans="1:34" ht="13.8">
      <c r="A42" s="147" t="s">
        <v>74</v>
      </c>
      <c r="B42" s="213">
        <f t="shared" si="6"/>
        <v>0</v>
      </c>
      <c r="C42" s="367">
        <v>0</v>
      </c>
      <c r="D42" s="367">
        <v>0</v>
      </c>
      <c r="E42" s="367">
        <v>0</v>
      </c>
      <c r="F42" s="367">
        <v>0</v>
      </c>
      <c r="G42" s="367">
        <v>0</v>
      </c>
      <c r="H42" s="367">
        <v>0</v>
      </c>
      <c r="I42" s="367">
        <v>0</v>
      </c>
      <c r="J42" s="367">
        <v>0</v>
      </c>
      <c r="K42" s="367">
        <v>0</v>
      </c>
      <c r="L42" s="367">
        <v>0</v>
      </c>
      <c r="M42" s="367">
        <v>0</v>
      </c>
      <c r="N42" s="367">
        <v>0</v>
      </c>
      <c r="O42" s="367">
        <v>0</v>
      </c>
      <c r="P42" s="367">
        <v>0</v>
      </c>
      <c r="Q42" s="367">
        <v>0</v>
      </c>
      <c r="R42" s="367">
        <v>0</v>
      </c>
      <c r="S42" s="367">
        <v>0</v>
      </c>
      <c r="T42" s="367">
        <v>0</v>
      </c>
      <c r="U42" s="367">
        <v>0</v>
      </c>
      <c r="V42" s="367">
        <v>0</v>
      </c>
      <c r="W42" s="367">
        <v>0</v>
      </c>
      <c r="X42" s="367">
        <v>0</v>
      </c>
      <c r="Y42" s="367">
        <v>0</v>
      </c>
      <c r="Z42" s="367">
        <v>0</v>
      </c>
      <c r="AA42" s="367">
        <v>0</v>
      </c>
      <c r="AB42" s="367">
        <v>0</v>
      </c>
      <c r="AC42" s="367">
        <v>0</v>
      </c>
      <c r="AD42" s="367">
        <v>0</v>
      </c>
      <c r="AE42" s="367">
        <v>0</v>
      </c>
      <c r="AF42" s="367">
        <v>0</v>
      </c>
      <c r="AG42" s="367">
        <v>0</v>
      </c>
      <c r="AH42" s="222">
        <f>SUM(C42:AG42)</f>
        <v>0</v>
      </c>
    </row>
    <row r="43" spans="1:34" ht="13.8">
      <c r="A43" s="147" t="s">
        <v>75</v>
      </c>
      <c r="B43" s="213">
        <f t="shared" si="6"/>
        <v>0</v>
      </c>
      <c r="C43" s="367">
        <v>0</v>
      </c>
      <c r="D43" s="367">
        <v>0</v>
      </c>
      <c r="E43" s="367">
        <v>0</v>
      </c>
      <c r="F43" s="367">
        <v>0</v>
      </c>
      <c r="G43" s="367">
        <v>0</v>
      </c>
      <c r="H43" s="367">
        <v>0</v>
      </c>
      <c r="I43" s="367">
        <v>0</v>
      </c>
      <c r="J43" s="367">
        <v>0</v>
      </c>
      <c r="K43" s="367">
        <v>0</v>
      </c>
      <c r="L43" s="367">
        <v>0</v>
      </c>
      <c r="M43" s="367">
        <v>0</v>
      </c>
      <c r="N43" s="367">
        <v>0</v>
      </c>
      <c r="O43" s="367">
        <v>0</v>
      </c>
      <c r="P43" s="367">
        <v>0</v>
      </c>
      <c r="Q43" s="367">
        <v>0</v>
      </c>
      <c r="R43" s="367">
        <v>0</v>
      </c>
      <c r="S43" s="367">
        <v>0</v>
      </c>
      <c r="T43" s="367">
        <v>0</v>
      </c>
      <c r="U43" s="367">
        <v>0</v>
      </c>
      <c r="V43" s="367">
        <v>0</v>
      </c>
      <c r="W43" s="367">
        <v>0</v>
      </c>
      <c r="X43" s="367">
        <v>0</v>
      </c>
      <c r="Y43" s="367">
        <v>0</v>
      </c>
      <c r="Z43" s="367">
        <v>0</v>
      </c>
      <c r="AA43" s="367">
        <v>0</v>
      </c>
      <c r="AB43" s="367">
        <v>0</v>
      </c>
      <c r="AC43" s="367">
        <v>0</v>
      </c>
      <c r="AD43" s="367">
        <v>0</v>
      </c>
      <c r="AE43" s="367">
        <v>0</v>
      </c>
      <c r="AF43" s="367">
        <v>0</v>
      </c>
      <c r="AG43" s="367">
        <v>0</v>
      </c>
      <c r="AH43" s="222">
        <f>SUM(C43:AG43)</f>
        <v>0</v>
      </c>
    </row>
    <row r="44" spans="1:34" ht="13.8">
      <c r="A44" s="147" t="s">
        <v>76</v>
      </c>
      <c r="B44" s="213">
        <f t="shared" si="6"/>
        <v>0</v>
      </c>
      <c r="C44" s="367">
        <v>0</v>
      </c>
      <c r="D44" s="367">
        <v>0</v>
      </c>
      <c r="E44" s="367">
        <v>0</v>
      </c>
      <c r="F44" s="367">
        <v>0</v>
      </c>
      <c r="G44" s="367">
        <v>0</v>
      </c>
      <c r="H44" s="367">
        <v>0</v>
      </c>
      <c r="I44" s="367">
        <v>0</v>
      </c>
      <c r="J44" s="367">
        <v>0</v>
      </c>
      <c r="K44" s="367">
        <v>0</v>
      </c>
      <c r="L44" s="367">
        <v>0</v>
      </c>
      <c r="M44" s="367">
        <v>0</v>
      </c>
      <c r="N44" s="367">
        <v>0</v>
      </c>
      <c r="O44" s="367">
        <v>0</v>
      </c>
      <c r="P44" s="367">
        <v>0</v>
      </c>
      <c r="Q44" s="367">
        <v>0</v>
      </c>
      <c r="R44" s="367">
        <v>0</v>
      </c>
      <c r="S44" s="367">
        <v>0</v>
      </c>
      <c r="T44" s="367">
        <v>0</v>
      </c>
      <c r="U44" s="367">
        <v>0</v>
      </c>
      <c r="V44" s="367">
        <v>0</v>
      </c>
      <c r="W44" s="367">
        <v>0</v>
      </c>
      <c r="X44" s="367">
        <v>0</v>
      </c>
      <c r="Y44" s="367">
        <v>0</v>
      </c>
      <c r="Z44" s="367">
        <v>0</v>
      </c>
      <c r="AA44" s="367">
        <v>0</v>
      </c>
      <c r="AB44" s="367">
        <v>0</v>
      </c>
      <c r="AC44" s="367">
        <v>0</v>
      </c>
      <c r="AD44" s="367">
        <v>0</v>
      </c>
      <c r="AE44" s="367">
        <v>0</v>
      </c>
      <c r="AF44" s="367">
        <v>0</v>
      </c>
      <c r="AG44" s="367">
        <v>0</v>
      </c>
      <c r="AH44" s="222">
        <f>SUM(C44:AG44)</f>
        <v>0</v>
      </c>
    </row>
    <row r="45" spans="1:34" ht="13.8">
      <c r="A45" s="147" t="s">
        <v>77</v>
      </c>
      <c r="B45" s="213">
        <f t="shared" si="6"/>
        <v>0</v>
      </c>
      <c r="C45" s="367">
        <v>0</v>
      </c>
      <c r="D45" s="367">
        <v>0</v>
      </c>
      <c r="E45" s="367">
        <v>0</v>
      </c>
      <c r="F45" s="367">
        <v>0</v>
      </c>
      <c r="G45" s="367">
        <v>0</v>
      </c>
      <c r="H45" s="367">
        <v>0</v>
      </c>
      <c r="I45" s="367">
        <v>0</v>
      </c>
      <c r="J45" s="367">
        <v>0</v>
      </c>
      <c r="K45" s="367">
        <v>0</v>
      </c>
      <c r="L45" s="367">
        <v>0</v>
      </c>
      <c r="M45" s="367">
        <v>0</v>
      </c>
      <c r="N45" s="367">
        <v>0</v>
      </c>
      <c r="O45" s="367">
        <v>0</v>
      </c>
      <c r="P45" s="367">
        <v>0</v>
      </c>
      <c r="Q45" s="367">
        <v>0</v>
      </c>
      <c r="R45" s="367">
        <v>0</v>
      </c>
      <c r="S45" s="367">
        <v>0</v>
      </c>
      <c r="T45" s="367">
        <v>0</v>
      </c>
      <c r="U45" s="367">
        <v>0</v>
      </c>
      <c r="V45" s="367">
        <v>0</v>
      </c>
      <c r="W45" s="367">
        <v>0</v>
      </c>
      <c r="X45" s="367">
        <v>0</v>
      </c>
      <c r="Y45" s="367">
        <v>0</v>
      </c>
      <c r="Z45" s="367">
        <v>0</v>
      </c>
      <c r="AA45" s="367">
        <v>0</v>
      </c>
      <c r="AB45" s="367">
        <v>0</v>
      </c>
      <c r="AC45" s="367">
        <v>0</v>
      </c>
      <c r="AD45" s="367">
        <v>0</v>
      </c>
      <c r="AE45" s="367">
        <v>0</v>
      </c>
      <c r="AF45" s="367">
        <v>0</v>
      </c>
      <c r="AG45" s="367">
        <v>0</v>
      </c>
      <c r="AH45" s="222">
        <v>0</v>
      </c>
    </row>
    <row r="46" spans="1:34" ht="13.8">
      <c r="A46" s="147" t="s">
        <v>78</v>
      </c>
      <c r="B46" s="213">
        <f t="shared" si="6"/>
        <v>0</v>
      </c>
      <c r="C46" s="367">
        <v>0</v>
      </c>
      <c r="D46" s="367">
        <v>0</v>
      </c>
      <c r="E46" s="367">
        <v>0</v>
      </c>
      <c r="F46" s="367">
        <v>0</v>
      </c>
      <c r="G46" s="367">
        <v>0</v>
      </c>
      <c r="H46" s="367">
        <v>0</v>
      </c>
      <c r="I46" s="367">
        <v>0</v>
      </c>
      <c r="J46" s="367">
        <v>0</v>
      </c>
      <c r="K46" s="367">
        <v>0</v>
      </c>
      <c r="L46" s="367">
        <v>0</v>
      </c>
      <c r="M46" s="367">
        <v>0</v>
      </c>
      <c r="N46" s="367">
        <v>0</v>
      </c>
      <c r="O46" s="367">
        <v>0</v>
      </c>
      <c r="P46" s="367">
        <v>0</v>
      </c>
      <c r="Q46" s="367">
        <v>0</v>
      </c>
      <c r="R46" s="367">
        <v>0</v>
      </c>
      <c r="S46" s="367">
        <v>0</v>
      </c>
      <c r="T46" s="367">
        <v>0</v>
      </c>
      <c r="U46" s="367">
        <v>0</v>
      </c>
      <c r="V46" s="367">
        <v>0</v>
      </c>
      <c r="W46" s="367">
        <v>0</v>
      </c>
      <c r="X46" s="367">
        <v>0</v>
      </c>
      <c r="Y46" s="367">
        <v>0</v>
      </c>
      <c r="Z46" s="367">
        <v>0</v>
      </c>
      <c r="AA46" s="367">
        <v>0</v>
      </c>
      <c r="AB46" s="367">
        <v>0</v>
      </c>
      <c r="AC46" s="367">
        <v>0</v>
      </c>
      <c r="AD46" s="367">
        <v>0</v>
      </c>
      <c r="AE46" s="367">
        <v>0</v>
      </c>
      <c r="AF46" s="367">
        <v>0</v>
      </c>
      <c r="AG46" s="367">
        <v>0</v>
      </c>
      <c r="AH46" s="222">
        <f t="shared" ref="AH46:AH53" si="7">SUM(C46:AG46)</f>
        <v>0</v>
      </c>
    </row>
    <row r="47" spans="1:34" ht="13.8">
      <c r="A47" s="136" t="s">
        <v>79</v>
      </c>
      <c r="B47" s="213">
        <f t="shared" ref="B47:B52" si="8">+AH47</f>
        <v>0</v>
      </c>
      <c r="C47" s="367">
        <v>0</v>
      </c>
      <c r="D47" s="367">
        <v>0</v>
      </c>
      <c r="E47" s="367">
        <v>0</v>
      </c>
      <c r="F47" s="367">
        <v>0</v>
      </c>
      <c r="G47" s="367">
        <v>0</v>
      </c>
      <c r="H47" s="367">
        <v>0</v>
      </c>
      <c r="I47" s="367">
        <v>0</v>
      </c>
      <c r="J47" s="367">
        <v>0</v>
      </c>
      <c r="K47" s="367">
        <v>0</v>
      </c>
      <c r="L47" s="367">
        <v>0</v>
      </c>
      <c r="M47" s="367">
        <v>0</v>
      </c>
      <c r="N47" s="367">
        <v>0</v>
      </c>
      <c r="O47" s="367">
        <v>0</v>
      </c>
      <c r="P47" s="367">
        <v>0</v>
      </c>
      <c r="Q47" s="367">
        <v>0</v>
      </c>
      <c r="R47" s="367">
        <v>0</v>
      </c>
      <c r="S47" s="367">
        <v>0</v>
      </c>
      <c r="T47" s="367">
        <v>0</v>
      </c>
      <c r="U47" s="367">
        <v>0</v>
      </c>
      <c r="V47" s="367">
        <v>0</v>
      </c>
      <c r="W47" s="367">
        <v>0</v>
      </c>
      <c r="X47" s="367">
        <v>0</v>
      </c>
      <c r="Y47" s="367">
        <v>0</v>
      </c>
      <c r="Z47" s="367">
        <v>0</v>
      </c>
      <c r="AA47" s="367">
        <v>0</v>
      </c>
      <c r="AB47" s="367">
        <v>0</v>
      </c>
      <c r="AC47" s="367">
        <v>0</v>
      </c>
      <c r="AD47" s="367">
        <v>0</v>
      </c>
      <c r="AE47" s="367">
        <v>0</v>
      </c>
      <c r="AF47" s="367">
        <v>0</v>
      </c>
      <c r="AG47" s="367">
        <v>0</v>
      </c>
      <c r="AH47" s="222">
        <f t="shared" si="7"/>
        <v>0</v>
      </c>
    </row>
    <row r="48" spans="1:34" ht="13.8">
      <c r="A48" s="136" t="s">
        <v>80</v>
      </c>
      <c r="B48" s="213">
        <f t="shared" si="8"/>
        <v>0</v>
      </c>
      <c r="C48" s="367">
        <v>0</v>
      </c>
      <c r="D48" s="367">
        <v>0</v>
      </c>
      <c r="E48" s="367">
        <v>0</v>
      </c>
      <c r="F48" s="367">
        <v>0</v>
      </c>
      <c r="G48" s="367">
        <v>0</v>
      </c>
      <c r="H48" s="367">
        <v>0</v>
      </c>
      <c r="I48" s="367">
        <v>0</v>
      </c>
      <c r="J48" s="367">
        <v>0</v>
      </c>
      <c r="K48" s="367">
        <v>0</v>
      </c>
      <c r="L48" s="367">
        <v>0</v>
      </c>
      <c r="M48" s="367">
        <v>0</v>
      </c>
      <c r="N48" s="367">
        <v>0</v>
      </c>
      <c r="O48" s="367">
        <v>0</v>
      </c>
      <c r="P48" s="367">
        <v>0</v>
      </c>
      <c r="Q48" s="367">
        <v>0</v>
      </c>
      <c r="R48" s="367">
        <v>0</v>
      </c>
      <c r="S48" s="367">
        <v>0</v>
      </c>
      <c r="T48" s="367">
        <v>0</v>
      </c>
      <c r="U48" s="367">
        <v>0</v>
      </c>
      <c r="V48" s="367">
        <v>0</v>
      </c>
      <c r="W48" s="367">
        <v>0</v>
      </c>
      <c r="X48" s="367">
        <v>0</v>
      </c>
      <c r="Y48" s="367">
        <v>0</v>
      </c>
      <c r="Z48" s="367">
        <v>0</v>
      </c>
      <c r="AA48" s="367">
        <v>0</v>
      </c>
      <c r="AB48" s="367">
        <v>0</v>
      </c>
      <c r="AC48" s="367">
        <v>0</v>
      </c>
      <c r="AD48" s="367">
        <v>0</v>
      </c>
      <c r="AE48" s="367">
        <v>0</v>
      </c>
      <c r="AF48" s="367">
        <v>0</v>
      </c>
      <c r="AG48" s="367">
        <v>0</v>
      </c>
      <c r="AH48" s="222">
        <f t="shared" si="7"/>
        <v>0</v>
      </c>
    </row>
    <row r="49" spans="1:34" ht="13.8">
      <c r="A49" s="136" t="s">
        <v>81</v>
      </c>
      <c r="B49" s="213">
        <f t="shared" si="8"/>
        <v>0</v>
      </c>
      <c r="C49" s="367">
        <v>0</v>
      </c>
      <c r="D49" s="367">
        <v>0</v>
      </c>
      <c r="E49" s="367">
        <v>0</v>
      </c>
      <c r="F49" s="367">
        <v>0</v>
      </c>
      <c r="G49" s="367">
        <v>0</v>
      </c>
      <c r="H49" s="367">
        <v>0</v>
      </c>
      <c r="I49" s="367">
        <v>0</v>
      </c>
      <c r="J49" s="367">
        <v>0</v>
      </c>
      <c r="K49" s="367">
        <v>0</v>
      </c>
      <c r="L49" s="367">
        <v>0</v>
      </c>
      <c r="M49" s="367">
        <v>0</v>
      </c>
      <c r="N49" s="367">
        <v>0</v>
      </c>
      <c r="O49" s="367">
        <v>0</v>
      </c>
      <c r="P49" s="367">
        <v>0</v>
      </c>
      <c r="Q49" s="367">
        <v>0</v>
      </c>
      <c r="R49" s="367">
        <v>0</v>
      </c>
      <c r="S49" s="367">
        <v>0</v>
      </c>
      <c r="T49" s="367">
        <v>0</v>
      </c>
      <c r="U49" s="367">
        <v>0</v>
      </c>
      <c r="V49" s="367">
        <v>0</v>
      </c>
      <c r="W49" s="367">
        <v>0</v>
      </c>
      <c r="X49" s="367">
        <v>0</v>
      </c>
      <c r="Y49" s="367">
        <v>0</v>
      </c>
      <c r="Z49" s="367">
        <v>0</v>
      </c>
      <c r="AA49" s="367">
        <v>0</v>
      </c>
      <c r="AB49" s="367">
        <v>0</v>
      </c>
      <c r="AC49" s="367">
        <v>0</v>
      </c>
      <c r="AD49" s="367">
        <v>0</v>
      </c>
      <c r="AE49" s="367">
        <v>0</v>
      </c>
      <c r="AF49" s="367">
        <v>0</v>
      </c>
      <c r="AG49" s="367">
        <v>0</v>
      </c>
      <c r="AH49" s="222">
        <f t="shared" si="7"/>
        <v>0</v>
      </c>
    </row>
    <row r="50" spans="1:34" ht="13.8">
      <c r="A50" s="159" t="s">
        <v>82</v>
      </c>
      <c r="B50" s="213">
        <f t="shared" si="8"/>
        <v>0</v>
      </c>
      <c r="C50" s="367">
        <v>0</v>
      </c>
      <c r="D50" s="367">
        <v>0</v>
      </c>
      <c r="E50" s="367">
        <v>0</v>
      </c>
      <c r="F50" s="367">
        <v>0</v>
      </c>
      <c r="G50" s="367">
        <v>0</v>
      </c>
      <c r="H50" s="367">
        <v>0</v>
      </c>
      <c r="I50" s="367">
        <v>0</v>
      </c>
      <c r="J50" s="367">
        <v>0</v>
      </c>
      <c r="K50" s="367">
        <v>0</v>
      </c>
      <c r="L50" s="367">
        <v>0</v>
      </c>
      <c r="M50" s="367">
        <v>0</v>
      </c>
      <c r="N50" s="367">
        <v>0</v>
      </c>
      <c r="O50" s="367">
        <v>0</v>
      </c>
      <c r="P50" s="367">
        <v>0</v>
      </c>
      <c r="Q50" s="367">
        <v>0</v>
      </c>
      <c r="R50" s="367">
        <v>0</v>
      </c>
      <c r="S50" s="367">
        <v>0</v>
      </c>
      <c r="T50" s="367">
        <v>0</v>
      </c>
      <c r="U50" s="367">
        <v>0</v>
      </c>
      <c r="V50" s="367">
        <v>0</v>
      </c>
      <c r="W50" s="367">
        <v>0</v>
      </c>
      <c r="X50" s="367">
        <v>0</v>
      </c>
      <c r="Y50" s="367">
        <v>0</v>
      </c>
      <c r="Z50" s="367">
        <v>0</v>
      </c>
      <c r="AA50" s="367">
        <v>0</v>
      </c>
      <c r="AB50" s="367">
        <v>0</v>
      </c>
      <c r="AC50" s="367">
        <v>0</v>
      </c>
      <c r="AD50" s="367">
        <v>0</v>
      </c>
      <c r="AE50" s="367">
        <v>0</v>
      </c>
      <c r="AF50" s="367">
        <v>0</v>
      </c>
      <c r="AG50" s="827">
        <v>0</v>
      </c>
      <c r="AH50" s="222">
        <f t="shared" si="7"/>
        <v>0</v>
      </c>
    </row>
    <row r="51" spans="1:34" ht="13.8">
      <c r="A51" s="159" t="s">
        <v>83</v>
      </c>
      <c r="B51" s="213">
        <f t="shared" si="8"/>
        <v>0</v>
      </c>
      <c r="C51" s="1095"/>
      <c r="D51" s="1095"/>
      <c r="E51" s="1095"/>
      <c r="F51" s="1095"/>
      <c r="G51" s="1095"/>
      <c r="H51" s="1095"/>
      <c r="I51" s="1095"/>
      <c r="J51" s="1095"/>
      <c r="K51" s="1095"/>
      <c r="L51" s="1095"/>
      <c r="M51" s="1095"/>
      <c r="N51" s="1095"/>
      <c r="O51" s="1095"/>
      <c r="P51" s="1181"/>
      <c r="Q51" s="1095"/>
      <c r="R51" s="1095"/>
      <c r="S51" s="1095"/>
      <c r="T51" s="1095"/>
      <c r="U51" s="1181"/>
      <c r="V51" s="1095"/>
      <c r="W51" s="1095"/>
      <c r="X51" s="1095"/>
      <c r="Y51" s="1095"/>
      <c r="Z51" s="1095"/>
      <c r="AA51" s="1095"/>
      <c r="AB51" s="1095"/>
      <c r="AC51" s="1095"/>
      <c r="AD51" s="1095"/>
      <c r="AE51" s="1095"/>
      <c r="AF51" s="1095"/>
      <c r="AG51" s="1095"/>
      <c r="AH51" s="222">
        <f t="shared" si="7"/>
        <v>0</v>
      </c>
    </row>
    <row r="52" spans="1:34" ht="13.8">
      <c r="A52" s="159" t="s">
        <v>84</v>
      </c>
      <c r="B52" s="213">
        <f t="shared" si="8"/>
        <v>0</v>
      </c>
      <c r="C52" s="827"/>
      <c r="D52" s="827"/>
      <c r="E52" s="827"/>
      <c r="F52" s="827"/>
      <c r="G52" s="827"/>
      <c r="H52" s="827"/>
      <c r="I52" s="827"/>
      <c r="J52" s="827"/>
      <c r="K52" s="827"/>
      <c r="L52" s="827"/>
      <c r="M52" s="827"/>
      <c r="N52" s="827"/>
      <c r="O52" s="827"/>
      <c r="P52" s="827"/>
      <c r="Q52" s="827"/>
      <c r="R52" s="827"/>
      <c r="S52" s="827"/>
      <c r="T52" s="827"/>
      <c r="U52" s="827"/>
      <c r="V52" s="827"/>
      <c r="W52" s="827"/>
      <c r="X52" s="827"/>
      <c r="Y52" s="827"/>
      <c r="Z52" s="827"/>
      <c r="AA52" s="827"/>
      <c r="AB52" s="827"/>
      <c r="AC52" s="827"/>
      <c r="AD52" s="827"/>
      <c r="AE52" s="827"/>
      <c r="AF52" s="827"/>
      <c r="AG52" s="827"/>
      <c r="AH52" s="222">
        <f t="shared" si="7"/>
        <v>0</v>
      </c>
    </row>
    <row r="53" spans="1:34" ht="14.4" thickBot="1">
      <c r="A53" s="957" t="s">
        <v>50</v>
      </c>
      <c r="B53" s="958">
        <f>SUM(B41:B52)</f>
        <v>0</v>
      </c>
      <c r="C53" s="371"/>
      <c r="D53" s="371"/>
      <c r="E53" s="371"/>
      <c r="F53" s="371"/>
      <c r="G53" s="371"/>
      <c r="H53" s="371"/>
      <c r="I53" s="371"/>
      <c r="J53" s="371"/>
      <c r="K53" s="371"/>
      <c r="L53" s="371"/>
      <c r="M53" s="371"/>
      <c r="N53" s="371"/>
      <c r="O53" s="371"/>
      <c r="P53" s="371"/>
      <c r="Q53" s="371"/>
      <c r="R53" s="371"/>
      <c r="S53" s="371"/>
      <c r="T53" s="225"/>
      <c r="U53" s="225"/>
      <c r="V53" s="225"/>
      <c r="W53" s="225"/>
      <c r="X53" s="225"/>
      <c r="Y53" s="225"/>
      <c r="Z53" s="225"/>
      <c r="AA53" s="225"/>
      <c r="AB53" s="225"/>
      <c r="AC53" s="225"/>
      <c r="AD53" s="225"/>
      <c r="AE53" s="225"/>
      <c r="AF53" s="225"/>
      <c r="AG53" s="225"/>
      <c r="AH53" s="222">
        <f t="shared" si="7"/>
        <v>0</v>
      </c>
    </row>
    <row r="54" spans="1:34" ht="13.8">
      <c r="A54" s="959" t="s">
        <v>146</v>
      </c>
      <c r="B54" s="960"/>
    </row>
    <row r="55" spans="1:34" ht="14.4" thickBot="1">
      <c r="A55" s="961" t="s">
        <v>475</v>
      </c>
      <c r="B55" s="1332">
        <f>+B54-B53</f>
        <v>0</v>
      </c>
      <c r="C55" s="1238"/>
    </row>
    <row r="56" spans="1:34" ht="13.8">
      <c r="A56" s="379"/>
      <c r="B56" s="380"/>
    </row>
    <row r="57" spans="1:34" s="1088" customFormat="1" ht="13.8">
      <c r="A57" s="1085" t="s">
        <v>501</v>
      </c>
      <c r="B57" s="1086"/>
      <c r="C57" s="1087"/>
      <c r="D57" s="218"/>
      <c r="E57" s="218"/>
      <c r="F57" s="218"/>
      <c r="G57" s="218"/>
      <c r="H57" s="218"/>
      <c r="I57" s="218"/>
      <c r="J57" s="218"/>
      <c r="K57" s="218"/>
      <c r="L57" s="218"/>
      <c r="M57" s="219"/>
      <c r="N57" s="218"/>
      <c r="O57" s="218"/>
      <c r="P57" s="218"/>
      <c r="Q57" s="218"/>
      <c r="R57" s="218"/>
      <c r="S57" s="218"/>
      <c r="T57" s="218"/>
      <c r="U57" s="218"/>
      <c r="V57" s="218"/>
      <c r="W57" s="218"/>
      <c r="X57" s="218"/>
      <c r="Y57" s="218"/>
      <c r="Z57" s="218"/>
      <c r="AA57" s="218"/>
      <c r="AB57" s="218"/>
      <c r="AC57" s="218"/>
      <c r="AD57" s="218"/>
      <c r="AE57" s="218"/>
      <c r="AF57" s="218"/>
      <c r="AG57" s="218"/>
      <c r="AH57" s="174"/>
    </row>
    <row r="58" spans="1:34" s="1088" customFormat="1" ht="13.8">
      <c r="A58" s="146" t="s">
        <v>70</v>
      </c>
      <c r="B58" s="220" t="s">
        <v>71</v>
      </c>
      <c r="C58" s="366">
        <v>1</v>
      </c>
      <c r="D58" s="366">
        <v>2</v>
      </c>
      <c r="E58" s="366">
        <v>3</v>
      </c>
      <c r="F58" s="366">
        <v>4</v>
      </c>
      <c r="G58" s="366">
        <v>5</v>
      </c>
      <c r="H58" s="366">
        <v>6</v>
      </c>
      <c r="I58" s="366">
        <v>7</v>
      </c>
      <c r="J58" s="366">
        <v>8</v>
      </c>
      <c r="K58" s="366">
        <v>9</v>
      </c>
      <c r="L58" s="366">
        <v>10</v>
      </c>
      <c r="M58" s="366">
        <v>11</v>
      </c>
      <c r="N58" s="366">
        <v>12</v>
      </c>
      <c r="O58" s="366">
        <v>13</v>
      </c>
      <c r="P58" s="366">
        <v>14</v>
      </c>
      <c r="Q58" s="366">
        <v>15</v>
      </c>
      <c r="R58" s="366">
        <v>16</v>
      </c>
      <c r="S58" s="366">
        <v>17</v>
      </c>
      <c r="T58" s="234">
        <v>18</v>
      </c>
      <c r="U58" s="234">
        <v>19</v>
      </c>
      <c r="V58" s="234">
        <v>20</v>
      </c>
      <c r="W58" s="234">
        <v>21</v>
      </c>
      <c r="X58" s="234">
        <v>22</v>
      </c>
      <c r="Y58" s="234">
        <v>23</v>
      </c>
      <c r="Z58" s="234">
        <v>24</v>
      </c>
      <c r="AA58" s="234">
        <v>25</v>
      </c>
      <c r="AB58" s="234">
        <v>26</v>
      </c>
      <c r="AC58" s="234">
        <v>27</v>
      </c>
      <c r="AD58" s="234">
        <v>28</v>
      </c>
      <c r="AE58" s="234">
        <v>29</v>
      </c>
      <c r="AF58" s="234">
        <v>30</v>
      </c>
      <c r="AG58" s="234">
        <v>31</v>
      </c>
      <c r="AH58" s="221" t="s">
        <v>50</v>
      </c>
    </row>
    <row r="59" spans="1:34" s="1088" customFormat="1" ht="13.8">
      <c r="A59" s="147" t="s">
        <v>73</v>
      </c>
      <c r="B59" s="213">
        <f t="shared" ref="B59:B70" si="9">+AH59</f>
        <v>0</v>
      </c>
      <c r="C59" s="367">
        <v>0</v>
      </c>
      <c r="D59" s="367">
        <v>0</v>
      </c>
      <c r="E59" s="367">
        <v>0</v>
      </c>
      <c r="F59" s="367">
        <v>0</v>
      </c>
      <c r="G59" s="367">
        <v>0</v>
      </c>
      <c r="H59" s="367">
        <v>0</v>
      </c>
      <c r="I59" s="367">
        <v>0</v>
      </c>
      <c r="J59" s="367">
        <v>0</v>
      </c>
      <c r="K59" s="367">
        <v>0</v>
      </c>
      <c r="L59" s="367">
        <v>0</v>
      </c>
      <c r="M59" s="367">
        <v>0</v>
      </c>
      <c r="N59" s="367">
        <v>0</v>
      </c>
      <c r="O59" s="367">
        <v>0</v>
      </c>
      <c r="P59" s="367">
        <v>0</v>
      </c>
      <c r="Q59" s="367">
        <v>0</v>
      </c>
      <c r="R59" s="367">
        <v>0</v>
      </c>
      <c r="S59" s="367">
        <v>0</v>
      </c>
      <c r="T59" s="367">
        <v>0</v>
      </c>
      <c r="U59" s="367">
        <v>0</v>
      </c>
      <c r="V59" s="367">
        <v>0</v>
      </c>
      <c r="W59" s="367">
        <v>0</v>
      </c>
      <c r="X59" s="367">
        <v>0</v>
      </c>
      <c r="Y59" s="367">
        <v>0</v>
      </c>
      <c r="Z59" s="367">
        <v>0</v>
      </c>
      <c r="AA59" s="367">
        <v>0</v>
      </c>
      <c r="AB59" s="367">
        <v>0</v>
      </c>
      <c r="AC59" s="367">
        <v>0</v>
      </c>
      <c r="AD59" s="367">
        <v>0</v>
      </c>
      <c r="AE59" s="367">
        <v>0</v>
      </c>
      <c r="AF59" s="367">
        <v>0</v>
      </c>
      <c r="AG59" s="367">
        <v>0</v>
      </c>
      <c r="AH59" s="222">
        <f>SUM(C59:AG59)</f>
        <v>0</v>
      </c>
    </row>
    <row r="60" spans="1:34" s="1088" customFormat="1" ht="13.8">
      <c r="A60" s="147" t="s">
        <v>74</v>
      </c>
      <c r="B60" s="213">
        <f t="shared" si="9"/>
        <v>0</v>
      </c>
      <c r="C60" s="367">
        <v>0</v>
      </c>
      <c r="D60" s="367">
        <v>0</v>
      </c>
      <c r="E60" s="367">
        <v>0</v>
      </c>
      <c r="F60" s="367">
        <v>0</v>
      </c>
      <c r="G60" s="367">
        <v>0</v>
      </c>
      <c r="H60" s="367">
        <v>0</v>
      </c>
      <c r="I60" s="367">
        <v>0</v>
      </c>
      <c r="J60" s="367">
        <v>0</v>
      </c>
      <c r="K60" s="367">
        <v>0</v>
      </c>
      <c r="L60" s="367">
        <v>0</v>
      </c>
      <c r="M60" s="367">
        <v>0</v>
      </c>
      <c r="N60" s="367">
        <v>0</v>
      </c>
      <c r="O60" s="367">
        <v>0</v>
      </c>
      <c r="P60" s="367">
        <v>0</v>
      </c>
      <c r="Q60" s="367">
        <v>0</v>
      </c>
      <c r="R60" s="367">
        <v>0</v>
      </c>
      <c r="S60" s="367">
        <v>0</v>
      </c>
      <c r="T60" s="367">
        <v>0</v>
      </c>
      <c r="U60" s="367">
        <v>0</v>
      </c>
      <c r="V60" s="367">
        <v>0</v>
      </c>
      <c r="W60" s="367">
        <v>0</v>
      </c>
      <c r="X60" s="367">
        <v>0</v>
      </c>
      <c r="Y60" s="367">
        <v>0</v>
      </c>
      <c r="Z60" s="367">
        <v>0</v>
      </c>
      <c r="AA60" s="367">
        <v>0</v>
      </c>
      <c r="AB60" s="367">
        <v>0</v>
      </c>
      <c r="AC60" s="367">
        <v>0</v>
      </c>
      <c r="AD60" s="367">
        <v>0</v>
      </c>
      <c r="AE60" s="367">
        <v>0</v>
      </c>
      <c r="AF60" s="367">
        <v>0</v>
      </c>
      <c r="AG60" s="367">
        <v>0</v>
      </c>
      <c r="AH60" s="222">
        <f>SUM(C60:AG60)</f>
        <v>0</v>
      </c>
    </row>
    <row r="61" spans="1:34" s="1088" customFormat="1" ht="13.8">
      <c r="A61" s="147" t="s">
        <v>75</v>
      </c>
      <c r="B61" s="213">
        <f t="shared" si="9"/>
        <v>0</v>
      </c>
      <c r="C61" s="367">
        <v>0</v>
      </c>
      <c r="D61" s="367">
        <v>0</v>
      </c>
      <c r="E61" s="367">
        <v>0</v>
      </c>
      <c r="F61" s="367">
        <v>0</v>
      </c>
      <c r="G61" s="367">
        <v>0</v>
      </c>
      <c r="H61" s="367">
        <v>0</v>
      </c>
      <c r="I61" s="367">
        <v>0</v>
      </c>
      <c r="J61" s="367">
        <v>0</v>
      </c>
      <c r="K61" s="367">
        <v>0</v>
      </c>
      <c r="L61" s="367">
        <v>0</v>
      </c>
      <c r="M61" s="367">
        <v>0</v>
      </c>
      <c r="N61" s="367">
        <v>0</v>
      </c>
      <c r="O61" s="367">
        <v>0</v>
      </c>
      <c r="P61" s="367">
        <v>0</v>
      </c>
      <c r="Q61" s="367">
        <v>0</v>
      </c>
      <c r="R61" s="367">
        <v>0</v>
      </c>
      <c r="S61" s="367">
        <v>0</v>
      </c>
      <c r="T61" s="367">
        <v>0</v>
      </c>
      <c r="U61" s="367">
        <v>0</v>
      </c>
      <c r="V61" s="367">
        <v>0</v>
      </c>
      <c r="W61" s="367">
        <v>0</v>
      </c>
      <c r="X61" s="367">
        <v>0</v>
      </c>
      <c r="Y61" s="367">
        <v>0</v>
      </c>
      <c r="Z61" s="367">
        <v>0</v>
      </c>
      <c r="AA61" s="367">
        <v>0</v>
      </c>
      <c r="AB61" s="367">
        <v>0</v>
      </c>
      <c r="AC61" s="367">
        <v>0</v>
      </c>
      <c r="AD61" s="367">
        <v>0</v>
      </c>
      <c r="AE61" s="367">
        <v>0</v>
      </c>
      <c r="AF61" s="367">
        <v>0</v>
      </c>
      <c r="AG61" s="367">
        <v>0</v>
      </c>
      <c r="AH61" s="222">
        <f>SUM(C61:AG61)</f>
        <v>0</v>
      </c>
    </row>
    <row r="62" spans="1:34" s="1088" customFormat="1" ht="13.8">
      <c r="A62" s="147" t="s">
        <v>76</v>
      </c>
      <c r="B62" s="213">
        <f t="shared" si="9"/>
        <v>0</v>
      </c>
      <c r="C62" s="367">
        <v>0</v>
      </c>
      <c r="D62" s="367">
        <v>0</v>
      </c>
      <c r="E62" s="367">
        <v>0</v>
      </c>
      <c r="F62" s="367">
        <v>0</v>
      </c>
      <c r="G62" s="367">
        <v>0</v>
      </c>
      <c r="H62" s="367">
        <v>0</v>
      </c>
      <c r="I62" s="367">
        <v>0</v>
      </c>
      <c r="J62" s="367">
        <v>0</v>
      </c>
      <c r="K62" s="367">
        <v>0</v>
      </c>
      <c r="L62" s="367">
        <v>0</v>
      </c>
      <c r="M62" s="367">
        <v>0</v>
      </c>
      <c r="N62" s="367">
        <v>0</v>
      </c>
      <c r="O62" s="367">
        <v>0</v>
      </c>
      <c r="P62" s="367">
        <v>0</v>
      </c>
      <c r="Q62" s="367">
        <v>0</v>
      </c>
      <c r="R62" s="367">
        <v>0</v>
      </c>
      <c r="S62" s="367">
        <v>0</v>
      </c>
      <c r="T62" s="367">
        <v>0</v>
      </c>
      <c r="U62" s="367">
        <v>0</v>
      </c>
      <c r="V62" s="367">
        <v>0</v>
      </c>
      <c r="W62" s="367">
        <v>0</v>
      </c>
      <c r="X62" s="367">
        <v>0</v>
      </c>
      <c r="Y62" s="367">
        <v>0</v>
      </c>
      <c r="Z62" s="367">
        <v>0</v>
      </c>
      <c r="AA62" s="367">
        <v>0</v>
      </c>
      <c r="AB62" s="367">
        <v>0</v>
      </c>
      <c r="AC62" s="367">
        <v>0</v>
      </c>
      <c r="AD62" s="367">
        <v>0</v>
      </c>
      <c r="AE62" s="367">
        <v>0</v>
      </c>
      <c r="AF62" s="367">
        <v>0</v>
      </c>
      <c r="AG62" s="367">
        <v>0</v>
      </c>
      <c r="AH62" s="222">
        <f>SUM(C62:AG62)</f>
        <v>0</v>
      </c>
    </row>
    <row r="63" spans="1:34" s="1088" customFormat="1" ht="13.8">
      <c r="A63" s="147" t="s">
        <v>77</v>
      </c>
      <c r="B63" s="213">
        <f t="shared" si="9"/>
        <v>0</v>
      </c>
      <c r="C63" s="367">
        <v>0</v>
      </c>
      <c r="D63" s="367">
        <v>0</v>
      </c>
      <c r="E63" s="367">
        <v>0</v>
      </c>
      <c r="F63" s="367">
        <v>0</v>
      </c>
      <c r="G63" s="367">
        <v>0</v>
      </c>
      <c r="H63" s="367">
        <v>0</v>
      </c>
      <c r="I63" s="367">
        <v>0</v>
      </c>
      <c r="J63" s="367">
        <v>0</v>
      </c>
      <c r="K63" s="367">
        <v>0</v>
      </c>
      <c r="L63" s="367">
        <v>0</v>
      </c>
      <c r="M63" s="367">
        <v>0</v>
      </c>
      <c r="N63" s="367">
        <v>0</v>
      </c>
      <c r="O63" s="367">
        <v>0</v>
      </c>
      <c r="P63" s="367">
        <v>0</v>
      </c>
      <c r="Q63" s="367">
        <v>0</v>
      </c>
      <c r="R63" s="367">
        <v>0</v>
      </c>
      <c r="S63" s="367">
        <v>0</v>
      </c>
      <c r="T63" s="367">
        <v>0</v>
      </c>
      <c r="U63" s="367">
        <v>0</v>
      </c>
      <c r="V63" s="367">
        <v>0</v>
      </c>
      <c r="W63" s="367">
        <v>0</v>
      </c>
      <c r="X63" s="367">
        <v>0</v>
      </c>
      <c r="Y63" s="367">
        <v>0</v>
      </c>
      <c r="Z63" s="367">
        <v>0</v>
      </c>
      <c r="AA63" s="367">
        <v>0</v>
      </c>
      <c r="AB63" s="367">
        <v>0</v>
      </c>
      <c r="AC63" s="367">
        <v>0</v>
      </c>
      <c r="AD63" s="367">
        <v>0</v>
      </c>
      <c r="AE63" s="367">
        <v>0</v>
      </c>
      <c r="AF63" s="367">
        <v>0</v>
      </c>
      <c r="AG63" s="367">
        <v>0</v>
      </c>
      <c r="AH63" s="222">
        <v>0</v>
      </c>
    </row>
    <row r="64" spans="1:34" s="1088" customFormat="1" ht="13.8">
      <c r="A64" s="147" t="s">
        <v>78</v>
      </c>
      <c r="B64" s="213">
        <f t="shared" si="9"/>
        <v>0</v>
      </c>
      <c r="C64" s="367">
        <v>0</v>
      </c>
      <c r="D64" s="367">
        <v>0</v>
      </c>
      <c r="E64" s="367">
        <v>0</v>
      </c>
      <c r="F64" s="367">
        <v>0</v>
      </c>
      <c r="G64" s="367">
        <v>0</v>
      </c>
      <c r="H64" s="367">
        <v>0</v>
      </c>
      <c r="I64" s="367">
        <v>0</v>
      </c>
      <c r="J64" s="367">
        <v>0</v>
      </c>
      <c r="K64" s="367">
        <v>0</v>
      </c>
      <c r="L64" s="367">
        <v>0</v>
      </c>
      <c r="M64" s="367">
        <v>0</v>
      </c>
      <c r="N64" s="367">
        <v>0</v>
      </c>
      <c r="O64" s="367">
        <v>0</v>
      </c>
      <c r="P64" s="367">
        <v>0</v>
      </c>
      <c r="Q64" s="367">
        <v>0</v>
      </c>
      <c r="R64" s="367">
        <v>0</v>
      </c>
      <c r="S64" s="367">
        <v>0</v>
      </c>
      <c r="T64" s="367">
        <v>0</v>
      </c>
      <c r="U64" s="367">
        <v>0</v>
      </c>
      <c r="V64" s="367">
        <v>0</v>
      </c>
      <c r="W64" s="367">
        <v>0</v>
      </c>
      <c r="X64" s="367">
        <v>0</v>
      </c>
      <c r="Y64" s="367">
        <v>0</v>
      </c>
      <c r="Z64" s="367">
        <v>0</v>
      </c>
      <c r="AA64" s="367">
        <v>0</v>
      </c>
      <c r="AB64" s="367">
        <v>0</v>
      </c>
      <c r="AC64" s="367">
        <v>0</v>
      </c>
      <c r="AD64" s="367">
        <v>0</v>
      </c>
      <c r="AE64" s="367">
        <v>0</v>
      </c>
      <c r="AF64" s="367">
        <v>0</v>
      </c>
      <c r="AG64" s="367">
        <v>0</v>
      </c>
      <c r="AH64" s="222">
        <f t="shared" ref="AH64:AH71" si="10">SUM(C64:AG64)</f>
        <v>0</v>
      </c>
    </row>
    <row r="65" spans="1:34" s="1088" customFormat="1" ht="13.8">
      <c r="A65" s="136" t="s">
        <v>79</v>
      </c>
      <c r="B65" s="213">
        <f t="shared" si="9"/>
        <v>0</v>
      </c>
      <c r="C65" s="367">
        <v>0</v>
      </c>
      <c r="D65" s="367">
        <v>0</v>
      </c>
      <c r="E65" s="367">
        <v>0</v>
      </c>
      <c r="F65" s="367">
        <v>0</v>
      </c>
      <c r="G65" s="367">
        <v>0</v>
      </c>
      <c r="H65" s="367">
        <v>0</v>
      </c>
      <c r="I65" s="367">
        <v>0</v>
      </c>
      <c r="J65" s="367">
        <v>0</v>
      </c>
      <c r="K65" s="367">
        <v>0</v>
      </c>
      <c r="L65" s="367">
        <v>0</v>
      </c>
      <c r="M65" s="367">
        <v>0</v>
      </c>
      <c r="N65" s="367">
        <v>0</v>
      </c>
      <c r="O65" s="367">
        <v>0</v>
      </c>
      <c r="P65" s="367">
        <v>0</v>
      </c>
      <c r="Q65" s="367">
        <v>0</v>
      </c>
      <c r="R65" s="367">
        <v>0</v>
      </c>
      <c r="S65" s="367">
        <v>0</v>
      </c>
      <c r="T65" s="367">
        <v>0</v>
      </c>
      <c r="U65" s="367">
        <v>0</v>
      </c>
      <c r="V65" s="367">
        <v>0</v>
      </c>
      <c r="W65" s="367">
        <v>0</v>
      </c>
      <c r="X65" s="367">
        <v>0</v>
      </c>
      <c r="Y65" s="367">
        <v>0</v>
      </c>
      <c r="Z65" s="367">
        <v>0</v>
      </c>
      <c r="AA65" s="367">
        <v>0</v>
      </c>
      <c r="AB65" s="367">
        <v>0</v>
      </c>
      <c r="AC65" s="367">
        <v>0</v>
      </c>
      <c r="AD65" s="367">
        <v>0</v>
      </c>
      <c r="AE65" s="367">
        <v>0</v>
      </c>
      <c r="AF65" s="367">
        <v>0</v>
      </c>
      <c r="AG65" s="367">
        <v>0</v>
      </c>
      <c r="AH65" s="222">
        <f t="shared" si="10"/>
        <v>0</v>
      </c>
    </row>
    <row r="66" spans="1:34" s="1088" customFormat="1" ht="13.8">
      <c r="A66" s="136" t="s">
        <v>80</v>
      </c>
      <c r="B66" s="213">
        <f t="shared" si="9"/>
        <v>0</v>
      </c>
      <c r="C66" s="367">
        <v>0</v>
      </c>
      <c r="D66" s="367">
        <v>0</v>
      </c>
      <c r="E66" s="367">
        <v>0</v>
      </c>
      <c r="F66" s="367">
        <v>0</v>
      </c>
      <c r="G66" s="367">
        <v>0</v>
      </c>
      <c r="H66" s="367">
        <v>0</v>
      </c>
      <c r="I66" s="367">
        <v>0</v>
      </c>
      <c r="J66" s="367">
        <v>0</v>
      </c>
      <c r="K66" s="367">
        <v>0</v>
      </c>
      <c r="L66" s="367">
        <v>0</v>
      </c>
      <c r="M66" s="367">
        <v>0</v>
      </c>
      <c r="N66" s="367">
        <v>0</v>
      </c>
      <c r="O66" s="367">
        <v>0</v>
      </c>
      <c r="P66" s="367">
        <v>0</v>
      </c>
      <c r="Q66" s="367">
        <v>0</v>
      </c>
      <c r="R66" s="367">
        <v>0</v>
      </c>
      <c r="S66" s="367">
        <v>0</v>
      </c>
      <c r="T66" s="367">
        <v>0</v>
      </c>
      <c r="U66" s="367">
        <v>0</v>
      </c>
      <c r="V66" s="367">
        <v>0</v>
      </c>
      <c r="W66" s="367">
        <v>0</v>
      </c>
      <c r="X66" s="367">
        <v>0</v>
      </c>
      <c r="Y66" s="367">
        <v>0</v>
      </c>
      <c r="Z66" s="367">
        <v>0</v>
      </c>
      <c r="AA66" s="367">
        <v>0</v>
      </c>
      <c r="AB66" s="367">
        <v>0</v>
      </c>
      <c r="AC66" s="367">
        <v>0</v>
      </c>
      <c r="AD66" s="367">
        <v>0</v>
      </c>
      <c r="AE66" s="367">
        <v>0</v>
      </c>
      <c r="AF66" s="367">
        <v>0</v>
      </c>
      <c r="AG66" s="367">
        <v>0</v>
      </c>
      <c r="AH66" s="222">
        <f t="shared" si="10"/>
        <v>0</v>
      </c>
    </row>
    <row r="67" spans="1:34" s="1088" customFormat="1" ht="13.8">
      <c r="A67" s="136" t="s">
        <v>81</v>
      </c>
      <c r="B67" s="213">
        <f t="shared" si="9"/>
        <v>0</v>
      </c>
      <c r="C67" s="367">
        <v>0</v>
      </c>
      <c r="D67" s="367">
        <v>0</v>
      </c>
      <c r="E67" s="367">
        <v>0</v>
      </c>
      <c r="F67" s="367">
        <v>0</v>
      </c>
      <c r="G67" s="367">
        <v>0</v>
      </c>
      <c r="H67" s="367">
        <v>0</v>
      </c>
      <c r="I67" s="367">
        <v>0</v>
      </c>
      <c r="J67" s="367">
        <v>0</v>
      </c>
      <c r="K67" s="367">
        <v>0</v>
      </c>
      <c r="L67" s="367">
        <v>0</v>
      </c>
      <c r="M67" s="367">
        <v>0</v>
      </c>
      <c r="N67" s="367">
        <v>0</v>
      </c>
      <c r="O67" s="367">
        <v>0</v>
      </c>
      <c r="P67" s="367">
        <v>0</v>
      </c>
      <c r="Q67" s="367">
        <v>0</v>
      </c>
      <c r="R67" s="367">
        <v>0</v>
      </c>
      <c r="S67" s="367">
        <v>0</v>
      </c>
      <c r="T67" s="367">
        <v>0</v>
      </c>
      <c r="U67" s="367">
        <v>0</v>
      </c>
      <c r="V67" s="367">
        <v>0</v>
      </c>
      <c r="W67" s="367">
        <v>0</v>
      </c>
      <c r="X67" s="367">
        <v>0</v>
      </c>
      <c r="Y67" s="367">
        <v>0</v>
      </c>
      <c r="Z67" s="367">
        <v>0</v>
      </c>
      <c r="AA67" s="367">
        <v>0</v>
      </c>
      <c r="AB67" s="367">
        <v>0</v>
      </c>
      <c r="AC67" s="367">
        <v>0</v>
      </c>
      <c r="AD67" s="367">
        <v>0</v>
      </c>
      <c r="AE67" s="367">
        <v>0</v>
      </c>
      <c r="AF67" s="367">
        <v>0</v>
      </c>
      <c r="AG67" s="367">
        <v>0</v>
      </c>
      <c r="AH67" s="222">
        <f t="shared" si="10"/>
        <v>0</v>
      </c>
    </row>
    <row r="68" spans="1:34" s="1088" customFormat="1" ht="13.8">
      <c r="A68" s="159" t="s">
        <v>82</v>
      </c>
      <c r="B68" s="213">
        <f t="shared" si="9"/>
        <v>0</v>
      </c>
      <c r="C68" s="367">
        <v>0</v>
      </c>
      <c r="D68" s="367">
        <v>0</v>
      </c>
      <c r="E68" s="367">
        <v>0</v>
      </c>
      <c r="F68" s="367">
        <v>0</v>
      </c>
      <c r="G68" s="367">
        <v>0</v>
      </c>
      <c r="H68" s="367">
        <v>0</v>
      </c>
      <c r="I68" s="367">
        <v>0</v>
      </c>
      <c r="J68" s="367">
        <v>0</v>
      </c>
      <c r="K68" s="367">
        <v>0</v>
      </c>
      <c r="L68" s="367">
        <v>0</v>
      </c>
      <c r="M68" s="367">
        <v>0</v>
      </c>
      <c r="N68" s="367">
        <v>0</v>
      </c>
      <c r="O68" s="367">
        <v>0</v>
      </c>
      <c r="P68" s="367">
        <v>0</v>
      </c>
      <c r="Q68" s="367">
        <v>0</v>
      </c>
      <c r="R68" s="367">
        <v>0</v>
      </c>
      <c r="S68" s="367">
        <v>0</v>
      </c>
      <c r="T68" s="367">
        <v>0</v>
      </c>
      <c r="U68" s="367">
        <v>0</v>
      </c>
      <c r="V68" s="367">
        <v>0</v>
      </c>
      <c r="W68" s="367">
        <v>0</v>
      </c>
      <c r="X68" s="367">
        <v>0</v>
      </c>
      <c r="Y68" s="367">
        <v>0</v>
      </c>
      <c r="Z68" s="367">
        <v>0</v>
      </c>
      <c r="AA68" s="367">
        <v>0</v>
      </c>
      <c r="AB68" s="367">
        <v>0</v>
      </c>
      <c r="AC68" s="367">
        <v>0</v>
      </c>
      <c r="AD68" s="367">
        <v>0</v>
      </c>
      <c r="AE68" s="367">
        <v>0</v>
      </c>
      <c r="AF68" s="367">
        <v>0</v>
      </c>
      <c r="AG68" s="827">
        <v>0</v>
      </c>
      <c r="AH68" s="222">
        <f t="shared" si="10"/>
        <v>0</v>
      </c>
    </row>
    <row r="69" spans="1:34" s="1088" customFormat="1" ht="13.8">
      <c r="A69" s="159" t="s">
        <v>83</v>
      </c>
      <c r="B69" s="213">
        <f t="shared" si="9"/>
        <v>0</v>
      </c>
      <c r="C69" s="1095"/>
      <c r="D69" s="1095"/>
      <c r="E69" s="1095"/>
      <c r="F69" s="1095"/>
      <c r="G69" s="1095"/>
      <c r="H69" s="1095"/>
      <c r="I69" s="1095"/>
      <c r="J69" s="1095"/>
      <c r="K69" s="1095"/>
      <c r="L69" s="1095"/>
      <c r="M69" s="1095"/>
      <c r="N69" s="1095"/>
      <c r="O69" s="1095"/>
      <c r="P69" s="1095"/>
      <c r="Q69" s="1095"/>
      <c r="R69" s="1095"/>
      <c r="S69" s="1095"/>
      <c r="T69" s="1095"/>
      <c r="U69" s="1095"/>
      <c r="V69" s="1095"/>
      <c r="W69" s="1095"/>
      <c r="X69" s="1095"/>
      <c r="Y69" s="1095"/>
      <c r="Z69" s="1095"/>
      <c r="AA69" s="1095"/>
      <c r="AB69" s="1095"/>
      <c r="AC69" s="1095"/>
      <c r="AD69" s="1095"/>
      <c r="AE69" s="1095"/>
      <c r="AF69" s="1095"/>
      <c r="AG69" s="1095"/>
      <c r="AH69" s="222">
        <f t="shared" si="10"/>
        <v>0</v>
      </c>
    </row>
    <row r="70" spans="1:34" s="1088" customFormat="1" ht="13.8">
      <c r="A70" s="159" t="s">
        <v>84</v>
      </c>
      <c r="B70" s="213">
        <f t="shared" si="9"/>
        <v>0</v>
      </c>
      <c r="C70" s="827"/>
      <c r="D70" s="827"/>
      <c r="E70" s="827"/>
      <c r="F70" s="827"/>
      <c r="G70" s="827"/>
      <c r="H70" s="827"/>
      <c r="I70" s="827"/>
      <c r="J70" s="827"/>
      <c r="K70" s="827"/>
      <c r="L70" s="1192"/>
      <c r="M70" s="827"/>
      <c r="N70" s="827"/>
      <c r="O70" s="1179"/>
      <c r="P70" s="827"/>
      <c r="Q70" s="827"/>
      <c r="R70" s="827"/>
      <c r="S70" s="827"/>
      <c r="T70" s="827"/>
      <c r="U70" s="827"/>
      <c r="V70" s="827"/>
      <c r="W70" s="827"/>
      <c r="X70" s="827"/>
      <c r="Y70" s="827"/>
      <c r="Z70" s="827"/>
      <c r="AA70" s="827"/>
      <c r="AB70" s="827"/>
      <c r="AC70" s="827"/>
      <c r="AD70" s="827"/>
      <c r="AE70" s="827"/>
      <c r="AF70" s="827"/>
      <c r="AG70" s="827"/>
      <c r="AH70" s="222">
        <f t="shared" si="10"/>
        <v>0</v>
      </c>
    </row>
    <row r="71" spans="1:34" s="1088" customFormat="1" ht="14.4" thickBot="1">
      <c r="A71" s="957" t="s">
        <v>50</v>
      </c>
      <c r="B71" s="958">
        <f>SUM(B59:B70)</f>
        <v>0</v>
      </c>
      <c r="C71" s="371"/>
      <c r="D71" s="371"/>
      <c r="E71" s="371"/>
      <c r="F71" s="371"/>
      <c r="G71" s="371"/>
      <c r="H71" s="371"/>
      <c r="I71" s="371"/>
      <c r="J71" s="371"/>
      <c r="K71" s="371"/>
      <c r="L71" s="371"/>
      <c r="M71" s="371"/>
      <c r="N71" s="371"/>
      <c r="O71" s="371"/>
      <c r="P71" s="371"/>
      <c r="Q71" s="371"/>
      <c r="R71" s="371"/>
      <c r="S71" s="371"/>
      <c r="T71" s="225"/>
      <c r="U71" s="225"/>
      <c r="V71" s="225"/>
      <c r="W71" s="225"/>
      <c r="X71" s="225"/>
      <c r="Y71" s="225"/>
      <c r="Z71" s="225"/>
      <c r="AA71" s="225"/>
      <c r="AB71" s="225"/>
      <c r="AC71" s="225"/>
      <c r="AD71" s="225"/>
      <c r="AE71" s="225"/>
      <c r="AF71" s="225"/>
      <c r="AG71" s="225"/>
      <c r="AH71" s="222">
        <f t="shared" si="10"/>
        <v>0</v>
      </c>
    </row>
    <row r="72" spans="1:34" s="1088" customFormat="1" ht="13.8">
      <c r="A72" s="959" t="s">
        <v>146</v>
      </c>
      <c r="B72" s="960"/>
    </row>
    <row r="73" spans="1:34" s="1088" customFormat="1" ht="14.4" thickBot="1">
      <c r="A73" s="961" t="s">
        <v>475</v>
      </c>
      <c r="B73" s="1332">
        <f>+B72-B71</f>
        <v>0</v>
      </c>
      <c r="C73" s="1238"/>
    </row>
    <row r="74" spans="1:34" s="1235" customFormat="1" ht="13.8">
      <c r="A74" s="379"/>
      <c r="B74" s="1237"/>
      <c r="C74" s="1238"/>
    </row>
    <row r="75" spans="1:34" s="1235" customFormat="1" ht="13.8">
      <c r="A75" s="379"/>
      <c r="B75" s="1237"/>
      <c r="C75" s="1238"/>
    </row>
    <row r="76" spans="1:34" s="1235" customFormat="1" ht="13.8">
      <c r="A76" s="1239" t="s">
        <v>540</v>
      </c>
      <c r="B76" s="1240"/>
      <c r="C76" s="1241"/>
      <c r="D76" s="1242"/>
      <c r="E76" s="218"/>
      <c r="F76" s="218"/>
      <c r="G76" s="218"/>
      <c r="H76" s="218"/>
      <c r="I76" s="218"/>
      <c r="J76" s="218"/>
      <c r="K76" s="218"/>
      <c r="L76" s="218"/>
      <c r="M76" s="219"/>
      <c r="N76" s="218"/>
      <c r="O76" s="218"/>
      <c r="P76" s="218"/>
      <c r="Q76" s="218"/>
      <c r="R76" s="218"/>
      <c r="S76" s="218"/>
      <c r="T76" s="218"/>
      <c r="U76" s="218"/>
      <c r="V76" s="218"/>
      <c r="W76" s="218"/>
      <c r="X76" s="218"/>
      <c r="Y76" s="218"/>
      <c r="Z76" s="218"/>
      <c r="AA76" s="218"/>
      <c r="AB76" s="218"/>
      <c r="AC76" s="218"/>
      <c r="AD76" s="218"/>
      <c r="AE76" s="218"/>
      <c r="AF76" s="218"/>
      <c r="AG76" s="218"/>
      <c r="AH76" s="174"/>
    </row>
    <row r="77" spans="1:34" s="1235" customFormat="1" ht="13.8">
      <c r="A77" s="146" t="s">
        <v>70</v>
      </c>
      <c r="B77" s="220" t="s">
        <v>71</v>
      </c>
      <c r="C77" s="366">
        <v>1</v>
      </c>
      <c r="D77" s="366">
        <v>2</v>
      </c>
      <c r="E77" s="366">
        <v>3</v>
      </c>
      <c r="F77" s="366">
        <v>4</v>
      </c>
      <c r="G77" s="366">
        <v>5</v>
      </c>
      <c r="H77" s="366">
        <v>6</v>
      </c>
      <c r="I77" s="366">
        <v>7</v>
      </c>
      <c r="J77" s="366">
        <v>8</v>
      </c>
      <c r="K77" s="366">
        <v>9</v>
      </c>
      <c r="L77" s="366">
        <v>10</v>
      </c>
      <c r="M77" s="366">
        <v>11</v>
      </c>
      <c r="N77" s="366">
        <v>12</v>
      </c>
      <c r="O77" s="366">
        <v>13</v>
      </c>
      <c r="P77" s="366">
        <v>14</v>
      </c>
      <c r="Q77" s="366">
        <v>15</v>
      </c>
      <c r="R77" s="366">
        <v>16</v>
      </c>
      <c r="S77" s="366">
        <v>17</v>
      </c>
      <c r="T77" s="234">
        <v>18</v>
      </c>
      <c r="U77" s="234">
        <v>19</v>
      </c>
      <c r="V77" s="234">
        <v>20</v>
      </c>
      <c r="W77" s="234">
        <v>21</v>
      </c>
      <c r="X77" s="234">
        <v>22</v>
      </c>
      <c r="Y77" s="234">
        <v>23</v>
      </c>
      <c r="Z77" s="234">
        <v>24</v>
      </c>
      <c r="AA77" s="234">
        <v>25</v>
      </c>
      <c r="AB77" s="234">
        <v>26</v>
      </c>
      <c r="AC77" s="234">
        <v>27</v>
      </c>
      <c r="AD77" s="234">
        <v>28</v>
      </c>
      <c r="AE77" s="234">
        <v>29</v>
      </c>
      <c r="AF77" s="234">
        <v>30</v>
      </c>
      <c r="AG77" s="234">
        <v>31</v>
      </c>
      <c r="AH77" s="221" t="s">
        <v>50</v>
      </c>
    </row>
    <row r="78" spans="1:34" s="1235" customFormat="1" ht="13.8">
      <c r="A78" s="147" t="s">
        <v>73</v>
      </c>
      <c r="B78" s="213">
        <f t="shared" ref="B78:B89" si="11">+AH78</f>
        <v>0</v>
      </c>
      <c r="C78" s="367">
        <v>0</v>
      </c>
      <c r="D78" s="367">
        <v>0</v>
      </c>
      <c r="E78" s="367">
        <v>0</v>
      </c>
      <c r="F78" s="367">
        <v>0</v>
      </c>
      <c r="G78" s="367">
        <v>0</v>
      </c>
      <c r="H78" s="367">
        <v>0</v>
      </c>
      <c r="I78" s="367">
        <v>0</v>
      </c>
      <c r="J78" s="367">
        <v>0</v>
      </c>
      <c r="K78" s="367">
        <v>0</v>
      </c>
      <c r="L78" s="367">
        <v>0</v>
      </c>
      <c r="M78" s="367">
        <v>0</v>
      </c>
      <c r="N78" s="367">
        <v>0</v>
      </c>
      <c r="O78" s="367">
        <v>0</v>
      </c>
      <c r="P78" s="367">
        <v>0</v>
      </c>
      <c r="Q78" s="367">
        <v>0</v>
      </c>
      <c r="R78" s="367">
        <v>0</v>
      </c>
      <c r="S78" s="367">
        <v>0</v>
      </c>
      <c r="T78" s="367">
        <v>0</v>
      </c>
      <c r="U78" s="367">
        <v>0</v>
      </c>
      <c r="V78" s="367">
        <v>0</v>
      </c>
      <c r="W78" s="367">
        <v>0</v>
      </c>
      <c r="X78" s="367">
        <v>0</v>
      </c>
      <c r="Y78" s="367">
        <v>0</v>
      </c>
      <c r="Z78" s="367">
        <v>0</v>
      </c>
      <c r="AA78" s="367">
        <v>0</v>
      </c>
      <c r="AB78" s="367">
        <v>0</v>
      </c>
      <c r="AC78" s="367">
        <v>0</v>
      </c>
      <c r="AD78" s="367">
        <v>0</v>
      </c>
      <c r="AE78" s="367">
        <v>0</v>
      </c>
      <c r="AF78" s="367">
        <v>0</v>
      </c>
      <c r="AG78" s="367">
        <v>0</v>
      </c>
      <c r="AH78" s="222">
        <f>SUM(C78:AG78)</f>
        <v>0</v>
      </c>
    </row>
    <row r="79" spans="1:34" s="1235" customFormat="1" ht="13.8">
      <c r="A79" s="147" t="s">
        <v>74</v>
      </c>
      <c r="B79" s="213">
        <f t="shared" si="11"/>
        <v>0</v>
      </c>
      <c r="C79" s="367">
        <v>0</v>
      </c>
      <c r="D79" s="367">
        <v>0</v>
      </c>
      <c r="E79" s="367">
        <v>0</v>
      </c>
      <c r="F79" s="367">
        <v>0</v>
      </c>
      <c r="G79" s="367">
        <v>0</v>
      </c>
      <c r="H79" s="367">
        <v>0</v>
      </c>
      <c r="I79" s="367">
        <v>0</v>
      </c>
      <c r="J79" s="367">
        <v>0</v>
      </c>
      <c r="K79" s="367">
        <v>0</v>
      </c>
      <c r="L79" s="367">
        <v>0</v>
      </c>
      <c r="M79" s="367">
        <v>0</v>
      </c>
      <c r="N79" s="367">
        <v>0</v>
      </c>
      <c r="O79" s="367">
        <v>0</v>
      </c>
      <c r="P79" s="367">
        <v>0</v>
      </c>
      <c r="Q79" s="367">
        <v>0</v>
      </c>
      <c r="R79" s="367">
        <v>0</v>
      </c>
      <c r="S79" s="367">
        <v>0</v>
      </c>
      <c r="T79" s="367">
        <v>0</v>
      </c>
      <c r="U79" s="367">
        <v>0</v>
      </c>
      <c r="V79" s="367">
        <v>0</v>
      </c>
      <c r="W79" s="367">
        <v>0</v>
      </c>
      <c r="X79" s="367">
        <v>0</v>
      </c>
      <c r="Y79" s="367">
        <v>0</v>
      </c>
      <c r="Z79" s="367">
        <v>0</v>
      </c>
      <c r="AA79" s="367">
        <v>0</v>
      </c>
      <c r="AB79" s="367">
        <v>0</v>
      </c>
      <c r="AC79" s="367">
        <v>0</v>
      </c>
      <c r="AD79" s="367">
        <v>0</v>
      </c>
      <c r="AE79" s="367">
        <v>0</v>
      </c>
      <c r="AF79" s="367">
        <v>0</v>
      </c>
      <c r="AG79" s="367">
        <v>0</v>
      </c>
      <c r="AH79" s="222">
        <f>SUM(C79:AG79)</f>
        <v>0</v>
      </c>
    </row>
    <row r="80" spans="1:34" s="1235" customFormat="1" ht="13.8">
      <c r="A80" s="147" t="s">
        <v>75</v>
      </c>
      <c r="B80" s="213">
        <f t="shared" si="11"/>
        <v>0</v>
      </c>
      <c r="C80" s="367">
        <v>0</v>
      </c>
      <c r="D80" s="367">
        <v>0</v>
      </c>
      <c r="E80" s="367">
        <v>0</v>
      </c>
      <c r="F80" s="367">
        <v>0</v>
      </c>
      <c r="G80" s="367">
        <v>0</v>
      </c>
      <c r="H80" s="367">
        <v>0</v>
      </c>
      <c r="I80" s="367">
        <v>0</v>
      </c>
      <c r="J80" s="367">
        <v>0</v>
      </c>
      <c r="K80" s="367">
        <v>0</v>
      </c>
      <c r="L80" s="367">
        <v>0</v>
      </c>
      <c r="M80" s="367">
        <v>0</v>
      </c>
      <c r="N80" s="367">
        <v>0</v>
      </c>
      <c r="O80" s="367">
        <v>0</v>
      </c>
      <c r="P80" s="367">
        <v>0</v>
      </c>
      <c r="Q80" s="367">
        <v>0</v>
      </c>
      <c r="R80" s="367">
        <v>0</v>
      </c>
      <c r="S80" s="367">
        <v>0</v>
      </c>
      <c r="T80" s="367">
        <v>0</v>
      </c>
      <c r="U80" s="367">
        <v>0</v>
      </c>
      <c r="V80" s="367">
        <v>0</v>
      </c>
      <c r="W80" s="367">
        <v>0</v>
      </c>
      <c r="X80" s="367">
        <v>0</v>
      </c>
      <c r="Y80" s="367">
        <v>0</v>
      </c>
      <c r="Z80" s="367">
        <v>0</v>
      </c>
      <c r="AA80" s="367">
        <v>0</v>
      </c>
      <c r="AB80" s="367">
        <v>0</v>
      </c>
      <c r="AC80" s="367">
        <v>0</v>
      </c>
      <c r="AD80" s="367">
        <v>0</v>
      </c>
      <c r="AE80" s="367">
        <v>0</v>
      </c>
      <c r="AF80" s="367">
        <v>0</v>
      </c>
      <c r="AG80" s="367">
        <v>0</v>
      </c>
      <c r="AH80" s="222">
        <f>SUM(C80:AG80)</f>
        <v>0</v>
      </c>
    </row>
    <row r="81" spans="1:34" s="1235" customFormat="1" ht="13.8">
      <c r="A81" s="147" t="s">
        <v>76</v>
      </c>
      <c r="B81" s="213">
        <f t="shared" si="11"/>
        <v>0</v>
      </c>
      <c r="C81" s="367">
        <v>0</v>
      </c>
      <c r="D81" s="367">
        <v>0</v>
      </c>
      <c r="E81" s="367">
        <v>0</v>
      </c>
      <c r="F81" s="367">
        <v>0</v>
      </c>
      <c r="G81" s="367">
        <v>0</v>
      </c>
      <c r="H81" s="367">
        <v>0</v>
      </c>
      <c r="I81" s="367">
        <v>0</v>
      </c>
      <c r="J81" s="367">
        <v>0</v>
      </c>
      <c r="K81" s="367">
        <v>0</v>
      </c>
      <c r="L81" s="367">
        <v>0</v>
      </c>
      <c r="M81" s="367">
        <v>0</v>
      </c>
      <c r="N81" s="367">
        <v>0</v>
      </c>
      <c r="O81" s="367">
        <v>0</v>
      </c>
      <c r="P81" s="367">
        <v>0</v>
      </c>
      <c r="Q81" s="367">
        <v>0</v>
      </c>
      <c r="R81" s="367">
        <v>0</v>
      </c>
      <c r="S81" s="367">
        <v>0</v>
      </c>
      <c r="T81" s="367">
        <v>0</v>
      </c>
      <c r="U81" s="367">
        <v>0</v>
      </c>
      <c r="V81" s="367">
        <v>0</v>
      </c>
      <c r="W81" s="367">
        <v>0</v>
      </c>
      <c r="X81" s="367">
        <v>0</v>
      </c>
      <c r="Y81" s="367">
        <v>0</v>
      </c>
      <c r="Z81" s="367">
        <v>0</v>
      </c>
      <c r="AA81" s="367">
        <v>0</v>
      </c>
      <c r="AB81" s="367">
        <v>0</v>
      </c>
      <c r="AC81" s="367">
        <v>0</v>
      </c>
      <c r="AD81" s="367">
        <v>0</v>
      </c>
      <c r="AE81" s="367">
        <v>0</v>
      </c>
      <c r="AF81" s="367">
        <v>0</v>
      </c>
      <c r="AG81" s="367">
        <v>0</v>
      </c>
      <c r="AH81" s="222">
        <f>SUM(C81:AG81)</f>
        <v>0</v>
      </c>
    </row>
    <row r="82" spans="1:34" s="1235" customFormat="1" ht="13.8">
      <c r="A82" s="147" t="s">
        <v>77</v>
      </c>
      <c r="B82" s="213">
        <f t="shared" si="11"/>
        <v>0</v>
      </c>
      <c r="C82" s="367">
        <v>0</v>
      </c>
      <c r="D82" s="367">
        <v>0</v>
      </c>
      <c r="E82" s="367">
        <v>0</v>
      </c>
      <c r="F82" s="367">
        <v>0</v>
      </c>
      <c r="G82" s="367">
        <v>0</v>
      </c>
      <c r="H82" s="367">
        <v>0</v>
      </c>
      <c r="I82" s="367">
        <v>0</v>
      </c>
      <c r="J82" s="367">
        <v>0</v>
      </c>
      <c r="K82" s="367">
        <v>0</v>
      </c>
      <c r="L82" s="367">
        <v>0</v>
      </c>
      <c r="M82" s="367">
        <v>0</v>
      </c>
      <c r="N82" s="367">
        <v>0</v>
      </c>
      <c r="O82" s="367">
        <v>0</v>
      </c>
      <c r="P82" s="367">
        <v>0</v>
      </c>
      <c r="Q82" s="367">
        <v>0</v>
      </c>
      <c r="R82" s="367">
        <v>0</v>
      </c>
      <c r="S82" s="367">
        <v>0</v>
      </c>
      <c r="T82" s="367">
        <v>0</v>
      </c>
      <c r="U82" s="367">
        <v>0</v>
      </c>
      <c r="V82" s="367">
        <v>0</v>
      </c>
      <c r="W82" s="367">
        <v>0</v>
      </c>
      <c r="X82" s="367">
        <v>0</v>
      </c>
      <c r="Y82" s="367">
        <v>0</v>
      </c>
      <c r="Z82" s="367">
        <v>0</v>
      </c>
      <c r="AA82" s="367">
        <v>0</v>
      </c>
      <c r="AB82" s="367">
        <v>0</v>
      </c>
      <c r="AC82" s="367">
        <v>0</v>
      </c>
      <c r="AD82" s="367">
        <v>0</v>
      </c>
      <c r="AE82" s="367">
        <v>0</v>
      </c>
      <c r="AF82" s="367">
        <v>0</v>
      </c>
      <c r="AG82" s="367">
        <v>0</v>
      </c>
      <c r="AH82" s="222">
        <v>0</v>
      </c>
    </row>
    <row r="83" spans="1:34" s="1235" customFormat="1" ht="13.8">
      <c r="A83" s="147" t="s">
        <v>78</v>
      </c>
      <c r="B83" s="213">
        <f t="shared" si="11"/>
        <v>0</v>
      </c>
      <c r="C83" s="367">
        <v>0</v>
      </c>
      <c r="D83" s="367">
        <v>0</v>
      </c>
      <c r="E83" s="367">
        <v>0</v>
      </c>
      <c r="F83" s="367">
        <v>0</v>
      </c>
      <c r="G83" s="367">
        <v>0</v>
      </c>
      <c r="H83" s="367">
        <v>0</v>
      </c>
      <c r="I83" s="367">
        <v>0</v>
      </c>
      <c r="J83" s="367">
        <v>0</v>
      </c>
      <c r="K83" s="367">
        <v>0</v>
      </c>
      <c r="L83" s="367">
        <v>0</v>
      </c>
      <c r="M83" s="367">
        <v>0</v>
      </c>
      <c r="N83" s="367">
        <v>0</v>
      </c>
      <c r="O83" s="367">
        <v>0</v>
      </c>
      <c r="P83" s="367">
        <v>0</v>
      </c>
      <c r="Q83" s="367">
        <v>0</v>
      </c>
      <c r="R83" s="367">
        <v>0</v>
      </c>
      <c r="S83" s="367">
        <v>0</v>
      </c>
      <c r="T83" s="367">
        <v>0</v>
      </c>
      <c r="U83" s="367">
        <v>0</v>
      </c>
      <c r="V83" s="367">
        <v>0</v>
      </c>
      <c r="W83" s="367">
        <v>0</v>
      </c>
      <c r="X83" s="367">
        <v>0</v>
      </c>
      <c r="Y83" s="367">
        <v>0</v>
      </c>
      <c r="Z83" s="367">
        <v>0</v>
      </c>
      <c r="AA83" s="367">
        <v>0</v>
      </c>
      <c r="AB83" s="367">
        <v>0</v>
      </c>
      <c r="AC83" s="367">
        <v>0</v>
      </c>
      <c r="AD83" s="367">
        <v>0</v>
      </c>
      <c r="AE83" s="367">
        <v>0</v>
      </c>
      <c r="AF83" s="367">
        <v>0</v>
      </c>
      <c r="AG83" s="367">
        <v>0</v>
      </c>
      <c r="AH83" s="222">
        <f t="shared" ref="AH83:AH90" si="12">SUM(C83:AG83)</f>
        <v>0</v>
      </c>
    </row>
    <row r="84" spans="1:34" s="1235" customFormat="1" ht="13.8">
      <c r="A84" s="136" t="s">
        <v>79</v>
      </c>
      <c r="B84" s="213">
        <f t="shared" si="11"/>
        <v>0</v>
      </c>
      <c r="C84" s="367">
        <v>0</v>
      </c>
      <c r="D84" s="367">
        <v>0</v>
      </c>
      <c r="E84" s="367">
        <v>0</v>
      </c>
      <c r="F84" s="367">
        <v>0</v>
      </c>
      <c r="G84" s="367">
        <v>0</v>
      </c>
      <c r="H84" s="367">
        <v>0</v>
      </c>
      <c r="I84" s="367">
        <v>0</v>
      </c>
      <c r="J84" s="367">
        <v>0</v>
      </c>
      <c r="K84" s="367">
        <v>0</v>
      </c>
      <c r="L84" s="367">
        <v>0</v>
      </c>
      <c r="M84" s="367">
        <v>0</v>
      </c>
      <c r="N84" s="367">
        <v>0</v>
      </c>
      <c r="O84" s="367">
        <v>0</v>
      </c>
      <c r="P84" s="367">
        <v>0</v>
      </c>
      <c r="Q84" s="367">
        <v>0</v>
      </c>
      <c r="R84" s="367">
        <v>0</v>
      </c>
      <c r="S84" s="367">
        <v>0</v>
      </c>
      <c r="T84" s="367">
        <v>0</v>
      </c>
      <c r="U84" s="367">
        <v>0</v>
      </c>
      <c r="V84" s="367">
        <v>0</v>
      </c>
      <c r="W84" s="367">
        <v>0</v>
      </c>
      <c r="X84" s="367">
        <v>0</v>
      </c>
      <c r="Y84" s="367">
        <v>0</v>
      </c>
      <c r="Z84" s="367">
        <v>0</v>
      </c>
      <c r="AA84" s="367">
        <v>0</v>
      </c>
      <c r="AB84" s="367">
        <v>0</v>
      </c>
      <c r="AC84" s="367">
        <v>0</v>
      </c>
      <c r="AD84" s="367">
        <v>0</v>
      </c>
      <c r="AE84" s="367">
        <v>0</v>
      </c>
      <c r="AF84" s="367">
        <v>0</v>
      </c>
      <c r="AG84" s="367">
        <v>0</v>
      </c>
      <c r="AH84" s="222">
        <f t="shared" si="12"/>
        <v>0</v>
      </c>
    </row>
    <row r="85" spans="1:34" s="1235" customFormat="1" ht="13.8">
      <c r="A85" s="136" t="s">
        <v>80</v>
      </c>
      <c r="B85" s="213">
        <f t="shared" si="11"/>
        <v>0</v>
      </c>
      <c r="C85" s="367">
        <v>0</v>
      </c>
      <c r="D85" s="367">
        <v>0</v>
      </c>
      <c r="E85" s="367">
        <v>0</v>
      </c>
      <c r="F85" s="367">
        <v>0</v>
      </c>
      <c r="G85" s="367">
        <v>0</v>
      </c>
      <c r="H85" s="367">
        <v>0</v>
      </c>
      <c r="I85" s="367">
        <v>0</v>
      </c>
      <c r="J85" s="367">
        <v>0</v>
      </c>
      <c r="K85" s="367">
        <v>0</v>
      </c>
      <c r="L85" s="367">
        <v>0</v>
      </c>
      <c r="M85" s="367">
        <v>0</v>
      </c>
      <c r="N85" s="367">
        <v>0</v>
      </c>
      <c r="O85" s="367">
        <v>0</v>
      </c>
      <c r="P85" s="367">
        <v>0</v>
      </c>
      <c r="Q85" s="367">
        <v>0</v>
      </c>
      <c r="R85" s="367">
        <v>0</v>
      </c>
      <c r="S85" s="367">
        <v>0</v>
      </c>
      <c r="T85" s="367">
        <v>0</v>
      </c>
      <c r="U85" s="367">
        <v>0</v>
      </c>
      <c r="V85" s="367">
        <v>0</v>
      </c>
      <c r="W85" s="367">
        <v>0</v>
      </c>
      <c r="X85" s="367">
        <v>0</v>
      </c>
      <c r="Y85" s="367">
        <v>0</v>
      </c>
      <c r="Z85" s="367">
        <v>0</v>
      </c>
      <c r="AA85" s="367">
        <v>0</v>
      </c>
      <c r="AB85" s="367">
        <v>0</v>
      </c>
      <c r="AC85" s="367">
        <v>0</v>
      </c>
      <c r="AD85" s="367">
        <v>0</v>
      </c>
      <c r="AE85" s="367">
        <v>0</v>
      </c>
      <c r="AF85" s="367">
        <v>0</v>
      </c>
      <c r="AG85" s="367">
        <v>0</v>
      </c>
      <c r="AH85" s="222">
        <f t="shared" si="12"/>
        <v>0</v>
      </c>
    </row>
    <row r="86" spans="1:34" s="1235" customFormat="1" ht="13.8">
      <c r="A86" s="136" t="s">
        <v>81</v>
      </c>
      <c r="B86" s="213">
        <f t="shared" si="11"/>
        <v>0</v>
      </c>
      <c r="C86" s="367">
        <v>0</v>
      </c>
      <c r="D86" s="367">
        <v>0</v>
      </c>
      <c r="E86" s="367">
        <v>0</v>
      </c>
      <c r="F86" s="367">
        <v>0</v>
      </c>
      <c r="G86" s="367">
        <v>0</v>
      </c>
      <c r="H86" s="367">
        <v>0</v>
      </c>
      <c r="I86" s="367">
        <v>0</v>
      </c>
      <c r="J86" s="367">
        <v>0</v>
      </c>
      <c r="K86" s="367">
        <v>0</v>
      </c>
      <c r="L86" s="367">
        <v>0</v>
      </c>
      <c r="M86" s="367">
        <v>0</v>
      </c>
      <c r="N86" s="367">
        <v>0</v>
      </c>
      <c r="O86" s="367">
        <v>0</v>
      </c>
      <c r="P86" s="367">
        <v>0</v>
      </c>
      <c r="Q86" s="367">
        <v>0</v>
      </c>
      <c r="R86" s="367">
        <v>0</v>
      </c>
      <c r="S86" s="367">
        <v>0</v>
      </c>
      <c r="T86" s="367">
        <v>0</v>
      </c>
      <c r="U86" s="367">
        <v>0</v>
      </c>
      <c r="V86" s="367">
        <v>0</v>
      </c>
      <c r="W86" s="367">
        <v>0</v>
      </c>
      <c r="X86" s="367">
        <v>0</v>
      </c>
      <c r="Y86" s="367">
        <v>0</v>
      </c>
      <c r="Z86" s="367">
        <v>0</v>
      </c>
      <c r="AA86" s="367">
        <v>0</v>
      </c>
      <c r="AB86" s="367">
        <v>0</v>
      </c>
      <c r="AC86" s="367">
        <v>0</v>
      </c>
      <c r="AD86" s="367">
        <v>0</v>
      </c>
      <c r="AE86" s="367">
        <v>0</v>
      </c>
      <c r="AF86" s="367">
        <v>0</v>
      </c>
      <c r="AG86" s="367">
        <v>0</v>
      </c>
      <c r="AH86" s="222">
        <f t="shared" si="12"/>
        <v>0</v>
      </c>
    </row>
    <row r="87" spans="1:34" s="1235" customFormat="1" ht="13.8">
      <c r="A87" s="159" t="s">
        <v>82</v>
      </c>
      <c r="B87" s="213">
        <f t="shared" si="11"/>
        <v>0</v>
      </c>
      <c r="C87" s="367">
        <v>0</v>
      </c>
      <c r="D87" s="367">
        <v>0</v>
      </c>
      <c r="E87" s="367">
        <v>0</v>
      </c>
      <c r="F87" s="367">
        <v>0</v>
      </c>
      <c r="G87" s="367">
        <v>0</v>
      </c>
      <c r="H87" s="367">
        <v>0</v>
      </c>
      <c r="I87" s="367">
        <v>0</v>
      </c>
      <c r="J87" s="367">
        <v>0</v>
      </c>
      <c r="K87" s="367">
        <v>0</v>
      </c>
      <c r="L87" s="367">
        <v>0</v>
      </c>
      <c r="M87" s="367">
        <v>0</v>
      </c>
      <c r="N87" s="367">
        <v>0</v>
      </c>
      <c r="O87" s="367">
        <v>0</v>
      </c>
      <c r="P87" s="367">
        <v>0</v>
      </c>
      <c r="Q87" s="367">
        <v>0</v>
      </c>
      <c r="R87" s="367">
        <v>0</v>
      </c>
      <c r="S87" s="367">
        <v>0</v>
      </c>
      <c r="T87" s="367">
        <v>0</v>
      </c>
      <c r="U87" s="367">
        <v>0</v>
      </c>
      <c r="V87" s="367">
        <v>0</v>
      </c>
      <c r="W87" s="367">
        <v>0</v>
      </c>
      <c r="X87" s="367">
        <v>0</v>
      </c>
      <c r="Y87" s="367">
        <v>0</v>
      </c>
      <c r="Z87" s="367">
        <v>0</v>
      </c>
      <c r="AA87" s="367">
        <v>0</v>
      </c>
      <c r="AB87" s="367">
        <v>0</v>
      </c>
      <c r="AC87" s="367">
        <v>0</v>
      </c>
      <c r="AD87" s="367">
        <v>0</v>
      </c>
      <c r="AE87" s="367">
        <v>0</v>
      </c>
      <c r="AF87" s="367">
        <v>0</v>
      </c>
      <c r="AG87" s="367">
        <v>0</v>
      </c>
      <c r="AH87" s="222">
        <f t="shared" si="12"/>
        <v>0</v>
      </c>
    </row>
    <row r="88" spans="1:34" s="1235" customFormat="1" ht="13.8">
      <c r="A88" s="159" t="s">
        <v>83</v>
      </c>
      <c r="B88" s="213">
        <f t="shared" si="11"/>
        <v>0</v>
      </c>
      <c r="C88" s="367">
        <v>0</v>
      </c>
      <c r="D88" s="367">
        <v>0</v>
      </c>
      <c r="E88" s="367">
        <v>0</v>
      </c>
      <c r="F88" s="367">
        <v>0</v>
      </c>
      <c r="G88" s="367">
        <v>0</v>
      </c>
      <c r="H88" s="367">
        <v>0</v>
      </c>
      <c r="I88" s="367">
        <v>0</v>
      </c>
      <c r="J88" s="367">
        <v>0</v>
      </c>
      <c r="K88" s="367">
        <v>0</v>
      </c>
      <c r="L88" s="367">
        <v>0</v>
      </c>
      <c r="M88" s="367">
        <v>0</v>
      </c>
      <c r="N88" s="367">
        <v>0</v>
      </c>
      <c r="O88" s="367">
        <v>0</v>
      </c>
      <c r="P88" s="367">
        <v>0</v>
      </c>
      <c r="Q88" s="367">
        <v>0</v>
      </c>
      <c r="R88" s="367">
        <v>0</v>
      </c>
      <c r="S88" s="367">
        <v>0</v>
      </c>
      <c r="T88" s="367">
        <v>0</v>
      </c>
      <c r="U88" s="367">
        <v>0</v>
      </c>
      <c r="V88" s="367">
        <v>0</v>
      </c>
      <c r="W88" s="367">
        <v>0</v>
      </c>
      <c r="X88" s="367">
        <v>0</v>
      </c>
      <c r="Y88" s="367">
        <v>0</v>
      </c>
      <c r="Z88" s="367">
        <v>0</v>
      </c>
      <c r="AA88" s="367">
        <v>0</v>
      </c>
      <c r="AB88" s="367">
        <v>0</v>
      </c>
      <c r="AC88" s="367">
        <v>0</v>
      </c>
      <c r="AD88" s="367">
        <v>0</v>
      </c>
      <c r="AE88" s="367">
        <v>0</v>
      </c>
      <c r="AF88" s="367">
        <v>0</v>
      </c>
      <c r="AG88" s="367">
        <v>0</v>
      </c>
      <c r="AH88" s="222">
        <f t="shared" si="12"/>
        <v>0</v>
      </c>
    </row>
    <row r="89" spans="1:34" s="1235" customFormat="1" ht="13.8">
      <c r="A89" s="159" t="s">
        <v>84</v>
      </c>
      <c r="B89" s="213">
        <f t="shared" si="11"/>
        <v>0</v>
      </c>
      <c r="C89" s="827"/>
      <c r="D89" s="827"/>
      <c r="E89" s="827"/>
      <c r="F89" s="827"/>
      <c r="G89" s="827"/>
      <c r="H89" s="827"/>
      <c r="I89" s="827"/>
      <c r="J89" s="827"/>
      <c r="K89" s="827"/>
      <c r="L89" s="1192"/>
      <c r="M89" s="827"/>
      <c r="N89" s="827"/>
      <c r="O89" s="1179"/>
      <c r="P89" s="827"/>
      <c r="Q89" s="827"/>
      <c r="R89" s="827"/>
      <c r="S89" s="827"/>
      <c r="T89" s="827"/>
      <c r="U89" s="827"/>
      <c r="V89" s="827"/>
      <c r="W89" s="827"/>
      <c r="X89" s="827"/>
      <c r="Y89" s="827"/>
      <c r="Z89" s="827"/>
      <c r="AA89" s="827"/>
      <c r="AB89" s="827"/>
      <c r="AC89" s="827"/>
      <c r="AD89" s="827"/>
      <c r="AE89" s="827"/>
      <c r="AF89" s="827"/>
      <c r="AG89" s="827"/>
      <c r="AH89" s="222">
        <f t="shared" si="12"/>
        <v>0</v>
      </c>
    </row>
    <row r="90" spans="1:34" s="1235" customFormat="1" ht="14.4" thickBot="1">
      <c r="A90" s="957" t="s">
        <v>50</v>
      </c>
      <c r="B90" s="958">
        <f>SUM(B78:B89)</f>
        <v>0</v>
      </c>
      <c r="C90" s="371"/>
      <c r="D90" s="371"/>
      <c r="E90" s="371"/>
      <c r="F90" s="371"/>
      <c r="G90" s="371"/>
      <c r="H90" s="371"/>
      <c r="I90" s="371"/>
      <c r="J90" s="371"/>
      <c r="K90" s="371"/>
      <c r="L90" s="371"/>
      <c r="M90" s="371"/>
      <c r="N90" s="371"/>
      <c r="O90" s="371"/>
      <c r="P90" s="371"/>
      <c r="Q90" s="371"/>
      <c r="R90" s="371"/>
      <c r="S90" s="371"/>
      <c r="T90" s="225"/>
      <c r="U90" s="225"/>
      <c r="V90" s="225"/>
      <c r="W90" s="225"/>
      <c r="X90" s="225"/>
      <c r="Y90" s="225"/>
      <c r="Z90" s="225"/>
      <c r="AA90" s="225"/>
      <c r="AB90" s="225"/>
      <c r="AC90" s="225"/>
      <c r="AD90" s="225"/>
      <c r="AE90" s="225"/>
      <c r="AF90" s="225"/>
      <c r="AG90" s="225"/>
      <c r="AH90" s="222">
        <f t="shared" si="12"/>
        <v>0</v>
      </c>
    </row>
    <row r="91" spans="1:34" s="1235" customFormat="1" ht="13.8">
      <c r="A91" s="959" t="s">
        <v>146</v>
      </c>
      <c r="B91" s="960"/>
    </row>
    <row r="92" spans="1:34" s="1235" customFormat="1" ht="14.4" thickBot="1">
      <c r="A92" s="961" t="s">
        <v>475</v>
      </c>
      <c r="B92" s="1332">
        <f>+B91-B90</f>
        <v>0</v>
      </c>
      <c r="C92" s="1238"/>
    </row>
    <row r="93" spans="1:34" s="1235" customFormat="1" ht="13.8">
      <c r="A93" s="379"/>
      <c r="B93" s="1237"/>
      <c r="C93" s="1238"/>
    </row>
    <row r="94" spans="1:34" ht="14.4" thickBot="1">
      <c r="A94" s="379"/>
      <c r="B94" s="380"/>
    </row>
    <row r="95" spans="1:34" ht="14.4" thickBot="1">
      <c r="A95" s="570" t="s">
        <v>276</v>
      </c>
      <c r="B95" s="571"/>
      <c r="C95" s="572"/>
      <c r="D95" s="573"/>
      <c r="E95" s="573"/>
      <c r="F95" s="574"/>
      <c r="G95" s="1242"/>
      <c r="H95" s="218"/>
      <c r="I95" s="218"/>
      <c r="J95" s="218"/>
      <c r="K95" s="218"/>
      <c r="L95" s="218"/>
      <c r="M95" s="219"/>
      <c r="N95" s="218"/>
      <c r="O95" s="218"/>
      <c r="P95" s="218"/>
      <c r="Q95" s="218"/>
      <c r="R95" s="218"/>
      <c r="S95" s="218"/>
      <c r="T95" s="218"/>
      <c r="U95" s="218"/>
      <c r="V95" s="218"/>
      <c r="W95" s="218"/>
      <c r="X95" s="218"/>
      <c r="Y95" s="218"/>
      <c r="Z95" s="218"/>
      <c r="AA95" s="218"/>
      <c r="AB95" s="218"/>
      <c r="AC95" s="218"/>
      <c r="AD95" s="218"/>
      <c r="AE95" s="218"/>
      <c r="AF95" s="218"/>
      <c r="AG95" s="218"/>
      <c r="AH95" s="174"/>
    </row>
    <row r="96" spans="1:34" ht="13.8">
      <c r="A96" s="567" t="s">
        <v>70</v>
      </c>
      <c r="B96" s="568" t="s">
        <v>71</v>
      </c>
      <c r="C96" s="663">
        <v>1</v>
      </c>
      <c r="D96" s="569">
        <v>2</v>
      </c>
      <c r="E96" s="569">
        <v>3</v>
      </c>
      <c r="F96" s="569">
        <v>4</v>
      </c>
      <c r="G96" s="366">
        <v>5</v>
      </c>
      <c r="H96" s="366">
        <v>6</v>
      </c>
      <c r="I96" s="366">
        <v>7</v>
      </c>
      <c r="J96" s="366">
        <v>8</v>
      </c>
      <c r="K96" s="366">
        <v>9</v>
      </c>
      <c r="L96" s="366">
        <v>10</v>
      </c>
      <c r="M96" s="366">
        <v>11</v>
      </c>
      <c r="N96" s="366">
        <v>12</v>
      </c>
      <c r="O96" s="366">
        <v>13</v>
      </c>
      <c r="P96" s="366">
        <v>14</v>
      </c>
      <c r="Q96" s="366">
        <v>15</v>
      </c>
      <c r="R96" s="366">
        <v>16</v>
      </c>
      <c r="S96" s="366">
        <v>17</v>
      </c>
      <c r="T96" s="234">
        <v>18</v>
      </c>
      <c r="U96" s="234">
        <v>19</v>
      </c>
      <c r="V96" s="234">
        <v>20</v>
      </c>
      <c r="W96" s="234">
        <v>21</v>
      </c>
      <c r="X96" s="234">
        <v>22</v>
      </c>
      <c r="Y96" s="234">
        <v>23</v>
      </c>
      <c r="Z96" s="234">
        <v>24</v>
      </c>
      <c r="AA96" s="234">
        <v>25</v>
      </c>
      <c r="AB96" s="234">
        <v>26</v>
      </c>
      <c r="AC96" s="234">
        <v>27</v>
      </c>
      <c r="AD96" s="234">
        <v>28</v>
      </c>
      <c r="AE96" s="234">
        <v>29</v>
      </c>
      <c r="AF96" s="234">
        <v>30</v>
      </c>
      <c r="AG96" s="234">
        <v>31</v>
      </c>
      <c r="AH96" s="221" t="s">
        <v>50</v>
      </c>
    </row>
    <row r="97" spans="1:34" ht="13.8">
      <c r="A97" s="147" t="s">
        <v>73</v>
      </c>
      <c r="B97" s="213">
        <v>0</v>
      </c>
      <c r="C97" s="367">
        <v>0</v>
      </c>
      <c r="D97" s="367">
        <v>0</v>
      </c>
      <c r="E97" s="367">
        <v>0</v>
      </c>
      <c r="F97" s="367">
        <v>0</v>
      </c>
      <c r="G97" s="367">
        <v>0</v>
      </c>
      <c r="H97" s="367">
        <v>0</v>
      </c>
      <c r="I97" s="367">
        <v>0</v>
      </c>
      <c r="J97" s="367">
        <v>0</v>
      </c>
      <c r="K97" s="367">
        <v>0</v>
      </c>
      <c r="L97" s="367">
        <v>0</v>
      </c>
      <c r="M97" s="367">
        <v>0</v>
      </c>
      <c r="N97" s="367">
        <v>0</v>
      </c>
      <c r="O97" s="367">
        <v>0</v>
      </c>
      <c r="P97" s="367">
        <v>0</v>
      </c>
      <c r="Q97" s="367">
        <v>0</v>
      </c>
      <c r="R97" s="367">
        <v>0</v>
      </c>
      <c r="S97" s="367">
        <v>0</v>
      </c>
      <c r="T97" s="226">
        <v>0</v>
      </c>
      <c r="U97" s="226">
        <v>0</v>
      </c>
      <c r="V97" s="226">
        <v>0</v>
      </c>
      <c r="W97" s="226">
        <v>0</v>
      </c>
      <c r="X97" s="226">
        <v>0</v>
      </c>
      <c r="Y97" s="226">
        <v>0</v>
      </c>
      <c r="Z97" s="226">
        <v>0</v>
      </c>
      <c r="AA97" s="226">
        <v>0</v>
      </c>
      <c r="AB97" s="226">
        <v>0</v>
      </c>
      <c r="AC97" s="226">
        <v>0</v>
      </c>
      <c r="AD97" s="226">
        <v>0</v>
      </c>
      <c r="AE97" s="226">
        <v>0</v>
      </c>
      <c r="AF97" s="226">
        <v>0</v>
      </c>
      <c r="AG97" s="226">
        <v>0</v>
      </c>
      <c r="AH97" s="222">
        <f>SUM(C97:AG97)</f>
        <v>0</v>
      </c>
    </row>
    <row r="98" spans="1:34" ht="13.8">
      <c r="A98" s="147" t="s">
        <v>74</v>
      </c>
      <c r="B98" s="213">
        <v>0</v>
      </c>
      <c r="C98" s="367">
        <v>0</v>
      </c>
      <c r="D98" s="367">
        <v>0</v>
      </c>
      <c r="E98" s="367">
        <v>0</v>
      </c>
      <c r="F98" s="367">
        <v>0</v>
      </c>
      <c r="G98" s="367">
        <v>0</v>
      </c>
      <c r="H98" s="367">
        <v>0</v>
      </c>
      <c r="I98" s="367">
        <v>0</v>
      </c>
      <c r="J98" s="367">
        <v>0</v>
      </c>
      <c r="K98" s="367">
        <v>0</v>
      </c>
      <c r="L98" s="367">
        <v>0</v>
      </c>
      <c r="M98" s="367">
        <v>0</v>
      </c>
      <c r="N98" s="367">
        <v>0</v>
      </c>
      <c r="O98" s="367">
        <v>0</v>
      </c>
      <c r="P98" s="367">
        <v>0</v>
      </c>
      <c r="Q98" s="367">
        <v>0</v>
      </c>
      <c r="R98" s="367">
        <v>0</v>
      </c>
      <c r="S98" s="367">
        <v>0</v>
      </c>
      <c r="T98" s="226">
        <v>0</v>
      </c>
      <c r="U98" s="226">
        <v>0</v>
      </c>
      <c r="V98" s="226">
        <v>0</v>
      </c>
      <c r="W98" s="226">
        <v>0</v>
      </c>
      <c r="X98" s="226">
        <v>0</v>
      </c>
      <c r="Y98" s="226">
        <v>0</v>
      </c>
      <c r="Z98" s="226">
        <v>0</v>
      </c>
      <c r="AA98" s="226">
        <v>0</v>
      </c>
      <c r="AB98" s="226">
        <v>0</v>
      </c>
      <c r="AC98" s="226">
        <v>0</v>
      </c>
      <c r="AD98" s="226">
        <v>0</v>
      </c>
      <c r="AE98" s="226">
        <v>0</v>
      </c>
      <c r="AF98" s="226">
        <v>0</v>
      </c>
      <c r="AG98" s="226">
        <v>0</v>
      </c>
      <c r="AH98" s="222">
        <f>SUM(C98:AG98)</f>
        <v>0</v>
      </c>
    </row>
    <row r="99" spans="1:34" ht="13.8">
      <c r="A99" s="147" t="s">
        <v>75</v>
      </c>
      <c r="B99" s="213">
        <v>0</v>
      </c>
      <c r="C99" s="367">
        <v>0</v>
      </c>
      <c r="D99" s="367">
        <v>0</v>
      </c>
      <c r="E99" s="367">
        <v>0</v>
      </c>
      <c r="F99" s="367">
        <v>0</v>
      </c>
      <c r="G99" s="367">
        <v>0</v>
      </c>
      <c r="H99" s="367">
        <v>0</v>
      </c>
      <c r="I99" s="367">
        <v>0</v>
      </c>
      <c r="J99" s="367">
        <v>0</v>
      </c>
      <c r="K99" s="367">
        <v>0</v>
      </c>
      <c r="L99" s="367">
        <v>0</v>
      </c>
      <c r="M99" s="367">
        <v>0</v>
      </c>
      <c r="N99" s="367">
        <v>0</v>
      </c>
      <c r="O99" s="367">
        <v>0</v>
      </c>
      <c r="P99" s="367">
        <v>0</v>
      </c>
      <c r="Q99" s="367">
        <v>0</v>
      </c>
      <c r="R99" s="367">
        <v>0</v>
      </c>
      <c r="S99" s="367">
        <v>0</v>
      </c>
      <c r="T99" s="226">
        <v>0</v>
      </c>
      <c r="U99" s="226">
        <v>0</v>
      </c>
      <c r="V99" s="226">
        <v>0</v>
      </c>
      <c r="W99" s="226">
        <v>0</v>
      </c>
      <c r="X99" s="226">
        <v>0</v>
      </c>
      <c r="Y99" s="226">
        <v>0</v>
      </c>
      <c r="Z99" s="226">
        <v>0</v>
      </c>
      <c r="AA99" s="226">
        <v>0</v>
      </c>
      <c r="AB99" s="226">
        <v>0</v>
      </c>
      <c r="AC99" s="226">
        <v>0</v>
      </c>
      <c r="AD99" s="226">
        <v>0</v>
      </c>
      <c r="AE99" s="226">
        <v>0</v>
      </c>
      <c r="AF99" s="226">
        <v>0</v>
      </c>
      <c r="AG99" s="226">
        <v>0</v>
      </c>
      <c r="AH99" s="222">
        <f>SUM(C99:AG99)</f>
        <v>0</v>
      </c>
    </row>
    <row r="100" spans="1:34" ht="13.8">
      <c r="A100" s="147" t="s">
        <v>76</v>
      </c>
      <c r="B100" s="213">
        <v>0</v>
      </c>
      <c r="C100" s="368">
        <v>0</v>
      </c>
      <c r="D100" s="368">
        <v>0</v>
      </c>
      <c r="E100" s="368">
        <v>0</v>
      </c>
      <c r="F100" s="368">
        <v>0</v>
      </c>
      <c r="G100" s="368">
        <v>0</v>
      </c>
      <c r="H100" s="368">
        <v>0</v>
      </c>
      <c r="I100" s="368">
        <v>0</v>
      </c>
      <c r="J100" s="368">
        <v>0</v>
      </c>
      <c r="K100" s="368">
        <v>0</v>
      </c>
      <c r="L100" s="368">
        <v>0</v>
      </c>
      <c r="M100" s="368">
        <v>0</v>
      </c>
      <c r="N100" s="368">
        <v>0</v>
      </c>
      <c r="O100" s="368">
        <v>0</v>
      </c>
      <c r="P100" s="368">
        <v>0</v>
      </c>
      <c r="Q100" s="368">
        <v>0</v>
      </c>
      <c r="R100" s="368">
        <v>0</v>
      </c>
      <c r="S100" s="368">
        <v>0</v>
      </c>
      <c r="T100" s="238">
        <v>0</v>
      </c>
      <c r="U100" s="238">
        <v>0</v>
      </c>
      <c r="V100" s="238">
        <v>0</v>
      </c>
      <c r="W100" s="238">
        <v>0</v>
      </c>
      <c r="X100" s="238">
        <v>0</v>
      </c>
      <c r="Y100" s="238">
        <v>0</v>
      </c>
      <c r="Z100" s="238">
        <v>0</v>
      </c>
      <c r="AA100" s="238">
        <v>0</v>
      </c>
      <c r="AB100" s="238">
        <v>0</v>
      </c>
      <c r="AC100" s="238">
        <v>0</v>
      </c>
      <c r="AD100" s="238">
        <v>0</v>
      </c>
      <c r="AE100" s="238">
        <v>0</v>
      </c>
      <c r="AF100" s="238">
        <v>0</v>
      </c>
      <c r="AG100" s="238">
        <v>0</v>
      </c>
      <c r="AH100" s="222">
        <f t="shared" ref="AH100:AH109" si="13">SUM(C100:AG100)</f>
        <v>0</v>
      </c>
    </row>
    <row r="101" spans="1:34" ht="13.8">
      <c r="A101" s="147" t="s">
        <v>77</v>
      </c>
      <c r="B101" s="213">
        <v>0</v>
      </c>
      <c r="C101" s="368">
        <v>0</v>
      </c>
      <c r="D101" s="368">
        <v>0</v>
      </c>
      <c r="E101" s="368">
        <v>0</v>
      </c>
      <c r="F101" s="368">
        <v>0</v>
      </c>
      <c r="G101" s="368">
        <v>0</v>
      </c>
      <c r="H101" s="368">
        <v>0</v>
      </c>
      <c r="I101" s="368">
        <v>0</v>
      </c>
      <c r="J101" s="368">
        <v>0</v>
      </c>
      <c r="K101" s="368">
        <v>0</v>
      </c>
      <c r="L101" s="368">
        <v>0</v>
      </c>
      <c r="M101" s="368">
        <v>0</v>
      </c>
      <c r="N101" s="368">
        <v>0</v>
      </c>
      <c r="O101" s="368">
        <v>0</v>
      </c>
      <c r="P101" s="368">
        <v>0</v>
      </c>
      <c r="Q101" s="368">
        <v>0</v>
      </c>
      <c r="R101" s="368">
        <v>0</v>
      </c>
      <c r="S101" s="368">
        <v>0</v>
      </c>
      <c r="T101" s="238">
        <v>0</v>
      </c>
      <c r="U101" s="238">
        <v>0</v>
      </c>
      <c r="V101" s="238">
        <v>0</v>
      </c>
      <c r="W101" s="238">
        <v>0</v>
      </c>
      <c r="X101" s="238">
        <v>0</v>
      </c>
      <c r="Y101" s="238">
        <v>0</v>
      </c>
      <c r="Z101" s="238">
        <v>0</v>
      </c>
      <c r="AA101" s="238">
        <v>0</v>
      </c>
      <c r="AB101" s="223"/>
      <c r="AC101" s="223"/>
      <c r="AD101" s="223"/>
      <c r="AE101" s="223"/>
      <c r="AF101" s="223"/>
      <c r="AG101" s="223"/>
      <c r="AH101" s="222">
        <f t="shared" si="13"/>
        <v>0</v>
      </c>
    </row>
    <row r="102" spans="1:34" ht="13.8">
      <c r="A102" s="147" t="s">
        <v>78</v>
      </c>
      <c r="B102" s="213">
        <f t="shared" ref="B102:B108" si="14">+AH102</f>
        <v>0</v>
      </c>
      <c r="C102" s="369"/>
      <c r="D102" s="370"/>
      <c r="E102" s="370"/>
      <c r="F102" s="370"/>
      <c r="G102" s="370"/>
      <c r="H102" s="370"/>
      <c r="I102" s="370"/>
      <c r="J102" s="370"/>
      <c r="K102" s="370"/>
      <c r="L102" s="370"/>
      <c r="M102" s="370"/>
      <c r="N102" s="370"/>
      <c r="O102" s="370"/>
      <c r="P102" s="370"/>
      <c r="Q102" s="370"/>
      <c r="R102" s="370"/>
      <c r="S102" s="370"/>
      <c r="T102" s="223"/>
      <c r="U102" s="223"/>
      <c r="V102" s="223"/>
      <c r="W102" s="223"/>
      <c r="X102" s="223"/>
      <c r="Y102" s="223"/>
      <c r="Z102" s="223"/>
      <c r="AA102" s="223"/>
      <c r="AB102" s="223"/>
      <c r="AC102" s="223"/>
      <c r="AD102" s="223"/>
      <c r="AE102" s="223"/>
      <c r="AF102" s="223"/>
      <c r="AG102" s="223"/>
      <c r="AH102" s="222">
        <f t="shared" si="13"/>
        <v>0</v>
      </c>
    </row>
    <row r="103" spans="1:34" ht="13.8">
      <c r="A103" s="159" t="s">
        <v>79</v>
      </c>
      <c r="B103" s="213">
        <f t="shared" si="14"/>
        <v>0</v>
      </c>
      <c r="C103" s="369"/>
      <c r="D103" s="370"/>
      <c r="E103" s="370"/>
      <c r="F103" s="370"/>
      <c r="G103" s="370"/>
      <c r="H103" s="370"/>
      <c r="I103" s="370"/>
      <c r="J103" s="370"/>
      <c r="K103" s="370"/>
      <c r="L103" s="370"/>
      <c r="M103" s="370"/>
      <c r="N103" s="370"/>
      <c r="O103" s="370"/>
      <c r="P103" s="370"/>
      <c r="Q103" s="370"/>
      <c r="R103" s="370"/>
      <c r="S103" s="370"/>
      <c r="T103" s="223"/>
      <c r="U103" s="223"/>
      <c r="V103" s="223"/>
      <c r="W103" s="223"/>
      <c r="X103" s="223"/>
      <c r="Y103" s="223"/>
      <c r="Z103" s="223"/>
      <c r="AA103" s="223"/>
      <c r="AB103" s="223"/>
      <c r="AC103" s="223"/>
      <c r="AD103" s="223"/>
      <c r="AE103" s="223"/>
      <c r="AF103" s="223"/>
      <c r="AG103" s="223"/>
      <c r="AH103" s="222">
        <f t="shared" si="13"/>
        <v>0</v>
      </c>
    </row>
    <row r="104" spans="1:34" ht="13.8">
      <c r="A104" s="159" t="s">
        <v>80</v>
      </c>
      <c r="B104" s="213">
        <f t="shared" si="14"/>
        <v>0</v>
      </c>
      <c r="C104" s="369"/>
      <c r="D104" s="370"/>
      <c r="E104" s="370"/>
      <c r="F104" s="370"/>
      <c r="G104" s="370"/>
      <c r="H104" s="370"/>
      <c r="I104" s="370"/>
      <c r="J104" s="370"/>
      <c r="K104" s="370"/>
      <c r="L104" s="370"/>
      <c r="M104" s="370"/>
      <c r="N104" s="370"/>
      <c r="O104" s="370"/>
      <c r="P104" s="370"/>
      <c r="Q104" s="370"/>
      <c r="R104" s="370"/>
      <c r="S104" s="370"/>
      <c r="T104" s="223"/>
      <c r="U104" s="223"/>
      <c r="V104" s="223"/>
      <c r="W104" s="223"/>
      <c r="X104" s="223"/>
      <c r="Y104" s="223"/>
      <c r="Z104" s="223"/>
      <c r="AA104" s="223"/>
      <c r="AB104" s="223"/>
      <c r="AC104" s="223"/>
      <c r="AD104" s="223"/>
      <c r="AE104" s="223"/>
      <c r="AF104" s="223"/>
      <c r="AG104" s="223"/>
      <c r="AH104" s="222">
        <f t="shared" si="13"/>
        <v>0</v>
      </c>
    </row>
    <row r="105" spans="1:34" ht="13.8">
      <c r="A105" s="159" t="s">
        <v>81</v>
      </c>
      <c r="B105" s="213">
        <f t="shared" si="14"/>
        <v>0</v>
      </c>
      <c r="C105" s="369"/>
      <c r="D105" s="370"/>
      <c r="E105" s="370"/>
      <c r="F105" s="370"/>
      <c r="G105" s="370"/>
      <c r="H105" s="370"/>
      <c r="I105" s="370"/>
      <c r="J105" s="370"/>
      <c r="K105" s="370"/>
      <c r="L105" s="370"/>
      <c r="M105" s="370"/>
      <c r="N105" s="370"/>
      <c r="O105" s="370"/>
      <c r="P105" s="370"/>
      <c r="Q105" s="370"/>
      <c r="R105" s="370"/>
      <c r="S105" s="370"/>
      <c r="T105" s="223"/>
      <c r="U105" s="223"/>
      <c r="V105" s="223"/>
      <c r="W105" s="223"/>
      <c r="X105" s="223"/>
      <c r="Y105" s="223"/>
      <c r="Z105" s="223"/>
      <c r="AA105" s="223"/>
      <c r="AB105" s="223"/>
      <c r="AC105" s="223"/>
      <c r="AD105" s="223"/>
      <c r="AE105" s="223"/>
      <c r="AF105" s="223"/>
      <c r="AG105" s="223"/>
      <c r="AH105" s="222">
        <f t="shared" si="13"/>
        <v>0</v>
      </c>
    </row>
    <row r="106" spans="1:34" ht="13.8">
      <c r="A106" s="159" t="s">
        <v>82</v>
      </c>
      <c r="B106" s="213">
        <f t="shared" si="14"/>
        <v>0</v>
      </c>
      <c r="C106" s="369"/>
      <c r="D106" s="370"/>
      <c r="E106" s="370"/>
      <c r="F106" s="370"/>
      <c r="G106" s="370"/>
      <c r="H106" s="370"/>
      <c r="I106" s="370"/>
      <c r="J106" s="370"/>
      <c r="K106" s="370"/>
      <c r="L106" s="370"/>
      <c r="M106" s="370"/>
      <c r="N106" s="370"/>
      <c r="O106" s="370"/>
      <c r="P106" s="370"/>
      <c r="Q106" s="370"/>
      <c r="R106" s="370"/>
      <c r="S106" s="370"/>
      <c r="T106" s="223"/>
      <c r="U106" s="223"/>
      <c r="V106" s="223"/>
      <c r="W106" s="223"/>
      <c r="X106" s="223"/>
      <c r="Y106" s="223"/>
      <c r="Z106" s="223"/>
      <c r="AA106" s="223"/>
      <c r="AB106" s="223"/>
      <c r="AC106" s="223"/>
      <c r="AD106" s="223"/>
      <c r="AE106" s="223"/>
      <c r="AF106" s="223"/>
      <c r="AG106" s="223"/>
      <c r="AH106" s="222">
        <f t="shared" si="13"/>
        <v>0</v>
      </c>
    </row>
    <row r="107" spans="1:34" ht="13.8">
      <c r="A107" s="159" t="s">
        <v>83</v>
      </c>
      <c r="B107" s="213">
        <f t="shared" si="14"/>
        <v>0</v>
      </c>
      <c r="C107" s="369"/>
      <c r="D107" s="370"/>
      <c r="E107" s="370"/>
      <c r="F107" s="370"/>
      <c r="G107" s="370"/>
      <c r="H107" s="370"/>
      <c r="I107" s="370"/>
      <c r="J107" s="370"/>
      <c r="K107" s="370"/>
      <c r="L107" s="370"/>
      <c r="M107" s="370"/>
      <c r="N107" s="370"/>
      <c r="O107" s="370"/>
      <c r="P107" s="370"/>
      <c r="Q107" s="370"/>
      <c r="R107" s="370"/>
      <c r="S107" s="370"/>
      <c r="T107" s="223"/>
      <c r="U107" s="223"/>
      <c r="V107" s="223"/>
      <c r="W107" s="223"/>
      <c r="X107" s="223"/>
      <c r="Y107" s="223"/>
      <c r="Z107" s="223"/>
      <c r="AA107" s="223"/>
      <c r="AB107" s="223"/>
      <c r="AC107" s="223"/>
      <c r="AD107" s="223"/>
      <c r="AE107" s="223"/>
      <c r="AF107" s="223"/>
      <c r="AG107" s="223"/>
      <c r="AH107" s="222">
        <f t="shared" si="13"/>
        <v>0</v>
      </c>
    </row>
    <row r="108" spans="1:34" ht="13.8">
      <c r="A108" s="159" t="s">
        <v>84</v>
      </c>
      <c r="B108" s="213">
        <f t="shared" si="14"/>
        <v>0</v>
      </c>
      <c r="C108" s="369"/>
      <c r="D108" s="370"/>
      <c r="E108" s="370"/>
      <c r="F108" s="370"/>
      <c r="G108" s="370"/>
      <c r="H108" s="370"/>
      <c r="I108" s="370"/>
      <c r="J108" s="370"/>
      <c r="K108" s="370"/>
      <c r="L108" s="370"/>
      <c r="M108" s="370"/>
      <c r="N108" s="370"/>
      <c r="O108" s="370"/>
      <c r="P108" s="370"/>
      <c r="Q108" s="370"/>
      <c r="R108" s="370"/>
      <c r="S108" s="370"/>
      <c r="T108" s="223"/>
      <c r="U108" s="223"/>
      <c r="V108" s="223"/>
      <c r="W108" s="223"/>
      <c r="X108" s="223"/>
      <c r="Y108" s="223"/>
      <c r="Z108" s="223"/>
      <c r="AA108" s="223"/>
      <c r="AB108" s="223"/>
      <c r="AC108" s="223"/>
      <c r="AD108" s="223"/>
      <c r="AE108" s="223"/>
      <c r="AF108" s="223"/>
      <c r="AG108" s="223"/>
      <c r="AH108" s="222">
        <f t="shared" si="13"/>
        <v>0</v>
      </c>
    </row>
    <row r="109" spans="1:34" ht="13.8">
      <c r="A109" s="685" t="s">
        <v>50</v>
      </c>
      <c r="B109" s="686">
        <f>SUM(B97:B108)</f>
        <v>0</v>
      </c>
      <c r="C109" s="371"/>
      <c r="D109" s="371"/>
      <c r="E109" s="371"/>
      <c r="F109" s="371"/>
      <c r="G109" s="371"/>
      <c r="H109" s="371"/>
      <c r="I109" s="371"/>
      <c r="J109" s="371"/>
      <c r="K109" s="371"/>
      <c r="L109" s="371"/>
      <c r="M109" s="371"/>
      <c r="N109" s="371"/>
      <c r="O109" s="371"/>
      <c r="P109" s="371"/>
      <c r="Q109" s="371"/>
      <c r="R109" s="371"/>
      <c r="S109" s="371"/>
      <c r="T109" s="225"/>
      <c r="U109" s="225"/>
      <c r="V109" s="225"/>
      <c r="W109" s="225"/>
      <c r="X109" s="225"/>
      <c r="Y109" s="225"/>
      <c r="Z109" s="225"/>
      <c r="AA109" s="225"/>
      <c r="AB109" s="225"/>
      <c r="AC109" s="225"/>
      <c r="AD109" s="225"/>
      <c r="AE109" s="225"/>
      <c r="AF109" s="225"/>
      <c r="AG109" s="225"/>
      <c r="AH109" s="222">
        <f t="shared" si="13"/>
        <v>0</v>
      </c>
    </row>
    <row r="110" spans="1:34">
      <c r="A110" s="239" t="s">
        <v>237</v>
      </c>
      <c r="B110" s="240"/>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row>
    <row r="111" spans="1:34" ht="13.8">
      <c r="A111" s="690" t="s">
        <v>66</v>
      </c>
      <c r="B111" s="691"/>
    </row>
    <row r="112" spans="1:34" ht="14.4" thickBot="1">
      <c r="A112" s="833"/>
      <c r="B112" s="834"/>
      <c r="H112" s="1106"/>
    </row>
    <row r="113" spans="1:34" ht="14.4" thickBot="1">
      <c r="A113" s="570" t="s">
        <v>533</v>
      </c>
      <c r="B113" s="571"/>
      <c r="C113" s="572"/>
      <c r="D113" s="573"/>
      <c r="E113" s="573"/>
      <c r="F113" s="975"/>
      <c r="G113" s="218"/>
      <c r="H113" s="1242"/>
      <c r="I113" s="218"/>
      <c r="J113" s="218"/>
      <c r="K113" s="218"/>
      <c r="L113" s="218"/>
      <c r="M113" s="219"/>
      <c r="N113" s="218"/>
      <c r="O113" s="218"/>
      <c r="P113" s="218"/>
      <c r="Q113" s="218"/>
      <c r="R113" s="218"/>
      <c r="S113" s="218"/>
      <c r="T113" s="218"/>
      <c r="U113" s="218"/>
      <c r="V113" s="218"/>
      <c r="W113" s="218"/>
      <c r="X113" s="218"/>
      <c r="Y113" s="218"/>
      <c r="Z113" s="218"/>
      <c r="AA113" s="218"/>
      <c r="AB113" s="218"/>
      <c r="AC113" s="218"/>
      <c r="AD113" s="218"/>
      <c r="AE113" s="218"/>
      <c r="AF113" s="218"/>
      <c r="AG113" s="218"/>
      <c r="AH113" s="174"/>
    </row>
    <row r="114" spans="1:34" ht="13.8">
      <c r="A114" s="567" t="s">
        <v>70</v>
      </c>
      <c r="B114" s="568" t="s">
        <v>71</v>
      </c>
      <c r="C114" s="663">
        <v>1</v>
      </c>
      <c r="D114" s="569">
        <v>2</v>
      </c>
      <c r="E114" s="569">
        <v>3</v>
      </c>
      <c r="F114" s="569">
        <v>4</v>
      </c>
      <c r="G114" s="366">
        <v>5</v>
      </c>
      <c r="H114" s="366">
        <v>6</v>
      </c>
      <c r="I114" s="366">
        <v>7</v>
      </c>
      <c r="J114" s="366">
        <v>8</v>
      </c>
      <c r="K114" s="366">
        <v>9</v>
      </c>
      <c r="L114" s="366">
        <v>10</v>
      </c>
      <c r="M114" s="366">
        <v>11</v>
      </c>
      <c r="N114" s="366">
        <v>12</v>
      </c>
      <c r="O114" s="366">
        <v>13</v>
      </c>
      <c r="P114" s="366">
        <v>14</v>
      </c>
      <c r="Q114" s="366">
        <v>15</v>
      </c>
      <c r="R114" s="366">
        <v>16</v>
      </c>
      <c r="S114" s="366">
        <v>17</v>
      </c>
      <c r="T114" s="234">
        <v>18</v>
      </c>
      <c r="U114" s="234">
        <v>19</v>
      </c>
      <c r="V114" s="234">
        <v>20</v>
      </c>
      <c r="W114" s="234">
        <v>21</v>
      </c>
      <c r="X114" s="234">
        <v>22</v>
      </c>
      <c r="Y114" s="234">
        <v>23</v>
      </c>
      <c r="Z114" s="234">
        <v>24</v>
      </c>
      <c r="AA114" s="234">
        <v>25</v>
      </c>
      <c r="AB114" s="234">
        <v>26</v>
      </c>
      <c r="AC114" s="234">
        <v>27</v>
      </c>
      <c r="AD114" s="234">
        <v>28</v>
      </c>
      <c r="AE114" s="234">
        <v>29</v>
      </c>
      <c r="AF114" s="234">
        <v>30</v>
      </c>
      <c r="AG114" s="234">
        <v>31</v>
      </c>
      <c r="AH114" s="221" t="s">
        <v>50</v>
      </c>
    </row>
    <row r="115" spans="1:34" ht="13.8">
      <c r="A115" s="147" t="s">
        <v>73</v>
      </c>
      <c r="B115" s="213">
        <v>0</v>
      </c>
      <c r="C115" s="367">
        <v>0</v>
      </c>
      <c r="D115" s="367">
        <v>0</v>
      </c>
      <c r="E115" s="367">
        <v>0</v>
      </c>
      <c r="F115" s="367">
        <v>0</v>
      </c>
      <c r="G115" s="367">
        <v>0</v>
      </c>
      <c r="H115" s="367">
        <v>0</v>
      </c>
      <c r="I115" s="367">
        <v>0</v>
      </c>
      <c r="J115" s="367">
        <v>0</v>
      </c>
      <c r="K115" s="367">
        <v>0</v>
      </c>
      <c r="L115" s="367">
        <v>0</v>
      </c>
      <c r="M115" s="367">
        <v>0</v>
      </c>
      <c r="N115" s="367">
        <v>0</v>
      </c>
      <c r="O115" s="367">
        <v>0</v>
      </c>
      <c r="P115" s="367">
        <v>0</v>
      </c>
      <c r="Q115" s="367">
        <v>0</v>
      </c>
      <c r="R115" s="367">
        <v>0</v>
      </c>
      <c r="S115" s="367">
        <v>0</v>
      </c>
      <c r="T115" s="226">
        <v>0</v>
      </c>
      <c r="U115" s="226">
        <v>0</v>
      </c>
      <c r="V115" s="226">
        <v>0</v>
      </c>
      <c r="W115" s="226">
        <v>0</v>
      </c>
      <c r="X115" s="226">
        <v>0</v>
      </c>
      <c r="Y115" s="226">
        <v>0</v>
      </c>
      <c r="Z115" s="226">
        <v>0</v>
      </c>
      <c r="AA115" s="226">
        <v>0</v>
      </c>
      <c r="AB115" s="226">
        <v>0</v>
      </c>
      <c r="AC115" s="226">
        <v>0</v>
      </c>
      <c r="AD115" s="226">
        <v>0</v>
      </c>
      <c r="AE115" s="226">
        <v>0</v>
      </c>
      <c r="AF115" s="226">
        <v>0</v>
      </c>
      <c r="AG115" s="226">
        <v>0</v>
      </c>
      <c r="AH115" s="222">
        <f>SUM(C115:AG115)</f>
        <v>0</v>
      </c>
    </row>
    <row r="116" spans="1:34" ht="13.8">
      <c r="A116" s="147" t="s">
        <v>74</v>
      </c>
      <c r="B116" s="213">
        <v>0</v>
      </c>
      <c r="C116" s="367">
        <v>0</v>
      </c>
      <c r="D116" s="367">
        <v>0</v>
      </c>
      <c r="E116" s="367">
        <v>0</v>
      </c>
      <c r="F116" s="367">
        <v>0</v>
      </c>
      <c r="G116" s="367">
        <v>0</v>
      </c>
      <c r="H116" s="367">
        <v>0</v>
      </c>
      <c r="I116" s="367">
        <v>0</v>
      </c>
      <c r="J116" s="367">
        <v>0</v>
      </c>
      <c r="K116" s="367">
        <v>0</v>
      </c>
      <c r="L116" s="367">
        <v>0</v>
      </c>
      <c r="M116" s="367">
        <v>0</v>
      </c>
      <c r="N116" s="367">
        <v>0</v>
      </c>
      <c r="O116" s="367">
        <v>0</v>
      </c>
      <c r="P116" s="367">
        <v>0</v>
      </c>
      <c r="Q116" s="367">
        <v>0</v>
      </c>
      <c r="R116" s="367">
        <v>0</v>
      </c>
      <c r="S116" s="367">
        <v>0</v>
      </c>
      <c r="T116" s="226">
        <v>0</v>
      </c>
      <c r="U116" s="226">
        <v>0</v>
      </c>
      <c r="V116" s="226">
        <v>0</v>
      </c>
      <c r="W116" s="226">
        <v>0</v>
      </c>
      <c r="X116" s="226">
        <v>0</v>
      </c>
      <c r="Y116" s="226">
        <v>0</v>
      </c>
      <c r="Z116" s="226">
        <v>0</v>
      </c>
      <c r="AA116" s="226">
        <v>0</v>
      </c>
      <c r="AB116" s="226">
        <v>0</v>
      </c>
      <c r="AC116" s="226">
        <v>0</v>
      </c>
      <c r="AD116" s="226">
        <v>0</v>
      </c>
      <c r="AE116" s="226">
        <v>0</v>
      </c>
      <c r="AF116" s="226">
        <v>0</v>
      </c>
      <c r="AG116" s="226">
        <v>0</v>
      </c>
      <c r="AH116" s="222">
        <f>SUM(C116:AG116)</f>
        <v>0</v>
      </c>
    </row>
    <row r="117" spans="1:34" ht="13.8">
      <c r="A117" s="147" t="s">
        <v>75</v>
      </c>
      <c r="B117" s="213">
        <v>0</v>
      </c>
      <c r="C117" s="367">
        <v>0</v>
      </c>
      <c r="D117" s="367">
        <v>0</v>
      </c>
      <c r="E117" s="367">
        <v>0</v>
      </c>
      <c r="F117" s="367">
        <v>0</v>
      </c>
      <c r="G117" s="367">
        <v>0</v>
      </c>
      <c r="H117" s="367">
        <v>0</v>
      </c>
      <c r="I117" s="367">
        <v>0</v>
      </c>
      <c r="J117" s="367">
        <v>0</v>
      </c>
      <c r="K117" s="367">
        <v>0</v>
      </c>
      <c r="L117" s="367">
        <v>0</v>
      </c>
      <c r="M117" s="367">
        <v>0</v>
      </c>
      <c r="N117" s="367">
        <v>0</v>
      </c>
      <c r="O117" s="367">
        <v>0</v>
      </c>
      <c r="P117" s="367">
        <v>0</v>
      </c>
      <c r="Q117" s="367">
        <v>0</v>
      </c>
      <c r="R117" s="367">
        <v>0</v>
      </c>
      <c r="S117" s="367">
        <v>0</v>
      </c>
      <c r="T117" s="226">
        <v>0</v>
      </c>
      <c r="U117" s="226">
        <v>0</v>
      </c>
      <c r="V117" s="226">
        <v>0</v>
      </c>
      <c r="W117" s="226">
        <v>0</v>
      </c>
      <c r="X117" s="226">
        <v>0</v>
      </c>
      <c r="Y117" s="226">
        <v>0</v>
      </c>
      <c r="Z117" s="226">
        <v>0</v>
      </c>
      <c r="AA117" s="226">
        <v>0</v>
      </c>
      <c r="AB117" s="226">
        <v>0</v>
      </c>
      <c r="AC117" s="226">
        <v>0</v>
      </c>
      <c r="AD117" s="226">
        <v>0</v>
      </c>
      <c r="AE117" s="226">
        <v>0</v>
      </c>
      <c r="AF117" s="226">
        <v>0</v>
      </c>
      <c r="AG117" s="226">
        <v>0</v>
      </c>
      <c r="AH117" s="222">
        <f>SUM(C117:AG117)</f>
        <v>0</v>
      </c>
    </row>
    <row r="118" spans="1:34" ht="13.8">
      <c r="A118" s="147" t="s">
        <v>76</v>
      </c>
      <c r="B118" s="213">
        <v>0</v>
      </c>
      <c r="C118" s="368">
        <v>0</v>
      </c>
      <c r="D118" s="368">
        <v>0</v>
      </c>
      <c r="E118" s="368">
        <v>0</v>
      </c>
      <c r="F118" s="368">
        <v>0</v>
      </c>
      <c r="G118" s="368">
        <v>0</v>
      </c>
      <c r="H118" s="368">
        <v>0</v>
      </c>
      <c r="I118" s="368">
        <v>0</v>
      </c>
      <c r="J118" s="368">
        <v>0</v>
      </c>
      <c r="K118" s="368">
        <v>0</v>
      </c>
      <c r="L118" s="368">
        <v>0</v>
      </c>
      <c r="M118" s="368">
        <v>0</v>
      </c>
      <c r="N118" s="368">
        <v>0</v>
      </c>
      <c r="O118" s="368">
        <v>0</v>
      </c>
      <c r="P118" s="368">
        <v>0</v>
      </c>
      <c r="Q118" s="368">
        <v>0</v>
      </c>
      <c r="R118" s="368">
        <v>0</v>
      </c>
      <c r="S118" s="368">
        <v>0</v>
      </c>
      <c r="T118" s="238">
        <v>0</v>
      </c>
      <c r="U118" s="238">
        <v>0</v>
      </c>
      <c r="V118" s="238">
        <v>0</v>
      </c>
      <c r="W118" s="238">
        <v>0</v>
      </c>
      <c r="X118" s="238">
        <v>0</v>
      </c>
      <c r="Y118" s="238">
        <v>0</v>
      </c>
      <c r="Z118" s="238">
        <v>0</v>
      </c>
      <c r="AA118" s="238">
        <v>0</v>
      </c>
      <c r="AB118" s="238">
        <v>0</v>
      </c>
      <c r="AC118" s="238">
        <v>0</v>
      </c>
      <c r="AD118" s="238">
        <v>0</v>
      </c>
      <c r="AE118" s="238">
        <v>0</v>
      </c>
      <c r="AF118" s="238">
        <v>0</v>
      </c>
      <c r="AG118" s="238">
        <v>0</v>
      </c>
      <c r="AH118" s="222">
        <f t="shared" ref="AH118:AH127" si="15">SUM(C118:AG118)</f>
        <v>0</v>
      </c>
    </row>
    <row r="119" spans="1:34" ht="13.8">
      <c r="A119" s="147" t="s">
        <v>77</v>
      </c>
      <c r="B119" s="213">
        <v>0</v>
      </c>
      <c r="C119" s="368">
        <v>0</v>
      </c>
      <c r="D119" s="368">
        <v>0</v>
      </c>
      <c r="E119" s="368">
        <v>0</v>
      </c>
      <c r="F119" s="368">
        <v>0</v>
      </c>
      <c r="G119" s="368">
        <v>0</v>
      </c>
      <c r="H119" s="368">
        <v>0</v>
      </c>
      <c r="I119" s="368">
        <v>0</v>
      </c>
      <c r="J119" s="368">
        <v>0</v>
      </c>
      <c r="K119" s="368">
        <v>0</v>
      </c>
      <c r="L119" s="368">
        <v>0</v>
      </c>
      <c r="M119" s="368">
        <v>0</v>
      </c>
      <c r="N119" s="368">
        <v>0</v>
      </c>
      <c r="O119" s="368">
        <v>0</v>
      </c>
      <c r="P119" s="368">
        <v>0</v>
      </c>
      <c r="Q119" s="368">
        <v>0</v>
      </c>
      <c r="R119" s="368">
        <v>0</v>
      </c>
      <c r="S119" s="368">
        <v>0</v>
      </c>
      <c r="T119" s="238">
        <v>0</v>
      </c>
      <c r="U119" s="238">
        <v>0</v>
      </c>
      <c r="V119" s="238">
        <v>0</v>
      </c>
      <c r="W119" s="238">
        <v>0</v>
      </c>
      <c r="X119" s="238">
        <v>0</v>
      </c>
      <c r="Y119" s="238">
        <v>0</v>
      </c>
      <c r="Z119" s="238">
        <v>0</v>
      </c>
      <c r="AA119" s="238">
        <v>0</v>
      </c>
      <c r="AB119" s="223"/>
      <c r="AC119" s="223"/>
      <c r="AD119" s="223"/>
      <c r="AE119" s="223"/>
      <c r="AF119" s="223"/>
      <c r="AG119" s="223"/>
      <c r="AH119" s="222">
        <f t="shared" si="15"/>
        <v>0</v>
      </c>
    </row>
    <row r="120" spans="1:34" ht="13.8">
      <c r="A120" s="147" t="s">
        <v>78</v>
      </c>
      <c r="B120" s="213">
        <f t="shared" ref="B120:B126" si="16">+AH120</f>
        <v>0</v>
      </c>
      <c r="C120" s="776"/>
      <c r="D120" s="952"/>
      <c r="E120" s="952"/>
      <c r="F120" s="952"/>
      <c r="G120" s="952"/>
      <c r="H120" s="952"/>
      <c r="I120" s="952"/>
      <c r="J120" s="952"/>
      <c r="K120" s="952"/>
      <c r="L120" s="952"/>
      <c r="M120" s="952"/>
      <c r="N120" s="952"/>
      <c r="O120" s="952"/>
      <c r="P120" s="952"/>
      <c r="Q120" s="952"/>
      <c r="R120" s="952"/>
      <c r="S120" s="952"/>
      <c r="T120" s="953"/>
      <c r="U120" s="953"/>
      <c r="V120" s="953"/>
      <c r="W120" s="953"/>
      <c r="X120" s="953"/>
      <c r="Y120" s="953"/>
      <c r="Z120" s="953"/>
      <c r="AA120" s="953"/>
      <c r="AB120" s="953"/>
      <c r="AC120" s="953"/>
      <c r="AD120" s="953"/>
      <c r="AE120" s="953"/>
      <c r="AF120" s="953"/>
      <c r="AG120" s="953"/>
      <c r="AH120" s="217">
        <f t="shared" si="15"/>
        <v>0</v>
      </c>
    </row>
    <row r="121" spans="1:34" ht="13.8">
      <c r="A121" s="159" t="s">
        <v>79</v>
      </c>
      <c r="B121" s="213">
        <f t="shared" si="16"/>
        <v>0</v>
      </c>
      <c r="C121" s="776"/>
      <c r="D121" s="952"/>
      <c r="E121" s="952"/>
      <c r="F121" s="952"/>
      <c r="G121" s="952"/>
      <c r="H121" s="952"/>
      <c r="I121" s="952"/>
      <c r="J121" s="952"/>
      <c r="K121" s="952"/>
      <c r="L121" s="952"/>
      <c r="M121" s="952"/>
      <c r="N121" s="952"/>
      <c r="O121" s="952"/>
      <c r="P121" s="952"/>
      <c r="Q121" s="952"/>
      <c r="R121" s="952"/>
      <c r="S121" s="952"/>
      <c r="T121" s="953"/>
      <c r="U121" s="953"/>
      <c r="V121" s="953"/>
      <c r="W121" s="953"/>
      <c r="X121" s="953"/>
      <c r="Y121" s="953"/>
      <c r="Z121" s="953"/>
      <c r="AA121" s="953"/>
      <c r="AB121" s="953"/>
      <c r="AC121" s="953"/>
      <c r="AD121" s="953"/>
      <c r="AE121" s="953"/>
      <c r="AF121" s="953"/>
      <c r="AG121" s="953"/>
      <c r="AH121" s="217">
        <f t="shared" si="15"/>
        <v>0</v>
      </c>
    </row>
    <row r="122" spans="1:34" ht="13.8">
      <c r="A122" s="159" t="s">
        <v>80</v>
      </c>
      <c r="B122" s="213">
        <f t="shared" si="16"/>
        <v>0</v>
      </c>
      <c r="C122" s="776"/>
      <c r="D122" s="952"/>
      <c r="E122" s="952"/>
      <c r="F122" s="952"/>
      <c r="G122" s="952"/>
      <c r="H122" s="952"/>
      <c r="I122" s="952"/>
      <c r="J122" s="952"/>
      <c r="K122" s="952"/>
      <c r="L122" s="952"/>
      <c r="M122" s="952"/>
      <c r="N122" s="952"/>
      <c r="O122" s="952"/>
      <c r="P122" s="952"/>
      <c r="Q122" s="952"/>
      <c r="R122" s="952"/>
      <c r="S122" s="952"/>
      <c r="T122" s="953"/>
      <c r="U122" s="953"/>
      <c r="V122" s="953"/>
      <c r="W122" s="953"/>
      <c r="X122" s="953"/>
      <c r="Y122" s="953"/>
      <c r="Z122" s="953"/>
      <c r="AA122" s="953"/>
      <c r="AB122" s="953"/>
      <c r="AC122" s="953"/>
      <c r="AD122" s="953"/>
      <c r="AE122" s="953"/>
      <c r="AF122" s="953"/>
      <c r="AG122" s="953"/>
      <c r="AH122" s="217">
        <f t="shared" si="15"/>
        <v>0</v>
      </c>
    </row>
    <row r="123" spans="1:34" ht="13.8">
      <c r="A123" s="159" t="s">
        <v>81</v>
      </c>
      <c r="B123" s="213">
        <f t="shared" si="16"/>
        <v>0</v>
      </c>
      <c r="C123" s="776"/>
      <c r="D123" s="952"/>
      <c r="E123" s="952"/>
      <c r="F123" s="952"/>
      <c r="G123" s="952"/>
      <c r="H123" s="952"/>
      <c r="I123" s="952"/>
      <c r="J123" s="952"/>
      <c r="K123" s="952"/>
      <c r="L123" s="952"/>
      <c r="M123" s="952"/>
      <c r="N123" s="952"/>
      <c r="O123" s="952"/>
      <c r="P123" s="952"/>
      <c r="Q123" s="952"/>
      <c r="R123" s="952"/>
      <c r="S123" s="952"/>
      <c r="T123" s="953"/>
      <c r="U123" s="953"/>
      <c r="V123" s="953"/>
      <c r="W123" s="953"/>
      <c r="X123" s="953"/>
      <c r="Y123" s="953"/>
      <c r="Z123" s="953"/>
      <c r="AA123" s="953"/>
      <c r="AB123" s="953"/>
      <c r="AC123" s="953"/>
      <c r="AD123" s="953"/>
      <c r="AE123" s="953"/>
      <c r="AF123" s="953"/>
      <c r="AG123" s="953"/>
      <c r="AH123" s="217">
        <f t="shared" si="15"/>
        <v>0</v>
      </c>
    </row>
    <row r="124" spans="1:34" ht="13.8">
      <c r="A124" s="159" t="s">
        <v>82</v>
      </c>
      <c r="B124" s="213">
        <f t="shared" si="16"/>
        <v>0</v>
      </c>
      <c r="C124" s="776"/>
      <c r="D124" s="952"/>
      <c r="E124" s="952"/>
      <c r="F124" s="952"/>
      <c r="G124" s="952"/>
      <c r="H124" s="952"/>
      <c r="I124" s="952"/>
      <c r="J124" s="952"/>
      <c r="K124" s="952"/>
      <c r="L124" s="952"/>
      <c r="M124" s="952"/>
      <c r="N124" s="952"/>
      <c r="O124" s="952"/>
      <c r="P124" s="952"/>
      <c r="Q124" s="952"/>
      <c r="R124" s="952"/>
      <c r="S124" s="952"/>
      <c r="T124" s="953"/>
      <c r="U124" s="953"/>
      <c r="V124" s="953"/>
      <c r="W124" s="953"/>
      <c r="X124" s="953"/>
      <c r="Y124" s="953"/>
      <c r="Z124" s="953"/>
      <c r="AA124" s="953"/>
      <c r="AB124" s="953"/>
      <c r="AC124" s="953"/>
      <c r="AD124" s="953"/>
      <c r="AE124" s="953"/>
      <c r="AF124" s="953"/>
      <c r="AG124" s="953"/>
      <c r="AH124" s="217">
        <f t="shared" si="15"/>
        <v>0</v>
      </c>
    </row>
    <row r="125" spans="1:34" ht="13.8">
      <c r="A125" s="159" t="s">
        <v>83</v>
      </c>
      <c r="B125" s="213">
        <f t="shared" si="16"/>
        <v>0</v>
      </c>
      <c r="C125" s="776"/>
      <c r="D125" s="952"/>
      <c r="E125" s="952"/>
      <c r="F125" s="952"/>
      <c r="G125" s="952"/>
      <c r="H125" s="952"/>
      <c r="I125" s="952"/>
      <c r="J125" s="952"/>
      <c r="K125" s="952"/>
      <c r="L125" s="952"/>
      <c r="M125" s="952"/>
      <c r="N125" s="952"/>
      <c r="O125" s="952"/>
      <c r="P125" s="952"/>
      <c r="Q125" s="952"/>
      <c r="R125" s="952"/>
      <c r="S125" s="952"/>
      <c r="T125" s="953"/>
      <c r="U125" s="953"/>
      <c r="V125" s="953"/>
      <c r="W125" s="953"/>
      <c r="X125" s="953"/>
      <c r="Y125" s="953"/>
      <c r="Z125" s="953"/>
      <c r="AA125" s="953"/>
      <c r="AB125" s="953"/>
      <c r="AC125" s="953"/>
      <c r="AD125" s="953"/>
      <c r="AE125" s="953"/>
      <c r="AF125" s="953"/>
      <c r="AG125" s="953"/>
      <c r="AH125" s="217">
        <f t="shared" si="15"/>
        <v>0</v>
      </c>
    </row>
    <row r="126" spans="1:34" ht="13.8">
      <c r="A126" s="159" t="s">
        <v>84</v>
      </c>
      <c r="B126" s="213">
        <f t="shared" si="16"/>
        <v>0</v>
      </c>
      <c r="C126" s="776"/>
      <c r="D126" s="952"/>
      <c r="E126" s="952"/>
      <c r="F126" s="952"/>
      <c r="G126" s="952"/>
      <c r="H126" s="952"/>
      <c r="I126" s="952"/>
      <c r="J126" s="952"/>
      <c r="K126" s="952"/>
      <c r="L126" s="952"/>
      <c r="M126" s="952"/>
      <c r="N126" s="952"/>
      <c r="O126" s="952"/>
      <c r="P126" s="952"/>
      <c r="Q126" s="952"/>
      <c r="R126" s="952"/>
      <c r="S126" s="952"/>
      <c r="T126" s="953"/>
      <c r="U126" s="953"/>
      <c r="V126" s="953"/>
      <c r="W126" s="953"/>
      <c r="X126" s="953"/>
      <c r="Y126" s="953"/>
      <c r="Z126" s="953"/>
      <c r="AA126" s="953"/>
      <c r="AB126" s="953"/>
      <c r="AC126" s="953"/>
      <c r="AD126" s="953"/>
      <c r="AE126" s="953"/>
      <c r="AF126" s="953"/>
      <c r="AG126" s="953"/>
      <c r="AH126" s="217">
        <f t="shared" si="15"/>
        <v>0</v>
      </c>
    </row>
    <row r="127" spans="1:34" ht="13.8">
      <c r="A127" s="685" t="s">
        <v>50</v>
      </c>
      <c r="B127" s="686">
        <f>SUM(B115:B126)</f>
        <v>0</v>
      </c>
      <c r="C127" s="600"/>
      <c r="D127" s="600"/>
      <c r="E127" s="600"/>
      <c r="F127" s="600"/>
      <c r="G127" s="600"/>
      <c r="H127" s="600"/>
      <c r="I127" s="600"/>
      <c r="J127" s="600"/>
      <c r="K127" s="600"/>
      <c r="L127" s="600"/>
      <c r="M127" s="600"/>
      <c r="N127" s="600"/>
      <c r="O127" s="600"/>
      <c r="P127" s="600"/>
      <c r="Q127" s="600"/>
      <c r="R127" s="600"/>
      <c r="S127" s="600"/>
      <c r="T127" s="954"/>
      <c r="U127" s="954"/>
      <c r="V127" s="954"/>
      <c r="W127" s="954"/>
      <c r="X127" s="954"/>
      <c r="Y127" s="954"/>
      <c r="Z127" s="954"/>
      <c r="AA127" s="954"/>
      <c r="AB127" s="954"/>
      <c r="AC127" s="954"/>
      <c r="AD127" s="954"/>
      <c r="AE127" s="954"/>
      <c r="AF127" s="954"/>
      <c r="AG127" s="954"/>
      <c r="AH127" s="217">
        <f t="shared" si="15"/>
        <v>0</v>
      </c>
    </row>
    <row r="128" spans="1:34">
      <c r="A128" s="239" t="s">
        <v>237</v>
      </c>
      <c r="B128" s="240"/>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4"/>
      <c r="AC128" s="174"/>
      <c r="AD128" s="174"/>
      <c r="AE128" s="174"/>
      <c r="AF128" s="174"/>
      <c r="AG128" s="174"/>
      <c r="AH128" s="174"/>
    </row>
    <row r="129" spans="1:34" ht="13.8">
      <c r="A129" s="690" t="s">
        <v>66</v>
      </c>
      <c r="B129" s="691"/>
    </row>
    <row r="131" spans="1:34" s="970" customFormat="1"/>
    <row r="132" spans="1:34" s="970" customFormat="1" ht="13.8" thickBot="1"/>
    <row r="133" spans="1:34" ht="13.5" customHeight="1">
      <c r="A133" s="687" t="s">
        <v>515</v>
      </c>
      <c r="B133" s="688"/>
      <c r="C133" s="688"/>
      <c r="D133" s="688"/>
      <c r="E133" s="688"/>
      <c r="F133" s="688"/>
      <c r="G133" s="688"/>
      <c r="H133" s="689"/>
      <c r="I133" s="137"/>
      <c r="J133" s="137"/>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c r="AG133" s="137"/>
      <c r="AH133" s="137"/>
    </row>
    <row r="134" spans="1:34" ht="10.5" customHeight="1" thickBot="1">
      <c r="A134" s="3940" t="s">
        <v>119</v>
      </c>
      <c r="B134" s="3941"/>
      <c r="C134" s="3941"/>
      <c r="D134" s="3941"/>
      <c r="E134" s="3941"/>
      <c r="F134" s="3941"/>
      <c r="G134" s="3941"/>
      <c r="H134" s="3942"/>
      <c r="I134" s="137"/>
      <c r="J134" s="137"/>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c r="AG134" s="137"/>
      <c r="AH134" s="137"/>
    </row>
    <row r="135" spans="1:34">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row>
    <row r="136" spans="1:34" ht="13.8">
      <c r="A136" s="3946" t="s">
        <v>149</v>
      </c>
      <c r="B136" s="3947"/>
      <c r="C136" s="3948"/>
      <c r="D136" s="49"/>
      <c r="E136" s="49"/>
      <c r="F136" s="49"/>
      <c r="G136" s="49"/>
      <c r="H136" s="49"/>
      <c r="I136" s="49"/>
      <c r="J136" s="49"/>
      <c r="K136" s="49"/>
      <c r="L136" s="49"/>
      <c r="M136" s="144"/>
      <c r="N136" s="49"/>
      <c r="O136" s="49"/>
      <c r="P136" s="49"/>
      <c r="Q136" s="49"/>
      <c r="R136" s="49"/>
      <c r="S136" s="49"/>
      <c r="T136" s="49"/>
      <c r="U136" s="49"/>
      <c r="V136" s="49"/>
      <c r="W136" s="49"/>
      <c r="X136" s="49"/>
      <c r="Y136" s="49"/>
      <c r="Z136" s="49"/>
      <c r="AA136" s="49"/>
      <c r="AB136" s="49"/>
      <c r="AC136" s="49"/>
      <c r="AD136" s="49"/>
      <c r="AE136" s="49"/>
      <c r="AF136" s="49"/>
      <c r="AG136" s="49"/>
      <c r="AH136" s="145"/>
    </row>
    <row r="137" spans="1:34" ht="13.8">
      <c r="A137" s="146" t="s">
        <v>70</v>
      </c>
      <c r="B137" s="146" t="s">
        <v>71</v>
      </c>
      <c r="C137" s="1267">
        <v>1</v>
      </c>
      <c r="D137" s="147">
        <v>2</v>
      </c>
      <c r="E137" s="147">
        <v>3</v>
      </c>
      <c r="F137" s="147">
        <v>4</v>
      </c>
      <c r="G137" s="147">
        <v>5</v>
      </c>
      <c r="H137" s="147">
        <v>6</v>
      </c>
      <c r="I137" s="147">
        <v>7</v>
      </c>
      <c r="J137" s="147">
        <v>8</v>
      </c>
      <c r="K137" s="147">
        <v>9</v>
      </c>
      <c r="L137" s="147">
        <v>10</v>
      </c>
      <c r="M137" s="147">
        <v>11</v>
      </c>
      <c r="N137" s="147">
        <v>12</v>
      </c>
      <c r="O137" s="147">
        <v>13</v>
      </c>
      <c r="P137" s="147">
        <v>14</v>
      </c>
      <c r="Q137" s="147">
        <v>15</v>
      </c>
      <c r="R137" s="147">
        <v>16</v>
      </c>
      <c r="S137" s="147">
        <v>17</v>
      </c>
      <c r="T137" s="147">
        <v>18</v>
      </c>
      <c r="U137" s="147">
        <v>19</v>
      </c>
      <c r="V137" s="147">
        <v>20</v>
      </c>
      <c r="W137" s="136">
        <v>21</v>
      </c>
      <c r="X137" s="147">
        <v>22</v>
      </c>
      <c r="Y137" s="147">
        <v>23</v>
      </c>
      <c r="Z137" s="147">
        <v>24</v>
      </c>
      <c r="AA137" s="147">
        <v>25</v>
      </c>
      <c r="AB137" s="147">
        <v>26</v>
      </c>
      <c r="AC137" s="147">
        <v>27</v>
      </c>
      <c r="AD137" s="147">
        <v>28</v>
      </c>
      <c r="AE137" s="147">
        <v>29</v>
      </c>
      <c r="AF137" s="147">
        <v>30</v>
      </c>
      <c r="AG137" s="147">
        <v>31</v>
      </c>
      <c r="AH137" s="149" t="s">
        <v>50</v>
      </c>
    </row>
    <row r="138" spans="1:34" ht="13.8">
      <c r="A138" s="159" t="s">
        <v>73</v>
      </c>
      <c r="B138" s="130">
        <f t="shared" ref="B138:B149" si="17">+AH138</f>
        <v>0</v>
      </c>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c r="AA138" s="150"/>
      <c r="AB138" s="150"/>
      <c r="AC138" s="150"/>
      <c r="AD138" s="150"/>
      <c r="AE138" s="150"/>
      <c r="AF138" s="150"/>
      <c r="AG138" s="150"/>
      <c r="AH138" s="151">
        <f>SUM(C138:AG138)</f>
        <v>0</v>
      </c>
    </row>
    <row r="139" spans="1:34" ht="13.8">
      <c r="A139" s="159" t="s">
        <v>74</v>
      </c>
      <c r="B139" s="130">
        <f t="shared" si="17"/>
        <v>0</v>
      </c>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c r="AA139" s="150"/>
      <c r="AB139" s="150"/>
      <c r="AC139" s="150"/>
      <c r="AD139" s="150"/>
      <c r="AE139" s="150"/>
      <c r="AF139" s="150"/>
      <c r="AG139" s="150"/>
      <c r="AH139" s="151">
        <f>SUM(C139:AG139)</f>
        <v>0</v>
      </c>
    </row>
    <row r="140" spans="1:34" ht="13.8">
      <c r="A140" s="159" t="s">
        <v>75</v>
      </c>
      <c r="B140" s="130">
        <f t="shared" si="17"/>
        <v>0</v>
      </c>
      <c r="C140" s="614"/>
      <c r="D140" s="615"/>
      <c r="E140" s="615"/>
      <c r="F140" s="615"/>
      <c r="G140" s="615"/>
      <c r="H140" s="615"/>
      <c r="I140" s="615"/>
      <c r="J140" s="615"/>
      <c r="K140" s="615"/>
      <c r="L140" s="615"/>
      <c r="M140" s="615"/>
      <c r="N140" s="615"/>
      <c r="O140" s="615"/>
      <c r="P140" s="615"/>
      <c r="Q140" s="615"/>
      <c r="R140" s="615"/>
      <c r="S140" s="615"/>
      <c r="T140" s="615"/>
      <c r="U140" s="615"/>
      <c r="V140" s="615"/>
      <c r="W140" s="615"/>
      <c r="X140" s="615"/>
      <c r="Y140" s="615"/>
      <c r="Z140" s="615"/>
      <c r="AA140" s="615"/>
      <c r="AB140" s="615"/>
      <c r="AC140" s="615"/>
      <c r="AD140" s="615"/>
      <c r="AE140" s="615"/>
      <c r="AF140" s="615"/>
      <c r="AG140" s="615"/>
      <c r="AH140" s="151">
        <f>SUM(C140:AG140)</f>
        <v>0</v>
      </c>
    </row>
    <row r="141" spans="1:34" ht="13.8">
      <c r="A141" s="159" t="s">
        <v>76</v>
      </c>
      <c r="B141" s="130">
        <f t="shared" si="17"/>
        <v>0</v>
      </c>
      <c r="C141" s="616"/>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c r="AC141" s="300"/>
      <c r="AD141" s="300"/>
      <c r="AE141" s="300"/>
      <c r="AF141" s="300"/>
      <c r="AG141" s="300"/>
      <c r="AH141" s="151">
        <f t="shared" ref="AH141:AH150" si="18">SUM(C141:AG141)</f>
        <v>0</v>
      </c>
    </row>
    <row r="142" spans="1:34" ht="13.8">
      <c r="A142" s="159" t="s">
        <v>77</v>
      </c>
      <c r="B142" s="130">
        <f t="shared" si="17"/>
        <v>0</v>
      </c>
      <c r="C142" s="616"/>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c r="AC142" s="300"/>
      <c r="AD142" s="300"/>
      <c r="AE142" s="300"/>
      <c r="AF142" s="300"/>
      <c r="AG142" s="300"/>
      <c r="AH142" s="151">
        <f t="shared" si="18"/>
        <v>0</v>
      </c>
    </row>
    <row r="143" spans="1:34" ht="13.8">
      <c r="A143" s="159" t="s">
        <v>78</v>
      </c>
      <c r="B143" s="130">
        <f t="shared" si="17"/>
        <v>0</v>
      </c>
      <c r="C143" s="152"/>
      <c r="D143" s="153"/>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c r="AA143" s="153"/>
      <c r="AB143" s="153"/>
      <c r="AC143" s="153"/>
      <c r="AD143" s="153"/>
      <c r="AE143" s="153"/>
      <c r="AF143" s="153"/>
      <c r="AG143" s="153"/>
      <c r="AH143" s="151">
        <f t="shared" si="18"/>
        <v>0</v>
      </c>
    </row>
    <row r="144" spans="1:34" ht="13.8">
      <c r="A144" s="159" t="s">
        <v>79</v>
      </c>
      <c r="B144" s="130">
        <f t="shared" si="17"/>
        <v>0</v>
      </c>
      <c r="C144" s="152"/>
      <c r="D144" s="153"/>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c r="AA144" s="153"/>
      <c r="AB144" s="153"/>
      <c r="AC144" s="153"/>
      <c r="AD144" s="153"/>
      <c r="AE144" s="153"/>
      <c r="AF144" s="153"/>
      <c r="AG144" s="153"/>
      <c r="AH144" s="151">
        <f t="shared" si="18"/>
        <v>0</v>
      </c>
    </row>
    <row r="145" spans="1:34" ht="13.8">
      <c r="A145" s="159" t="s">
        <v>80</v>
      </c>
      <c r="B145" s="130">
        <f t="shared" si="17"/>
        <v>0</v>
      </c>
      <c r="C145" s="152"/>
      <c r="D145" s="153"/>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c r="AA145" s="153"/>
      <c r="AB145" s="153"/>
      <c r="AC145" s="153"/>
      <c r="AD145" s="153"/>
      <c r="AE145" s="153"/>
      <c r="AF145" s="153"/>
      <c r="AG145" s="153"/>
      <c r="AH145" s="151">
        <f t="shared" si="18"/>
        <v>0</v>
      </c>
    </row>
    <row r="146" spans="1:34" ht="13.8">
      <c r="A146" s="159" t="s">
        <v>81</v>
      </c>
      <c r="B146" s="130">
        <f t="shared" si="17"/>
        <v>0</v>
      </c>
      <c r="C146" s="152"/>
      <c r="D146" s="153"/>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c r="AA146" s="153"/>
      <c r="AB146" s="153"/>
      <c r="AC146" s="153"/>
      <c r="AD146" s="153"/>
      <c r="AE146" s="153"/>
      <c r="AF146" s="153"/>
      <c r="AG146" s="153"/>
      <c r="AH146" s="151">
        <f t="shared" si="18"/>
        <v>0</v>
      </c>
    </row>
    <row r="147" spans="1:34" ht="13.8">
      <c r="A147" s="159" t="s">
        <v>82</v>
      </c>
      <c r="B147" s="130">
        <f t="shared" si="17"/>
        <v>0</v>
      </c>
      <c r="C147" s="152"/>
      <c r="D147" s="153"/>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c r="AA147" s="153"/>
      <c r="AB147" s="153"/>
      <c r="AC147" s="153"/>
      <c r="AD147" s="153"/>
      <c r="AE147" s="153"/>
      <c r="AF147" s="153"/>
      <c r="AG147" s="153"/>
      <c r="AH147" s="151">
        <f t="shared" si="18"/>
        <v>0</v>
      </c>
    </row>
    <row r="148" spans="1:34" ht="13.8">
      <c r="A148" s="147" t="s">
        <v>83</v>
      </c>
      <c r="B148" s="130">
        <f t="shared" si="17"/>
        <v>0</v>
      </c>
      <c r="C148" s="152"/>
      <c r="D148" s="153"/>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c r="AA148" s="153"/>
      <c r="AB148" s="153"/>
      <c r="AC148" s="153"/>
      <c r="AD148" s="153"/>
      <c r="AE148" s="153"/>
      <c r="AF148" s="153"/>
      <c r="AG148" s="153"/>
      <c r="AH148" s="151">
        <f t="shared" si="18"/>
        <v>0</v>
      </c>
    </row>
    <row r="149" spans="1:34" ht="13.8">
      <c r="A149" s="147" t="s">
        <v>84</v>
      </c>
      <c r="B149" s="130">
        <f t="shared" si="17"/>
        <v>0</v>
      </c>
      <c r="C149" s="152"/>
      <c r="D149" s="153"/>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c r="AB149" s="153"/>
      <c r="AC149" s="153"/>
      <c r="AD149" s="153"/>
      <c r="AE149" s="153"/>
      <c r="AF149" s="153"/>
      <c r="AG149" s="153"/>
      <c r="AH149" s="151">
        <f t="shared" si="18"/>
        <v>0</v>
      </c>
    </row>
    <row r="150" spans="1:34" ht="13.8">
      <c r="A150" s="154" t="s">
        <v>50</v>
      </c>
      <c r="B150" s="154">
        <f>SUM(B138:B149)</f>
        <v>0</v>
      </c>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c r="AA150" s="155"/>
      <c r="AB150" s="155"/>
      <c r="AC150" s="155"/>
      <c r="AD150" s="155"/>
      <c r="AE150" s="155"/>
      <c r="AF150" s="155"/>
      <c r="AG150" s="155"/>
      <c r="AH150" s="151">
        <f t="shared" si="18"/>
        <v>0</v>
      </c>
    </row>
    <row r="151" spans="1:34">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c r="AA151" s="137"/>
      <c r="AB151" s="137"/>
      <c r="AC151" s="137"/>
      <c r="AD151" s="137"/>
      <c r="AE151" s="137"/>
      <c r="AF151" s="137"/>
      <c r="AG151" s="137"/>
      <c r="AH151" s="137"/>
    </row>
    <row r="152" spans="1:34" ht="13.8">
      <c r="A152" s="3882" t="s">
        <v>150</v>
      </c>
      <c r="B152" s="3883"/>
      <c r="C152" s="3884"/>
      <c r="D152" s="49"/>
      <c r="E152" s="49"/>
      <c r="F152" s="49"/>
      <c r="G152" s="49"/>
      <c r="H152" s="49"/>
      <c r="I152" s="49"/>
      <c r="J152" s="49"/>
      <c r="K152" s="49"/>
      <c r="L152" s="49"/>
      <c r="M152" s="144"/>
      <c r="N152" s="49"/>
      <c r="O152" s="49"/>
      <c r="P152" s="49"/>
      <c r="Q152" s="49"/>
      <c r="R152" s="49"/>
      <c r="S152" s="49"/>
      <c r="T152" s="49"/>
      <c r="U152" s="49"/>
      <c r="V152" s="49"/>
      <c r="W152" s="49"/>
      <c r="X152" s="49"/>
      <c r="Y152" s="49"/>
      <c r="Z152" s="49"/>
      <c r="AA152" s="49"/>
      <c r="AB152" s="49"/>
      <c r="AC152" s="49"/>
      <c r="AD152" s="49"/>
      <c r="AE152" s="49"/>
      <c r="AF152" s="49"/>
      <c r="AG152" s="49"/>
      <c r="AH152" s="145"/>
    </row>
    <row r="153" spans="1:34" ht="13.8">
      <c r="A153" s="146" t="s">
        <v>70</v>
      </c>
      <c r="B153" s="146" t="s">
        <v>71</v>
      </c>
      <c r="C153" s="1267">
        <v>1</v>
      </c>
      <c r="D153" s="147">
        <v>2</v>
      </c>
      <c r="E153" s="147">
        <v>3</v>
      </c>
      <c r="F153" s="147">
        <v>4</v>
      </c>
      <c r="G153" s="147">
        <v>5</v>
      </c>
      <c r="H153" s="147">
        <v>6</v>
      </c>
      <c r="I153" s="147">
        <v>7</v>
      </c>
      <c r="J153" s="147">
        <v>8</v>
      </c>
      <c r="K153" s="147">
        <v>9</v>
      </c>
      <c r="L153" s="147">
        <v>10</v>
      </c>
      <c r="M153" s="147">
        <v>11</v>
      </c>
      <c r="N153" s="147">
        <v>12</v>
      </c>
      <c r="O153" s="147">
        <v>13</v>
      </c>
      <c r="P153" s="147">
        <v>14</v>
      </c>
      <c r="Q153" s="147">
        <v>15</v>
      </c>
      <c r="R153" s="147">
        <v>16</v>
      </c>
      <c r="S153" s="147">
        <v>17</v>
      </c>
      <c r="T153" s="147">
        <v>18</v>
      </c>
      <c r="U153" s="147">
        <v>19</v>
      </c>
      <c r="V153" s="147">
        <v>20</v>
      </c>
      <c r="W153" s="136">
        <v>21</v>
      </c>
      <c r="X153" s="147">
        <v>22</v>
      </c>
      <c r="Y153" s="147">
        <v>23</v>
      </c>
      <c r="Z153" s="147">
        <v>24</v>
      </c>
      <c r="AA153" s="147">
        <v>25</v>
      </c>
      <c r="AB153" s="147">
        <v>26</v>
      </c>
      <c r="AC153" s="147">
        <v>27</v>
      </c>
      <c r="AD153" s="147">
        <v>28</v>
      </c>
      <c r="AE153" s="147">
        <v>29</v>
      </c>
      <c r="AF153" s="147">
        <v>30</v>
      </c>
      <c r="AG153" s="147">
        <v>31</v>
      </c>
      <c r="AH153" s="149" t="s">
        <v>50</v>
      </c>
    </row>
    <row r="154" spans="1:34" ht="13.8">
      <c r="A154" s="159" t="s">
        <v>73</v>
      </c>
      <c r="B154" s="130">
        <f t="shared" ref="B154:B165" si="19">+AH154</f>
        <v>0</v>
      </c>
      <c r="C154" s="1333"/>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c r="AH154" s="151">
        <f>SUM(C154:AG154)</f>
        <v>0</v>
      </c>
    </row>
    <row r="155" spans="1:34" ht="13.8">
      <c r="A155" s="159" t="s">
        <v>74</v>
      </c>
      <c r="B155" s="130">
        <f t="shared" si="19"/>
        <v>0</v>
      </c>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c r="AH155" s="151">
        <f>SUM(C155:AG155)</f>
        <v>0</v>
      </c>
    </row>
    <row r="156" spans="1:34" ht="13.8">
      <c r="A156" s="159" t="s">
        <v>75</v>
      </c>
      <c r="B156" s="130">
        <f t="shared" si="19"/>
        <v>0</v>
      </c>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1">
        <f>SUM(C156:AG156)</f>
        <v>0</v>
      </c>
    </row>
    <row r="157" spans="1:34" ht="13.8">
      <c r="A157" s="159" t="s">
        <v>76</v>
      </c>
      <c r="B157" s="130">
        <f t="shared" si="19"/>
        <v>0</v>
      </c>
      <c r="C157" s="152"/>
      <c r="D157" s="153"/>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c r="AA157" s="153"/>
      <c r="AB157" s="153"/>
      <c r="AC157" s="153"/>
      <c r="AD157" s="153"/>
      <c r="AE157" s="153"/>
      <c r="AF157" s="153"/>
      <c r="AG157" s="153"/>
      <c r="AH157" s="151">
        <f t="shared" ref="AH157:AH166" si="20">SUM(C157:AG157)</f>
        <v>0</v>
      </c>
    </row>
    <row r="158" spans="1:34" ht="13.8">
      <c r="A158" s="159" t="s">
        <v>77</v>
      </c>
      <c r="B158" s="130">
        <f t="shared" si="19"/>
        <v>0</v>
      </c>
      <c r="C158" s="152"/>
      <c r="D158" s="153"/>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c r="AA158" s="153"/>
      <c r="AB158" s="153"/>
      <c r="AC158" s="153"/>
      <c r="AD158" s="153"/>
      <c r="AE158" s="153"/>
      <c r="AF158" s="153"/>
      <c r="AG158" s="153"/>
      <c r="AH158" s="151">
        <f t="shared" si="20"/>
        <v>0</v>
      </c>
    </row>
    <row r="159" spans="1:34" ht="13.8">
      <c r="A159" s="159" t="s">
        <v>78</v>
      </c>
      <c r="B159" s="130">
        <f t="shared" si="19"/>
        <v>0</v>
      </c>
      <c r="C159" s="152"/>
      <c r="D159" s="153"/>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c r="AA159" s="153"/>
      <c r="AB159" s="153"/>
      <c r="AC159" s="153"/>
      <c r="AD159" s="153"/>
      <c r="AE159" s="153"/>
      <c r="AF159" s="153"/>
      <c r="AG159" s="153"/>
      <c r="AH159" s="151">
        <f t="shared" si="20"/>
        <v>0</v>
      </c>
    </row>
    <row r="160" spans="1:34" ht="13.8">
      <c r="A160" s="159" t="s">
        <v>79</v>
      </c>
      <c r="B160" s="130">
        <f t="shared" si="19"/>
        <v>0</v>
      </c>
      <c r="C160" s="152"/>
      <c r="D160" s="153"/>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c r="AA160" s="153"/>
      <c r="AB160" s="153"/>
      <c r="AC160" s="153"/>
      <c r="AD160" s="153"/>
      <c r="AE160" s="153"/>
      <c r="AF160" s="153"/>
      <c r="AG160" s="153"/>
      <c r="AH160" s="151">
        <f t="shared" si="20"/>
        <v>0</v>
      </c>
    </row>
    <row r="161" spans="1:34" ht="13.8">
      <c r="A161" s="159" t="s">
        <v>80</v>
      </c>
      <c r="B161" s="130">
        <f t="shared" si="19"/>
        <v>0</v>
      </c>
      <c r="C161" s="152"/>
      <c r="D161" s="153"/>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c r="AA161" s="153"/>
      <c r="AB161" s="153"/>
      <c r="AC161" s="153"/>
      <c r="AD161" s="153"/>
      <c r="AE161" s="153"/>
      <c r="AF161" s="153"/>
      <c r="AG161" s="153"/>
      <c r="AH161" s="151">
        <f t="shared" si="20"/>
        <v>0</v>
      </c>
    </row>
    <row r="162" spans="1:34" ht="13.8">
      <c r="A162" s="159" t="s">
        <v>81</v>
      </c>
      <c r="B162" s="130">
        <f t="shared" si="19"/>
        <v>0</v>
      </c>
      <c r="C162" s="152"/>
      <c r="D162" s="153"/>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c r="AA162" s="153"/>
      <c r="AB162" s="153"/>
      <c r="AC162" s="153"/>
      <c r="AD162" s="153"/>
      <c r="AE162" s="153"/>
      <c r="AF162" s="153"/>
      <c r="AG162" s="153"/>
      <c r="AH162" s="151">
        <f t="shared" si="20"/>
        <v>0</v>
      </c>
    </row>
    <row r="163" spans="1:34" ht="13.8">
      <c r="A163" s="159" t="s">
        <v>82</v>
      </c>
      <c r="B163" s="130">
        <f t="shared" si="19"/>
        <v>0</v>
      </c>
      <c r="C163" s="152"/>
      <c r="D163" s="153"/>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c r="AA163" s="153"/>
      <c r="AB163" s="153"/>
      <c r="AC163" s="153"/>
      <c r="AD163" s="153"/>
      <c r="AE163" s="153"/>
      <c r="AF163" s="153"/>
      <c r="AG163" s="153"/>
      <c r="AH163" s="151">
        <f t="shared" si="20"/>
        <v>0</v>
      </c>
    </row>
    <row r="164" spans="1:34" ht="13.8">
      <c r="A164" s="147" t="s">
        <v>83</v>
      </c>
      <c r="B164" s="130">
        <f t="shared" si="19"/>
        <v>0</v>
      </c>
      <c r="C164" s="152"/>
      <c r="D164" s="153"/>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c r="AA164" s="153"/>
      <c r="AB164" s="153"/>
      <c r="AC164" s="153"/>
      <c r="AD164" s="153"/>
      <c r="AE164" s="153"/>
      <c r="AF164" s="153"/>
      <c r="AG164" s="153"/>
      <c r="AH164" s="151">
        <f t="shared" si="20"/>
        <v>0</v>
      </c>
    </row>
    <row r="165" spans="1:34" ht="13.8">
      <c r="A165" s="147" t="s">
        <v>84</v>
      </c>
      <c r="B165" s="130">
        <f t="shared" si="19"/>
        <v>0</v>
      </c>
      <c r="C165" s="152"/>
      <c r="D165" s="153"/>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1">
        <f t="shared" si="20"/>
        <v>0</v>
      </c>
    </row>
    <row r="166" spans="1:34" ht="13.8">
      <c r="A166" s="154" t="s">
        <v>50</v>
      </c>
      <c r="B166" s="154">
        <f>SUM(B154:B165)</f>
        <v>0</v>
      </c>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c r="AC166" s="155"/>
      <c r="AD166" s="155"/>
      <c r="AE166" s="155"/>
      <c r="AF166" s="155"/>
      <c r="AG166" s="155"/>
      <c r="AH166" s="151">
        <f t="shared" si="20"/>
        <v>0</v>
      </c>
    </row>
    <row r="167" spans="1:34">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c r="AA167" s="137"/>
      <c r="AB167" s="137"/>
      <c r="AC167" s="137"/>
      <c r="AD167" s="137"/>
      <c r="AE167" s="137"/>
      <c r="AF167" s="137"/>
      <c r="AG167" s="137"/>
      <c r="AH167" s="137"/>
    </row>
    <row r="168" spans="1:34" ht="13.8">
      <c r="A168" s="3882" t="s">
        <v>311</v>
      </c>
      <c r="B168" s="3883"/>
      <c r="C168" s="3884"/>
      <c r="D168" s="49"/>
      <c r="E168" s="49"/>
      <c r="F168" s="49"/>
      <c r="G168" s="49"/>
      <c r="H168" s="49"/>
      <c r="I168" s="49"/>
      <c r="J168" s="49"/>
      <c r="K168" s="49"/>
      <c r="L168" s="49"/>
      <c r="M168" s="144"/>
      <c r="N168" s="49"/>
      <c r="O168" s="49"/>
      <c r="P168" s="49"/>
      <c r="Q168" s="49"/>
      <c r="R168" s="49"/>
      <c r="S168" s="49"/>
      <c r="T168" s="49"/>
      <c r="U168" s="49"/>
      <c r="V168" s="49"/>
      <c r="W168" s="49"/>
      <c r="X168" s="49"/>
      <c r="Y168" s="49"/>
      <c r="Z168" s="49"/>
      <c r="AA168" s="49"/>
      <c r="AB168" s="49"/>
      <c r="AC168" s="49"/>
      <c r="AD168" s="49"/>
      <c r="AE168" s="49"/>
      <c r="AF168" s="49"/>
      <c r="AG168" s="49"/>
      <c r="AH168" s="145"/>
    </row>
    <row r="169" spans="1:34" ht="13.8">
      <c r="A169" s="146" t="s">
        <v>70</v>
      </c>
      <c r="B169" s="146" t="s">
        <v>71</v>
      </c>
      <c r="C169" s="1267">
        <v>1</v>
      </c>
      <c r="D169" s="147">
        <v>2</v>
      </c>
      <c r="E169" s="147">
        <v>3</v>
      </c>
      <c r="F169" s="147">
        <v>4</v>
      </c>
      <c r="G169" s="147">
        <v>5</v>
      </c>
      <c r="H169" s="147">
        <v>6</v>
      </c>
      <c r="I169" s="147">
        <v>7</v>
      </c>
      <c r="J169" s="147">
        <v>8</v>
      </c>
      <c r="K169" s="147">
        <v>9</v>
      </c>
      <c r="L169" s="147">
        <v>10</v>
      </c>
      <c r="M169" s="147">
        <v>11</v>
      </c>
      <c r="N169" s="147">
        <v>12</v>
      </c>
      <c r="O169" s="147">
        <v>13</v>
      </c>
      <c r="P169" s="147">
        <v>14</v>
      </c>
      <c r="Q169" s="147">
        <v>15</v>
      </c>
      <c r="R169" s="147">
        <v>16</v>
      </c>
      <c r="S169" s="147">
        <v>17</v>
      </c>
      <c r="T169" s="147">
        <v>18</v>
      </c>
      <c r="U169" s="147">
        <v>19</v>
      </c>
      <c r="V169" s="147">
        <v>20</v>
      </c>
      <c r="W169" s="136">
        <v>21</v>
      </c>
      <c r="X169" s="147">
        <v>22</v>
      </c>
      <c r="Y169" s="147">
        <v>23</v>
      </c>
      <c r="Z169" s="147">
        <v>24</v>
      </c>
      <c r="AA169" s="147">
        <v>25</v>
      </c>
      <c r="AB169" s="147">
        <v>26</v>
      </c>
      <c r="AC169" s="147">
        <v>27</v>
      </c>
      <c r="AD169" s="147">
        <v>28</v>
      </c>
      <c r="AE169" s="147">
        <v>29</v>
      </c>
      <c r="AF169" s="147">
        <v>30</v>
      </c>
      <c r="AG169" s="147">
        <v>31</v>
      </c>
      <c r="AH169" s="149" t="s">
        <v>50</v>
      </c>
    </row>
    <row r="170" spans="1:34" ht="13.8">
      <c r="A170" s="159" t="s">
        <v>73</v>
      </c>
      <c r="B170" s="130">
        <f t="shared" ref="B170:B181" si="21">+AH170</f>
        <v>0</v>
      </c>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c r="AH170" s="151">
        <f>SUM(C170:AG170)</f>
        <v>0</v>
      </c>
    </row>
    <row r="171" spans="1:34" ht="13.8">
      <c r="A171" s="159" t="s">
        <v>74</v>
      </c>
      <c r="B171" s="130">
        <f t="shared" si="21"/>
        <v>0</v>
      </c>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c r="AH171" s="151">
        <f>SUM(C171:AG171)</f>
        <v>0</v>
      </c>
    </row>
    <row r="172" spans="1:34" ht="13.8">
      <c r="A172" s="159" t="s">
        <v>75</v>
      </c>
      <c r="B172" s="130">
        <f t="shared" si="21"/>
        <v>0</v>
      </c>
      <c r="C172" s="823"/>
      <c r="D172" s="824"/>
      <c r="E172" s="825"/>
      <c r="F172" s="825"/>
      <c r="G172" s="825"/>
      <c r="H172" s="825"/>
      <c r="I172" s="825"/>
      <c r="J172" s="825"/>
      <c r="K172" s="825"/>
      <c r="L172" s="825"/>
      <c r="M172" s="825"/>
      <c r="N172" s="825"/>
      <c r="O172" s="825"/>
      <c r="P172" s="825"/>
      <c r="Q172" s="825"/>
      <c r="R172" s="825"/>
      <c r="S172" s="825"/>
      <c r="T172" s="825"/>
      <c r="U172" s="825"/>
      <c r="V172" s="825"/>
      <c r="W172" s="825"/>
      <c r="X172" s="825"/>
      <c r="Y172" s="825"/>
      <c r="Z172" s="172"/>
      <c r="AA172" s="172"/>
      <c r="AB172" s="172"/>
      <c r="AC172" s="172"/>
      <c r="AD172" s="172"/>
      <c r="AE172" s="172"/>
      <c r="AF172" s="172"/>
      <c r="AG172" s="172"/>
      <c r="AH172" s="151">
        <f>SUM(C172:AG172)</f>
        <v>0</v>
      </c>
    </row>
    <row r="173" spans="1:34" ht="13.8">
      <c r="A173" s="159" t="s">
        <v>76</v>
      </c>
      <c r="B173" s="130">
        <f t="shared" si="21"/>
        <v>0</v>
      </c>
      <c r="C173" s="168"/>
      <c r="D173" s="166"/>
      <c r="E173" s="749"/>
      <c r="F173" s="749"/>
      <c r="G173" s="749"/>
      <c r="H173" s="749"/>
      <c r="I173" s="749"/>
      <c r="J173" s="749"/>
      <c r="K173" s="749"/>
      <c r="L173" s="749"/>
      <c r="M173" s="749"/>
      <c r="N173" s="749"/>
      <c r="O173" s="749"/>
      <c r="P173" s="749"/>
      <c r="Q173" s="749"/>
      <c r="R173" s="749"/>
      <c r="S173" s="749"/>
      <c r="T173" s="749"/>
      <c r="U173" s="749"/>
      <c r="V173" s="749"/>
      <c r="W173" s="749"/>
      <c r="X173" s="749"/>
      <c r="Y173" s="749"/>
      <c r="Z173" s="749"/>
      <c r="AA173" s="749"/>
      <c r="AB173" s="749"/>
      <c r="AC173" s="749"/>
      <c r="AD173" s="749"/>
      <c r="AE173" s="749"/>
      <c r="AF173" s="749"/>
      <c r="AG173" s="749"/>
      <c r="AH173" s="151">
        <f t="shared" ref="AH173:AH181" si="22">SUM(C173:AG173)</f>
        <v>0</v>
      </c>
    </row>
    <row r="174" spans="1:34" ht="13.8">
      <c r="A174" s="159" t="s">
        <v>77</v>
      </c>
      <c r="B174" s="130">
        <f t="shared" si="21"/>
        <v>0</v>
      </c>
      <c r="C174" s="168"/>
      <c r="D174" s="166"/>
      <c r="E174" s="749"/>
      <c r="F174" s="749"/>
      <c r="G174" s="749"/>
      <c r="H174" s="749"/>
      <c r="I174" s="749"/>
      <c r="J174" s="749"/>
      <c r="K174" s="749"/>
      <c r="L174" s="749"/>
      <c r="M174" s="749"/>
      <c r="N174" s="749"/>
      <c r="O174" s="749"/>
      <c r="P174" s="749"/>
      <c r="Q174" s="749"/>
      <c r="R174" s="749"/>
      <c r="S174" s="749"/>
      <c r="T174" s="749"/>
      <c r="U174" s="749"/>
      <c r="V174" s="749"/>
      <c r="W174" s="749"/>
      <c r="X174" s="749"/>
      <c r="Y174" s="749"/>
      <c r="Z174" s="749"/>
      <c r="AA174" s="749"/>
      <c r="AB174" s="749"/>
      <c r="AC174" s="749"/>
      <c r="AD174" s="749"/>
      <c r="AE174" s="749"/>
      <c r="AF174" s="749"/>
      <c r="AG174" s="749"/>
      <c r="AH174" s="151">
        <f t="shared" si="22"/>
        <v>0</v>
      </c>
    </row>
    <row r="175" spans="1:34" ht="13.8">
      <c r="A175" s="159" t="s">
        <v>78</v>
      </c>
      <c r="B175" s="130">
        <f t="shared" si="21"/>
        <v>0</v>
      </c>
      <c r="C175" s="168"/>
      <c r="D175" s="166"/>
      <c r="E175" s="749"/>
      <c r="F175" s="749"/>
      <c r="G175" s="749"/>
      <c r="H175" s="749"/>
      <c r="I175" s="749"/>
      <c r="J175" s="749"/>
      <c r="K175" s="749"/>
      <c r="L175" s="749"/>
      <c r="M175" s="749"/>
      <c r="N175" s="749"/>
      <c r="O175" s="749"/>
      <c r="P175" s="749"/>
      <c r="Q175" s="749"/>
      <c r="R175" s="749"/>
      <c r="S175" s="749"/>
      <c r="T175" s="749"/>
      <c r="U175" s="749"/>
      <c r="V175" s="749"/>
      <c r="W175" s="749"/>
      <c r="X175" s="749"/>
      <c r="Y175" s="749"/>
      <c r="Z175" s="749"/>
      <c r="AA175" s="749"/>
      <c r="AB175" s="749"/>
      <c r="AC175" s="749"/>
      <c r="AD175" s="749"/>
      <c r="AE175" s="749"/>
      <c r="AF175" s="749"/>
      <c r="AG175" s="749"/>
      <c r="AH175" s="151">
        <f t="shared" si="22"/>
        <v>0</v>
      </c>
    </row>
    <row r="176" spans="1:34" ht="13.8">
      <c r="A176" s="159" t="s">
        <v>79</v>
      </c>
      <c r="B176" s="130">
        <f t="shared" si="21"/>
        <v>0</v>
      </c>
      <c r="C176" s="750"/>
      <c r="D176" s="166"/>
      <c r="E176" s="749"/>
      <c r="F176" s="749"/>
      <c r="G176" s="749"/>
      <c r="H176" s="749"/>
      <c r="I176" s="749"/>
      <c r="J176" s="749"/>
      <c r="K176" s="749"/>
      <c r="L176" s="749"/>
      <c r="M176" s="749"/>
      <c r="N176" s="749"/>
      <c r="O176" s="749"/>
      <c r="P176" s="749"/>
      <c r="Q176" s="749"/>
      <c r="R176" s="749"/>
      <c r="S176" s="749"/>
      <c r="T176" s="749"/>
      <c r="U176" s="749"/>
      <c r="V176" s="749"/>
      <c r="W176" s="749"/>
      <c r="X176" s="749"/>
      <c r="Y176" s="749"/>
      <c r="Z176" s="749"/>
      <c r="AA176" s="749"/>
      <c r="AB176" s="749"/>
      <c r="AC176" s="749"/>
      <c r="AD176" s="749"/>
      <c r="AE176" s="749"/>
      <c r="AF176" s="749"/>
      <c r="AG176" s="749"/>
      <c r="AH176" s="151">
        <f t="shared" si="22"/>
        <v>0</v>
      </c>
    </row>
    <row r="177" spans="1:34" ht="13.8">
      <c r="A177" s="159" t="s">
        <v>80</v>
      </c>
      <c r="B177" s="130">
        <f t="shared" si="21"/>
        <v>0</v>
      </c>
      <c r="C177" s="826"/>
      <c r="D177" s="751"/>
      <c r="E177" s="166"/>
      <c r="F177" s="166"/>
      <c r="G177" s="166"/>
      <c r="H177" s="166"/>
      <c r="I177" s="166"/>
      <c r="J177" s="166"/>
      <c r="K177" s="166"/>
      <c r="L177" s="166"/>
      <c r="M177" s="166"/>
      <c r="N177" s="166"/>
      <c r="O177" s="166"/>
      <c r="P177" s="166"/>
      <c r="Q177" s="166"/>
      <c r="R177" s="166"/>
      <c r="S177" s="166"/>
      <c r="T177" s="166"/>
      <c r="U177" s="166"/>
      <c r="V177" s="166"/>
      <c r="W177" s="166"/>
      <c r="X177" s="166"/>
      <c r="Y177" s="166"/>
      <c r="Z177" s="166"/>
      <c r="AA177" s="166"/>
      <c r="AB177" s="166"/>
      <c r="AC177" s="166"/>
      <c r="AD177" s="166"/>
      <c r="AE177" s="166"/>
      <c r="AF177" s="166"/>
      <c r="AG177" s="166"/>
      <c r="AH177" s="151">
        <f t="shared" si="22"/>
        <v>0</v>
      </c>
    </row>
    <row r="178" spans="1:34" ht="13.8">
      <c r="A178" s="159" t="s">
        <v>81</v>
      </c>
      <c r="B178" s="130">
        <f t="shared" si="21"/>
        <v>0</v>
      </c>
      <c r="C178" s="152"/>
      <c r="D178" s="153"/>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c r="AB178" s="153"/>
      <c r="AC178" s="153"/>
      <c r="AD178" s="153"/>
      <c r="AE178" s="153"/>
      <c r="AF178" s="153"/>
      <c r="AG178" s="153"/>
      <c r="AH178" s="151">
        <f t="shared" si="22"/>
        <v>0</v>
      </c>
    </row>
    <row r="179" spans="1:34" ht="13.8">
      <c r="A179" s="159" t="s">
        <v>82</v>
      </c>
      <c r="B179" s="130">
        <f t="shared" si="21"/>
        <v>0</v>
      </c>
      <c r="C179" s="152"/>
      <c r="D179" s="153"/>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c r="AA179" s="153"/>
      <c r="AB179" s="153"/>
      <c r="AC179" s="153"/>
      <c r="AD179" s="153"/>
      <c r="AE179" s="153"/>
      <c r="AF179" s="153"/>
      <c r="AG179" s="153"/>
      <c r="AH179" s="151">
        <f t="shared" si="22"/>
        <v>0</v>
      </c>
    </row>
    <row r="180" spans="1:34" ht="13.8">
      <c r="A180" s="147" t="s">
        <v>83</v>
      </c>
      <c r="B180" s="130">
        <f t="shared" si="21"/>
        <v>0</v>
      </c>
      <c r="C180" s="152"/>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c r="AA180" s="153"/>
      <c r="AB180" s="153"/>
      <c r="AC180" s="153"/>
      <c r="AD180" s="153"/>
      <c r="AE180" s="153"/>
      <c r="AF180" s="153"/>
      <c r="AG180" s="153"/>
      <c r="AH180" s="151">
        <f t="shared" si="22"/>
        <v>0</v>
      </c>
    </row>
    <row r="181" spans="1:34" ht="13.8">
      <c r="A181" s="147" t="s">
        <v>84</v>
      </c>
      <c r="B181" s="130">
        <f t="shared" si="21"/>
        <v>0</v>
      </c>
      <c r="C181" s="152"/>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c r="AC181" s="153"/>
      <c r="AD181" s="153"/>
      <c r="AE181" s="153"/>
      <c r="AF181" s="153"/>
      <c r="AG181" s="153"/>
      <c r="AH181" s="151">
        <f t="shared" si="22"/>
        <v>0</v>
      </c>
    </row>
    <row r="182" spans="1:34" ht="13.8">
      <c r="A182" s="154" t="s">
        <v>50</v>
      </c>
      <c r="B182" s="154">
        <f>SUM(B170:B181)</f>
        <v>0</v>
      </c>
      <c r="C182" s="155">
        <f>SUM(C170:C181)</f>
        <v>0</v>
      </c>
      <c r="D182" s="155">
        <f t="shared" ref="D182:AG182" si="23">SUM(D170:D181)</f>
        <v>0</v>
      </c>
      <c r="E182" s="155">
        <f t="shared" si="23"/>
        <v>0</v>
      </c>
      <c r="F182" s="155">
        <f t="shared" si="23"/>
        <v>0</v>
      </c>
      <c r="G182" s="155">
        <f t="shared" si="23"/>
        <v>0</v>
      </c>
      <c r="H182" s="155">
        <f t="shared" si="23"/>
        <v>0</v>
      </c>
      <c r="I182" s="155">
        <f t="shared" si="23"/>
        <v>0</v>
      </c>
      <c r="J182" s="155">
        <f t="shared" si="23"/>
        <v>0</v>
      </c>
      <c r="K182" s="155">
        <f t="shared" si="23"/>
        <v>0</v>
      </c>
      <c r="L182" s="155">
        <f t="shared" si="23"/>
        <v>0</v>
      </c>
      <c r="M182" s="155">
        <f t="shared" si="23"/>
        <v>0</v>
      </c>
      <c r="N182" s="155">
        <f t="shared" si="23"/>
        <v>0</v>
      </c>
      <c r="O182" s="155">
        <f t="shared" si="23"/>
        <v>0</v>
      </c>
      <c r="P182" s="155">
        <f t="shared" si="23"/>
        <v>0</v>
      </c>
      <c r="Q182" s="155">
        <f t="shared" si="23"/>
        <v>0</v>
      </c>
      <c r="R182" s="155">
        <f t="shared" si="23"/>
        <v>0</v>
      </c>
      <c r="S182" s="155">
        <f t="shared" si="23"/>
        <v>0</v>
      </c>
      <c r="T182" s="155">
        <f t="shared" si="23"/>
        <v>0</v>
      </c>
      <c r="U182" s="155">
        <f t="shared" si="23"/>
        <v>0</v>
      </c>
      <c r="V182" s="155">
        <f t="shared" si="23"/>
        <v>0</v>
      </c>
      <c r="W182" s="155">
        <f t="shared" si="23"/>
        <v>0</v>
      </c>
      <c r="X182" s="155">
        <f t="shared" si="23"/>
        <v>0</v>
      </c>
      <c r="Y182" s="155">
        <f t="shared" si="23"/>
        <v>0</v>
      </c>
      <c r="Z182" s="155">
        <f t="shared" si="23"/>
        <v>0</v>
      </c>
      <c r="AA182" s="155">
        <f t="shared" si="23"/>
        <v>0</v>
      </c>
      <c r="AB182" s="155">
        <f t="shared" si="23"/>
        <v>0</v>
      </c>
      <c r="AC182" s="155">
        <f t="shared" si="23"/>
        <v>0</v>
      </c>
      <c r="AD182" s="155">
        <f t="shared" si="23"/>
        <v>0</v>
      </c>
      <c r="AE182" s="155">
        <f t="shared" si="23"/>
        <v>0</v>
      </c>
      <c r="AF182" s="155">
        <f t="shared" si="23"/>
        <v>0</v>
      </c>
      <c r="AG182" s="155">
        <f t="shared" si="23"/>
        <v>0</v>
      </c>
      <c r="AH182" s="156"/>
    </row>
    <row r="183" spans="1:34">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c r="AA183" s="137"/>
      <c r="AB183" s="137"/>
      <c r="AC183" s="137"/>
      <c r="AD183" s="137"/>
      <c r="AE183" s="137"/>
      <c r="AF183" s="137"/>
      <c r="AG183" s="137"/>
      <c r="AH183" s="137"/>
    </row>
    <row r="184" spans="1:34" ht="13.8">
      <c r="A184" s="3882" t="s">
        <v>168</v>
      </c>
      <c r="B184" s="3883"/>
      <c r="C184" s="3884"/>
      <c r="D184" s="49"/>
      <c r="E184" s="49"/>
      <c r="F184" s="49"/>
      <c r="G184" s="49"/>
      <c r="H184" s="49"/>
      <c r="I184" s="49"/>
      <c r="J184" s="49"/>
      <c r="K184" s="49"/>
      <c r="L184" s="49"/>
      <c r="M184" s="144"/>
      <c r="N184" s="49"/>
      <c r="O184" s="49"/>
      <c r="P184" s="49"/>
      <c r="Q184" s="49"/>
      <c r="R184" s="49"/>
      <c r="S184" s="49"/>
      <c r="T184" s="49"/>
      <c r="U184" s="49"/>
      <c r="V184" s="49"/>
      <c r="W184" s="49"/>
      <c r="X184" s="49"/>
      <c r="Y184" s="49"/>
      <c r="Z184" s="49"/>
      <c r="AA184" s="49"/>
      <c r="AB184" s="49"/>
      <c r="AC184" s="49"/>
      <c r="AD184" s="49"/>
      <c r="AE184" s="49"/>
      <c r="AF184" s="49"/>
      <c r="AG184" s="49"/>
      <c r="AH184" s="145"/>
    </row>
    <row r="185" spans="1:34" ht="13.8">
      <c r="A185" s="146" t="s">
        <v>70</v>
      </c>
      <c r="B185" s="146" t="s">
        <v>71</v>
      </c>
      <c r="C185" s="1267">
        <v>1</v>
      </c>
      <c r="D185" s="147">
        <v>2</v>
      </c>
      <c r="E185" s="147">
        <v>3</v>
      </c>
      <c r="F185" s="147">
        <v>4</v>
      </c>
      <c r="G185" s="147">
        <v>5</v>
      </c>
      <c r="H185" s="147">
        <v>6</v>
      </c>
      <c r="I185" s="147">
        <v>7</v>
      </c>
      <c r="J185" s="147">
        <v>8</v>
      </c>
      <c r="K185" s="147">
        <v>9</v>
      </c>
      <c r="L185" s="147">
        <v>10</v>
      </c>
      <c r="M185" s="147">
        <v>11</v>
      </c>
      <c r="N185" s="147">
        <v>12</v>
      </c>
      <c r="O185" s="147">
        <v>13</v>
      </c>
      <c r="P185" s="147">
        <v>14</v>
      </c>
      <c r="Q185" s="147">
        <v>15</v>
      </c>
      <c r="R185" s="147">
        <v>16</v>
      </c>
      <c r="S185" s="147">
        <v>17</v>
      </c>
      <c r="T185" s="147">
        <v>18</v>
      </c>
      <c r="U185" s="147">
        <v>19</v>
      </c>
      <c r="V185" s="147">
        <v>20</v>
      </c>
      <c r="W185" s="136">
        <v>21</v>
      </c>
      <c r="X185" s="147">
        <v>22</v>
      </c>
      <c r="Y185" s="147">
        <v>23</v>
      </c>
      <c r="Z185" s="147">
        <v>24</v>
      </c>
      <c r="AA185" s="147">
        <v>25</v>
      </c>
      <c r="AB185" s="147">
        <v>26</v>
      </c>
      <c r="AC185" s="147">
        <v>27</v>
      </c>
      <c r="AD185" s="147">
        <v>28</v>
      </c>
      <c r="AE185" s="147">
        <v>29</v>
      </c>
      <c r="AF185" s="147">
        <v>30</v>
      </c>
      <c r="AG185" s="147">
        <v>31</v>
      </c>
      <c r="AH185" s="149" t="s">
        <v>50</v>
      </c>
    </row>
    <row r="186" spans="1:34" ht="13.8">
      <c r="A186" s="159" t="s">
        <v>73</v>
      </c>
      <c r="B186" s="130">
        <f t="shared" ref="B186:B197" si="24">+AH186</f>
        <v>0</v>
      </c>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c r="AH186" s="151">
        <f>SUM(C186:AG186)</f>
        <v>0</v>
      </c>
    </row>
    <row r="187" spans="1:34" ht="13.8">
      <c r="A187" s="159" t="s">
        <v>74</v>
      </c>
      <c r="B187" s="130">
        <f t="shared" si="24"/>
        <v>0</v>
      </c>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c r="AH187" s="151">
        <f>SUM(C187:AG187)</f>
        <v>0</v>
      </c>
    </row>
    <row r="188" spans="1:34" ht="13.8">
      <c r="A188" s="159" t="s">
        <v>75</v>
      </c>
      <c r="B188" s="130">
        <f t="shared" si="24"/>
        <v>0</v>
      </c>
      <c r="C188" s="614"/>
      <c r="D188" s="615"/>
      <c r="E188" s="615"/>
      <c r="F188" s="615"/>
      <c r="G188" s="615"/>
      <c r="H188" s="615"/>
      <c r="I188" s="615"/>
      <c r="J188" s="615"/>
      <c r="K188" s="615"/>
      <c r="L188" s="615"/>
      <c r="M188" s="615"/>
      <c r="N188" s="615"/>
      <c r="O188" s="615"/>
      <c r="P188" s="615"/>
      <c r="Q188" s="615"/>
      <c r="R188" s="615"/>
      <c r="S188" s="615"/>
      <c r="T188" s="615"/>
      <c r="U188" s="615"/>
      <c r="V188" s="615"/>
      <c r="W188" s="615"/>
      <c r="X188" s="615"/>
      <c r="Y188" s="615"/>
      <c r="Z188" s="615"/>
      <c r="AA188" s="615"/>
      <c r="AB188" s="615"/>
      <c r="AC188" s="615"/>
      <c r="AD188" s="615"/>
      <c r="AE188" s="615"/>
      <c r="AF188" s="615"/>
      <c r="AG188" s="615"/>
      <c r="AH188" s="151">
        <f>SUM(C188:AG188)</f>
        <v>0</v>
      </c>
    </row>
    <row r="189" spans="1:34" ht="13.8">
      <c r="A189" s="159" t="s">
        <v>76</v>
      </c>
      <c r="B189" s="130">
        <f t="shared" si="24"/>
        <v>0</v>
      </c>
      <c r="C189" s="616"/>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c r="AA189" s="300"/>
      <c r="AB189" s="300"/>
      <c r="AC189" s="300"/>
      <c r="AD189" s="300"/>
      <c r="AE189" s="300"/>
      <c r="AF189" s="300"/>
      <c r="AG189" s="300"/>
      <c r="AH189" s="151">
        <f t="shared" ref="AH189:AH198" si="25">SUM(C189:AG189)</f>
        <v>0</v>
      </c>
    </row>
    <row r="190" spans="1:34" ht="13.8">
      <c r="A190" s="159" t="s">
        <v>77</v>
      </c>
      <c r="B190" s="130">
        <f t="shared" si="24"/>
        <v>0</v>
      </c>
      <c r="C190" s="616"/>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c r="AA190" s="300"/>
      <c r="AB190" s="300"/>
      <c r="AC190" s="300"/>
      <c r="AD190" s="300"/>
      <c r="AE190" s="300"/>
      <c r="AF190" s="300"/>
      <c r="AG190" s="300"/>
      <c r="AH190" s="151">
        <f t="shared" si="25"/>
        <v>0</v>
      </c>
    </row>
    <row r="191" spans="1:34" ht="13.8">
      <c r="A191" s="159" t="s">
        <v>78</v>
      </c>
      <c r="B191" s="130">
        <f t="shared" si="24"/>
        <v>0</v>
      </c>
      <c r="C191" s="152"/>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1">
        <f t="shared" si="25"/>
        <v>0</v>
      </c>
    </row>
    <row r="192" spans="1:34" ht="13.8">
      <c r="A192" s="159" t="s">
        <v>79</v>
      </c>
      <c r="B192" s="130">
        <f t="shared" si="24"/>
        <v>0</v>
      </c>
      <c r="C192" s="152"/>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1">
        <f t="shared" si="25"/>
        <v>0</v>
      </c>
    </row>
    <row r="193" spans="1:34" ht="13.8">
      <c r="A193" s="159" t="s">
        <v>80</v>
      </c>
      <c r="B193" s="130">
        <f t="shared" si="24"/>
        <v>0</v>
      </c>
      <c r="C193" s="152"/>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c r="AA193" s="153"/>
      <c r="AB193" s="153"/>
      <c r="AC193" s="153"/>
      <c r="AD193" s="153"/>
      <c r="AE193" s="153"/>
      <c r="AF193" s="153"/>
      <c r="AG193" s="153"/>
      <c r="AH193" s="151">
        <f t="shared" si="25"/>
        <v>0</v>
      </c>
    </row>
    <row r="194" spans="1:34" ht="13.8">
      <c r="A194" s="159" t="s">
        <v>81</v>
      </c>
      <c r="B194" s="130">
        <f t="shared" si="24"/>
        <v>0</v>
      </c>
      <c r="C194" s="152"/>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c r="AA194" s="153"/>
      <c r="AB194" s="153"/>
      <c r="AC194" s="153"/>
      <c r="AD194" s="153"/>
      <c r="AE194" s="153"/>
      <c r="AF194" s="153"/>
      <c r="AG194" s="153"/>
      <c r="AH194" s="151">
        <f t="shared" si="25"/>
        <v>0</v>
      </c>
    </row>
    <row r="195" spans="1:34" ht="13.8">
      <c r="A195" s="159" t="s">
        <v>82</v>
      </c>
      <c r="B195" s="130">
        <f t="shared" si="24"/>
        <v>0</v>
      </c>
      <c r="C195" s="152"/>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c r="AA195" s="153"/>
      <c r="AB195" s="153"/>
      <c r="AC195" s="153"/>
      <c r="AD195" s="153"/>
      <c r="AE195" s="153"/>
      <c r="AF195" s="153"/>
      <c r="AG195" s="153"/>
      <c r="AH195" s="151">
        <f t="shared" si="25"/>
        <v>0</v>
      </c>
    </row>
    <row r="196" spans="1:34" ht="13.8">
      <c r="A196" s="147" t="s">
        <v>83</v>
      </c>
      <c r="B196" s="130">
        <f t="shared" si="24"/>
        <v>0</v>
      </c>
      <c r="C196" s="152"/>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c r="AA196" s="153"/>
      <c r="AB196" s="153"/>
      <c r="AC196" s="153"/>
      <c r="AD196" s="153"/>
      <c r="AE196" s="153"/>
      <c r="AF196" s="153"/>
      <c r="AG196" s="153"/>
      <c r="AH196" s="151">
        <f t="shared" si="25"/>
        <v>0</v>
      </c>
    </row>
    <row r="197" spans="1:34" ht="13.8">
      <c r="A197" s="147" t="s">
        <v>84</v>
      </c>
      <c r="B197" s="130">
        <f t="shared" si="24"/>
        <v>0</v>
      </c>
      <c r="C197" s="152"/>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c r="AA197" s="153"/>
      <c r="AB197" s="153"/>
      <c r="AC197" s="153"/>
      <c r="AD197" s="153"/>
      <c r="AE197" s="153"/>
      <c r="AF197" s="153"/>
      <c r="AG197" s="153"/>
      <c r="AH197" s="151">
        <f t="shared" si="25"/>
        <v>0</v>
      </c>
    </row>
    <row r="198" spans="1:34" ht="13.8">
      <c r="A198" s="154" t="s">
        <v>50</v>
      </c>
      <c r="B198" s="154">
        <f>SUM(B186:B197)</f>
        <v>0</v>
      </c>
      <c r="C198" s="155"/>
      <c r="D198" s="155"/>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c r="AA198" s="155"/>
      <c r="AB198" s="155"/>
      <c r="AC198" s="155"/>
      <c r="AD198" s="155"/>
      <c r="AE198" s="155"/>
      <c r="AF198" s="155"/>
      <c r="AG198" s="155"/>
      <c r="AH198" s="151">
        <f t="shared" si="25"/>
        <v>0</v>
      </c>
    </row>
    <row r="199" spans="1:34" ht="13.8" thickBot="1"/>
    <row r="200" spans="1:34" ht="14.4" thickBot="1">
      <c r="A200" s="3882" t="s">
        <v>114</v>
      </c>
      <c r="B200" s="3883"/>
      <c r="C200" s="3883"/>
      <c r="D200" s="199" t="s">
        <v>8</v>
      </c>
      <c r="E200" s="200"/>
      <c r="F200" s="620" t="s">
        <v>351</v>
      </c>
      <c r="G200" s="620"/>
    </row>
    <row r="201" spans="1:34" ht="13.8">
      <c r="A201" s="146" t="s">
        <v>70</v>
      </c>
      <c r="B201" s="146" t="s">
        <v>71</v>
      </c>
      <c r="C201" s="1267">
        <v>1</v>
      </c>
      <c r="D201" s="198">
        <v>2</v>
      </c>
      <c r="E201" s="198">
        <v>3</v>
      </c>
      <c r="F201" s="147">
        <v>4</v>
      </c>
      <c r="G201" s="147">
        <v>5</v>
      </c>
      <c r="H201" s="147">
        <v>6</v>
      </c>
      <c r="I201" s="147">
        <v>7</v>
      </c>
      <c r="J201" s="147">
        <v>8</v>
      </c>
      <c r="K201" s="147">
        <v>9</v>
      </c>
      <c r="L201" s="147">
        <v>10</v>
      </c>
      <c r="M201" s="147">
        <v>11</v>
      </c>
      <c r="N201" s="147">
        <v>12</v>
      </c>
      <c r="O201" s="147">
        <v>13</v>
      </c>
      <c r="P201" s="147">
        <v>14</v>
      </c>
      <c r="Q201" s="147">
        <v>15</v>
      </c>
      <c r="R201" s="147">
        <v>16</v>
      </c>
      <c r="S201" s="147">
        <v>17</v>
      </c>
      <c r="T201" s="147">
        <v>18</v>
      </c>
      <c r="U201" s="147">
        <v>19</v>
      </c>
      <c r="V201" s="147">
        <v>20</v>
      </c>
      <c r="W201" s="136">
        <v>21</v>
      </c>
      <c r="X201" s="147">
        <v>22</v>
      </c>
      <c r="Y201" s="147">
        <v>23</v>
      </c>
      <c r="Z201" s="147">
        <v>24</v>
      </c>
      <c r="AA201" s="147">
        <v>25</v>
      </c>
      <c r="AB201" s="147">
        <v>26</v>
      </c>
      <c r="AC201" s="147">
        <v>27</v>
      </c>
      <c r="AD201" s="147">
        <v>28</v>
      </c>
      <c r="AE201" s="147">
        <v>29</v>
      </c>
      <c r="AF201" s="147">
        <v>30</v>
      </c>
      <c r="AG201" s="147">
        <v>31</v>
      </c>
      <c r="AH201" s="149" t="s">
        <v>50</v>
      </c>
    </row>
    <row r="202" spans="1:34" ht="13.8">
      <c r="A202" s="159" t="s">
        <v>73</v>
      </c>
      <c r="B202" s="130">
        <f t="shared" ref="B202:B213" si="26">+AH202</f>
        <v>0</v>
      </c>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c r="AH202" s="151">
        <f>SUM(C202:AG202)</f>
        <v>0</v>
      </c>
    </row>
    <row r="203" spans="1:34" ht="13.8">
      <c r="A203" s="159" t="s">
        <v>74</v>
      </c>
      <c r="B203" s="130">
        <f t="shared" si="26"/>
        <v>0</v>
      </c>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c r="AH203" s="151">
        <f>SUM(C203:AG203)</f>
        <v>0</v>
      </c>
    </row>
    <row r="204" spans="1:34" ht="13.8">
      <c r="A204" s="159" t="s">
        <v>75</v>
      </c>
      <c r="B204" s="130">
        <f t="shared" si="26"/>
        <v>0</v>
      </c>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c r="AH204" s="151">
        <f>SUM(C204:AG204)</f>
        <v>0</v>
      </c>
    </row>
    <row r="205" spans="1:34" ht="13.8">
      <c r="A205" s="159" t="s">
        <v>76</v>
      </c>
      <c r="B205" s="130">
        <f t="shared" si="26"/>
        <v>0</v>
      </c>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c r="AA205" s="228"/>
      <c r="AB205" s="228"/>
      <c r="AC205" s="228"/>
      <c r="AD205" s="228"/>
      <c r="AE205" s="228"/>
      <c r="AF205" s="228"/>
      <c r="AG205" s="153"/>
      <c r="AH205" s="151">
        <f>SUM(C205:AG205)</f>
        <v>0</v>
      </c>
    </row>
    <row r="206" spans="1:34" ht="13.8">
      <c r="A206" s="159" t="s">
        <v>77</v>
      </c>
      <c r="B206" s="130">
        <f t="shared" si="26"/>
        <v>0</v>
      </c>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c r="AA206" s="228"/>
      <c r="AB206" s="228"/>
      <c r="AC206" s="228"/>
      <c r="AD206" s="228"/>
      <c r="AE206" s="228"/>
      <c r="AF206" s="228"/>
      <c r="AG206" s="228"/>
      <c r="AH206" s="151">
        <f t="shared" ref="AH206:AH213" si="27">SUM(C206:AG206)</f>
        <v>0</v>
      </c>
    </row>
    <row r="207" spans="1:34" ht="13.8">
      <c r="A207" s="159" t="s">
        <v>78</v>
      </c>
      <c r="B207" s="130">
        <f t="shared" si="26"/>
        <v>0</v>
      </c>
      <c r="C207" s="152"/>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c r="AA207" s="153"/>
      <c r="AB207" s="153"/>
      <c r="AC207" s="153"/>
      <c r="AD207" s="153"/>
      <c r="AE207" s="153"/>
      <c r="AF207" s="153"/>
      <c r="AG207" s="153"/>
      <c r="AH207" s="151">
        <f t="shared" si="27"/>
        <v>0</v>
      </c>
    </row>
    <row r="208" spans="1:34" ht="13.8">
      <c r="A208" s="159" t="s">
        <v>79</v>
      </c>
      <c r="B208" s="130">
        <f t="shared" si="26"/>
        <v>0</v>
      </c>
      <c r="C208" s="152"/>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c r="AA208" s="153"/>
      <c r="AB208" s="153"/>
      <c r="AC208" s="153"/>
      <c r="AD208" s="153"/>
      <c r="AE208" s="153"/>
      <c r="AF208" s="153"/>
      <c r="AG208" s="153"/>
      <c r="AH208" s="151">
        <f t="shared" si="27"/>
        <v>0</v>
      </c>
    </row>
    <row r="209" spans="1:34" ht="13.8">
      <c r="A209" s="159" t="s">
        <v>80</v>
      </c>
      <c r="B209" s="130">
        <f t="shared" si="26"/>
        <v>0</v>
      </c>
      <c r="C209" s="152"/>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c r="AA209" s="153"/>
      <c r="AB209" s="153"/>
      <c r="AC209" s="153"/>
      <c r="AD209" s="153"/>
      <c r="AE209" s="153"/>
      <c r="AF209" s="153"/>
      <c r="AG209" s="153"/>
      <c r="AH209" s="151">
        <f t="shared" si="27"/>
        <v>0</v>
      </c>
    </row>
    <row r="210" spans="1:34" ht="13.8">
      <c r="A210" s="159" t="s">
        <v>81</v>
      </c>
      <c r="B210" s="130">
        <f t="shared" si="26"/>
        <v>0</v>
      </c>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153"/>
      <c r="AH210" s="151">
        <f t="shared" si="27"/>
        <v>0</v>
      </c>
    </row>
    <row r="211" spans="1:34" ht="13.8">
      <c r="A211" s="159" t="s">
        <v>82</v>
      </c>
      <c r="B211" s="130">
        <f t="shared" si="26"/>
        <v>0</v>
      </c>
      <c r="C211" s="152"/>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c r="AA211" s="153"/>
      <c r="AB211" s="153"/>
      <c r="AC211" s="153"/>
      <c r="AD211" s="153"/>
      <c r="AE211" s="153"/>
      <c r="AF211" s="153"/>
      <c r="AG211" s="153"/>
      <c r="AH211" s="151">
        <f t="shared" si="27"/>
        <v>0</v>
      </c>
    </row>
    <row r="212" spans="1:34" ht="13.8">
      <c r="A212" s="147" t="s">
        <v>83</v>
      </c>
      <c r="B212" s="130">
        <f t="shared" si="26"/>
        <v>0</v>
      </c>
      <c r="C212" s="152"/>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c r="AA212" s="153"/>
      <c r="AB212" s="153"/>
      <c r="AC212" s="153"/>
      <c r="AD212" s="153"/>
      <c r="AE212" s="153"/>
      <c r="AF212" s="153"/>
      <c r="AG212" s="153"/>
      <c r="AH212" s="151">
        <f t="shared" si="27"/>
        <v>0</v>
      </c>
    </row>
    <row r="213" spans="1:34" ht="13.8">
      <c r="A213" s="147" t="s">
        <v>84</v>
      </c>
      <c r="B213" s="130">
        <f t="shared" si="26"/>
        <v>0</v>
      </c>
      <c r="C213" s="152"/>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c r="AA213" s="153"/>
      <c r="AB213" s="153"/>
      <c r="AC213" s="153"/>
      <c r="AD213" s="153"/>
      <c r="AE213" s="153"/>
      <c r="AF213" s="153"/>
      <c r="AG213" s="153"/>
      <c r="AH213" s="151">
        <f t="shared" si="27"/>
        <v>0</v>
      </c>
    </row>
    <row r="214" spans="1:34" ht="13.8">
      <c r="A214" s="154" t="s">
        <v>50</v>
      </c>
      <c r="B214" s="154">
        <f>SUM(B202:B213)</f>
        <v>0</v>
      </c>
      <c r="C214" s="155"/>
      <c r="D214" s="155"/>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c r="AA214" s="155"/>
      <c r="AB214" s="155"/>
      <c r="AC214" s="155"/>
      <c r="AD214" s="155"/>
      <c r="AE214" s="155"/>
      <c r="AF214" s="155"/>
      <c r="AG214" s="155"/>
      <c r="AH214" s="156"/>
    </row>
    <row r="215" spans="1:34" ht="13.8" thickBot="1">
      <c r="F215" s="85"/>
    </row>
    <row r="216" spans="1:34" ht="14.4" thickBot="1">
      <c r="A216" s="3882" t="s">
        <v>114</v>
      </c>
      <c r="B216" s="3883"/>
      <c r="C216" s="3883"/>
      <c r="D216" s="199" t="s">
        <v>14</v>
      </c>
      <c r="E216" s="201"/>
      <c r="F216" s="200"/>
      <c r="G216" s="620" t="s">
        <v>351</v>
      </c>
      <c r="H216" s="620"/>
    </row>
    <row r="217" spans="1:34" ht="13.8">
      <c r="A217" s="146" t="s">
        <v>70</v>
      </c>
      <c r="B217" s="146" t="s">
        <v>71</v>
      </c>
      <c r="C217" s="1267">
        <v>1</v>
      </c>
      <c r="D217" s="198">
        <v>2</v>
      </c>
      <c r="E217" s="198">
        <v>3</v>
      </c>
      <c r="F217" s="198">
        <v>4</v>
      </c>
      <c r="G217" s="147">
        <v>5</v>
      </c>
      <c r="H217" s="147">
        <v>6</v>
      </c>
      <c r="I217" s="147">
        <v>7</v>
      </c>
      <c r="J217" s="147">
        <v>8</v>
      </c>
      <c r="K217" s="147">
        <v>9</v>
      </c>
      <c r="L217" s="147">
        <v>10</v>
      </c>
      <c r="M217" s="147">
        <v>11</v>
      </c>
      <c r="N217" s="147">
        <v>12</v>
      </c>
      <c r="O217" s="147">
        <v>13</v>
      </c>
      <c r="P217" s="147">
        <v>14</v>
      </c>
      <c r="Q217" s="147">
        <v>15</v>
      </c>
      <c r="R217" s="147">
        <v>16</v>
      </c>
      <c r="S217" s="147">
        <v>17</v>
      </c>
      <c r="T217" s="147">
        <v>18</v>
      </c>
      <c r="U217" s="147">
        <v>19</v>
      </c>
      <c r="V217" s="147">
        <v>20</v>
      </c>
      <c r="W217" s="136">
        <v>21</v>
      </c>
      <c r="X217" s="147">
        <v>22</v>
      </c>
      <c r="Y217" s="147">
        <v>23</v>
      </c>
      <c r="Z217" s="147">
        <v>24</v>
      </c>
      <c r="AA217" s="147">
        <v>25</v>
      </c>
      <c r="AB217" s="147">
        <v>26</v>
      </c>
      <c r="AC217" s="147">
        <v>27</v>
      </c>
      <c r="AD217" s="147">
        <v>28</v>
      </c>
      <c r="AE217" s="147">
        <v>29</v>
      </c>
      <c r="AF217" s="147">
        <v>30</v>
      </c>
      <c r="AG217" s="147">
        <v>31</v>
      </c>
      <c r="AH217" s="149" t="s">
        <v>50</v>
      </c>
    </row>
    <row r="218" spans="1:34" ht="13.8">
      <c r="A218" s="159" t="s">
        <v>73</v>
      </c>
      <c r="B218" s="130">
        <f t="shared" ref="B218:B229" si="28">+AH218</f>
        <v>0</v>
      </c>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c r="AH218" s="151">
        <f>SUM(C218:AG218)</f>
        <v>0</v>
      </c>
    </row>
    <row r="219" spans="1:34" ht="13.8">
      <c r="A219" s="159" t="s">
        <v>74</v>
      </c>
      <c r="B219" s="130">
        <f t="shared" si="28"/>
        <v>0</v>
      </c>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c r="AH219" s="151">
        <f>SUM(C219:AG219)</f>
        <v>0</v>
      </c>
    </row>
    <row r="220" spans="1:34" ht="13.8">
      <c r="A220" s="159" t="s">
        <v>75</v>
      </c>
      <c r="B220" s="130">
        <f t="shared" si="28"/>
        <v>0</v>
      </c>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c r="AH220" s="151">
        <f>SUM(C220:AG220)</f>
        <v>0</v>
      </c>
    </row>
    <row r="221" spans="1:34" ht="13.8">
      <c r="A221" s="159" t="s">
        <v>76</v>
      </c>
      <c r="B221" s="130">
        <f t="shared" si="28"/>
        <v>0</v>
      </c>
      <c r="C221" s="152"/>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153"/>
      <c r="AB221" s="153"/>
      <c r="AC221" s="153"/>
      <c r="AD221" s="153"/>
      <c r="AE221" s="153"/>
      <c r="AF221" s="153"/>
      <c r="AG221" s="153"/>
      <c r="AH221" s="151">
        <f>SUM(C221:AG221)</f>
        <v>0</v>
      </c>
    </row>
    <row r="222" spans="1:34" ht="13.8">
      <c r="A222" s="159" t="s">
        <v>77</v>
      </c>
      <c r="B222" s="130">
        <f t="shared" si="28"/>
        <v>0</v>
      </c>
      <c r="C222" s="152"/>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c r="AA222" s="153"/>
      <c r="AB222" s="153"/>
      <c r="AC222" s="153"/>
      <c r="AD222" s="153"/>
      <c r="AE222" s="153"/>
      <c r="AF222" s="153"/>
      <c r="AG222" s="153"/>
      <c r="AH222" s="151"/>
    </row>
    <row r="223" spans="1:34" ht="13.8">
      <c r="A223" s="159" t="s">
        <v>78</v>
      </c>
      <c r="B223" s="130">
        <f t="shared" si="28"/>
        <v>0</v>
      </c>
      <c r="C223" s="152"/>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c r="AA223" s="153"/>
      <c r="AB223" s="153"/>
      <c r="AC223" s="153"/>
      <c r="AD223" s="153"/>
      <c r="AE223" s="153"/>
      <c r="AF223" s="153"/>
      <c r="AG223" s="153"/>
      <c r="AH223" s="151"/>
    </row>
    <row r="224" spans="1:34" ht="13.8">
      <c r="A224" s="159" t="s">
        <v>79</v>
      </c>
      <c r="B224" s="130">
        <f t="shared" si="28"/>
        <v>0</v>
      </c>
      <c r="C224" s="152"/>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c r="AA224" s="153"/>
      <c r="AB224" s="153"/>
      <c r="AC224" s="153"/>
      <c r="AD224" s="153"/>
      <c r="AE224" s="153"/>
      <c r="AF224" s="153"/>
      <c r="AG224" s="153"/>
      <c r="AH224" s="151"/>
    </row>
    <row r="225" spans="1:34" ht="13.8">
      <c r="A225" s="159" t="s">
        <v>80</v>
      </c>
      <c r="B225" s="130">
        <f t="shared" si="28"/>
        <v>0</v>
      </c>
      <c r="C225" s="152"/>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c r="AA225" s="153"/>
      <c r="AB225" s="153"/>
      <c r="AC225" s="153"/>
      <c r="AD225" s="153"/>
      <c r="AE225" s="153"/>
      <c r="AF225" s="153"/>
      <c r="AG225" s="153"/>
      <c r="AH225" s="151"/>
    </row>
    <row r="226" spans="1:34" ht="13.8">
      <c r="A226" s="159" t="s">
        <v>81</v>
      </c>
      <c r="B226" s="130">
        <f t="shared" si="28"/>
        <v>0</v>
      </c>
      <c r="C226" s="152"/>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1"/>
    </row>
    <row r="227" spans="1:34" ht="13.8">
      <c r="A227" s="159" t="s">
        <v>82</v>
      </c>
      <c r="B227" s="130">
        <f t="shared" si="28"/>
        <v>0</v>
      </c>
      <c r="C227" s="152"/>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c r="AB227" s="153"/>
      <c r="AC227" s="153"/>
      <c r="AD227" s="153"/>
      <c r="AE227" s="153"/>
      <c r="AF227" s="153"/>
      <c r="AG227" s="153"/>
      <c r="AH227" s="151"/>
    </row>
    <row r="228" spans="1:34" ht="13.8">
      <c r="A228" s="147" t="s">
        <v>83</v>
      </c>
      <c r="B228" s="130">
        <f t="shared" si="28"/>
        <v>0</v>
      </c>
      <c r="C228" s="152"/>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c r="AA228" s="153"/>
      <c r="AB228" s="153"/>
      <c r="AC228" s="153"/>
      <c r="AD228" s="153"/>
      <c r="AE228" s="153"/>
      <c r="AF228" s="153"/>
      <c r="AG228" s="153"/>
      <c r="AH228" s="151"/>
    </row>
    <row r="229" spans="1:34" ht="13.8">
      <c r="A229" s="147" t="s">
        <v>84</v>
      </c>
      <c r="B229" s="130">
        <f t="shared" si="28"/>
        <v>0</v>
      </c>
      <c r="C229" s="152"/>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c r="AA229" s="153"/>
      <c r="AB229" s="153"/>
      <c r="AC229" s="153"/>
      <c r="AD229" s="153"/>
      <c r="AE229" s="153"/>
      <c r="AF229" s="153"/>
      <c r="AG229" s="153"/>
      <c r="AH229" s="151"/>
    </row>
    <row r="230" spans="1:34" ht="13.8">
      <c r="A230" s="154" t="s">
        <v>50</v>
      </c>
      <c r="B230" s="154">
        <f>SUM(B218:B229)</f>
        <v>0</v>
      </c>
      <c r="C230" s="155"/>
      <c r="D230" s="155"/>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c r="AA230" s="155"/>
      <c r="AB230" s="155"/>
      <c r="AC230" s="155"/>
      <c r="AD230" s="155"/>
      <c r="AE230" s="155"/>
      <c r="AF230" s="155"/>
      <c r="AG230" s="155"/>
      <c r="AH230" s="156"/>
    </row>
    <row r="231" spans="1:34" ht="14.4" thickBot="1">
      <c r="A231" s="661"/>
      <c r="B231" s="661"/>
      <c r="C231" s="662"/>
      <c r="D231" s="662"/>
      <c r="E231" s="662"/>
      <c r="F231" s="606"/>
      <c r="G231" s="606"/>
      <c r="H231" s="606"/>
      <c r="I231" s="606"/>
      <c r="J231" s="606"/>
      <c r="K231" s="606"/>
      <c r="L231" s="606"/>
      <c r="M231" s="606"/>
      <c r="N231" s="606"/>
      <c r="O231" s="606"/>
      <c r="P231" s="606"/>
      <c r="Q231" s="606"/>
      <c r="R231" s="606"/>
      <c r="S231" s="606"/>
      <c r="T231" s="606"/>
      <c r="U231" s="606"/>
      <c r="V231" s="606"/>
      <c r="W231" s="606"/>
      <c r="X231" s="606"/>
      <c r="Y231" s="606"/>
      <c r="Z231" s="606"/>
      <c r="AA231" s="606"/>
      <c r="AB231" s="606"/>
      <c r="AC231" s="606"/>
      <c r="AD231" s="606"/>
      <c r="AE231" s="606"/>
      <c r="AF231" s="606"/>
      <c r="AG231" s="606"/>
      <c r="AH231" s="660"/>
    </row>
    <row r="232" spans="1:34" ht="14.4" thickBot="1">
      <c r="A232" s="3959" t="s">
        <v>341</v>
      </c>
      <c r="B232" s="3960"/>
      <c r="C232" s="3960"/>
      <c r="D232" s="199" t="s">
        <v>361</v>
      </c>
      <c r="E232" s="201"/>
      <c r="F232" s="200"/>
      <c r="G232" s="729"/>
      <c r="H232" s="730"/>
    </row>
    <row r="233" spans="1:34" ht="13.8">
      <c r="A233" s="567" t="s">
        <v>70</v>
      </c>
      <c r="B233" s="567" t="s">
        <v>71</v>
      </c>
      <c r="C233" s="198">
        <v>1</v>
      </c>
      <c r="D233" s="198">
        <v>2</v>
      </c>
      <c r="E233" s="198">
        <v>3</v>
      </c>
      <c r="F233" s="198">
        <v>4</v>
      </c>
      <c r="G233" s="198">
        <v>5</v>
      </c>
      <c r="H233" s="198">
        <v>6</v>
      </c>
      <c r="I233" s="147">
        <v>7</v>
      </c>
      <c r="J233" s="147">
        <v>8</v>
      </c>
      <c r="K233" s="147">
        <v>9</v>
      </c>
      <c r="L233" s="147">
        <v>10</v>
      </c>
      <c r="M233" s="147">
        <v>11</v>
      </c>
      <c r="N233" s="147">
        <v>12</v>
      </c>
      <c r="O233" s="147">
        <v>13</v>
      </c>
      <c r="P233" s="147">
        <v>14</v>
      </c>
      <c r="Q233" s="147">
        <v>15</v>
      </c>
      <c r="R233" s="147">
        <v>16</v>
      </c>
      <c r="S233" s="147">
        <v>17</v>
      </c>
      <c r="T233" s="147">
        <v>18</v>
      </c>
      <c r="U233" s="147">
        <v>19</v>
      </c>
      <c r="V233" s="147">
        <v>20</v>
      </c>
      <c r="W233" s="136">
        <v>21</v>
      </c>
      <c r="X233" s="147">
        <v>22</v>
      </c>
      <c r="Y233" s="147">
        <v>23</v>
      </c>
      <c r="Z233" s="147">
        <v>24</v>
      </c>
      <c r="AA233" s="147">
        <v>25</v>
      </c>
      <c r="AB233" s="147">
        <v>26</v>
      </c>
      <c r="AC233" s="147">
        <v>27</v>
      </c>
      <c r="AD233" s="147">
        <v>28</v>
      </c>
      <c r="AE233" s="147">
        <v>29</v>
      </c>
      <c r="AF233" s="147">
        <v>30</v>
      </c>
      <c r="AG233" s="147">
        <v>31</v>
      </c>
      <c r="AH233" s="149" t="s">
        <v>50</v>
      </c>
    </row>
    <row r="234" spans="1:34" ht="13.8">
      <c r="A234" s="159" t="s">
        <v>73</v>
      </c>
      <c r="B234" s="130">
        <f t="shared" ref="B234:B245" si="29">+AH234</f>
        <v>0</v>
      </c>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c r="AA234" s="150"/>
      <c r="AB234" s="150"/>
      <c r="AC234" s="150"/>
      <c r="AD234" s="150"/>
      <c r="AE234" s="150"/>
      <c r="AF234" s="150"/>
      <c r="AG234" s="150"/>
      <c r="AH234" s="151">
        <f>SUM(C234:AG234)</f>
        <v>0</v>
      </c>
    </row>
    <row r="235" spans="1:34" ht="13.8">
      <c r="A235" s="159" t="s">
        <v>74</v>
      </c>
      <c r="B235" s="130">
        <f t="shared" si="29"/>
        <v>0</v>
      </c>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c r="AA235" s="150"/>
      <c r="AB235" s="150"/>
      <c r="AC235" s="150"/>
      <c r="AD235" s="150"/>
      <c r="AE235" s="150"/>
      <c r="AF235" s="150"/>
      <c r="AG235" s="150"/>
      <c r="AH235" s="151">
        <f t="shared" ref="AH235:AH245" si="30">SUM(C235:AG235)</f>
        <v>0</v>
      </c>
    </row>
    <row r="236" spans="1:34" ht="13.8">
      <c r="A236" s="159" t="s">
        <v>75</v>
      </c>
      <c r="B236" s="130">
        <f t="shared" si="29"/>
        <v>0</v>
      </c>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c r="AA236" s="150"/>
      <c r="AB236" s="150"/>
      <c r="AC236" s="150"/>
      <c r="AD236" s="150"/>
      <c r="AE236" s="150"/>
      <c r="AF236" s="150"/>
      <c r="AG236" s="150"/>
      <c r="AH236" s="151">
        <f t="shared" si="30"/>
        <v>0</v>
      </c>
    </row>
    <row r="237" spans="1:34" ht="13.8">
      <c r="A237" s="159" t="s">
        <v>76</v>
      </c>
      <c r="B237" s="130">
        <f t="shared" si="29"/>
        <v>0</v>
      </c>
      <c r="C237" s="152"/>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c r="AA237" s="153"/>
      <c r="AB237" s="153"/>
      <c r="AC237" s="153"/>
      <c r="AD237" s="153"/>
      <c r="AE237" s="153"/>
      <c r="AF237" s="153"/>
      <c r="AG237" s="153"/>
      <c r="AH237" s="151">
        <f t="shared" si="30"/>
        <v>0</v>
      </c>
    </row>
    <row r="238" spans="1:34" ht="13.8">
      <c r="A238" s="159" t="s">
        <v>77</v>
      </c>
      <c r="B238" s="130">
        <f t="shared" si="29"/>
        <v>0</v>
      </c>
      <c r="C238" s="152"/>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c r="AA238" s="153"/>
      <c r="AB238" s="153"/>
      <c r="AC238" s="153"/>
      <c r="AD238" s="153"/>
      <c r="AE238" s="153"/>
      <c r="AF238" s="153"/>
      <c r="AG238" s="153"/>
      <c r="AH238" s="151">
        <f t="shared" si="30"/>
        <v>0</v>
      </c>
    </row>
    <row r="239" spans="1:34" ht="13.8">
      <c r="A239" s="159" t="s">
        <v>78</v>
      </c>
      <c r="B239" s="130">
        <f t="shared" si="29"/>
        <v>0</v>
      </c>
      <c r="C239" s="152"/>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c r="AA239" s="153"/>
      <c r="AB239" s="153"/>
      <c r="AC239" s="153"/>
      <c r="AD239" s="153"/>
      <c r="AE239" s="153"/>
      <c r="AF239" s="153"/>
      <c r="AG239" s="153"/>
      <c r="AH239" s="151">
        <f t="shared" si="30"/>
        <v>0</v>
      </c>
    </row>
    <row r="240" spans="1:34" ht="13.8">
      <c r="A240" s="159" t="s">
        <v>79</v>
      </c>
      <c r="B240" s="130">
        <f t="shared" si="29"/>
        <v>0</v>
      </c>
      <c r="C240" s="152"/>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c r="AA240" s="153"/>
      <c r="AB240" s="153"/>
      <c r="AC240" s="153"/>
      <c r="AD240" s="153"/>
      <c r="AE240" s="153"/>
      <c r="AF240" s="153"/>
      <c r="AG240" s="153"/>
      <c r="AH240" s="151">
        <f t="shared" si="30"/>
        <v>0</v>
      </c>
    </row>
    <row r="241" spans="1:34" ht="13.8">
      <c r="A241" s="159" t="s">
        <v>80</v>
      </c>
      <c r="B241" s="130">
        <f t="shared" si="29"/>
        <v>0</v>
      </c>
      <c r="C241" s="152"/>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c r="AA241" s="153"/>
      <c r="AB241" s="153"/>
      <c r="AC241" s="153"/>
      <c r="AD241" s="153"/>
      <c r="AE241" s="153"/>
      <c r="AF241" s="153"/>
      <c r="AG241" s="153"/>
      <c r="AH241" s="151">
        <f t="shared" si="30"/>
        <v>0</v>
      </c>
    </row>
    <row r="242" spans="1:34" ht="13.8">
      <c r="A242" s="159" t="s">
        <v>81</v>
      </c>
      <c r="B242" s="130">
        <f t="shared" si="29"/>
        <v>0</v>
      </c>
      <c r="C242" s="152"/>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c r="AA242" s="153"/>
      <c r="AB242" s="153"/>
      <c r="AC242" s="153"/>
      <c r="AD242" s="153"/>
      <c r="AE242" s="153"/>
      <c r="AF242" s="153"/>
      <c r="AG242" s="153"/>
      <c r="AH242" s="151">
        <f t="shared" si="30"/>
        <v>0</v>
      </c>
    </row>
    <row r="243" spans="1:34" ht="13.8">
      <c r="A243" s="159" t="s">
        <v>82</v>
      </c>
      <c r="B243" s="130">
        <f t="shared" si="29"/>
        <v>0</v>
      </c>
      <c r="C243" s="152"/>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c r="AA243" s="153"/>
      <c r="AB243" s="153"/>
      <c r="AC243" s="153"/>
      <c r="AD243" s="153"/>
      <c r="AE243" s="153"/>
      <c r="AF243" s="153"/>
      <c r="AG243" s="153"/>
      <c r="AH243" s="151">
        <f t="shared" si="30"/>
        <v>0</v>
      </c>
    </row>
    <row r="244" spans="1:34" ht="13.8">
      <c r="A244" s="147" t="s">
        <v>83</v>
      </c>
      <c r="B244" s="130">
        <f t="shared" si="29"/>
        <v>0</v>
      </c>
      <c r="C244" s="152"/>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c r="AA244" s="153"/>
      <c r="AB244" s="153"/>
      <c r="AC244" s="153"/>
      <c r="AD244" s="153"/>
      <c r="AE244" s="153"/>
      <c r="AF244" s="153"/>
      <c r="AG244" s="153"/>
      <c r="AH244" s="151">
        <f t="shared" si="30"/>
        <v>0</v>
      </c>
    </row>
    <row r="245" spans="1:34" ht="13.8">
      <c r="A245" s="147" t="s">
        <v>84</v>
      </c>
      <c r="B245" s="130">
        <f t="shared" si="29"/>
        <v>0</v>
      </c>
      <c r="C245" s="152"/>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c r="AA245" s="153"/>
      <c r="AB245" s="153"/>
      <c r="AC245" s="153"/>
      <c r="AD245" s="153"/>
      <c r="AE245" s="153"/>
      <c r="AF245" s="153"/>
      <c r="AG245" s="153"/>
      <c r="AH245" s="151">
        <f t="shared" si="30"/>
        <v>0</v>
      </c>
    </row>
    <row r="246" spans="1:34" ht="13.8">
      <c r="A246" s="154" t="s">
        <v>50</v>
      </c>
      <c r="B246" s="747">
        <f>SUM(B234:B245)</f>
        <v>0</v>
      </c>
      <c r="C246" s="155"/>
      <c r="D246" s="155"/>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c r="AA246" s="155"/>
      <c r="AB246" s="155"/>
      <c r="AC246" s="155"/>
      <c r="AD246" s="155"/>
      <c r="AE246" s="155"/>
      <c r="AF246" s="155"/>
      <c r="AG246" s="155"/>
      <c r="AH246" s="156"/>
    </row>
    <row r="247" spans="1:34" ht="14.4" thickBot="1">
      <c r="A247" s="661"/>
      <c r="B247" s="661"/>
      <c r="C247" s="606"/>
      <c r="D247" s="606"/>
      <c r="E247" s="606"/>
      <c r="F247" s="606"/>
      <c r="G247" s="606"/>
      <c r="H247" s="606"/>
      <c r="I247" s="606"/>
      <c r="J247" s="606"/>
      <c r="K247" s="606"/>
      <c r="L247" s="606"/>
      <c r="M247" s="606"/>
      <c r="N247" s="606"/>
      <c r="O247" s="606"/>
      <c r="P247" s="606"/>
      <c r="Q247" s="606"/>
      <c r="R247" s="606"/>
      <c r="S247" s="606"/>
      <c r="T247" s="606"/>
      <c r="U247" s="606"/>
      <c r="V247" s="606"/>
      <c r="W247" s="606"/>
      <c r="X247" s="606"/>
      <c r="Y247" s="606"/>
      <c r="Z247" s="606"/>
      <c r="AA247" s="606"/>
      <c r="AB247" s="606"/>
      <c r="AC247" s="606"/>
      <c r="AD247" s="606"/>
      <c r="AE247" s="606"/>
      <c r="AF247" s="606"/>
      <c r="AG247" s="606"/>
      <c r="AH247" s="660"/>
    </row>
    <row r="248" spans="1:34" ht="14.4" thickBot="1">
      <c r="A248" s="3882" t="s">
        <v>341</v>
      </c>
      <c r="B248" s="3883"/>
      <c r="C248" s="3883"/>
      <c r="D248" s="199" t="s">
        <v>352</v>
      </c>
      <c r="E248" s="201"/>
      <c r="F248" s="200"/>
      <c r="G248" s="730"/>
    </row>
    <row r="249" spans="1:34" ht="13.8">
      <c r="A249" s="146" t="s">
        <v>70</v>
      </c>
      <c r="B249" s="146" t="s">
        <v>71</v>
      </c>
      <c r="C249" s="147">
        <v>1</v>
      </c>
      <c r="D249" s="198">
        <v>2</v>
      </c>
      <c r="E249" s="198">
        <v>3</v>
      </c>
      <c r="F249" s="198">
        <v>4</v>
      </c>
      <c r="G249" s="198">
        <v>5</v>
      </c>
      <c r="H249" s="147">
        <v>6</v>
      </c>
      <c r="I249" s="147">
        <v>7</v>
      </c>
      <c r="J249" s="147">
        <v>8</v>
      </c>
      <c r="K249" s="147">
        <v>9</v>
      </c>
      <c r="L249" s="147">
        <v>10</v>
      </c>
      <c r="M249" s="147">
        <v>11</v>
      </c>
      <c r="N249" s="147">
        <v>12</v>
      </c>
      <c r="O249" s="147">
        <v>13</v>
      </c>
      <c r="P249" s="147">
        <v>14</v>
      </c>
      <c r="Q249" s="147">
        <v>15</v>
      </c>
      <c r="R249" s="147">
        <v>16</v>
      </c>
      <c r="S249" s="147">
        <v>17</v>
      </c>
      <c r="T249" s="147">
        <v>18</v>
      </c>
      <c r="U249" s="147">
        <v>19</v>
      </c>
      <c r="V249" s="147">
        <v>20</v>
      </c>
      <c r="W249" s="136">
        <v>21</v>
      </c>
      <c r="X249" s="147">
        <v>22</v>
      </c>
      <c r="Y249" s="147">
        <v>23</v>
      </c>
      <c r="Z249" s="147">
        <v>24</v>
      </c>
      <c r="AA249" s="147">
        <v>25</v>
      </c>
      <c r="AB249" s="147">
        <v>26</v>
      </c>
      <c r="AC249" s="147">
        <v>27</v>
      </c>
      <c r="AD249" s="147">
        <v>28</v>
      </c>
      <c r="AE249" s="147">
        <v>29</v>
      </c>
      <c r="AF249" s="147">
        <v>30</v>
      </c>
      <c r="AG249" s="147">
        <v>31</v>
      </c>
      <c r="AH249" s="149" t="s">
        <v>50</v>
      </c>
    </row>
    <row r="250" spans="1:34" ht="13.8">
      <c r="A250" s="159" t="s">
        <v>73</v>
      </c>
      <c r="B250" s="130">
        <f t="shared" ref="B250:B261" si="31">+AH250</f>
        <v>0</v>
      </c>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c r="AA250" s="150"/>
      <c r="AB250" s="150"/>
      <c r="AC250" s="150"/>
      <c r="AD250" s="150"/>
      <c r="AE250" s="150"/>
      <c r="AF250" s="150"/>
      <c r="AG250" s="150"/>
      <c r="AH250" s="151">
        <f>SUM(C250:AG250)</f>
        <v>0</v>
      </c>
    </row>
    <row r="251" spans="1:34" ht="13.8">
      <c r="A251" s="159" t="s">
        <v>74</v>
      </c>
      <c r="B251" s="130">
        <f t="shared" si="31"/>
        <v>0</v>
      </c>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c r="AA251" s="150"/>
      <c r="AB251" s="150"/>
      <c r="AC251" s="150"/>
      <c r="AD251" s="150"/>
      <c r="AE251" s="150"/>
      <c r="AF251" s="150"/>
      <c r="AG251" s="150"/>
      <c r="AH251" s="151">
        <f>SUM(C251:AG251)</f>
        <v>0</v>
      </c>
    </row>
    <row r="252" spans="1:34" ht="13.8">
      <c r="A252" s="159" t="s">
        <v>75</v>
      </c>
      <c r="B252" s="130">
        <f t="shared" si="31"/>
        <v>0</v>
      </c>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c r="AA252" s="150"/>
      <c r="AB252" s="150"/>
      <c r="AC252" s="150"/>
      <c r="AD252" s="150"/>
      <c r="AE252" s="150"/>
      <c r="AF252" s="150"/>
      <c r="AG252" s="150"/>
      <c r="AH252" s="151">
        <f>SUM(C252:AG252)</f>
        <v>0</v>
      </c>
    </row>
    <row r="253" spans="1:34" ht="13.8">
      <c r="A253" s="159" t="s">
        <v>76</v>
      </c>
      <c r="B253" s="130">
        <f t="shared" si="31"/>
        <v>0</v>
      </c>
      <c r="C253" s="152"/>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c r="AA253" s="153"/>
      <c r="AB253" s="153"/>
      <c r="AC253" s="153"/>
      <c r="AD253" s="153"/>
      <c r="AE253" s="153"/>
      <c r="AF253" s="153"/>
      <c r="AG253" s="153"/>
      <c r="AH253" s="151">
        <f>SUM(C253:AG253)</f>
        <v>0</v>
      </c>
    </row>
    <row r="254" spans="1:34" ht="13.8">
      <c r="A254" s="159" t="s">
        <v>77</v>
      </c>
      <c r="B254" s="130">
        <f t="shared" si="31"/>
        <v>0</v>
      </c>
      <c r="C254" s="152"/>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c r="AA254" s="153"/>
      <c r="AB254" s="153"/>
      <c r="AC254" s="153"/>
      <c r="AD254" s="153"/>
      <c r="AE254" s="153"/>
      <c r="AF254" s="153"/>
      <c r="AG254" s="153"/>
      <c r="AH254" s="151">
        <f t="shared" ref="AH254:AH261" si="32">SUM(C254:AG254)</f>
        <v>0</v>
      </c>
    </row>
    <row r="255" spans="1:34" ht="13.8">
      <c r="A255" s="159" t="s">
        <v>78</v>
      </c>
      <c r="B255" s="130">
        <f t="shared" si="31"/>
        <v>0</v>
      </c>
      <c r="C255" s="152"/>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c r="AA255" s="153"/>
      <c r="AB255" s="153"/>
      <c r="AC255" s="153"/>
      <c r="AD255" s="153"/>
      <c r="AE255" s="153"/>
      <c r="AF255" s="153"/>
      <c r="AG255" s="153"/>
      <c r="AH255" s="151">
        <f t="shared" si="32"/>
        <v>0</v>
      </c>
    </row>
    <row r="256" spans="1:34" ht="13.8">
      <c r="A256" s="159" t="s">
        <v>79</v>
      </c>
      <c r="B256" s="130">
        <f t="shared" si="31"/>
        <v>0</v>
      </c>
      <c r="C256" s="152"/>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c r="AA256" s="153"/>
      <c r="AB256" s="153"/>
      <c r="AC256" s="153"/>
      <c r="AD256" s="153"/>
      <c r="AE256" s="153"/>
      <c r="AF256" s="153"/>
      <c r="AG256" s="153"/>
      <c r="AH256" s="151">
        <f t="shared" si="32"/>
        <v>0</v>
      </c>
    </row>
    <row r="257" spans="1:34" ht="13.8">
      <c r="A257" s="159" t="s">
        <v>80</v>
      </c>
      <c r="B257" s="130">
        <f t="shared" si="31"/>
        <v>0</v>
      </c>
      <c r="C257" s="152"/>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c r="AA257" s="153"/>
      <c r="AB257" s="153"/>
      <c r="AC257" s="153"/>
      <c r="AD257" s="153"/>
      <c r="AE257" s="153"/>
      <c r="AF257" s="153"/>
      <c r="AG257" s="153"/>
      <c r="AH257" s="151">
        <f t="shared" si="32"/>
        <v>0</v>
      </c>
    </row>
    <row r="258" spans="1:34" ht="13.8">
      <c r="A258" s="159" t="s">
        <v>81</v>
      </c>
      <c r="B258" s="130">
        <f t="shared" si="31"/>
        <v>0</v>
      </c>
      <c r="C258" s="152"/>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c r="AA258" s="153"/>
      <c r="AB258" s="153"/>
      <c r="AC258" s="153"/>
      <c r="AD258" s="153"/>
      <c r="AE258" s="153"/>
      <c r="AF258" s="153"/>
      <c r="AG258" s="153"/>
      <c r="AH258" s="151">
        <f t="shared" si="32"/>
        <v>0</v>
      </c>
    </row>
    <row r="259" spans="1:34" ht="13.8">
      <c r="A259" s="159" t="s">
        <v>82</v>
      </c>
      <c r="B259" s="130">
        <f t="shared" si="31"/>
        <v>0</v>
      </c>
      <c r="C259" s="152"/>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c r="AA259" s="153"/>
      <c r="AB259" s="153"/>
      <c r="AC259" s="153"/>
      <c r="AD259" s="153"/>
      <c r="AE259" s="153"/>
      <c r="AF259" s="153"/>
      <c r="AG259" s="153"/>
      <c r="AH259" s="151">
        <f t="shared" si="32"/>
        <v>0</v>
      </c>
    </row>
    <row r="260" spans="1:34" ht="13.8">
      <c r="A260" s="147" t="s">
        <v>83</v>
      </c>
      <c r="B260" s="130">
        <f t="shared" si="31"/>
        <v>0</v>
      </c>
      <c r="C260" s="152"/>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c r="AA260" s="153"/>
      <c r="AB260" s="153"/>
      <c r="AC260" s="153"/>
      <c r="AD260" s="153"/>
      <c r="AE260" s="153"/>
      <c r="AF260" s="153"/>
      <c r="AG260" s="153"/>
      <c r="AH260" s="151">
        <f t="shared" si="32"/>
        <v>0</v>
      </c>
    </row>
    <row r="261" spans="1:34" ht="13.8">
      <c r="A261" s="147" t="s">
        <v>84</v>
      </c>
      <c r="B261" s="130">
        <f t="shared" si="31"/>
        <v>0</v>
      </c>
      <c r="C261" s="152"/>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c r="AA261" s="153"/>
      <c r="AB261" s="153"/>
      <c r="AC261" s="153"/>
      <c r="AD261" s="153"/>
      <c r="AE261" s="153"/>
      <c r="AF261" s="153"/>
      <c r="AG261" s="153"/>
      <c r="AH261" s="151">
        <f t="shared" si="32"/>
        <v>0</v>
      </c>
    </row>
    <row r="262" spans="1:34" ht="13.8">
      <c r="A262" s="154" t="s">
        <v>50</v>
      </c>
      <c r="B262" s="154">
        <f>SUM(B250:B261)</f>
        <v>0</v>
      </c>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c r="AA262" s="155"/>
      <c r="AB262" s="155"/>
      <c r="AC262" s="155"/>
      <c r="AD262" s="155"/>
      <c r="AE262" s="155"/>
      <c r="AF262" s="155"/>
      <c r="AG262" s="155"/>
      <c r="AH262" s="156">
        <f>SUM(AH250:AH261)</f>
        <v>0</v>
      </c>
    </row>
    <row r="263" spans="1:34" ht="14.4" thickBot="1">
      <c r="A263" s="661"/>
      <c r="B263" s="661"/>
      <c r="C263" s="662"/>
      <c r="D263" s="606"/>
      <c r="E263" s="606"/>
      <c r="F263" s="606"/>
      <c r="G263" s="606"/>
      <c r="H263" s="606"/>
      <c r="I263" s="606"/>
      <c r="J263" s="606"/>
      <c r="K263" s="606"/>
      <c r="L263" s="606"/>
      <c r="M263" s="606"/>
      <c r="N263" s="606"/>
      <c r="O263" s="606"/>
      <c r="P263" s="606"/>
      <c r="Q263" s="606"/>
      <c r="R263" s="606"/>
      <c r="S263" s="606"/>
      <c r="T263" s="606"/>
      <c r="U263" s="606"/>
      <c r="V263" s="606"/>
      <c r="W263" s="606"/>
      <c r="X263" s="606"/>
      <c r="Y263" s="606"/>
      <c r="Z263" s="606"/>
      <c r="AA263" s="606"/>
      <c r="AB263" s="606"/>
      <c r="AC263" s="606"/>
      <c r="AD263" s="606"/>
      <c r="AE263" s="606"/>
      <c r="AF263" s="606"/>
      <c r="AG263" s="606"/>
      <c r="AH263" s="660"/>
    </row>
    <row r="264" spans="1:34" ht="14.4" thickBot="1">
      <c r="A264" s="3882" t="s">
        <v>341</v>
      </c>
      <c r="B264" s="3883"/>
      <c r="C264" s="3883"/>
      <c r="D264" s="199" t="s">
        <v>434</v>
      </c>
      <c r="E264" s="201"/>
      <c r="F264" s="200"/>
      <c r="G264" s="730"/>
    </row>
    <row r="265" spans="1:34" ht="13.8">
      <c r="A265" s="146" t="s">
        <v>70</v>
      </c>
      <c r="B265" s="146" t="s">
        <v>71</v>
      </c>
      <c r="C265" s="147">
        <v>1</v>
      </c>
      <c r="D265" s="198">
        <v>2</v>
      </c>
      <c r="E265" s="198">
        <v>3</v>
      </c>
      <c r="F265" s="198">
        <v>4</v>
      </c>
      <c r="G265" s="198">
        <v>5</v>
      </c>
      <c r="H265" s="147">
        <v>6</v>
      </c>
      <c r="I265" s="147">
        <v>7</v>
      </c>
      <c r="J265" s="147">
        <v>8</v>
      </c>
      <c r="K265" s="147">
        <v>9</v>
      </c>
      <c r="L265" s="147">
        <v>10</v>
      </c>
      <c r="M265" s="147">
        <v>11</v>
      </c>
      <c r="N265" s="147">
        <v>12</v>
      </c>
      <c r="O265" s="147">
        <v>13</v>
      </c>
      <c r="P265" s="147">
        <v>14</v>
      </c>
      <c r="Q265" s="147">
        <v>15</v>
      </c>
      <c r="R265" s="147">
        <v>16</v>
      </c>
      <c r="S265" s="147">
        <v>17</v>
      </c>
      <c r="T265" s="147">
        <v>18</v>
      </c>
      <c r="U265" s="147">
        <v>19</v>
      </c>
      <c r="V265" s="147">
        <v>20</v>
      </c>
      <c r="W265" s="136">
        <v>21</v>
      </c>
      <c r="X265" s="147">
        <v>22</v>
      </c>
      <c r="Y265" s="147">
        <v>23</v>
      </c>
      <c r="Z265" s="147">
        <v>24</v>
      </c>
      <c r="AA265" s="147">
        <v>25</v>
      </c>
      <c r="AB265" s="147">
        <v>26</v>
      </c>
      <c r="AC265" s="147">
        <v>27</v>
      </c>
      <c r="AD265" s="147">
        <v>28</v>
      </c>
      <c r="AE265" s="147">
        <v>29</v>
      </c>
      <c r="AF265" s="147">
        <v>30</v>
      </c>
      <c r="AG265" s="147">
        <v>31</v>
      </c>
      <c r="AH265" s="149" t="s">
        <v>50</v>
      </c>
    </row>
    <row r="266" spans="1:34" ht="13.8">
      <c r="A266" s="159" t="s">
        <v>73</v>
      </c>
      <c r="B266" s="130">
        <f t="shared" ref="B266:B277" si="33">+AH266</f>
        <v>0</v>
      </c>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c r="AA266" s="150"/>
      <c r="AB266" s="150"/>
      <c r="AC266" s="150"/>
      <c r="AD266" s="150"/>
      <c r="AE266" s="150"/>
      <c r="AF266" s="150"/>
      <c r="AG266" s="150"/>
      <c r="AH266" s="151">
        <f>SUM(C266:AG266)</f>
        <v>0</v>
      </c>
    </row>
    <row r="267" spans="1:34" ht="13.8">
      <c r="A267" s="159" t="s">
        <v>74</v>
      </c>
      <c r="B267" s="130">
        <f t="shared" si="33"/>
        <v>0</v>
      </c>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c r="AA267" s="150"/>
      <c r="AB267" s="150"/>
      <c r="AC267" s="150"/>
      <c r="AD267" s="150"/>
      <c r="AE267" s="150"/>
      <c r="AF267" s="150"/>
      <c r="AG267" s="150"/>
      <c r="AH267" s="151">
        <f>SUM(C267:AG267)</f>
        <v>0</v>
      </c>
    </row>
    <row r="268" spans="1:34" ht="13.8">
      <c r="A268" s="159" t="s">
        <v>75</v>
      </c>
      <c r="B268" s="130">
        <f t="shared" si="33"/>
        <v>0</v>
      </c>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c r="AA268" s="150"/>
      <c r="AB268" s="150"/>
      <c r="AC268" s="150"/>
      <c r="AD268" s="150"/>
      <c r="AE268" s="150"/>
      <c r="AF268" s="150"/>
      <c r="AG268" s="150"/>
      <c r="AH268" s="151">
        <f>SUM(C268:AG268)</f>
        <v>0</v>
      </c>
    </row>
    <row r="269" spans="1:34" ht="13.8">
      <c r="A269" s="159" t="s">
        <v>76</v>
      </c>
      <c r="B269" s="130">
        <f t="shared" si="33"/>
        <v>0</v>
      </c>
      <c r="C269" s="152"/>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c r="AA269" s="153"/>
      <c r="AB269" s="153"/>
      <c r="AC269" s="153"/>
      <c r="AD269" s="153"/>
      <c r="AE269" s="153"/>
      <c r="AF269" s="153"/>
      <c r="AG269" s="153"/>
      <c r="AH269" s="151">
        <f>SUM(C269:AG269)</f>
        <v>0</v>
      </c>
    </row>
    <row r="270" spans="1:34" ht="13.8">
      <c r="A270" s="159" t="s">
        <v>77</v>
      </c>
      <c r="B270" s="130">
        <f t="shared" si="33"/>
        <v>0</v>
      </c>
      <c r="C270" s="152"/>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c r="AA270" s="153"/>
      <c r="AB270" s="153"/>
      <c r="AC270" s="153"/>
      <c r="AD270" s="153"/>
      <c r="AE270" s="153"/>
      <c r="AF270" s="153"/>
      <c r="AG270" s="153"/>
      <c r="AH270" s="151">
        <f t="shared" ref="AH270:AH277" si="34">SUM(C270:AG270)</f>
        <v>0</v>
      </c>
    </row>
    <row r="271" spans="1:34" ht="13.8">
      <c r="A271" s="159" t="s">
        <v>78</v>
      </c>
      <c r="B271" s="130">
        <f t="shared" si="33"/>
        <v>0</v>
      </c>
      <c r="C271" s="152"/>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c r="AA271" s="153"/>
      <c r="AB271" s="153"/>
      <c r="AC271" s="153"/>
      <c r="AD271" s="153"/>
      <c r="AE271" s="153"/>
      <c r="AF271" s="153"/>
      <c r="AG271" s="153"/>
      <c r="AH271" s="151">
        <f t="shared" si="34"/>
        <v>0</v>
      </c>
    </row>
    <row r="272" spans="1:34" ht="13.8">
      <c r="A272" s="159" t="s">
        <v>79</v>
      </c>
      <c r="B272" s="130">
        <f t="shared" si="33"/>
        <v>0</v>
      </c>
      <c r="C272" s="152"/>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c r="AA272" s="153"/>
      <c r="AB272" s="153"/>
      <c r="AC272" s="153"/>
      <c r="AD272" s="153"/>
      <c r="AE272" s="153"/>
      <c r="AF272" s="153"/>
      <c r="AG272" s="153"/>
      <c r="AH272" s="151">
        <f t="shared" si="34"/>
        <v>0</v>
      </c>
    </row>
    <row r="273" spans="1:35" ht="13.8">
      <c r="A273" s="159" t="s">
        <v>80</v>
      </c>
      <c r="B273" s="130">
        <f t="shared" si="33"/>
        <v>0</v>
      </c>
      <c r="C273" s="152"/>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c r="AA273" s="153"/>
      <c r="AB273" s="153"/>
      <c r="AC273" s="153"/>
      <c r="AD273" s="153"/>
      <c r="AE273" s="153"/>
      <c r="AF273" s="153"/>
      <c r="AG273" s="153"/>
      <c r="AH273" s="151">
        <f t="shared" si="34"/>
        <v>0</v>
      </c>
    </row>
    <row r="274" spans="1:35" ht="13.8">
      <c r="A274" s="159" t="s">
        <v>81</v>
      </c>
      <c r="B274" s="130">
        <f t="shared" si="33"/>
        <v>0</v>
      </c>
      <c r="C274" s="152"/>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c r="AA274" s="153"/>
      <c r="AB274" s="153"/>
      <c r="AC274" s="153"/>
      <c r="AD274" s="153"/>
      <c r="AE274" s="153"/>
      <c r="AF274" s="153"/>
      <c r="AG274" s="153"/>
      <c r="AH274" s="151">
        <f t="shared" si="34"/>
        <v>0</v>
      </c>
    </row>
    <row r="275" spans="1:35" ht="13.8">
      <c r="A275" s="159" t="s">
        <v>82</v>
      </c>
      <c r="B275" s="130">
        <f t="shared" si="33"/>
        <v>0</v>
      </c>
      <c r="C275" s="152"/>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c r="AA275" s="153"/>
      <c r="AB275" s="153"/>
      <c r="AC275" s="153"/>
      <c r="AD275" s="153"/>
      <c r="AE275" s="153"/>
      <c r="AF275" s="153"/>
      <c r="AG275" s="153"/>
      <c r="AH275" s="151">
        <f t="shared" si="34"/>
        <v>0</v>
      </c>
    </row>
    <row r="276" spans="1:35" ht="13.8">
      <c r="A276" s="147" t="s">
        <v>83</v>
      </c>
      <c r="B276" s="130">
        <f t="shared" si="33"/>
        <v>0</v>
      </c>
      <c r="C276" s="152"/>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c r="AA276" s="153"/>
      <c r="AB276" s="153"/>
      <c r="AC276" s="153"/>
      <c r="AD276" s="153"/>
      <c r="AE276" s="153"/>
      <c r="AF276" s="153"/>
      <c r="AG276" s="153"/>
      <c r="AH276" s="151">
        <f t="shared" si="34"/>
        <v>0</v>
      </c>
    </row>
    <row r="277" spans="1:35" ht="13.8">
      <c r="A277" s="147" t="s">
        <v>84</v>
      </c>
      <c r="B277" s="130">
        <f t="shared" si="33"/>
        <v>0</v>
      </c>
      <c r="C277" s="152"/>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c r="AA277" s="153"/>
      <c r="AB277" s="153"/>
      <c r="AC277" s="153"/>
      <c r="AD277" s="153"/>
      <c r="AE277" s="153"/>
      <c r="AF277" s="153"/>
      <c r="AG277" s="153"/>
      <c r="AH277" s="151">
        <f t="shared" si="34"/>
        <v>0</v>
      </c>
    </row>
    <row r="278" spans="1:35" ht="13.8">
      <c r="A278" s="154" t="s">
        <v>50</v>
      </c>
      <c r="B278" s="154">
        <f>SUM(B266:B277)</f>
        <v>0</v>
      </c>
      <c r="C278" s="155"/>
      <c r="D278" s="155"/>
      <c r="E278" s="155"/>
      <c r="F278" s="155"/>
      <c r="G278" s="155"/>
      <c r="H278" s="155"/>
      <c r="I278" s="155"/>
      <c r="J278" s="155"/>
      <c r="K278" s="155"/>
      <c r="L278" s="155"/>
      <c r="M278" s="155"/>
      <c r="N278" s="155"/>
      <c r="O278" s="155"/>
      <c r="P278" s="155"/>
      <c r="Q278" s="155"/>
      <c r="R278" s="155"/>
      <c r="S278" s="155"/>
      <c r="T278" s="155"/>
      <c r="U278" s="155"/>
      <c r="V278" s="155"/>
      <c r="W278" s="155"/>
      <c r="X278" s="155"/>
      <c r="Y278" s="155"/>
      <c r="Z278" s="155"/>
      <c r="AA278" s="155"/>
      <c r="AB278" s="155"/>
      <c r="AC278" s="155"/>
      <c r="AD278" s="155"/>
      <c r="AE278" s="155"/>
      <c r="AF278" s="155"/>
      <c r="AG278" s="155"/>
      <c r="AH278" s="156">
        <f>SUM(AH266:AH277)</f>
        <v>0</v>
      </c>
      <c r="AI278" s="1340"/>
    </row>
    <row r="279" spans="1:35" s="1170" customFormat="1" ht="14.4" thickBot="1">
      <c r="A279" s="1171"/>
      <c r="B279" s="1171"/>
      <c r="C279" s="606"/>
      <c r="D279" s="606"/>
      <c r="E279" s="606"/>
      <c r="F279" s="606"/>
      <c r="G279" s="606"/>
      <c r="H279" s="606"/>
      <c r="I279" s="606"/>
      <c r="J279" s="606"/>
      <c r="K279" s="606"/>
      <c r="L279" s="606"/>
      <c r="M279" s="606"/>
      <c r="N279" s="606"/>
      <c r="O279" s="606"/>
      <c r="P279" s="606"/>
      <c r="Q279" s="606"/>
      <c r="R279" s="606"/>
      <c r="S279" s="606"/>
      <c r="T279" s="606"/>
      <c r="U279" s="606"/>
      <c r="V279" s="606"/>
      <c r="W279" s="606"/>
      <c r="X279" s="606"/>
      <c r="Y279" s="606"/>
      <c r="Z279" s="606"/>
      <c r="AA279" s="606"/>
      <c r="AB279" s="606"/>
      <c r="AC279" s="606"/>
      <c r="AD279" s="606"/>
      <c r="AE279" s="606"/>
      <c r="AF279" s="606"/>
      <c r="AG279" s="606"/>
      <c r="AH279" s="660"/>
    </row>
    <row r="280" spans="1:35" s="1170" customFormat="1" ht="14.4" thickBot="1">
      <c r="A280" s="3882" t="s">
        <v>341</v>
      </c>
      <c r="B280" s="3883"/>
      <c r="C280" s="3883"/>
      <c r="D280" s="199" t="s">
        <v>516</v>
      </c>
      <c r="E280" s="201"/>
      <c r="F280" s="200"/>
      <c r="G280" s="730"/>
    </row>
    <row r="281" spans="1:35" s="1170" customFormat="1" ht="13.8">
      <c r="A281" s="146" t="s">
        <v>70</v>
      </c>
      <c r="B281" s="146" t="s">
        <v>71</v>
      </c>
      <c r="C281" s="147">
        <v>1</v>
      </c>
      <c r="D281" s="198">
        <v>2</v>
      </c>
      <c r="E281" s="198">
        <v>3</v>
      </c>
      <c r="F281" s="198">
        <v>4</v>
      </c>
      <c r="G281" s="198">
        <v>5</v>
      </c>
      <c r="H281" s="147">
        <v>6</v>
      </c>
      <c r="I281" s="147">
        <v>7</v>
      </c>
      <c r="J281" s="147">
        <v>8</v>
      </c>
      <c r="K281" s="147">
        <v>9</v>
      </c>
      <c r="L281" s="147">
        <v>10</v>
      </c>
      <c r="M281" s="147">
        <v>11</v>
      </c>
      <c r="N281" s="147">
        <v>12</v>
      </c>
      <c r="O281" s="147">
        <v>13</v>
      </c>
      <c r="P281" s="147">
        <v>14</v>
      </c>
      <c r="Q281" s="147">
        <v>15</v>
      </c>
      <c r="R281" s="147">
        <v>16</v>
      </c>
      <c r="S281" s="147">
        <v>17</v>
      </c>
      <c r="T281" s="147">
        <v>18</v>
      </c>
      <c r="U281" s="147">
        <v>19</v>
      </c>
      <c r="V281" s="147">
        <v>20</v>
      </c>
      <c r="W281" s="136">
        <v>21</v>
      </c>
      <c r="X281" s="147">
        <v>22</v>
      </c>
      <c r="Y281" s="147">
        <v>23</v>
      </c>
      <c r="Z281" s="147">
        <v>24</v>
      </c>
      <c r="AA281" s="147">
        <v>25</v>
      </c>
      <c r="AB281" s="147">
        <v>26</v>
      </c>
      <c r="AC281" s="147">
        <v>27</v>
      </c>
      <c r="AD281" s="147">
        <v>28</v>
      </c>
      <c r="AE281" s="147">
        <v>29</v>
      </c>
      <c r="AF281" s="147">
        <v>30</v>
      </c>
      <c r="AG281" s="147">
        <v>31</v>
      </c>
      <c r="AH281" s="149" t="s">
        <v>50</v>
      </c>
    </row>
    <row r="282" spans="1:35" s="1170" customFormat="1" ht="13.8">
      <c r="A282" s="159" t="s">
        <v>73</v>
      </c>
      <c r="B282" s="130">
        <f t="shared" ref="B282:B293" si="35">+AH282</f>
        <v>0</v>
      </c>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c r="AB282" s="150"/>
      <c r="AC282" s="150"/>
      <c r="AD282" s="150"/>
      <c r="AE282" s="150"/>
      <c r="AF282" s="150"/>
      <c r="AG282" s="150"/>
      <c r="AH282" s="151">
        <f>SUM(C282:AG282)</f>
        <v>0</v>
      </c>
    </row>
    <row r="283" spans="1:35" s="1170" customFormat="1" ht="13.8">
      <c r="A283" s="159" t="s">
        <v>74</v>
      </c>
      <c r="B283" s="130">
        <f t="shared" si="35"/>
        <v>0</v>
      </c>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50"/>
      <c r="AE283" s="150"/>
      <c r="AF283" s="150"/>
      <c r="AG283" s="150"/>
      <c r="AH283" s="151">
        <f>SUM(C283:AG283)</f>
        <v>0</v>
      </c>
    </row>
    <row r="284" spans="1:35" s="1170" customFormat="1" ht="13.8">
      <c r="A284" s="159" t="s">
        <v>75</v>
      </c>
      <c r="B284" s="130">
        <f t="shared" si="35"/>
        <v>0</v>
      </c>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50"/>
      <c r="AE284" s="150"/>
      <c r="AF284" s="150"/>
      <c r="AG284" s="150"/>
      <c r="AH284" s="151">
        <f>SUM(C284:AG284)</f>
        <v>0</v>
      </c>
    </row>
    <row r="285" spans="1:35" s="1170" customFormat="1" ht="13.8">
      <c r="A285" s="159" t="s">
        <v>76</v>
      </c>
      <c r="B285" s="130">
        <f t="shared" si="35"/>
        <v>0</v>
      </c>
      <c r="C285" s="152"/>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c r="AA285" s="153"/>
      <c r="AB285" s="153"/>
      <c r="AC285" s="153"/>
      <c r="AD285" s="153"/>
      <c r="AE285" s="153"/>
      <c r="AF285" s="153"/>
      <c r="AG285" s="153"/>
      <c r="AH285" s="151">
        <f>SUM(C285:AG285)</f>
        <v>0</v>
      </c>
    </row>
    <row r="286" spans="1:35" s="1170" customFormat="1" ht="13.8">
      <c r="A286" s="159" t="s">
        <v>77</v>
      </c>
      <c r="B286" s="130">
        <f t="shared" si="35"/>
        <v>0</v>
      </c>
      <c r="C286" s="152"/>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c r="AA286" s="153"/>
      <c r="AB286" s="153"/>
      <c r="AC286" s="153"/>
      <c r="AD286" s="153"/>
      <c r="AE286" s="153"/>
      <c r="AF286" s="153"/>
      <c r="AG286" s="153"/>
      <c r="AH286" s="151">
        <f t="shared" ref="AH286:AH293" si="36">SUM(C286:AG286)</f>
        <v>0</v>
      </c>
    </row>
    <row r="287" spans="1:35" s="1170" customFormat="1" ht="13.8">
      <c r="A287" s="159" t="s">
        <v>78</v>
      </c>
      <c r="B287" s="130">
        <f t="shared" si="35"/>
        <v>0</v>
      </c>
      <c r="C287" s="152"/>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c r="AA287" s="153"/>
      <c r="AB287" s="153"/>
      <c r="AC287" s="153"/>
      <c r="AD287" s="153"/>
      <c r="AE287" s="153"/>
      <c r="AF287" s="153"/>
      <c r="AG287" s="153"/>
      <c r="AH287" s="151">
        <f t="shared" si="36"/>
        <v>0</v>
      </c>
    </row>
    <row r="288" spans="1:35" s="1170" customFormat="1" ht="13.8">
      <c r="A288" s="159" t="s">
        <v>79</v>
      </c>
      <c r="B288" s="130">
        <f t="shared" si="35"/>
        <v>0</v>
      </c>
      <c r="C288" s="152"/>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c r="AA288" s="153"/>
      <c r="AB288" s="153"/>
      <c r="AC288" s="153"/>
      <c r="AD288" s="153"/>
      <c r="AE288" s="153"/>
      <c r="AF288" s="153"/>
      <c r="AG288" s="153"/>
      <c r="AH288" s="151">
        <f t="shared" si="36"/>
        <v>0</v>
      </c>
    </row>
    <row r="289" spans="1:34" s="1170" customFormat="1" ht="13.8">
      <c r="A289" s="159" t="s">
        <v>80</v>
      </c>
      <c r="B289" s="130">
        <f t="shared" si="35"/>
        <v>0</v>
      </c>
      <c r="C289" s="152"/>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c r="AA289" s="153"/>
      <c r="AB289" s="153"/>
      <c r="AC289" s="153"/>
      <c r="AD289" s="153"/>
      <c r="AE289" s="153"/>
      <c r="AF289" s="153"/>
      <c r="AG289" s="153"/>
      <c r="AH289" s="151">
        <f t="shared" si="36"/>
        <v>0</v>
      </c>
    </row>
    <row r="290" spans="1:34" s="1170" customFormat="1" ht="13.8">
      <c r="A290" s="159" t="s">
        <v>81</v>
      </c>
      <c r="B290" s="130">
        <f t="shared" si="35"/>
        <v>0</v>
      </c>
      <c r="C290" s="152"/>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c r="AA290" s="153"/>
      <c r="AB290" s="153"/>
      <c r="AC290" s="153"/>
      <c r="AD290" s="153"/>
      <c r="AE290" s="153"/>
      <c r="AF290" s="153"/>
      <c r="AG290" s="153"/>
      <c r="AH290" s="151">
        <f t="shared" si="36"/>
        <v>0</v>
      </c>
    </row>
    <row r="291" spans="1:34" s="1170" customFormat="1" ht="13.8">
      <c r="A291" s="159" t="s">
        <v>82</v>
      </c>
      <c r="B291" s="130">
        <f t="shared" si="35"/>
        <v>0</v>
      </c>
      <c r="C291" s="152"/>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c r="AA291" s="153"/>
      <c r="AB291" s="153"/>
      <c r="AC291" s="153"/>
      <c r="AD291" s="153"/>
      <c r="AE291" s="153"/>
      <c r="AF291" s="153"/>
      <c r="AG291" s="153"/>
      <c r="AH291" s="151">
        <f t="shared" si="36"/>
        <v>0</v>
      </c>
    </row>
    <row r="292" spans="1:34" s="1170" customFormat="1" ht="13.8">
      <c r="A292" s="147" t="s">
        <v>83</v>
      </c>
      <c r="B292" s="130">
        <f t="shared" si="35"/>
        <v>0</v>
      </c>
      <c r="C292" s="152"/>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c r="AA292" s="153"/>
      <c r="AB292" s="153"/>
      <c r="AC292" s="153"/>
      <c r="AD292" s="153"/>
      <c r="AE292" s="153"/>
      <c r="AF292" s="153"/>
      <c r="AG292" s="153"/>
      <c r="AH292" s="151">
        <f t="shared" si="36"/>
        <v>0</v>
      </c>
    </row>
    <row r="293" spans="1:34" s="1170" customFormat="1" ht="13.8">
      <c r="A293" s="147" t="s">
        <v>84</v>
      </c>
      <c r="B293" s="130">
        <f t="shared" si="35"/>
        <v>0</v>
      </c>
      <c r="C293" s="152"/>
      <c r="D293" s="153"/>
      <c r="E293" s="153"/>
      <c r="F293" s="1106"/>
      <c r="G293" s="153"/>
      <c r="H293" s="153"/>
      <c r="I293" s="153"/>
      <c r="J293" s="153"/>
      <c r="K293" s="153"/>
      <c r="L293" s="153"/>
      <c r="M293" s="153"/>
      <c r="N293" s="153"/>
      <c r="O293" s="153"/>
      <c r="P293" s="153"/>
      <c r="Q293" s="153"/>
      <c r="R293" s="153"/>
      <c r="S293" s="153"/>
      <c r="T293" s="153"/>
      <c r="U293" s="153"/>
      <c r="V293" s="153"/>
      <c r="W293" s="153"/>
      <c r="X293" s="153"/>
      <c r="Y293" s="153"/>
      <c r="Z293" s="153"/>
      <c r="AA293" s="153"/>
      <c r="AB293" s="153"/>
      <c r="AC293" s="153"/>
      <c r="AD293" s="153"/>
      <c r="AE293" s="153"/>
      <c r="AF293" s="153"/>
      <c r="AG293" s="153"/>
      <c r="AH293" s="151">
        <f t="shared" si="36"/>
        <v>0</v>
      </c>
    </row>
    <row r="294" spans="1:34" s="1170" customFormat="1" ht="13.8">
      <c r="A294" s="154" t="s">
        <v>50</v>
      </c>
      <c r="B294" s="747">
        <f>SUM(B282:B293)</f>
        <v>0</v>
      </c>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c r="AC294" s="155"/>
      <c r="AD294" s="155"/>
      <c r="AE294" s="155"/>
      <c r="AF294" s="155"/>
      <c r="AG294" s="155"/>
      <c r="AH294" s="156">
        <f>SUM(AH282:AH293)</f>
        <v>0</v>
      </c>
    </row>
    <row r="295" spans="1:34" s="1170" customFormat="1" ht="14.4" thickBot="1">
      <c r="A295" s="1171"/>
      <c r="B295" s="1171"/>
      <c r="C295" s="606"/>
      <c r="D295" s="606"/>
      <c r="E295" s="606"/>
      <c r="F295" s="606"/>
      <c r="G295" s="606"/>
      <c r="H295" s="606"/>
      <c r="I295" s="606"/>
      <c r="J295" s="606"/>
      <c r="K295" s="606"/>
      <c r="L295" s="606"/>
      <c r="M295" s="606"/>
      <c r="N295" s="606"/>
      <c r="O295" s="606"/>
      <c r="P295" s="606"/>
      <c r="Q295" s="606"/>
      <c r="R295" s="606"/>
      <c r="S295" s="606"/>
      <c r="T295" s="606"/>
      <c r="U295" s="606"/>
      <c r="V295" s="606"/>
      <c r="W295" s="606"/>
      <c r="X295" s="606"/>
      <c r="Y295" s="606"/>
      <c r="Z295" s="606"/>
      <c r="AA295" s="606"/>
      <c r="AB295" s="606"/>
      <c r="AC295" s="606"/>
      <c r="AD295" s="606"/>
      <c r="AE295" s="606"/>
      <c r="AF295" s="606"/>
      <c r="AG295" s="606"/>
      <c r="AH295" s="660"/>
    </row>
    <row r="296" spans="1:34" ht="13.8" thickBot="1">
      <c r="A296" s="3943" t="s">
        <v>314</v>
      </c>
      <c r="B296" s="3944"/>
      <c r="C296" s="3944"/>
      <c r="D296" s="3944"/>
      <c r="E296" s="3944"/>
      <c r="F296" s="3944"/>
      <c r="G296" s="3944"/>
      <c r="H296" s="3944"/>
      <c r="I296" s="3944"/>
      <c r="J296" s="3944"/>
      <c r="K296" s="3944"/>
      <c r="L296" s="3944"/>
      <c r="M296" s="3944"/>
      <c r="N296" s="3944"/>
      <c r="O296" s="3945"/>
    </row>
    <row r="297" spans="1:34" ht="14.4" thickBot="1">
      <c r="A297" s="3952" t="s">
        <v>315</v>
      </c>
      <c r="B297" s="3953"/>
      <c r="C297" s="3953"/>
      <c r="D297" s="561" t="s">
        <v>38</v>
      </c>
      <c r="E297" s="562"/>
      <c r="F297" s="563"/>
    </row>
    <row r="298" spans="1:34" ht="13.8">
      <c r="A298" s="146" t="s">
        <v>70</v>
      </c>
      <c r="B298" s="146" t="s">
        <v>71</v>
      </c>
      <c r="C298" s="1267">
        <v>1</v>
      </c>
      <c r="D298" s="198">
        <v>2</v>
      </c>
      <c r="E298" s="198">
        <v>3</v>
      </c>
      <c r="F298" s="198">
        <v>4</v>
      </c>
      <c r="G298" s="147">
        <v>5</v>
      </c>
      <c r="H298" s="147">
        <v>6</v>
      </c>
      <c r="I298" s="147">
        <v>7</v>
      </c>
      <c r="J298" s="147">
        <v>8</v>
      </c>
      <c r="K298" s="147">
        <v>9</v>
      </c>
      <c r="L298" s="147">
        <v>10</v>
      </c>
      <c r="M298" s="147">
        <v>11</v>
      </c>
      <c r="N298" s="147">
        <v>12</v>
      </c>
      <c r="O298" s="147">
        <v>13</v>
      </c>
      <c r="P298" s="147">
        <v>14</v>
      </c>
      <c r="Q298" s="147">
        <v>15</v>
      </c>
      <c r="R298" s="147">
        <v>16</v>
      </c>
      <c r="S298" s="147">
        <v>17</v>
      </c>
      <c r="T298" s="147">
        <v>18</v>
      </c>
      <c r="U298" s="147">
        <v>19</v>
      </c>
      <c r="V298" s="147">
        <v>20</v>
      </c>
      <c r="W298" s="136">
        <v>21</v>
      </c>
      <c r="X298" s="147">
        <v>22</v>
      </c>
      <c r="Y298" s="147">
        <v>23</v>
      </c>
      <c r="Z298" s="147">
        <v>24</v>
      </c>
      <c r="AA298" s="147">
        <v>25</v>
      </c>
      <c r="AB298" s="147">
        <v>26</v>
      </c>
      <c r="AC298" s="147">
        <v>27</v>
      </c>
      <c r="AD298" s="147">
        <v>28</v>
      </c>
      <c r="AE298" s="147">
        <v>29</v>
      </c>
      <c r="AF298" s="147">
        <v>30</v>
      </c>
      <c r="AG298" s="147">
        <v>31</v>
      </c>
      <c r="AH298" s="149" t="s">
        <v>50</v>
      </c>
    </row>
    <row r="299" spans="1:34" ht="13.8">
      <c r="A299" s="136" t="s">
        <v>73</v>
      </c>
      <c r="B299" s="130">
        <f t="shared" ref="B299:B310" si="37">+AH299</f>
        <v>0</v>
      </c>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50"/>
      <c r="AE299" s="150"/>
      <c r="AF299" s="150"/>
      <c r="AG299" s="150"/>
      <c r="AH299" s="151">
        <f>SUM(C299:AG299)</f>
        <v>0</v>
      </c>
    </row>
    <row r="300" spans="1:34" ht="13.8">
      <c r="A300" s="136" t="s">
        <v>74</v>
      </c>
      <c r="B300" s="130">
        <f t="shared" si="37"/>
        <v>0</v>
      </c>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50"/>
      <c r="AE300" s="150"/>
      <c r="AF300" s="150"/>
      <c r="AG300" s="150"/>
      <c r="AH300" s="151">
        <f t="shared" ref="AH300:AH310" si="38">SUM(C300:AG300)</f>
        <v>0</v>
      </c>
    </row>
    <row r="301" spans="1:34" ht="13.8">
      <c r="A301" s="136" t="s">
        <v>75</v>
      </c>
      <c r="B301" s="130">
        <f t="shared" si="37"/>
        <v>0</v>
      </c>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50"/>
      <c r="AE301" s="150"/>
      <c r="AF301" s="150"/>
      <c r="AG301" s="150"/>
      <c r="AH301" s="151">
        <f t="shared" si="38"/>
        <v>0</v>
      </c>
    </row>
    <row r="302" spans="1:34" ht="13.8">
      <c r="A302" s="136" t="s">
        <v>76</v>
      </c>
      <c r="B302" s="130">
        <f t="shared" si="37"/>
        <v>0</v>
      </c>
      <c r="C302" s="152"/>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c r="AA302" s="153"/>
      <c r="AB302" s="153"/>
      <c r="AC302" s="153"/>
      <c r="AD302" s="153"/>
      <c r="AE302" s="153"/>
      <c r="AF302" s="153"/>
      <c r="AG302" s="153"/>
      <c r="AH302" s="151">
        <f t="shared" si="38"/>
        <v>0</v>
      </c>
    </row>
    <row r="303" spans="1:34" ht="13.8">
      <c r="A303" s="136" t="s">
        <v>77</v>
      </c>
      <c r="B303" s="130">
        <f t="shared" si="37"/>
        <v>0</v>
      </c>
      <c r="C303" s="152"/>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c r="AA303" s="153"/>
      <c r="AB303" s="153"/>
      <c r="AC303" s="153"/>
      <c r="AD303" s="153"/>
      <c r="AE303" s="153"/>
      <c r="AF303" s="153"/>
      <c r="AG303" s="153"/>
      <c r="AH303" s="151">
        <f t="shared" si="38"/>
        <v>0</v>
      </c>
    </row>
    <row r="304" spans="1:34" ht="13.8">
      <c r="A304" s="136" t="s">
        <v>78</v>
      </c>
      <c r="B304" s="130">
        <f t="shared" si="37"/>
        <v>0</v>
      </c>
      <c r="C304" s="152"/>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c r="AA304" s="153"/>
      <c r="AB304" s="153"/>
      <c r="AC304" s="153"/>
      <c r="AD304" s="153"/>
      <c r="AE304" s="153"/>
      <c r="AF304" s="153"/>
      <c r="AG304" s="153"/>
      <c r="AH304" s="151">
        <f t="shared" si="38"/>
        <v>0</v>
      </c>
    </row>
    <row r="305" spans="1:34" ht="13.8">
      <c r="A305" s="136" t="s">
        <v>79</v>
      </c>
      <c r="B305" s="130">
        <f t="shared" si="37"/>
        <v>0</v>
      </c>
      <c r="C305" s="152"/>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c r="AA305" s="153"/>
      <c r="AB305" s="153"/>
      <c r="AC305" s="153"/>
      <c r="AD305" s="153"/>
      <c r="AE305" s="153"/>
      <c r="AF305" s="153"/>
      <c r="AG305" s="153"/>
      <c r="AH305" s="151">
        <f t="shared" si="38"/>
        <v>0</v>
      </c>
    </row>
    <row r="306" spans="1:34" ht="13.8">
      <c r="A306" s="136" t="s">
        <v>80</v>
      </c>
      <c r="B306" s="130">
        <f t="shared" si="37"/>
        <v>0</v>
      </c>
      <c r="C306" s="152"/>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c r="AA306" s="153"/>
      <c r="AB306" s="153"/>
      <c r="AC306" s="153"/>
      <c r="AD306" s="153"/>
      <c r="AE306" s="153"/>
      <c r="AF306" s="153"/>
      <c r="AG306" s="153"/>
      <c r="AH306" s="151">
        <f t="shared" si="38"/>
        <v>0</v>
      </c>
    </row>
    <row r="307" spans="1:34" ht="13.8">
      <c r="A307" s="136" t="s">
        <v>81</v>
      </c>
      <c r="B307" s="130">
        <f t="shared" si="37"/>
        <v>0</v>
      </c>
      <c r="C307" s="152"/>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c r="AA307" s="153"/>
      <c r="AB307" s="153"/>
      <c r="AC307" s="153"/>
      <c r="AD307" s="153"/>
      <c r="AE307" s="153"/>
      <c r="AF307" s="153"/>
      <c r="AG307" s="153"/>
      <c r="AH307" s="151">
        <f t="shared" si="38"/>
        <v>0</v>
      </c>
    </row>
    <row r="308" spans="1:34" ht="13.8">
      <c r="A308" s="136" t="s">
        <v>82</v>
      </c>
      <c r="B308" s="130">
        <f t="shared" si="37"/>
        <v>0</v>
      </c>
      <c r="C308" s="152"/>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c r="AA308" s="153"/>
      <c r="AB308" s="153"/>
      <c r="AC308" s="153"/>
      <c r="AD308" s="153"/>
      <c r="AE308" s="153"/>
      <c r="AF308" s="153"/>
      <c r="AG308" s="153"/>
      <c r="AH308" s="151">
        <f t="shared" si="38"/>
        <v>0</v>
      </c>
    </row>
    <row r="309" spans="1:34" ht="13.8">
      <c r="A309" s="147" t="s">
        <v>83</v>
      </c>
      <c r="B309" s="130">
        <f t="shared" si="37"/>
        <v>0</v>
      </c>
      <c r="C309" s="152"/>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c r="AA309" s="153"/>
      <c r="AB309" s="153"/>
      <c r="AC309" s="153"/>
      <c r="AD309" s="153"/>
      <c r="AE309" s="153"/>
      <c r="AF309" s="153"/>
      <c r="AG309" s="153"/>
      <c r="AH309" s="151">
        <f t="shared" si="38"/>
        <v>0</v>
      </c>
    </row>
    <row r="310" spans="1:34" ht="13.8">
      <c r="A310" s="147" t="s">
        <v>84</v>
      </c>
      <c r="B310" s="130">
        <f t="shared" si="37"/>
        <v>0</v>
      </c>
      <c r="C310" s="152"/>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c r="AA310" s="153"/>
      <c r="AB310" s="153"/>
      <c r="AC310" s="153"/>
      <c r="AD310" s="153"/>
      <c r="AE310" s="153"/>
      <c r="AF310" s="153"/>
      <c r="AG310" s="153"/>
      <c r="AH310" s="151">
        <f t="shared" si="38"/>
        <v>0</v>
      </c>
    </row>
    <row r="311" spans="1:34" ht="13.8">
      <c r="A311" s="154" t="s">
        <v>50</v>
      </c>
      <c r="B311" s="747">
        <f>SUM(B299:B310)</f>
        <v>0</v>
      </c>
      <c r="C311" s="155"/>
      <c r="D311" s="155"/>
      <c r="E311" s="155"/>
      <c r="F311" s="155"/>
      <c r="G311" s="155"/>
      <c r="H311" s="155"/>
      <c r="I311" s="155"/>
      <c r="J311" s="155"/>
      <c r="K311" s="155"/>
      <c r="L311" s="155"/>
      <c r="M311" s="155"/>
      <c r="N311" s="155"/>
      <c r="O311" s="155"/>
      <c r="P311" s="155"/>
      <c r="Q311" s="155"/>
      <c r="R311" s="155"/>
      <c r="S311" s="155"/>
      <c r="T311" s="155"/>
      <c r="U311" s="155"/>
      <c r="V311" s="155"/>
      <c r="W311" s="155"/>
      <c r="X311" s="155"/>
      <c r="Y311" s="155"/>
      <c r="Z311" s="155"/>
      <c r="AA311" s="155"/>
      <c r="AB311" s="155"/>
      <c r="AC311" s="155"/>
      <c r="AD311" s="155"/>
      <c r="AE311" s="155"/>
      <c r="AF311" s="155"/>
      <c r="AG311" s="155"/>
      <c r="AH311" s="156"/>
    </row>
    <row r="313" spans="1:34" ht="13.8" thickBot="1"/>
    <row r="314" spans="1:34" ht="14.4" thickBot="1">
      <c r="A314" s="3954" t="s">
        <v>316</v>
      </c>
      <c r="B314" s="3955"/>
      <c r="C314" s="3955"/>
      <c r="D314" s="564" t="s">
        <v>38</v>
      </c>
      <c r="E314" s="560"/>
      <c r="F314" s="565"/>
    </row>
    <row r="315" spans="1:34" ht="13.8">
      <c r="A315" s="146" t="s">
        <v>70</v>
      </c>
      <c r="B315" s="146" t="s">
        <v>71</v>
      </c>
      <c r="C315" s="1267">
        <v>1</v>
      </c>
      <c r="D315" s="198">
        <v>2</v>
      </c>
      <c r="E315" s="198">
        <v>3</v>
      </c>
      <c r="F315" s="198">
        <v>4</v>
      </c>
      <c r="G315" s="147">
        <v>5</v>
      </c>
      <c r="H315" s="147">
        <v>6</v>
      </c>
      <c r="I315" s="147">
        <v>7</v>
      </c>
      <c r="J315" s="147">
        <v>8</v>
      </c>
      <c r="K315" s="147">
        <v>9</v>
      </c>
      <c r="L315" s="147">
        <v>10</v>
      </c>
      <c r="M315" s="147">
        <v>11</v>
      </c>
      <c r="N315" s="147">
        <v>12</v>
      </c>
      <c r="O315" s="147">
        <v>13</v>
      </c>
      <c r="P315" s="147">
        <v>14</v>
      </c>
      <c r="Q315" s="147">
        <v>15</v>
      </c>
      <c r="R315" s="147">
        <v>16</v>
      </c>
      <c r="S315" s="147">
        <v>17</v>
      </c>
      <c r="T315" s="147">
        <v>18</v>
      </c>
      <c r="U315" s="147">
        <v>19</v>
      </c>
      <c r="V315" s="147">
        <v>20</v>
      </c>
      <c r="W315" s="136">
        <v>21</v>
      </c>
      <c r="X315" s="147">
        <v>22</v>
      </c>
      <c r="Y315" s="147">
        <v>23</v>
      </c>
      <c r="Z315" s="147">
        <v>24</v>
      </c>
      <c r="AA315" s="147">
        <v>25</v>
      </c>
      <c r="AB315" s="147">
        <v>26</v>
      </c>
      <c r="AC315" s="147">
        <v>27</v>
      </c>
      <c r="AD315" s="147">
        <v>28</v>
      </c>
      <c r="AE315" s="147">
        <v>29</v>
      </c>
      <c r="AF315" s="147">
        <v>30</v>
      </c>
      <c r="AG315" s="147">
        <v>31</v>
      </c>
      <c r="AH315" s="149" t="s">
        <v>50</v>
      </c>
    </row>
    <row r="316" spans="1:34" ht="13.8">
      <c r="A316" s="136" t="s">
        <v>73</v>
      </c>
      <c r="B316" s="130">
        <f t="shared" ref="B316:B327" si="39">+AH316</f>
        <v>0</v>
      </c>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c r="AH316" s="151">
        <f>SUM(C316:AG316)</f>
        <v>0</v>
      </c>
    </row>
    <row r="317" spans="1:34" ht="13.8">
      <c r="A317" s="136" t="s">
        <v>74</v>
      </c>
      <c r="B317" s="130">
        <f t="shared" si="39"/>
        <v>0</v>
      </c>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c r="AH317" s="151">
        <f t="shared" ref="AH317:AH327" si="40">SUM(C317:AG317)</f>
        <v>0</v>
      </c>
    </row>
    <row r="318" spans="1:34" ht="13.8">
      <c r="A318" s="136" t="s">
        <v>75</v>
      </c>
      <c r="B318" s="130">
        <f t="shared" si="39"/>
        <v>0</v>
      </c>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c r="AH318" s="151">
        <f t="shared" si="40"/>
        <v>0</v>
      </c>
    </row>
    <row r="319" spans="1:34" ht="13.8">
      <c r="A319" s="136" t="s">
        <v>76</v>
      </c>
      <c r="B319" s="130">
        <f t="shared" si="39"/>
        <v>0</v>
      </c>
      <c r="C319" s="152"/>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c r="AA319" s="153"/>
      <c r="AB319" s="153"/>
      <c r="AC319" s="153"/>
      <c r="AD319" s="153"/>
      <c r="AE319" s="153"/>
      <c r="AF319" s="153"/>
      <c r="AG319" s="153"/>
      <c r="AH319" s="151">
        <f t="shared" si="40"/>
        <v>0</v>
      </c>
    </row>
    <row r="320" spans="1:34" ht="13.8">
      <c r="A320" s="136" t="s">
        <v>77</v>
      </c>
      <c r="B320" s="130">
        <f t="shared" si="39"/>
        <v>0</v>
      </c>
      <c r="C320" s="152"/>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c r="AA320" s="153"/>
      <c r="AB320" s="153"/>
      <c r="AC320" s="153"/>
      <c r="AD320" s="153"/>
      <c r="AE320" s="153"/>
      <c r="AF320" s="153"/>
      <c r="AG320" s="153"/>
      <c r="AH320" s="151">
        <f t="shared" si="40"/>
        <v>0</v>
      </c>
    </row>
    <row r="321" spans="1:34" ht="13.8">
      <c r="A321" s="136" t="s">
        <v>78</v>
      </c>
      <c r="B321" s="130">
        <f t="shared" si="39"/>
        <v>0</v>
      </c>
      <c r="C321" s="152"/>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c r="AA321" s="153"/>
      <c r="AB321" s="153"/>
      <c r="AC321" s="153"/>
      <c r="AD321" s="153"/>
      <c r="AE321" s="153"/>
      <c r="AF321" s="153"/>
      <c r="AG321" s="153"/>
      <c r="AH321" s="151">
        <f t="shared" si="40"/>
        <v>0</v>
      </c>
    </row>
    <row r="322" spans="1:34" ht="13.8">
      <c r="A322" s="136" t="s">
        <v>79</v>
      </c>
      <c r="B322" s="130">
        <f t="shared" si="39"/>
        <v>0</v>
      </c>
      <c r="C322" s="152"/>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c r="AA322" s="153"/>
      <c r="AB322" s="153"/>
      <c r="AC322" s="153"/>
      <c r="AD322" s="153"/>
      <c r="AE322" s="153"/>
      <c r="AF322" s="153"/>
      <c r="AG322" s="153"/>
      <c r="AH322" s="151">
        <f t="shared" si="40"/>
        <v>0</v>
      </c>
    </row>
    <row r="323" spans="1:34" ht="13.8">
      <c r="A323" s="136" t="s">
        <v>80</v>
      </c>
      <c r="B323" s="130">
        <f t="shared" si="39"/>
        <v>0</v>
      </c>
      <c r="C323" s="152"/>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c r="AA323" s="153"/>
      <c r="AB323" s="153"/>
      <c r="AC323" s="153"/>
      <c r="AD323" s="153"/>
      <c r="AE323" s="153"/>
      <c r="AF323" s="153"/>
      <c r="AG323" s="153"/>
      <c r="AH323" s="151">
        <f t="shared" si="40"/>
        <v>0</v>
      </c>
    </row>
    <row r="324" spans="1:34" ht="13.8">
      <c r="A324" s="136" t="s">
        <v>81</v>
      </c>
      <c r="B324" s="130">
        <f t="shared" si="39"/>
        <v>0</v>
      </c>
      <c r="C324" s="152"/>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c r="AA324" s="153"/>
      <c r="AB324" s="153"/>
      <c r="AC324" s="153"/>
      <c r="AD324" s="153"/>
      <c r="AE324" s="153"/>
      <c r="AF324" s="153"/>
      <c r="AG324" s="153"/>
      <c r="AH324" s="151">
        <f t="shared" si="40"/>
        <v>0</v>
      </c>
    </row>
    <row r="325" spans="1:34" ht="13.8">
      <c r="A325" s="136" t="s">
        <v>82</v>
      </c>
      <c r="B325" s="130">
        <f t="shared" si="39"/>
        <v>0</v>
      </c>
      <c r="C325" s="608"/>
      <c r="D325" s="608"/>
      <c r="E325" s="608"/>
      <c r="F325" s="608"/>
      <c r="G325" s="608"/>
      <c r="H325" s="608"/>
      <c r="I325" s="608"/>
      <c r="J325" s="608"/>
      <c r="K325" s="608"/>
      <c r="L325" s="608"/>
      <c r="M325" s="608"/>
      <c r="N325" s="608"/>
      <c r="O325" s="608"/>
      <c r="P325" s="608"/>
      <c r="Q325" s="608"/>
      <c r="R325" s="608"/>
      <c r="S325" s="608"/>
      <c r="T325" s="608"/>
      <c r="U325" s="608"/>
      <c r="V325" s="608"/>
      <c r="W325" s="608"/>
      <c r="X325" s="608"/>
      <c r="Y325" s="608"/>
      <c r="Z325" s="608"/>
      <c r="AA325" s="608"/>
      <c r="AB325" s="608"/>
      <c r="AC325" s="608"/>
      <c r="AD325" s="608"/>
      <c r="AE325" s="608"/>
      <c r="AF325" s="608"/>
      <c r="AG325" s="608"/>
      <c r="AH325" s="865">
        <f t="shared" si="40"/>
        <v>0</v>
      </c>
    </row>
    <row r="326" spans="1:34" ht="13.8">
      <c r="A326" s="136" t="s">
        <v>83</v>
      </c>
      <c r="B326" s="130">
        <f t="shared" si="39"/>
        <v>0</v>
      </c>
      <c r="C326" s="866"/>
      <c r="D326" s="867"/>
      <c r="E326" s="867"/>
      <c r="F326" s="867"/>
      <c r="G326" s="867"/>
      <c r="H326" s="867"/>
      <c r="I326" s="867"/>
      <c r="J326" s="867"/>
      <c r="K326" s="867"/>
      <c r="L326" s="867"/>
      <c r="M326" s="867"/>
      <c r="N326" s="867"/>
      <c r="O326" s="867"/>
      <c r="P326" s="867"/>
      <c r="Q326" s="867"/>
      <c r="R326" s="867"/>
      <c r="S326" s="867"/>
      <c r="T326" s="867"/>
      <c r="U326" s="867"/>
      <c r="V326" s="867"/>
      <c r="W326" s="867"/>
      <c r="X326" s="867"/>
      <c r="Y326" s="867"/>
      <c r="Z326" s="867"/>
      <c r="AA326" s="867"/>
      <c r="AB326" s="867"/>
      <c r="AC326" s="867"/>
      <c r="AD326" s="867"/>
      <c r="AE326" s="867"/>
      <c r="AF326" s="867"/>
      <c r="AG326" s="867"/>
      <c r="AH326" s="151">
        <f t="shared" si="40"/>
        <v>0</v>
      </c>
    </row>
    <row r="327" spans="1:34" ht="13.8">
      <c r="A327" s="147" t="s">
        <v>84</v>
      </c>
      <c r="B327" s="130">
        <f t="shared" si="39"/>
        <v>0</v>
      </c>
      <c r="C327" s="152"/>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c r="AA327" s="153"/>
      <c r="AB327" s="153"/>
      <c r="AC327" s="153"/>
      <c r="AD327" s="153"/>
      <c r="AE327" s="153"/>
      <c r="AF327" s="153"/>
      <c r="AG327" s="153"/>
      <c r="AH327" s="151">
        <f t="shared" si="40"/>
        <v>0</v>
      </c>
    </row>
    <row r="328" spans="1:34" ht="13.8">
      <c r="A328" s="154" t="s">
        <v>50</v>
      </c>
      <c r="B328" s="154">
        <f>SUM(B316:B327)</f>
        <v>0</v>
      </c>
      <c r="C328" s="155"/>
      <c r="D328" s="155"/>
      <c r="E328" s="155"/>
      <c r="F328" s="155"/>
      <c r="G328" s="155"/>
      <c r="H328" s="155"/>
      <c r="I328" s="155"/>
      <c r="J328" s="155"/>
      <c r="K328" s="155"/>
      <c r="L328" s="155"/>
      <c r="M328" s="155"/>
      <c r="N328" s="155"/>
      <c r="O328" s="155"/>
      <c r="P328" s="155"/>
      <c r="Q328" s="155"/>
      <c r="R328" s="155"/>
      <c r="S328" s="155"/>
      <c r="T328" s="155"/>
      <c r="U328" s="155"/>
      <c r="V328" s="155"/>
      <c r="W328" s="155"/>
      <c r="X328" s="155"/>
      <c r="Y328" s="155"/>
      <c r="Z328" s="155"/>
      <c r="AA328" s="155"/>
      <c r="AB328" s="155"/>
      <c r="AC328" s="155"/>
      <c r="AD328" s="155"/>
      <c r="AE328" s="155"/>
      <c r="AF328" s="155"/>
      <c r="AG328" s="155"/>
      <c r="AH328" s="156"/>
    </row>
    <row r="329" spans="1:34" ht="13.8" thickBot="1"/>
    <row r="330" spans="1:34" ht="14.4" thickBot="1">
      <c r="A330" s="3954" t="s">
        <v>320</v>
      </c>
      <c r="B330" s="3955"/>
      <c r="C330" s="3955"/>
      <c r="D330" s="564" t="s">
        <v>38</v>
      </c>
      <c r="E330" s="560"/>
      <c r="F330" s="565"/>
    </row>
    <row r="331" spans="1:34" ht="13.8">
      <c r="A331" s="146" t="s">
        <v>70</v>
      </c>
      <c r="B331" s="146" t="s">
        <v>71</v>
      </c>
      <c r="C331" s="1267">
        <v>1</v>
      </c>
      <c r="D331" s="198">
        <v>2</v>
      </c>
      <c r="E331" s="198">
        <v>3</v>
      </c>
      <c r="F331" s="198">
        <v>4</v>
      </c>
      <c r="G331" s="147">
        <v>5</v>
      </c>
      <c r="H331" s="147">
        <v>6</v>
      </c>
      <c r="I331" s="147">
        <v>7</v>
      </c>
      <c r="J331" s="147">
        <v>8</v>
      </c>
      <c r="K331" s="147">
        <v>9</v>
      </c>
      <c r="L331" s="147">
        <v>10</v>
      </c>
      <c r="M331" s="147">
        <v>11</v>
      </c>
      <c r="N331" s="147">
        <v>12</v>
      </c>
      <c r="O331" s="147">
        <v>13</v>
      </c>
      <c r="P331" s="147">
        <v>14</v>
      </c>
      <c r="Q331" s="147">
        <v>15</v>
      </c>
      <c r="R331" s="147">
        <v>16</v>
      </c>
      <c r="S331" s="147">
        <v>17</v>
      </c>
      <c r="T331" s="147">
        <v>18</v>
      </c>
      <c r="U331" s="147">
        <v>19</v>
      </c>
      <c r="V331" s="147">
        <v>20</v>
      </c>
      <c r="W331" s="136">
        <v>21</v>
      </c>
      <c r="X331" s="147">
        <v>22</v>
      </c>
      <c r="Y331" s="147">
        <v>23</v>
      </c>
      <c r="Z331" s="147">
        <v>24</v>
      </c>
      <c r="AA331" s="147">
        <v>25</v>
      </c>
      <c r="AB331" s="147">
        <v>26</v>
      </c>
      <c r="AC331" s="147">
        <v>27</v>
      </c>
      <c r="AD331" s="147">
        <v>28</v>
      </c>
      <c r="AE331" s="147">
        <v>29</v>
      </c>
      <c r="AF331" s="147">
        <v>30</v>
      </c>
      <c r="AG331" s="147">
        <v>31</v>
      </c>
      <c r="AH331" s="149" t="s">
        <v>50</v>
      </c>
    </row>
    <row r="332" spans="1:34" ht="13.8">
      <c r="A332" s="136" t="s">
        <v>73</v>
      </c>
      <c r="B332" s="130">
        <f t="shared" ref="B332:B343" si="41">+AH332</f>
        <v>0</v>
      </c>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c r="AH332" s="151">
        <f>SUM(C332:AG332)</f>
        <v>0</v>
      </c>
    </row>
    <row r="333" spans="1:34" ht="13.8">
      <c r="A333" s="136" t="s">
        <v>74</v>
      </c>
      <c r="B333" s="130">
        <f t="shared" si="41"/>
        <v>0</v>
      </c>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c r="AD333" s="150"/>
      <c r="AE333" s="150"/>
      <c r="AF333" s="150"/>
      <c r="AG333" s="150"/>
      <c r="AH333" s="151">
        <f t="shared" ref="AH333:AH343" si="42">SUM(C333:AG333)</f>
        <v>0</v>
      </c>
    </row>
    <row r="334" spans="1:34" ht="13.8">
      <c r="A334" s="136" t="s">
        <v>75</v>
      </c>
      <c r="B334" s="130">
        <f t="shared" si="41"/>
        <v>0</v>
      </c>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c r="AD334" s="150"/>
      <c r="AE334" s="150"/>
      <c r="AF334" s="150"/>
      <c r="AG334" s="150"/>
      <c r="AH334" s="151">
        <f t="shared" si="42"/>
        <v>0</v>
      </c>
    </row>
    <row r="335" spans="1:34" ht="13.8">
      <c r="A335" s="136" t="s">
        <v>76</v>
      </c>
      <c r="B335" s="130">
        <f t="shared" si="41"/>
        <v>0</v>
      </c>
      <c r="C335" s="152"/>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c r="AA335" s="153"/>
      <c r="AB335" s="153"/>
      <c r="AC335" s="153"/>
      <c r="AD335" s="153"/>
      <c r="AE335" s="153"/>
      <c r="AF335" s="153"/>
      <c r="AG335" s="153"/>
      <c r="AH335" s="151">
        <f t="shared" si="42"/>
        <v>0</v>
      </c>
    </row>
    <row r="336" spans="1:34" ht="13.8">
      <c r="A336" s="136" t="s">
        <v>77</v>
      </c>
      <c r="B336" s="130">
        <f t="shared" si="41"/>
        <v>0</v>
      </c>
      <c r="C336" s="152"/>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c r="AA336" s="153"/>
      <c r="AB336" s="153"/>
      <c r="AC336" s="153"/>
      <c r="AD336" s="153"/>
      <c r="AE336" s="153"/>
      <c r="AF336" s="153"/>
      <c r="AG336" s="153"/>
      <c r="AH336" s="151">
        <f t="shared" si="42"/>
        <v>0</v>
      </c>
    </row>
    <row r="337" spans="1:34" ht="13.8">
      <c r="A337" s="136" t="s">
        <v>78</v>
      </c>
      <c r="B337" s="130">
        <f t="shared" si="41"/>
        <v>0</v>
      </c>
      <c r="C337" s="152"/>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c r="AA337" s="153"/>
      <c r="AB337" s="153"/>
      <c r="AC337" s="153"/>
      <c r="AD337" s="153"/>
      <c r="AE337" s="153"/>
      <c r="AF337" s="153"/>
      <c r="AG337" s="153"/>
      <c r="AH337" s="151">
        <f t="shared" si="42"/>
        <v>0</v>
      </c>
    </row>
    <row r="338" spans="1:34" ht="13.8">
      <c r="A338" s="136" t="s">
        <v>79</v>
      </c>
      <c r="B338" s="130">
        <f t="shared" si="41"/>
        <v>0</v>
      </c>
      <c r="C338" s="152"/>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c r="AA338" s="153"/>
      <c r="AB338" s="153"/>
      <c r="AC338" s="153"/>
      <c r="AD338" s="153"/>
      <c r="AE338" s="153"/>
      <c r="AF338" s="153"/>
      <c r="AG338" s="153"/>
      <c r="AH338" s="151">
        <f t="shared" si="42"/>
        <v>0</v>
      </c>
    </row>
    <row r="339" spans="1:34" ht="13.8">
      <c r="A339" s="136" t="s">
        <v>80</v>
      </c>
      <c r="B339" s="130">
        <f t="shared" si="41"/>
        <v>0</v>
      </c>
      <c r="C339" s="152"/>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c r="AA339" s="153"/>
      <c r="AB339" s="153"/>
      <c r="AC339" s="153"/>
      <c r="AD339" s="153"/>
      <c r="AE339" s="153"/>
      <c r="AF339" s="153"/>
      <c r="AG339" s="153"/>
      <c r="AH339" s="151">
        <f t="shared" si="42"/>
        <v>0</v>
      </c>
    </row>
    <row r="340" spans="1:34" ht="13.8">
      <c r="A340" s="136" t="s">
        <v>81</v>
      </c>
      <c r="B340" s="130">
        <f t="shared" si="41"/>
        <v>0</v>
      </c>
      <c r="C340" s="152"/>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c r="AA340" s="153"/>
      <c r="AB340" s="153"/>
      <c r="AC340" s="153"/>
      <c r="AD340" s="153"/>
      <c r="AE340" s="153"/>
      <c r="AF340" s="153"/>
      <c r="AG340" s="153"/>
      <c r="AH340" s="151">
        <f t="shared" si="42"/>
        <v>0</v>
      </c>
    </row>
    <row r="341" spans="1:34" ht="13.8">
      <c r="A341" s="136" t="s">
        <v>82</v>
      </c>
      <c r="B341" s="130">
        <f t="shared" si="41"/>
        <v>0</v>
      </c>
      <c r="C341" s="152"/>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c r="AA341" s="153"/>
      <c r="AB341" s="153"/>
      <c r="AC341" s="153"/>
      <c r="AD341" s="153"/>
      <c r="AE341" s="153"/>
      <c r="AF341" s="153"/>
      <c r="AG341" s="153"/>
      <c r="AH341" s="151">
        <f t="shared" si="42"/>
        <v>0</v>
      </c>
    </row>
    <row r="342" spans="1:34" ht="13.8">
      <c r="A342" s="136" t="s">
        <v>83</v>
      </c>
      <c r="B342" s="130">
        <f t="shared" si="41"/>
        <v>0</v>
      </c>
      <c r="C342" s="152"/>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c r="AA342" s="153"/>
      <c r="AB342" s="153"/>
      <c r="AC342" s="153"/>
      <c r="AD342" s="153"/>
      <c r="AE342" s="153"/>
      <c r="AF342" s="153"/>
      <c r="AG342" s="153"/>
      <c r="AH342" s="151">
        <f t="shared" si="42"/>
        <v>0</v>
      </c>
    </row>
    <row r="343" spans="1:34" ht="13.8">
      <c r="A343" s="147" t="s">
        <v>84</v>
      </c>
      <c r="B343" s="130">
        <f t="shared" si="41"/>
        <v>0</v>
      </c>
      <c r="C343" s="152"/>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c r="AA343" s="153"/>
      <c r="AB343" s="153"/>
      <c r="AC343" s="153"/>
      <c r="AD343" s="153"/>
      <c r="AE343" s="153"/>
      <c r="AF343" s="153"/>
      <c r="AG343" s="153"/>
      <c r="AH343" s="151">
        <f t="shared" si="42"/>
        <v>0</v>
      </c>
    </row>
    <row r="344" spans="1:34" ht="13.8">
      <c r="A344" s="154" t="s">
        <v>50</v>
      </c>
      <c r="B344" s="154">
        <f>SUM(B332:B343)</f>
        <v>0</v>
      </c>
      <c r="C344" s="155"/>
      <c r="D344" s="155"/>
      <c r="E344" s="155"/>
      <c r="F344" s="155"/>
      <c r="G344" s="155"/>
      <c r="H344" s="155"/>
      <c r="I344" s="155"/>
      <c r="J344" s="155"/>
      <c r="K344" s="155"/>
      <c r="L344" s="155"/>
      <c r="M344" s="155"/>
      <c r="N344" s="155"/>
      <c r="O344" s="155"/>
      <c r="P344" s="155"/>
      <c r="Q344" s="155"/>
      <c r="R344" s="155"/>
      <c r="S344" s="155"/>
      <c r="T344" s="155"/>
      <c r="U344" s="155"/>
      <c r="V344" s="155"/>
      <c r="W344" s="155"/>
      <c r="X344" s="155"/>
      <c r="Y344" s="155"/>
      <c r="Z344" s="155"/>
      <c r="AA344" s="155"/>
      <c r="AB344" s="155"/>
      <c r="AC344" s="155"/>
      <c r="AD344" s="155"/>
      <c r="AE344" s="155"/>
      <c r="AF344" s="155"/>
      <c r="AG344" s="155"/>
      <c r="AH344" s="156"/>
    </row>
    <row r="345" spans="1:34" ht="13.8">
      <c r="A345" s="661"/>
      <c r="B345" s="661"/>
      <c r="C345" s="606"/>
      <c r="D345" s="606"/>
      <c r="E345" s="606"/>
      <c r="F345" s="606"/>
      <c r="G345" s="606"/>
      <c r="H345" s="606"/>
      <c r="I345" s="606"/>
      <c r="J345" s="606"/>
      <c r="K345" s="606"/>
      <c r="L345" s="606"/>
      <c r="M345" s="606"/>
      <c r="N345" s="606"/>
      <c r="O345" s="606"/>
      <c r="P345" s="606"/>
      <c r="Q345" s="606"/>
      <c r="R345" s="606"/>
      <c r="S345" s="606"/>
      <c r="T345" s="606"/>
      <c r="U345" s="606"/>
      <c r="V345" s="606"/>
      <c r="W345" s="606"/>
      <c r="X345" s="606"/>
      <c r="Y345" s="606"/>
      <c r="Z345" s="606"/>
      <c r="AA345" s="606"/>
      <c r="AB345" s="606"/>
      <c r="AC345" s="606"/>
      <c r="AD345" s="606"/>
      <c r="AE345" s="606"/>
      <c r="AF345" s="606"/>
      <c r="AG345" s="606"/>
      <c r="AH345" s="660"/>
    </row>
    <row r="346" spans="1:34" ht="14.4" thickBot="1">
      <c r="A346" s="661"/>
      <c r="B346" s="661"/>
      <c r="C346" s="606"/>
      <c r="D346" s="606"/>
      <c r="E346" s="606"/>
      <c r="F346" s="606"/>
      <c r="G346" s="606"/>
      <c r="H346" s="606"/>
      <c r="I346" s="606"/>
      <c r="J346" s="606"/>
      <c r="K346" s="606"/>
      <c r="L346" s="606"/>
      <c r="M346" s="606"/>
      <c r="N346" s="606"/>
      <c r="O346" s="606"/>
      <c r="P346" s="606"/>
      <c r="Q346" s="606"/>
      <c r="R346" s="606"/>
      <c r="S346" s="606"/>
      <c r="T346" s="606"/>
      <c r="U346" s="606"/>
      <c r="V346" s="606"/>
      <c r="W346" s="606"/>
      <c r="X346" s="606"/>
      <c r="Y346" s="606"/>
      <c r="Z346" s="606"/>
      <c r="AA346" s="606"/>
      <c r="AB346" s="606"/>
      <c r="AC346" s="606"/>
      <c r="AD346" s="606"/>
      <c r="AE346" s="606"/>
      <c r="AF346" s="606"/>
      <c r="AG346" s="606"/>
      <c r="AH346" s="660"/>
    </row>
    <row r="347" spans="1:34" ht="14.4" thickBot="1">
      <c r="A347" s="3954" t="s">
        <v>402</v>
      </c>
      <c r="B347" s="3955"/>
      <c r="C347" s="3955"/>
      <c r="D347" s="564" t="s">
        <v>38</v>
      </c>
      <c r="E347" s="560"/>
      <c r="F347" s="565"/>
      <c r="G347" s="606"/>
      <c r="H347" s="606"/>
      <c r="I347" s="606"/>
      <c r="J347" s="606"/>
      <c r="K347" s="606"/>
      <c r="L347" s="606"/>
      <c r="M347" s="606"/>
      <c r="N347" s="606"/>
      <c r="O347" s="606"/>
      <c r="P347" s="606"/>
      <c r="Q347" s="606"/>
      <c r="R347" s="606"/>
      <c r="S347" s="606"/>
      <c r="T347" s="606"/>
      <c r="U347" s="606"/>
      <c r="V347" s="606"/>
      <c r="W347" s="606"/>
      <c r="X347" s="606"/>
      <c r="Y347" s="606"/>
      <c r="Z347" s="606"/>
      <c r="AA347" s="606"/>
      <c r="AB347" s="606"/>
      <c r="AC347" s="606"/>
      <c r="AD347" s="606"/>
      <c r="AE347" s="606"/>
      <c r="AF347" s="606"/>
      <c r="AG347" s="606"/>
      <c r="AH347" s="660"/>
    </row>
    <row r="348" spans="1:34" ht="13.8">
      <c r="A348" s="146" t="s">
        <v>70</v>
      </c>
      <c r="B348" s="146" t="s">
        <v>71</v>
      </c>
      <c r="C348" s="1267">
        <v>1</v>
      </c>
      <c r="D348" s="198">
        <v>2</v>
      </c>
      <c r="E348" s="198">
        <v>3</v>
      </c>
      <c r="F348" s="198">
        <v>4</v>
      </c>
      <c r="G348" s="147">
        <v>5</v>
      </c>
      <c r="H348" s="147">
        <v>6</v>
      </c>
      <c r="I348" s="147">
        <v>7</v>
      </c>
      <c r="J348" s="147">
        <v>8</v>
      </c>
      <c r="K348" s="147">
        <v>9</v>
      </c>
      <c r="L348" s="147">
        <v>10</v>
      </c>
      <c r="M348" s="147">
        <v>11</v>
      </c>
      <c r="N348" s="147">
        <v>12</v>
      </c>
      <c r="O348" s="147">
        <v>13</v>
      </c>
      <c r="P348" s="147">
        <v>14</v>
      </c>
      <c r="Q348" s="147">
        <v>15</v>
      </c>
      <c r="R348" s="147">
        <v>16</v>
      </c>
      <c r="S348" s="147">
        <v>17</v>
      </c>
      <c r="T348" s="147">
        <v>18</v>
      </c>
      <c r="U348" s="147">
        <v>19</v>
      </c>
      <c r="V348" s="147">
        <v>20</v>
      </c>
      <c r="W348" s="136">
        <v>21</v>
      </c>
      <c r="X348" s="147">
        <v>22</v>
      </c>
      <c r="Y348" s="147">
        <v>23</v>
      </c>
      <c r="Z348" s="147">
        <v>24</v>
      </c>
      <c r="AA348" s="147">
        <v>25</v>
      </c>
      <c r="AB348" s="147">
        <v>26</v>
      </c>
      <c r="AC348" s="147">
        <v>27</v>
      </c>
      <c r="AD348" s="147">
        <v>28</v>
      </c>
      <c r="AE348" s="147">
        <v>29</v>
      </c>
      <c r="AF348" s="147">
        <v>30</v>
      </c>
      <c r="AG348" s="147">
        <v>31</v>
      </c>
      <c r="AH348" s="149" t="s">
        <v>50</v>
      </c>
    </row>
    <row r="349" spans="1:34" ht="13.8">
      <c r="A349" s="136" t="s">
        <v>78</v>
      </c>
      <c r="B349" s="130">
        <f>+AH349</f>
        <v>0</v>
      </c>
      <c r="C349" s="152"/>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c r="AA349" s="153"/>
      <c r="AB349" s="153"/>
      <c r="AC349" s="153"/>
      <c r="AD349" s="153"/>
      <c r="AE349" s="153"/>
      <c r="AF349" s="153"/>
      <c r="AG349" s="153"/>
      <c r="AH349" s="151">
        <f t="shared" ref="AH349:AH355" si="43">SUM(C349:AG349)</f>
        <v>0</v>
      </c>
    </row>
    <row r="350" spans="1:34" ht="13.8">
      <c r="A350" s="136" t="s">
        <v>79</v>
      </c>
      <c r="B350" s="130">
        <f t="shared" ref="B350:B355" si="44">+AH350</f>
        <v>0</v>
      </c>
      <c r="C350" s="152"/>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c r="AA350" s="153"/>
      <c r="AB350" s="153"/>
      <c r="AC350" s="153"/>
      <c r="AD350" s="153"/>
      <c r="AE350" s="153"/>
      <c r="AF350" s="153"/>
      <c r="AG350" s="153"/>
      <c r="AH350" s="151">
        <f t="shared" si="43"/>
        <v>0</v>
      </c>
    </row>
    <row r="351" spans="1:34" ht="13.8">
      <c r="A351" s="136" t="s">
        <v>80</v>
      </c>
      <c r="B351" s="130">
        <f t="shared" si="44"/>
        <v>0</v>
      </c>
      <c r="C351" s="152"/>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c r="AA351" s="153"/>
      <c r="AB351" s="153"/>
      <c r="AC351" s="153"/>
      <c r="AD351" s="153"/>
      <c r="AE351" s="153"/>
      <c r="AF351" s="153"/>
      <c r="AG351" s="153"/>
      <c r="AH351" s="151">
        <f t="shared" si="43"/>
        <v>0</v>
      </c>
    </row>
    <row r="352" spans="1:34" ht="13.8">
      <c r="A352" s="136" t="s">
        <v>81</v>
      </c>
      <c r="B352" s="130">
        <f t="shared" si="44"/>
        <v>0</v>
      </c>
      <c r="C352" s="152"/>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c r="AA352" s="153"/>
      <c r="AB352" s="153"/>
      <c r="AC352" s="153"/>
      <c r="AD352" s="153"/>
      <c r="AE352" s="153"/>
      <c r="AF352" s="153"/>
      <c r="AG352" s="153"/>
      <c r="AH352" s="151">
        <f t="shared" si="43"/>
        <v>0</v>
      </c>
    </row>
    <row r="353" spans="1:34" ht="13.8">
      <c r="A353" s="136" t="s">
        <v>82</v>
      </c>
      <c r="B353" s="130">
        <f t="shared" si="44"/>
        <v>0</v>
      </c>
      <c r="C353" s="152"/>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c r="AA353" s="153"/>
      <c r="AB353" s="153"/>
      <c r="AC353" s="153"/>
      <c r="AD353" s="153"/>
      <c r="AE353" s="153"/>
      <c r="AF353" s="153"/>
      <c r="AG353" s="153"/>
      <c r="AH353" s="151">
        <f t="shared" si="43"/>
        <v>0</v>
      </c>
    </row>
    <row r="354" spans="1:34" ht="13.8">
      <c r="A354" s="136" t="s">
        <v>83</v>
      </c>
      <c r="B354" s="130">
        <f t="shared" si="44"/>
        <v>0</v>
      </c>
      <c r="C354" s="152"/>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c r="AA354" s="153"/>
      <c r="AB354" s="153"/>
      <c r="AC354" s="153"/>
      <c r="AD354" s="153"/>
      <c r="AE354" s="153"/>
      <c r="AF354" s="153"/>
      <c r="AG354" s="153"/>
      <c r="AH354" s="151">
        <f t="shared" si="43"/>
        <v>0</v>
      </c>
    </row>
    <row r="355" spans="1:34" ht="13.8">
      <c r="A355" s="147" t="s">
        <v>84</v>
      </c>
      <c r="B355" s="130">
        <f t="shared" si="44"/>
        <v>0</v>
      </c>
      <c r="C355" s="152"/>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c r="AA355" s="153"/>
      <c r="AB355" s="153"/>
      <c r="AC355" s="153"/>
      <c r="AD355" s="153"/>
      <c r="AE355" s="153"/>
      <c r="AF355" s="153"/>
      <c r="AG355" s="153"/>
      <c r="AH355" s="151">
        <f t="shared" si="43"/>
        <v>0</v>
      </c>
    </row>
    <row r="356" spans="1:34" ht="13.8">
      <c r="A356" s="154" t="s">
        <v>50</v>
      </c>
      <c r="B356" s="154">
        <f>SUM(B349:B355)</f>
        <v>0</v>
      </c>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c r="Z356" s="155"/>
      <c r="AA356" s="155"/>
      <c r="AB356" s="155"/>
      <c r="AC356" s="155"/>
      <c r="AD356" s="155"/>
      <c r="AE356" s="155"/>
      <c r="AF356" s="155"/>
      <c r="AG356" s="155"/>
      <c r="AH356" s="156"/>
    </row>
    <row r="357" spans="1:34" ht="13.8">
      <c r="A357" s="661"/>
      <c r="B357" s="661"/>
      <c r="C357" s="606"/>
      <c r="D357" s="606"/>
      <c r="E357" s="606"/>
      <c r="F357" s="606"/>
      <c r="G357" s="606"/>
      <c r="H357" s="606"/>
      <c r="I357" s="606"/>
      <c r="J357" s="606"/>
      <c r="K357" s="606"/>
      <c r="L357" s="606"/>
      <c r="M357" s="606"/>
      <c r="N357" s="606"/>
      <c r="O357" s="606"/>
      <c r="P357" s="606"/>
      <c r="Q357" s="606"/>
      <c r="R357" s="606"/>
      <c r="S357" s="606"/>
      <c r="T357" s="606"/>
      <c r="U357" s="606"/>
      <c r="V357" s="606"/>
      <c r="W357" s="606"/>
      <c r="X357" s="606"/>
      <c r="Y357" s="606"/>
      <c r="Z357" s="606"/>
      <c r="AA357" s="606"/>
      <c r="AB357" s="606"/>
      <c r="AC357" s="606"/>
      <c r="AD357" s="606"/>
      <c r="AE357" s="606"/>
      <c r="AF357" s="606"/>
      <c r="AG357" s="606"/>
      <c r="AH357" s="660"/>
    </row>
    <row r="358" spans="1:34" ht="13.8">
      <c r="A358" s="661"/>
      <c r="B358" s="661"/>
      <c r="C358" s="606"/>
      <c r="D358" s="606"/>
      <c r="E358" s="606"/>
      <c r="F358" s="606"/>
      <c r="G358" s="606"/>
      <c r="H358" s="606"/>
      <c r="I358" s="606"/>
      <c r="J358" s="606"/>
      <c r="K358" s="606"/>
      <c r="L358" s="606"/>
      <c r="M358" s="606"/>
      <c r="N358" s="606"/>
      <c r="O358" s="606"/>
      <c r="P358" s="606"/>
      <c r="Q358" s="606"/>
      <c r="R358" s="606"/>
      <c r="S358" s="606"/>
      <c r="T358" s="606"/>
      <c r="U358" s="606"/>
      <c r="V358" s="606"/>
      <c r="W358" s="606"/>
      <c r="X358" s="606"/>
      <c r="Y358" s="606"/>
      <c r="Z358" s="606"/>
      <c r="AA358" s="606"/>
      <c r="AB358" s="606"/>
      <c r="AC358" s="606"/>
      <c r="AD358" s="606"/>
      <c r="AE358" s="606"/>
      <c r="AF358" s="606"/>
      <c r="AG358" s="606"/>
      <c r="AH358" s="660"/>
    </row>
    <row r="359" spans="1:34" ht="13.8">
      <c r="A359" s="661"/>
      <c r="B359" s="661"/>
      <c r="C359" s="606"/>
      <c r="D359" s="606"/>
      <c r="E359" s="606"/>
      <c r="F359" s="606"/>
      <c r="G359" s="606"/>
      <c r="H359" s="606"/>
      <c r="I359" s="606"/>
      <c r="J359" s="606"/>
      <c r="K359" s="606"/>
      <c r="L359" s="606"/>
      <c r="M359" s="606"/>
      <c r="N359" s="606"/>
      <c r="O359" s="606"/>
      <c r="P359" s="606"/>
      <c r="Q359" s="606"/>
      <c r="R359" s="606"/>
      <c r="S359" s="606"/>
      <c r="T359" s="606"/>
      <c r="U359" s="606"/>
      <c r="V359" s="606"/>
      <c r="W359" s="606"/>
      <c r="X359" s="606"/>
      <c r="Y359" s="606"/>
      <c r="Z359" s="606"/>
      <c r="AA359" s="606"/>
      <c r="AB359" s="606"/>
      <c r="AC359" s="606"/>
      <c r="AD359" s="606"/>
      <c r="AE359" s="606"/>
      <c r="AF359" s="606"/>
      <c r="AG359" s="606"/>
      <c r="AH359" s="660"/>
    </row>
    <row r="360" spans="1:34" ht="13.8" thickBot="1"/>
    <row r="361" spans="1:34" ht="14.4" thickBot="1">
      <c r="A361" s="3954" t="s">
        <v>317</v>
      </c>
      <c r="B361" s="3955"/>
      <c r="C361" s="3967"/>
      <c r="D361" s="564" t="s">
        <v>8</v>
      </c>
      <c r="E361" s="560"/>
      <c r="F361" s="565"/>
    </row>
    <row r="362" spans="1:34" ht="13.8">
      <c r="A362" s="146" t="s">
        <v>70</v>
      </c>
      <c r="B362" s="146" t="s">
        <v>71</v>
      </c>
      <c r="C362" s="1267">
        <v>1</v>
      </c>
      <c r="D362" s="198">
        <v>2</v>
      </c>
      <c r="E362" s="198">
        <v>3</v>
      </c>
      <c r="F362" s="198">
        <v>4</v>
      </c>
      <c r="G362" s="147">
        <v>5</v>
      </c>
      <c r="H362" s="147">
        <v>6</v>
      </c>
      <c r="I362" s="147">
        <v>7</v>
      </c>
      <c r="J362" s="147">
        <v>8</v>
      </c>
      <c r="K362" s="147">
        <v>9</v>
      </c>
      <c r="L362" s="147">
        <v>10</v>
      </c>
      <c r="M362" s="147">
        <v>11</v>
      </c>
      <c r="N362" s="147">
        <v>12</v>
      </c>
      <c r="O362" s="147">
        <v>13</v>
      </c>
      <c r="P362" s="147">
        <v>14</v>
      </c>
      <c r="Q362" s="147">
        <v>15</v>
      </c>
      <c r="R362" s="147">
        <v>16</v>
      </c>
      <c r="S362" s="147">
        <v>17</v>
      </c>
      <c r="T362" s="147">
        <v>18</v>
      </c>
      <c r="U362" s="147">
        <v>19</v>
      </c>
      <c r="V362" s="147">
        <v>20</v>
      </c>
      <c r="W362" s="136">
        <v>21</v>
      </c>
      <c r="X362" s="147">
        <v>22</v>
      </c>
      <c r="Y362" s="147">
        <v>23</v>
      </c>
      <c r="Z362" s="147">
        <v>24</v>
      </c>
      <c r="AA362" s="147">
        <v>25</v>
      </c>
      <c r="AB362" s="147">
        <v>26</v>
      </c>
      <c r="AC362" s="147">
        <v>27</v>
      </c>
      <c r="AD362" s="147">
        <v>28</v>
      </c>
      <c r="AE362" s="147">
        <v>29</v>
      </c>
      <c r="AF362" s="147">
        <v>30</v>
      </c>
      <c r="AG362" s="147">
        <v>31</v>
      </c>
      <c r="AH362" s="149" t="s">
        <v>50</v>
      </c>
    </row>
    <row r="363" spans="1:34" ht="13.8">
      <c r="A363" s="136" t="s">
        <v>73</v>
      </c>
      <c r="B363" s="130">
        <f t="shared" ref="B363:B374" si="45">+AH363</f>
        <v>0</v>
      </c>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c r="AD363" s="150"/>
      <c r="AE363" s="150"/>
      <c r="AF363" s="150"/>
      <c r="AG363" s="150"/>
      <c r="AH363" s="151">
        <f>SUM(C363:AG363)</f>
        <v>0</v>
      </c>
    </row>
    <row r="364" spans="1:34" ht="13.8">
      <c r="A364" s="136" t="s">
        <v>74</v>
      </c>
      <c r="B364" s="130">
        <f t="shared" si="45"/>
        <v>0</v>
      </c>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c r="AD364" s="150"/>
      <c r="AE364" s="150"/>
      <c r="AF364" s="150"/>
      <c r="AG364" s="150"/>
      <c r="AH364" s="151">
        <f t="shared" ref="AH364:AH374" si="46">SUM(C364:AG364)</f>
        <v>0</v>
      </c>
    </row>
    <row r="365" spans="1:34" ht="13.8">
      <c r="A365" s="136" t="s">
        <v>75</v>
      </c>
      <c r="B365" s="130">
        <f t="shared" si="45"/>
        <v>0</v>
      </c>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c r="AD365" s="150"/>
      <c r="AE365" s="150"/>
      <c r="AF365" s="150"/>
      <c r="AG365" s="150"/>
      <c r="AH365" s="151">
        <f t="shared" si="46"/>
        <v>0</v>
      </c>
    </row>
    <row r="366" spans="1:34" ht="13.8">
      <c r="A366" s="136" t="s">
        <v>76</v>
      </c>
      <c r="B366" s="130">
        <f t="shared" si="45"/>
        <v>0</v>
      </c>
      <c r="C366" s="152"/>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c r="AA366" s="153"/>
      <c r="AB366" s="153"/>
      <c r="AC366" s="153"/>
      <c r="AD366" s="153"/>
      <c r="AE366" s="153"/>
      <c r="AF366" s="153"/>
      <c r="AG366" s="153"/>
      <c r="AH366" s="151">
        <f t="shared" si="46"/>
        <v>0</v>
      </c>
    </row>
    <row r="367" spans="1:34" ht="13.8">
      <c r="A367" s="136" t="s">
        <v>77</v>
      </c>
      <c r="B367" s="130">
        <f t="shared" si="45"/>
        <v>0</v>
      </c>
      <c r="C367" s="152"/>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c r="AA367" s="153"/>
      <c r="AB367" s="153"/>
      <c r="AC367" s="153"/>
      <c r="AD367" s="153"/>
      <c r="AE367" s="153"/>
      <c r="AF367" s="153"/>
      <c r="AG367" s="153"/>
      <c r="AH367" s="151">
        <f t="shared" si="46"/>
        <v>0</v>
      </c>
    </row>
    <row r="368" spans="1:34" ht="13.8">
      <c r="A368" s="136" t="s">
        <v>78</v>
      </c>
      <c r="B368" s="130">
        <f t="shared" si="45"/>
        <v>0</v>
      </c>
      <c r="C368" s="152"/>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c r="AA368" s="153"/>
      <c r="AB368" s="153"/>
      <c r="AC368" s="153"/>
      <c r="AD368" s="153"/>
      <c r="AE368" s="153"/>
      <c r="AF368" s="153"/>
      <c r="AG368" s="153"/>
      <c r="AH368" s="151">
        <f t="shared" si="46"/>
        <v>0</v>
      </c>
    </row>
    <row r="369" spans="1:34" ht="13.8">
      <c r="A369" s="136" t="s">
        <v>79</v>
      </c>
      <c r="B369" s="130">
        <f t="shared" si="45"/>
        <v>0</v>
      </c>
      <c r="C369" s="152"/>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c r="AA369" s="153"/>
      <c r="AB369" s="153"/>
      <c r="AC369" s="153"/>
      <c r="AD369" s="153"/>
      <c r="AE369" s="153"/>
      <c r="AF369" s="153"/>
      <c r="AG369" s="153"/>
      <c r="AH369" s="151">
        <f t="shared" si="46"/>
        <v>0</v>
      </c>
    </row>
    <row r="370" spans="1:34" ht="13.8">
      <c r="A370" s="136" t="s">
        <v>80</v>
      </c>
      <c r="B370" s="130">
        <f t="shared" si="45"/>
        <v>0</v>
      </c>
      <c r="C370" s="152"/>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c r="AA370" s="153"/>
      <c r="AB370" s="153"/>
      <c r="AC370" s="153"/>
      <c r="AD370" s="153"/>
      <c r="AE370" s="153"/>
      <c r="AF370" s="153"/>
      <c r="AG370" s="153"/>
      <c r="AH370" s="151">
        <f t="shared" si="46"/>
        <v>0</v>
      </c>
    </row>
    <row r="371" spans="1:34" ht="13.8">
      <c r="A371" s="136" t="s">
        <v>81</v>
      </c>
      <c r="B371" s="130">
        <f t="shared" si="45"/>
        <v>0</v>
      </c>
      <c r="C371" s="152"/>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c r="AA371" s="153"/>
      <c r="AB371" s="153"/>
      <c r="AC371" s="153"/>
      <c r="AD371" s="153"/>
      <c r="AE371" s="153"/>
      <c r="AF371" s="153"/>
      <c r="AG371" s="153"/>
      <c r="AH371" s="151">
        <f t="shared" si="46"/>
        <v>0</v>
      </c>
    </row>
    <row r="372" spans="1:34" ht="13.8">
      <c r="A372" s="136" t="s">
        <v>82</v>
      </c>
      <c r="B372" s="130">
        <f t="shared" si="45"/>
        <v>0</v>
      </c>
      <c r="C372" s="152"/>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c r="AA372" s="153"/>
      <c r="AB372" s="153"/>
      <c r="AC372" s="153"/>
      <c r="AD372" s="153"/>
      <c r="AE372" s="153"/>
      <c r="AF372" s="153"/>
      <c r="AG372" s="153"/>
      <c r="AH372" s="151">
        <f t="shared" si="46"/>
        <v>0</v>
      </c>
    </row>
    <row r="373" spans="1:34" ht="13.8">
      <c r="A373" s="136" t="s">
        <v>83</v>
      </c>
      <c r="B373" s="130">
        <f t="shared" si="45"/>
        <v>0</v>
      </c>
      <c r="C373" s="152"/>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c r="AA373" s="153"/>
      <c r="AB373" s="153"/>
      <c r="AC373" s="153"/>
      <c r="AD373" s="153"/>
      <c r="AE373" s="153"/>
      <c r="AF373" s="153"/>
      <c r="AG373" s="153"/>
      <c r="AH373" s="151">
        <f t="shared" si="46"/>
        <v>0</v>
      </c>
    </row>
    <row r="374" spans="1:34" ht="13.8">
      <c r="A374" s="147" t="s">
        <v>84</v>
      </c>
      <c r="B374" s="130">
        <f t="shared" si="45"/>
        <v>0</v>
      </c>
      <c r="C374" s="152"/>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c r="AA374" s="153"/>
      <c r="AB374" s="153"/>
      <c r="AC374" s="153"/>
      <c r="AD374" s="153"/>
      <c r="AE374" s="153"/>
      <c r="AF374" s="153"/>
      <c r="AG374" s="153"/>
      <c r="AH374" s="151">
        <f t="shared" si="46"/>
        <v>0</v>
      </c>
    </row>
    <row r="375" spans="1:34" ht="13.8">
      <c r="A375" s="154" t="s">
        <v>50</v>
      </c>
      <c r="B375" s="154">
        <f>SUM(B363:B374)</f>
        <v>0</v>
      </c>
      <c r="C375" s="155"/>
      <c r="D375" s="155"/>
      <c r="E375" s="155"/>
      <c r="F375" s="155"/>
      <c r="G375" s="155"/>
      <c r="H375" s="155"/>
      <c r="I375" s="155"/>
      <c r="J375" s="155"/>
      <c r="K375" s="155"/>
      <c r="L375" s="155"/>
      <c r="M375" s="155"/>
      <c r="N375" s="155"/>
      <c r="O375" s="155"/>
      <c r="P375" s="155"/>
      <c r="Q375" s="155"/>
      <c r="R375" s="155"/>
      <c r="S375" s="155"/>
      <c r="T375" s="155"/>
      <c r="U375" s="155"/>
      <c r="V375" s="155"/>
      <c r="W375" s="155"/>
      <c r="X375" s="155"/>
      <c r="Y375" s="155"/>
      <c r="Z375" s="155"/>
      <c r="AA375" s="155"/>
      <c r="AB375" s="155"/>
      <c r="AC375" s="155"/>
      <c r="AD375" s="155"/>
      <c r="AE375" s="155"/>
      <c r="AF375" s="155"/>
      <c r="AG375" s="155"/>
      <c r="AH375" s="156"/>
    </row>
    <row r="377" spans="1:34" ht="13.8" thickBot="1"/>
    <row r="378" spans="1:34" ht="14.4" thickBot="1">
      <c r="A378" s="3954" t="s">
        <v>318</v>
      </c>
      <c r="B378" s="3955"/>
      <c r="C378" s="3955"/>
      <c r="D378" s="564" t="s">
        <v>8</v>
      </c>
      <c r="E378" s="560"/>
      <c r="F378" s="565"/>
    </row>
    <row r="379" spans="1:34" ht="13.8">
      <c r="A379" s="146" t="s">
        <v>70</v>
      </c>
      <c r="B379" s="146" t="s">
        <v>71</v>
      </c>
      <c r="C379" s="1267">
        <v>1</v>
      </c>
      <c r="D379" s="198">
        <v>2</v>
      </c>
      <c r="E379" s="198">
        <v>3</v>
      </c>
      <c r="F379" s="198">
        <v>4</v>
      </c>
      <c r="G379" s="147">
        <v>5</v>
      </c>
      <c r="H379" s="147">
        <v>6</v>
      </c>
      <c r="I379" s="147">
        <v>7</v>
      </c>
      <c r="J379" s="147">
        <v>8</v>
      </c>
      <c r="K379" s="147">
        <v>9</v>
      </c>
      <c r="L379" s="147">
        <v>10</v>
      </c>
      <c r="M379" s="147">
        <v>11</v>
      </c>
      <c r="N379" s="147">
        <v>12</v>
      </c>
      <c r="O379" s="147">
        <v>13</v>
      </c>
      <c r="P379" s="147">
        <v>14</v>
      </c>
      <c r="Q379" s="147">
        <v>15</v>
      </c>
      <c r="R379" s="147">
        <v>16</v>
      </c>
      <c r="S379" s="147">
        <v>17</v>
      </c>
      <c r="T379" s="147">
        <v>18</v>
      </c>
      <c r="U379" s="147">
        <v>19</v>
      </c>
      <c r="V379" s="147">
        <v>20</v>
      </c>
      <c r="W379" s="136">
        <v>21</v>
      </c>
      <c r="X379" s="147">
        <v>22</v>
      </c>
      <c r="Y379" s="147">
        <v>23</v>
      </c>
      <c r="Z379" s="147">
        <v>24</v>
      </c>
      <c r="AA379" s="147">
        <v>25</v>
      </c>
      <c r="AB379" s="147">
        <v>26</v>
      </c>
      <c r="AC379" s="147">
        <v>27</v>
      </c>
      <c r="AD379" s="147">
        <v>28</v>
      </c>
      <c r="AE379" s="147">
        <v>29</v>
      </c>
      <c r="AF379" s="147">
        <v>30</v>
      </c>
      <c r="AG379" s="147">
        <v>31</v>
      </c>
      <c r="AH379" s="149" t="s">
        <v>50</v>
      </c>
    </row>
    <row r="380" spans="1:34" ht="13.8">
      <c r="A380" s="136" t="s">
        <v>73</v>
      </c>
      <c r="B380" s="130">
        <f t="shared" ref="B380:B391" si="47">+AH380</f>
        <v>0</v>
      </c>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c r="AD380" s="150"/>
      <c r="AE380" s="150"/>
      <c r="AF380" s="150"/>
      <c r="AG380" s="150"/>
      <c r="AH380" s="151">
        <f>SUM(C380:AG380)</f>
        <v>0</v>
      </c>
    </row>
    <row r="381" spans="1:34" ht="13.8">
      <c r="A381" s="136" t="s">
        <v>74</v>
      </c>
      <c r="B381" s="130">
        <f t="shared" si="47"/>
        <v>0</v>
      </c>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c r="AD381" s="150"/>
      <c r="AE381" s="150"/>
      <c r="AF381" s="150"/>
      <c r="AG381" s="150"/>
      <c r="AH381" s="151">
        <f t="shared" ref="AH381:AH391" si="48">SUM(C381:AG381)</f>
        <v>0</v>
      </c>
    </row>
    <row r="382" spans="1:34" ht="13.8">
      <c r="A382" s="136" t="s">
        <v>75</v>
      </c>
      <c r="B382" s="130">
        <f t="shared" si="47"/>
        <v>0</v>
      </c>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c r="AD382" s="150"/>
      <c r="AE382" s="150"/>
      <c r="AF382" s="150"/>
      <c r="AG382" s="150"/>
      <c r="AH382" s="151">
        <f t="shared" si="48"/>
        <v>0</v>
      </c>
    </row>
    <row r="383" spans="1:34" ht="13.8">
      <c r="A383" s="136" t="s">
        <v>76</v>
      </c>
      <c r="B383" s="130">
        <f t="shared" si="47"/>
        <v>0</v>
      </c>
      <c r="C383" s="152"/>
      <c r="D383" s="153"/>
      <c r="E383" s="566"/>
      <c r="F383" s="566"/>
      <c r="G383" s="153"/>
      <c r="H383" s="153"/>
      <c r="I383" s="153"/>
      <c r="J383" s="153"/>
      <c r="K383" s="153"/>
      <c r="L383" s="153"/>
      <c r="M383" s="153"/>
      <c r="N383" s="153"/>
      <c r="O383" s="153"/>
      <c r="P383" s="153"/>
      <c r="Q383" s="153"/>
      <c r="R383" s="153"/>
      <c r="S383" s="153"/>
      <c r="T383" s="153"/>
      <c r="U383" s="153"/>
      <c r="V383" s="153"/>
      <c r="W383" s="153"/>
      <c r="X383" s="153"/>
      <c r="Y383" s="153"/>
      <c r="Z383" s="153"/>
      <c r="AA383" s="153"/>
      <c r="AB383" s="153"/>
      <c r="AC383" s="153"/>
      <c r="AD383" s="153"/>
      <c r="AE383" s="153"/>
      <c r="AF383" s="153"/>
      <c r="AG383" s="153"/>
      <c r="AH383" s="151">
        <f t="shared" si="48"/>
        <v>0</v>
      </c>
    </row>
    <row r="384" spans="1:34" ht="13.8">
      <c r="A384" s="136" t="s">
        <v>77</v>
      </c>
      <c r="B384" s="130">
        <f t="shared" si="47"/>
        <v>0</v>
      </c>
      <c r="C384" s="152"/>
      <c r="D384" s="153"/>
      <c r="E384" s="566"/>
      <c r="F384" s="566"/>
      <c r="G384" s="153"/>
      <c r="H384" s="153"/>
      <c r="I384" s="153"/>
      <c r="J384" s="153"/>
      <c r="K384" s="153"/>
      <c r="L384" s="153"/>
      <c r="M384" s="153"/>
      <c r="N384" s="153"/>
      <c r="O384" s="153"/>
      <c r="P384" s="153"/>
      <c r="Q384" s="153"/>
      <c r="R384" s="153"/>
      <c r="S384" s="153"/>
      <c r="T384" s="153"/>
      <c r="U384" s="153"/>
      <c r="V384" s="153"/>
      <c r="W384" s="153"/>
      <c r="X384" s="153"/>
      <c r="Y384" s="153"/>
      <c r="Z384" s="153"/>
      <c r="AA384" s="153"/>
      <c r="AB384" s="153"/>
      <c r="AC384" s="153"/>
      <c r="AD384" s="153"/>
      <c r="AE384" s="153"/>
      <c r="AF384" s="153"/>
      <c r="AG384" s="153"/>
      <c r="AH384" s="151">
        <f t="shared" si="48"/>
        <v>0</v>
      </c>
    </row>
    <row r="385" spans="1:34" ht="13.8">
      <c r="A385" s="136" t="s">
        <v>78</v>
      </c>
      <c r="B385" s="130">
        <f t="shared" si="47"/>
        <v>0</v>
      </c>
      <c r="C385" s="152"/>
      <c r="D385" s="153"/>
      <c r="E385" s="566"/>
      <c r="F385" s="566"/>
      <c r="G385" s="153"/>
      <c r="H385" s="153"/>
      <c r="I385" s="153"/>
      <c r="J385" s="153"/>
      <c r="K385" s="153"/>
      <c r="L385" s="153"/>
      <c r="M385" s="153"/>
      <c r="N385" s="153"/>
      <c r="O385" s="153"/>
      <c r="P385" s="153"/>
      <c r="Q385" s="153"/>
      <c r="R385" s="153"/>
      <c r="S385" s="153"/>
      <c r="T385" s="153"/>
      <c r="U385" s="153"/>
      <c r="V385" s="153"/>
      <c r="W385" s="153"/>
      <c r="X385" s="153"/>
      <c r="Y385" s="153"/>
      <c r="Z385" s="153"/>
      <c r="AA385" s="153"/>
      <c r="AB385" s="153"/>
      <c r="AC385" s="153"/>
      <c r="AD385" s="153"/>
      <c r="AE385" s="153"/>
      <c r="AF385" s="153"/>
      <c r="AG385" s="153"/>
      <c r="AH385" s="151">
        <f t="shared" si="48"/>
        <v>0</v>
      </c>
    </row>
    <row r="386" spans="1:34" ht="13.8">
      <c r="A386" s="136" t="s">
        <v>79</v>
      </c>
      <c r="B386" s="130">
        <f t="shared" si="47"/>
        <v>0</v>
      </c>
      <c r="C386" s="152"/>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c r="AA386" s="153"/>
      <c r="AB386" s="153"/>
      <c r="AC386" s="153"/>
      <c r="AD386" s="153"/>
      <c r="AE386" s="153"/>
      <c r="AF386" s="153"/>
      <c r="AG386" s="153"/>
      <c r="AH386" s="151">
        <f t="shared" si="48"/>
        <v>0</v>
      </c>
    </row>
    <row r="387" spans="1:34" ht="13.8">
      <c r="A387" s="136" t="s">
        <v>80</v>
      </c>
      <c r="B387" s="130">
        <f t="shared" si="47"/>
        <v>0</v>
      </c>
      <c r="C387" s="152"/>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c r="AA387" s="153"/>
      <c r="AB387" s="153"/>
      <c r="AC387" s="153"/>
      <c r="AD387" s="153"/>
      <c r="AE387" s="153"/>
      <c r="AF387" s="153"/>
      <c r="AG387" s="153"/>
      <c r="AH387" s="151">
        <f t="shared" si="48"/>
        <v>0</v>
      </c>
    </row>
    <row r="388" spans="1:34" ht="13.8">
      <c r="A388" s="136" t="s">
        <v>81</v>
      </c>
      <c r="B388" s="130">
        <f t="shared" si="47"/>
        <v>0</v>
      </c>
      <c r="C388" s="152"/>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c r="AA388" s="153"/>
      <c r="AB388" s="153"/>
      <c r="AC388" s="153"/>
      <c r="AD388" s="153"/>
      <c r="AE388" s="153"/>
      <c r="AF388" s="153"/>
      <c r="AG388" s="153"/>
      <c r="AH388" s="151">
        <f t="shared" si="48"/>
        <v>0</v>
      </c>
    </row>
    <row r="389" spans="1:34" ht="13.8">
      <c r="A389" s="136" t="s">
        <v>82</v>
      </c>
      <c r="B389" s="130">
        <f t="shared" si="47"/>
        <v>0</v>
      </c>
      <c r="C389" s="152"/>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c r="AA389" s="153"/>
      <c r="AB389" s="153"/>
      <c r="AC389" s="153"/>
      <c r="AD389" s="153"/>
      <c r="AE389" s="153"/>
      <c r="AF389" s="153"/>
      <c r="AG389" s="153"/>
      <c r="AH389" s="151">
        <f t="shared" si="48"/>
        <v>0</v>
      </c>
    </row>
    <row r="390" spans="1:34" ht="13.8">
      <c r="A390" s="136" t="s">
        <v>83</v>
      </c>
      <c r="B390" s="130">
        <f t="shared" si="47"/>
        <v>0</v>
      </c>
      <c r="C390" s="152"/>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c r="AA390" s="153"/>
      <c r="AB390" s="153"/>
      <c r="AC390" s="153"/>
      <c r="AD390" s="153"/>
      <c r="AE390" s="153"/>
      <c r="AF390" s="153"/>
      <c r="AG390" s="153"/>
      <c r="AH390" s="151">
        <f t="shared" si="48"/>
        <v>0</v>
      </c>
    </row>
    <row r="391" spans="1:34" ht="13.8">
      <c r="A391" s="147" t="s">
        <v>84</v>
      </c>
      <c r="B391" s="130">
        <f t="shared" si="47"/>
        <v>0</v>
      </c>
      <c r="C391" s="152"/>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c r="AA391" s="153"/>
      <c r="AB391" s="153"/>
      <c r="AC391" s="153"/>
      <c r="AD391" s="153"/>
      <c r="AE391" s="153"/>
      <c r="AF391" s="153"/>
      <c r="AG391" s="153"/>
      <c r="AH391" s="151">
        <f t="shared" si="48"/>
        <v>0</v>
      </c>
    </row>
    <row r="392" spans="1:34" ht="13.8">
      <c r="A392" s="154" t="s">
        <v>50</v>
      </c>
      <c r="B392" s="154">
        <f>SUM(B380:B391)</f>
        <v>0</v>
      </c>
      <c r="C392" s="155"/>
      <c r="D392" s="155"/>
      <c r="E392" s="155"/>
      <c r="F392" s="155"/>
      <c r="G392" s="155"/>
      <c r="H392" s="155"/>
      <c r="I392" s="155"/>
      <c r="J392" s="155"/>
      <c r="K392" s="155"/>
      <c r="L392" s="155"/>
      <c r="M392" s="155"/>
      <c r="N392" s="155"/>
      <c r="O392" s="155"/>
      <c r="P392" s="155"/>
      <c r="Q392" s="155"/>
      <c r="R392" s="155"/>
      <c r="S392" s="155"/>
      <c r="T392" s="155"/>
      <c r="U392" s="155"/>
      <c r="V392" s="155"/>
      <c r="W392" s="155"/>
      <c r="X392" s="155"/>
      <c r="Y392" s="155"/>
      <c r="Z392" s="155"/>
      <c r="AA392" s="155"/>
      <c r="AB392" s="155"/>
      <c r="AC392" s="155"/>
      <c r="AD392" s="155"/>
      <c r="AE392" s="155"/>
      <c r="AF392" s="155"/>
      <c r="AG392" s="155"/>
      <c r="AH392" s="156"/>
    </row>
    <row r="394" spans="1:34" ht="13.8" thickBot="1"/>
    <row r="395" spans="1:34" ht="14.4" thickBot="1">
      <c r="A395" s="3954" t="s">
        <v>318</v>
      </c>
      <c r="B395" s="3955"/>
      <c r="C395" s="3955"/>
      <c r="D395" s="564" t="s">
        <v>8</v>
      </c>
      <c r="E395" s="560"/>
      <c r="F395" s="565"/>
    </row>
    <row r="396" spans="1:34" ht="13.8">
      <c r="A396" s="146" t="s">
        <v>70</v>
      </c>
      <c r="B396" s="146" t="s">
        <v>71</v>
      </c>
      <c r="C396" s="1267">
        <v>1</v>
      </c>
      <c r="D396" s="198">
        <v>2</v>
      </c>
      <c r="E396" s="198">
        <v>3</v>
      </c>
      <c r="F396" s="198">
        <v>4</v>
      </c>
      <c r="G396" s="147">
        <v>5</v>
      </c>
      <c r="H396" s="147">
        <v>6</v>
      </c>
      <c r="I396" s="147">
        <v>7</v>
      </c>
      <c r="J396" s="147">
        <v>8</v>
      </c>
      <c r="K396" s="147">
        <v>9</v>
      </c>
      <c r="L396" s="147">
        <v>10</v>
      </c>
      <c r="M396" s="147">
        <v>11</v>
      </c>
      <c r="N396" s="147">
        <v>12</v>
      </c>
      <c r="O396" s="147">
        <v>13</v>
      </c>
      <c r="P396" s="147">
        <v>14</v>
      </c>
      <c r="Q396" s="147">
        <v>15</v>
      </c>
      <c r="R396" s="147">
        <v>16</v>
      </c>
      <c r="S396" s="147">
        <v>17</v>
      </c>
      <c r="T396" s="147">
        <v>18</v>
      </c>
      <c r="U396" s="147">
        <v>19</v>
      </c>
      <c r="V396" s="147">
        <v>20</v>
      </c>
      <c r="W396" s="136">
        <v>21</v>
      </c>
      <c r="X396" s="147">
        <v>22</v>
      </c>
      <c r="Y396" s="147">
        <v>23</v>
      </c>
      <c r="Z396" s="147">
        <v>24</v>
      </c>
      <c r="AA396" s="147">
        <v>25</v>
      </c>
      <c r="AB396" s="147">
        <v>26</v>
      </c>
      <c r="AC396" s="147">
        <v>27</v>
      </c>
      <c r="AD396" s="147">
        <v>28</v>
      </c>
      <c r="AE396" s="147">
        <v>29</v>
      </c>
      <c r="AF396" s="147">
        <v>30</v>
      </c>
      <c r="AG396" s="147">
        <v>31</v>
      </c>
      <c r="AH396" s="149" t="s">
        <v>50</v>
      </c>
    </row>
    <row r="397" spans="1:34" ht="13.8">
      <c r="A397" s="136" t="s">
        <v>73</v>
      </c>
      <c r="B397" s="130">
        <f t="shared" ref="B397:B408" si="49">+AH397</f>
        <v>0</v>
      </c>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c r="AD397" s="150"/>
      <c r="AE397" s="150"/>
      <c r="AF397" s="150"/>
      <c r="AG397" s="150"/>
      <c r="AH397" s="151">
        <f>SUM(C397:AG397)</f>
        <v>0</v>
      </c>
    </row>
    <row r="398" spans="1:34" ht="13.8">
      <c r="A398" s="136" t="s">
        <v>74</v>
      </c>
      <c r="B398" s="130">
        <f t="shared" si="49"/>
        <v>0</v>
      </c>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c r="AD398" s="150"/>
      <c r="AE398" s="150"/>
      <c r="AF398" s="150"/>
      <c r="AG398" s="150"/>
      <c r="AH398" s="151">
        <f t="shared" ref="AH398:AH408" si="50">SUM(C398:AG398)</f>
        <v>0</v>
      </c>
    </row>
    <row r="399" spans="1:34" ht="13.8">
      <c r="A399" s="136" t="s">
        <v>75</v>
      </c>
      <c r="B399" s="130">
        <f t="shared" si="49"/>
        <v>0</v>
      </c>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c r="AD399" s="150"/>
      <c r="AE399" s="150"/>
      <c r="AF399" s="150"/>
      <c r="AG399" s="150"/>
      <c r="AH399" s="151">
        <f t="shared" si="50"/>
        <v>0</v>
      </c>
    </row>
    <row r="400" spans="1:34" ht="13.8">
      <c r="A400" s="136" t="s">
        <v>76</v>
      </c>
      <c r="B400" s="130">
        <f t="shared" si="49"/>
        <v>0</v>
      </c>
      <c r="C400" s="152"/>
      <c r="D400" s="153"/>
      <c r="E400" s="566"/>
      <c r="F400" s="566"/>
      <c r="G400" s="153"/>
      <c r="H400" s="153"/>
      <c r="I400" s="153"/>
      <c r="J400" s="153"/>
      <c r="K400" s="153"/>
      <c r="L400" s="153"/>
      <c r="M400" s="153"/>
      <c r="N400" s="153"/>
      <c r="O400" s="153"/>
      <c r="P400" s="153"/>
      <c r="Q400" s="153"/>
      <c r="R400" s="153"/>
      <c r="S400" s="153"/>
      <c r="T400" s="153"/>
      <c r="U400" s="153"/>
      <c r="V400" s="153"/>
      <c r="W400" s="153"/>
      <c r="X400" s="153"/>
      <c r="Y400" s="153"/>
      <c r="Z400" s="153"/>
      <c r="AA400" s="153"/>
      <c r="AB400" s="153"/>
      <c r="AC400" s="153"/>
      <c r="AD400" s="153"/>
      <c r="AE400" s="153"/>
      <c r="AF400" s="153"/>
      <c r="AG400" s="153"/>
      <c r="AH400" s="151">
        <f t="shared" si="50"/>
        <v>0</v>
      </c>
    </row>
    <row r="401" spans="1:34" ht="13.8">
      <c r="A401" s="136" t="s">
        <v>77</v>
      </c>
      <c r="B401" s="130">
        <f t="shared" si="49"/>
        <v>0</v>
      </c>
      <c r="C401" s="152"/>
      <c r="D401" s="153"/>
      <c r="E401" s="566"/>
      <c r="F401" s="566"/>
      <c r="G401" s="153"/>
      <c r="H401" s="153"/>
      <c r="I401" s="153"/>
      <c r="J401" s="153"/>
      <c r="K401" s="153"/>
      <c r="L401" s="153"/>
      <c r="M401" s="153"/>
      <c r="N401" s="153"/>
      <c r="O401" s="153"/>
      <c r="P401" s="153"/>
      <c r="Q401" s="153"/>
      <c r="R401" s="153"/>
      <c r="S401" s="153"/>
      <c r="T401" s="153"/>
      <c r="U401" s="153"/>
      <c r="V401" s="153"/>
      <c r="W401" s="153"/>
      <c r="X401" s="153"/>
      <c r="Y401" s="153"/>
      <c r="Z401" s="153"/>
      <c r="AA401" s="153"/>
      <c r="AB401" s="153"/>
      <c r="AC401" s="153"/>
      <c r="AD401" s="153"/>
      <c r="AE401" s="153"/>
      <c r="AF401" s="153"/>
      <c r="AG401" s="153"/>
      <c r="AH401" s="151">
        <f t="shared" si="50"/>
        <v>0</v>
      </c>
    </row>
    <row r="402" spans="1:34" ht="13.8">
      <c r="A402" s="136" t="s">
        <v>78</v>
      </c>
      <c r="B402" s="130">
        <f t="shared" si="49"/>
        <v>0</v>
      </c>
      <c r="C402" s="152"/>
      <c r="D402" s="153"/>
      <c r="E402" s="566"/>
      <c r="F402" s="566"/>
      <c r="G402" s="153"/>
      <c r="H402" s="153"/>
      <c r="I402" s="153"/>
      <c r="J402" s="153"/>
      <c r="K402" s="153"/>
      <c r="L402" s="153"/>
      <c r="M402" s="153"/>
      <c r="N402" s="153"/>
      <c r="O402" s="153"/>
      <c r="P402" s="153"/>
      <c r="Q402" s="153"/>
      <c r="R402" s="153"/>
      <c r="S402" s="153"/>
      <c r="T402" s="153"/>
      <c r="U402" s="153"/>
      <c r="V402" s="153"/>
      <c r="W402" s="153"/>
      <c r="X402" s="153"/>
      <c r="Y402" s="153"/>
      <c r="Z402" s="153"/>
      <c r="AA402" s="153"/>
      <c r="AB402" s="153"/>
      <c r="AC402" s="153"/>
      <c r="AD402" s="153"/>
      <c r="AE402" s="153"/>
      <c r="AF402" s="153"/>
      <c r="AG402" s="153"/>
      <c r="AH402" s="151">
        <f t="shared" si="50"/>
        <v>0</v>
      </c>
    </row>
    <row r="403" spans="1:34" ht="13.8">
      <c r="A403" s="136" t="s">
        <v>79</v>
      </c>
      <c r="B403" s="130">
        <f t="shared" si="49"/>
        <v>0</v>
      </c>
      <c r="C403" s="152"/>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c r="AA403" s="153"/>
      <c r="AB403" s="153"/>
      <c r="AC403" s="153"/>
      <c r="AD403" s="153"/>
      <c r="AE403" s="153"/>
      <c r="AF403" s="153"/>
      <c r="AG403" s="153"/>
      <c r="AH403" s="151">
        <f t="shared" si="50"/>
        <v>0</v>
      </c>
    </row>
    <row r="404" spans="1:34" ht="13.8">
      <c r="A404" s="136" t="s">
        <v>80</v>
      </c>
      <c r="B404" s="130">
        <f t="shared" si="49"/>
        <v>0</v>
      </c>
      <c r="C404" s="152"/>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c r="AA404" s="153"/>
      <c r="AB404" s="153"/>
      <c r="AC404" s="153"/>
      <c r="AD404" s="153"/>
      <c r="AE404" s="153"/>
      <c r="AF404" s="153"/>
      <c r="AG404" s="153"/>
      <c r="AH404" s="151">
        <f t="shared" si="50"/>
        <v>0</v>
      </c>
    </row>
    <row r="405" spans="1:34" ht="13.8">
      <c r="A405" s="136" t="s">
        <v>81</v>
      </c>
      <c r="B405" s="130">
        <f t="shared" si="49"/>
        <v>0</v>
      </c>
      <c r="C405" s="152"/>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c r="AA405" s="153"/>
      <c r="AB405" s="153"/>
      <c r="AC405" s="153"/>
      <c r="AD405" s="153"/>
      <c r="AE405" s="153"/>
      <c r="AF405" s="153"/>
      <c r="AG405" s="153"/>
      <c r="AH405" s="151">
        <f t="shared" si="50"/>
        <v>0</v>
      </c>
    </row>
    <row r="406" spans="1:34" ht="13.8">
      <c r="A406" s="136" t="s">
        <v>82</v>
      </c>
      <c r="B406" s="130">
        <f t="shared" si="49"/>
        <v>0</v>
      </c>
      <c r="C406" s="152"/>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c r="AA406" s="153"/>
      <c r="AB406" s="153"/>
      <c r="AC406" s="153"/>
      <c r="AD406" s="153"/>
      <c r="AE406" s="153"/>
      <c r="AF406" s="153"/>
      <c r="AG406" s="153"/>
      <c r="AH406" s="151">
        <f t="shared" si="50"/>
        <v>0</v>
      </c>
    </row>
    <row r="407" spans="1:34" ht="13.8">
      <c r="A407" s="136" t="s">
        <v>83</v>
      </c>
      <c r="B407" s="130">
        <f t="shared" si="49"/>
        <v>0</v>
      </c>
      <c r="C407" s="152"/>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c r="AA407" s="153"/>
      <c r="AB407" s="153"/>
      <c r="AC407" s="153"/>
      <c r="AD407" s="153"/>
      <c r="AE407" s="153"/>
      <c r="AF407" s="153"/>
      <c r="AG407" s="153"/>
      <c r="AH407" s="151">
        <f t="shared" si="50"/>
        <v>0</v>
      </c>
    </row>
    <row r="408" spans="1:34" ht="13.8">
      <c r="A408" s="147" t="s">
        <v>84</v>
      </c>
      <c r="B408" s="130">
        <f t="shared" si="49"/>
        <v>0</v>
      </c>
      <c r="C408" s="152"/>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c r="AA408" s="153"/>
      <c r="AB408" s="153"/>
      <c r="AC408" s="153"/>
      <c r="AD408" s="153"/>
      <c r="AE408" s="153"/>
      <c r="AF408" s="153"/>
      <c r="AG408" s="153"/>
      <c r="AH408" s="151">
        <f t="shared" si="50"/>
        <v>0</v>
      </c>
    </row>
    <row r="409" spans="1:34" ht="13.8">
      <c r="A409" s="154" t="s">
        <v>50</v>
      </c>
      <c r="B409" s="154">
        <f>SUM(B397:B408)</f>
        <v>0</v>
      </c>
      <c r="C409" s="155"/>
      <c r="D409" s="155"/>
      <c r="E409" s="155"/>
      <c r="F409" s="155"/>
      <c r="G409" s="155"/>
      <c r="H409" s="155"/>
      <c r="I409" s="155"/>
      <c r="J409" s="155"/>
      <c r="K409" s="155"/>
      <c r="L409" s="155"/>
      <c r="M409" s="155"/>
      <c r="N409" s="155"/>
      <c r="O409" s="155"/>
      <c r="P409" s="155"/>
      <c r="Q409" s="155"/>
      <c r="R409" s="155"/>
      <c r="S409" s="155"/>
      <c r="T409" s="155"/>
      <c r="U409" s="155"/>
      <c r="V409" s="155"/>
      <c r="W409" s="155"/>
      <c r="X409" s="155"/>
      <c r="Y409" s="155"/>
      <c r="Z409" s="155"/>
      <c r="AA409" s="155"/>
      <c r="AB409" s="155"/>
      <c r="AC409" s="155"/>
      <c r="AD409" s="155"/>
      <c r="AE409" s="155"/>
      <c r="AF409" s="155"/>
      <c r="AG409" s="155"/>
      <c r="AH409" s="156"/>
    </row>
    <row r="412" spans="1:34" ht="13.8">
      <c r="A412" s="732" t="s">
        <v>389</v>
      </c>
      <c r="B412" s="733"/>
      <c r="C412" s="733"/>
      <c r="D412" s="734"/>
    </row>
    <row r="413" spans="1:34" ht="13.8" thickBot="1"/>
    <row r="414" spans="1:34" ht="15" customHeight="1" thickBot="1">
      <c r="A414" s="3956" t="s">
        <v>383</v>
      </c>
      <c r="B414" s="3957"/>
      <c r="C414" s="3957"/>
      <c r="D414" s="3957"/>
      <c r="E414" s="3957"/>
      <c r="F414" s="3957"/>
      <c r="G414" s="3957"/>
      <c r="H414" s="3958"/>
      <c r="I414" s="642"/>
      <c r="J414" s="642"/>
      <c r="K414" s="642"/>
      <c r="L414" s="642"/>
      <c r="M414" s="643"/>
      <c r="N414" s="642"/>
      <c r="O414" s="642"/>
      <c r="P414" s="642"/>
      <c r="Q414" s="642"/>
      <c r="R414" s="642"/>
      <c r="S414" s="642"/>
      <c r="T414" s="642"/>
      <c r="U414" s="642"/>
      <c r="V414" s="642"/>
      <c r="W414" s="642"/>
      <c r="X414" s="642"/>
      <c r="Y414" s="642"/>
      <c r="Z414" s="642"/>
      <c r="AA414" s="642"/>
      <c r="AB414" s="642"/>
      <c r="AC414" s="642"/>
      <c r="AD414" s="642"/>
      <c r="AE414" s="642"/>
      <c r="AF414" s="642"/>
      <c r="AG414" s="642"/>
      <c r="AH414" s="644"/>
    </row>
    <row r="415" spans="1:34" ht="15">
      <c r="A415" s="657" t="s">
        <v>70</v>
      </c>
      <c r="B415" s="657" t="s">
        <v>71</v>
      </c>
      <c r="C415" s="1334">
        <v>1</v>
      </c>
      <c r="D415" s="658">
        <v>2</v>
      </c>
      <c r="E415" s="658">
        <v>3</v>
      </c>
      <c r="F415" s="658">
        <v>4</v>
      </c>
      <c r="G415" s="658">
        <v>5</v>
      </c>
      <c r="H415" s="658">
        <v>6</v>
      </c>
      <c r="I415" s="619">
        <v>7</v>
      </c>
      <c r="J415" s="619">
        <v>8</v>
      </c>
      <c r="K415" s="619">
        <v>9</v>
      </c>
      <c r="L415" s="619">
        <v>10</v>
      </c>
      <c r="M415" s="619">
        <v>11</v>
      </c>
      <c r="N415" s="619">
        <v>12</v>
      </c>
      <c r="O415" s="619">
        <v>13</v>
      </c>
      <c r="P415" s="619">
        <v>14</v>
      </c>
      <c r="Q415" s="619">
        <v>15</v>
      </c>
      <c r="R415" s="619">
        <v>16</v>
      </c>
      <c r="S415" s="619">
        <v>17</v>
      </c>
      <c r="T415" s="619">
        <v>18</v>
      </c>
      <c r="U415" s="619">
        <v>19</v>
      </c>
      <c r="V415" s="619">
        <v>20</v>
      </c>
      <c r="W415" s="619">
        <v>21</v>
      </c>
      <c r="X415" s="619">
        <v>22</v>
      </c>
      <c r="Y415" s="619">
        <v>23</v>
      </c>
      <c r="Z415" s="619">
        <v>24</v>
      </c>
      <c r="AA415" s="619">
        <v>25</v>
      </c>
      <c r="AB415" s="619">
        <v>26</v>
      </c>
      <c r="AC415" s="619">
        <v>27</v>
      </c>
      <c r="AD415" s="619">
        <v>28</v>
      </c>
      <c r="AE415" s="619">
        <v>29</v>
      </c>
      <c r="AF415" s="619">
        <v>30</v>
      </c>
      <c r="AG415" s="619">
        <v>31</v>
      </c>
      <c r="AH415" s="645" t="s">
        <v>72</v>
      </c>
    </row>
    <row r="416" spans="1:34" ht="15">
      <c r="A416" s="646" t="s">
        <v>73</v>
      </c>
      <c r="B416" s="227">
        <f>SUM(C416:AG416)</f>
        <v>0</v>
      </c>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c r="AA416" s="125"/>
      <c r="AB416" s="125"/>
      <c r="AC416" s="125"/>
      <c r="AD416" s="125"/>
      <c r="AE416" s="125"/>
      <c r="AF416" s="125"/>
      <c r="AG416" s="125"/>
      <c r="AH416" s="647">
        <f>SUM(C416:AG416)</f>
        <v>0</v>
      </c>
    </row>
    <row r="417" spans="1:34" ht="15">
      <c r="A417" s="646" t="s">
        <v>74</v>
      </c>
      <c r="B417" s="227">
        <f>SUM(C417:AG417)</f>
        <v>0</v>
      </c>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c r="AA417" s="125"/>
      <c r="AB417" s="125"/>
      <c r="AC417" s="125"/>
      <c r="AD417" s="125"/>
      <c r="AE417" s="125"/>
      <c r="AF417" s="125"/>
      <c r="AG417" s="125"/>
      <c r="AH417" s="647">
        <f t="shared" ref="AH417:AH427" si="51">SUM(C417:AG417)</f>
        <v>0</v>
      </c>
    </row>
    <row r="418" spans="1:34" ht="15">
      <c r="A418" s="646" t="s">
        <v>75</v>
      </c>
      <c r="B418" s="227">
        <f t="shared" ref="B418:B427" si="52">SUM(C418:AG418)</f>
        <v>0</v>
      </c>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c r="AA418" s="125"/>
      <c r="AB418" s="125"/>
      <c r="AC418" s="125"/>
      <c r="AD418" s="125"/>
      <c r="AE418" s="125"/>
      <c r="AF418" s="125"/>
      <c r="AG418" s="125"/>
      <c r="AH418" s="647">
        <f t="shared" si="51"/>
        <v>0</v>
      </c>
    </row>
    <row r="419" spans="1:34" ht="15">
      <c r="A419" s="646" t="s">
        <v>76</v>
      </c>
      <c r="B419" s="227">
        <f t="shared" si="52"/>
        <v>0</v>
      </c>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c r="AA419" s="125"/>
      <c r="AB419" s="125"/>
      <c r="AC419" s="125"/>
      <c r="AD419" s="125"/>
      <c r="AE419" s="125"/>
      <c r="AF419" s="125"/>
      <c r="AG419" s="125"/>
      <c r="AH419" s="647">
        <f t="shared" si="51"/>
        <v>0</v>
      </c>
    </row>
    <row r="420" spans="1:34" ht="15">
      <c r="A420" s="646" t="s">
        <v>77</v>
      </c>
      <c r="B420" s="227">
        <f t="shared" si="52"/>
        <v>0</v>
      </c>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c r="AA420" s="125"/>
      <c r="AB420" s="125"/>
      <c r="AC420" s="125"/>
      <c r="AD420" s="125"/>
      <c r="AE420" s="125"/>
      <c r="AF420" s="125"/>
      <c r="AG420" s="125"/>
      <c r="AH420" s="647">
        <f t="shared" si="51"/>
        <v>0</v>
      </c>
    </row>
    <row r="421" spans="1:34" ht="15">
      <c r="A421" s="646" t="s">
        <v>78</v>
      </c>
      <c r="B421" s="227">
        <f t="shared" si="52"/>
        <v>0</v>
      </c>
      <c r="C421" s="125"/>
      <c r="D421" s="125"/>
      <c r="E421" s="125"/>
      <c r="F421" s="125">
        <v>0</v>
      </c>
      <c r="G421" s="125"/>
      <c r="H421" s="125"/>
      <c r="I421" s="125"/>
      <c r="J421" s="125"/>
      <c r="K421" s="125"/>
      <c r="L421" s="125"/>
      <c r="M421" s="125"/>
      <c r="N421" s="125"/>
      <c r="O421" s="125"/>
      <c r="P421" s="125"/>
      <c r="Q421" s="125"/>
      <c r="R421" s="125"/>
      <c r="S421" s="125"/>
      <c r="T421" s="125"/>
      <c r="U421" s="125"/>
      <c r="V421" s="125"/>
      <c r="W421" s="125"/>
      <c r="X421" s="125"/>
      <c r="Y421" s="125"/>
      <c r="Z421" s="125"/>
      <c r="AA421" s="125"/>
      <c r="AB421" s="125"/>
      <c r="AC421" s="125"/>
      <c r="AD421" s="125"/>
      <c r="AE421" s="125"/>
      <c r="AF421" s="125"/>
      <c r="AG421" s="125"/>
      <c r="AH421" s="647">
        <f t="shared" si="51"/>
        <v>0</v>
      </c>
    </row>
    <row r="422" spans="1:34" ht="15">
      <c r="A422" s="618" t="s">
        <v>79</v>
      </c>
      <c r="B422" s="227">
        <f t="shared" si="52"/>
        <v>0</v>
      </c>
      <c r="C422" s="648"/>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c r="AA422" s="125"/>
      <c r="AB422" s="125"/>
      <c r="AC422" s="125"/>
      <c r="AD422" s="125"/>
      <c r="AE422" s="125"/>
      <c r="AF422" s="125"/>
      <c r="AG422" s="125"/>
      <c r="AH422" s="647">
        <f t="shared" si="51"/>
        <v>0</v>
      </c>
    </row>
    <row r="423" spans="1:34" ht="15">
      <c r="A423" s="618" t="s">
        <v>80</v>
      </c>
      <c r="B423" s="227">
        <f t="shared" si="52"/>
        <v>0</v>
      </c>
      <c r="C423" s="648"/>
      <c r="D423" s="125"/>
      <c r="E423" s="125"/>
      <c r="F423" s="125"/>
      <c r="G423" s="125"/>
      <c r="H423" s="125"/>
      <c r="I423" s="125"/>
      <c r="J423" s="125"/>
      <c r="K423" s="125"/>
      <c r="L423" s="125"/>
      <c r="M423" s="125"/>
      <c r="N423" s="125"/>
      <c r="O423" s="125"/>
      <c r="P423" s="125"/>
      <c r="Q423" s="227"/>
      <c r="R423" s="227"/>
      <c r="S423" s="227"/>
      <c r="T423" s="227"/>
      <c r="U423" s="227"/>
      <c r="V423" s="227"/>
      <c r="W423" s="227"/>
      <c r="X423" s="227"/>
      <c r="Y423" s="227"/>
      <c r="Z423" s="227"/>
      <c r="AA423" s="227"/>
      <c r="AB423" s="227"/>
      <c r="AC423" s="227"/>
      <c r="AD423" s="227"/>
      <c r="AE423" s="227"/>
      <c r="AF423" s="227"/>
      <c r="AG423" s="227"/>
      <c r="AH423" s="647">
        <f t="shared" si="51"/>
        <v>0</v>
      </c>
    </row>
    <row r="424" spans="1:34" ht="15">
      <c r="A424" s="618" t="s">
        <v>81</v>
      </c>
      <c r="B424" s="227">
        <f t="shared" si="52"/>
        <v>0</v>
      </c>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c r="AA424" s="227"/>
      <c r="AB424" s="227"/>
      <c r="AC424" s="227"/>
      <c r="AD424" s="227"/>
      <c r="AE424" s="227"/>
      <c r="AF424" s="227"/>
      <c r="AG424" s="227"/>
      <c r="AH424" s="647">
        <f t="shared" si="51"/>
        <v>0</v>
      </c>
    </row>
    <row r="425" spans="1:34" ht="15">
      <c r="A425" s="618" t="s">
        <v>82</v>
      </c>
      <c r="B425" s="227">
        <f t="shared" si="52"/>
        <v>0</v>
      </c>
      <c r="C425" s="648"/>
      <c r="D425" s="649"/>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c r="AA425" s="125"/>
      <c r="AB425" s="125"/>
      <c r="AC425" s="125"/>
      <c r="AD425" s="125"/>
      <c r="AE425" s="125"/>
      <c r="AF425" s="125"/>
      <c r="AG425" s="125"/>
      <c r="AH425" s="647">
        <f t="shared" si="51"/>
        <v>0</v>
      </c>
    </row>
    <row r="426" spans="1:34" ht="16.2">
      <c r="A426" s="618" t="s">
        <v>83</v>
      </c>
      <c r="B426" s="227">
        <f t="shared" si="52"/>
        <v>0</v>
      </c>
      <c r="C426" s="651"/>
      <c r="D426" s="652"/>
      <c r="E426" s="653"/>
      <c r="F426" s="125"/>
      <c r="G426" s="125"/>
      <c r="H426" s="125"/>
      <c r="I426" s="125"/>
      <c r="J426" s="125"/>
      <c r="K426" s="125"/>
      <c r="L426" s="125"/>
      <c r="M426" s="125"/>
      <c r="N426" s="125"/>
      <c r="O426" s="125"/>
      <c r="P426" s="125"/>
      <c r="Q426" s="125"/>
      <c r="R426" s="125"/>
      <c r="S426" s="125"/>
      <c r="T426" s="125"/>
      <c r="U426" s="125"/>
      <c r="V426" s="125"/>
      <c r="W426" s="125"/>
      <c r="X426" s="125"/>
      <c r="Y426" s="125"/>
      <c r="Z426" s="125"/>
      <c r="AA426" s="125"/>
      <c r="AB426" s="125"/>
      <c r="AC426" s="125"/>
      <c r="AD426" s="125"/>
      <c r="AE426" s="125"/>
      <c r="AF426" s="125"/>
      <c r="AG426" s="125"/>
      <c r="AH426" s="647">
        <f t="shared" si="51"/>
        <v>0</v>
      </c>
    </row>
    <row r="427" spans="1:34" ht="15">
      <c r="A427" s="618" t="s">
        <v>84</v>
      </c>
      <c r="B427" s="227">
        <f t="shared" si="52"/>
        <v>0</v>
      </c>
      <c r="C427" s="125"/>
      <c r="D427" s="654"/>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c r="AA427" s="125"/>
      <c r="AB427" s="125"/>
      <c r="AC427" s="125"/>
      <c r="AD427" s="125"/>
      <c r="AE427" s="125"/>
      <c r="AF427" s="125"/>
      <c r="AG427" s="125"/>
      <c r="AH427" s="647">
        <f t="shared" si="51"/>
        <v>0</v>
      </c>
    </row>
    <row r="428" spans="1:34" ht="15">
      <c r="A428" s="655" t="s">
        <v>50</v>
      </c>
      <c r="B428" s="656">
        <f>SUM(B416:B427)</f>
        <v>0</v>
      </c>
      <c r="C428" s="647">
        <v>0</v>
      </c>
      <c r="D428" s="647">
        <v>0</v>
      </c>
      <c r="E428" s="647">
        <v>0</v>
      </c>
      <c r="F428" s="647">
        <v>0</v>
      </c>
      <c r="G428" s="647">
        <v>0</v>
      </c>
      <c r="H428" s="647">
        <v>0</v>
      </c>
      <c r="I428" s="647">
        <v>0</v>
      </c>
      <c r="J428" s="647">
        <v>0</v>
      </c>
      <c r="K428" s="647">
        <v>0</v>
      </c>
      <c r="L428" s="647">
        <v>0</v>
      </c>
      <c r="M428" s="647">
        <v>0</v>
      </c>
      <c r="N428" s="647">
        <v>0</v>
      </c>
      <c r="O428" s="650">
        <v>0</v>
      </c>
      <c r="P428" s="650">
        <v>0</v>
      </c>
      <c r="Q428" s="650">
        <v>0</v>
      </c>
      <c r="R428" s="650">
        <v>0</v>
      </c>
      <c r="S428" s="650">
        <v>0</v>
      </c>
      <c r="T428" s="650">
        <v>0</v>
      </c>
      <c r="U428" s="650">
        <v>0</v>
      </c>
      <c r="V428" s="650">
        <v>0</v>
      </c>
      <c r="W428" s="650">
        <v>0</v>
      </c>
      <c r="X428" s="650">
        <v>0</v>
      </c>
      <c r="Y428" s="650">
        <v>0</v>
      </c>
      <c r="Z428" s="650">
        <v>0</v>
      </c>
      <c r="AA428" s="650">
        <v>0</v>
      </c>
      <c r="AB428" s="650">
        <v>0</v>
      </c>
      <c r="AC428" s="650">
        <v>0</v>
      </c>
      <c r="AD428" s="650">
        <v>0</v>
      </c>
      <c r="AE428" s="650">
        <v>0</v>
      </c>
      <c r="AF428" s="650">
        <v>0</v>
      </c>
      <c r="AG428" s="650">
        <v>0</v>
      </c>
      <c r="AH428" s="650">
        <v>0</v>
      </c>
    </row>
    <row r="430" spans="1:34" ht="15">
      <c r="A430" s="3964" t="s">
        <v>384</v>
      </c>
      <c r="B430" s="3965"/>
      <c r="C430" s="3966"/>
      <c r="D430" s="642"/>
      <c r="E430" s="642"/>
      <c r="F430" s="642"/>
      <c r="G430" s="642"/>
      <c r="H430" s="642"/>
      <c r="I430" s="642"/>
      <c r="J430" s="642"/>
      <c r="K430" s="642"/>
      <c r="L430" s="642"/>
      <c r="M430" s="643"/>
      <c r="N430" s="642"/>
      <c r="O430" s="642"/>
      <c r="P430" s="642"/>
      <c r="Q430" s="642"/>
      <c r="R430" s="642"/>
      <c r="S430" s="642"/>
      <c r="T430" s="642"/>
      <c r="U430" s="642"/>
      <c r="V430" s="642"/>
      <c r="W430" s="642"/>
      <c r="X430" s="642"/>
      <c r="Y430" s="642"/>
      <c r="Z430" s="642"/>
      <c r="AA430" s="642"/>
      <c r="AB430" s="642"/>
      <c r="AC430" s="642"/>
      <c r="AD430" s="642"/>
      <c r="AE430" s="642"/>
      <c r="AF430" s="642"/>
      <c r="AG430" s="642"/>
      <c r="AH430" s="644"/>
    </row>
    <row r="431" spans="1:34" ht="15">
      <c r="A431" s="617" t="s">
        <v>70</v>
      </c>
      <c r="B431" s="617" t="s">
        <v>71</v>
      </c>
      <c r="C431" s="619">
        <v>1</v>
      </c>
      <c r="D431" s="619">
        <v>2</v>
      </c>
      <c r="E431" s="619">
        <v>3</v>
      </c>
      <c r="F431" s="619">
        <v>4</v>
      </c>
      <c r="G431" s="619">
        <v>5</v>
      </c>
      <c r="H431" s="619">
        <v>6</v>
      </c>
      <c r="I431" s="619">
        <v>7</v>
      </c>
      <c r="J431" s="619">
        <v>8</v>
      </c>
      <c r="K431" s="619">
        <v>9</v>
      </c>
      <c r="L431" s="619">
        <v>10</v>
      </c>
      <c r="M431" s="619">
        <v>11</v>
      </c>
      <c r="N431" s="619">
        <v>12</v>
      </c>
      <c r="O431" s="619">
        <v>13</v>
      </c>
      <c r="P431" s="619">
        <v>14</v>
      </c>
      <c r="Q431" s="619">
        <v>15</v>
      </c>
      <c r="R431" s="619">
        <v>16</v>
      </c>
      <c r="S431" s="619">
        <v>17</v>
      </c>
      <c r="T431" s="619">
        <v>18</v>
      </c>
      <c r="U431" s="619">
        <v>19</v>
      </c>
      <c r="V431" s="619">
        <v>20</v>
      </c>
      <c r="W431" s="619">
        <v>21</v>
      </c>
      <c r="X431" s="619">
        <v>22</v>
      </c>
      <c r="Y431" s="619">
        <v>23</v>
      </c>
      <c r="Z431" s="619">
        <v>24</v>
      </c>
      <c r="AA431" s="619">
        <v>25</v>
      </c>
      <c r="AB431" s="619">
        <v>26</v>
      </c>
      <c r="AC431" s="619">
        <v>27</v>
      </c>
      <c r="AD431" s="619">
        <v>28</v>
      </c>
      <c r="AE431" s="619">
        <v>29</v>
      </c>
      <c r="AF431" s="619">
        <v>30</v>
      </c>
      <c r="AG431" s="619">
        <v>31</v>
      </c>
      <c r="AH431" s="645" t="s">
        <v>72</v>
      </c>
    </row>
    <row r="432" spans="1:34" ht="15">
      <c r="A432" s="646" t="s">
        <v>73</v>
      </c>
      <c r="B432" s="227">
        <f>SUM(C432:AG432)</f>
        <v>0</v>
      </c>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c r="AA432" s="125"/>
      <c r="AB432" s="125"/>
      <c r="AC432" s="125"/>
      <c r="AD432" s="125"/>
      <c r="AE432" s="125"/>
      <c r="AF432" s="125"/>
      <c r="AG432" s="125"/>
      <c r="AH432" s="647">
        <f>SUM(C432:AG432)</f>
        <v>0</v>
      </c>
    </row>
    <row r="433" spans="1:34" ht="15">
      <c r="A433" s="646" t="s">
        <v>74</v>
      </c>
      <c r="B433" s="227">
        <f t="shared" ref="B433:B443" si="53">SUM(C433:AG433)</f>
        <v>0</v>
      </c>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c r="AA433" s="125"/>
      <c r="AB433" s="125"/>
      <c r="AC433" s="125"/>
      <c r="AD433" s="125"/>
      <c r="AE433" s="125"/>
      <c r="AF433" s="125"/>
      <c r="AG433" s="125"/>
      <c r="AH433" s="647">
        <f t="shared" ref="AH433:AH443" si="54">SUM(C433:AG433)</f>
        <v>0</v>
      </c>
    </row>
    <row r="434" spans="1:34" ht="15">
      <c r="A434" s="646" t="s">
        <v>75</v>
      </c>
      <c r="B434" s="227">
        <f t="shared" si="53"/>
        <v>0</v>
      </c>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c r="AA434" s="125"/>
      <c r="AB434" s="125"/>
      <c r="AC434" s="125"/>
      <c r="AD434" s="125"/>
      <c r="AE434" s="125"/>
      <c r="AF434" s="125"/>
      <c r="AG434" s="125"/>
      <c r="AH434" s="647">
        <f t="shared" si="54"/>
        <v>0</v>
      </c>
    </row>
    <row r="435" spans="1:34" ht="15">
      <c r="A435" s="646" t="s">
        <v>76</v>
      </c>
      <c r="B435" s="227">
        <f>SUM(C435:AG435)</f>
        <v>0</v>
      </c>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c r="AA435" s="125"/>
      <c r="AB435" s="125"/>
      <c r="AC435" s="125"/>
      <c r="AD435" s="125"/>
      <c r="AE435" s="125"/>
      <c r="AF435" s="125"/>
      <c r="AG435" s="125"/>
      <c r="AH435" s="647">
        <f t="shared" si="54"/>
        <v>0</v>
      </c>
    </row>
    <row r="436" spans="1:34" ht="15">
      <c r="A436" s="646" t="s">
        <v>77</v>
      </c>
      <c r="B436" s="227">
        <f t="shared" si="53"/>
        <v>0</v>
      </c>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c r="AA436" s="125"/>
      <c r="AB436" s="125"/>
      <c r="AC436" s="125"/>
      <c r="AD436" s="125"/>
      <c r="AE436" s="125"/>
      <c r="AF436" s="125"/>
      <c r="AG436" s="125"/>
      <c r="AH436" s="647">
        <f t="shared" si="54"/>
        <v>0</v>
      </c>
    </row>
    <row r="437" spans="1:34" ht="15">
      <c r="A437" s="646" t="s">
        <v>78</v>
      </c>
      <c r="B437" s="227">
        <f>SUM(C437:AG437)</f>
        <v>0</v>
      </c>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c r="AA437" s="125"/>
      <c r="AB437" s="125"/>
      <c r="AC437" s="125"/>
      <c r="AD437" s="125"/>
      <c r="AE437" s="125"/>
      <c r="AF437" s="125"/>
      <c r="AG437" s="125"/>
      <c r="AH437" s="647">
        <f t="shared" si="54"/>
        <v>0</v>
      </c>
    </row>
    <row r="438" spans="1:34" ht="15">
      <c r="A438" s="618" t="s">
        <v>79</v>
      </c>
      <c r="B438" s="227">
        <f t="shared" si="53"/>
        <v>0</v>
      </c>
      <c r="C438" s="648"/>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c r="AA438" s="125"/>
      <c r="AB438" s="125"/>
      <c r="AC438" s="125"/>
      <c r="AD438" s="125"/>
      <c r="AE438" s="125"/>
      <c r="AF438" s="125"/>
      <c r="AG438" s="125"/>
      <c r="AH438" s="647">
        <f t="shared" si="54"/>
        <v>0</v>
      </c>
    </row>
    <row r="439" spans="1:34" ht="15">
      <c r="A439" s="618" t="s">
        <v>80</v>
      </c>
      <c r="B439" s="227">
        <f t="shared" si="53"/>
        <v>0</v>
      </c>
      <c r="C439" s="648"/>
      <c r="D439" s="125"/>
      <c r="E439" s="125"/>
      <c r="F439" s="125"/>
      <c r="G439" s="125"/>
      <c r="H439" s="125"/>
      <c r="I439" s="125"/>
      <c r="J439" s="125"/>
      <c r="K439" s="125"/>
      <c r="L439" s="125"/>
      <c r="M439" s="125"/>
      <c r="N439" s="125"/>
      <c r="O439" s="125"/>
      <c r="P439" s="125"/>
      <c r="Q439" s="227"/>
      <c r="R439" s="227"/>
      <c r="S439" s="227"/>
      <c r="T439" s="227"/>
      <c r="U439" s="227"/>
      <c r="V439" s="227"/>
      <c r="W439" s="227"/>
      <c r="X439" s="227"/>
      <c r="Y439" s="227"/>
      <c r="Z439" s="227"/>
      <c r="AA439" s="227"/>
      <c r="AB439" s="227"/>
      <c r="AC439" s="227"/>
      <c r="AD439" s="227"/>
      <c r="AE439" s="227"/>
      <c r="AF439" s="227"/>
      <c r="AG439" s="227"/>
      <c r="AH439" s="647">
        <f t="shared" si="54"/>
        <v>0</v>
      </c>
    </row>
    <row r="440" spans="1:34" ht="15">
      <c r="A440" s="618" t="s">
        <v>81</v>
      </c>
      <c r="B440" s="227">
        <f t="shared" si="53"/>
        <v>0</v>
      </c>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c r="AA440" s="227"/>
      <c r="AB440" s="227"/>
      <c r="AC440" s="227"/>
      <c r="AD440" s="227"/>
      <c r="AE440" s="227"/>
      <c r="AF440" s="227"/>
      <c r="AG440" s="227"/>
      <c r="AH440" s="647">
        <f t="shared" si="54"/>
        <v>0</v>
      </c>
    </row>
    <row r="441" spans="1:34" ht="15">
      <c r="A441" s="618" t="s">
        <v>82</v>
      </c>
      <c r="B441" s="227">
        <f t="shared" si="53"/>
        <v>0</v>
      </c>
      <c r="C441" s="648"/>
      <c r="D441" s="649"/>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c r="AA441" s="125"/>
      <c r="AB441" s="125"/>
      <c r="AC441" s="125"/>
      <c r="AD441" s="125"/>
      <c r="AE441" s="125"/>
      <c r="AF441" s="125"/>
      <c r="AG441" s="125"/>
      <c r="AH441" s="647">
        <f t="shared" si="54"/>
        <v>0</v>
      </c>
    </row>
    <row r="442" spans="1:34" ht="16.2">
      <c r="A442" s="618" t="s">
        <v>83</v>
      </c>
      <c r="B442" s="227">
        <f t="shared" si="53"/>
        <v>0</v>
      </c>
      <c r="C442" s="651"/>
      <c r="D442" s="652"/>
      <c r="E442" s="653"/>
      <c r="F442" s="125"/>
      <c r="G442" s="125"/>
      <c r="H442" s="125"/>
      <c r="I442" s="125"/>
      <c r="J442" s="125"/>
      <c r="K442" s="125"/>
      <c r="L442" s="125"/>
      <c r="M442" s="125"/>
      <c r="N442" s="125"/>
      <c r="O442" s="125"/>
      <c r="P442" s="125"/>
      <c r="Q442" s="125"/>
      <c r="R442" s="125"/>
      <c r="S442" s="125"/>
      <c r="T442" s="125"/>
      <c r="U442" s="125"/>
      <c r="V442" s="125"/>
      <c r="W442" s="125"/>
      <c r="X442" s="125"/>
      <c r="Y442" s="125"/>
      <c r="Z442" s="125"/>
      <c r="AA442" s="125"/>
      <c r="AB442" s="125"/>
      <c r="AC442" s="125"/>
      <c r="AD442" s="125"/>
      <c r="AE442" s="125"/>
      <c r="AF442" s="125"/>
      <c r="AG442" s="125"/>
      <c r="AH442" s="647">
        <f t="shared" si="54"/>
        <v>0</v>
      </c>
    </row>
    <row r="443" spans="1:34" ht="15">
      <c r="A443" s="618" t="s">
        <v>84</v>
      </c>
      <c r="B443" s="227">
        <f t="shared" si="53"/>
        <v>0</v>
      </c>
      <c r="C443" s="125"/>
      <c r="D443" s="654"/>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c r="AA443" s="125"/>
      <c r="AB443" s="125"/>
      <c r="AC443" s="125"/>
      <c r="AD443" s="125"/>
      <c r="AE443" s="125"/>
      <c r="AF443" s="125"/>
      <c r="AG443" s="125"/>
      <c r="AH443" s="647">
        <f t="shared" si="54"/>
        <v>0</v>
      </c>
    </row>
    <row r="444" spans="1:34" ht="15">
      <c r="A444" s="655" t="s">
        <v>50</v>
      </c>
      <c r="B444" s="656">
        <f>SUM(B432:B443)</f>
        <v>0</v>
      </c>
      <c r="C444" s="647">
        <v>0</v>
      </c>
      <c r="D444" s="647">
        <v>0</v>
      </c>
      <c r="E444" s="647">
        <v>0</v>
      </c>
      <c r="F444" s="647">
        <v>0</v>
      </c>
      <c r="G444" s="647">
        <v>0</v>
      </c>
      <c r="H444" s="647">
        <v>0</v>
      </c>
      <c r="I444" s="647">
        <v>0</v>
      </c>
      <c r="J444" s="647">
        <v>0</v>
      </c>
      <c r="K444" s="647">
        <v>0</v>
      </c>
      <c r="L444" s="647">
        <v>0</v>
      </c>
      <c r="M444" s="647">
        <v>0</v>
      </c>
      <c r="N444" s="647">
        <v>0</v>
      </c>
      <c r="O444" s="650">
        <v>0</v>
      </c>
      <c r="P444" s="650">
        <v>0</v>
      </c>
      <c r="Q444" s="650">
        <v>0</v>
      </c>
      <c r="R444" s="650">
        <v>0</v>
      </c>
      <c r="S444" s="650">
        <v>0</v>
      </c>
      <c r="T444" s="650">
        <v>0</v>
      </c>
      <c r="U444" s="650">
        <v>0</v>
      </c>
      <c r="V444" s="650">
        <v>0</v>
      </c>
      <c r="W444" s="650">
        <v>0</v>
      </c>
      <c r="X444" s="650">
        <v>0</v>
      </c>
      <c r="Y444" s="650">
        <v>0</v>
      </c>
      <c r="Z444" s="650">
        <v>0</v>
      </c>
      <c r="AA444" s="650">
        <v>0</v>
      </c>
      <c r="AB444" s="650">
        <v>0</v>
      </c>
      <c r="AC444" s="650">
        <v>0</v>
      </c>
      <c r="AD444" s="650">
        <v>0</v>
      </c>
      <c r="AE444" s="650">
        <v>0</v>
      </c>
      <c r="AF444" s="650">
        <v>0</v>
      </c>
      <c r="AG444" s="650">
        <v>0</v>
      </c>
      <c r="AH444" s="650">
        <v>0</v>
      </c>
    </row>
    <row r="445" spans="1:34" ht="13.8" thickBot="1"/>
    <row r="446" spans="1:34" ht="15" customHeight="1" thickBot="1">
      <c r="A446" s="3956" t="s">
        <v>508</v>
      </c>
      <c r="B446" s="3957"/>
      <c r="C446" s="3958"/>
      <c r="D446" s="731"/>
      <c r="E446" s="731"/>
      <c r="F446" s="731"/>
      <c r="G446" s="731"/>
      <c r="H446" s="642"/>
      <c r="I446" s="642"/>
      <c r="J446" s="642"/>
      <c r="K446" s="642"/>
      <c r="L446" s="642"/>
      <c r="M446" s="643"/>
      <c r="N446" s="642"/>
      <c r="O446" s="642"/>
      <c r="P446" s="642"/>
      <c r="Q446" s="642"/>
      <c r="R446" s="642"/>
      <c r="S446" s="642"/>
      <c r="T446" s="642"/>
      <c r="U446" s="642"/>
      <c r="V446" s="642"/>
      <c r="W446" s="642"/>
      <c r="X446" s="642"/>
      <c r="Y446" s="642"/>
      <c r="Z446" s="642"/>
      <c r="AA446" s="642"/>
      <c r="AB446" s="642"/>
      <c r="AC446" s="642"/>
      <c r="AD446" s="642"/>
      <c r="AE446" s="642"/>
      <c r="AF446" s="642"/>
      <c r="AG446" s="642"/>
      <c r="AH446" s="644"/>
    </row>
    <row r="447" spans="1:34" ht="15">
      <c r="A447" s="657" t="s">
        <v>70</v>
      </c>
      <c r="B447" s="657" t="s">
        <v>71</v>
      </c>
      <c r="C447" s="1334">
        <v>1</v>
      </c>
      <c r="D447" s="619">
        <v>2</v>
      </c>
      <c r="E447" s="619">
        <v>3</v>
      </c>
      <c r="F447" s="619">
        <v>4</v>
      </c>
      <c r="G447" s="619">
        <v>5</v>
      </c>
      <c r="H447" s="619">
        <v>6</v>
      </c>
      <c r="I447" s="619">
        <v>7</v>
      </c>
      <c r="J447" s="619">
        <v>8</v>
      </c>
      <c r="K447" s="619">
        <v>9</v>
      </c>
      <c r="L447" s="619">
        <v>10</v>
      </c>
      <c r="M447" s="619">
        <v>11</v>
      </c>
      <c r="N447" s="619">
        <v>12</v>
      </c>
      <c r="O447" s="619">
        <v>13</v>
      </c>
      <c r="P447" s="619">
        <v>14</v>
      </c>
      <c r="Q447" s="619">
        <v>15</v>
      </c>
      <c r="R447" s="619">
        <v>16</v>
      </c>
      <c r="S447" s="619">
        <v>17</v>
      </c>
      <c r="T447" s="619">
        <v>18</v>
      </c>
      <c r="U447" s="619">
        <v>19</v>
      </c>
      <c r="V447" s="619">
        <v>20</v>
      </c>
      <c r="W447" s="619">
        <v>21</v>
      </c>
      <c r="X447" s="619">
        <v>22</v>
      </c>
      <c r="Y447" s="619">
        <v>23</v>
      </c>
      <c r="Z447" s="619">
        <v>24</v>
      </c>
      <c r="AA447" s="619">
        <v>25</v>
      </c>
      <c r="AB447" s="619">
        <v>26</v>
      </c>
      <c r="AC447" s="619">
        <v>27</v>
      </c>
      <c r="AD447" s="619">
        <v>28</v>
      </c>
      <c r="AE447" s="619">
        <v>29</v>
      </c>
      <c r="AF447" s="619">
        <v>30</v>
      </c>
      <c r="AG447" s="619">
        <v>31</v>
      </c>
      <c r="AH447" s="645" t="s">
        <v>72</v>
      </c>
    </row>
    <row r="448" spans="1:34" ht="15">
      <c r="A448" s="646" t="s">
        <v>73</v>
      </c>
      <c r="B448" s="227">
        <f>SUM(C448:AG448)</f>
        <v>0</v>
      </c>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c r="AA448" s="125"/>
      <c r="AB448" s="125"/>
      <c r="AC448" s="125"/>
      <c r="AD448" s="125"/>
      <c r="AE448" s="125"/>
      <c r="AF448" s="125"/>
      <c r="AG448" s="125"/>
      <c r="AH448" s="647">
        <f>SUM(C448:AG448)</f>
        <v>0</v>
      </c>
    </row>
    <row r="449" spans="1:34" ht="15">
      <c r="A449" s="646" t="s">
        <v>74</v>
      </c>
      <c r="B449" s="227">
        <f>SUM(C449:AG449)</f>
        <v>0</v>
      </c>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c r="AA449" s="125"/>
      <c r="AB449" s="125"/>
      <c r="AC449" s="125"/>
      <c r="AD449" s="125"/>
      <c r="AE449" s="125"/>
      <c r="AF449" s="125"/>
      <c r="AG449" s="125"/>
      <c r="AH449" s="647">
        <f t="shared" ref="AH449:AH459" si="55">SUM(C449:AG449)</f>
        <v>0</v>
      </c>
    </row>
    <row r="450" spans="1:34" ht="15">
      <c r="A450" s="646" t="s">
        <v>75</v>
      </c>
      <c r="B450" s="227">
        <f t="shared" ref="B450:B459" si="56">SUM(C450:AG450)</f>
        <v>0</v>
      </c>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c r="AA450" s="125"/>
      <c r="AB450" s="125"/>
      <c r="AC450" s="125"/>
      <c r="AD450" s="125"/>
      <c r="AE450" s="125"/>
      <c r="AF450" s="125"/>
      <c r="AG450" s="125"/>
      <c r="AH450" s="647">
        <f t="shared" si="55"/>
        <v>0</v>
      </c>
    </row>
    <row r="451" spans="1:34" ht="15">
      <c r="A451" s="646" t="s">
        <v>76</v>
      </c>
      <c r="B451" s="227">
        <f t="shared" si="56"/>
        <v>0</v>
      </c>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c r="AA451" s="125"/>
      <c r="AB451" s="125"/>
      <c r="AC451" s="125"/>
      <c r="AD451" s="125"/>
      <c r="AE451" s="125"/>
      <c r="AF451" s="125"/>
      <c r="AG451" s="125"/>
      <c r="AH451" s="647">
        <f t="shared" si="55"/>
        <v>0</v>
      </c>
    </row>
    <row r="452" spans="1:34" ht="15">
      <c r="A452" s="646" t="s">
        <v>77</v>
      </c>
      <c r="B452" s="227">
        <f t="shared" si="56"/>
        <v>0</v>
      </c>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c r="AA452" s="125"/>
      <c r="AB452" s="125"/>
      <c r="AC452" s="125"/>
      <c r="AD452" s="125"/>
      <c r="AE452" s="125"/>
      <c r="AF452" s="125"/>
      <c r="AG452" s="125"/>
      <c r="AH452" s="647">
        <f t="shared" si="55"/>
        <v>0</v>
      </c>
    </row>
    <row r="453" spans="1:34" ht="15">
      <c r="A453" s="646" t="s">
        <v>78</v>
      </c>
      <c r="B453" s="227">
        <f t="shared" si="56"/>
        <v>0</v>
      </c>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c r="AA453" s="125"/>
      <c r="AB453" s="125"/>
      <c r="AC453" s="125"/>
      <c r="AD453" s="125"/>
      <c r="AE453" s="125"/>
      <c r="AF453" s="125"/>
      <c r="AG453" s="125"/>
      <c r="AH453" s="647">
        <f t="shared" si="55"/>
        <v>0</v>
      </c>
    </row>
    <row r="454" spans="1:34" ht="15">
      <c r="A454" s="618" t="s">
        <v>79</v>
      </c>
      <c r="B454" s="227">
        <f t="shared" si="56"/>
        <v>0</v>
      </c>
      <c r="C454" s="648"/>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c r="AA454" s="125"/>
      <c r="AB454" s="125"/>
      <c r="AC454" s="125"/>
      <c r="AD454" s="125"/>
      <c r="AE454" s="125"/>
      <c r="AF454" s="125"/>
      <c r="AG454" s="125"/>
      <c r="AH454" s="647">
        <f t="shared" si="55"/>
        <v>0</v>
      </c>
    </row>
    <row r="455" spans="1:34" ht="15">
      <c r="A455" s="618" t="s">
        <v>80</v>
      </c>
      <c r="B455" s="227">
        <f t="shared" si="56"/>
        <v>0</v>
      </c>
      <c r="C455" s="648"/>
      <c r="D455" s="125"/>
      <c r="E455" s="125"/>
      <c r="F455" s="125"/>
      <c r="G455" s="125"/>
      <c r="H455" s="125"/>
      <c r="I455" s="125"/>
      <c r="J455" s="125"/>
      <c r="K455" s="125"/>
      <c r="L455" s="125"/>
      <c r="M455" s="125"/>
      <c r="N455" s="125"/>
      <c r="O455" s="125"/>
      <c r="P455" s="125"/>
      <c r="Q455" s="227"/>
      <c r="R455" s="227"/>
      <c r="S455" s="227"/>
      <c r="T455" s="227"/>
      <c r="U455" s="227"/>
      <c r="V455" s="227"/>
      <c r="W455" s="227"/>
      <c r="X455" s="227"/>
      <c r="Y455" s="227"/>
      <c r="Z455" s="227"/>
      <c r="AA455" s="227"/>
      <c r="AB455" s="227"/>
      <c r="AC455" s="227"/>
      <c r="AD455" s="227"/>
      <c r="AE455" s="227"/>
      <c r="AF455" s="227"/>
      <c r="AG455" s="227"/>
      <c r="AH455" s="647">
        <f t="shared" si="55"/>
        <v>0</v>
      </c>
    </row>
    <row r="456" spans="1:34" ht="15">
      <c r="A456" s="618" t="s">
        <v>81</v>
      </c>
      <c r="B456" s="227">
        <f t="shared" si="56"/>
        <v>0</v>
      </c>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c r="AA456" s="227"/>
      <c r="AB456" s="227"/>
      <c r="AC456" s="227"/>
      <c r="AD456" s="227"/>
      <c r="AE456" s="227"/>
      <c r="AF456" s="227"/>
      <c r="AG456" s="227"/>
      <c r="AH456" s="647">
        <f t="shared" si="55"/>
        <v>0</v>
      </c>
    </row>
    <row r="457" spans="1:34" ht="15">
      <c r="A457" s="618" t="s">
        <v>82</v>
      </c>
      <c r="B457" s="227">
        <f t="shared" si="56"/>
        <v>0</v>
      </c>
      <c r="C457" s="648"/>
      <c r="D457" s="649"/>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c r="AA457" s="125"/>
      <c r="AB457" s="125"/>
      <c r="AC457" s="125"/>
      <c r="AD457" s="125"/>
      <c r="AE457" s="125"/>
      <c r="AF457" s="125"/>
      <c r="AG457" s="125"/>
      <c r="AH457" s="647">
        <f t="shared" si="55"/>
        <v>0</v>
      </c>
    </row>
    <row r="458" spans="1:34" ht="16.2">
      <c r="A458" s="618" t="s">
        <v>83</v>
      </c>
      <c r="B458" s="227">
        <f t="shared" si="56"/>
        <v>0</v>
      </c>
      <c r="C458" s="651"/>
      <c r="D458" s="652"/>
      <c r="E458" s="653"/>
      <c r="F458" s="125"/>
      <c r="G458" s="125"/>
      <c r="H458" s="125"/>
      <c r="I458" s="125"/>
      <c r="J458" s="125"/>
      <c r="K458" s="125"/>
      <c r="L458" s="125"/>
      <c r="M458" s="125"/>
      <c r="N458" s="125"/>
      <c r="O458" s="125"/>
      <c r="P458" s="125"/>
      <c r="Q458" s="125"/>
      <c r="R458" s="125"/>
      <c r="S458" s="125"/>
      <c r="T458" s="125"/>
      <c r="U458" s="125"/>
      <c r="V458" s="125"/>
      <c r="W458" s="125"/>
      <c r="X458" s="125"/>
      <c r="Y458" s="125"/>
      <c r="Z458" s="125"/>
      <c r="AA458" s="125"/>
      <c r="AB458" s="125"/>
      <c r="AC458" s="125"/>
      <c r="AD458" s="125"/>
      <c r="AE458" s="125"/>
      <c r="AF458" s="125"/>
      <c r="AG458" s="125"/>
      <c r="AH458" s="647">
        <f t="shared" si="55"/>
        <v>0</v>
      </c>
    </row>
    <row r="459" spans="1:34" ht="15">
      <c r="A459" s="618" t="s">
        <v>84</v>
      </c>
      <c r="B459" s="227">
        <f t="shared" si="56"/>
        <v>0</v>
      </c>
      <c r="C459" s="125"/>
      <c r="D459" s="654"/>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c r="AA459" s="125"/>
      <c r="AB459" s="125"/>
      <c r="AC459" s="125"/>
      <c r="AD459" s="125"/>
      <c r="AE459" s="125"/>
      <c r="AF459" s="125"/>
      <c r="AG459" s="125"/>
      <c r="AH459" s="647">
        <f t="shared" si="55"/>
        <v>0</v>
      </c>
    </row>
    <row r="460" spans="1:34" ht="15">
      <c r="A460" s="655" t="s">
        <v>50</v>
      </c>
      <c r="B460" s="656">
        <f>SUM(B448:B459)</f>
        <v>0</v>
      </c>
      <c r="C460" s="647">
        <v>0</v>
      </c>
      <c r="D460" s="647">
        <v>0</v>
      </c>
      <c r="E460" s="647">
        <v>0</v>
      </c>
      <c r="F460" s="647">
        <v>0</v>
      </c>
      <c r="G460" s="647">
        <v>0</v>
      </c>
      <c r="H460" s="647">
        <v>0</v>
      </c>
      <c r="I460" s="647">
        <v>0</v>
      </c>
      <c r="J460" s="647">
        <v>0</v>
      </c>
      <c r="K460" s="647">
        <v>0</v>
      </c>
      <c r="L460" s="647">
        <v>0</v>
      </c>
      <c r="M460" s="647">
        <v>0</v>
      </c>
      <c r="N460" s="647">
        <v>0</v>
      </c>
      <c r="O460" s="650">
        <v>0</v>
      </c>
      <c r="P460" s="650">
        <v>0</v>
      </c>
      <c r="Q460" s="650">
        <v>0</v>
      </c>
      <c r="R460" s="650">
        <v>0</v>
      </c>
      <c r="S460" s="650">
        <v>0</v>
      </c>
      <c r="T460" s="650">
        <v>0</v>
      </c>
      <c r="U460" s="650">
        <v>0</v>
      </c>
      <c r="V460" s="650">
        <v>0</v>
      </c>
      <c r="W460" s="650">
        <v>0</v>
      </c>
      <c r="X460" s="650">
        <v>0</v>
      </c>
      <c r="Y460" s="650">
        <v>0</v>
      </c>
      <c r="Z460" s="650">
        <v>0</v>
      </c>
      <c r="AA460" s="650">
        <v>0</v>
      </c>
      <c r="AB460" s="650">
        <v>0</v>
      </c>
      <c r="AC460" s="650">
        <v>0</v>
      </c>
      <c r="AD460" s="650">
        <v>0</v>
      </c>
      <c r="AE460" s="650">
        <v>0</v>
      </c>
      <c r="AF460" s="650">
        <v>0</v>
      </c>
      <c r="AG460" s="650">
        <v>0</v>
      </c>
      <c r="AH460" s="650">
        <v>0</v>
      </c>
    </row>
    <row r="461" spans="1:34" ht="13.8" thickBot="1"/>
    <row r="462" spans="1:34" ht="15.6" thickBot="1">
      <c r="A462" s="3961" t="s">
        <v>509</v>
      </c>
      <c r="B462" s="3962"/>
      <c r="C462" s="3963"/>
      <c r="D462" s="642"/>
      <c r="E462" s="642"/>
      <c r="F462" s="642"/>
      <c r="G462" s="642"/>
      <c r="H462" s="642"/>
      <c r="I462" s="642"/>
      <c r="J462" s="642"/>
      <c r="K462" s="642"/>
      <c r="L462" s="642"/>
      <c r="M462" s="643"/>
      <c r="N462" s="642"/>
      <c r="O462" s="642"/>
      <c r="P462" s="642"/>
      <c r="Q462" s="642"/>
      <c r="R462" s="642"/>
      <c r="S462" s="642"/>
      <c r="T462" s="642"/>
      <c r="U462" s="642"/>
      <c r="V462" s="642"/>
      <c r="W462" s="642"/>
      <c r="X462" s="642"/>
      <c r="Y462" s="642"/>
      <c r="Z462" s="642"/>
      <c r="AA462" s="642"/>
      <c r="AB462" s="642"/>
      <c r="AC462" s="642"/>
      <c r="AD462" s="642"/>
      <c r="AE462" s="642"/>
      <c r="AF462" s="642"/>
      <c r="AG462" s="642"/>
      <c r="AH462" s="644"/>
    </row>
    <row r="463" spans="1:34" ht="15">
      <c r="A463" s="657" t="s">
        <v>70</v>
      </c>
      <c r="B463" s="657" t="s">
        <v>71</v>
      </c>
      <c r="C463" s="1334">
        <v>1</v>
      </c>
      <c r="D463" s="619">
        <v>2</v>
      </c>
      <c r="E463" s="619">
        <v>3</v>
      </c>
      <c r="F463" s="619">
        <v>4</v>
      </c>
      <c r="G463" s="619">
        <v>5</v>
      </c>
      <c r="H463" s="619">
        <v>6</v>
      </c>
      <c r="I463" s="619">
        <v>7</v>
      </c>
      <c r="J463" s="619">
        <v>8</v>
      </c>
      <c r="K463" s="619">
        <v>9</v>
      </c>
      <c r="L463" s="619">
        <v>10</v>
      </c>
      <c r="M463" s="619">
        <v>11</v>
      </c>
      <c r="N463" s="619">
        <v>12</v>
      </c>
      <c r="O463" s="619">
        <v>13</v>
      </c>
      <c r="P463" s="619">
        <v>14</v>
      </c>
      <c r="Q463" s="619">
        <v>15</v>
      </c>
      <c r="R463" s="619">
        <v>16</v>
      </c>
      <c r="S463" s="619">
        <v>17</v>
      </c>
      <c r="T463" s="619">
        <v>18</v>
      </c>
      <c r="U463" s="619">
        <v>19</v>
      </c>
      <c r="V463" s="619">
        <v>20</v>
      </c>
      <c r="W463" s="619">
        <v>21</v>
      </c>
      <c r="X463" s="619">
        <v>22</v>
      </c>
      <c r="Y463" s="619">
        <v>23</v>
      </c>
      <c r="Z463" s="619">
        <v>24</v>
      </c>
      <c r="AA463" s="619">
        <v>25</v>
      </c>
      <c r="AB463" s="619">
        <v>26</v>
      </c>
      <c r="AC463" s="619">
        <v>27</v>
      </c>
      <c r="AD463" s="619">
        <v>28</v>
      </c>
      <c r="AE463" s="619">
        <v>29</v>
      </c>
      <c r="AF463" s="619">
        <v>30</v>
      </c>
      <c r="AG463" s="619">
        <v>31</v>
      </c>
      <c r="AH463" s="645" t="s">
        <v>72</v>
      </c>
    </row>
    <row r="464" spans="1:34" ht="15">
      <c r="A464" s="646" t="s">
        <v>73</v>
      </c>
      <c r="B464" s="227">
        <f>SUM(C464:AG464)</f>
        <v>0</v>
      </c>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c r="AA464" s="125"/>
      <c r="AB464" s="125"/>
      <c r="AC464" s="125"/>
      <c r="AD464" s="125"/>
      <c r="AE464" s="125"/>
      <c r="AF464" s="125"/>
      <c r="AG464" s="125"/>
      <c r="AH464" s="647">
        <f>SUM(C464:AG464)</f>
        <v>0</v>
      </c>
    </row>
    <row r="465" spans="1:34" ht="15">
      <c r="A465" s="646" t="s">
        <v>74</v>
      </c>
      <c r="B465" s="227">
        <f t="shared" ref="B465:B475" si="57">SUM(C465:AG465)</f>
        <v>0</v>
      </c>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c r="AA465" s="125"/>
      <c r="AB465" s="125"/>
      <c r="AC465" s="125"/>
      <c r="AD465" s="125"/>
      <c r="AE465" s="125"/>
      <c r="AF465" s="125"/>
      <c r="AG465" s="125"/>
      <c r="AH465" s="647">
        <f t="shared" ref="AH465:AH475" si="58">SUM(C465:AG465)</f>
        <v>0</v>
      </c>
    </row>
    <row r="466" spans="1:34" ht="15">
      <c r="A466" s="646" t="s">
        <v>75</v>
      </c>
      <c r="B466" s="227">
        <f t="shared" si="57"/>
        <v>0</v>
      </c>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c r="AA466" s="125"/>
      <c r="AB466" s="125"/>
      <c r="AC466" s="125"/>
      <c r="AD466" s="125"/>
      <c r="AE466" s="125"/>
      <c r="AF466" s="125"/>
      <c r="AG466" s="125"/>
      <c r="AH466" s="647">
        <f t="shared" si="58"/>
        <v>0</v>
      </c>
    </row>
    <row r="467" spans="1:34" ht="15">
      <c r="A467" s="646" t="s">
        <v>76</v>
      </c>
      <c r="B467" s="227">
        <f>SUM(C467:AG467)</f>
        <v>0</v>
      </c>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c r="AA467" s="125"/>
      <c r="AB467" s="125"/>
      <c r="AC467" s="125"/>
      <c r="AD467" s="125"/>
      <c r="AE467" s="125"/>
      <c r="AF467" s="125"/>
      <c r="AG467" s="125"/>
      <c r="AH467" s="647">
        <f t="shared" si="58"/>
        <v>0</v>
      </c>
    </row>
    <row r="468" spans="1:34" ht="15">
      <c r="A468" s="646" t="s">
        <v>77</v>
      </c>
      <c r="B468" s="227">
        <f t="shared" si="57"/>
        <v>0</v>
      </c>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c r="AA468" s="125"/>
      <c r="AB468" s="125"/>
      <c r="AC468" s="125"/>
      <c r="AD468" s="125"/>
      <c r="AE468" s="125"/>
      <c r="AF468" s="125"/>
      <c r="AG468" s="125"/>
      <c r="AH468" s="647">
        <f t="shared" si="58"/>
        <v>0</v>
      </c>
    </row>
    <row r="469" spans="1:34" ht="15">
      <c r="A469" s="646" t="s">
        <v>78</v>
      </c>
      <c r="B469" s="227">
        <f>SUM(C469:AG469)</f>
        <v>0</v>
      </c>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c r="AA469" s="125"/>
      <c r="AB469" s="125"/>
      <c r="AC469" s="125"/>
      <c r="AD469" s="125"/>
      <c r="AE469" s="125"/>
      <c r="AF469" s="125"/>
      <c r="AG469" s="125"/>
      <c r="AH469" s="647">
        <f t="shared" si="58"/>
        <v>0</v>
      </c>
    </row>
    <row r="470" spans="1:34" ht="15">
      <c r="A470" s="618" t="s">
        <v>79</v>
      </c>
      <c r="B470" s="227">
        <f t="shared" si="57"/>
        <v>0</v>
      </c>
      <c r="C470" s="648"/>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c r="AA470" s="125"/>
      <c r="AB470" s="125"/>
      <c r="AC470" s="125"/>
      <c r="AD470" s="125"/>
      <c r="AE470" s="125"/>
      <c r="AF470" s="125"/>
      <c r="AG470" s="125"/>
      <c r="AH470" s="647">
        <f t="shared" si="58"/>
        <v>0</v>
      </c>
    </row>
    <row r="471" spans="1:34" ht="15">
      <c r="A471" s="618" t="s">
        <v>80</v>
      </c>
      <c r="B471" s="227">
        <f t="shared" si="57"/>
        <v>0</v>
      </c>
      <c r="C471" s="648"/>
      <c r="D471" s="125"/>
      <c r="E471" s="125"/>
      <c r="F471" s="125"/>
      <c r="G471" s="125"/>
      <c r="H471" s="125"/>
      <c r="I471" s="125"/>
      <c r="J471" s="125"/>
      <c r="K471" s="125"/>
      <c r="L471" s="125"/>
      <c r="M471" s="125"/>
      <c r="N471" s="125"/>
      <c r="O471" s="125"/>
      <c r="P471" s="125"/>
      <c r="Q471" s="227"/>
      <c r="R471" s="227"/>
      <c r="S471" s="227"/>
      <c r="T471" s="227"/>
      <c r="U471" s="227"/>
      <c r="V471" s="227"/>
      <c r="W471" s="227"/>
      <c r="X471" s="227"/>
      <c r="Y471" s="227"/>
      <c r="Z471" s="227"/>
      <c r="AA471" s="227"/>
      <c r="AB471" s="227"/>
      <c r="AC471" s="227"/>
      <c r="AD471" s="227"/>
      <c r="AE471" s="227"/>
      <c r="AF471" s="227"/>
      <c r="AG471" s="227"/>
      <c r="AH471" s="647">
        <f t="shared" si="58"/>
        <v>0</v>
      </c>
    </row>
    <row r="472" spans="1:34" ht="15">
      <c r="A472" s="618" t="s">
        <v>81</v>
      </c>
      <c r="B472" s="227">
        <f t="shared" si="57"/>
        <v>0</v>
      </c>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c r="AA472" s="227"/>
      <c r="AB472" s="227"/>
      <c r="AC472" s="227"/>
      <c r="AD472" s="227"/>
      <c r="AE472" s="227"/>
      <c r="AF472" s="227"/>
      <c r="AG472" s="227"/>
      <c r="AH472" s="647">
        <f t="shared" si="58"/>
        <v>0</v>
      </c>
    </row>
    <row r="473" spans="1:34" ht="15">
      <c r="A473" s="618" t="s">
        <v>82</v>
      </c>
      <c r="B473" s="227">
        <f t="shared" si="57"/>
        <v>0</v>
      </c>
      <c r="C473" s="648"/>
      <c r="D473" s="649"/>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c r="AA473" s="125"/>
      <c r="AB473" s="125"/>
      <c r="AC473" s="125"/>
      <c r="AD473" s="125"/>
      <c r="AE473" s="125"/>
      <c r="AF473" s="125"/>
      <c r="AG473" s="125"/>
      <c r="AH473" s="647">
        <f t="shared" si="58"/>
        <v>0</v>
      </c>
    </row>
    <row r="474" spans="1:34" ht="16.2">
      <c r="A474" s="618" t="s">
        <v>83</v>
      </c>
      <c r="B474" s="227">
        <f t="shared" si="57"/>
        <v>0</v>
      </c>
      <c r="C474" s="651"/>
      <c r="D474" s="652"/>
      <c r="E474" s="653"/>
      <c r="F474" s="125"/>
      <c r="G474" s="125"/>
      <c r="H474" s="125"/>
      <c r="I474" s="125"/>
      <c r="J474" s="125"/>
      <c r="K474" s="125"/>
      <c r="L474" s="125"/>
      <c r="M474" s="125"/>
      <c r="N474" s="125"/>
      <c r="O474" s="125"/>
      <c r="P474" s="125"/>
      <c r="Q474" s="125"/>
      <c r="R474" s="125"/>
      <c r="S474" s="125"/>
      <c r="T474" s="125"/>
      <c r="U474" s="125"/>
      <c r="V474" s="125"/>
      <c r="W474" s="125"/>
      <c r="X474" s="125"/>
      <c r="Y474" s="125"/>
      <c r="Z474" s="125"/>
      <c r="AA474" s="125"/>
      <c r="AB474" s="125"/>
      <c r="AC474" s="125"/>
      <c r="AD474" s="125"/>
      <c r="AE474" s="125"/>
      <c r="AF474" s="125"/>
      <c r="AG474" s="125"/>
      <c r="AH474" s="647">
        <f t="shared" si="58"/>
        <v>0</v>
      </c>
    </row>
    <row r="475" spans="1:34" ht="15">
      <c r="A475" s="618" t="s">
        <v>84</v>
      </c>
      <c r="B475" s="227">
        <f t="shared" si="57"/>
        <v>0</v>
      </c>
      <c r="C475" s="125"/>
      <c r="D475" s="654"/>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c r="AA475" s="125"/>
      <c r="AB475" s="125"/>
      <c r="AC475" s="125"/>
      <c r="AD475" s="125"/>
      <c r="AE475" s="125"/>
      <c r="AF475" s="125"/>
      <c r="AG475" s="125"/>
      <c r="AH475" s="647">
        <f t="shared" si="58"/>
        <v>0</v>
      </c>
    </row>
    <row r="476" spans="1:34" ht="15">
      <c r="A476" s="655" t="s">
        <v>50</v>
      </c>
      <c r="B476" s="656">
        <f>SUM(B464:B475)</f>
        <v>0</v>
      </c>
      <c r="C476" s="647">
        <v>0</v>
      </c>
      <c r="D476" s="647">
        <v>0</v>
      </c>
      <c r="E476" s="647">
        <v>0</v>
      </c>
      <c r="F476" s="647">
        <v>0</v>
      </c>
      <c r="G476" s="647">
        <v>0</v>
      </c>
      <c r="H476" s="647">
        <v>0</v>
      </c>
      <c r="I476" s="647">
        <v>0</v>
      </c>
      <c r="J476" s="647">
        <v>0</v>
      </c>
      <c r="K476" s="647">
        <v>0</v>
      </c>
      <c r="L476" s="647">
        <v>0</v>
      </c>
      <c r="M476" s="647">
        <v>0</v>
      </c>
      <c r="N476" s="647">
        <v>0</v>
      </c>
      <c r="O476" s="650">
        <v>0</v>
      </c>
      <c r="P476" s="650">
        <v>0</v>
      </c>
      <c r="Q476" s="650">
        <v>0</v>
      </c>
      <c r="R476" s="650">
        <v>0</v>
      </c>
      <c r="S476" s="650">
        <v>0</v>
      </c>
      <c r="T476" s="650">
        <v>0</v>
      </c>
      <c r="U476" s="650">
        <v>0</v>
      </c>
      <c r="V476" s="650">
        <v>0</v>
      </c>
      <c r="W476" s="650">
        <v>0</v>
      </c>
      <c r="X476" s="650">
        <v>0</v>
      </c>
      <c r="Y476" s="650">
        <v>0</v>
      </c>
      <c r="Z476" s="650">
        <v>0</v>
      </c>
      <c r="AA476" s="650">
        <v>0</v>
      </c>
      <c r="AB476" s="650">
        <v>0</v>
      </c>
      <c r="AC476" s="650">
        <v>0</v>
      </c>
      <c r="AD476" s="650">
        <v>0</v>
      </c>
      <c r="AE476" s="650">
        <v>0</v>
      </c>
      <c r="AF476" s="650">
        <v>0</v>
      </c>
      <c r="AG476" s="650">
        <v>0</v>
      </c>
      <c r="AH476" s="650">
        <v>0</v>
      </c>
    </row>
    <row r="478" spans="1:34" ht="15" customHeight="1">
      <c r="A478" s="3939" t="s">
        <v>476</v>
      </c>
      <c r="B478" s="3939"/>
      <c r="C478" s="3939"/>
      <c r="D478" s="966" t="s">
        <v>477</v>
      </c>
      <c r="E478" s="966"/>
      <c r="F478" s="966"/>
      <c r="G478" s="966"/>
      <c r="H478" s="642"/>
      <c r="I478" s="642"/>
      <c r="J478" s="642"/>
      <c r="K478" s="642"/>
      <c r="L478" s="642"/>
      <c r="M478" s="643"/>
      <c r="N478" s="642"/>
      <c r="O478" s="642"/>
      <c r="P478" s="642"/>
      <c r="Q478" s="642"/>
      <c r="R478" s="642"/>
      <c r="S478" s="642"/>
      <c r="T478" s="642"/>
      <c r="U478" s="642"/>
      <c r="V478" s="642"/>
      <c r="W478" s="642"/>
      <c r="X478" s="642"/>
      <c r="Y478" s="642"/>
      <c r="Z478" s="642"/>
      <c r="AA478" s="642"/>
      <c r="AB478" s="642"/>
      <c r="AC478" s="642"/>
      <c r="AD478" s="642"/>
      <c r="AE478" s="642"/>
      <c r="AF478" s="642"/>
      <c r="AG478" s="642"/>
      <c r="AH478" s="644"/>
    </row>
    <row r="479" spans="1:34" ht="15">
      <c r="A479" s="617" t="s">
        <v>70</v>
      </c>
      <c r="B479" s="617" t="s">
        <v>71</v>
      </c>
      <c r="C479" s="619">
        <v>1</v>
      </c>
      <c r="D479" s="619">
        <v>2</v>
      </c>
      <c r="E479" s="619">
        <v>3</v>
      </c>
      <c r="F479" s="619">
        <v>4</v>
      </c>
      <c r="G479" s="619">
        <v>5</v>
      </c>
      <c r="H479" s="619">
        <v>6</v>
      </c>
      <c r="I479" s="619">
        <v>7</v>
      </c>
      <c r="J479" s="619">
        <v>8</v>
      </c>
      <c r="K479" s="619">
        <v>9</v>
      </c>
      <c r="L479" s="619">
        <v>10</v>
      </c>
      <c r="M479" s="619">
        <v>11</v>
      </c>
      <c r="N479" s="619">
        <v>12</v>
      </c>
      <c r="O479" s="619">
        <v>13</v>
      </c>
      <c r="P479" s="619">
        <v>14</v>
      </c>
      <c r="Q479" s="619">
        <v>15</v>
      </c>
      <c r="R479" s="619">
        <v>16</v>
      </c>
      <c r="S479" s="619">
        <v>17</v>
      </c>
      <c r="T479" s="619">
        <v>18</v>
      </c>
      <c r="U479" s="619">
        <v>19</v>
      </c>
      <c r="V479" s="619">
        <v>20</v>
      </c>
      <c r="W479" s="619">
        <v>21</v>
      </c>
      <c r="X479" s="619">
        <v>22</v>
      </c>
      <c r="Y479" s="619">
        <v>23</v>
      </c>
      <c r="Z479" s="619">
        <v>24</v>
      </c>
      <c r="AA479" s="619">
        <v>25</v>
      </c>
      <c r="AB479" s="619">
        <v>26</v>
      </c>
      <c r="AC479" s="619">
        <v>27</v>
      </c>
      <c r="AD479" s="619">
        <v>28</v>
      </c>
      <c r="AE479" s="619">
        <v>29</v>
      </c>
      <c r="AF479" s="619">
        <v>30</v>
      </c>
      <c r="AG479" s="619">
        <v>31</v>
      </c>
      <c r="AH479" s="645" t="s">
        <v>72</v>
      </c>
    </row>
    <row r="480" spans="1:34" ht="15">
      <c r="A480" s="646" t="s">
        <v>73</v>
      </c>
      <c r="B480" s="227">
        <f>SUM(C480:AG480)</f>
        <v>0</v>
      </c>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c r="AA480" s="125"/>
      <c r="AB480" s="125"/>
      <c r="AC480" s="125"/>
      <c r="AD480" s="125"/>
      <c r="AE480" s="125"/>
      <c r="AF480" s="125"/>
      <c r="AG480" s="125"/>
      <c r="AH480" s="647">
        <f>SUM(C480:AG480)</f>
        <v>0</v>
      </c>
    </row>
    <row r="481" spans="1:34" ht="15">
      <c r="A481" s="646" t="s">
        <v>74</v>
      </c>
      <c r="B481" s="227">
        <f>SUM(C481:AG481)</f>
        <v>0</v>
      </c>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c r="AA481" s="125"/>
      <c r="AB481" s="125"/>
      <c r="AC481" s="125"/>
      <c r="AD481" s="125"/>
      <c r="AE481" s="125"/>
      <c r="AF481" s="125"/>
      <c r="AG481" s="125"/>
      <c r="AH481" s="647">
        <f t="shared" ref="AH481:AH491" si="59">SUM(C481:AG481)</f>
        <v>0</v>
      </c>
    </row>
    <row r="482" spans="1:34" ht="15">
      <c r="A482" s="646" t="s">
        <v>75</v>
      </c>
      <c r="B482" s="227">
        <f t="shared" ref="B482:B491" si="60">SUM(C482:AG482)</f>
        <v>0</v>
      </c>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c r="AA482" s="125"/>
      <c r="AB482" s="125"/>
      <c r="AC482" s="125"/>
      <c r="AD482" s="125"/>
      <c r="AE482" s="125"/>
      <c r="AF482" s="125"/>
      <c r="AG482" s="125"/>
      <c r="AH482" s="647">
        <f t="shared" si="59"/>
        <v>0</v>
      </c>
    </row>
    <row r="483" spans="1:34" ht="15">
      <c r="A483" s="646" t="s">
        <v>76</v>
      </c>
      <c r="B483" s="227">
        <f t="shared" si="60"/>
        <v>0</v>
      </c>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c r="AA483" s="125"/>
      <c r="AB483" s="125"/>
      <c r="AC483" s="125"/>
      <c r="AD483" s="125"/>
      <c r="AE483" s="125"/>
      <c r="AF483" s="125"/>
      <c r="AG483" s="125"/>
      <c r="AH483" s="647">
        <f t="shared" si="59"/>
        <v>0</v>
      </c>
    </row>
    <row r="484" spans="1:34" ht="15">
      <c r="A484" s="646" t="s">
        <v>77</v>
      </c>
      <c r="B484" s="227">
        <f t="shared" si="60"/>
        <v>0</v>
      </c>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c r="AA484" s="125"/>
      <c r="AB484" s="125"/>
      <c r="AC484" s="125"/>
      <c r="AD484" s="125"/>
      <c r="AE484" s="125"/>
      <c r="AF484" s="125"/>
      <c r="AG484" s="125"/>
      <c r="AH484" s="647">
        <f t="shared" si="59"/>
        <v>0</v>
      </c>
    </row>
    <row r="485" spans="1:34" ht="15">
      <c r="A485" s="646" t="s">
        <v>78</v>
      </c>
      <c r="B485" s="227">
        <f t="shared" si="60"/>
        <v>0</v>
      </c>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c r="AA485" s="125"/>
      <c r="AB485" s="125"/>
      <c r="AC485" s="125"/>
      <c r="AD485" s="125"/>
      <c r="AE485" s="125"/>
      <c r="AF485" s="125"/>
      <c r="AG485" s="125"/>
      <c r="AH485" s="647">
        <f t="shared" si="59"/>
        <v>0</v>
      </c>
    </row>
    <row r="486" spans="1:34" ht="15">
      <c r="A486" s="618" t="s">
        <v>79</v>
      </c>
      <c r="B486" s="227">
        <f t="shared" si="60"/>
        <v>0</v>
      </c>
      <c r="C486" s="648"/>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c r="AA486" s="125"/>
      <c r="AB486" s="125"/>
      <c r="AC486" s="125"/>
      <c r="AD486" s="125"/>
      <c r="AE486" s="125"/>
      <c r="AF486" s="125"/>
      <c r="AG486" s="125"/>
      <c r="AH486" s="647">
        <f t="shared" si="59"/>
        <v>0</v>
      </c>
    </row>
    <row r="487" spans="1:34" ht="15">
      <c r="A487" s="618" t="s">
        <v>80</v>
      </c>
      <c r="B487" s="227">
        <f t="shared" si="60"/>
        <v>0</v>
      </c>
      <c r="C487" s="648"/>
      <c r="D487" s="125"/>
      <c r="E487" s="125"/>
      <c r="F487" s="125"/>
      <c r="G487" s="125"/>
      <c r="H487" s="125"/>
      <c r="I487" s="125"/>
      <c r="J487" s="125"/>
      <c r="K487" s="125"/>
      <c r="L487" s="125"/>
      <c r="M487" s="125"/>
      <c r="N487" s="125"/>
      <c r="O487" s="125"/>
      <c r="P487" s="125"/>
      <c r="Q487" s="227"/>
      <c r="R487" s="227"/>
      <c r="S487" s="227"/>
      <c r="T487" s="227"/>
      <c r="U487" s="227"/>
      <c r="V487" s="227"/>
      <c r="W487" s="227"/>
      <c r="X487" s="227"/>
      <c r="Y487" s="227"/>
      <c r="Z487" s="227"/>
      <c r="AA487" s="227"/>
      <c r="AB487" s="227"/>
      <c r="AC487" s="227"/>
      <c r="AD487" s="227"/>
      <c r="AE487" s="227"/>
      <c r="AF487" s="227"/>
      <c r="AG487" s="227"/>
      <c r="AH487" s="647">
        <f t="shared" si="59"/>
        <v>0</v>
      </c>
    </row>
    <row r="488" spans="1:34" ht="15">
      <c r="A488" s="618" t="s">
        <v>81</v>
      </c>
      <c r="B488" s="227">
        <f t="shared" si="60"/>
        <v>0</v>
      </c>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c r="AA488" s="227"/>
      <c r="AB488" s="227"/>
      <c r="AC488" s="227"/>
      <c r="AD488" s="227"/>
      <c r="AE488" s="227"/>
      <c r="AF488" s="227"/>
      <c r="AG488" s="227"/>
      <c r="AH488" s="647">
        <f t="shared" si="59"/>
        <v>0</v>
      </c>
    </row>
    <row r="489" spans="1:34" ht="15">
      <c r="A489" s="618" t="s">
        <v>82</v>
      </c>
      <c r="B489" s="227">
        <f t="shared" si="60"/>
        <v>0</v>
      </c>
      <c r="C489" s="648"/>
      <c r="D489" s="649"/>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c r="AA489" s="125"/>
      <c r="AB489" s="125"/>
      <c r="AC489" s="125"/>
      <c r="AD489" s="125"/>
      <c r="AE489" s="125"/>
      <c r="AF489" s="125"/>
      <c r="AG489" s="125"/>
      <c r="AH489" s="647">
        <f t="shared" si="59"/>
        <v>0</v>
      </c>
    </row>
    <row r="490" spans="1:34" ht="16.2">
      <c r="A490" s="618" t="s">
        <v>83</v>
      </c>
      <c r="B490" s="227">
        <f t="shared" si="60"/>
        <v>0</v>
      </c>
      <c r="C490" s="651"/>
      <c r="D490" s="652"/>
      <c r="E490" s="653"/>
      <c r="F490" s="125"/>
      <c r="G490" s="125"/>
      <c r="H490" s="125"/>
      <c r="I490" s="125"/>
      <c r="J490" s="125"/>
      <c r="K490" s="125"/>
      <c r="L490" s="125"/>
      <c r="M490" s="125"/>
      <c r="N490" s="125"/>
      <c r="O490" s="125"/>
      <c r="P490" s="125"/>
      <c r="Q490" s="125"/>
      <c r="R490" s="125"/>
      <c r="S490" s="125"/>
      <c r="T490" s="125"/>
      <c r="U490" s="125"/>
      <c r="V490" s="125"/>
      <c r="W490" s="125"/>
      <c r="X490" s="125"/>
      <c r="Y490" s="125"/>
      <c r="Z490" s="125"/>
      <c r="AA490" s="125"/>
      <c r="AB490" s="125"/>
      <c r="AC490" s="125"/>
      <c r="AD490" s="125"/>
      <c r="AE490" s="125"/>
      <c r="AF490" s="125"/>
      <c r="AG490" s="125"/>
      <c r="AH490" s="647">
        <f t="shared" si="59"/>
        <v>0</v>
      </c>
    </row>
    <row r="491" spans="1:34" ht="15">
      <c r="A491" s="618" t="s">
        <v>84</v>
      </c>
      <c r="B491" s="227">
        <f t="shared" si="60"/>
        <v>0</v>
      </c>
      <c r="C491" s="125"/>
      <c r="D491" s="654"/>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c r="AA491" s="125"/>
      <c r="AB491" s="125"/>
      <c r="AC491" s="125"/>
      <c r="AD491" s="125"/>
      <c r="AE491" s="125"/>
      <c r="AF491" s="125"/>
      <c r="AG491" s="125"/>
      <c r="AH491" s="647">
        <f t="shared" si="59"/>
        <v>0</v>
      </c>
    </row>
    <row r="492" spans="1:34" ht="15">
      <c r="A492" s="655" t="s">
        <v>50</v>
      </c>
      <c r="B492" s="656">
        <f>SUM(B480:B491)</f>
        <v>0</v>
      </c>
      <c r="C492" s="647">
        <v>0</v>
      </c>
      <c r="D492" s="647">
        <v>0</v>
      </c>
      <c r="E492" s="647">
        <v>0</v>
      </c>
      <c r="F492" s="647">
        <v>0</v>
      </c>
      <c r="G492" s="647">
        <v>0</v>
      </c>
      <c r="H492" s="647">
        <v>0</v>
      </c>
      <c r="I492" s="647">
        <v>0</v>
      </c>
      <c r="J492" s="647">
        <v>0</v>
      </c>
      <c r="K492" s="647">
        <v>0</v>
      </c>
      <c r="L492" s="647">
        <v>0</v>
      </c>
      <c r="M492" s="647">
        <v>0</v>
      </c>
      <c r="N492" s="647">
        <v>0</v>
      </c>
      <c r="O492" s="650">
        <v>0</v>
      </c>
      <c r="P492" s="650">
        <v>0</v>
      </c>
      <c r="Q492" s="650">
        <v>0</v>
      </c>
      <c r="R492" s="650">
        <v>0</v>
      </c>
      <c r="S492" s="650">
        <v>0</v>
      </c>
      <c r="T492" s="650">
        <v>0</v>
      </c>
      <c r="U492" s="650">
        <v>0</v>
      </c>
      <c r="V492" s="650">
        <v>0</v>
      </c>
      <c r="W492" s="650">
        <v>0</v>
      </c>
      <c r="X492" s="650">
        <v>0</v>
      </c>
      <c r="Y492" s="650">
        <v>0</v>
      </c>
      <c r="Z492" s="650">
        <v>0</v>
      </c>
      <c r="AA492" s="650">
        <v>0</v>
      </c>
      <c r="AB492" s="650">
        <v>0</v>
      </c>
      <c r="AC492" s="650">
        <v>0</v>
      </c>
      <c r="AD492" s="650">
        <v>0</v>
      </c>
      <c r="AE492" s="650">
        <v>0</v>
      </c>
      <c r="AF492" s="650">
        <v>0</v>
      </c>
      <c r="AG492" s="650">
        <v>0</v>
      </c>
      <c r="AH492" s="650">
        <v>0</v>
      </c>
    </row>
    <row r="494" spans="1:34" ht="13.8" thickBot="1"/>
    <row r="495" spans="1:34" ht="15.6" thickBot="1">
      <c r="A495" s="3949" t="s">
        <v>349</v>
      </c>
      <c r="B495" s="3950"/>
      <c r="C495" s="3951"/>
      <c r="D495" s="670" t="s">
        <v>350</v>
      </c>
      <c r="E495" s="671"/>
      <c r="F495" s="672"/>
      <c r="G495" s="790" t="s">
        <v>128</v>
      </c>
      <c r="H495" s="1337"/>
      <c r="I495" s="1338"/>
      <c r="J495" s="1339"/>
      <c r="K495" s="642"/>
      <c r="L495" s="642"/>
      <c r="M495" s="643"/>
      <c r="N495" s="642"/>
      <c r="O495" s="642"/>
      <c r="P495" s="642"/>
      <c r="Q495" s="642"/>
      <c r="R495" s="642"/>
      <c r="S495" s="642"/>
      <c r="T495" s="642"/>
      <c r="U495" s="642"/>
      <c r="V495" s="642"/>
      <c r="W495" s="642"/>
      <c r="X495" s="642"/>
      <c r="Y495" s="642"/>
      <c r="Z495" s="642"/>
      <c r="AA495" s="642"/>
      <c r="AB495" s="642"/>
      <c r="AC495" s="642"/>
      <c r="AD495" s="642"/>
      <c r="AE495" s="642"/>
      <c r="AF495" s="642"/>
      <c r="AG495" s="642"/>
      <c r="AH495" s="644"/>
    </row>
    <row r="496" spans="1:34" ht="15">
      <c r="A496" s="657" t="s">
        <v>70</v>
      </c>
      <c r="B496" s="657" t="s">
        <v>71</v>
      </c>
      <c r="C496" s="658">
        <v>1</v>
      </c>
      <c r="D496" s="658">
        <v>2</v>
      </c>
      <c r="E496" s="658">
        <v>3</v>
      </c>
      <c r="F496" s="658">
        <v>4</v>
      </c>
      <c r="G496" s="658">
        <v>5</v>
      </c>
      <c r="H496" s="658">
        <v>6</v>
      </c>
      <c r="I496" s="658">
        <v>7</v>
      </c>
      <c r="J496" s="619">
        <v>8</v>
      </c>
      <c r="K496" s="619">
        <v>9</v>
      </c>
      <c r="L496" s="619">
        <v>10</v>
      </c>
      <c r="M496" s="619">
        <v>11</v>
      </c>
      <c r="N496" s="619">
        <v>12</v>
      </c>
      <c r="O496" s="619">
        <v>13</v>
      </c>
      <c r="P496" s="619">
        <v>14</v>
      </c>
      <c r="Q496" s="619">
        <v>15</v>
      </c>
      <c r="R496" s="619">
        <v>16</v>
      </c>
      <c r="S496" s="619">
        <v>17</v>
      </c>
      <c r="T496" s="619">
        <v>18</v>
      </c>
      <c r="U496" s="619">
        <v>19</v>
      </c>
      <c r="V496" s="619">
        <v>20</v>
      </c>
      <c r="W496" s="619">
        <v>21</v>
      </c>
      <c r="X496" s="619">
        <v>22</v>
      </c>
      <c r="Y496" s="619">
        <v>23</v>
      </c>
      <c r="Z496" s="619">
        <v>24</v>
      </c>
      <c r="AA496" s="1335">
        <v>25</v>
      </c>
      <c r="AB496" s="619">
        <v>26</v>
      </c>
      <c r="AC496" s="619">
        <v>27</v>
      </c>
      <c r="AD496" s="619">
        <v>28</v>
      </c>
      <c r="AE496" s="619">
        <v>29</v>
      </c>
      <c r="AF496" s="619">
        <v>30</v>
      </c>
      <c r="AG496" s="619">
        <v>31</v>
      </c>
      <c r="AH496" s="645" t="s">
        <v>72</v>
      </c>
    </row>
    <row r="497" spans="1:34" ht="15">
      <c r="A497" s="646" t="s">
        <v>73</v>
      </c>
      <c r="B497" s="227">
        <f t="shared" ref="B497:B502" si="61">SUM(C497:AG497)</f>
        <v>0</v>
      </c>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c r="AA497" s="125"/>
      <c r="AB497" s="125"/>
      <c r="AC497" s="125"/>
      <c r="AD497" s="125"/>
      <c r="AE497" s="125"/>
      <c r="AF497" s="125"/>
      <c r="AG497" s="125"/>
      <c r="AH497" s="647">
        <f>SUM(C497:AG497)</f>
        <v>0</v>
      </c>
    </row>
    <row r="498" spans="1:34" ht="15">
      <c r="A498" s="646" t="s">
        <v>74</v>
      </c>
      <c r="B498" s="227">
        <f t="shared" si="61"/>
        <v>0</v>
      </c>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c r="AA498" s="125"/>
      <c r="AB498" s="125"/>
      <c r="AC498" s="125"/>
      <c r="AD498" s="125"/>
      <c r="AE498" s="125"/>
      <c r="AF498" s="125"/>
      <c r="AG498" s="125"/>
      <c r="AH498" s="647">
        <f t="shared" ref="AH498:AH508" si="62">SUM(C498:AG498)</f>
        <v>0</v>
      </c>
    </row>
    <row r="499" spans="1:34" ht="15">
      <c r="A499" s="646" t="s">
        <v>75</v>
      </c>
      <c r="B499" s="227">
        <f t="shared" si="61"/>
        <v>0</v>
      </c>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c r="AA499" s="125"/>
      <c r="AB499" s="125"/>
      <c r="AC499" s="125"/>
      <c r="AD499" s="125"/>
      <c r="AE499" s="125"/>
      <c r="AF499" s="125"/>
      <c r="AG499" s="125"/>
      <c r="AH499" s="647">
        <f t="shared" si="62"/>
        <v>0</v>
      </c>
    </row>
    <row r="500" spans="1:34" ht="15">
      <c r="A500" s="646" t="s">
        <v>76</v>
      </c>
      <c r="B500" s="227">
        <f t="shared" si="61"/>
        <v>0</v>
      </c>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c r="AA500" s="125"/>
      <c r="AB500" s="125"/>
      <c r="AC500" s="125"/>
      <c r="AD500" s="125"/>
      <c r="AE500" s="125"/>
      <c r="AF500" s="125"/>
      <c r="AG500" s="125"/>
      <c r="AH500" s="647">
        <f t="shared" si="62"/>
        <v>0</v>
      </c>
    </row>
    <row r="501" spans="1:34" ht="15">
      <c r="A501" s="646" t="s">
        <v>77</v>
      </c>
      <c r="B501" s="227">
        <f t="shared" si="61"/>
        <v>0</v>
      </c>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c r="AA501" s="125"/>
      <c r="AB501" s="125"/>
      <c r="AC501" s="125"/>
      <c r="AD501" s="125"/>
      <c r="AE501" s="125"/>
      <c r="AF501" s="125"/>
      <c r="AG501" s="125"/>
      <c r="AH501" s="647">
        <f t="shared" si="62"/>
        <v>0</v>
      </c>
    </row>
    <row r="502" spans="1:34" ht="15">
      <c r="A502" s="646" t="s">
        <v>78</v>
      </c>
      <c r="B502" s="227">
        <f t="shared" si="61"/>
        <v>0</v>
      </c>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c r="AA502" s="125"/>
      <c r="AB502" s="125"/>
      <c r="AC502" s="125"/>
      <c r="AD502" s="125"/>
      <c r="AE502" s="125"/>
      <c r="AF502" s="125"/>
      <c r="AG502" s="125"/>
      <c r="AH502" s="647">
        <f t="shared" si="62"/>
        <v>0</v>
      </c>
    </row>
    <row r="503" spans="1:34" ht="15">
      <c r="A503" s="618" t="s">
        <v>79</v>
      </c>
      <c r="B503" s="227">
        <f t="shared" ref="B503:B508" si="63">SUM(C503:AG503)</f>
        <v>0</v>
      </c>
      <c r="C503" s="648"/>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c r="AA503" s="125"/>
      <c r="AB503" s="125"/>
      <c r="AC503" s="125"/>
      <c r="AD503" s="125"/>
      <c r="AE503" s="125"/>
      <c r="AF503" s="125"/>
      <c r="AG503" s="125"/>
      <c r="AH503" s="647">
        <f t="shared" si="62"/>
        <v>0</v>
      </c>
    </row>
    <row r="504" spans="1:34" ht="15">
      <c r="A504" s="618" t="s">
        <v>80</v>
      </c>
      <c r="B504" s="227">
        <f t="shared" si="63"/>
        <v>0</v>
      </c>
      <c r="C504" s="648"/>
      <c r="D504" s="125"/>
      <c r="E504" s="125"/>
      <c r="F504" s="125"/>
      <c r="G504" s="125"/>
      <c r="H504" s="125"/>
      <c r="I504" s="125"/>
      <c r="J504" s="125"/>
      <c r="K504" s="125"/>
      <c r="L504" s="125"/>
      <c r="M504" s="125"/>
      <c r="N504" s="125"/>
      <c r="O504" s="125"/>
      <c r="P504" s="125"/>
      <c r="Q504" s="227"/>
      <c r="R504" s="227"/>
      <c r="S504" s="227"/>
      <c r="T504" s="227"/>
      <c r="U504" s="227"/>
      <c r="V504" s="227"/>
      <c r="W504" s="227"/>
      <c r="X504" s="227"/>
      <c r="Y504" s="227"/>
      <c r="Z504" s="227"/>
      <c r="AA504" s="227"/>
      <c r="AB504" s="227"/>
      <c r="AC504" s="227"/>
      <c r="AD504" s="227"/>
      <c r="AE504" s="227"/>
      <c r="AF504" s="227"/>
      <c r="AG504" s="227"/>
      <c r="AH504" s="647">
        <f t="shared" si="62"/>
        <v>0</v>
      </c>
    </row>
    <row r="505" spans="1:34" ht="15">
      <c r="A505" s="618" t="s">
        <v>81</v>
      </c>
      <c r="B505" s="227">
        <f t="shared" si="63"/>
        <v>0</v>
      </c>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c r="AA505" s="227"/>
      <c r="AB505" s="227"/>
      <c r="AC505" s="227"/>
      <c r="AD505" s="227"/>
      <c r="AE505" s="227"/>
      <c r="AF505" s="227"/>
      <c r="AG505" s="227"/>
      <c r="AH505" s="647">
        <f t="shared" si="62"/>
        <v>0</v>
      </c>
    </row>
    <row r="506" spans="1:34" ht="15">
      <c r="A506" s="618" t="s">
        <v>82</v>
      </c>
      <c r="B506" s="227">
        <f t="shared" si="63"/>
        <v>0</v>
      </c>
      <c r="C506" s="648"/>
      <c r="D506" s="649"/>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c r="AA506" s="125"/>
      <c r="AB506" s="125"/>
      <c r="AC506" s="125"/>
      <c r="AD506" s="125"/>
      <c r="AE506" s="125"/>
      <c r="AF506" s="125"/>
      <c r="AG506" s="125"/>
      <c r="AH506" s="647">
        <f t="shared" si="62"/>
        <v>0</v>
      </c>
    </row>
    <row r="507" spans="1:34" ht="16.2">
      <c r="A507" s="618" t="s">
        <v>83</v>
      </c>
      <c r="B507" s="227">
        <f t="shared" si="63"/>
        <v>0</v>
      </c>
      <c r="C507" s="651"/>
      <c r="D507" s="652"/>
      <c r="E507" s="653"/>
      <c r="F507" s="125"/>
      <c r="G507" s="125"/>
      <c r="H507" s="125"/>
      <c r="I507" s="125"/>
      <c r="J507" s="125"/>
      <c r="K507" s="125"/>
      <c r="L507" s="125"/>
      <c r="M507" s="125"/>
      <c r="N507" s="125"/>
      <c r="O507" s="125"/>
      <c r="P507" s="125"/>
      <c r="Q507" s="125"/>
      <c r="R507" s="125"/>
      <c r="S507" s="125"/>
      <c r="T507" s="125"/>
      <c r="U507" s="125"/>
      <c r="V507" s="125"/>
      <c r="W507" s="125"/>
      <c r="X507" s="125"/>
      <c r="Y507" s="125"/>
      <c r="Z507" s="125"/>
      <c r="AA507" s="125"/>
      <c r="AB507" s="125"/>
      <c r="AC507" s="125"/>
      <c r="AD507" s="125"/>
      <c r="AE507" s="125"/>
      <c r="AF507" s="125"/>
      <c r="AG507" s="125"/>
      <c r="AH507" s="647">
        <f t="shared" si="62"/>
        <v>0</v>
      </c>
    </row>
    <row r="508" spans="1:34" ht="15">
      <c r="A508" s="618" t="s">
        <v>84</v>
      </c>
      <c r="B508" s="227">
        <f t="shared" si="63"/>
        <v>0</v>
      </c>
      <c r="C508" s="125"/>
      <c r="D508" s="654"/>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c r="AA508" s="125"/>
      <c r="AB508" s="125"/>
      <c r="AC508" s="125"/>
      <c r="AD508" s="125"/>
      <c r="AE508" s="125"/>
      <c r="AF508" s="125"/>
      <c r="AG508" s="125"/>
      <c r="AH508" s="647">
        <f t="shared" si="62"/>
        <v>0</v>
      </c>
    </row>
    <row r="509" spans="1:34" ht="15">
      <c r="A509" s="668" t="s">
        <v>50</v>
      </c>
      <c r="B509" s="669">
        <f>SUM(B497:B508)</f>
        <v>0</v>
      </c>
      <c r="C509" s="647">
        <v>0</v>
      </c>
      <c r="D509" s="647">
        <v>0</v>
      </c>
      <c r="E509" s="647">
        <v>0</v>
      </c>
      <c r="F509" s="647">
        <v>0</v>
      </c>
      <c r="G509" s="647">
        <v>0</v>
      </c>
      <c r="H509" s="647">
        <v>0</v>
      </c>
      <c r="I509" s="647">
        <v>0</v>
      </c>
      <c r="J509" s="647">
        <v>0</v>
      </c>
      <c r="K509" s="647">
        <v>0</v>
      </c>
      <c r="L509" s="647">
        <v>0</v>
      </c>
      <c r="M509" s="647">
        <v>0</v>
      </c>
      <c r="N509" s="647">
        <v>0</v>
      </c>
      <c r="O509" s="650">
        <v>0</v>
      </c>
      <c r="P509" s="650">
        <v>0</v>
      </c>
      <c r="Q509" s="650">
        <v>0</v>
      </c>
      <c r="R509" s="650">
        <v>0</v>
      </c>
      <c r="S509" s="650">
        <v>0</v>
      </c>
      <c r="T509" s="650">
        <v>0</v>
      </c>
      <c r="U509" s="650">
        <v>0</v>
      </c>
      <c r="V509" s="650">
        <v>0</v>
      </c>
      <c r="W509" s="650">
        <v>0</v>
      </c>
      <c r="X509" s="650">
        <v>0</v>
      </c>
      <c r="Y509" s="650">
        <v>0</v>
      </c>
      <c r="Z509" s="650">
        <v>0</v>
      </c>
      <c r="AA509" s="650">
        <v>0</v>
      </c>
      <c r="AB509" s="650">
        <v>0</v>
      </c>
      <c r="AC509" s="650">
        <v>0</v>
      </c>
      <c r="AD509" s="650">
        <v>0</v>
      </c>
      <c r="AE509" s="650">
        <v>0</v>
      </c>
      <c r="AF509" s="650">
        <v>0</v>
      </c>
      <c r="AG509" s="650">
        <v>0</v>
      </c>
      <c r="AH509" s="650">
        <v>0</v>
      </c>
    </row>
    <row r="510" spans="1:34" ht="13.8" thickBot="1"/>
    <row r="511" spans="1:34" s="1176" customFormat="1" ht="15.6" thickBot="1">
      <c r="A511" s="3949" t="s">
        <v>521</v>
      </c>
      <c r="B511" s="3950"/>
      <c r="C511" s="3951"/>
      <c r="D511" s="670" t="s">
        <v>522</v>
      </c>
      <c r="E511" s="671"/>
      <c r="F511" s="672"/>
      <c r="G511" s="1336"/>
      <c r="H511" s="1337"/>
      <c r="I511" s="1338"/>
      <c r="J511" s="642"/>
      <c r="K511" s="642"/>
      <c r="L511" s="642"/>
      <c r="M511" s="643"/>
      <c r="N511" s="642"/>
      <c r="O511" s="642"/>
      <c r="P511" s="642"/>
      <c r="Q511" s="642"/>
      <c r="R511" s="642"/>
      <c r="S511" s="642"/>
      <c r="T511" s="642"/>
      <c r="U511" s="642"/>
      <c r="V511" s="642"/>
      <c r="W511" s="642"/>
      <c r="X511" s="642"/>
      <c r="Y511" s="642"/>
      <c r="Z511" s="642"/>
      <c r="AA511" s="642"/>
      <c r="AB511" s="642"/>
      <c r="AC511" s="642"/>
      <c r="AD511" s="642"/>
      <c r="AE511" s="642"/>
      <c r="AF511" s="642"/>
      <c r="AG511" s="642"/>
      <c r="AH511" s="644"/>
    </row>
    <row r="512" spans="1:34" s="1176" customFormat="1" ht="15">
      <c r="A512" s="657" t="s">
        <v>70</v>
      </c>
      <c r="B512" s="657" t="s">
        <v>71</v>
      </c>
      <c r="C512" s="658">
        <v>1</v>
      </c>
      <c r="D512" s="658">
        <v>2</v>
      </c>
      <c r="E512" s="658">
        <v>3</v>
      </c>
      <c r="F512" s="658">
        <v>4</v>
      </c>
      <c r="G512" s="658">
        <v>5</v>
      </c>
      <c r="H512" s="658">
        <v>6</v>
      </c>
      <c r="I512" s="658">
        <v>7</v>
      </c>
      <c r="J512" s="619">
        <v>8</v>
      </c>
      <c r="K512" s="619">
        <v>9</v>
      </c>
      <c r="L512" s="619">
        <v>10</v>
      </c>
      <c r="M512" s="619">
        <v>11</v>
      </c>
      <c r="N512" s="619">
        <v>12</v>
      </c>
      <c r="O512" s="619">
        <v>13</v>
      </c>
      <c r="P512" s="619">
        <v>14</v>
      </c>
      <c r="Q512" s="619">
        <v>15</v>
      </c>
      <c r="R512" s="619">
        <v>16</v>
      </c>
      <c r="S512" s="619">
        <v>17</v>
      </c>
      <c r="T512" s="619">
        <v>18</v>
      </c>
      <c r="U512" s="619">
        <v>19</v>
      </c>
      <c r="V512" s="619">
        <v>20</v>
      </c>
      <c r="W512" s="619">
        <v>21</v>
      </c>
      <c r="X512" s="619">
        <v>22</v>
      </c>
      <c r="Y512" s="619">
        <v>23</v>
      </c>
      <c r="Z512" s="619">
        <v>24</v>
      </c>
      <c r="AA512" s="1335">
        <v>25</v>
      </c>
      <c r="AB512" s="619">
        <v>26</v>
      </c>
      <c r="AC512" s="619">
        <v>27</v>
      </c>
      <c r="AD512" s="619">
        <v>28</v>
      </c>
      <c r="AE512" s="619">
        <v>29</v>
      </c>
      <c r="AF512" s="619">
        <v>30</v>
      </c>
      <c r="AG512" s="619">
        <v>31</v>
      </c>
      <c r="AH512" s="645" t="s">
        <v>72</v>
      </c>
    </row>
    <row r="513" spans="1:34" s="1176" customFormat="1" ht="15">
      <c r="A513" s="646" t="s">
        <v>73</v>
      </c>
      <c r="B513" s="227">
        <f t="shared" ref="B513:B518" si="64">SUM(C513:AG513)</f>
        <v>0</v>
      </c>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c r="AA513" s="125"/>
      <c r="AB513" s="125"/>
      <c r="AC513" s="125"/>
      <c r="AD513" s="125"/>
      <c r="AE513" s="125"/>
      <c r="AF513" s="125"/>
      <c r="AG513" s="125"/>
      <c r="AH513" s="647">
        <f>SUM(C513:AG513)</f>
        <v>0</v>
      </c>
    </row>
    <row r="514" spans="1:34" s="1176" customFormat="1" ht="15">
      <c r="A514" s="646" t="s">
        <v>74</v>
      </c>
      <c r="B514" s="227">
        <f t="shared" si="64"/>
        <v>0</v>
      </c>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c r="AA514" s="125"/>
      <c r="AB514" s="125"/>
      <c r="AC514" s="125"/>
      <c r="AD514" s="125"/>
      <c r="AE514" s="125"/>
      <c r="AF514" s="125"/>
      <c r="AG514" s="125"/>
      <c r="AH514" s="647">
        <f t="shared" ref="AH514:AH524" si="65">SUM(C514:AG514)</f>
        <v>0</v>
      </c>
    </row>
    <row r="515" spans="1:34" s="1176" customFormat="1" ht="15">
      <c r="A515" s="646" t="s">
        <v>75</v>
      </c>
      <c r="B515" s="227">
        <f t="shared" si="64"/>
        <v>0</v>
      </c>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c r="AA515" s="125"/>
      <c r="AB515" s="125"/>
      <c r="AC515" s="125"/>
      <c r="AD515" s="125"/>
      <c r="AE515" s="125"/>
      <c r="AF515" s="125"/>
      <c r="AG515" s="125"/>
      <c r="AH515" s="647">
        <f t="shared" si="65"/>
        <v>0</v>
      </c>
    </row>
    <row r="516" spans="1:34" s="1176" customFormat="1" ht="15">
      <c r="A516" s="646" t="s">
        <v>76</v>
      </c>
      <c r="B516" s="227">
        <f t="shared" si="64"/>
        <v>0</v>
      </c>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c r="AA516" s="125"/>
      <c r="AB516" s="125"/>
      <c r="AC516" s="125"/>
      <c r="AD516" s="125"/>
      <c r="AE516" s="125"/>
      <c r="AF516" s="125"/>
      <c r="AG516" s="125"/>
      <c r="AH516" s="647">
        <f t="shared" si="65"/>
        <v>0</v>
      </c>
    </row>
    <row r="517" spans="1:34" s="1176" customFormat="1" ht="15">
      <c r="A517" s="646" t="s">
        <v>77</v>
      </c>
      <c r="B517" s="227">
        <f t="shared" si="64"/>
        <v>0</v>
      </c>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c r="AA517" s="125"/>
      <c r="AB517" s="125"/>
      <c r="AC517" s="125"/>
      <c r="AD517" s="125"/>
      <c r="AE517" s="125"/>
      <c r="AF517" s="125"/>
      <c r="AG517" s="125"/>
      <c r="AH517" s="647">
        <f t="shared" si="65"/>
        <v>0</v>
      </c>
    </row>
    <row r="518" spans="1:34" s="1176" customFormat="1" ht="15">
      <c r="A518" s="646" t="s">
        <v>78</v>
      </c>
      <c r="B518" s="227">
        <f t="shared" si="64"/>
        <v>0</v>
      </c>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c r="AA518" s="125"/>
      <c r="AB518" s="125"/>
      <c r="AC518" s="125"/>
      <c r="AD518" s="125"/>
      <c r="AE518" s="125"/>
      <c r="AF518" s="125"/>
      <c r="AG518" s="125"/>
      <c r="AH518" s="647">
        <f t="shared" si="65"/>
        <v>0</v>
      </c>
    </row>
    <row r="519" spans="1:34" s="1176" customFormat="1" ht="15">
      <c r="A519" s="618" t="s">
        <v>79</v>
      </c>
      <c r="B519" s="227">
        <f t="shared" ref="B519:B524" si="66">SUM(C519:AG519)</f>
        <v>0</v>
      </c>
      <c r="C519" s="648"/>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c r="AA519" s="125"/>
      <c r="AB519" s="125"/>
      <c r="AC519" s="125"/>
      <c r="AD519" s="125"/>
      <c r="AE519" s="125"/>
      <c r="AF519" s="125"/>
      <c r="AG519" s="125"/>
      <c r="AH519" s="647">
        <f t="shared" si="65"/>
        <v>0</v>
      </c>
    </row>
    <row r="520" spans="1:34" s="1176" customFormat="1" ht="15">
      <c r="A520" s="618" t="s">
        <v>80</v>
      </c>
      <c r="B520" s="227">
        <f t="shared" si="66"/>
        <v>0</v>
      </c>
      <c r="C520" s="648"/>
      <c r="D520" s="125"/>
      <c r="E520" s="125"/>
      <c r="F520" s="125"/>
      <c r="G520" s="125"/>
      <c r="H520" s="125"/>
      <c r="I520" s="125"/>
      <c r="J520" s="125"/>
      <c r="K520" s="125"/>
      <c r="L520" s="125"/>
      <c r="M520" s="125"/>
      <c r="N520" s="125"/>
      <c r="O520" s="125"/>
      <c r="P520" s="125"/>
      <c r="Q520" s="227"/>
      <c r="R520" s="227"/>
      <c r="S520" s="227"/>
      <c r="T520" s="227"/>
      <c r="U520" s="227"/>
      <c r="V520" s="227"/>
      <c r="W520" s="227"/>
      <c r="X520" s="227"/>
      <c r="Y520" s="227"/>
      <c r="Z520" s="227"/>
      <c r="AA520" s="227"/>
      <c r="AB520" s="227"/>
      <c r="AC520" s="227"/>
      <c r="AD520" s="227"/>
      <c r="AE520" s="227"/>
      <c r="AF520" s="227"/>
      <c r="AG520" s="227"/>
      <c r="AH520" s="647">
        <f t="shared" si="65"/>
        <v>0</v>
      </c>
    </row>
    <row r="521" spans="1:34" s="1176" customFormat="1" ht="15">
      <c r="A521" s="618" t="s">
        <v>81</v>
      </c>
      <c r="B521" s="227">
        <f t="shared" si="66"/>
        <v>0</v>
      </c>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c r="AA521" s="227"/>
      <c r="AB521" s="227"/>
      <c r="AC521" s="227"/>
      <c r="AD521" s="227"/>
      <c r="AE521" s="227"/>
      <c r="AF521" s="227"/>
      <c r="AG521" s="227"/>
      <c r="AH521" s="647">
        <f t="shared" si="65"/>
        <v>0</v>
      </c>
    </row>
    <row r="522" spans="1:34" s="1176" customFormat="1" ht="15">
      <c r="A522" s="618" t="s">
        <v>82</v>
      </c>
      <c r="B522" s="227">
        <f t="shared" si="66"/>
        <v>0</v>
      </c>
      <c r="C522" s="648"/>
      <c r="D522" s="649"/>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c r="AA522" s="125"/>
      <c r="AB522" s="125"/>
      <c r="AC522" s="125"/>
      <c r="AD522" s="125"/>
      <c r="AE522" s="125"/>
      <c r="AF522" s="125"/>
      <c r="AG522" s="125"/>
      <c r="AH522" s="647">
        <f t="shared" si="65"/>
        <v>0</v>
      </c>
    </row>
    <row r="523" spans="1:34" s="1176" customFormat="1" ht="16.2">
      <c r="A523" s="618" t="s">
        <v>83</v>
      </c>
      <c r="B523" s="227">
        <f t="shared" si="66"/>
        <v>0</v>
      </c>
      <c r="C523" s="651"/>
      <c r="D523" s="652"/>
      <c r="E523" s="653"/>
      <c r="F523" s="125"/>
      <c r="G523" s="125"/>
      <c r="H523" s="125"/>
      <c r="I523" s="125"/>
      <c r="J523" s="125"/>
      <c r="K523" s="125"/>
      <c r="L523" s="125"/>
      <c r="M523" s="125"/>
      <c r="N523" s="125"/>
      <c r="O523" s="125"/>
      <c r="P523" s="125"/>
      <c r="Q523" s="125"/>
      <c r="R523" s="125"/>
      <c r="S523" s="125"/>
      <c r="T523" s="125"/>
      <c r="U523" s="125"/>
      <c r="V523" s="125"/>
      <c r="W523" s="125"/>
      <c r="X523" s="125"/>
      <c r="Y523" s="125"/>
      <c r="Z523" s="125"/>
      <c r="AA523" s="125"/>
      <c r="AB523" s="125"/>
      <c r="AC523" s="125"/>
      <c r="AD523" s="125"/>
      <c r="AE523" s="125"/>
      <c r="AF523" s="125"/>
      <c r="AG523" s="125"/>
      <c r="AH523" s="647">
        <f t="shared" si="65"/>
        <v>0</v>
      </c>
    </row>
    <row r="524" spans="1:34" s="1176" customFormat="1" ht="15">
      <c r="A524" s="618" t="s">
        <v>84</v>
      </c>
      <c r="B524" s="227">
        <f t="shared" si="66"/>
        <v>0</v>
      </c>
      <c r="C524" s="125"/>
      <c r="D524" s="654"/>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c r="AA524" s="125"/>
      <c r="AB524" s="125"/>
      <c r="AC524" s="125"/>
      <c r="AD524" s="125"/>
      <c r="AE524" s="125"/>
      <c r="AF524" s="125"/>
      <c r="AG524" s="125"/>
      <c r="AH524" s="647">
        <f t="shared" si="65"/>
        <v>0</v>
      </c>
    </row>
    <row r="525" spans="1:34" s="1176" customFormat="1" ht="15">
      <c r="A525" s="668" t="s">
        <v>50</v>
      </c>
      <c r="B525" s="669">
        <f>SUM(B513:B524)</f>
        <v>0</v>
      </c>
      <c r="C525" s="647">
        <v>0</v>
      </c>
      <c r="D525" s="647">
        <v>0</v>
      </c>
      <c r="E525" s="647">
        <v>0</v>
      </c>
      <c r="F525" s="647">
        <v>0</v>
      </c>
      <c r="G525" s="647">
        <v>0</v>
      </c>
      <c r="H525" s="647">
        <v>0</v>
      </c>
      <c r="I525" s="647">
        <v>0</v>
      </c>
      <c r="J525" s="647">
        <v>0</v>
      </c>
      <c r="K525" s="647">
        <v>0</v>
      </c>
      <c r="L525" s="647">
        <v>0</v>
      </c>
      <c r="M525" s="647">
        <v>0</v>
      </c>
      <c r="N525" s="647">
        <v>0</v>
      </c>
      <c r="O525" s="650">
        <v>0</v>
      </c>
      <c r="P525" s="650">
        <v>0</v>
      </c>
      <c r="Q525" s="650">
        <v>0</v>
      </c>
      <c r="R525" s="650">
        <v>0</v>
      </c>
      <c r="S525" s="650">
        <v>0</v>
      </c>
      <c r="T525" s="650">
        <v>0</v>
      </c>
      <c r="U525" s="650">
        <v>0</v>
      </c>
      <c r="V525" s="650">
        <v>0</v>
      </c>
      <c r="W525" s="650">
        <v>0</v>
      </c>
      <c r="X525" s="650">
        <v>0</v>
      </c>
      <c r="Y525" s="650">
        <v>0</v>
      </c>
      <c r="Z525" s="650">
        <v>0</v>
      </c>
      <c r="AA525" s="650">
        <v>0</v>
      </c>
      <c r="AB525" s="650">
        <v>0</v>
      </c>
      <c r="AC525" s="650">
        <v>0</v>
      </c>
      <c r="AD525" s="650">
        <v>0</v>
      </c>
      <c r="AE525" s="650">
        <v>0</v>
      </c>
      <c r="AF525" s="650">
        <v>0</v>
      </c>
      <c r="AG525" s="650">
        <v>0</v>
      </c>
      <c r="AH525" s="650">
        <v>0</v>
      </c>
    </row>
    <row r="529" spans="1:17" ht="14.4">
      <c r="A529" s="54"/>
      <c r="B529" s="3968" t="s">
        <v>686</v>
      </c>
      <c r="C529" s="3968"/>
      <c r="D529" s="3968"/>
      <c r="E529" s="3968"/>
      <c r="F529" s="3968"/>
      <c r="G529" s="3968"/>
      <c r="H529" s="3968"/>
      <c r="I529" s="3968"/>
      <c r="J529" s="3968"/>
      <c r="K529" s="2072"/>
      <c r="L529" s="2072"/>
      <c r="M529" s="2072"/>
      <c r="N529" s="2072"/>
      <c r="O529" s="2072"/>
      <c r="P529" s="2072"/>
      <c r="Q529" s="2072"/>
    </row>
    <row r="530" spans="1:17" ht="14.4">
      <c r="A530" s="54"/>
      <c r="B530" s="54"/>
      <c r="C530" s="577"/>
      <c r="D530" s="3969" t="s">
        <v>687</v>
      </c>
      <c r="E530" s="3969"/>
      <c r="F530" s="3969"/>
      <c r="G530" s="3970">
        <v>0</v>
      </c>
      <c r="H530" s="3970"/>
      <c r="I530" s="2073"/>
      <c r="J530" s="577"/>
      <c r="K530" s="577"/>
      <c r="L530" s="577"/>
      <c r="M530" s="577"/>
      <c r="N530" s="577"/>
      <c r="O530" s="577"/>
      <c r="P530" s="577"/>
      <c r="Q530" s="577"/>
    </row>
    <row r="531" spans="1:17" ht="15" thickBot="1">
      <c r="A531" s="54"/>
      <c r="B531" s="54"/>
      <c r="C531" s="54"/>
      <c r="D531" s="54"/>
      <c r="E531" s="54"/>
      <c r="F531" s="54"/>
      <c r="G531" s="54"/>
      <c r="H531" s="54"/>
      <c r="I531" s="2074"/>
      <c r="J531" s="54"/>
      <c r="K531" s="2072"/>
      <c r="L531" s="2072"/>
      <c r="M531" s="2072"/>
      <c r="N531" s="2072"/>
      <c r="O531" s="2072"/>
      <c r="P531" s="2072"/>
      <c r="Q531" s="2072"/>
    </row>
    <row r="532" spans="1:17" ht="15" thickBot="1">
      <c r="A532" s="2075" t="s">
        <v>222</v>
      </c>
      <c r="B532" s="2076"/>
      <c r="C532" s="2076"/>
      <c r="D532" s="2076"/>
      <c r="E532" s="3971" t="s">
        <v>152</v>
      </c>
      <c r="F532" s="3972"/>
      <c r="G532" s="3971" t="s">
        <v>153</v>
      </c>
      <c r="H532" s="3972"/>
      <c r="I532" s="3971" t="s">
        <v>154</v>
      </c>
      <c r="J532" s="3972"/>
      <c r="K532" s="2072"/>
      <c r="L532" s="2072"/>
      <c r="M532" s="2072"/>
      <c r="N532" s="2072"/>
      <c r="O532" s="2072"/>
      <c r="P532" s="2072"/>
      <c r="Q532" s="2072"/>
    </row>
    <row r="533" spans="1:17" ht="58.2" thickBot="1">
      <c r="A533" s="2077" t="s">
        <v>223</v>
      </c>
      <c r="B533" s="2078" t="s">
        <v>224</v>
      </c>
      <c r="C533" s="2079" t="s">
        <v>225</v>
      </c>
      <c r="D533" s="2080" t="s">
        <v>157</v>
      </c>
      <c r="E533" s="2081" t="s">
        <v>226</v>
      </c>
      <c r="F533" s="2082" t="s">
        <v>227</v>
      </c>
      <c r="G533" s="2078" t="s">
        <v>688</v>
      </c>
      <c r="H533" s="2080" t="s">
        <v>228</v>
      </c>
      <c r="I533" s="2083" t="s">
        <v>229</v>
      </c>
      <c r="J533" s="2080" t="s">
        <v>230</v>
      </c>
      <c r="K533" s="2084"/>
      <c r="L533" s="2084"/>
      <c r="M533" s="2084"/>
      <c r="N533" s="2084"/>
      <c r="O533" s="2084"/>
      <c r="P533" s="2084"/>
      <c r="Q533" s="2084"/>
    </row>
    <row r="534" spans="1:17" ht="14.4">
      <c r="A534" s="2085">
        <v>729</v>
      </c>
      <c r="B534" s="2086">
        <v>959370</v>
      </c>
      <c r="C534" s="1152" t="s">
        <v>689</v>
      </c>
      <c r="D534" s="2087">
        <v>3002</v>
      </c>
      <c r="E534" s="2088">
        <v>5</v>
      </c>
      <c r="F534" s="2089">
        <v>245</v>
      </c>
      <c r="G534" s="2090">
        <v>0</v>
      </c>
      <c r="H534" s="2109">
        <v>0</v>
      </c>
      <c r="I534" s="2113">
        <f>(E534-G534)</f>
        <v>5</v>
      </c>
      <c r="J534" s="2114">
        <f>(F534-H534)</f>
        <v>245</v>
      </c>
      <c r="K534" s="2072"/>
      <c r="L534" s="2072"/>
      <c r="M534" s="2072"/>
      <c r="N534" s="2072"/>
      <c r="O534" s="2072"/>
      <c r="P534" s="2072"/>
      <c r="Q534" s="2072"/>
    </row>
    <row r="535" spans="1:17" ht="14.4">
      <c r="A535" s="2091">
        <v>729</v>
      </c>
      <c r="B535" s="2092">
        <v>955514</v>
      </c>
      <c r="C535" s="1153" t="s">
        <v>162</v>
      </c>
      <c r="D535" s="2093">
        <v>2881</v>
      </c>
      <c r="E535" s="2094">
        <v>5</v>
      </c>
      <c r="F535" s="2095">
        <v>245</v>
      </c>
      <c r="G535" s="2096">
        <v>0</v>
      </c>
      <c r="H535" s="2110">
        <v>0</v>
      </c>
      <c r="I535" s="2115">
        <f t="shared" ref="I535:I544" si="67">(E535-G535)</f>
        <v>5</v>
      </c>
      <c r="J535" s="2116">
        <f t="shared" ref="J535:J544" si="68">(F535-H535)</f>
        <v>245</v>
      </c>
      <c r="K535" s="2072"/>
      <c r="L535" s="2072" t="s">
        <v>690</v>
      </c>
      <c r="M535" s="2072"/>
      <c r="N535" s="2072"/>
      <c r="O535" s="2072"/>
      <c r="P535" s="2072"/>
      <c r="Q535" s="2072"/>
    </row>
    <row r="536" spans="1:17" ht="14.4">
      <c r="A536" s="2091">
        <v>729</v>
      </c>
      <c r="B536" s="2092">
        <v>959391</v>
      </c>
      <c r="C536" s="1153" t="s">
        <v>446</v>
      </c>
      <c r="D536" s="2093">
        <v>2995</v>
      </c>
      <c r="E536" s="2094">
        <v>5</v>
      </c>
      <c r="F536" s="2095">
        <v>245</v>
      </c>
      <c r="G536" s="2096">
        <v>0</v>
      </c>
      <c r="H536" s="2110">
        <v>0</v>
      </c>
      <c r="I536" s="2115">
        <f t="shared" si="67"/>
        <v>5</v>
      </c>
      <c r="J536" s="2116">
        <f t="shared" si="68"/>
        <v>245</v>
      </c>
      <c r="K536" s="2072"/>
      <c r="L536" s="2072" t="s">
        <v>690</v>
      </c>
      <c r="M536" s="2072"/>
      <c r="N536" s="2072"/>
      <c r="O536" s="2072"/>
      <c r="P536" s="2072"/>
      <c r="Q536" s="2072"/>
    </row>
    <row r="537" spans="1:17" ht="14.4">
      <c r="A537" s="2091">
        <v>729</v>
      </c>
      <c r="B537" s="2092">
        <v>952314</v>
      </c>
      <c r="C537" s="1153" t="s">
        <v>166</v>
      </c>
      <c r="D537" s="2093">
        <v>2778</v>
      </c>
      <c r="E537" s="2094">
        <v>5</v>
      </c>
      <c r="F537" s="2095">
        <v>245</v>
      </c>
      <c r="G537" s="2096">
        <v>0</v>
      </c>
      <c r="H537" s="2110">
        <v>0</v>
      </c>
      <c r="I537" s="2115">
        <f t="shared" si="67"/>
        <v>5</v>
      </c>
      <c r="J537" s="2116">
        <f t="shared" si="68"/>
        <v>245</v>
      </c>
      <c r="K537" s="2072"/>
      <c r="L537" s="2072"/>
      <c r="M537" s="2072"/>
      <c r="N537" s="2072"/>
      <c r="O537" s="2072"/>
      <c r="P537" s="2072"/>
      <c r="Q537" s="2072"/>
    </row>
    <row r="538" spans="1:17" ht="14.4">
      <c r="A538" s="2091">
        <v>729</v>
      </c>
      <c r="B538" s="2092">
        <v>957800</v>
      </c>
      <c r="C538" s="1153" t="s">
        <v>167</v>
      </c>
      <c r="D538" s="2093">
        <v>2949</v>
      </c>
      <c r="E538" s="2094">
        <v>5</v>
      </c>
      <c r="F538" s="2095">
        <v>245</v>
      </c>
      <c r="G538" s="2096">
        <v>1.8380000000000001</v>
      </c>
      <c r="H538" s="2110">
        <v>31.013000000000002</v>
      </c>
      <c r="I538" s="2115">
        <f t="shared" si="67"/>
        <v>3.1619999999999999</v>
      </c>
      <c r="J538" s="2116">
        <f t="shared" si="68"/>
        <v>213.98699999999999</v>
      </c>
      <c r="K538" s="2072"/>
      <c r="L538" s="2072"/>
      <c r="M538" s="2072"/>
      <c r="N538" s="2072"/>
      <c r="O538" s="2072"/>
      <c r="P538" s="2072"/>
      <c r="Q538" s="2072"/>
    </row>
    <row r="539" spans="1:17" ht="14.4">
      <c r="A539" s="2091">
        <v>729</v>
      </c>
      <c r="B539" s="2092">
        <v>955250</v>
      </c>
      <c r="C539" s="1153" t="s">
        <v>691</v>
      </c>
      <c r="D539" s="2093">
        <v>2874</v>
      </c>
      <c r="E539" s="2094">
        <v>5</v>
      </c>
      <c r="F539" s="2095">
        <v>245</v>
      </c>
      <c r="G539" s="2096">
        <v>0</v>
      </c>
      <c r="H539" s="2110">
        <v>0</v>
      </c>
      <c r="I539" s="2115">
        <f t="shared" si="67"/>
        <v>5</v>
      </c>
      <c r="J539" s="2116">
        <f t="shared" si="68"/>
        <v>245</v>
      </c>
      <c r="K539" s="2072"/>
      <c r="L539" s="2072"/>
      <c r="M539" s="2072"/>
      <c r="N539" s="2072"/>
      <c r="O539" s="2072"/>
      <c r="P539" s="2072"/>
      <c r="Q539" s="2072"/>
    </row>
    <row r="540" spans="1:17" ht="14.4">
      <c r="A540" s="2091">
        <v>729</v>
      </c>
      <c r="B540" s="2092">
        <v>955486</v>
      </c>
      <c r="C540" s="1153" t="s">
        <v>172</v>
      </c>
      <c r="D540" s="2093">
        <v>2882</v>
      </c>
      <c r="E540" s="2094">
        <v>5</v>
      </c>
      <c r="F540" s="2095">
        <v>245</v>
      </c>
      <c r="G540" s="2096">
        <v>3.149</v>
      </c>
      <c r="H540" s="2110">
        <v>21.396000000000001</v>
      </c>
      <c r="I540" s="2115">
        <f t="shared" si="67"/>
        <v>1.851</v>
      </c>
      <c r="J540" s="2116">
        <f t="shared" si="68"/>
        <v>223.60399999999998</v>
      </c>
      <c r="K540" s="2072"/>
      <c r="L540" s="2072"/>
      <c r="M540" s="2072"/>
      <c r="N540" s="2072"/>
      <c r="O540" s="2072"/>
      <c r="P540" s="2072"/>
      <c r="Q540" s="2072"/>
    </row>
    <row r="541" spans="1:17" ht="14.4">
      <c r="A541" s="2091">
        <v>729</v>
      </c>
      <c r="B541" s="2092">
        <v>953832</v>
      </c>
      <c r="C541" s="1153" t="s">
        <v>382</v>
      </c>
      <c r="D541" s="2093">
        <v>2819</v>
      </c>
      <c r="E541" s="2094">
        <v>5</v>
      </c>
      <c r="F541" s="2095">
        <v>245</v>
      </c>
      <c r="G541" s="2096">
        <v>0.29299999999999998</v>
      </c>
      <c r="H541" s="2110">
        <v>14.118</v>
      </c>
      <c r="I541" s="2115">
        <f t="shared" si="67"/>
        <v>4.7069999999999999</v>
      </c>
      <c r="J541" s="2116">
        <f t="shared" si="68"/>
        <v>230.88200000000001</v>
      </c>
      <c r="K541" s="2072"/>
      <c r="L541" s="85"/>
      <c r="M541" s="2072"/>
      <c r="N541" s="2072"/>
      <c r="O541" s="2072"/>
      <c r="P541" s="2072"/>
      <c r="Q541" s="2072"/>
    </row>
    <row r="542" spans="1:17" ht="14.4">
      <c r="A542" s="2091">
        <v>729</v>
      </c>
      <c r="B542" s="2092">
        <v>960052</v>
      </c>
      <c r="C542" s="1153" t="s">
        <v>692</v>
      </c>
      <c r="D542" s="2093">
        <v>137</v>
      </c>
      <c r="E542" s="2094">
        <v>5</v>
      </c>
      <c r="F542" s="2095">
        <v>245</v>
      </c>
      <c r="G542" s="2096">
        <v>0</v>
      </c>
      <c r="H542" s="2110">
        <v>0</v>
      </c>
      <c r="I542" s="2115">
        <f t="shared" si="67"/>
        <v>5</v>
      </c>
      <c r="J542" s="2116">
        <f t="shared" si="68"/>
        <v>245</v>
      </c>
      <c r="K542" s="2072"/>
      <c r="L542" s="2072"/>
      <c r="M542" s="2072"/>
      <c r="N542" s="2072"/>
      <c r="O542" s="2072"/>
      <c r="P542" s="2072"/>
      <c r="Q542" s="2072"/>
    </row>
    <row r="543" spans="1:17" ht="14.4">
      <c r="A543" s="2097">
        <v>729</v>
      </c>
      <c r="B543" s="2098">
        <v>951647</v>
      </c>
      <c r="C543" s="1154" t="s">
        <v>164</v>
      </c>
      <c r="D543" s="2099">
        <v>2240</v>
      </c>
      <c r="E543" s="2100">
        <v>3</v>
      </c>
      <c r="F543" s="2101">
        <v>147</v>
      </c>
      <c r="G543" s="2102">
        <v>0</v>
      </c>
      <c r="H543" s="2111">
        <v>0</v>
      </c>
      <c r="I543" s="2115">
        <f t="shared" si="67"/>
        <v>3</v>
      </c>
      <c r="J543" s="2116">
        <f t="shared" si="68"/>
        <v>147</v>
      </c>
      <c r="K543" s="2072"/>
      <c r="L543" s="2072"/>
      <c r="M543" s="2072"/>
      <c r="N543" s="2072"/>
      <c r="O543" s="2072"/>
      <c r="P543" s="2072"/>
      <c r="Q543" s="2072"/>
    </row>
    <row r="544" spans="1:17" ht="15" thickBot="1">
      <c r="A544" s="2103">
        <v>729</v>
      </c>
      <c r="B544" s="2104">
        <v>959387</v>
      </c>
      <c r="C544" s="1155" t="s">
        <v>684</v>
      </c>
      <c r="D544" s="2105">
        <v>1424</v>
      </c>
      <c r="E544" s="2106">
        <v>1.5</v>
      </c>
      <c r="F544" s="2107">
        <v>148.5</v>
      </c>
      <c r="G544" s="2108">
        <v>0</v>
      </c>
      <c r="H544" s="2112">
        <v>0</v>
      </c>
      <c r="I544" s="2117">
        <f t="shared" si="67"/>
        <v>1.5</v>
      </c>
      <c r="J544" s="2118">
        <f t="shared" si="68"/>
        <v>148.5</v>
      </c>
      <c r="K544" s="2072"/>
      <c r="L544" s="85"/>
      <c r="M544" s="2072"/>
      <c r="N544" s="2072"/>
      <c r="O544" s="2072"/>
      <c r="P544" s="2072"/>
      <c r="Q544" s="2072"/>
    </row>
  </sheetData>
  <mergeCells count="32">
    <mergeCell ref="B529:J529"/>
    <mergeCell ref="D530:F530"/>
    <mergeCell ref="G530:H530"/>
    <mergeCell ref="E532:F532"/>
    <mergeCell ref="G532:H532"/>
    <mergeCell ref="I532:J532"/>
    <mergeCell ref="A511:C511"/>
    <mergeCell ref="A297:C297"/>
    <mergeCell ref="A184:C184"/>
    <mergeCell ref="A330:C330"/>
    <mergeCell ref="A414:H414"/>
    <mergeCell ref="A248:C248"/>
    <mergeCell ref="A314:C314"/>
    <mergeCell ref="A378:C378"/>
    <mergeCell ref="A232:C232"/>
    <mergeCell ref="A347:C347"/>
    <mergeCell ref="A495:C495"/>
    <mergeCell ref="A462:C462"/>
    <mergeCell ref="A446:C446"/>
    <mergeCell ref="A430:C430"/>
    <mergeCell ref="A361:C361"/>
    <mergeCell ref="A395:C395"/>
    <mergeCell ref="A478:C478"/>
    <mergeCell ref="A134:H134"/>
    <mergeCell ref="A200:C200"/>
    <mergeCell ref="A296:O296"/>
    <mergeCell ref="A152:C152"/>
    <mergeCell ref="A216:C216"/>
    <mergeCell ref="A168:C168"/>
    <mergeCell ref="A136:C136"/>
    <mergeCell ref="A264:C264"/>
    <mergeCell ref="A280:C280"/>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sheetPr>
    <tabColor theme="0"/>
  </sheetPr>
  <dimension ref="A1:P288"/>
  <sheetViews>
    <sheetView workbookViewId="0">
      <selection activeCell="U39" sqref="U39"/>
    </sheetView>
  </sheetViews>
  <sheetFormatPr baseColWidth="10" defaultRowHeight="13.2"/>
  <cols>
    <col min="1" max="1" width="2.88671875" customWidth="1"/>
    <col min="2" max="2" width="15.33203125" customWidth="1"/>
    <col min="3" max="3" width="28.6640625" customWidth="1"/>
    <col min="4" max="4" width="31.88671875" customWidth="1"/>
    <col min="5" max="5" width="21.109375" customWidth="1"/>
    <col min="6" max="6" width="11.44140625" customWidth="1"/>
    <col min="7" max="7" width="15.88671875" customWidth="1"/>
    <col min="8" max="8" width="15.109375" customWidth="1"/>
    <col min="9" max="9" width="16" customWidth="1"/>
    <col min="10" max="10" width="10.5546875" customWidth="1"/>
    <col min="11" max="11" width="11.33203125" customWidth="1"/>
    <col min="12" max="12" width="11.88671875" customWidth="1"/>
    <col min="13" max="13" width="19.109375" bestFit="1" customWidth="1"/>
    <col min="14" max="14" width="25" customWidth="1"/>
    <col min="15" max="15" width="9" customWidth="1"/>
    <col min="16" max="16" width="8.88671875" customWidth="1"/>
  </cols>
  <sheetData>
    <row r="1" spans="1:16" ht="13.8" thickBot="1">
      <c r="A1" s="137"/>
      <c r="B1" s="4001" t="s">
        <v>130</v>
      </c>
      <c r="C1" s="4001"/>
      <c r="D1" s="137"/>
      <c r="E1" s="1234"/>
      <c r="F1" s="137"/>
      <c r="G1" s="137"/>
      <c r="H1" s="137"/>
      <c r="I1" s="137"/>
      <c r="J1" s="137"/>
      <c r="K1" s="286"/>
      <c r="L1" s="137"/>
      <c r="M1" s="137"/>
      <c r="N1" s="137"/>
      <c r="O1" s="137"/>
    </row>
    <row r="2" spans="1:16" ht="13.8" thickBot="1">
      <c r="A2" s="137"/>
      <c r="B2" s="431" t="s">
        <v>178</v>
      </c>
      <c r="C2" s="432"/>
      <c r="D2" s="432"/>
      <c r="E2" s="432"/>
      <c r="F2" s="432"/>
      <c r="G2" s="4001" t="s">
        <v>152</v>
      </c>
      <c r="H2" s="4001"/>
      <c r="I2" s="4001"/>
      <c r="J2" s="4001" t="s">
        <v>153</v>
      </c>
      <c r="K2" s="4001"/>
      <c r="L2" s="4001" t="s">
        <v>154</v>
      </c>
      <c r="M2" s="137"/>
      <c r="N2" s="137"/>
      <c r="O2" s="137"/>
    </row>
    <row r="3" spans="1:16" ht="13.8" thickBot="1">
      <c r="A3" s="137"/>
      <c r="B3" s="433" t="s">
        <v>155</v>
      </c>
      <c r="C3" s="434" t="s">
        <v>156</v>
      </c>
      <c r="D3" s="435" t="s">
        <v>133</v>
      </c>
      <c r="E3" s="436" t="s">
        <v>131</v>
      </c>
      <c r="F3" s="434" t="s">
        <v>157</v>
      </c>
      <c r="G3" s="437" t="s">
        <v>8</v>
      </c>
      <c r="H3" s="438" t="s">
        <v>158</v>
      </c>
      <c r="I3" s="439" t="s">
        <v>50</v>
      </c>
      <c r="J3" s="437" t="s">
        <v>8</v>
      </c>
      <c r="K3" s="440" t="s">
        <v>159</v>
      </c>
      <c r="L3" s="4001"/>
      <c r="M3" s="441" t="s">
        <v>180</v>
      </c>
      <c r="N3" s="138"/>
      <c r="O3" s="137"/>
    </row>
    <row r="4" spans="1:16">
      <c r="A4" s="137"/>
      <c r="B4" s="3992">
        <v>1</v>
      </c>
      <c r="C4" s="3992">
        <v>40980</v>
      </c>
      <c r="D4" s="442">
        <v>950877</v>
      </c>
      <c r="E4" s="443" t="s">
        <v>141</v>
      </c>
      <c r="F4" s="444">
        <v>2469</v>
      </c>
      <c r="G4" s="445"/>
      <c r="H4" s="446"/>
      <c r="I4" s="447">
        <f t="shared" ref="I4:I9" si="0">SUM(G4:H4)</f>
        <v>0</v>
      </c>
      <c r="J4" s="445"/>
      <c r="K4" s="448"/>
      <c r="L4" s="902">
        <f t="shared" ref="L4:L20" si="1">+I4-J4-K4</f>
        <v>0</v>
      </c>
      <c r="M4" s="723"/>
      <c r="N4" s="138"/>
      <c r="O4" s="137"/>
    </row>
    <row r="5" spans="1:16" ht="13.8" thickBot="1">
      <c r="A5" s="137"/>
      <c r="B5" s="3993"/>
      <c r="C5" s="3993"/>
      <c r="D5" s="449">
        <v>953670</v>
      </c>
      <c r="E5" s="450" t="s">
        <v>140</v>
      </c>
      <c r="F5" s="451">
        <v>2708</v>
      </c>
      <c r="G5" s="452"/>
      <c r="H5" s="453"/>
      <c r="I5" s="454">
        <f t="shared" si="0"/>
        <v>0</v>
      </c>
      <c r="J5" s="452"/>
      <c r="K5" s="455"/>
      <c r="L5" s="456">
        <f t="shared" si="1"/>
        <v>0</v>
      </c>
      <c r="M5" s="484"/>
      <c r="N5" s="722"/>
      <c r="O5" s="137"/>
    </row>
    <row r="6" spans="1:16" ht="13.8" thickBot="1">
      <c r="A6" s="137"/>
      <c r="B6" s="1459">
        <v>2</v>
      </c>
      <c r="C6" s="1460">
        <v>40991</v>
      </c>
      <c r="D6" s="1461">
        <v>924618</v>
      </c>
      <c r="E6" s="1462" t="s">
        <v>169</v>
      </c>
      <c r="F6" s="1463">
        <v>1027</v>
      </c>
      <c r="G6" s="1464"/>
      <c r="H6" s="1465"/>
      <c r="I6" s="1466">
        <f t="shared" si="0"/>
        <v>0</v>
      </c>
      <c r="J6" s="1464"/>
      <c r="K6" s="1467"/>
      <c r="L6" s="1468">
        <f t="shared" si="1"/>
        <v>0</v>
      </c>
      <c r="M6" s="1469"/>
      <c r="N6" s="458"/>
      <c r="O6" s="457"/>
    </row>
    <row r="7" spans="1:16" ht="13.8" thickBot="1">
      <c r="A7" s="137"/>
      <c r="B7" s="1459">
        <v>3</v>
      </c>
      <c r="C7" s="1460">
        <v>40996</v>
      </c>
      <c r="D7" s="1461">
        <v>957372</v>
      </c>
      <c r="E7" s="1462" t="s">
        <v>179</v>
      </c>
      <c r="F7" s="1463">
        <v>884</v>
      </c>
      <c r="G7" s="1464"/>
      <c r="H7" s="1465"/>
      <c r="I7" s="1466">
        <f t="shared" si="0"/>
        <v>0</v>
      </c>
      <c r="J7" s="1464"/>
      <c r="K7" s="1467"/>
      <c r="L7" s="1468">
        <f t="shared" si="1"/>
        <v>0</v>
      </c>
      <c r="M7" s="1470"/>
      <c r="N7" s="458"/>
      <c r="O7" s="457"/>
    </row>
    <row r="8" spans="1:16" ht="13.8" thickBot="1">
      <c r="A8" s="137"/>
      <c r="B8" s="969">
        <v>4</v>
      </c>
      <c r="C8" s="967">
        <v>40998</v>
      </c>
      <c r="D8" s="449">
        <v>954873</v>
      </c>
      <c r="E8" s="450" t="s">
        <v>170</v>
      </c>
      <c r="F8" s="451">
        <v>231</v>
      </c>
      <c r="G8" s="452"/>
      <c r="H8" s="453"/>
      <c r="I8" s="454">
        <f t="shared" si="0"/>
        <v>0</v>
      </c>
      <c r="J8" s="452"/>
      <c r="K8" s="455"/>
      <c r="L8" s="456">
        <f t="shared" si="1"/>
        <v>0</v>
      </c>
      <c r="M8" s="484"/>
      <c r="N8" s="458"/>
      <c r="O8" s="137"/>
    </row>
    <row r="9" spans="1:16" ht="13.8" thickBot="1">
      <c r="A9" s="137"/>
      <c r="B9" s="695">
        <v>5</v>
      </c>
      <c r="C9" s="968">
        <v>41023</v>
      </c>
      <c r="D9" s="449">
        <v>956410</v>
      </c>
      <c r="E9" s="450" t="s">
        <v>190</v>
      </c>
      <c r="F9" s="451" t="s">
        <v>191</v>
      </c>
      <c r="G9" s="452"/>
      <c r="H9" s="453"/>
      <c r="I9" s="454">
        <f t="shared" si="0"/>
        <v>0</v>
      </c>
      <c r="J9" s="452"/>
      <c r="K9" s="455"/>
      <c r="L9" s="456">
        <f t="shared" si="1"/>
        <v>0</v>
      </c>
      <c r="M9" s="484"/>
      <c r="N9" s="458"/>
      <c r="O9" s="457"/>
      <c r="P9" s="252"/>
    </row>
    <row r="10" spans="1:16" ht="13.8" thickBot="1">
      <c r="A10" s="137"/>
      <c r="B10" s="3992">
        <v>6</v>
      </c>
      <c r="C10" s="3992">
        <v>41039</v>
      </c>
      <c r="D10" s="442">
        <v>951259</v>
      </c>
      <c r="E10" s="443" t="s">
        <v>216</v>
      </c>
      <c r="F10" s="444">
        <v>2189</v>
      </c>
      <c r="G10" s="445"/>
      <c r="H10" s="446"/>
      <c r="I10" s="447">
        <f t="shared" ref="I10:I17" si="2">SUM(G10:H10)</f>
        <v>0</v>
      </c>
      <c r="J10" s="445"/>
      <c r="K10" s="448"/>
      <c r="L10" s="456">
        <f t="shared" si="1"/>
        <v>0</v>
      </c>
      <c r="M10" s="481"/>
      <c r="N10" s="278"/>
      <c r="O10" s="137"/>
    </row>
    <row r="11" spans="1:16" ht="13.8" thickBot="1">
      <c r="A11" s="137"/>
      <c r="B11" s="3994"/>
      <c r="C11" s="3994"/>
      <c r="D11" s="459">
        <v>902374</v>
      </c>
      <c r="E11" s="460" t="s">
        <v>217</v>
      </c>
      <c r="F11" s="461">
        <v>605</v>
      </c>
      <c r="G11" s="462"/>
      <c r="H11" s="463"/>
      <c r="I11" s="464">
        <f t="shared" si="2"/>
        <v>0</v>
      </c>
      <c r="J11" s="462"/>
      <c r="K11" s="465"/>
      <c r="L11" s="456">
        <f t="shared" si="1"/>
        <v>0</v>
      </c>
      <c r="M11" s="724"/>
      <c r="N11" s="278"/>
      <c r="O11" s="137"/>
    </row>
    <row r="12" spans="1:16" ht="13.8" thickBot="1">
      <c r="A12" s="137"/>
      <c r="B12" s="3994"/>
      <c r="C12" s="3994"/>
      <c r="D12" s="466">
        <v>952212</v>
      </c>
      <c r="E12" s="467" t="s">
        <v>218</v>
      </c>
      <c r="F12" s="468">
        <v>575</v>
      </c>
      <c r="G12" s="469"/>
      <c r="H12" s="470"/>
      <c r="I12" s="471">
        <f t="shared" si="2"/>
        <v>0</v>
      </c>
      <c r="J12" s="469"/>
      <c r="K12" s="472"/>
      <c r="L12" s="456">
        <f t="shared" si="1"/>
        <v>0</v>
      </c>
      <c r="M12" s="725"/>
      <c r="N12" s="278"/>
      <c r="O12" s="137"/>
    </row>
    <row r="13" spans="1:16" ht="13.8" thickBot="1">
      <c r="A13" s="137"/>
      <c r="B13" s="3993"/>
      <c r="C13" s="3993"/>
      <c r="D13" s="449">
        <v>910612</v>
      </c>
      <c r="E13" s="450" t="s">
        <v>219</v>
      </c>
      <c r="F13" s="451">
        <v>603</v>
      </c>
      <c r="G13" s="452"/>
      <c r="H13" s="453"/>
      <c r="I13" s="454">
        <f t="shared" si="2"/>
        <v>0</v>
      </c>
      <c r="J13" s="452"/>
      <c r="K13" s="455"/>
      <c r="L13" s="456">
        <f t="shared" si="1"/>
        <v>0</v>
      </c>
      <c r="M13" s="484"/>
      <c r="N13" s="278"/>
      <c r="O13" s="137"/>
    </row>
    <row r="14" spans="1:16" ht="13.8" thickBot="1">
      <c r="A14" s="137"/>
      <c r="B14" s="851">
        <v>7</v>
      </c>
      <c r="C14" s="968">
        <v>41057</v>
      </c>
      <c r="D14" s="473">
        <v>954962</v>
      </c>
      <c r="E14" s="474" t="s">
        <v>192</v>
      </c>
      <c r="F14" s="475">
        <v>1487</v>
      </c>
      <c r="G14" s="476"/>
      <c r="H14" s="477"/>
      <c r="I14" s="478">
        <f t="shared" si="2"/>
        <v>0</v>
      </c>
      <c r="J14" s="452"/>
      <c r="K14" s="455"/>
      <c r="L14" s="456">
        <f t="shared" si="1"/>
        <v>0</v>
      </c>
      <c r="M14" s="726"/>
      <c r="N14" s="278"/>
      <c r="O14" s="137"/>
    </row>
    <row r="15" spans="1:16" ht="13.8" thickBot="1">
      <c r="A15" s="137"/>
      <c r="B15" s="3992">
        <v>8</v>
      </c>
      <c r="C15" s="4002">
        <v>41061</v>
      </c>
      <c r="D15" s="442">
        <v>952212</v>
      </c>
      <c r="E15" s="443" t="s">
        <v>218</v>
      </c>
      <c r="F15" s="479">
        <v>575</v>
      </c>
      <c r="G15" s="445"/>
      <c r="H15" s="446"/>
      <c r="I15" s="480">
        <f t="shared" si="2"/>
        <v>0</v>
      </c>
      <c r="J15" s="445"/>
      <c r="K15" s="448"/>
      <c r="L15" s="456">
        <f t="shared" si="1"/>
        <v>0</v>
      </c>
      <c r="M15" s="481"/>
      <c r="N15" s="278"/>
      <c r="O15" s="137"/>
    </row>
    <row r="16" spans="1:16" ht="13.8" thickBot="1">
      <c r="A16" s="137"/>
      <c r="B16" s="3993"/>
      <c r="C16" s="4003"/>
      <c r="D16" s="449">
        <v>910612</v>
      </c>
      <c r="E16" s="450" t="s">
        <v>219</v>
      </c>
      <c r="F16" s="482">
        <v>603</v>
      </c>
      <c r="G16" s="452"/>
      <c r="H16" s="453"/>
      <c r="I16" s="483">
        <f t="shared" si="2"/>
        <v>0</v>
      </c>
      <c r="J16" s="452"/>
      <c r="K16" s="455"/>
      <c r="L16" s="456">
        <f t="shared" si="1"/>
        <v>0</v>
      </c>
      <c r="M16" s="484"/>
      <c r="N16" s="278"/>
      <c r="O16" s="137"/>
    </row>
    <row r="17" spans="1:15" ht="13.8" thickBot="1">
      <c r="A17" s="137"/>
      <c r="B17" s="550">
        <v>17</v>
      </c>
      <c r="C17" s="968">
        <v>41211</v>
      </c>
      <c r="D17" s="449">
        <v>954250</v>
      </c>
      <c r="E17" s="450" t="s">
        <v>445</v>
      </c>
      <c r="F17" s="451"/>
      <c r="G17" s="452"/>
      <c r="H17" s="453"/>
      <c r="I17" s="454">
        <f t="shared" si="2"/>
        <v>0</v>
      </c>
      <c r="J17" s="452"/>
      <c r="K17" s="455"/>
      <c r="L17" s="456">
        <f t="shared" si="1"/>
        <v>0</v>
      </c>
      <c r="M17" s="484"/>
      <c r="N17" s="278"/>
      <c r="O17" s="137"/>
    </row>
    <row r="18" spans="1:15" ht="13.8" thickBot="1">
      <c r="A18" s="137"/>
      <c r="B18" s="550">
        <v>18</v>
      </c>
      <c r="C18" s="550">
        <v>41212</v>
      </c>
      <c r="D18" s="435">
        <v>956410</v>
      </c>
      <c r="E18" s="436" t="s">
        <v>190</v>
      </c>
      <c r="F18" s="434"/>
      <c r="G18" s="996"/>
      <c r="H18" s="997"/>
      <c r="I18" s="998">
        <f>SUM(G18:H18)</f>
        <v>0</v>
      </c>
      <c r="J18" s="996"/>
      <c r="K18" s="999"/>
      <c r="L18" s="456">
        <f t="shared" si="1"/>
        <v>0</v>
      </c>
      <c r="M18" s="1000"/>
      <c r="N18" s="278"/>
      <c r="O18" s="137"/>
    </row>
    <row r="19" spans="1:15" ht="13.8" thickBot="1">
      <c r="A19" s="137"/>
      <c r="B19" s="4002">
        <v>20</v>
      </c>
      <c r="C19" s="4002">
        <v>41221</v>
      </c>
      <c r="D19" s="777">
        <v>951950</v>
      </c>
      <c r="E19" s="779" t="s">
        <v>470</v>
      </c>
      <c r="F19" s="1001"/>
      <c r="G19" s="1002"/>
      <c r="H19" s="1003"/>
      <c r="I19" s="1004">
        <f>SUM(G19:H19)</f>
        <v>0</v>
      </c>
      <c r="J19" s="1005"/>
      <c r="K19" s="1006"/>
      <c r="L19" s="456">
        <f t="shared" si="1"/>
        <v>0</v>
      </c>
      <c r="M19" s="1007"/>
      <c r="N19" s="278"/>
      <c r="O19" s="137"/>
    </row>
    <row r="20" spans="1:15" ht="13.8" thickBot="1">
      <c r="A20" s="137"/>
      <c r="B20" s="4003"/>
      <c r="C20" s="4003"/>
      <c r="D20" s="787">
        <v>950991</v>
      </c>
      <c r="E20" s="780" t="s">
        <v>471</v>
      </c>
      <c r="F20" s="1008"/>
      <c r="G20" s="1009"/>
      <c r="H20" s="1010"/>
      <c r="I20" s="1011">
        <f>SUM(G20:H20)</f>
        <v>0</v>
      </c>
      <c r="J20" s="1012"/>
      <c r="K20" s="1013"/>
      <c r="L20" s="456">
        <f t="shared" si="1"/>
        <v>0</v>
      </c>
      <c r="M20" s="1014"/>
      <c r="N20" s="278"/>
      <c r="O20" s="137"/>
    </row>
    <row r="21" spans="1:15" ht="13.8" thickBot="1">
      <c r="A21" s="138"/>
      <c r="B21" s="917"/>
      <c r="C21" s="918"/>
      <c r="D21" s="917"/>
      <c r="E21" s="917"/>
      <c r="F21" s="917"/>
      <c r="G21" s="916"/>
      <c r="H21" s="916"/>
      <c r="I21" s="916"/>
      <c r="J21" s="916"/>
      <c r="K21" s="919"/>
      <c r="L21" s="916"/>
      <c r="M21" s="916"/>
      <c r="N21" s="278"/>
      <c r="O21" s="137"/>
    </row>
    <row r="22" spans="1:15" ht="13.8" thickBot="1">
      <c r="A22" s="137"/>
      <c r="B22" s="4001" t="s">
        <v>220</v>
      </c>
      <c r="C22" s="4001"/>
      <c r="D22" s="4001"/>
      <c r="E22" s="4001"/>
      <c r="F22" s="4001"/>
      <c r="G22" s="488">
        <f t="shared" ref="G22:L22" si="3">SUM(G4:G20)</f>
        <v>0</v>
      </c>
      <c r="H22" s="489">
        <f t="shared" si="3"/>
        <v>0</v>
      </c>
      <c r="I22" s="488">
        <f t="shared" si="3"/>
        <v>0</v>
      </c>
      <c r="J22" s="488">
        <f t="shared" si="3"/>
        <v>0</v>
      </c>
      <c r="K22" s="1015">
        <f t="shared" si="3"/>
        <v>0</v>
      </c>
      <c r="L22" s="1022">
        <f t="shared" si="3"/>
        <v>0</v>
      </c>
      <c r="M22" s="432"/>
      <c r="N22" s="278"/>
      <c r="O22" s="137"/>
    </row>
    <row r="23" spans="1:15">
      <c r="A23" s="137"/>
      <c r="B23" s="285"/>
      <c r="C23" s="137"/>
      <c r="D23" s="137"/>
      <c r="E23" s="255"/>
      <c r="F23" s="490"/>
      <c r="G23" s="278"/>
      <c r="H23" s="491"/>
      <c r="I23" s="492"/>
      <c r="J23" s="285"/>
      <c r="K23" s="286"/>
      <c r="L23" s="492"/>
      <c r="M23" s="493"/>
      <c r="N23" s="278"/>
      <c r="O23" s="137"/>
    </row>
    <row r="24" spans="1:15" ht="13.8" thickBot="1"/>
    <row r="25" spans="1:15" ht="13.5" customHeight="1" thickBot="1">
      <c r="A25" s="137"/>
      <c r="B25" s="494" t="s">
        <v>222</v>
      </c>
      <c r="C25" s="432"/>
      <c r="D25" s="432"/>
      <c r="E25" s="432"/>
      <c r="F25" s="4004" t="s">
        <v>152</v>
      </c>
      <c r="G25" s="4005"/>
      <c r="H25" s="4004" t="s">
        <v>153</v>
      </c>
      <c r="I25" s="4005"/>
      <c r="J25" s="4004" t="s">
        <v>154</v>
      </c>
      <c r="K25" s="4005"/>
      <c r="L25" s="493"/>
      <c r="M25" s="278"/>
      <c r="N25" s="137"/>
      <c r="O25" s="137"/>
    </row>
    <row r="26" spans="1:15" ht="22.5" customHeight="1" thickBot="1">
      <c r="A26" s="137"/>
      <c r="B26" s="495" t="s">
        <v>223</v>
      </c>
      <c r="C26" s="496" t="s">
        <v>224</v>
      </c>
      <c r="D26" s="497" t="s">
        <v>225</v>
      </c>
      <c r="E26" s="498" t="s">
        <v>157</v>
      </c>
      <c r="F26" s="499" t="s">
        <v>226</v>
      </c>
      <c r="G26" s="500" t="s">
        <v>227</v>
      </c>
      <c r="H26" s="1135" t="s">
        <v>506</v>
      </c>
      <c r="I26" s="498" t="s">
        <v>228</v>
      </c>
      <c r="J26" s="499" t="s">
        <v>229</v>
      </c>
      <c r="K26" s="498" t="s">
        <v>230</v>
      </c>
      <c r="L26" s="501" t="s">
        <v>135</v>
      </c>
      <c r="M26" s="137"/>
    </row>
    <row r="27" spans="1:15" ht="13.5" customHeight="1">
      <c r="A27" s="137"/>
      <c r="B27" s="502">
        <v>645</v>
      </c>
      <c r="C27" s="503">
        <v>950817</v>
      </c>
      <c r="D27" s="504" t="s">
        <v>165</v>
      </c>
      <c r="E27" s="505">
        <v>2676</v>
      </c>
      <c r="F27" s="506"/>
      <c r="G27" s="507"/>
      <c r="H27" s="797"/>
      <c r="I27" s="798"/>
      <c r="J27" s="552">
        <f>+F27-H27</f>
        <v>0</v>
      </c>
      <c r="K27" s="840">
        <f>+G27-I27</f>
        <v>0</v>
      </c>
      <c r="L27" s="493"/>
      <c r="M27" s="137">
        <v>1</v>
      </c>
      <c r="N27" s="1152"/>
    </row>
    <row r="28" spans="1:15" ht="13.5" customHeight="1">
      <c r="A28" s="137"/>
      <c r="B28" s="1400">
        <v>645</v>
      </c>
      <c r="C28" s="1424">
        <v>951205</v>
      </c>
      <c r="D28" s="1425" t="s">
        <v>161</v>
      </c>
      <c r="E28" s="1401">
        <v>2518</v>
      </c>
      <c r="F28" s="1402"/>
      <c r="G28" s="1403"/>
      <c r="H28" s="1398"/>
      <c r="I28" s="1426"/>
      <c r="J28" s="1379">
        <f t="shared" ref="J28:J92" si="4">+F28-H28</f>
        <v>0</v>
      </c>
      <c r="K28" s="1372">
        <f t="shared" ref="K28:K92" si="5">+G28-I28</f>
        <v>0</v>
      </c>
      <c r="L28" s="1431"/>
      <c r="M28" s="1234">
        <v>2</v>
      </c>
      <c r="N28" s="1153"/>
    </row>
    <row r="29" spans="1:15" ht="14.4">
      <c r="A29" s="137"/>
      <c r="B29" s="1400">
        <v>645</v>
      </c>
      <c r="C29" s="1424">
        <v>951647</v>
      </c>
      <c r="D29" s="1425" t="s">
        <v>164</v>
      </c>
      <c r="E29" s="1401">
        <v>2240</v>
      </c>
      <c r="F29" s="1402"/>
      <c r="G29" s="1403"/>
      <c r="H29" s="1398"/>
      <c r="I29" s="1426"/>
      <c r="J29" s="1416">
        <f t="shared" si="4"/>
        <v>0</v>
      </c>
      <c r="K29" s="1417">
        <f t="shared" si="5"/>
        <v>0</v>
      </c>
      <c r="L29" s="1432"/>
      <c r="M29" s="1234">
        <v>3</v>
      </c>
      <c r="N29" s="1153"/>
    </row>
    <row r="30" spans="1:15" ht="14.4">
      <c r="A30" s="137"/>
      <c r="B30" s="1400">
        <v>645</v>
      </c>
      <c r="C30" s="1424">
        <v>952314</v>
      </c>
      <c r="D30" s="1425" t="s">
        <v>166</v>
      </c>
      <c r="E30" s="1401">
        <v>2778</v>
      </c>
      <c r="F30" s="1402"/>
      <c r="G30" s="1403"/>
      <c r="H30" s="1398"/>
      <c r="I30" s="1426"/>
      <c r="J30" s="1416">
        <f t="shared" si="4"/>
        <v>0</v>
      </c>
      <c r="K30" s="1417">
        <f t="shared" si="5"/>
        <v>0</v>
      </c>
      <c r="L30" s="1286"/>
      <c r="M30" s="1234">
        <v>4</v>
      </c>
      <c r="N30" s="1153"/>
    </row>
    <row r="31" spans="1:15" ht="18" customHeight="1">
      <c r="A31" s="137"/>
      <c r="B31" s="1400">
        <v>645</v>
      </c>
      <c r="C31" s="1424">
        <v>952808</v>
      </c>
      <c r="D31" s="1425" t="s">
        <v>160</v>
      </c>
      <c r="E31" s="1401">
        <v>2620</v>
      </c>
      <c r="F31" s="1402"/>
      <c r="G31" s="1403"/>
      <c r="H31" s="1398"/>
      <c r="I31" s="1426"/>
      <c r="J31" s="1416">
        <f t="shared" si="4"/>
        <v>0</v>
      </c>
      <c r="K31" s="1417">
        <f t="shared" si="5"/>
        <v>0</v>
      </c>
      <c r="L31" s="1286"/>
      <c r="M31" s="1234">
        <v>5</v>
      </c>
      <c r="N31" s="1153"/>
    </row>
    <row r="32" spans="1:15" ht="14.4">
      <c r="A32" s="137"/>
      <c r="B32" s="1400">
        <v>645</v>
      </c>
      <c r="C32" s="1424">
        <v>955514</v>
      </c>
      <c r="D32" s="1425" t="s">
        <v>162</v>
      </c>
      <c r="E32" s="1401">
        <v>2881</v>
      </c>
      <c r="F32" s="1402"/>
      <c r="G32" s="1403"/>
      <c r="H32" s="1398"/>
      <c r="I32" s="1426"/>
      <c r="J32" s="1416">
        <f t="shared" si="4"/>
        <v>0</v>
      </c>
      <c r="K32" s="1417">
        <f t="shared" si="5"/>
        <v>0</v>
      </c>
      <c r="L32" s="1286"/>
      <c r="M32" s="1234">
        <v>6</v>
      </c>
      <c r="N32" s="1153"/>
    </row>
    <row r="33" spans="1:14" ht="14.4">
      <c r="A33" s="137"/>
      <c r="B33" s="1400">
        <v>645</v>
      </c>
      <c r="C33" s="1424">
        <v>957374</v>
      </c>
      <c r="D33" s="1425" t="s">
        <v>163</v>
      </c>
      <c r="E33" s="1401">
        <v>1540</v>
      </c>
      <c r="F33" s="1402"/>
      <c r="G33" s="1403"/>
      <c r="H33" s="1398"/>
      <c r="I33" s="1426"/>
      <c r="J33" s="1416">
        <f t="shared" si="4"/>
        <v>0</v>
      </c>
      <c r="K33" s="1417">
        <f t="shared" si="5"/>
        <v>0</v>
      </c>
      <c r="L33" s="1286"/>
      <c r="M33" s="1234">
        <v>7</v>
      </c>
      <c r="N33" s="1153"/>
    </row>
    <row r="34" spans="1:14" ht="14.4">
      <c r="A34" s="137"/>
      <c r="B34" s="1433">
        <v>645</v>
      </c>
      <c r="C34" s="1434">
        <v>957800</v>
      </c>
      <c r="D34" s="1435" t="s">
        <v>167</v>
      </c>
      <c r="E34" s="1436">
        <v>2949</v>
      </c>
      <c r="F34" s="1437"/>
      <c r="G34" s="1438"/>
      <c r="H34" s="1439"/>
      <c r="I34" s="1440"/>
      <c r="J34" s="1416">
        <f>+F34-H34</f>
        <v>0</v>
      </c>
      <c r="K34" s="1417">
        <f>+G34-I34</f>
        <v>0</v>
      </c>
      <c r="L34" s="1286"/>
      <c r="M34" s="1234">
        <v>8</v>
      </c>
      <c r="N34" s="1154"/>
    </row>
    <row r="35" spans="1:14" ht="15" thickBot="1">
      <c r="A35" s="137"/>
      <c r="B35" s="1441">
        <v>645</v>
      </c>
      <c r="C35" s="1442">
        <v>959391</v>
      </c>
      <c r="D35" s="1443" t="s">
        <v>446</v>
      </c>
      <c r="E35" s="1444">
        <v>2995</v>
      </c>
      <c r="F35" s="1445"/>
      <c r="G35" s="1446"/>
      <c r="H35" s="1447"/>
      <c r="I35" s="1448"/>
      <c r="J35" s="1416">
        <f>+F35-H35</f>
        <v>0</v>
      </c>
      <c r="K35" s="1417">
        <f>+G35-I35</f>
        <v>0</v>
      </c>
      <c r="L35" s="3997"/>
      <c r="M35" s="3997"/>
      <c r="N35" s="1155"/>
    </row>
    <row r="36" spans="1:14" ht="14.4">
      <c r="A36" s="137"/>
      <c r="B36" s="1449">
        <v>646</v>
      </c>
      <c r="C36" s="1450">
        <v>950950</v>
      </c>
      <c r="D36" s="1451" t="s">
        <v>174</v>
      </c>
      <c r="E36" s="1452">
        <v>2720</v>
      </c>
      <c r="F36" s="1453"/>
      <c r="G36" s="1454"/>
      <c r="H36" s="1455"/>
      <c r="I36" s="1456"/>
      <c r="J36" s="1457">
        <f t="shared" si="4"/>
        <v>0</v>
      </c>
      <c r="K36" s="1458">
        <f t="shared" si="5"/>
        <v>0</v>
      </c>
      <c r="L36" s="1234"/>
      <c r="M36" s="1234">
        <v>10</v>
      </c>
      <c r="N36" s="1156"/>
    </row>
    <row r="37" spans="1:14" ht="14.4">
      <c r="A37" s="137"/>
      <c r="B37" s="1400">
        <v>646</v>
      </c>
      <c r="C37" s="1424">
        <v>951905</v>
      </c>
      <c r="D37" s="1425" t="s">
        <v>177</v>
      </c>
      <c r="E37" s="1401">
        <v>263</v>
      </c>
      <c r="F37" s="1402"/>
      <c r="G37" s="1403"/>
      <c r="H37" s="1398"/>
      <c r="I37" s="1426"/>
      <c r="J37" s="1416">
        <f t="shared" si="4"/>
        <v>0</v>
      </c>
      <c r="K37" s="1417">
        <f t="shared" si="5"/>
        <v>0</v>
      </c>
      <c r="L37" s="1234"/>
      <c r="M37" s="1234">
        <v>11</v>
      </c>
      <c r="N37" s="1153"/>
    </row>
    <row r="38" spans="1:14" ht="14.4">
      <c r="A38" s="137"/>
      <c r="B38" s="1400">
        <v>646</v>
      </c>
      <c r="C38" s="1424">
        <v>952407</v>
      </c>
      <c r="D38" s="1425" t="s">
        <v>176</v>
      </c>
      <c r="E38" s="1401">
        <v>2762</v>
      </c>
      <c r="F38" s="1402"/>
      <c r="G38" s="1403"/>
      <c r="H38" s="1398"/>
      <c r="I38" s="1426"/>
      <c r="J38" s="1416">
        <f t="shared" si="4"/>
        <v>0</v>
      </c>
      <c r="K38" s="1417">
        <f t="shared" si="5"/>
        <v>0</v>
      </c>
      <c r="L38" s="1234"/>
      <c r="M38" s="1234">
        <v>12</v>
      </c>
      <c r="N38" s="1153"/>
    </row>
    <row r="39" spans="1:14" ht="14.4">
      <c r="A39" s="137"/>
      <c r="B39" s="508">
        <v>646</v>
      </c>
      <c r="C39" s="509">
        <v>953052</v>
      </c>
      <c r="D39" s="510" t="s">
        <v>175</v>
      </c>
      <c r="E39" s="511">
        <v>2492</v>
      </c>
      <c r="F39" s="512"/>
      <c r="G39" s="513"/>
      <c r="H39" s="799"/>
      <c r="I39" s="800"/>
      <c r="J39" s="745">
        <f t="shared" si="4"/>
        <v>0</v>
      </c>
      <c r="K39" s="1410">
        <f t="shared" si="5"/>
        <v>0</v>
      </c>
      <c r="L39" s="137"/>
      <c r="M39" s="137">
        <v>13</v>
      </c>
      <c r="N39" s="1153"/>
    </row>
    <row r="40" spans="1:14" ht="14.4">
      <c r="A40" s="137"/>
      <c r="B40" s="508">
        <v>646</v>
      </c>
      <c r="C40" s="509">
        <v>953964</v>
      </c>
      <c r="D40" s="510" t="s">
        <v>173</v>
      </c>
      <c r="E40" s="511">
        <v>2830</v>
      </c>
      <c r="F40" s="512"/>
      <c r="G40" s="513"/>
      <c r="H40" s="799"/>
      <c r="I40" s="800"/>
      <c r="J40" s="745">
        <f t="shared" si="4"/>
        <v>0</v>
      </c>
      <c r="K40" s="1410">
        <f t="shared" si="5"/>
        <v>0</v>
      </c>
      <c r="L40" s="137"/>
      <c r="M40" s="137">
        <v>14</v>
      </c>
      <c r="N40" s="1153"/>
    </row>
    <row r="41" spans="1:14" ht="15" thickBot="1">
      <c r="A41" s="137"/>
      <c r="B41" s="526">
        <v>646</v>
      </c>
      <c r="C41" s="527">
        <v>955486</v>
      </c>
      <c r="D41" s="528" t="s">
        <v>172</v>
      </c>
      <c r="E41" s="529">
        <v>2882</v>
      </c>
      <c r="F41" s="530"/>
      <c r="G41" s="531"/>
      <c r="H41" s="804"/>
      <c r="I41" s="805"/>
      <c r="J41" s="745">
        <f t="shared" si="4"/>
        <v>0</v>
      </c>
      <c r="K41" s="1410">
        <f t="shared" si="5"/>
        <v>0</v>
      </c>
      <c r="L41" s="611"/>
      <c r="M41" s="137">
        <v>15</v>
      </c>
      <c r="N41" s="1154"/>
    </row>
    <row r="42" spans="1:14" ht="14.4">
      <c r="A42" s="137"/>
      <c r="B42" s="502">
        <v>894</v>
      </c>
      <c r="C42" s="503">
        <v>5547</v>
      </c>
      <c r="D42" s="504" t="s">
        <v>186</v>
      </c>
      <c r="E42" s="505">
        <v>1652</v>
      </c>
      <c r="F42" s="506"/>
      <c r="G42" s="507"/>
      <c r="H42" s="797"/>
      <c r="I42" s="806"/>
      <c r="J42" s="552">
        <f t="shared" si="4"/>
        <v>0</v>
      </c>
      <c r="K42" s="553">
        <f t="shared" si="5"/>
        <v>0</v>
      </c>
      <c r="L42" s="137"/>
      <c r="M42" s="137">
        <v>16</v>
      </c>
      <c r="N42" s="1152"/>
    </row>
    <row r="43" spans="1:14" ht="14.4">
      <c r="A43" s="137"/>
      <c r="B43" s="508">
        <v>894</v>
      </c>
      <c r="C43" s="509">
        <v>924752</v>
      </c>
      <c r="D43" s="510" t="s">
        <v>187</v>
      </c>
      <c r="E43" s="511">
        <v>2567</v>
      </c>
      <c r="F43" s="512"/>
      <c r="G43" s="513"/>
      <c r="H43" s="799"/>
      <c r="I43" s="807"/>
      <c r="J43" s="554">
        <f t="shared" si="4"/>
        <v>0</v>
      </c>
      <c r="K43" s="555">
        <f t="shared" si="5"/>
        <v>0</v>
      </c>
      <c r="L43" s="137"/>
      <c r="M43" s="137">
        <v>17</v>
      </c>
      <c r="N43" s="1153"/>
    </row>
    <row r="44" spans="1:14" ht="15" thickBot="1">
      <c r="A44" s="137"/>
      <c r="B44" s="514">
        <v>894</v>
      </c>
      <c r="C44" s="515">
        <v>951136</v>
      </c>
      <c r="D44" s="516" t="s">
        <v>188</v>
      </c>
      <c r="E44" s="517">
        <v>314</v>
      </c>
      <c r="F44" s="518"/>
      <c r="G44" s="519"/>
      <c r="H44" s="801"/>
      <c r="I44" s="808"/>
      <c r="J44" s="556">
        <f t="shared" si="4"/>
        <v>0</v>
      </c>
      <c r="K44" s="557">
        <f t="shared" si="5"/>
        <v>0</v>
      </c>
      <c r="L44" s="611"/>
      <c r="M44" s="137">
        <v>18</v>
      </c>
      <c r="N44" s="1155"/>
    </row>
    <row r="45" spans="1:14" ht="14.4">
      <c r="A45" s="137"/>
      <c r="B45" s="520">
        <v>954</v>
      </c>
      <c r="C45" s="521">
        <v>957986</v>
      </c>
      <c r="D45" s="522" t="s">
        <v>194</v>
      </c>
      <c r="E45" s="523">
        <v>810</v>
      </c>
      <c r="F45" s="524"/>
      <c r="G45" s="525"/>
      <c r="H45" s="803"/>
      <c r="I45" s="809"/>
      <c r="J45" s="552">
        <f t="shared" si="4"/>
        <v>0</v>
      </c>
      <c r="K45" s="553">
        <f t="shared" si="5"/>
        <v>0</v>
      </c>
      <c r="L45" s="137"/>
      <c r="M45" s="137">
        <v>19</v>
      </c>
      <c r="N45" s="1156"/>
    </row>
    <row r="46" spans="1:14" ht="14.4">
      <c r="A46" s="137"/>
      <c r="B46" s="508">
        <v>954</v>
      </c>
      <c r="C46" s="509">
        <v>910586</v>
      </c>
      <c r="D46" s="510" t="s">
        <v>195</v>
      </c>
      <c r="E46" s="511">
        <v>963</v>
      </c>
      <c r="F46" s="512"/>
      <c r="G46" s="513"/>
      <c r="H46" s="799"/>
      <c r="I46" s="807"/>
      <c r="J46" s="554">
        <f t="shared" si="4"/>
        <v>0</v>
      </c>
      <c r="K46" s="555">
        <f t="shared" si="5"/>
        <v>0</v>
      </c>
      <c r="L46" s="137"/>
      <c r="M46" s="137">
        <v>20</v>
      </c>
      <c r="N46" s="1153"/>
    </row>
    <row r="47" spans="1:14" ht="14.4">
      <c r="A47" s="137"/>
      <c r="B47" s="508">
        <v>954</v>
      </c>
      <c r="C47" s="509">
        <v>923977</v>
      </c>
      <c r="D47" s="510" t="s">
        <v>196</v>
      </c>
      <c r="E47" s="511">
        <v>2348</v>
      </c>
      <c r="F47" s="512"/>
      <c r="G47" s="513"/>
      <c r="H47" s="799"/>
      <c r="I47" s="807"/>
      <c r="J47" s="554">
        <f t="shared" si="4"/>
        <v>0</v>
      </c>
      <c r="K47" s="555">
        <f t="shared" si="5"/>
        <v>0</v>
      </c>
      <c r="L47" s="137"/>
      <c r="M47" s="137">
        <v>21</v>
      </c>
      <c r="N47" s="1153"/>
    </row>
    <row r="48" spans="1:14" ht="14.4">
      <c r="A48" s="137"/>
      <c r="B48" s="508">
        <v>954</v>
      </c>
      <c r="C48" s="509">
        <v>952004</v>
      </c>
      <c r="D48" s="510" t="s">
        <v>197</v>
      </c>
      <c r="E48" s="511">
        <v>339</v>
      </c>
      <c r="F48" s="512"/>
      <c r="G48" s="513"/>
      <c r="H48" s="799"/>
      <c r="I48" s="807"/>
      <c r="J48" s="554">
        <f t="shared" si="4"/>
        <v>0</v>
      </c>
      <c r="K48" s="555">
        <f t="shared" si="5"/>
        <v>0</v>
      </c>
      <c r="L48" s="137"/>
      <c r="M48" s="137">
        <v>22</v>
      </c>
      <c r="N48" s="1153"/>
    </row>
    <row r="49" spans="1:14" ht="14.4">
      <c r="A49" s="137"/>
      <c r="B49" s="508">
        <v>954</v>
      </c>
      <c r="C49" s="509">
        <v>31292</v>
      </c>
      <c r="D49" s="510" t="s">
        <v>198</v>
      </c>
      <c r="E49" s="511">
        <v>6</v>
      </c>
      <c r="F49" s="512"/>
      <c r="G49" s="513"/>
      <c r="H49" s="799"/>
      <c r="I49" s="807"/>
      <c r="J49" s="554">
        <f t="shared" si="4"/>
        <v>0</v>
      </c>
      <c r="K49" s="555">
        <f t="shared" si="5"/>
        <v>0</v>
      </c>
      <c r="L49" s="137"/>
      <c r="M49" s="137">
        <v>23</v>
      </c>
      <c r="N49" s="1153"/>
    </row>
    <row r="50" spans="1:14" ht="14.4">
      <c r="A50" s="137"/>
      <c r="B50" s="508">
        <v>954</v>
      </c>
      <c r="C50" s="509">
        <v>910399</v>
      </c>
      <c r="D50" s="510" t="s">
        <v>199</v>
      </c>
      <c r="E50" s="511">
        <v>636</v>
      </c>
      <c r="F50" s="512"/>
      <c r="G50" s="513"/>
      <c r="H50" s="799"/>
      <c r="I50" s="807"/>
      <c r="J50" s="554">
        <f t="shared" si="4"/>
        <v>0</v>
      </c>
      <c r="K50" s="555">
        <f t="shared" si="5"/>
        <v>0</v>
      </c>
      <c r="L50" s="137"/>
      <c r="M50" s="137">
        <v>24</v>
      </c>
      <c r="N50" s="1153"/>
    </row>
    <row r="51" spans="1:14" ht="14.4">
      <c r="A51" s="137"/>
      <c r="B51" s="508">
        <v>954</v>
      </c>
      <c r="C51" s="509">
        <v>4546</v>
      </c>
      <c r="D51" s="510" t="s">
        <v>200</v>
      </c>
      <c r="E51" s="511">
        <v>280</v>
      </c>
      <c r="F51" s="512"/>
      <c r="G51" s="513"/>
      <c r="H51" s="799"/>
      <c r="I51" s="807"/>
      <c r="J51" s="554">
        <f t="shared" si="4"/>
        <v>0</v>
      </c>
      <c r="K51" s="555">
        <f t="shared" si="5"/>
        <v>0</v>
      </c>
      <c r="L51" s="137"/>
      <c r="M51" s="137">
        <v>25</v>
      </c>
      <c r="N51" s="1153"/>
    </row>
    <row r="52" spans="1:14" ht="14.4">
      <c r="A52" s="137"/>
      <c r="B52" s="508">
        <v>954</v>
      </c>
      <c r="C52" s="509">
        <v>954510</v>
      </c>
      <c r="D52" s="510" t="s">
        <v>201</v>
      </c>
      <c r="E52" s="511">
        <v>968</v>
      </c>
      <c r="F52" s="512"/>
      <c r="G52" s="513"/>
      <c r="H52" s="799"/>
      <c r="I52" s="807"/>
      <c r="J52" s="554">
        <f t="shared" si="4"/>
        <v>0</v>
      </c>
      <c r="K52" s="555">
        <f t="shared" si="5"/>
        <v>0</v>
      </c>
      <c r="L52" s="137"/>
      <c r="M52" s="137">
        <v>26</v>
      </c>
      <c r="N52" s="1153"/>
    </row>
    <row r="53" spans="1:14" ht="14.4">
      <c r="A53" s="137"/>
      <c r="B53" s="508">
        <v>954</v>
      </c>
      <c r="C53" s="509">
        <v>910840</v>
      </c>
      <c r="D53" s="510" t="s">
        <v>202</v>
      </c>
      <c r="E53" s="511">
        <v>2243</v>
      </c>
      <c r="F53" s="512"/>
      <c r="G53" s="513"/>
      <c r="H53" s="799"/>
      <c r="I53" s="807"/>
      <c r="J53" s="554">
        <f t="shared" si="4"/>
        <v>0</v>
      </c>
      <c r="K53" s="555">
        <f t="shared" si="5"/>
        <v>0</v>
      </c>
      <c r="L53" s="137"/>
      <c r="M53" s="137">
        <v>27</v>
      </c>
      <c r="N53" s="1153"/>
    </row>
    <row r="54" spans="1:14" ht="14.4">
      <c r="A54" s="137"/>
      <c r="B54" s="508">
        <v>954</v>
      </c>
      <c r="C54" s="509">
        <v>955396</v>
      </c>
      <c r="D54" s="510" t="s">
        <v>203</v>
      </c>
      <c r="E54" s="511">
        <v>2836</v>
      </c>
      <c r="F54" s="512"/>
      <c r="G54" s="513"/>
      <c r="H54" s="799"/>
      <c r="I54" s="807"/>
      <c r="J54" s="554">
        <f t="shared" si="4"/>
        <v>0</v>
      </c>
      <c r="K54" s="555">
        <f t="shared" si="5"/>
        <v>0</v>
      </c>
      <c r="L54" s="137"/>
      <c r="M54" s="137">
        <v>28</v>
      </c>
      <c r="N54" s="1153"/>
    </row>
    <row r="55" spans="1:14" ht="14.4">
      <c r="A55" s="137"/>
      <c r="B55" s="508">
        <v>954</v>
      </c>
      <c r="C55" s="509">
        <v>953144</v>
      </c>
      <c r="D55" s="510" t="s">
        <v>204</v>
      </c>
      <c r="E55" s="511">
        <v>847</v>
      </c>
      <c r="F55" s="512"/>
      <c r="G55" s="513"/>
      <c r="H55" s="799"/>
      <c r="I55" s="807"/>
      <c r="J55" s="554">
        <f t="shared" si="4"/>
        <v>0</v>
      </c>
      <c r="K55" s="555">
        <f t="shared" si="5"/>
        <v>0</v>
      </c>
      <c r="L55" s="137"/>
      <c r="M55" s="137">
        <v>29</v>
      </c>
      <c r="N55" s="1153"/>
    </row>
    <row r="56" spans="1:14" ht="14.4">
      <c r="A56" s="137"/>
      <c r="B56" s="508">
        <v>954</v>
      </c>
      <c r="C56" s="509">
        <v>922513</v>
      </c>
      <c r="D56" s="510" t="s">
        <v>205</v>
      </c>
      <c r="E56" s="511">
        <v>1434</v>
      </c>
      <c r="F56" s="512"/>
      <c r="G56" s="513"/>
      <c r="H56" s="799"/>
      <c r="I56" s="807"/>
      <c r="J56" s="554">
        <f t="shared" si="4"/>
        <v>0</v>
      </c>
      <c r="K56" s="555">
        <f t="shared" si="5"/>
        <v>0</v>
      </c>
      <c r="L56" s="137"/>
      <c r="M56" s="137">
        <v>30</v>
      </c>
      <c r="N56" s="1153"/>
    </row>
    <row r="57" spans="1:14" ht="14.4">
      <c r="A57" s="137"/>
      <c r="B57" s="508">
        <v>954</v>
      </c>
      <c r="C57" s="509">
        <v>924606</v>
      </c>
      <c r="D57" s="510" t="s">
        <v>206</v>
      </c>
      <c r="E57" s="511">
        <v>2596</v>
      </c>
      <c r="F57" s="512"/>
      <c r="G57" s="513"/>
      <c r="H57" s="799"/>
      <c r="I57" s="807"/>
      <c r="J57" s="554">
        <f t="shared" si="4"/>
        <v>0</v>
      </c>
      <c r="K57" s="555">
        <f t="shared" si="5"/>
        <v>0</v>
      </c>
      <c r="L57" s="137"/>
      <c r="M57" s="137">
        <v>31</v>
      </c>
      <c r="N57" s="1153"/>
    </row>
    <row r="58" spans="1:14" ht="14.4">
      <c r="A58" s="137"/>
      <c r="B58" s="508">
        <v>954</v>
      </c>
      <c r="C58" s="509">
        <v>926663</v>
      </c>
      <c r="D58" s="510" t="s">
        <v>207</v>
      </c>
      <c r="E58" s="511">
        <v>2442</v>
      </c>
      <c r="F58" s="512"/>
      <c r="G58" s="513"/>
      <c r="H58" s="799"/>
      <c r="I58" s="807"/>
      <c r="J58" s="554">
        <f t="shared" si="4"/>
        <v>0</v>
      </c>
      <c r="K58" s="555">
        <f t="shared" si="5"/>
        <v>0</v>
      </c>
      <c r="L58" s="137"/>
      <c r="M58" s="137">
        <v>32</v>
      </c>
      <c r="N58" s="1153"/>
    </row>
    <row r="59" spans="1:14" ht="14.4">
      <c r="A59" s="137"/>
      <c r="B59" s="508">
        <v>954</v>
      </c>
      <c r="C59" s="509">
        <v>951772</v>
      </c>
      <c r="D59" s="510" t="s">
        <v>208</v>
      </c>
      <c r="E59" s="511">
        <v>2383</v>
      </c>
      <c r="F59" s="512"/>
      <c r="G59" s="513"/>
      <c r="H59" s="799"/>
      <c r="I59" s="807"/>
      <c r="J59" s="554">
        <f t="shared" si="4"/>
        <v>0</v>
      </c>
      <c r="K59" s="555">
        <f t="shared" si="5"/>
        <v>0</v>
      </c>
      <c r="L59" s="137"/>
      <c r="M59" s="137">
        <v>33</v>
      </c>
      <c r="N59" s="1153"/>
    </row>
    <row r="60" spans="1:14" ht="14.4">
      <c r="A60" s="137"/>
      <c r="B60" s="508">
        <v>954</v>
      </c>
      <c r="C60" s="509">
        <v>955878</v>
      </c>
      <c r="D60" s="510" t="s">
        <v>209</v>
      </c>
      <c r="E60" s="511">
        <v>2878</v>
      </c>
      <c r="F60" s="512"/>
      <c r="G60" s="513"/>
      <c r="H60" s="799"/>
      <c r="I60" s="807"/>
      <c r="J60" s="554">
        <f t="shared" si="4"/>
        <v>0</v>
      </c>
      <c r="K60" s="555">
        <f t="shared" si="5"/>
        <v>0</v>
      </c>
      <c r="L60" s="137"/>
      <c r="M60" s="137">
        <v>0</v>
      </c>
      <c r="N60" s="1153"/>
    </row>
    <row r="61" spans="1:14" ht="14.4">
      <c r="A61" s="137"/>
      <c r="B61" s="508">
        <v>954</v>
      </c>
      <c r="C61" s="509">
        <v>951999</v>
      </c>
      <c r="D61" s="510" t="s">
        <v>210</v>
      </c>
      <c r="E61" s="511">
        <v>1718</v>
      </c>
      <c r="F61" s="512"/>
      <c r="G61" s="513"/>
      <c r="H61" s="799"/>
      <c r="I61" s="807"/>
      <c r="J61" s="554">
        <f t="shared" si="4"/>
        <v>0</v>
      </c>
      <c r="K61" s="555">
        <f t="shared" si="5"/>
        <v>0</v>
      </c>
      <c r="L61" s="137"/>
      <c r="M61" s="137">
        <v>35</v>
      </c>
      <c r="N61" s="1153"/>
    </row>
    <row r="62" spans="1:14" ht="14.4">
      <c r="A62" s="137"/>
      <c r="B62" s="508">
        <v>954</v>
      </c>
      <c r="C62" s="509">
        <v>954552</v>
      </c>
      <c r="D62" s="510" t="s">
        <v>211</v>
      </c>
      <c r="E62" s="511">
        <v>1486</v>
      </c>
      <c r="F62" s="512"/>
      <c r="G62" s="513"/>
      <c r="H62" s="799"/>
      <c r="I62" s="807"/>
      <c r="J62" s="554">
        <f t="shared" si="4"/>
        <v>0</v>
      </c>
      <c r="K62" s="555">
        <f t="shared" si="5"/>
        <v>0</v>
      </c>
      <c r="L62" s="137"/>
      <c r="M62" s="137">
        <v>36</v>
      </c>
      <c r="N62" s="1153"/>
    </row>
    <row r="63" spans="1:14" ht="14.4">
      <c r="A63" s="137"/>
      <c r="B63" s="508">
        <v>954</v>
      </c>
      <c r="C63" s="509">
        <v>956044</v>
      </c>
      <c r="D63" s="510" t="s">
        <v>212</v>
      </c>
      <c r="E63" s="511">
        <v>1409</v>
      </c>
      <c r="F63" s="512"/>
      <c r="G63" s="513"/>
      <c r="H63" s="799"/>
      <c r="I63" s="807"/>
      <c r="J63" s="554">
        <f t="shared" si="4"/>
        <v>0</v>
      </c>
      <c r="K63" s="555">
        <f t="shared" si="5"/>
        <v>0</v>
      </c>
      <c r="L63" s="137"/>
      <c r="M63" s="137">
        <v>37</v>
      </c>
      <c r="N63" s="1153"/>
    </row>
    <row r="64" spans="1:14" ht="14.4">
      <c r="A64" s="137"/>
      <c r="B64" s="508">
        <v>954</v>
      </c>
      <c r="C64" s="509">
        <v>954609</v>
      </c>
      <c r="D64" s="510" t="s">
        <v>213</v>
      </c>
      <c r="E64" s="511">
        <v>1189</v>
      </c>
      <c r="F64" s="512"/>
      <c r="G64" s="513"/>
      <c r="H64" s="799"/>
      <c r="I64" s="807"/>
      <c r="J64" s="554">
        <f t="shared" si="4"/>
        <v>0</v>
      </c>
      <c r="K64" s="555">
        <f t="shared" si="5"/>
        <v>0</v>
      </c>
      <c r="L64" s="137"/>
      <c r="M64" s="137">
        <v>38</v>
      </c>
      <c r="N64" s="1153"/>
    </row>
    <row r="65" spans="1:14" ht="14.4">
      <c r="A65" s="137"/>
      <c r="B65" s="508">
        <v>954</v>
      </c>
      <c r="C65" s="509">
        <v>955330</v>
      </c>
      <c r="D65" s="510" t="s">
        <v>214</v>
      </c>
      <c r="E65" s="511">
        <v>2747</v>
      </c>
      <c r="F65" s="512"/>
      <c r="G65" s="513"/>
      <c r="H65" s="799"/>
      <c r="I65" s="807"/>
      <c r="J65" s="554">
        <f t="shared" si="4"/>
        <v>0</v>
      </c>
      <c r="K65" s="555">
        <f t="shared" si="5"/>
        <v>0</v>
      </c>
      <c r="L65" s="137"/>
      <c r="M65" s="137">
        <v>39</v>
      </c>
      <c r="N65" s="1153"/>
    </row>
    <row r="66" spans="1:14" ht="15" thickBot="1">
      <c r="A66" s="137"/>
      <c r="B66" s="514">
        <v>954</v>
      </c>
      <c r="C66" s="515">
        <v>951919</v>
      </c>
      <c r="D66" s="516" t="s">
        <v>215</v>
      </c>
      <c r="E66" s="517">
        <v>1529</v>
      </c>
      <c r="F66" s="518"/>
      <c r="G66" s="519"/>
      <c r="H66" s="801"/>
      <c r="I66" s="808"/>
      <c r="J66" s="1427">
        <f t="shared" si="4"/>
        <v>0</v>
      </c>
      <c r="K66" s="1428">
        <f t="shared" si="5"/>
        <v>0</v>
      </c>
      <c r="L66" s="611"/>
      <c r="M66" s="137">
        <v>40</v>
      </c>
      <c r="N66" s="1155"/>
    </row>
    <row r="67" spans="1:14" ht="14.4">
      <c r="A67" s="137"/>
      <c r="B67" s="502">
        <v>1230</v>
      </c>
      <c r="C67" s="503">
        <v>955486</v>
      </c>
      <c r="D67" s="504" t="s">
        <v>172</v>
      </c>
      <c r="E67" s="505">
        <v>2882</v>
      </c>
      <c r="F67" s="506"/>
      <c r="G67" s="507"/>
      <c r="H67" s="797"/>
      <c r="I67" s="798"/>
      <c r="J67" s="1429">
        <f t="shared" si="4"/>
        <v>0</v>
      </c>
      <c r="K67" s="1430">
        <f t="shared" si="5"/>
        <v>0</v>
      </c>
      <c r="L67" s="137"/>
      <c r="M67" s="137">
        <v>41</v>
      </c>
      <c r="N67" s="1152"/>
    </row>
    <row r="68" spans="1:14" ht="14.4">
      <c r="A68" s="137"/>
      <c r="B68" s="508">
        <v>1230</v>
      </c>
      <c r="C68" s="509">
        <v>910840</v>
      </c>
      <c r="D68" s="510" t="s">
        <v>202</v>
      </c>
      <c r="E68" s="511">
        <v>2243</v>
      </c>
      <c r="F68" s="512"/>
      <c r="G68" s="513"/>
      <c r="H68" s="799"/>
      <c r="I68" s="800"/>
      <c r="J68" s="745">
        <f t="shared" si="4"/>
        <v>0</v>
      </c>
      <c r="K68" s="1410">
        <f t="shared" si="5"/>
        <v>0</v>
      </c>
      <c r="L68" s="137"/>
      <c r="M68" s="137">
        <v>42</v>
      </c>
      <c r="N68" s="1153"/>
    </row>
    <row r="69" spans="1:14" ht="14.4">
      <c r="A69" s="137"/>
      <c r="B69" s="1400">
        <v>1230</v>
      </c>
      <c r="C69" s="1424">
        <v>956590</v>
      </c>
      <c r="D69" s="1425" t="s">
        <v>231</v>
      </c>
      <c r="E69" s="1401">
        <v>1201</v>
      </c>
      <c r="F69" s="1402"/>
      <c r="G69" s="1403"/>
      <c r="H69" s="1398"/>
      <c r="I69" s="1426"/>
      <c r="J69" s="1416">
        <f t="shared" si="4"/>
        <v>0</v>
      </c>
      <c r="K69" s="1417">
        <f t="shared" si="5"/>
        <v>0</v>
      </c>
      <c r="L69" s="137"/>
      <c r="M69" s="137">
        <v>43</v>
      </c>
      <c r="N69" s="1153"/>
    </row>
    <row r="70" spans="1:14" ht="14.4">
      <c r="A70" s="137"/>
      <c r="B70" s="508">
        <v>1230</v>
      </c>
      <c r="C70" s="509">
        <v>955473</v>
      </c>
      <c r="D70" s="510" t="s">
        <v>232</v>
      </c>
      <c r="E70" s="511">
        <v>2352</v>
      </c>
      <c r="F70" s="512"/>
      <c r="G70" s="513"/>
      <c r="H70" s="799"/>
      <c r="I70" s="800"/>
      <c r="J70" s="745">
        <f t="shared" si="4"/>
        <v>0</v>
      </c>
      <c r="K70" s="1410">
        <f t="shared" si="5"/>
        <v>0</v>
      </c>
      <c r="L70" s="137"/>
      <c r="M70" s="137">
        <v>44</v>
      </c>
      <c r="N70" s="1153"/>
    </row>
    <row r="71" spans="1:14" ht="14.4">
      <c r="A71" s="137"/>
      <c r="B71" s="508">
        <v>1230</v>
      </c>
      <c r="C71" s="509">
        <v>926655</v>
      </c>
      <c r="D71" s="510" t="s">
        <v>233</v>
      </c>
      <c r="E71" s="511">
        <v>2393</v>
      </c>
      <c r="F71" s="743"/>
      <c r="G71" s="744"/>
      <c r="H71" s="810"/>
      <c r="I71" s="811"/>
      <c r="J71" s="746">
        <f t="shared" si="4"/>
        <v>0</v>
      </c>
      <c r="K71" s="555">
        <f t="shared" si="5"/>
        <v>0</v>
      </c>
      <c r="L71" s="137"/>
      <c r="M71" s="137">
        <v>45</v>
      </c>
      <c r="N71" s="1153"/>
    </row>
    <row r="72" spans="1:14" ht="14.4">
      <c r="A72" s="137"/>
      <c r="B72" s="508">
        <v>1230</v>
      </c>
      <c r="C72" s="509">
        <v>926674</v>
      </c>
      <c r="D72" s="510" t="s">
        <v>234</v>
      </c>
      <c r="E72" s="511">
        <v>2341</v>
      </c>
      <c r="F72" s="512"/>
      <c r="G72" s="513"/>
      <c r="H72" s="799"/>
      <c r="I72" s="800"/>
      <c r="J72" s="554">
        <f t="shared" si="4"/>
        <v>0</v>
      </c>
      <c r="K72" s="555">
        <f t="shared" si="5"/>
        <v>0</v>
      </c>
      <c r="L72" s="137"/>
      <c r="M72" s="137">
        <v>46</v>
      </c>
      <c r="N72" s="1153"/>
    </row>
    <row r="73" spans="1:14" ht="14.4">
      <c r="A73" s="137"/>
      <c r="B73" s="508">
        <v>1230</v>
      </c>
      <c r="C73" s="509">
        <v>952407</v>
      </c>
      <c r="D73" s="510" t="s">
        <v>176</v>
      </c>
      <c r="E73" s="511">
        <v>2762</v>
      </c>
      <c r="F73" s="512"/>
      <c r="G73" s="513"/>
      <c r="H73" s="799"/>
      <c r="I73" s="800"/>
      <c r="J73" s="554">
        <f t="shared" si="4"/>
        <v>0</v>
      </c>
      <c r="K73" s="555">
        <f t="shared" si="5"/>
        <v>0</v>
      </c>
      <c r="L73" s="137"/>
      <c r="M73" s="137">
        <v>47</v>
      </c>
      <c r="N73" s="1153"/>
    </row>
    <row r="74" spans="1:14" ht="14.4">
      <c r="A74" s="137"/>
      <c r="B74" s="508">
        <v>1230</v>
      </c>
      <c r="C74" s="509">
        <v>922476</v>
      </c>
      <c r="D74" s="510" t="s">
        <v>235</v>
      </c>
      <c r="E74" s="511">
        <v>2154</v>
      </c>
      <c r="F74" s="512"/>
      <c r="G74" s="513"/>
      <c r="H74" s="799"/>
      <c r="I74" s="800"/>
      <c r="J74" s="554">
        <f t="shared" si="4"/>
        <v>0</v>
      </c>
      <c r="K74" s="555">
        <f t="shared" si="5"/>
        <v>0</v>
      </c>
      <c r="L74" s="137"/>
      <c r="M74" s="137">
        <v>48</v>
      </c>
      <c r="N74" s="1153"/>
    </row>
    <row r="75" spans="1:14" ht="15" thickBot="1">
      <c r="A75" s="137"/>
      <c r="B75" s="526">
        <v>1230</v>
      </c>
      <c r="C75" s="527">
        <v>952321</v>
      </c>
      <c r="D75" s="528" t="s">
        <v>236</v>
      </c>
      <c r="E75" s="529">
        <v>2792</v>
      </c>
      <c r="F75" s="530"/>
      <c r="G75" s="531"/>
      <c r="H75" s="801"/>
      <c r="I75" s="802"/>
      <c r="J75" s="556">
        <f t="shared" si="4"/>
        <v>0</v>
      </c>
      <c r="K75" s="557">
        <f t="shared" si="5"/>
        <v>0</v>
      </c>
      <c r="L75" s="611"/>
      <c r="M75" s="137">
        <v>49</v>
      </c>
      <c r="N75" s="1155"/>
    </row>
    <row r="76" spans="1:14" ht="14.4">
      <c r="A76" s="137"/>
      <c r="B76" s="532">
        <v>1462</v>
      </c>
      <c r="C76" s="532">
        <v>902374</v>
      </c>
      <c r="D76" s="429" t="s">
        <v>217</v>
      </c>
      <c r="E76" s="533">
        <v>605</v>
      </c>
      <c r="F76" s="532"/>
      <c r="G76" s="533"/>
      <c r="H76" s="803"/>
      <c r="I76" s="809"/>
      <c r="J76" s="552">
        <f t="shared" si="4"/>
        <v>0</v>
      </c>
      <c r="K76" s="553">
        <f t="shared" si="5"/>
        <v>0</v>
      </c>
      <c r="L76" s="137"/>
      <c r="M76" s="137">
        <v>50</v>
      </c>
      <c r="N76" s="1156"/>
    </row>
    <row r="77" spans="1:14" ht="14.4">
      <c r="A77" s="137"/>
      <c r="B77" s="534">
        <v>1462</v>
      </c>
      <c r="C77" s="534">
        <v>958080</v>
      </c>
      <c r="D77" s="535" t="s">
        <v>244</v>
      </c>
      <c r="E77" s="536">
        <v>6059</v>
      </c>
      <c r="F77" s="534"/>
      <c r="G77" s="536"/>
      <c r="H77" s="799"/>
      <c r="I77" s="807"/>
      <c r="J77" s="554">
        <f t="shared" si="4"/>
        <v>0</v>
      </c>
      <c r="K77" s="555">
        <f t="shared" si="5"/>
        <v>0</v>
      </c>
      <c r="L77" s="137"/>
      <c r="M77" s="137">
        <v>51</v>
      </c>
      <c r="N77" s="1153"/>
    </row>
    <row r="78" spans="1:14" ht="14.4">
      <c r="A78" s="137"/>
      <c r="B78" s="534">
        <v>1462</v>
      </c>
      <c r="C78" s="534">
        <v>954062</v>
      </c>
      <c r="D78" s="535" t="s">
        <v>245</v>
      </c>
      <c r="E78" s="536">
        <v>733</v>
      </c>
      <c r="F78" s="534"/>
      <c r="G78" s="536"/>
      <c r="H78" s="799"/>
      <c r="I78" s="807"/>
      <c r="J78" s="554">
        <f t="shared" si="4"/>
        <v>0</v>
      </c>
      <c r="K78" s="555">
        <f t="shared" si="5"/>
        <v>0</v>
      </c>
      <c r="L78" s="137"/>
      <c r="M78" s="137">
        <v>52</v>
      </c>
      <c r="N78" s="1153"/>
    </row>
    <row r="79" spans="1:14" ht="14.4">
      <c r="A79" s="137"/>
      <c r="B79" s="534">
        <v>1462</v>
      </c>
      <c r="C79" s="534">
        <v>916009</v>
      </c>
      <c r="D79" s="535" t="s">
        <v>246</v>
      </c>
      <c r="E79" s="536">
        <v>638</v>
      </c>
      <c r="F79" s="534"/>
      <c r="G79" s="536"/>
      <c r="H79" s="799"/>
      <c r="I79" s="807"/>
      <c r="J79" s="554">
        <f t="shared" si="4"/>
        <v>0</v>
      </c>
      <c r="K79" s="555">
        <f t="shared" si="5"/>
        <v>0</v>
      </c>
      <c r="L79" s="137"/>
      <c r="M79" s="137">
        <v>53</v>
      </c>
      <c r="N79" s="1153"/>
    </row>
    <row r="80" spans="1:14" ht="14.4">
      <c r="A80" s="137"/>
      <c r="B80" s="1405">
        <v>1462</v>
      </c>
      <c r="C80" s="1405">
        <v>916010</v>
      </c>
      <c r="D80" s="1406" t="s">
        <v>247</v>
      </c>
      <c r="E80" s="1407">
        <v>639</v>
      </c>
      <c r="F80" s="1405"/>
      <c r="G80" s="1407"/>
      <c r="H80" s="1408"/>
      <c r="I80" s="1409"/>
      <c r="J80" s="745">
        <f t="shared" si="4"/>
        <v>0</v>
      </c>
      <c r="K80" s="1410">
        <f t="shared" si="5"/>
        <v>0</v>
      </c>
      <c r="L80" s="137"/>
      <c r="M80" s="137">
        <v>54</v>
      </c>
      <c r="N80" s="1153"/>
    </row>
    <row r="81" spans="1:14" ht="14.4">
      <c r="A81" s="1234"/>
      <c r="B81" s="1411">
        <v>1462</v>
      </c>
      <c r="C81" s="1411">
        <v>951259</v>
      </c>
      <c r="D81" s="1412" t="s">
        <v>216</v>
      </c>
      <c r="E81" s="1413">
        <v>2189</v>
      </c>
      <c r="F81" s="1411"/>
      <c r="G81" s="1413"/>
      <c r="H81" s="1414"/>
      <c r="I81" s="1415"/>
      <c r="J81" s="1416">
        <f t="shared" si="4"/>
        <v>0</v>
      </c>
      <c r="K81" s="1417">
        <f t="shared" si="5"/>
        <v>0</v>
      </c>
      <c r="L81" s="1234"/>
      <c r="M81" s="137">
        <v>55</v>
      </c>
      <c r="N81" s="1153"/>
    </row>
    <row r="82" spans="1:14" ht="14.4">
      <c r="A82" s="1234"/>
      <c r="B82" s="1411">
        <v>1462</v>
      </c>
      <c r="C82" s="1411">
        <v>923199</v>
      </c>
      <c r="D82" s="1412" t="s">
        <v>248</v>
      </c>
      <c r="E82" s="1413">
        <v>2602</v>
      </c>
      <c r="F82" s="1411"/>
      <c r="G82" s="1413"/>
      <c r="H82" s="1414"/>
      <c r="I82" s="1415"/>
      <c r="J82" s="1416">
        <f t="shared" si="4"/>
        <v>0</v>
      </c>
      <c r="K82" s="1417">
        <f t="shared" si="5"/>
        <v>0</v>
      </c>
      <c r="L82" s="1234"/>
      <c r="M82" s="137">
        <v>56</v>
      </c>
      <c r="N82" s="1153"/>
    </row>
    <row r="83" spans="1:14" ht="14.4">
      <c r="A83" s="1234" t="s">
        <v>129</v>
      </c>
      <c r="B83" s="1418">
        <v>1462</v>
      </c>
      <c r="C83" s="1419">
        <v>953048</v>
      </c>
      <c r="D83" s="1420" t="s">
        <v>263</v>
      </c>
      <c r="E83" s="1421">
        <v>502</v>
      </c>
      <c r="F83" s="1422"/>
      <c r="G83" s="1423"/>
      <c r="H83" s="1414"/>
      <c r="I83" s="1415"/>
      <c r="J83" s="1416">
        <f t="shared" si="4"/>
        <v>0</v>
      </c>
      <c r="K83" s="1417">
        <f t="shared" si="5"/>
        <v>0</v>
      </c>
      <c r="L83" s="1234"/>
      <c r="M83" s="137">
        <v>57</v>
      </c>
      <c r="N83" s="1157"/>
    </row>
    <row r="84" spans="1:14" ht="14.4">
      <c r="A84" s="1234"/>
      <c r="B84" s="1411">
        <v>1462</v>
      </c>
      <c r="C84" s="1411">
        <v>958249</v>
      </c>
      <c r="D84" s="1412" t="s">
        <v>249</v>
      </c>
      <c r="E84" s="1413">
        <v>2549</v>
      </c>
      <c r="F84" s="1411"/>
      <c r="G84" s="1413"/>
      <c r="H84" s="1414"/>
      <c r="I84" s="1415"/>
      <c r="J84" s="1416">
        <f t="shared" si="4"/>
        <v>0</v>
      </c>
      <c r="K84" s="1417">
        <f t="shared" si="5"/>
        <v>0</v>
      </c>
      <c r="L84" s="1234"/>
      <c r="M84" s="137">
        <v>58</v>
      </c>
      <c r="N84" s="1153"/>
    </row>
    <row r="85" spans="1:14" ht="14.4">
      <c r="A85" s="1234"/>
      <c r="B85" s="1411">
        <v>1462</v>
      </c>
      <c r="C85" s="1411">
        <v>955588</v>
      </c>
      <c r="D85" s="1412" t="s">
        <v>214</v>
      </c>
      <c r="E85" s="1413">
        <v>1342</v>
      </c>
      <c r="F85" s="1411"/>
      <c r="G85" s="1413"/>
      <c r="H85" s="1414"/>
      <c r="I85" s="1415"/>
      <c r="J85" s="1416">
        <f t="shared" si="4"/>
        <v>0</v>
      </c>
      <c r="K85" s="1417">
        <f t="shared" si="5"/>
        <v>0</v>
      </c>
      <c r="L85" s="1234"/>
      <c r="M85" s="137">
        <v>59</v>
      </c>
      <c r="N85" s="1153"/>
    </row>
    <row r="86" spans="1:14" ht="14.4">
      <c r="A86" s="1234" t="s">
        <v>129</v>
      </c>
      <c r="B86" s="1418">
        <v>1462</v>
      </c>
      <c r="C86" s="1419">
        <v>954700</v>
      </c>
      <c r="D86" s="1420" t="s">
        <v>264</v>
      </c>
      <c r="E86" s="1421">
        <v>209</v>
      </c>
      <c r="F86" s="1422"/>
      <c r="G86" s="1423"/>
      <c r="H86" s="1414"/>
      <c r="I86" s="1415"/>
      <c r="J86" s="1416">
        <f t="shared" si="4"/>
        <v>0</v>
      </c>
      <c r="K86" s="1417">
        <f t="shared" si="5"/>
        <v>0</v>
      </c>
      <c r="L86" s="1234"/>
      <c r="M86" s="137">
        <v>60</v>
      </c>
      <c r="N86" s="1157"/>
    </row>
    <row r="87" spans="1:14" ht="14.4">
      <c r="A87" s="1234"/>
      <c r="B87" s="1411">
        <v>1462</v>
      </c>
      <c r="C87" s="1411">
        <v>952005</v>
      </c>
      <c r="D87" s="1412" t="s">
        <v>250</v>
      </c>
      <c r="E87" s="1413">
        <v>1412</v>
      </c>
      <c r="F87" s="1411"/>
      <c r="G87" s="1413"/>
      <c r="H87" s="1414"/>
      <c r="I87" s="1415"/>
      <c r="J87" s="1416">
        <f t="shared" si="4"/>
        <v>0</v>
      </c>
      <c r="K87" s="1417">
        <f t="shared" si="5"/>
        <v>0</v>
      </c>
      <c r="L87" s="1234"/>
      <c r="M87" s="137">
        <v>61</v>
      </c>
      <c r="N87" s="1153"/>
    </row>
    <row r="88" spans="1:14" ht="14.4">
      <c r="A88" s="1234" t="s">
        <v>12</v>
      </c>
      <c r="B88" s="1418">
        <v>1462</v>
      </c>
      <c r="C88" s="1419">
        <v>902835</v>
      </c>
      <c r="D88" s="1420" t="s">
        <v>296</v>
      </c>
      <c r="E88" s="1421">
        <v>640</v>
      </c>
      <c r="F88" s="1422"/>
      <c r="G88" s="1423"/>
      <c r="H88" s="1414"/>
      <c r="I88" s="1415"/>
      <c r="J88" s="1416">
        <f t="shared" si="4"/>
        <v>0</v>
      </c>
      <c r="K88" s="1417">
        <f t="shared" si="5"/>
        <v>0</v>
      </c>
      <c r="L88" s="1404"/>
      <c r="M88" s="137">
        <v>62</v>
      </c>
      <c r="N88" s="1157"/>
    </row>
    <row r="89" spans="1:14" ht="14.4">
      <c r="A89" s="1234"/>
      <c r="B89" s="1376">
        <v>1462</v>
      </c>
      <c r="C89" s="1376">
        <v>952183</v>
      </c>
      <c r="D89" s="1374" t="s">
        <v>251</v>
      </c>
      <c r="E89" s="1390">
        <v>529</v>
      </c>
      <c r="F89" s="1376"/>
      <c r="G89" s="1390"/>
      <c r="H89" s="1398"/>
      <c r="I89" s="1399"/>
      <c r="J89" s="1379">
        <f t="shared" si="4"/>
        <v>0</v>
      </c>
      <c r="K89" s="1372">
        <f t="shared" si="5"/>
        <v>0</v>
      </c>
      <c r="L89" s="1234"/>
      <c r="M89" s="137">
        <v>63</v>
      </c>
      <c r="N89" s="1153"/>
    </row>
    <row r="90" spans="1:14" ht="14.4">
      <c r="A90" s="1234" t="s">
        <v>17</v>
      </c>
      <c r="B90" s="1376">
        <v>1462</v>
      </c>
      <c r="C90" s="1376">
        <v>957995</v>
      </c>
      <c r="D90" s="1374" t="s">
        <v>239</v>
      </c>
      <c r="E90" s="1390">
        <v>1930</v>
      </c>
      <c r="F90" s="1376"/>
      <c r="G90" s="1390"/>
      <c r="H90" s="1398"/>
      <c r="I90" s="1399"/>
      <c r="J90" s="1379">
        <f t="shared" si="4"/>
        <v>0</v>
      </c>
      <c r="K90" s="1372">
        <f t="shared" si="5"/>
        <v>0</v>
      </c>
      <c r="L90" s="1404"/>
      <c r="M90" s="137">
        <v>64</v>
      </c>
      <c r="N90" s="1153"/>
    </row>
    <row r="91" spans="1:14" ht="14.4">
      <c r="A91" s="137"/>
      <c r="B91" s="534">
        <v>1462</v>
      </c>
      <c r="C91" s="534">
        <v>953646</v>
      </c>
      <c r="D91" s="535" t="s">
        <v>252</v>
      </c>
      <c r="E91" s="536">
        <v>1248</v>
      </c>
      <c r="F91" s="534"/>
      <c r="G91" s="536"/>
      <c r="H91" s="799"/>
      <c r="I91" s="807"/>
      <c r="J91" s="554">
        <f t="shared" si="4"/>
        <v>0</v>
      </c>
      <c r="K91" s="555">
        <f t="shared" si="5"/>
        <v>0</v>
      </c>
      <c r="L91" s="137"/>
      <c r="M91" s="137">
        <v>65</v>
      </c>
      <c r="N91" s="1153"/>
    </row>
    <row r="92" spans="1:14" ht="14.4">
      <c r="A92" s="137"/>
      <c r="B92" s="534">
        <v>1462</v>
      </c>
      <c r="C92" s="534">
        <v>956244</v>
      </c>
      <c r="D92" s="535" t="s">
        <v>253</v>
      </c>
      <c r="E92" s="536">
        <v>1714</v>
      </c>
      <c r="F92" s="534"/>
      <c r="G92" s="536"/>
      <c r="H92" s="799"/>
      <c r="I92" s="807"/>
      <c r="J92" s="554">
        <f t="shared" si="4"/>
        <v>0</v>
      </c>
      <c r="K92" s="555">
        <f t="shared" si="5"/>
        <v>0</v>
      </c>
      <c r="L92" s="137"/>
      <c r="M92" s="137">
        <v>66</v>
      </c>
      <c r="N92" s="1153"/>
    </row>
    <row r="93" spans="1:14" ht="14.4">
      <c r="A93" s="137"/>
      <c r="B93" s="534">
        <v>1462</v>
      </c>
      <c r="C93" s="534">
        <v>904281</v>
      </c>
      <c r="D93" s="535" t="s">
        <v>254</v>
      </c>
      <c r="E93" s="536">
        <v>19</v>
      </c>
      <c r="F93" s="534"/>
      <c r="G93" s="536"/>
      <c r="H93" s="799"/>
      <c r="I93" s="807"/>
      <c r="J93" s="554">
        <f t="shared" ref="J93:J118" si="6">+F93-H93</f>
        <v>0</v>
      </c>
      <c r="K93" s="555">
        <f t="shared" ref="K93:K115" si="7">+G93-I93</f>
        <v>0</v>
      </c>
      <c r="L93" s="137"/>
      <c r="M93" s="137">
        <v>67</v>
      </c>
      <c r="N93" s="1153"/>
    </row>
    <row r="94" spans="1:14" ht="14.4">
      <c r="A94" s="137"/>
      <c r="B94" s="534">
        <v>1462</v>
      </c>
      <c r="C94" s="534">
        <v>952831</v>
      </c>
      <c r="D94" s="535" t="s">
        <v>255</v>
      </c>
      <c r="E94" s="536">
        <v>2252</v>
      </c>
      <c r="F94" s="534"/>
      <c r="G94" s="536"/>
      <c r="H94" s="799"/>
      <c r="I94" s="807"/>
      <c r="J94" s="554">
        <f t="shared" si="6"/>
        <v>0</v>
      </c>
      <c r="K94" s="555">
        <f t="shared" si="7"/>
        <v>0</v>
      </c>
      <c r="L94" s="137"/>
      <c r="M94" s="137">
        <v>68</v>
      </c>
      <c r="N94" s="1153"/>
    </row>
    <row r="95" spans="1:14" ht="14.4">
      <c r="A95" s="137"/>
      <c r="B95" s="534">
        <v>1462</v>
      </c>
      <c r="C95" s="534">
        <v>926065</v>
      </c>
      <c r="D95" s="535" t="s">
        <v>256</v>
      </c>
      <c r="E95" s="536">
        <v>676</v>
      </c>
      <c r="F95" s="534"/>
      <c r="G95" s="536"/>
      <c r="H95" s="799"/>
      <c r="I95" s="807"/>
      <c r="J95" s="554">
        <f t="shared" si="6"/>
        <v>0</v>
      </c>
      <c r="K95" s="555">
        <f t="shared" si="7"/>
        <v>0</v>
      </c>
      <c r="L95" s="137"/>
      <c r="M95" s="137">
        <v>69</v>
      </c>
      <c r="N95" s="1153"/>
    </row>
    <row r="96" spans="1:14" ht="15" thickBot="1">
      <c r="A96" s="137"/>
      <c r="B96" s="534">
        <v>1462</v>
      </c>
      <c r="C96" s="534">
        <v>922986</v>
      </c>
      <c r="D96" s="535" t="s">
        <v>257</v>
      </c>
      <c r="E96" s="536">
        <v>3899</v>
      </c>
      <c r="F96" s="534"/>
      <c r="G96" s="536"/>
      <c r="H96" s="801"/>
      <c r="I96" s="808"/>
      <c r="J96" s="556">
        <f t="shared" si="6"/>
        <v>0</v>
      </c>
      <c r="K96" s="557">
        <f t="shared" si="7"/>
        <v>0</v>
      </c>
      <c r="L96" s="611"/>
      <c r="M96" s="137">
        <v>70</v>
      </c>
      <c r="N96" s="1155"/>
    </row>
    <row r="97" spans="1:14" ht="14.4">
      <c r="A97" s="137"/>
      <c r="B97" s="532">
        <v>1667</v>
      </c>
      <c r="C97" s="532">
        <v>954062</v>
      </c>
      <c r="D97" s="429" t="s">
        <v>245</v>
      </c>
      <c r="E97" s="533">
        <v>733</v>
      </c>
      <c r="F97" s="532"/>
      <c r="G97" s="533"/>
      <c r="H97" s="797"/>
      <c r="I97" s="806"/>
      <c r="J97" s="552">
        <f t="shared" si="6"/>
        <v>0</v>
      </c>
      <c r="K97" s="553">
        <f t="shared" si="7"/>
        <v>0</v>
      </c>
      <c r="L97" s="137"/>
      <c r="M97" s="137">
        <v>71</v>
      </c>
      <c r="N97" s="1152"/>
    </row>
    <row r="98" spans="1:14" ht="15" thickBot="1">
      <c r="A98" s="137"/>
      <c r="B98" s="537">
        <v>1667</v>
      </c>
      <c r="C98" s="537">
        <v>952831</v>
      </c>
      <c r="D98" s="538" t="s">
        <v>255</v>
      </c>
      <c r="E98" s="539">
        <v>2252</v>
      </c>
      <c r="F98" s="537"/>
      <c r="G98" s="539"/>
      <c r="H98" s="801"/>
      <c r="I98" s="808"/>
      <c r="J98" s="556">
        <f t="shared" si="6"/>
        <v>0</v>
      </c>
      <c r="K98" s="557">
        <f t="shared" si="7"/>
        <v>0</v>
      </c>
      <c r="L98" s="611"/>
      <c r="M98" s="137">
        <v>72</v>
      </c>
      <c r="N98" s="1155"/>
    </row>
    <row r="99" spans="1:14" ht="14.4">
      <c r="A99" s="286"/>
      <c r="B99" s="502">
        <v>1696</v>
      </c>
      <c r="C99" s="503">
        <v>902378</v>
      </c>
      <c r="D99" s="504" t="s">
        <v>297</v>
      </c>
      <c r="E99" s="505">
        <v>879</v>
      </c>
      <c r="F99" s="506"/>
      <c r="G99" s="507"/>
      <c r="H99" s="797"/>
      <c r="I99" s="806"/>
      <c r="J99" s="552">
        <f t="shared" si="6"/>
        <v>0</v>
      </c>
      <c r="K99" s="553">
        <f t="shared" si="7"/>
        <v>0</v>
      </c>
      <c r="L99" s="137"/>
      <c r="M99" s="137">
        <v>73</v>
      </c>
      <c r="N99" s="1152"/>
    </row>
    <row r="100" spans="1:14" ht="14.4">
      <c r="A100" s="286"/>
      <c r="B100" s="508">
        <v>1696</v>
      </c>
      <c r="C100" s="509">
        <v>39480</v>
      </c>
      <c r="D100" s="510" t="s">
        <v>298</v>
      </c>
      <c r="E100" s="511">
        <v>1213</v>
      </c>
      <c r="F100" s="512"/>
      <c r="G100" s="513"/>
      <c r="H100" s="799"/>
      <c r="I100" s="807"/>
      <c r="J100" s="554">
        <f t="shared" si="6"/>
        <v>0</v>
      </c>
      <c r="K100" s="555">
        <f t="shared" si="7"/>
        <v>0</v>
      </c>
      <c r="L100" s="137"/>
      <c r="M100" s="137">
        <v>74</v>
      </c>
      <c r="N100" s="1153"/>
    </row>
    <row r="101" spans="1:14" ht="14.4">
      <c r="A101" s="286"/>
      <c r="B101" s="508">
        <v>1696</v>
      </c>
      <c r="C101" s="509">
        <v>910612</v>
      </c>
      <c r="D101" s="510" t="s">
        <v>219</v>
      </c>
      <c r="E101" s="511">
        <v>603</v>
      </c>
      <c r="F101" s="512"/>
      <c r="G101" s="513"/>
      <c r="H101" s="799"/>
      <c r="I101" s="807"/>
      <c r="J101" s="554">
        <f t="shared" si="6"/>
        <v>0</v>
      </c>
      <c r="K101" s="555">
        <f t="shared" si="7"/>
        <v>0</v>
      </c>
      <c r="L101" s="137"/>
      <c r="M101" s="137">
        <v>75</v>
      </c>
      <c r="N101" s="1153"/>
    </row>
    <row r="102" spans="1:14" ht="14.4">
      <c r="A102" s="286"/>
      <c r="B102" s="508">
        <v>1696</v>
      </c>
      <c r="C102" s="509">
        <v>955587</v>
      </c>
      <c r="D102" s="510" t="s">
        <v>299</v>
      </c>
      <c r="E102" s="511">
        <v>2749</v>
      </c>
      <c r="F102" s="512"/>
      <c r="G102" s="513"/>
      <c r="H102" s="799"/>
      <c r="I102" s="807"/>
      <c r="J102" s="554">
        <f t="shared" si="6"/>
        <v>0</v>
      </c>
      <c r="K102" s="555">
        <f t="shared" si="7"/>
        <v>0</v>
      </c>
      <c r="L102" s="137"/>
      <c r="M102" s="137">
        <v>76</v>
      </c>
      <c r="N102" s="1153"/>
    </row>
    <row r="103" spans="1:14" ht="14.4">
      <c r="A103" s="286"/>
      <c r="B103" s="508">
        <v>1696</v>
      </c>
      <c r="C103" s="509">
        <v>954793</v>
      </c>
      <c r="D103" s="510" t="s">
        <v>300</v>
      </c>
      <c r="E103" s="511">
        <v>2674</v>
      </c>
      <c r="F103" s="512"/>
      <c r="G103" s="513"/>
      <c r="H103" s="799"/>
      <c r="I103" s="807"/>
      <c r="J103" s="554">
        <f t="shared" si="6"/>
        <v>0</v>
      </c>
      <c r="K103" s="555">
        <f t="shared" si="7"/>
        <v>0</v>
      </c>
      <c r="L103" s="137"/>
      <c r="M103" s="137">
        <v>77</v>
      </c>
      <c r="N103" s="1153"/>
    </row>
    <row r="104" spans="1:14" ht="14.4">
      <c r="A104" s="286"/>
      <c r="B104" s="508">
        <v>1696</v>
      </c>
      <c r="C104" s="509">
        <v>953084</v>
      </c>
      <c r="D104" s="510" t="s">
        <v>301</v>
      </c>
      <c r="E104" s="511">
        <v>2626</v>
      </c>
      <c r="F104" s="512"/>
      <c r="G104" s="513"/>
      <c r="H104" s="799"/>
      <c r="I104" s="807"/>
      <c r="J104" s="746">
        <f t="shared" si="6"/>
        <v>0</v>
      </c>
      <c r="K104" s="555">
        <f t="shared" si="7"/>
        <v>0</v>
      </c>
      <c r="L104" s="137"/>
      <c r="M104" s="137">
        <v>78</v>
      </c>
      <c r="N104" s="1153"/>
    </row>
    <row r="105" spans="1:14" ht="14.4">
      <c r="A105" s="286"/>
      <c r="B105" s="508">
        <v>1696</v>
      </c>
      <c r="C105" s="509">
        <v>951205</v>
      </c>
      <c r="D105" s="510" t="s">
        <v>161</v>
      </c>
      <c r="E105" s="511">
        <v>2518</v>
      </c>
      <c r="F105" s="512"/>
      <c r="G105" s="513"/>
      <c r="H105" s="799"/>
      <c r="I105" s="807"/>
      <c r="J105" s="554">
        <f t="shared" si="6"/>
        <v>0</v>
      </c>
      <c r="K105" s="555">
        <f t="shared" si="7"/>
        <v>0</v>
      </c>
      <c r="L105" s="137"/>
      <c r="M105" s="137">
        <v>79</v>
      </c>
      <c r="N105" s="1153"/>
    </row>
    <row r="106" spans="1:14" ht="14.4">
      <c r="A106" s="286"/>
      <c r="B106" s="508">
        <v>1696</v>
      </c>
      <c r="C106" s="509">
        <v>952808</v>
      </c>
      <c r="D106" s="510" t="s">
        <v>160</v>
      </c>
      <c r="E106" s="511">
        <v>2620</v>
      </c>
      <c r="F106" s="512"/>
      <c r="G106" s="513"/>
      <c r="H106" s="799"/>
      <c r="I106" s="807"/>
      <c r="J106" s="554">
        <f t="shared" si="6"/>
        <v>0</v>
      </c>
      <c r="K106" s="555">
        <f t="shared" si="7"/>
        <v>0</v>
      </c>
      <c r="L106" s="137"/>
      <c r="M106" s="137">
        <v>80</v>
      </c>
      <c r="N106" s="1153"/>
    </row>
    <row r="107" spans="1:14" ht="14.4">
      <c r="A107" s="286"/>
      <c r="B107" s="508">
        <v>1696</v>
      </c>
      <c r="C107" s="509">
        <v>957803</v>
      </c>
      <c r="D107" s="510" t="s">
        <v>302</v>
      </c>
      <c r="E107" s="511">
        <v>2941</v>
      </c>
      <c r="F107" s="512"/>
      <c r="G107" s="513"/>
      <c r="H107" s="799"/>
      <c r="I107" s="807"/>
      <c r="J107" s="554">
        <f t="shared" si="6"/>
        <v>0</v>
      </c>
      <c r="K107" s="555">
        <f t="shared" si="7"/>
        <v>0</v>
      </c>
      <c r="L107" s="137"/>
      <c r="M107" s="137">
        <v>81</v>
      </c>
      <c r="N107" s="1153"/>
    </row>
    <row r="108" spans="1:14" ht="14.4">
      <c r="A108" s="286"/>
      <c r="B108" s="508">
        <v>1696</v>
      </c>
      <c r="C108" s="509">
        <v>957536</v>
      </c>
      <c r="D108" s="510" t="s">
        <v>303</v>
      </c>
      <c r="E108" s="511">
        <v>454</v>
      </c>
      <c r="F108" s="512"/>
      <c r="G108" s="513"/>
      <c r="H108" s="799"/>
      <c r="I108" s="807"/>
      <c r="J108" s="554">
        <f t="shared" si="6"/>
        <v>0</v>
      </c>
      <c r="K108" s="555">
        <f t="shared" si="7"/>
        <v>0</v>
      </c>
      <c r="L108" s="137"/>
      <c r="M108" s="137">
        <v>82</v>
      </c>
      <c r="N108" s="1153"/>
    </row>
    <row r="109" spans="1:14" ht="14.4">
      <c r="A109" s="286"/>
      <c r="B109" s="508">
        <v>1696</v>
      </c>
      <c r="C109" s="509">
        <v>910608</v>
      </c>
      <c r="D109" s="510" t="s">
        <v>304</v>
      </c>
      <c r="E109" s="511">
        <v>5416</v>
      </c>
      <c r="F109" s="512"/>
      <c r="G109" s="513"/>
      <c r="H109" s="799"/>
      <c r="I109" s="807"/>
      <c r="J109" s="554">
        <f t="shared" si="6"/>
        <v>0</v>
      </c>
      <c r="K109" s="555">
        <f t="shared" si="7"/>
        <v>0</v>
      </c>
      <c r="L109" s="137"/>
      <c r="M109" s="137">
        <v>83</v>
      </c>
      <c r="N109" s="1153"/>
    </row>
    <row r="110" spans="1:14" ht="14.4">
      <c r="A110" s="286"/>
      <c r="B110" s="508">
        <v>1696</v>
      </c>
      <c r="C110" s="509">
        <v>952034</v>
      </c>
      <c r="D110" s="510" t="s">
        <v>305</v>
      </c>
      <c r="E110" s="511">
        <v>365</v>
      </c>
      <c r="F110" s="512"/>
      <c r="G110" s="513"/>
      <c r="H110" s="799"/>
      <c r="I110" s="807"/>
      <c r="J110" s="554">
        <f t="shared" si="6"/>
        <v>0</v>
      </c>
      <c r="K110" s="555">
        <f t="shared" si="7"/>
        <v>0</v>
      </c>
      <c r="L110" s="137"/>
      <c r="M110" s="137">
        <v>84</v>
      </c>
      <c r="N110" s="1153"/>
    </row>
    <row r="111" spans="1:14" ht="14.4">
      <c r="A111" s="286"/>
      <c r="B111" s="508">
        <v>1696</v>
      </c>
      <c r="C111" s="509">
        <v>952212</v>
      </c>
      <c r="D111" s="510" t="s">
        <v>218</v>
      </c>
      <c r="E111" s="511">
        <v>575</v>
      </c>
      <c r="F111" s="512"/>
      <c r="G111" s="513"/>
      <c r="H111" s="799"/>
      <c r="I111" s="807"/>
      <c r="J111" s="554">
        <f t="shared" si="6"/>
        <v>0</v>
      </c>
      <c r="K111" s="555">
        <f t="shared" si="7"/>
        <v>0</v>
      </c>
      <c r="L111" s="137"/>
      <c r="M111" s="137">
        <v>85</v>
      </c>
      <c r="N111" s="1153"/>
    </row>
    <row r="112" spans="1:14" ht="14.4">
      <c r="A112" s="286"/>
      <c r="B112" s="508">
        <v>1696</v>
      </c>
      <c r="C112" s="509">
        <v>910367</v>
      </c>
      <c r="D112" s="510" t="s">
        <v>306</v>
      </c>
      <c r="E112" s="511">
        <v>1354</v>
      </c>
      <c r="F112" s="512"/>
      <c r="G112" s="513"/>
      <c r="H112" s="799"/>
      <c r="I112" s="807"/>
      <c r="J112" s="554">
        <f t="shared" si="6"/>
        <v>0</v>
      </c>
      <c r="K112" s="555">
        <f t="shared" si="7"/>
        <v>0</v>
      </c>
      <c r="L112" s="137"/>
      <c r="M112" s="137">
        <v>86</v>
      </c>
      <c r="N112" s="1153"/>
    </row>
    <row r="113" spans="1:14" ht="14.4">
      <c r="A113" s="286"/>
      <c r="B113" s="508">
        <v>1696</v>
      </c>
      <c r="C113" s="509">
        <v>923170</v>
      </c>
      <c r="D113" s="510" t="s">
        <v>307</v>
      </c>
      <c r="E113" s="511">
        <v>1203</v>
      </c>
      <c r="F113" s="512"/>
      <c r="G113" s="513"/>
      <c r="H113" s="799"/>
      <c r="I113" s="807"/>
      <c r="J113" s="554">
        <f t="shared" si="6"/>
        <v>0</v>
      </c>
      <c r="K113" s="555">
        <f t="shared" si="7"/>
        <v>0</v>
      </c>
      <c r="L113" s="137"/>
      <c r="M113" s="137">
        <v>87</v>
      </c>
      <c r="N113" s="1153"/>
    </row>
    <row r="114" spans="1:14" ht="14.4">
      <c r="A114" s="286"/>
      <c r="B114" s="508">
        <v>1696</v>
      </c>
      <c r="C114" s="509">
        <v>952003</v>
      </c>
      <c r="D114" s="510" t="s">
        <v>308</v>
      </c>
      <c r="E114" s="511">
        <v>607</v>
      </c>
      <c r="F114" s="512"/>
      <c r="G114" s="513"/>
      <c r="H114" s="799"/>
      <c r="I114" s="807"/>
      <c r="J114" s="554">
        <f t="shared" si="6"/>
        <v>0</v>
      </c>
      <c r="K114" s="555">
        <f t="shared" si="7"/>
        <v>0</v>
      </c>
      <c r="L114" s="137"/>
      <c r="M114" s="137">
        <v>88</v>
      </c>
      <c r="N114" s="1153"/>
    </row>
    <row r="115" spans="1:14" ht="15" thickBot="1">
      <c r="A115" s="286"/>
      <c r="B115" s="514">
        <v>1696</v>
      </c>
      <c r="C115" s="515">
        <v>952209</v>
      </c>
      <c r="D115" s="516" t="s">
        <v>309</v>
      </c>
      <c r="E115" s="517">
        <v>652</v>
      </c>
      <c r="F115" s="518"/>
      <c r="G115" s="519"/>
      <c r="H115" s="801"/>
      <c r="I115" s="808"/>
      <c r="J115" s="554">
        <f t="shared" si="6"/>
        <v>0</v>
      </c>
      <c r="K115" s="555">
        <f t="shared" si="7"/>
        <v>0</v>
      </c>
      <c r="L115" s="611"/>
      <c r="M115" s="137">
        <v>89</v>
      </c>
      <c r="N115" s="1155"/>
    </row>
    <row r="116" spans="1:14" ht="14.4">
      <c r="A116" s="286"/>
      <c r="B116" s="502">
        <v>1862</v>
      </c>
      <c r="C116" s="503">
        <v>953744</v>
      </c>
      <c r="D116" s="504" t="s">
        <v>325</v>
      </c>
      <c r="E116" s="505">
        <v>2267</v>
      </c>
      <c r="F116" s="506"/>
      <c r="G116" s="507"/>
      <c r="H116" s="797"/>
      <c r="I116" s="806"/>
      <c r="J116" s="554">
        <f t="shared" si="6"/>
        <v>0</v>
      </c>
      <c r="K116" s="553">
        <f>+G116-I116</f>
        <v>0</v>
      </c>
      <c r="L116" s="137"/>
      <c r="M116" s="137">
        <v>90</v>
      </c>
      <c r="N116" s="1152"/>
    </row>
    <row r="117" spans="1:14" ht="14.4">
      <c r="A117" s="286"/>
      <c r="B117" s="508">
        <v>1862</v>
      </c>
      <c r="C117" s="509">
        <v>953084</v>
      </c>
      <c r="D117" s="510" t="s">
        <v>301</v>
      </c>
      <c r="E117" s="511">
        <v>2626</v>
      </c>
      <c r="F117" s="512"/>
      <c r="G117" s="513"/>
      <c r="H117" s="799"/>
      <c r="I117" s="807"/>
      <c r="J117" s="554">
        <f t="shared" si="6"/>
        <v>0</v>
      </c>
      <c r="K117" s="536">
        <f>+G117-I117</f>
        <v>0</v>
      </c>
      <c r="L117" s="137"/>
      <c r="M117" s="137">
        <v>91</v>
      </c>
      <c r="N117" s="1153"/>
    </row>
    <row r="118" spans="1:14" ht="15" thickBot="1">
      <c r="A118" s="286"/>
      <c r="B118" s="514">
        <v>1862</v>
      </c>
      <c r="C118" s="515">
        <v>957803</v>
      </c>
      <c r="D118" s="516" t="s">
        <v>302</v>
      </c>
      <c r="E118" s="517">
        <v>2941</v>
      </c>
      <c r="F118" s="518"/>
      <c r="G118" s="519"/>
      <c r="H118" s="801"/>
      <c r="I118" s="808"/>
      <c r="J118" s="554">
        <f t="shared" si="6"/>
        <v>0</v>
      </c>
      <c r="K118" s="539">
        <f>+G118-I118</f>
        <v>0</v>
      </c>
      <c r="L118" s="611"/>
      <c r="M118" s="137">
        <v>92</v>
      </c>
      <c r="N118" s="1155"/>
    </row>
    <row r="119" spans="1:14" ht="14.4">
      <c r="A119" s="286"/>
      <c r="B119" s="3992">
        <v>1890</v>
      </c>
      <c r="C119" s="503">
        <v>31025</v>
      </c>
      <c r="D119" s="504" t="s">
        <v>331</v>
      </c>
      <c r="E119" s="505"/>
      <c r="F119" s="533"/>
      <c r="G119" s="533"/>
      <c r="H119" s="797"/>
      <c r="I119" s="806"/>
      <c r="J119" s="554">
        <f t="shared" ref="J119:J130" si="8">+F119-H119</f>
        <v>0</v>
      </c>
      <c r="K119" s="555">
        <f t="shared" ref="K119:K182" si="9">+G119-I119</f>
        <v>0</v>
      </c>
      <c r="L119" s="137"/>
      <c r="M119" s="137">
        <v>93</v>
      </c>
      <c r="N119" s="1152"/>
    </row>
    <row r="120" spans="1:14" ht="14.4">
      <c r="A120" s="286"/>
      <c r="B120" s="3994"/>
      <c r="C120" s="509">
        <v>902770</v>
      </c>
      <c r="D120" s="510" t="s">
        <v>332</v>
      </c>
      <c r="E120" s="511"/>
      <c r="F120" s="536"/>
      <c r="G120" s="536"/>
      <c r="H120" s="799"/>
      <c r="I120" s="807"/>
      <c r="J120" s="554">
        <f t="shared" si="8"/>
        <v>0</v>
      </c>
      <c r="K120" s="555">
        <f t="shared" si="9"/>
        <v>0</v>
      </c>
      <c r="L120" s="137"/>
      <c r="M120" s="137">
        <v>94</v>
      </c>
      <c r="N120" s="1153"/>
    </row>
    <row r="121" spans="1:14" ht="14.4">
      <c r="A121" s="286"/>
      <c r="B121" s="3994"/>
      <c r="C121" s="509">
        <v>958198</v>
      </c>
      <c r="D121" s="510" t="s">
        <v>333</v>
      </c>
      <c r="E121" s="511"/>
      <c r="F121" s="536"/>
      <c r="G121" s="536"/>
      <c r="H121" s="799"/>
      <c r="I121" s="807"/>
      <c r="J121" s="554">
        <f t="shared" si="8"/>
        <v>0</v>
      </c>
      <c r="K121" s="555">
        <f t="shared" si="9"/>
        <v>0</v>
      </c>
      <c r="L121" s="137"/>
      <c r="M121" s="137">
        <v>95</v>
      </c>
      <c r="N121" s="1154"/>
    </row>
    <row r="122" spans="1:14" ht="14.4">
      <c r="A122" s="286"/>
      <c r="B122" s="3994"/>
      <c r="C122" s="509">
        <v>902723</v>
      </c>
      <c r="D122" s="510" t="s">
        <v>334</v>
      </c>
      <c r="E122" s="511"/>
      <c r="F122" s="536"/>
      <c r="G122" s="536"/>
      <c r="H122" s="799"/>
      <c r="I122" s="807"/>
      <c r="J122" s="554">
        <f t="shared" si="8"/>
        <v>0</v>
      </c>
      <c r="K122" s="555">
        <f t="shared" si="9"/>
        <v>0</v>
      </c>
      <c r="L122" s="137"/>
      <c r="M122" s="137">
        <v>96</v>
      </c>
      <c r="N122" s="1154"/>
    </row>
    <row r="123" spans="1:14" ht="14.4">
      <c r="A123" s="286"/>
      <c r="B123" s="3994"/>
      <c r="C123" s="509">
        <v>923215</v>
      </c>
      <c r="D123" s="510" t="s">
        <v>335</v>
      </c>
      <c r="E123" s="511"/>
      <c r="F123" s="536"/>
      <c r="G123" s="536"/>
      <c r="H123" s="799"/>
      <c r="I123" s="807"/>
      <c r="J123" s="554">
        <f t="shared" si="8"/>
        <v>0</v>
      </c>
      <c r="K123" s="555">
        <f t="shared" si="9"/>
        <v>0</v>
      </c>
      <c r="L123" s="137"/>
      <c r="M123" s="137">
        <v>97</v>
      </c>
      <c r="N123" s="1154"/>
    </row>
    <row r="124" spans="1:14" ht="14.4">
      <c r="A124" s="286"/>
      <c r="B124" s="3994"/>
      <c r="C124" s="509">
        <v>950847</v>
      </c>
      <c r="D124" s="510" t="s">
        <v>336</v>
      </c>
      <c r="E124" s="511"/>
      <c r="F124" s="536"/>
      <c r="G124" s="536"/>
      <c r="H124" s="799"/>
      <c r="I124" s="807"/>
      <c r="J124" s="554">
        <f t="shared" si="8"/>
        <v>0</v>
      </c>
      <c r="K124" s="555">
        <f t="shared" si="9"/>
        <v>0</v>
      </c>
      <c r="L124" s="137"/>
      <c r="M124" s="137">
        <v>98</v>
      </c>
      <c r="N124" s="1154"/>
    </row>
    <row r="125" spans="1:14" ht="14.4">
      <c r="A125" s="286"/>
      <c r="B125" s="3994"/>
      <c r="C125" s="509">
        <v>951746</v>
      </c>
      <c r="D125" s="510" t="s">
        <v>337</v>
      </c>
      <c r="E125" s="511"/>
      <c r="F125" s="536"/>
      <c r="G125" s="536"/>
      <c r="H125" s="799"/>
      <c r="I125" s="807"/>
      <c r="J125" s="554">
        <f t="shared" si="8"/>
        <v>0</v>
      </c>
      <c r="K125" s="555">
        <f t="shared" si="9"/>
        <v>0</v>
      </c>
      <c r="L125" s="137"/>
      <c r="M125" s="137">
        <v>99</v>
      </c>
      <c r="N125" s="1154"/>
    </row>
    <row r="126" spans="1:14" ht="14.4">
      <c r="A126" s="286"/>
      <c r="B126" s="3994"/>
      <c r="C126" s="509">
        <v>955834</v>
      </c>
      <c r="D126" s="510" t="s">
        <v>338</v>
      </c>
      <c r="E126" s="511"/>
      <c r="F126" s="536"/>
      <c r="G126" s="536"/>
      <c r="H126" s="799"/>
      <c r="I126" s="807"/>
      <c r="J126" s="554">
        <f t="shared" si="8"/>
        <v>0</v>
      </c>
      <c r="K126" s="555">
        <f t="shared" si="9"/>
        <v>0</v>
      </c>
      <c r="L126" s="137"/>
      <c r="M126" s="137">
        <v>100</v>
      </c>
      <c r="N126" s="1154"/>
    </row>
    <row r="127" spans="1:14" ht="14.4">
      <c r="A127" s="286"/>
      <c r="B127" s="3994"/>
      <c r="C127" s="509">
        <v>902733</v>
      </c>
      <c r="D127" s="510" t="s">
        <v>339</v>
      </c>
      <c r="E127" s="511"/>
      <c r="F127" s="536"/>
      <c r="G127" s="536"/>
      <c r="H127" s="799"/>
      <c r="I127" s="807"/>
      <c r="J127" s="554">
        <f t="shared" si="8"/>
        <v>0</v>
      </c>
      <c r="K127" s="555">
        <f t="shared" si="9"/>
        <v>0</v>
      </c>
      <c r="L127" s="137"/>
      <c r="M127" s="137">
        <v>101</v>
      </c>
      <c r="N127" s="1154"/>
    </row>
    <row r="128" spans="1:14" ht="15" thickBot="1">
      <c r="A128" s="286"/>
      <c r="B128" s="3993"/>
      <c r="C128" s="527">
        <v>902373</v>
      </c>
      <c r="D128" s="528" t="s">
        <v>340</v>
      </c>
      <c r="E128" s="529"/>
      <c r="F128" s="536"/>
      <c r="G128" s="536"/>
      <c r="H128" s="801"/>
      <c r="I128" s="808"/>
      <c r="J128" s="554">
        <f t="shared" si="8"/>
        <v>0</v>
      </c>
      <c r="K128" s="555">
        <f t="shared" si="9"/>
        <v>0</v>
      </c>
      <c r="L128" s="611"/>
      <c r="M128" s="137">
        <v>102</v>
      </c>
      <c r="N128" s="1155"/>
    </row>
    <row r="129" spans="1:14" ht="14.4">
      <c r="A129" s="286"/>
      <c r="B129" s="3992">
        <v>1977</v>
      </c>
      <c r="C129" s="532">
        <v>951349</v>
      </c>
      <c r="D129" s="429" t="s">
        <v>358</v>
      </c>
      <c r="E129" s="533">
        <v>1352</v>
      </c>
      <c r="F129" s="717"/>
      <c r="G129" s="717"/>
      <c r="H129" s="797"/>
      <c r="I129" s="806"/>
      <c r="J129" s="554">
        <f t="shared" si="8"/>
        <v>0</v>
      </c>
      <c r="K129" s="553">
        <v>0</v>
      </c>
      <c r="L129" s="611"/>
      <c r="M129" s="137">
        <v>103</v>
      </c>
      <c r="N129" s="1152"/>
    </row>
    <row r="130" spans="1:14" ht="15" thickBot="1">
      <c r="A130" s="286"/>
      <c r="B130" s="3993"/>
      <c r="C130" s="537">
        <v>951633</v>
      </c>
      <c r="D130" s="538" t="s">
        <v>357</v>
      </c>
      <c r="E130" s="539">
        <v>602</v>
      </c>
      <c r="F130" s="718"/>
      <c r="G130" s="718"/>
      <c r="H130" s="801"/>
      <c r="I130" s="808"/>
      <c r="J130" s="554">
        <f t="shared" si="8"/>
        <v>0</v>
      </c>
      <c r="K130" s="557">
        <v>0</v>
      </c>
      <c r="L130" s="611"/>
      <c r="M130" s="137">
        <v>104</v>
      </c>
      <c r="N130" s="1155"/>
    </row>
    <row r="131" spans="1:14" ht="15" thickBot="1">
      <c r="A131" s="286"/>
      <c r="B131" s="540">
        <v>2042</v>
      </c>
      <c r="C131" s="773">
        <v>953641</v>
      </c>
      <c r="D131" s="774" t="s">
        <v>343</v>
      </c>
      <c r="E131" s="771"/>
      <c r="F131" s="769"/>
      <c r="G131" s="429"/>
      <c r="H131" s="812"/>
      <c r="I131" s="813"/>
      <c r="J131" s="772">
        <f t="shared" ref="J131:J137" si="10">+F131-H131</f>
        <v>0</v>
      </c>
      <c r="K131" s="770">
        <f t="shared" si="9"/>
        <v>0</v>
      </c>
      <c r="L131" s="611"/>
      <c r="M131" s="137">
        <v>105</v>
      </c>
      <c r="N131" s="1158"/>
    </row>
    <row r="132" spans="1:14" ht="14.4">
      <c r="A132" s="286"/>
      <c r="B132" s="3992">
        <v>2246</v>
      </c>
      <c r="C132" s="532"/>
      <c r="D132" s="429" t="s">
        <v>202</v>
      </c>
      <c r="E132" s="533"/>
      <c r="F132" s="429"/>
      <c r="G132" s="717"/>
      <c r="H132" s="814"/>
      <c r="I132" s="815"/>
      <c r="J132" s="552">
        <f t="shared" si="10"/>
        <v>0</v>
      </c>
      <c r="K132" s="553">
        <f t="shared" ref="K132:K137" si="11">+G132-I132</f>
        <v>0</v>
      </c>
      <c r="L132" s="611"/>
      <c r="M132" s="137">
        <v>106</v>
      </c>
      <c r="N132" s="1159"/>
    </row>
    <row r="133" spans="1:14" ht="14.4">
      <c r="A133" s="286"/>
      <c r="B133" s="3994"/>
      <c r="C133" s="534"/>
      <c r="D133" s="535" t="s">
        <v>232</v>
      </c>
      <c r="E133" s="536"/>
      <c r="F133" s="535"/>
      <c r="G133" s="767"/>
      <c r="H133" s="816"/>
      <c r="I133" s="817"/>
      <c r="J133" s="554">
        <f t="shared" si="10"/>
        <v>0</v>
      </c>
      <c r="K133" s="555">
        <f t="shared" si="11"/>
        <v>0</v>
      </c>
      <c r="L133" s="611"/>
      <c r="M133" s="137">
        <v>107</v>
      </c>
      <c r="N133" s="1160"/>
    </row>
    <row r="134" spans="1:14" ht="14.4">
      <c r="A134" s="286"/>
      <c r="B134" s="3994"/>
      <c r="C134" s="534"/>
      <c r="D134" s="535" t="s">
        <v>381</v>
      </c>
      <c r="E134" s="536"/>
      <c r="F134" s="535"/>
      <c r="G134" s="767"/>
      <c r="H134" s="816"/>
      <c r="I134" s="817"/>
      <c r="J134" s="554">
        <f t="shared" si="10"/>
        <v>0</v>
      </c>
      <c r="K134" s="555">
        <f t="shared" si="11"/>
        <v>0</v>
      </c>
      <c r="L134" s="611"/>
      <c r="M134" s="137">
        <v>108</v>
      </c>
      <c r="N134" s="1160"/>
    </row>
    <row r="135" spans="1:14" ht="14.4">
      <c r="A135" s="286"/>
      <c r="B135" s="3994"/>
      <c r="C135" s="534"/>
      <c r="D135" s="535" t="s">
        <v>254</v>
      </c>
      <c r="E135" s="536"/>
      <c r="F135" s="535"/>
      <c r="G135" s="767"/>
      <c r="H135" s="816"/>
      <c r="I135" s="817"/>
      <c r="J135" s="554">
        <f t="shared" si="10"/>
        <v>0</v>
      </c>
      <c r="K135" s="555">
        <f t="shared" si="11"/>
        <v>0</v>
      </c>
      <c r="L135" s="611"/>
      <c r="M135" s="137">
        <v>109</v>
      </c>
      <c r="N135" s="1160"/>
    </row>
    <row r="136" spans="1:14" ht="14.4">
      <c r="A136" s="286"/>
      <c r="B136" s="3994"/>
      <c r="C136" s="534"/>
      <c r="D136" s="535" t="s">
        <v>248</v>
      </c>
      <c r="E136" s="536"/>
      <c r="F136" s="535"/>
      <c r="G136" s="767"/>
      <c r="H136" s="816"/>
      <c r="I136" s="817"/>
      <c r="J136" s="554">
        <f t="shared" si="10"/>
        <v>0</v>
      </c>
      <c r="K136" s="555">
        <f t="shared" si="11"/>
        <v>0</v>
      </c>
      <c r="L136" s="611"/>
      <c r="M136" s="137">
        <v>110</v>
      </c>
      <c r="N136" s="1160"/>
    </row>
    <row r="137" spans="1:14" ht="15" thickBot="1">
      <c r="A137" s="286"/>
      <c r="B137" s="3993"/>
      <c r="C137" s="537"/>
      <c r="D137" s="538" t="s">
        <v>382</v>
      </c>
      <c r="E137" s="539"/>
      <c r="F137" s="538"/>
      <c r="G137" s="718"/>
      <c r="H137" s="818"/>
      <c r="I137" s="819"/>
      <c r="J137" s="556">
        <f t="shared" si="10"/>
        <v>0</v>
      </c>
      <c r="K137" s="557">
        <f t="shared" si="11"/>
        <v>0</v>
      </c>
      <c r="L137" s="611"/>
      <c r="M137" s="137">
        <v>111</v>
      </c>
      <c r="N137" s="1161"/>
    </row>
    <row r="138" spans="1:14" ht="14.4">
      <c r="A138" s="286">
        <v>1</v>
      </c>
      <c r="B138" s="3992">
        <v>2247</v>
      </c>
      <c r="C138" s="534">
        <v>31305</v>
      </c>
      <c r="D138" s="535" t="s">
        <v>363</v>
      </c>
      <c r="E138" s="536"/>
      <c r="F138" s="535"/>
      <c r="G138" s="767"/>
      <c r="H138" s="816"/>
      <c r="I138" s="820"/>
      <c r="J138" s="554">
        <f t="shared" ref="J138:K195" si="12">+F138-H138</f>
        <v>0</v>
      </c>
      <c r="K138" s="768">
        <f t="shared" si="9"/>
        <v>0</v>
      </c>
      <c r="L138" s="611"/>
      <c r="M138" s="137">
        <v>112</v>
      </c>
      <c r="N138" s="1160"/>
    </row>
    <row r="139" spans="1:14" ht="14.4">
      <c r="A139" s="286">
        <v>2</v>
      </c>
      <c r="B139" s="3994"/>
      <c r="C139" s="534">
        <v>924614</v>
      </c>
      <c r="D139" s="535" t="s">
        <v>364</v>
      </c>
      <c r="E139" s="536"/>
      <c r="F139" s="535"/>
      <c r="G139" s="767"/>
      <c r="H139" s="816"/>
      <c r="I139" s="820"/>
      <c r="J139" s="554">
        <f t="shared" si="12"/>
        <v>0</v>
      </c>
      <c r="K139" s="768">
        <f t="shared" si="9"/>
        <v>0</v>
      </c>
      <c r="L139" s="611"/>
      <c r="M139" s="137">
        <v>113</v>
      </c>
      <c r="N139" s="1160"/>
    </row>
    <row r="140" spans="1:14" ht="14.4">
      <c r="A140" s="286">
        <v>3</v>
      </c>
      <c r="B140" s="3994"/>
      <c r="C140" s="534">
        <v>955448</v>
      </c>
      <c r="D140" s="535" t="s">
        <v>365</v>
      </c>
      <c r="E140" s="536"/>
      <c r="F140" s="535"/>
      <c r="G140" s="767"/>
      <c r="H140" s="816"/>
      <c r="I140" s="820"/>
      <c r="J140" s="554">
        <f t="shared" si="12"/>
        <v>0</v>
      </c>
      <c r="K140" s="768">
        <f t="shared" si="9"/>
        <v>0</v>
      </c>
      <c r="L140" s="611"/>
      <c r="M140" s="137">
        <v>114</v>
      </c>
      <c r="N140" s="1160"/>
    </row>
    <row r="141" spans="1:14" ht="14.4">
      <c r="A141" s="286">
        <v>4</v>
      </c>
      <c r="B141" s="3994"/>
      <c r="C141" s="534">
        <v>25093</v>
      </c>
      <c r="D141" s="535" t="s">
        <v>366</v>
      </c>
      <c r="E141" s="536"/>
      <c r="F141" s="535"/>
      <c r="G141" s="767"/>
      <c r="H141" s="816"/>
      <c r="I141" s="820"/>
      <c r="J141" s="554">
        <f t="shared" si="12"/>
        <v>0</v>
      </c>
      <c r="K141" s="768">
        <f t="shared" si="9"/>
        <v>0</v>
      </c>
      <c r="L141" s="611"/>
      <c r="M141" s="137">
        <v>115</v>
      </c>
      <c r="N141" s="1160"/>
    </row>
    <row r="142" spans="1:14" ht="14.4">
      <c r="A142" s="286">
        <v>5</v>
      </c>
      <c r="B142" s="3994"/>
      <c r="C142" s="534">
        <v>955838</v>
      </c>
      <c r="D142" s="535" t="s">
        <v>367</v>
      </c>
      <c r="E142" s="536"/>
      <c r="F142" s="535"/>
      <c r="G142" s="767"/>
      <c r="H142" s="816"/>
      <c r="I142" s="820"/>
      <c r="J142" s="554">
        <f t="shared" si="12"/>
        <v>0</v>
      </c>
      <c r="K142" s="768">
        <f t="shared" si="9"/>
        <v>0</v>
      </c>
      <c r="L142" s="611"/>
      <c r="M142" s="137">
        <v>116</v>
      </c>
      <c r="N142" s="1160"/>
    </row>
    <row r="143" spans="1:14" ht="14.4">
      <c r="A143" s="286">
        <v>6</v>
      </c>
      <c r="B143" s="3994"/>
      <c r="C143" s="534">
        <v>956560</v>
      </c>
      <c r="D143" s="535" t="s">
        <v>368</v>
      </c>
      <c r="E143" s="536"/>
      <c r="F143" s="535"/>
      <c r="G143" s="767"/>
      <c r="H143" s="816"/>
      <c r="I143" s="820"/>
      <c r="J143" s="554">
        <f t="shared" si="12"/>
        <v>0</v>
      </c>
      <c r="K143" s="768">
        <f t="shared" si="9"/>
        <v>0</v>
      </c>
      <c r="L143" s="611"/>
      <c r="M143" s="137">
        <v>117</v>
      </c>
      <c r="N143" s="1160"/>
    </row>
    <row r="144" spans="1:14" ht="14.4">
      <c r="A144" s="286">
        <v>7</v>
      </c>
      <c r="B144" s="3994"/>
      <c r="C144" s="534">
        <v>957821</v>
      </c>
      <c r="D144" s="535" t="s">
        <v>369</v>
      </c>
      <c r="E144" s="536"/>
      <c r="F144" s="535"/>
      <c r="G144" s="767"/>
      <c r="H144" s="816"/>
      <c r="I144" s="820"/>
      <c r="J144" s="554">
        <f t="shared" si="12"/>
        <v>0</v>
      </c>
      <c r="K144" s="768">
        <f t="shared" si="9"/>
        <v>0</v>
      </c>
      <c r="L144" s="611"/>
      <c r="M144" s="137">
        <v>118</v>
      </c>
      <c r="N144" s="1160"/>
    </row>
    <row r="145" spans="1:14" ht="14.4">
      <c r="A145" s="286">
        <v>8</v>
      </c>
      <c r="B145" s="3994"/>
      <c r="C145" s="534">
        <v>923224</v>
      </c>
      <c r="D145" s="535" t="s">
        <v>370</v>
      </c>
      <c r="E145" s="536"/>
      <c r="F145" s="535"/>
      <c r="G145" s="767"/>
      <c r="H145" s="816"/>
      <c r="I145" s="820"/>
      <c r="J145" s="554">
        <f t="shared" si="12"/>
        <v>0</v>
      </c>
      <c r="K145" s="768">
        <f t="shared" si="9"/>
        <v>0</v>
      </c>
      <c r="L145" s="611"/>
      <c r="M145" s="137">
        <v>119</v>
      </c>
      <c r="N145" s="1160"/>
    </row>
    <row r="146" spans="1:14" ht="14.4">
      <c r="A146" s="286">
        <v>9</v>
      </c>
      <c r="B146" s="3994"/>
      <c r="C146" s="534">
        <v>954686</v>
      </c>
      <c r="D146" s="535" t="s">
        <v>371</v>
      </c>
      <c r="E146" s="536"/>
      <c r="F146" s="535"/>
      <c r="G146" s="767"/>
      <c r="H146" s="816"/>
      <c r="I146" s="820"/>
      <c r="J146" s="554">
        <f t="shared" si="12"/>
        <v>0</v>
      </c>
      <c r="K146" s="768">
        <f t="shared" si="9"/>
        <v>0</v>
      </c>
      <c r="L146" s="611"/>
      <c r="M146" s="137">
        <v>120</v>
      </c>
      <c r="N146" s="1160"/>
    </row>
    <row r="147" spans="1:14" ht="14.4">
      <c r="A147" s="286">
        <v>10</v>
      </c>
      <c r="B147" s="3994"/>
      <c r="C147" s="534">
        <v>956236</v>
      </c>
      <c r="D147" s="535" t="s">
        <v>372</v>
      </c>
      <c r="E147" s="536"/>
      <c r="F147" s="535"/>
      <c r="G147" s="767"/>
      <c r="H147" s="816"/>
      <c r="I147" s="820"/>
      <c r="J147" s="554">
        <f t="shared" si="12"/>
        <v>0</v>
      </c>
      <c r="K147" s="768">
        <f t="shared" si="9"/>
        <v>0</v>
      </c>
      <c r="L147" s="611"/>
      <c r="M147" s="137">
        <v>121</v>
      </c>
      <c r="N147" s="1160"/>
    </row>
    <row r="148" spans="1:14" ht="14.4">
      <c r="A148" s="286">
        <v>11</v>
      </c>
      <c r="B148" s="3994"/>
      <c r="C148" s="534">
        <v>957810</v>
      </c>
      <c r="D148" s="535" t="s">
        <v>373</v>
      </c>
      <c r="E148" s="536"/>
      <c r="F148" s="535"/>
      <c r="G148" s="767"/>
      <c r="H148" s="816"/>
      <c r="I148" s="820"/>
      <c r="J148" s="554">
        <f t="shared" si="12"/>
        <v>0</v>
      </c>
      <c r="K148" s="768">
        <f t="shared" si="9"/>
        <v>0</v>
      </c>
      <c r="L148" s="611"/>
      <c r="M148" s="137">
        <v>122</v>
      </c>
      <c r="N148" s="1160"/>
    </row>
    <row r="149" spans="1:14" ht="14.4">
      <c r="A149" s="286">
        <v>12</v>
      </c>
      <c r="B149" s="3994"/>
      <c r="C149" s="534">
        <v>30822</v>
      </c>
      <c r="D149" s="535" t="s">
        <v>374</v>
      </c>
      <c r="E149" s="536"/>
      <c r="F149" s="535"/>
      <c r="G149" s="767"/>
      <c r="H149" s="816"/>
      <c r="I149" s="820"/>
      <c r="J149" s="554">
        <f t="shared" si="12"/>
        <v>0</v>
      </c>
      <c r="K149" s="768">
        <f t="shared" si="9"/>
        <v>0</v>
      </c>
      <c r="L149" s="611"/>
      <c r="M149" s="137">
        <v>123</v>
      </c>
      <c r="N149" s="1160"/>
    </row>
    <row r="150" spans="1:14" ht="14.4">
      <c r="A150" s="286">
        <v>13</v>
      </c>
      <c r="B150" s="3994"/>
      <c r="C150" s="534">
        <v>952452</v>
      </c>
      <c r="D150" s="535" t="s">
        <v>375</v>
      </c>
      <c r="E150" s="536"/>
      <c r="F150" s="535"/>
      <c r="G150" s="767"/>
      <c r="H150" s="816"/>
      <c r="I150" s="820"/>
      <c r="J150" s="554">
        <f t="shared" si="12"/>
        <v>0</v>
      </c>
      <c r="K150" s="768">
        <f t="shared" si="9"/>
        <v>0</v>
      </c>
      <c r="L150" s="611"/>
      <c r="M150" s="137">
        <v>124</v>
      </c>
      <c r="N150" s="1160"/>
    </row>
    <row r="151" spans="1:14" ht="14.4">
      <c r="A151" s="286">
        <v>14</v>
      </c>
      <c r="B151" s="3994"/>
      <c r="C151" s="534">
        <v>951497</v>
      </c>
      <c r="D151" s="535" t="s">
        <v>376</v>
      </c>
      <c r="E151" s="536"/>
      <c r="F151" s="535"/>
      <c r="G151" s="767"/>
      <c r="H151" s="816"/>
      <c r="I151" s="820"/>
      <c r="J151" s="554">
        <f t="shared" si="12"/>
        <v>0</v>
      </c>
      <c r="K151" s="768">
        <f t="shared" si="9"/>
        <v>0</v>
      </c>
      <c r="L151" s="611"/>
      <c r="M151" s="137">
        <v>125</v>
      </c>
      <c r="N151" s="1160"/>
    </row>
    <row r="152" spans="1:14" ht="14.4">
      <c r="A152" s="286">
        <v>15</v>
      </c>
      <c r="B152" s="3994"/>
      <c r="C152" s="534">
        <v>5592</v>
      </c>
      <c r="D152" s="535" t="s">
        <v>377</v>
      </c>
      <c r="E152" s="536"/>
      <c r="F152" s="535"/>
      <c r="G152" s="767"/>
      <c r="H152" s="816"/>
      <c r="I152" s="820"/>
      <c r="J152" s="554">
        <f t="shared" si="12"/>
        <v>0</v>
      </c>
      <c r="K152" s="768">
        <f t="shared" si="9"/>
        <v>0</v>
      </c>
      <c r="L152" s="611"/>
      <c r="M152" s="137">
        <v>126</v>
      </c>
      <c r="N152" s="1160"/>
    </row>
    <row r="153" spans="1:14" ht="14.4">
      <c r="A153" s="286">
        <v>16</v>
      </c>
      <c r="B153" s="3994"/>
      <c r="C153" s="534">
        <v>952296</v>
      </c>
      <c r="D153" s="535" t="s">
        <v>378</v>
      </c>
      <c r="E153" s="536"/>
      <c r="F153" s="535"/>
      <c r="G153" s="767"/>
      <c r="H153" s="816"/>
      <c r="I153" s="820"/>
      <c r="J153" s="554">
        <f t="shared" si="12"/>
        <v>0</v>
      </c>
      <c r="K153" s="768">
        <f t="shared" si="9"/>
        <v>0</v>
      </c>
      <c r="L153" s="611"/>
      <c r="M153" s="137">
        <v>127</v>
      </c>
      <c r="N153" s="1160"/>
    </row>
    <row r="154" spans="1:14" ht="14.4">
      <c r="A154" s="286">
        <v>17</v>
      </c>
      <c r="B154" s="3994"/>
      <c r="C154" s="534">
        <v>952311</v>
      </c>
      <c r="D154" s="535" t="s">
        <v>379</v>
      </c>
      <c r="E154" s="536"/>
      <c r="F154" s="535"/>
      <c r="G154" s="767"/>
      <c r="H154" s="816"/>
      <c r="I154" s="820"/>
      <c r="J154" s="554">
        <f t="shared" si="12"/>
        <v>0</v>
      </c>
      <c r="K154" s="768">
        <f t="shared" si="9"/>
        <v>0</v>
      </c>
      <c r="L154" s="611"/>
      <c r="M154" s="137">
        <v>128</v>
      </c>
      <c r="N154" s="1160"/>
    </row>
    <row r="155" spans="1:14" ht="15" thickBot="1">
      <c r="A155" s="286">
        <v>18</v>
      </c>
      <c r="B155" s="3993"/>
      <c r="C155" s="534">
        <v>953334</v>
      </c>
      <c r="D155" s="535" t="s">
        <v>380</v>
      </c>
      <c r="E155" s="536"/>
      <c r="F155" s="535"/>
      <c r="G155" s="767"/>
      <c r="H155" s="816"/>
      <c r="I155" s="820"/>
      <c r="J155" s="554">
        <f t="shared" si="12"/>
        <v>0</v>
      </c>
      <c r="K155" s="768">
        <f t="shared" si="9"/>
        <v>0</v>
      </c>
      <c r="L155" s="611"/>
      <c r="M155" s="137">
        <v>129</v>
      </c>
      <c r="N155" s="1160"/>
    </row>
    <row r="156" spans="1:14" ht="14.4">
      <c r="A156" s="286"/>
      <c r="B156" s="3981">
        <v>2477</v>
      </c>
      <c r="C156" s="1381">
        <v>926663</v>
      </c>
      <c r="D156" s="1382" t="s">
        <v>207</v>
      </c>
      <c r="E156" s="1383">
        <v>2442</v>
      </c>
      <c r="F156" s="1382"/>
      <c r="G156" s="1384"/>
      <c r="H156" s="1385"/>
      <c r="I156" s="1386"/>
      <c r="J156" s="1387">
        <f t="shared" si="12"/>
        <v>0</v>
      </c>
      <c r="K156" s="1364">
        <f t="shared" si="9"/>
        <v>0</v>
      </c>
      <c r="L156" s="611"/>
      <c r="M156" s="137">
        <v>130</v>
      </c>
      <c r="N156" s="1159"/>
    </row>
    <row r="157" spans="1:14" ht="14.4">
      <c r="A157" s="286"/>
      <c r="B157" s="3982"/>
      <c r="C157" s="1388">
        <v>951772</v>
      </c>
      <c r="D157" s="1375" t="s">
        <v>208</v>
      </c>
      <c r="E157" s="1389">
        <v>2383</v>
      </c>
      <c r="F157" s="1375"/>
      <c r="G157" s="1390"/>
      <c r="H157" s="1377"/>
      <c r="I157" s="1378"/>
      <c r="J157" s="1379">
        <f t="shared" si="12"/>
        <v>0</v>
      </c>
      <c r="K157" s="1372">
        <f t="shared" si="9"/>
        <v>0</v>
      </c>
      <c r="L157" s="611"/>
      <c r="M157" s="137">
        <v>131</v>
      </c>
      <c r="N157" s="1160"/>
    </row>
    <row r="158" spans="1:14" ht="14.4">
      <c r="A158" s="286"/>
      <c r="B158" s="3982"/>
      <c r="C158" s="1388">
        <v>955878</v>
      </c>
      <c r="D158" s="1375" t="s">
        <v>390</v>
      </c>
      <c r="E158" s="1389">
        <v>2878</v>
      </c>
      <c r="F158" s="1375"/>
      <c r="G158" s="1390"/>
      <c r="H158" s="1377"/>
      <c r="I158" s="1378"/>
      <c r="J158" s="1379">
        <f t="shared" si="12"/>
        <v>0</v>
      </c>
      <c r="K158" s="1372">
        <f t="shared" si="9"/>
        <v>0</v>
      </c>
      <c r="L158" s="611"/>
      <c r="M158" s="137">
        <v>132</v>
      </c>
      <c r="N158" s="1160"/>
    </row>
    <row r="159" spans="1:14" ht="15" thickBot="1">
      <c r="A159" s="286"/>
      <c r="B159" s="3983"/>
      <c r="C159" s="1391">
        <v>956244</v>
      </c>
      <c r="D159" s="1392" t="s">
        <v>253</v>
      </c>
      <c r="E159" s="1393">
        <v>1714</v>
      </c>
      <c r="F159" s="1392"/>
      <c r="G159" s="1394"/>
      <c r="H159" s="1395"/>
      <c r="I159" s="1396"/>
      <c r="J159" s="1397">
        <f t="shared" si="12"/>
        <v>0</v>
      </c>
      <c r="K159" s="1373">
        <f t="shared" si="9"/>
        <v>0</v>
      </c>
      <c r="L159" s="611"/>
      <c r="M159" s="137">
        <v>133</v>
      </c>
      <c r="N159" s="1161"/>
    </row>
    <row r="160" spans="1:14" ht="14.4">
      <c r="A160" s="286"/>
      <c r="B160" s="3984">
        <v>2547</v>
      </c>
      <c r="C160" s="773">
        <v>955511</v>
      </c>
      <c r="D160" s="838" t="s">
        <v>393</v>
      </c>
      <c r="E160" s="717">
        <v>2876</v>
      </c>
      <c r="F160" s="868"/>
      <c r="G160" s="843"/>
      <c r="H160" s="846"/>
      <c r="I160" s="847"/>
      <c r="J160" s="839">
        <f t="shared" si="12"/>
        <v>0</v>
      </c>
      <c r="K160" s="840">
        <f t="shared" si="9"/>
        <v>0</v>
      </c>
      <c r="L160" s="611"/>
      <c r="M160" s="137">
        <v>134</v>
      </c>
      <c r="N160" s="1159"/>
    </row>
    <row r="161" spans="1:14" ht="14.4">
      <c r="A161" s="286"/>
      <c r="B161" s="3985"/>
      <c r="C161" s="861">
        <v>952831</v>
      </c>
      <c r="D161" s="576" t="s">
        <v>255</v>
      </c>
      <c r="E161" s="767">
        <v>2252</v>
      </c>
      <c r="F161" s="869"/>
      <c r="G161" s="845"/>
      <c r="H161" s="848"/>
      <c r="I161" s="849"/>
      <c r="J161" s="837">
        <f t="shared" si="12"/>
        <v>0</v>
      </c>
      <c r="K161" s="841">
        <f t="shared" si="9"/>
        <v>0</v>
      </c>
      <c r="L161" s="611"/>
      <c r="M161" s="137">
        <v>135</v>
      </c>
      <c r="N161" s="1160"/>
    </row>
    <row r="162" spans="1:14" ht="14.4">
      <c r="A162" s="286"/>
      <c r="B162" s="3985"/>
      <c r="C162" s="861">
        <v>926065</v>
      </c>
      <c r="D162" s="1471" t="s">
        <v>394</v>
      </c>
      <c r="E162" s="1472">
        <v>676</v>
      </c>
      <c r="F162" s="1473"/>
      <c r="G162" s="1474"/>
      <c r="H162" s="1475"/>
      <c r="I162" s="1476"/>
      <c r="J162" s="1477">
        <f t="shared" si="12"/>
        <v>0</v>
      </c>
      <c r="K162" s="1478">
        <f t="shared" si="9"/>
        <v>0</v>
      </c>
      <c r="L162" s="611"/>
      <c r="M162" s="137">
        <v>136</v>
      </c>
      <c r="N162" s="1160"/>
    </row>
    <row r="163" spans="1:14" ht="14.4">
      <c r="A163" s="286"/>
      <c r="B163" s="3985"/>
      <c r="C163" s="861">
        <v>953744</v>
      </c>
      <c r="D163" s="1471" t="s">
        <v>395</v>
      </c>
      <c r="E163" s="1472">
        <v>2267</v>
      </c>
      <c r="F163" s="1473"/>
      <c r="G163" s="1474"/>
      <c r="H163" s="1475"/>
      <c r="I163" s="1476"/>
      <c r="J163" s="1477">
        <f t="shared" si="12"/>
        <v>0</v>
      </c>
      <c r="K163" s="1478">
        <f t="shared" si="9"/>
        <v>0</v>
      </c>
      <c r="L163" s="611"/>
      <c r="M163" s="137">
        <v>137</v>
      </c>
      <c r="N163" s="1160"/>
    </row>
    <row r="164" spans="1:14" ht="14.4">
      <c r="A164" s="286"/>
      <c r="B164" s="3985"/>
      <c r="C164" s="861">
        <v>953084</v>
      </c>
      <c r="D164" s="1471" t="s">
        <v>301</v>
      </c>
      <c r="E164" s="1472">
        <v>2626</v>
      </c>
      <c r="F164" s="1473"/>
      <c r="G164" s="1474"/>
      <c r="H164" s="1475"/>
      <c r="I164" s="1476"/>
      <c r="J164" s="1477">
        <f t="shared" si="12"/>
        <v>0</v>
      </c>
      <c r="K164" s="1478">
        <f t="shared" si="9"/>
        <v>0</v>
      </c>
      <c r="L164" s="611"/>
      <c r="M164" s="137">
        <v>138</v>
      </c>
      <c r="N164" s="1160"/>
    </row>
    <row r="165" spans="1:14" ht="15" thickBot="1">
      <c r="A165" s="286"/>
      <c r="B165" s="3985"/>
      <c r="C165" s="861">
        <v>957803</v>
      </c>
      <c r="D165" s="1471" t="s">
        <v>302</v>
      </c>
      <c r="E165" s="1479">
        <v>2941</v>
      </c>
      <c r="F165" s="1473"/>
      <c r="G165" s="1474"/>
      <c r="H165" s="1475"/>
      <c r="I165" s="1476"/>
      <c r="J165" s="1477">
        <f t="shared" si="12"/>
        <v>0</v>
      </c>
      <c r="K165" s="1478">
        <f t="shared" si="9"/>
        <v>0</v>
      </c>
      <c r="L165" s="611"/>
      <c r="M165" s="137">
        <v>139</v>
      </c>
      <c r="N165" s="1161"/>
    </row>
    <row r="166" spans="1:14" ht="15" thickBot="1">
      <c r="A166" s="286"/>
      <c r="B166" s="909">
        <v>2602</v>
      </c>
      <c r="C166" s="910">
        <v>924717</v>
      </c>
      <c r="D166" s="1480" t="s">
        <v>444</v>
      </c>
      <c r="E166" s="1481">
        <v>948</v>
      </c>
      <c r="F166" s="1482"/>
      <c r="G166" s="1481"/>
      <c r="H166" s="1483"/>
      <c r="I166" s="1484"/>
      <c r="J166" s="1485">
        <f t="shared" si="12"/>
        <v>0</v>
      </c>
      <c r="K166" s="1486">
        <f t="shared" si="9"/>
        <v>0</v>
      </c>
      <c r="L166" s="611"/>
      <c r="M166" s="137">
        <v>140</v>
      </c>
      <c r="N166" s="1160"/>
    </row>
    <row r="167" spans="1:14" ht="14.4">
      <c r="A167" s="286"/>
      <c r="B167" s="3992">
        <v>2751</v>
      </c>
      <c r="C167" s="535"/>
      <c r="D167" s="1473" t="s">
        <v>403</v>
      </c>
      <c r="E167" s="1406"/>
      <c r="F167" s="1487"/>
      <c r="G167" s="1473"/>
      <c r="H167" s="1488"/>
      <c r="I167" s="1476"/>
      <c r="J167" s="1477">
        <f t="shared" si="12"/>
        <v>0</v>
      </c>
      <c r="K167" s="1478">
        <f t="shared" si="9"/>
        <v>0</v>
      </c>
      <c r="L167" s="611"/>
      <c r="M167" s="137">
        <v>141</v>
      </c>
      <c r="N167" s="1159"/>
    </row>
    <row r="168" spans="1:14" ht="14.4">
      <c r="A168" s="286"/>
      <c r="B168" s="3994"/>
      <c r="C168" s="535"/>
      <c r="D168" s="1473" t="s">
        <v>404</v>
      </c>
      <c r="E168" s="1406"/>
      <c r="F168" s="1487"/>
      <c r="G168" s="1473"/>
      <c r="H168" s="1488"/>
      <c r="I168" s="1476"/>
      <c r="J168" s="1477">
        <f t="shared" si="12"/>
        <v>0</v>
      </c>
      <c r="K168" s="1478">
        <f t="shared" si="9"/>
        <v>0</v>
      </c>
      <c r="L168" s="611"/>
      <c r="M168" s="137">
        <v>142</v>
      </c>
      <c r="N168" s="1160"/>
    </row>
    <row r="169" spans="1:14" ht="14.4">
      <c r="A169" s="286"/>
      <c r="B169" s="3994"/>
      <c r="C169" s="535"/>
      <c r="D169" s="1473" t="s">
        <v>405</v>
      </c>
      <c r="E169" s="1406"/>
      <c r="F169" s="1487"/>
      <c r="G169" s="1473"/>
      <c r="H169" s="1488"/>
      <c r="I169" s="1476"/>
      <c r="J169" s="1477">
        <f t="shared" si="12"/>
        <v>0</v>
      </c>
      <c r="K169" s="1478">
        <f t="shared" si="9"/>
        <v>0</v>
      </c>
      <c r="L169" s="611"/>
      <c r="M169" s="137">
        <v>143</v>
      </c>
      <c r="N169" s="1160"/>
    </row>
    <row r="170" spans="1:14" ht="14.4">
      <c r="A170" s="286"/>
      <c r="B170" s="3994"/>
      <c r="C170" s="535"/>
      <c r="D170" s="1473" t="s">
        <v>406</v>
      </c>
      <c r="E170" s="1406"/>
      <c r="F170" s="1487"/>
      <c r="G170" s="1473"/>
      <c r="H170" s="1488"/>
      <c r="I170" s="1476"/>
      <c r="J170" s="1477">
        <f t="shared" si="12"/>
        <v>0</v>
      </c>
      <c r="K170" s="1478">
        <f t="shared" si="9"/>
        <v>0</v>
      </c>
      <c r="L170" s="611"/>
      <c r="M170" s="137">
        <v>144</v>
      </c>
      <c r="N170" s="1160"/>
    </row>
    <row r="171" spans="1:14" ht="14.4">
      <c r="A171" s="286"/>
      <c r="B171" s="3994"/>
      <c r="C171" s="535"/>
      <c r="D171" s="1473" t="s">
        <v>212</v>
      </c>
      <c r="E171" s="1406"/>
      <c r="F171" s="1487"/>
      <c r="G171" s="1473"/>
      <c r="H171" s="1488"/>
      <c r="I171" s="1476"/>
      <c r="J171" s="1477">
        <f t="shared" si="12"/>
        <v>0</v>
      </c>
      <c r="K171" s="1478">
        <f t="shared" si="9"/>
        <v>0</v>
      </c>
      <c r="L171" s="611"/>
      <c r="M171" s="137">
        <v>145</v>
      </c>
      <c r="N171" s="1160"/>
    </row>
    <row r="172" spans="1:14" ht="14.4">
      <c r="A172" s="286"/>
      <c r="B172" s="3994"/>
      <c r="C172" s="535"/>
      <c r="D172" s="1473" t="s">
        <v>407</v>
      </c>
      <c r="E172" s="1406"/>
      <c r="F172" s="1487"/>
      <c r="G172" s="1473"/>
      <c r="H172" s="1488"/>
      <c r="I172" s="1476"/>
      <c r="J172" s="1477">
        <f t="shared" si="12"/>
        <v>0</v>
      </c>
      <c r="K172" s="1478">
        <f t="shared" si="9"/>
        <v>0</v>
      </c>
      <c r="L172" s="611"/>
      <c r="M172" s="137">
        <v>146</v>
      </c>
      <c r="N172" s="1160"/>
    </row>
    <row r="173" spans="1:14" ht="14.4">
      <c r="A173" s="286"/>
      <c r="B173" s="3994"/>
      <c r="C173" s="535"/>
      <c r="D173" s="1473" t="s">
        <v>408</v>
      </c>
      <c r="E173" s="1406"/>
      <c r="F173" s="1487"/>
      <c r="G173" s="1473"/>
      <c r="H173" s="1488"/>
      <c r="I173" s="1476"/>
      <c r="J173" s="1477">
        <f t="shared" si="12"/>
        <v>0</v>
      </c>
      <c r="K173" s="1478">
        <f t="shared" si="9"/>
        <v>0</v>
      </c>
      <c r="L173" s="611"/>
      <c r="M173" s="137">
        <v>147</v>
      </c>
      <c r="N173" s="1160"/>
    </row>
    <row r="174" spans="1:14" ht="15" thickBot="1">
      <c r="A174" s="286"/>
      <c r="B174" s="3993"/>
      <c r="C174" s="535"/>
      <c r="D174" s="1473" t="s">
        <v>323</v>
      </c>
      <c r="E174" s="1489"/>
      <c r="F174" s="1490"/>
      <c r="G174" s="1491"/>
      <c r="H174" s="1492"/>
      <c r="I174" s="1493"/>
      <c r="J174" s="1494">
        <f t="shared" si="12"/>
        <v>0</v>
      </c>
      <c r="K174" s="1495">
        <f t="shared" si="9"/>
        <v>0</v>
      </c>
      <c r="L174" s="611"/>
      <c r="M174" s="137">
        <v>148</v>
      </c>
      <c r="N174" s="1161"/>
    </row>
    <row r="175" spans="1:14" ht="14.4">
      <c r="A175" s="286"/>
      <c r="B175" s="3994">
        <v>2794</v>
      </c>
      <c r="C175" s="429"/>
      <c r="D175" s="1496" t="s">
        <v>415</v>
      </c>
      <c r="E175" s="1497"/>
      <c r="F175" s="1498"/>
      <c r="G175" s="1499"/>
      <c r="H175" s="1500"/>
      <c r="I175" s="1501"/>
      <c r="J175" s="1502">
        <f t="shared" si="12"/>
        <v>0</v>
      </c>
      <c r="K175" s="1503">
        <f t="shared" si="9"/>
        <v>0</v>
      </c>
      <c r="L175" s="611"/>
      <c r="M175" s="137">
        <v>149</v>
      </c>
      <c r="N175" s="1159"/>
    </row>
    <row r="176" spans="1:14" ht="14.4">
      <c r="A176" s="286"/>
      <c r="B176" s="3994"/>
      <c r="C176" s="535"/>
      <c r="D176" s="1473" t="s">
        <v>416</v>
      </c>
      <c r="E176" s="1472"/>
      <c r="F176" s="1487"/>
      <c r="G176" s="1471"/>
      <c r="H176" s="1475"/>
      <c r="I176" s="1488"/>
      <c r="J176" s="746">
        <f t="shared" si="12"/>
        <v>0</v>
      </c>
      <c r="K176" s="1478">
        <f t="shared" si="9"/>
        <v>0</v>
      </c>
      <c r="L176" s="611"/>
      <c r="M176" s="137">
        <v>150</v>
      </c>
      <c r="N176" s="1160"/>
    </row>
    <row r="177" spans="1:14" ht="14.4">
      <c r="A177" s="286"/>
      <c r="B177" s="3994"/>
      <c r="C177" s="535"/>
      <c r="D177" s="1473" t="s">
        <v>417</v>
      </c>
      <c r="E177" s="1472"/>
      <c r="F177" s="1487"/>
      <c r="G177" s="1471"/>
      <c r="H177" s="1475"/>
      <c r="I177" s="1488"/>
      <c r="J177" s="746">
        <f t="shared" si="12"/>
        <v>0</v>
      </c>
      <c r="K177" s="1478">
        <f t="shared" si="9"/>
        <v>0</v>
      </c>
      <c r="L177" s="611"/>
      <c r="M177" s="137">
        <v>151</v>
      </c>
      <c r="N177" s="1160"/>
    </row>
    <row r="178" spans="1:14" ht="14.4">
      <c r="A178" s="286"/>
      <c r="B178" s="3994"/>
      <c r="C178" s="535"/>
      <c r="D178" s="1473" t="s">
        <v>418</v>
      </c>
      <c r="E178" s="1472"/>
      <c r="F178" s="1487"/>
      <c r="G178" s="1471"/>
      <c r="H178" s="1475"/>
      <c r="I178" s="1488"/>
      <c r="J178" s="746">
        <f t="shared" si="12"/>
        <v>0</v>
      </c>
      <c r="K178" s="1478">
        <f t="shared" si="9"/>
        <v>0</v>
      </c>
      <c r="L178" s="611"/>
      <c r="M178" s="137">
        <v>152</v>
      </c>
      <c r="N178" s="1160"/>
    </row>
    <row r="179" spans="1:14" ht="14.4">
      <c r="A179" s="286"/>
      <c r="B179" s="3994"/>
      <c r="C179" s="1374"/>
      <c r="D179" s="1504" t="s">
        <v>419</v>
      </c>
      <c r="E179" s="1504"/>
      <c r="F179" s="1411"/>
      <c r="G179" s="1412"/>
      <c r="H179" s="1505"/>
      <c r="I179" s="1506"/>
      <c r="J179" s="1416">
        <f t="shared" si="12"/>
        <v>0</v>
      </c>
      <c r="K179" s="1417">
        <f t="shared" si="9"/>
        <v>0</v>
      </c>
      <c r="L179" s="1380"/>
      <c r="M179" s="137">
        <v>153</v>
      </c>
      <c r="N179" s="1160"/>
    </row>
    <row r="180" spans="1:14" ht="14.4">
      <c r="A180" s="286"/>
      <c r="B180" s="3994"/>
      <c r="C180" s="535"/>
      <c r="D180" s="1473" t="s">
        <v>420</v>
      </c>
      <c r="E180" s="1472"/>
      <c r="F180" s="1487"/>
      <c r="G180" s="1471"/>
      <c r="H180" s="1475"/>
      <c r="I180" s="1488"/>
      <c r="J180" s="746">
        <f t="shared" si="12"/>
        <v>0</v>
      </c>
      <c r="K180" s="1478">
        <f t="shared" si="9"/>
        <v>0</v>
      </c>
      <c r="L180" s="611"/>
      <c r="M180" s="137">
        <v>154</v>
      </c>
      <c r="N180" s="1160"/>
    </row>
    <row r="181" spans="1:14" ht="14.4">
      <c r="A181" s="286"/>
      <c r="B181" s="3994"/>
      <c r="C181" s="535"/>
      <c r="D181" s="1473" t="s">
        <v>421</v>
      </c>
      <c r="E181" s="1472"/>
      <c r="F181" s="1487"/>
      <c r="G181" s="1471"/>
      <c r="H181" s="1475"/>
      <c r="I181" s="1488"/>
      <c r="J181" s="746">
        <f t="shared" si="12"/>
        <v>0</v>
      </c>
      <c r="K181" s="1478">
        <f t="shared" si="9"/>
        <v>0</v>
      </c>
      <c r="L181" s="611"/>
      <c r="M181" s="137">
        <v>155</v>
      </c>
      <c r="N181" s="1160"/>
    </row>
    <row r="182" spans="1:14" ht="14.4">
      <c r="A182" s="286"/>
      <c r="B182" s="3994"/>
      <c r="C182" s="535"/>
      <c r="D182" s="1473" t="s">
        <v>422</v>
      </c>
      <c r="E182" s="1472"/>
      <c r="F182" s="1487"/>
      <c r="G182" s="1471"/>
      <c r="H182" s="1475"/>
      <c r="I182" s="1488"/>
      <c r="J182" s="746">
        <f t="shared" si="12"/>
        <v>0</v>
      </c>
      <c r="K182" s="1478">
        <f t="shared" si="9"/>
        <v>0</v>
      </c>
      <c r="L182" s="611"/>
      <c r="M182" s="137">
        <v>156</v>
      </c>
      <c r="N182" s="1160"/>
    </row>
    <row r="183" spans="1:14" ht="14.4">
      <c r="A183" s="286"/>
      <c r="B183" s="3994"/>
      <c r="C183" s="535"/>
      <c r="D183" s="1473" t="s">
        <v>423</v>
      </c>
      <c r="E183" s="1472"/>
      <c r="F183" s="1487"/>
      <c r="G183" s="1471"/>
      <c r="H183" s="1475"/>
      <c r="I183" s="1488"/>
      <c r="J183" s="746">
        <f t="shared" si="12"/>
        <v>0</v>
      </c>
      <c r="K183" s="1478">
        <f t="shared" si="12"/>
        <v>0</v>
      </c>
      <c r="L183" s="611"/>
      <c r="M183" s="137">
        <v>157</v>
      </c>
      <c r="N183" s="1160"/>
    </row>
    <row r="184" spans="1:14" ht="14.4">
      <c r="A184" s="286"/>
      <c r="B184" s="3994"/>
      <c r="C184" s="535"/>
      <c r="D184" s="869" t="s">
        <v>424</v>
      </c>
      <c r="E184" s="767"/>
      <c r="F184" s="844"/>
      <c r="G184" s="576"/>
      <c r="H184" s="848"/>
      <c r="I184" s="836"/>
      <c r="J184" s="883">
        <f t="shared" si="12"/>
        <v>0</v>
      </c>
      <c r="K184" s="841">
        <f t="shared" si="12"/>
        <v>0</v>
      </c>
      <c r="L184" s="611"/>
      <c r="M184" s="137">
        <v>158</v>
      </c>
      <c r="N184" s="1160"/>
    </row>
    <row r="185" spans="1:14" ht="14.4">
      <c r="A185" s="286"/>
      <c r="B185" s="3994"/>
      <c r="C185" s="535"/>
      <c r="D185" s="869" t="s">
        <v>425</v>
      </c>
      <c r="E185" s="767"/>
      <c r="F185" s="844"/>
      <c r="G185" s="576"/>
      <c r="H185" s="848"/>
      <c r="I185" s="836"/>
      <c r="J185" s="883">
        <f t="shared" si="12"/>
        <v>0</v>
      </c>
      <c r="K185" s="841">
        <f t="shared" si="12"/>
        <v>0</v>
      </c>
      <c r="L185" s="611"/>
      <c r="M185" s="137">
        <v>159</v>
      </c>
      <c r="N185" s="1160"/>
    </row>
    <row r="186" spans="1:14" ht="14.4">
      <c r="A186" s="286"/>
      <c r="B186" s="3994"/>
      <c r="C186" s="535"/>
      <c r="D186" s="869" t="s">
        <v>426</v>
      </c>
      <c r="E186" s="767"/>
      <c r="F186" s="844"/>
      <c r="G186" s="576"/>
      <c r="H186" s="848"/>
      <c r="I186" s="836"/>
      <c r="J186" s="883">
        <f t="shared" si="12"/>
        <v>0</v>
      </c>
      <c r="K186" s="841">
        <f t="shared" si="12"/>
        <v>0</v>
      </c>
      <c r="L186" s="611"/>
      <c r="M186" s="137">
        <v>160</v>
      </c>
      <c r="N186" s="1160"/>
    </row>
    <row r="187" spans="1:14" ht="14.4">
      <c r="A187" s="286"/>
      <c r="B187" s="3994"/>
      <c r="C187" s="535"/>
      <c r="D187" s="869" t="s">
        <v>427</v>
      </c>
      <c r="E187" s="767"/>
      <c r="F187" s="844"/>
      <c r="G187" s="576"/>
      <c r="H187" s="848"/>
      <c r="I187" s="836"/>
      <c r="J187" s="883">
        <f t="shared" si="12"/>
        <v>0</v>
      </c>
      <c r="K187" s="841">
        <f t="shared" si="12"/>
        <v>0</v>
      </c>
      <c r="L187" s="611"/>
      <c r="M187" s="137">
        <v>161</v>
      </c>
      <c r="N187" s="1160"/>
    </row>
    <row r="188" spans="1:14" ht="14.4">
      <c r="A188" s="286"/>
      <c r="B188" s="3994"/>
      <c r="C188" s="535"/>
      <c r="D188" s="869" t="s">
        <v>428</v>
      </c>
      <c r="E188" s="767"/>
      <c r="F188" s="844"/>
      <c r="G188" s="576"/>
      <c r="H188" s="848"/>
      <c r="I188" s="836"/>
      <c r="J188" s="883">
        <f t="shared" si="12"/>
        <v>0</v>
      </c>
      <c r="K188" s="841">
        <f t="shared" si="12"/>
        <v>0</v>
      </c>
      <c r="L188" s="611"/>
      <c r="M188" s="137">
        <v>162</v>
      </c>
      <c r="N188" s="1160"/>
    </row>
    <row r="189" spans="1:14" ht="14.4">
      <c r="A189" s="286"/>
      <c r="B189" s="3994"/>
      <c r="C189" s="535"/>
      <c r="D189" s="869" t="s">
        <v>429</v>
      </c>
      <c r="E189" s="767"/>
      <c r="F189" s="844"/>
      <c r="G189" s="576"/>
      <c r="H189" s="848"/>
      <c r="I189" s="836"/>
      <c r="J189" s="883">
        <f t="shared" si="12"/>
        <v>0</v>
      </c>
      <c r="K189" s="841">
        <f t="shared" si="12"/>
        <v>0</v>
      </c>
      <c r="L189" s="611"/>
      <c r="M189" s="137">
        <v>163</v>
      </c>
      <c r="N189" s="1160"/>
    </row>
    <row r="190" spans="1:14" ht="14.4">
      <c r="A190" s="286"/>
      <c r="B190" s="3994"/>
      <c r="C190" s="535"/>
      <c r="D190" s="869" t="s">
        <v>211</v>
      </c>
      <c r="E190" s="767"/>
      <c r="F190" s="844"/>
      <c r="G190" s="576"/>
      <c r="H190" s="848"/>
      <c r="I190" s="836"/>
      <c r="J190" s="883">
        <f t="shared" si="12"/>
        <v>0</v>
      </c>
      <c r="K190" s="841">
        <f t="shared" si="12"/>
        <v>0</v>
      </c>
      <c r="L190" s="611"/>
      <c r="M190" s="137">
        <v>164</v>
      </c>
      <c r="N190" s="1160"/>
    </row>
    <row r="191" spans="1:14" ht="14.4">
      <c r="A191" s="286"/>
      <c r="B191" s="3994"/>
      <c r="C191" s="535"/>
      <c r="D191" s="869" t="s">
        <v>430</v>
      </c>
      <c r="E191" s="767"/>
      <c r="F191" s="844"/>
      <c r="G191" s="576"/>
      <c r="H191" s="848"/>
      <c r="I191" s="836"/>
      <c r="J191" s="883">
        <f t="shared" si="12"/>
        <v>0</v>
      </c>
      <c r="K191" s="841">
        <f t="shared" si="12"/>
        <v>0</v>
      </c>
      <c r="L191" s="611"/>
      <c r="M191" s="137">
        <v>165</v>
      </c>
      <c r="N191" s="1160"/>
    </row>
    <row r="192" spans="1:14" ht="14.4">
      <c r="A192" s="286"/>
      <c r="B192" s="3994"/>
      <c r="C192" s="535"/>
      <c r="D192" s="869" t="s">
        <v>431</v>
      </c>
      <c r="E192" s="767"/>
      <c r="F192" s="844"/>
      <c r="G192" s="576"/>
      <c r="H192" s="848"/>
      <c r="I192" s="836"/>
      <c r="J192" s="883">
        <f t="shared" si="12"/>
        <v>0</v>
      </c>
      <c r="K192" s="841">
        <f t="shared" si="12"/>
        <v>0</v>
      </c>
      <c r="L192" s="611"/>
      <c r="M192" s="137">
        <v>166</v>
      </c>
      <c r="N192" s="1160"/>
    </row>
    <row r="193" spans="1:14" ht="14.4">
      <c r="A193" s="286"/>
      <c r="B193" s="3994"/>
      <c r="C193" s="535"/>
      <c r="D193" s="869" t="s">
        <v>431</v>
      </c>
      <c r="E193" s="767"/>
      <c r="F193" s="844"/>
      <c r="G193" s="576"/>
      <c r="H193" s="848"/>
      <c r="I193" s="836"/>
      <c r="J193" s="883">
        <f t="shared" si="12"/>
        <v>0</v>
      </c>
      <c r="K193" s="841">
        <f t="shared" si="12"/>
        <v>0</v>
      </c>
      <c r="L193" s="611"/>
      <c r="M193" s="137">
        <v>167</v>
      </c>
      <c r="N193" s="1160"/>
    </row>
    <row r="194" spans="1:14" ht="14.4">
      <c r="A194" s="286"/>
      <c r="B194" s="3994"/>
      <c r="C194" s="535"/>
      <c r="D194" s="869" t="s">
        <v>432</v>
      </c>
      <c r="E194" s="767"/>
      <c r="F194" s="844"/>
      <c r="G194" s="576"/>
      <c r="H194" s="848"/>
      <c r="I194" s="836"/>
      <c r="J194" s="883">
        <f t="shared" si="12"/>
        <v>0</v>
      </c>
      <c r="K194" s="841">
        <f t="shared" si="12"/>
        <v>0</v>
      </c>
      <c r="L194" s="611"/>
      <c r="M194" s="137">
        <v>168</v>
      </c>
      <c r="N194" s="1160"/>
    </row>
    <row r="195" spans="1:14" ht="15" thickBot="1">
      <c r="A195" s="286"/>
      <c r="B195" s="3993"/>
      <c r="C195" s="535"/>
      <c r="D195" s="869" t="s">
        <v>433</v>
      </c>
      <c r="E195" s="767"/>
      <c r="F195" s="844"/>
      <c r="G195" s="576"/>
      <c r="H195" s="848"/>
      <c r="I195" s="836"/>
      <c r="J195" s="883">
        <f t="shared" si="12"/>
        <v>0</v>
      </c>
      <c r="K195" s="841">
        <f t="shared" si="12"/>
        <v>0</v>
      </c>
      <c r="L195" s="611"/>
      <c r="M195" s="137">
        <v>169</v>
      </c>
      <c r="N195" s="1161"/>
    </row>
    <row r="196" spans="1:14" ht="14.4">
      <c r="A196" s="286"/>
      <c r="B196" s="913">
        <v>2879</v>
      </c>
      <c r="C196" s="717">
        <v>6466</v>
      </c>
      <c r="D196" s="868" t="s">
        <v>447</v>
      </c>
      <c r="E196" s="717">
        <v>327</v>
      </c>
      <c r="F196" s="842"/>
      <c r="G196" s="843"/>
      <c r="H196" s="846"/>
      <c r="I196" s="847"/>
      <c r="J196" s="882">
        <f t="shared" ref="J196:J211" si="13">+F196-H196</f>
        <v>0</v>
      </c>
      <c r="K196" s="840">
        <f t="shared" ref="K196:K211" si="14">+G196-I196</f>
        <v>0</v>
      </c>
      <c r="L196" s="611"/>
      <c r="M196" s="137">
        <v>170</v>
      </c>
      <c r="N196" s="1160"/>
    </row>
    <row r="197" spans="1:14" ht="14.4">
      <c r="A197" s="286"/>
      <c r="B197" s="914">
        <v>2879</v>
      </c>
      <c r="C197" s="767">
        <v>913375</v>
      </c>
      <c r="D197" s="869" t="s">
        <v>448</v>
      </c>
      <c r="E197" s="767">
        <v>1076</v>
      </c>
      <c r="F197" s="844"/>
      <c r="G197" s="845"/>
      <c r="H197" s="848"/>
      <c r="I197" s="849"/>
      <c r="J197" s="883">
        <f t="shared" si="13"/>
        <v>0</v>
      </c>
      <c r="K197" s="841">
        <f t="shared" si="14"/>
        <v>0</v>
      </c>
      <c r="L197" s="611"/>
      <c r="M197" s="137">
        <v>171</v>
      </c>
      <c r="N197" s="1160"/>
    </row>
    <row r="198" spans="1:14" ht="14.4">
      <c r="A198" s="286"/>
      <c r="B198" s="914">
        <v>2879</v>
      </c>
      <c r="C198" s="767">
        <v>954465</v>
      </c>
      <c r="D198" s="869" t="s">
        <v>449</v>
      </c>
      <c r="E198" s="767">
        <v>1311</v>
      </c>
      <c r="F198" s="844"/>
      <c r="G198" s="845"/>
      <c r="H198" s="848"/>
      <c r="I198" s="849"/>
      <c r="J198" s="883">
        <f t="shared" si="13"/>
        <v>0</v>
      </c>
      <c r="K198" s="841">
        <f t="shared" si="14"/>
        <v>0</v>
      </c>
      <c r="L198" s="611"/>
      <c r="M198" s="137">
        <v>172</v>
      </c>
      <c r="N198" s="1160"/>
    </row>
    <row r="199" spans="1:14" ht="14.4">
      <c r="A199" s="286"/>
      <c r="B199" s="914">
        <v>2879</v>
      </c>
      <c r="C199" s="767">
        <v>922996</v>
      </c>
      <c r="D199" s="869" t="s">
        <v>450</v>
      </c>
      <c r="E199" s="767">
        <v>2360</v>
      </c>
      <c r="F199" s="844"/>
      <c r="G199" s="845"/>
      <c r="H199" s="848"/>
      <c r="I199" s="849"/>
      <c r="J199" s="883">
        <f t="shared" si="13"/>
        <v>0</v>
      </c>
      <c r="K199" s="841">
        <f t="shared" si="14"/>
        <v>0</v>
      </c>
      <c r="L199" s="611"/>
      <c r="M199" s="137">
        <v>173</v>
      </c>
      <c r="N199" s="1160"/>
    </row>
    <row r="200" spans="1:14" ht="14.4">
      <c r="A200" s="286"/>
      <c r="B200" s="914">
        <v>2879</v>
      </c>
      <c r="C200" s="767">
        <v>926655</v>
      </c>
      <c r="D200" s="869" t="s">
        <v>233</v>
      </c>
      <c r="E200" s="767">
        <v>2393</v>
      </c>
      <c r="F200" s="844"/>
      <c r="G200" s="845"/>
      <c r="H200" s="848"/>
      <c r="I200" s="849"/>
      <c r="J200" s="883">
        <f t="shared" si="13"/>
        <v>0</v>
      </c>
      <c r="K200" s="841">
        <f t="shared" si="14"/>
        <v>0</v>
      </c>
      <c r="L200" s="611"/>
      <c r="M200" s="137">
        <v>174</v>
      </c>
      <c r="N200" s="1160"/>
    </row>
    <row r="201" spans="1:14" ht="14.4">
      <c r="A201" s="286"/>
      <c r="B201" s="914">
        <v>2879</v>
      </c>
      <c r="C201" s="767">
        <v>924619</v>
      </c>
      <c r="D201" s="869" t="s">
        <v>451</v>
      </c>
      <c r="E201" s="767">
        <v>2583</v>
      </c>
      <c r="F201" s="844"/>
      <c r="G201" s="845"/>
      <c r="H201" s="848"/>
      <c r="I201" s="849"/>
      <c r="J201" s="883">
        <f t="shared" si="13"/>
        <v>0</v>
      </c>
      <c r="K201" s="841">
        <f t="shared" si="14"/>
        <v>0</v>
      </c>
      <c r="L201" s="611"/>
      <c r="M201" s="137">
        <v>175</v>
      </c>
      <c r="N201" s="1160"/>
    </row>
    <row r="202" spans="1:14" ht="14.4">
      <c r="A202" s="286"/>
      <c r="B202" s="914">
        <v>2879</v>
      </c>
      <c r="C202" s="767">
        <v>950846</v>
      </c>
      <c r="D202" s="869" t="s">
        <v>452</v>
      </c>
      <c r="E202" s="767">
        <v>2176</v>
      </c>
      <c r="F202" s="844"/>
      <c r="G202" s="845"/>
      <c r="H202" s="848"/>
      <c r="I202" s="849"/>
      <c r="J202" s="883">
        <f t="shared" si="13"/>
        <v>0</v>
      </c>
      <c r="K202" s="841">
        <f t="shared" si="14"/>
        <v>0</v>
      </c>
      <c r="L202" s="611"/>
      <c r="M202" s="137">
        <v>176</v>
      </c>
      <c r="N202" s="1160"/>
    </row>
    <row r="203" spans="1:14" ht="14.4">
      <c r="A203" s="286"/>
      <c r="B203" s="914">
        <v>2879</v>
      </c>
      <c r="C203" s="767">
        <v>926663</v>
      </c>
      <c r="D203" s="869" t="s">
        <v>207</v>
      </c>
      <c r="E203" s="767">
        <v>2442</v>
      </c>
      <c r="F203" s="844"/>
      <c r="G203" s="845"/>
      <c r="H203" s="848"/>
      <c r="I203" s="849"/>
      <c r="J203" s="883">
        <f t="shared" si="13"/>
        <v>0</v>
      </c>
      <c r="K203" s="841">
        <f t="shared" si="14"/>
        <v>0</v>
      </c>
      <c r="L203" s="611"/>
      <c r="M203" s="137">
        <v>177</v>
      </c>
      <c r="N203" s="1160"/>
    </row>
    <row r="204" spans="1:14" ht="14.4">
      <c r="A204" s="286"/>
      <c r="B204" s="914">
        <v>2879</v>
      </c>
      <c r="C204" s="767">
        <v>952355</v>
      </c>
      <c r="D204" s="869" t="s">
        <v>453</v>
      </c>
      <c r="E204" s="767">
        <v>2761</v>
      </c>
      <c r="F204" s="844"/>
      <c r="G204" s="845"/>
      <c r="H204" s="848"/>
      <c r="I204" s="849"/>
      <c r="J204" s="883">
        <f t="shared" si="13"/>
        <v>0</v>
      </c>
      <c r="K204" s="841">
        <f t="shared" si="14"/>
        <v>0</v>
      </c>
      <c r="L204" s="611"/>
      <c r="M204" s="137">
        <v>178</v>
      </c>
      <c r="N204" s="1160"/>
    </row>
    <row r="205" spans="1:14" ht="14.4">
      <c r="A205" s="286"/>
      <c r="B205" s="914">
        <v>2879</v>
      </c>
      <c r="C205" s="767">
        <v>951349</v>
      </c>
      <c r="D205" s="869" t="s">
        <v>358</v>
      </c>
      <c r="E205" s="767">
        <v>1352</v>
      </c>
      <c r="F205" s="844"/>
      <c r="G205" s="845"/>
      <c r="H205" s="848"/>
      <c r="I205" s="849"/>
      <c r="J205" s="883">
        <f t="shared" si="13"/>
        <v>0</v>
      </c>
      <c r="K205" s="841">
        <f t="shared" si="14"/>
        <v>0</v>
      </c>
      <c r="L205" s="611"/>
      <c r="M205" s="137">
        <v>179</v>
      </c>
      <c r="N205" s="1160"/>
    </row>
    <row r="206" spans="1:14" ht="15" thickBot="1">
      <c r="A206" s="286"/>
      <c r="B206" s="1151">
        <v>2879</v>
      </c>
      <c r="C206" s="767">
        <v>951633</v>
      </c>
      <c r="D206" s="869" t="s">
        <v>357</v>
      </c>
      <c r="E206" s="767">
        <v>602</v>
      </c>
      <c r="F206" s="844"/>
      <c r="G206" s="845"/>
      <c r="H206" s="848"/>
      <c r="I206" s="849"/>
      <c r="J206" s="883">
        <f>+F206-H206</f>
        <v>0</v>
      </c>
      <c r="K206" s="841">
        <f t="shared" si="14"/>
        <v>0</v>
      </c>
      <c r="L206" s="611"/>
      <c r="M206" s="137">
        <v>180</v>
      </c>
      <c r="N206" s="1161"/>
    </row>
    <row r="207" spans="1:14" s="1150" customFormat="1" ht="14.4">
      <c r="A207" s="286"/>
      <c r="B207" s="1357">
        <v>3137</v>
      </c>
      <c r="C207" s="1358">
        <v>30822</v>
      </c>
      <c r="D207" s="1359" t="s">
        <v>374</v>
      </c>
      <c r="E207" s="1358">
        <v>1209</v>
      </c>
      <c r="F207" s="1360"/>
      <c r="G207" s="1360"/>
      <c r="H207" s="1361"/>
      <c r="I207" s="1362"/>
      <c r="J207" s="1363">
        <f t="shared" si="13"/>
        <v>0</v>
      </c>
      <c r="K207" s="1364">
        <f t="shared" si="14"/>
        <v>0</v>
      </c>
      <c r="L207" s="611"/>
      <c r="M207" s="137">
        <v>181</v>
      </c>
      <c r="N207" s="1160"/>
    </row>
    <row r="208" spans="1:14" s="1150" customFormat="1" ht="14.4">
      <c r="A208" s="286"/>
      <c r="B208" s="1365">
        <v>3137</v>
      </c>
      <c r="C208" s="1366">
        <v>952452</v>
      </c>
      <c r="D208" s="1367" t="s">
        <v>511</v>
      </c>
      <c r="E208" s="1366">
        <v>401</v>
      </c>
      <c r="F208" s="1368"/>
      <c r="G208" s="1368"/>
      <c r="H208" s="1369"/>
      <c r="I208" s="1370"/>
      <c r="J208" s="1371">
        <f t="shared" si="13"/>
        <v>0</v>
      </c>
      <c r="K208" s="1372">
        <f t="shared" si="14"/>
        <v>0</v>
      </c>
      <c r="L208" s="611"/>
      <c r="M208" s="137">
        <v>182</v>
      </c>
      <c r="N208" s="1160"/>
    </row>
    <row r="209" spans="1:15" s="1150" customFormat="1" ht="14.4">
      <c r="A209" s="286"/>
      <c r="B209" s="1365">
        <v>3137</v>
      </c>
      <c r="C209" s="1366">
        <v>5592</v>
      </c>
      <c r="D209" s="1367" t="s">
        <v>377</v>
      </c>
      <c r="E209" s="1366">
        <v>495</v>
      </c>
      <c r="F209" s="1368"/>
      <c r="G209" s="1368"/>
      <c r="H209" s="1369"/>
      <c r="I209" s="1370"/>
      <c r="J209" s="1371">
        <f t="shared" si="13"/>
        <v>0</v>
      </c>
      <c r="K209" s="1372">
        <f t="shared" si="14"/>
        <v>0</v>
      </c>
      <c r="L209" s="611"/>
      <c r="M209" s="137">
        <v>183</v>
      </c>
      <c r="N209" s="1160"/>
    </row>
    <row r="210" spans="1:15" s="1150" customFormat="1" ht="14.4">
      <c r="A210" s="286"/>
      <c r="B210" s="1365">
        <v>3137</v>
      </c>
      <c r="C210" s="1366">
        <v>952296</v>
      </c>
      <c r="D210" s="1367" t="s">
        <v>512</v>
      </c>
      <c r="E210" s="1366">
        <v>706</v>
      </c>
      <c r="F210" s="1368"/>
      <c r="G210" s="1368"/>
      <c r="H210" s="1369"/>
      <c r="I210" s="1370"/>
      <c r="J210" s="1507">
        <f t="shared" si="13"/>
        <v>0</v>
      </c>
      <c r="K210" s="1372">
        <f t="shared" si="14"/>
        <v>0</v>
      </c>
      <c r="L210" s="611"/>
      <c r="M210" s="137">
        <v>184</v>
      </c>
      <c r="N210" s="1160"/>
    </row>
    <row r="211" spans="1:15" s="1150" customFormat="1" ht="15" thickBot="1">
      <c r="A211" s="286"/>
      <c r="B211" s="1365">
        <v>3137</v>
      </c>
      <c r="C211" s="1366">
        <v>952311</v>
      </c>
      <c r="D211" s="1367" t="s">
        <v>379</v>
      </c>
      <c r="E211" s="1366">
        <v>574</v>
      </c>
      <c r="F211" s="1368"/>
      <c r="G211" s="1368"/>
      <c r="H211" s="1369"/>
      <c r="I211" s="1370"/>
      <c r="J211" s="1508">
        <f t="shared" si="13"/>
        <v>0</v>
      </c>
      <c r="K211" s="1373">
        <f t="shared" si="14"/>
        <v>0</v>
      </c>
      <c r="L211" s="611"/>
      <c r="M211" s="137">
        <v>185</v>
      </c>
      <c r="N211" s="1160"/>
    </row>
    <row r="212" spans="1:15" ht="15" thickBot="1">
      <c r="A212" s="137"/>
      <c r="B212" s="540">
        <v>1674</v>
      </c>
      <c r="C212" s="769"/>
      <c r="D212" s="769" t="s">
        <v>312</v>
      </c>
      <c r="E212" s="769"/>
      <c r="F212" s="1232"/>
      <c r="G212" s="1232"/>
      <c r="H212" s="911"/>
      <c r="I212" s="912"/>
      <c r="J212" s="1510">
        <f t="shared" ref="J212:K215" si="15">+F212-H212</f>
        <v>0</v>
      </c>
      <c r="K212" s="1233">
        <f t="shared" si="15"/>
        <v>0</v>
      </c>
      <c r="L212" s="611"/>
      <c r="M212" s="137">
        <v>186</v>
      </c>
      <c r="N212" s="1160"/>
    </row>
    <row r="213" spans="1:15" ht="42.6" thickBot="1">
      <c r="A213" s="137"/>
      <c r="B213" s="534">
        <v>954</v>
      </c>
      <c r="C213" s="534">
        <v>15</v>
      </c>
      <c r="D213" s="767" t="s">
        <v>242</v>
      </c>
      <c r="E213" s="536">
        <v>15</v>
      </c>
      <c r="F213" s="1165"/>
      <c r="G213" s="1166"/>
      <c r="H213" s="1167"/>
      <c r="I213" s="1168"/>
      <c r="J213" s="1509">
        <f t="shared" si="15"/>
        <v>0</v>
      </c>
      <c r="K213" s="1169">
        <f t="shared" si="15"/>
        <v>0</v>
      </c>
      <c r="L213" s="137"/>
      <c r="M213" s="137">
        <v>187</v>
      </c>
      <c r="N213" s="1160"/>
    </row>
    <row r="214" spans="1:15" ht="46.5" customHeight="1" thickBot="1">
      <c r="A214" s="137"/>
      <c r="B214" s="540">
        <v>954</v>
      </c>
      <c r="C214" s="540">
        <v>30</v>
      </c>
      <c r="D214" s="769" t="s">
        <v>243</v>
      </c>
      <c r="E214" s="541">
        <v>30</v>
      </c>
      <c r="F214" s="796"/>
      <c r="G214" s="870"/>
      <c r="H214" s="821"/>
      <c r="I214" s="822"/>
      <c r="J214" s="862">
        <f t="shared" si="15"/>
        <v>0</v>
      </c>
      <c r="K214" s="863">
        <f t="shared" si="15"/>
        <v>0</v>
      </c>
      <c r="L214" s="611"/>
      <c r="M214" s="137">
        <v>188</v>
      </c>
      <c r="N214" s="1160"/>
    </row>
    <row r="215" spans="1:15" ht="15" thickBot="1">
      <c r="A215" s="137"/>
      <c r="B215" s="540">
        <v>2794</v>
      </c>
      <c r="C215" s="3999" t="s">
        <v>414</v>
      </c>
      <c r="D215" s="4000"/>
      <c r="E215" s="541"/>
      <c r="F215" s="878"/>
      <c r="G215" s="879"/>
      <c r="H215" s="880"/>
      <c r="I215" s="881"/>
      <c r="J215" s="903">
        <f t="shared" si="15"/>
        <v>0</v>
      </c>
      <c r="K215" s="904">
        <f t="shared" si="15"/>
        <v>0</v>
      </c>
      <c r="L215" s="611"/>
      <c r="M215" s="137">
        <v>189</v>
      </c>
      <c r="N215" s="1160"/>
    </row>
    <row r="216" spans="1:15" s="1023" customFormat="1" ht="15" thickBot="1">
      <c r="A216" s="137"/>
      <c r="B216" s="535"/>
      <c r="C216" s="138"/>
      <c r="D216" s="138"/>
      <c r="E216" s="535"/>
      <c r="F216" s="576"/>
      <c r="G216" s="576"/>
      <c r="H216" s="1136"/>
      <c r="I216" s="1136"/>
      <c r="J216" s="837"/>
      <c r="K216" s="837"/>
      <c r="L216" s="611"/>
      <c r="M216" s="137"/>
      <c r="N216" s="1160"/>
    </row>
    <row r="217" spans="1:15" ht="15" thickBot="1">
      <c r="A217" s="137"/>
      <c r="B217" s="835"/>
      <c r="C217" s="576"/>
      <c r="D217" s="576"/>
      <c r="E217" s="576"/>
      <c r="F217" s="576"/>
      <c r="G217" s="576"/>
      <c r="H217" s="836"/>
      <c r="I217" s="836"/>
      <c r="J217" s="837"/>
      <c r="K217" s="837"/>
      <c r="L217" s="611"/>
      <c r="M217" s="137"/>
      <c r="N217" s="1158"/>
    </row>
    <row r="218" spans="1:15" ht="13.8" thickBot="1">
      <c r="A218" s="137"/>
      <c r="B218" s="540" t="s">
        <v>220</v>
      </c>
      <c r="C218" s="540"/>
      <c r="D218" s="543"/>
      <c r="E218" s="541"/>
      <c r="F218" s="541">
        <f t="shared" ref="F218:K218" si="16">SUM(F27:F217)</f>
        <v>0</v>
      </c>
      <c r="G218" s="541">
        <f t="shared" si="16"/>
        <v>0</v>
      </c>
      <c r="H218" s="544">
        <f t="shared" si="16"/>
        <v>0</v>
      </c>
      <c r="I218" s="544">
        <f t="shared" si="16"/>
        <v>0</v>
      </c>
      <c r="J218" s="544">
        <f t="shared" si="16"/>
        <v>0</v>
      </c>
      <c r="K218" s="544">
        <f t="shared" si="16"/>
        <v>0</v>
      </c>
      <c r="L218" s="137"/>
      <c r="M218" s="137"/>
      <c r="N218" s="1162"/>
    </row>
    <row r="219" spans="1:15" ht="13.8" thickBot="1">
      <c r="A219" s="137"/>
      <c r="B219" s="535"/>
      <c r="C219" s="535"/>
      <c r="D219" s="542"/>
      <c r="E219" s="535"/>
      <c r="F219" s="535"/>
      <c r="G219" s="535"/>
      <c r="H219" s="576"/>
      <c r="I219" s="576"/>
      <c r="J219" s="535"/>
      <c r="K219" s="535"/>
      <c r="L219" s="137"/>
      <c r="M219" s="137"/>
      <c r="N219" s="1163"/>
    </row>
    <row r="220" spans="1:15" ht="13.8" thickBot="1">
      <c r="A220" s="137"/>
      <c r="B220" s="535"/>
      <c r="C220" s="535"/>
      <c r="D220" s="542"/>
      <c r="E220" s="535"/>
      <c r="F220" s="535"/>
      <c r="G220" s="535"/>
      <c r="H220" s="576"/>
      <c r="I220" s="576"/>
      <c r="J220" s="535"/>
      <c r="K220" s="535"/>
      <c r="L220" s="137"/>
      <c r="M220" s="137"/>
      <c r="N220" s="1164"/>
      <c r="O220" s="137"/>
    </row>
    <row r="221" spans="1:15" ht="14.4">
      <c r="A221" s="137"/>
      <c r="B221" s="54"/>
      <c r="C221" s="54"/>
      <c r="D221" s="3988" t="s">
        <v>321</v>
      </c>
      <c r="E221" s="3988"/>
      <c r="F221" s="3988"/>
      <c r="G221" s="3988"/>
      <c r="H221" s="3988"/>
      <c r="I221" s="3988"/>
      <c r="J221" s="3988"/>
      <c r="K221" s="3988"/>
      <c r="L221" s="54"/>
      <c r="M221" s="137"/>
      <c r="N221" s="137"/>
      <c r="O221" s="137"/>
    </row>
    <row r="222" spans="1:15">
      <c r="A222" s="137"/>
      <c r="B222" s="577"/>
      <c r="C222" s="577"/>
      <c r="D222" s="577"/>
      <c r="E222" s="577"/>
      <c r="F222" s="3969"/>
      <c r="G222" s="3969"/>
      <c r="H222" s="3969"/>
      <c r="I222" s="578"/>
      <c r="J222" s="577"/>
      <c r="K222" s="577"/>
      <c r="L222" s="577"/>
      <c r="M222" s="137"/>
      <c r="N222" s="137"/>
      <c r="O222" s="137"/>
    </row>
    <row r="223" spans="1:15">
      <c r="A223" s="137"/>
      <c r="B223" s="54"/>
      <c r="C223" s="54"/>
      <c r="D223" s="54"/>
      <c r="E223" s="54"/>
      <c r="F223" s="54"/>
      <c r="G223" s="54"/>
      <c r="H223" s="54"/>
      <c r="I223" s="54"/>
      <c r="J223" s="54"/>
      <c r="K223" s="54"/>
      <c r="L223" s="54"/>
      <c r="M223" s="137"/>
      <c r="N223" s="137"/>
      <c r="O223" s="137"/>
    </row>
    <row r="224" spans="1:15" ht="13.8" thickBot="1">
      <c r="A224" s="137"/>
      <c r="B224" s="54"/>
      <c r="C224" s="54"/>
      <c r="D224" s="54"/>
      <c r="E224" s="54"/>
      <c r="F224" s="54"/>
      <c r="G224" s="54"/>
      <c r="H224" s="54"/>
      <c r="I224" s="54"/>
      <c r="J224" s="54"/>
      <c r="K224" s="54"/>
      <c r="L224" s="54"/>
      <c r="M224" s="137"/>
      <c r="N224" s="137"/>
      <c r="O224" s="137"/>
    </row>
    <row r="225" spans="1:15" ht="13.8" thickBot="1">
      <c r="A225" s="137"/>
      <c r="B225" s="579" t="s">
        <v>322</v>
      </c>
      <c r="C225" s="580"/>
      <c r="D225" s="580"/>
      <c r="E225" s="580"/>
      <c r="F225" s="580"/>
      <c r="G225" s="3990" t="s">
        <v>152</v>
      </c>
      <c r="H225" s="3998"/>
      <c r="I225" s="3991"/>
      <c r="J225" s="3990" t="s">
        <v>153</v>
      </c>
      <c r="K225" s="3991"/>
      <c r="L225" s="3986" t="s">
        <v>154</v>
      </c>
      <c r="M225" s="285" t="s">
        <v>328</v>
      </c>
      <c r="N225" s="137"/>
      <c r="O225" s="137"/>
    </row>
    <row r="226" spans="1:15" ht="13.8" thickBot="1">
      <c r="A226" s="137"/>
      <c r="B226" s="719" t="s">
        <v>155</v>
      </c>
      <c r="C226" s="720" t="s">
        <v>156</v>
      </c>
      <c r="D226" s="583" t="s">
        <v>133</v>
      </c>
      <c r="E226" s="584" t="s">
        <v>131</v>
      </c>
      <c r="F226" s="582" t="s">
        <v>157</v>
      </c>
      <c r="G226" s="585" t="s">
        <v>8</v>
      </c>
      <c r="H226" s="586" t="s">
        <v>158</v>
      </c>
      <c r="I226" s="587" t="s">
        <v>50</v>
      </c>
      <c r="J226" s="721" t="s">
        <v>8</v>
      </c>
      <c r="K226" s="587" t="s">
        <v>159</v>
      </c>
      <c r="L226" s="3989"/>
      <c r="M226" s="1234"/>
      <c r="N226" s="137"/>
      <c r="O226" s="137"/>
    </row>
    <row r="227" spans="1:15">
      <c r="A227" s="137"/>
      <c r="B227" s="735">
        <v>835</v>
      </c>
      <c r="C227" s="739">
        <v>41008</v>
      </c>
      <c r="D227" s="443">
        <v>956410</v>
      </c>
      <c r="E227" s="443" t="s">
        <v>190</v>
      </c>
      <c r="F227" s="444" t="s">
        <v>191</v>
      </c>
      <c r="G227" s="442"/>
      <c r="H227" s="443"/>
      <c r="I227" s="444">
        <f t="shared" ref="I227:I232" si="17">SUM(G227:H227)</f>
        <v>0</v>
      </c>
      <c r="J227" s="735"/>
      <c r="K227" s="736"/>
      <c r="L227" s="740">
        <f t="shared" ref="L227:L232" si="18">+I227-J227-K227</f>
        <v>0</v>
      </c>
      <c r="M227" s="137"/>
      <c r="N227" s="137"/>
      <c r="O227" s="137"/>
    </row>
    <row r="228" spans="1:15">
      <c r="A228" s="137"/>
      <c r="B228" s="1352">
        <v>895</v>
      </c>
      <c r="C228" s="1353">
        <v>41016</v>
      </c>
      <c r="D228" s="1354">
        <v>954962</v>
      </c>
      <c r="E228" s="1354" t="s">
        <v>192</v>
      </c>
      <c r="F228" s="1355" t="s">
        <v>221</v>
      </c>
      <c r="G228" s="1356"/>
      <c r="H228" s="1354"/>
      <c r="I228" s="1355">
        <f t="shared" si="17"/>
        <v>0</v>
      </c>
      <c r="J228" s="1352"/>
      <c r="K228" s="1511"/>
      <c r="L228" s="1515">
        <f t="shared" si="18"/>
        <v>0</v>
      </c>
      <c r="M228" s="137"/>
      <c r="N228" s="137"/>
      <c r="O228" s="137"/>
    </row>
    <row r="229" spans="1:15">
      <c r="A229" s="137"/>
      <c r="B229" s="737">
        <v>1496</v>
      </c>
      <c r="C229" s="738">
        <v>41065</v>
      </c>
      <c r="D229" s="460">
        <v>923199</v>
      </c>
      <c r="E229" s="460" t="s">
        <v>248</v>
      </c>
      <c r="F229" s="461"/>
      <c r="G229" s="459"/>
      <c r="H229" s="460"/>
      <c r="I229" s="461">
        <f t="shared" si="17"/>
        <v>0</v>
      </c>
      <c r="J229" s="737"/>
      <c r="K229" s="1512"/>
      <c r="L229" s="741">
        <f t="shared" si="18"/>
        <v>0</v>
      </c>
      <c r="M229" s="137"/>
      <c r="N229" s="137"/>
      <c r="O229" s="137"/>
    </row>
    <row r="230" spans="1:15" ht="13.8" thickBot="1">
      <c r="A230" s="137"/>
      <c r="B230" s="781">
        <v>1861</v>
      </c>
      <c r="C230" s="782">
        <v>41095</v>
      </c>
      <c r="D230" s="474">
        <v>923199</v>
      </c>
      <c r="E230" s="474" t="s">
        <v>248</v>
      </c>
      <c r="F230" s="475"/>
      <c r="G230" s="473"/>
      <c r="H230" s="474"/>
      <c r="I230" s="475">
        <f t="shared" si="17"/>
        <v>0</v>
      </c>
      <c r="J230" s="781"/>
      <c r="K230" s="1513"/>
      <c r="L230" s="784">
        <f t="shared" si="18"/>
        <v>0</v>
      </c>
      <c r="M230" s="137"/>
      <c r="N230" s="137"/>
      <c r="O230" s="137"/>
    </row>
    <row r="231" spans="1:15">
      <c r="A231" s="137"/>
      <c r="B231" s="735">
        <v>1871</v>
      </c>
      <c r="C231" s="739">
        <v>41095</v>
      </c>
      <c r="D231" s="443">
        <v>924618</v>
      </c>
      <c r="E231" s="443" t="s">
        <v>169</v>
      </c>
      <c r="F231" s="444"/>
      <c r="G231" s="442"/>
      <c r="H231" s="443"/>
      <c r="I231" s="444">
        <f t="shared" si="17"/>
        <v>0</v>
      </c>
      <c r="J231" s="735"/>
      <c r="K231" s="1514"/>
      <c r="L231" s="740">
        <f t="shared" si="18"/>
        <v>0</v>
      </c>
      <c r="M231" s="137"/>
      <c r="N231" s="137"/>
      <c r="O231" s="137"/>
    </row>
    <row r="232" spans="1:15" ht="13.8" thickBot="1">
      <c r="A232" s="137"/>
      <c r="B232" s="781">
        <v>1871</v>
      </c>
      <c r="C232" s="782">
        <v>41095</v>
      </c>
      <c r="D232" s="474">
        <v>958676</v>
      </c>
      <c r="E232" s="474" t="s">
        <v>323</v>
      </c>
      <c r="F232" s="475"/>
      <c r="G232" s="473"/>
      <c r="H232" s="474"/>
      <c r="I232" s="475">
        <f t="shared" si="17"/>
        <v>0</v>
      </c>
      <c r="J232" s="781"/>
      <c r="K232" s="783"/>
      <c r="L232" s="784">
        <f t="shared" si="18"/>
        <v>0</v>
      </c>
      <c r="M232" s="137"/>
      <c r="N232" s="137"/>
      <c r="O232" s="137"/>
    </row>
    <row r="233" spans="1:15" ht="59.25" customHeight="1" thickBot="1">
      <c r="A233" s="137"/>
      <c r="B233" s="1017" t="s">
        <v>454</v>
      </c>
      <c r="C233" s="1018">
        <v>41121</v>
      </c>
      <c r="D233" s="1017">
        <v>950818</v>
      </c>
      <c r="E233" s="920" t="s">
        <v>455</v>
      </c>
      <c r="F233" s="1017"/>
      <c r="G233" s="1017"/>
      <c r="H233" s="1017"/>
      <c r="I233" s="1017">
        <f>+G233+H233</f>
        <v>0</v>
      </c>
      <c r="J233" s="1017"/>
      <c r="K233" s="1019"/>
      <c r="L233" s="487">
        <f>+H233-K233</f>
        <v>0</v>
      </c>
      <c r="M233" s="137"/>
      <c r="N233" s="137"/>
      <c r="O233" s="137"/>
    </row>
    <row r="234" spans="1:15" ht="13.8" thickBot="1">
      <c r="A234" s="137"/>
      <c r="B234" s="3995">
        <v>2166</v>
      </c>
      <c r="C234" s="486">
        <v>41127</v>
      </c>
      <c r="D234" s="785">
        <v>954241</v>
      </c>
      <c r="E234" s="785" t="s">
        <v>359</v>
      </c>
      <c r="F234" s="785"/>
      <c r="G234" s="785"/>
      <c r="H234" s="785"/>
      <c r="I234" s="1017">
        <f t="shared" ref="I234:I235" si="19">+G234+H234</f>
        <v>0</v>
      </c>
      <c r="J234" s="785"/>
      <c r="K234" s="788"/>
      <c r="L234" s="778">
        <f>+I234-J234-K234</f>
        <v>0</v>
      </c>
      <c r="M234" s="137"/>
      <c r="N234" s="137"/>
      <c r="O234" s="137"/>
    </row>
    <row r="235" spans="1:15" ht="13.8" thickBot="1">
      <c r="A235" s="137"/>
      <c r="B235" s="3996"/>
      <c r="C235" s="786">
        <v>41127</v>
      </c>
      <c r="D235" s="780">
        <v>926460</v>
      </c>
      <c r="E235" s="780" t="s">
        <v>360</v>
      </c>
      <c r="F235" s="780"/>
      <c r="G235" s="780"/>
      <c r="H235" s="780"/>
      <c r="I235" s="1017">
        <f t="shared" si="19"/>
        <v>0</v>
      </c>
      <c r="J235" s="780"/>
      <c r="K235" s="789"/>
      <c r="L235" s="787">
        <f>+I235-J235-K235</f>
        <v>0</v>
      </c>
      <c r="M235" s="137"/>
      <c r="N235" s="137"/>
      <c r="O235" s="137"/>
    </row>
    <row r="236" spans="1:15">
      <c r="A236" s="137"/>
      <c r="B236" s="485"/>
      <c r="C236" s="486"/>
      <c r="D236" s="485"/>
      <c r="E236" s="485"/>
      <c r="F236" s="485"/>
      <c r="G236" s="485"/>
      <c r="H236" s="485"/>
      <c r="I236" s="485"/>
      <c r="J236" s="485"/>
      <c r="K236" s="727"/>
      <c r="L236" s="485"/>
      <c r="M236" s="137"/>
      <c r="N236" s="137"/>
      <c r="O236" s="137"/>
    </row>
    <row r="237" spans="1:15" ht="13.8" thickBot="1">
      <c r="A237" s="137"/>
      <c r="B237" s="286"/>
      <c r="C237" s="286"/>
      <c r="D237" s="286"/>
      <c r="E237" s="286"/>
      <c r="F237" s="286"/>
      <c r="G237" s="286"/>
      <c r="H237" s="286"/>
      <c r="I237" s="286"/>
      <c r="J237" s="286"/>
      <c r="K237" s="286"/>
      <c r="L237" s="286"/>
      <c r="M237" s="137"/>
      <c r="N237" s="137"/>
      <c r="O237" s="137"/>
    </row>
    <row r="238" spans="1:15" ht="13.8" thickBot="1">
      <c r="A238" s="137"/>
      <c r="B238" s="763" t="s">
        <v>220</v>
      </c>
      <c r="C238" s="762"/>
      <c r="D238" s="762"/>
      <c r="E238" s="762"/>
      <c r="F238" s="487"/>
      <c r="G238" s="488">
        <f>SUM(G227:G237)</f>
        <v>0</v>
      </c>
      <c r="H238" s="488">
        <f>SUM(H227:H237)</f>
        <v>0</v>
      </c>
      <c r="I238" s="488">
        <f>SUM(I227:I237)</f>
        <v>0</v>
      </c>
      <c r="J238" s="1015">
        <f>SUM(J227:J235)</f>
        <v>0</v>
      </c>
      <c r="K238" s="489">
        <f>SUM(K227:K235)</f>
        <v>0</v>
      </c>
      <c r="L238" s="1015">
        <f>SUM(L227:L237)</f>
        <v>0</v>
      </c>
      <c r="M238" s="137"/>
      <c r="N238" s="137"/>
      <c r="O238" s="137"/>
    </row>
    <row r="239" spans="1:15">
      <c r="A239" s="137"/>
      <c r="B239" s="286"/>
      <c r="C239" s="286"/>
      <c r="D239" s="286"/>
      <c r="E239" s="286"/>
      <c r="F239" s="286"/>
      <c r="G239" s="286"/>
      <c r="H239" s="286"/>
      <c r="I239" s="286"/>
      <c r="J239" s="286"/>
      <c r="K239" s="286"/>
      <c r="L239" s="286"/>
      <c r="M239" s="137"/>
      <c r="N239" s="137"/>
      <c r="O239" s="137"/>
    </row>
    <row r="240" spans="1:15" ht="13.8" thickBot="1">
      <c r="A240" s="137"/>
      <c r="B240" s="286"/>
      <c r="C240" s="286"/>
      <c r="D240" s="286"/>
      <c r="E240" s="286"/>
      <c r="F240" s="286"/>
      <c r="G240" s="286"/>
      <c r="H240" s="286"/>
      <c r="I240" s="286"/>
      <c r="J240" s="286"/>
      <c r="K240" s="286"/>
      <c r="L240" s="286"/>
      <c r="M240" s="137"/>
      <c r="N240" s="137"/>
      <c r="O240" s="137"/>
    </row>
    <row r="241" spans="1:15" ht="13.8" thickBot="1">
      <c r="A241" s="137"/>
      <c r="B241" s="588" t="s">
        <v>238</v>
      </c>
      <c r="C241" s="589"/>
      <c r="D241" s="580"/>
      <c r="E241" s="580"/>
      <c r="F241" s="580"/>
      <c r="G241" s="764" t="s">
        <v>152</v>
      </c>
      <c r="H241" s="765"/>
      <c r="I241" s="766"/>
      <c r="J241" s="3979" t="s">
        <v>153</v>
      </c>
      <c r="K241" s="3980"/>
      <c r="L241" s="3986" t="s">
        <v>154</v>
      </c>
      <c r="M241" s="137"/>
      <c r="N241" s="137"/>
      <c r="O241" s="137"/>
    </row>
    <row r="242" spans="1:15" ht="13.8" thickBot="1">
      <c r="A242" s="137"/>
      <c r="B242" s="581" t="s">
        <v>155</v>
      </c>
      <c r="C242" s="582" t="s">
        <v>156</v>
      </c>
      <c r="D242" s="583" t="s">
        <v>133</v>
      </c>
      <c r="E242" s="584" t="s">
        <v>131</v>
      </c>
      <c r="F242" s="582" t="s">
        <v>157</v>
      </c>
      <c r="G242" s="585" t="s">
        <v>8</v>
      </c>
      <c r="H242" s="586" t="s">
        <v>158</v>
      </c>
      <c r="I242" s="548" t="s">
        <v>50</v>
      </c>
      <c r="J242" s="585" t="s">
        <v>8</v>
      </c>
      <c r="K242" s="587" t="s">
        <v>159</v>
      </c>
      <c r="L242" s="3987"/>
      <c r="M242" s="1234"/>
      <c r="N242" s="137"/>
      <c r="O242" s="137"/>
    </row>
    <row r="243" spans="1:15" ht="13.8" thickBot="1">
      <c r="A243" s="137"/>
      <c r="B243" s="621">
        <v>1489</v>
      </c>
      <c r="C243" s="622">
        <v>41059</v>
      </c>
      <c r="D243" s="623">
        <v>957995</v>
      </c>
      <c r="E243" s="624" t="s">
        <v>239</v>
      </c>
      <c r="F243" s="625"/>
      <c r="G243" s="621"/>
      <c r="H243" s="624"/>
      <c r="I243" s="626">
        <f>SUM(G243:H243)</f>
        <v>0</v>
      </c>
      <c r="J243" s="742"/>
      <c r="K243" s="627"/>
      <c r="L243" s="628">
        <f>+I243-J243-K243</f>
        <v>0</v>
      </c>
      <c r="M243" s="1344"/>
      <c r="N243" s="137"/>
      <c r="O243" s="137"/>
    </row>
    <row r="244" spans="1:15" s="1023" customFormat="1" ht="13.8" thickBot="1">
      <c r="A244" s="137"/>
      <c r="B244" s="1043">
        <v>3038</v>
      </c>
      <c r="C244" s="1049">
        <v>41233</v>
      </c>
      <c r="D244" s="1044">
        <v>957995</v>
      </c>
      <c r="E244" s="1044" t="s">
        <v>239</v>
      </c>
      <c r="F244" s="1046"/>
      <c r="G244" s="1046"/>
      <c r="H244" s="1046"/>
      <c r="I244" s="1046">
        <f>SUM(G244:H244)</f>
        <v>0</v>
      </c>
      <c r="J244" s="1047"/>
      <c r="K244" s="1048"/>
      <c r="L244" s="1045">
        <f>+I244-J244-K244</f>
        <v>0</v>
      </c>
      <c r="M244" s="1344"/>
      <c r="N244" s="137"/>
      <c r="O244" s="137"/>
    </row>
    <row r="245" spans="1:15" ht="13.8" thickBot="1">
      <c r="A245" s="137"/>
      <c r="B245" s="286"/>
      <c r="C245" s="286"/>
      <c r="D245" s="286"/>
      <c r="E245" s="286"/>
      <c r="F245" s="286"/>
      <c r="G245" s="286"/>
      <c r="H245" s="286"/>
      <c r="I245" s="286"/>
      <c r="J245" s="286"/>
      <c r="K245" s="286"/>
      <c r="L245" s="286"/>
      <c r="M245" s="1234"/>
      <c r="N245" s="137"/>
      <c r="O245" s="137"/>
    </row>
    <row r="246" spans="1:15" ht="13.8" thickBot="1">
      <c r="A246" s="137"/>
      <c r="B246" s="1041" t="s">
        <v>310</v>
      </c>
      <c r="C246" s="1042"/>
      <c r="D246" s="580"/>
      <c r="E246" s="580"/>
      <c r="F246" s="580"/>
      <c r="G246" s="3976" t="s">
        <v>152</v>
      </c>
      <c r="H246" s="3977"/>
      <c r="I246" s="3978"/>
      <c r="J246" s="3979" t="s">
        <v>153</v>
      </c>
      <c r="K246" s="3980"/>
      <c r="L246" s="3986" t="s">
        <v>154</v>
      </c>
      <c r="M246" s="1234"/>
      <c r="N246" s="137"/>
      <c r="O246" s="137"/>
    </row>
    <row r="247" spans="1:15" ht="13.8" thickBot="1">
      <c r="A247" s="137"/>
      <c r="B247" s="581" t="s">
        <v>155</v>
      </c>
      <c r="C247" s="582" t="s">
        <v>156</v>
      </c>
      <c r="D247" s="583" t="s">
        <v>133</v>
      </c>
      <c r="E247" s="584" t="s">
        <v>131</v>
      </c>
      <c r="F247" s="582" t="s">
        <v>157</v>
      </c>
      <c r="G247" s="1024" t="s">
        <v>8</v>
      </c>
      <c r="H247" s="721" t="s">
        <v>158</v>
      </c>
      <c r="I247" s="548" t="s">
        <v>50</v>
      </c>
      <c r="J247" s="585" t="s">
        <v>8</v>
      </c>
      <c r="K247" s="587" t="s">
        <v>159</v>
      </c>
      <c r="L247" s="3987"/>
      <c r="M247" s="1234"/>
      <c r="N247" s="137"/>
      <c r="O247" s="137"/>
    </row>
    <row r="248" spans="1:15" ht="13.8" thickBot="1">
      <c r="A248" s="137"/>
      <c r="B248" s="1345">
        <v>1666</v>
      </c>
      <c r="C248" s="1346">
        <v>41080</v>
      </c>
      <c r="D248" s="1347"/>
      <c r="E248" s="1348" t="s">
        <v>324</v>
      </c>
      <c r="F248" s="1349"/>
      <c r="G248" s="1349"/>
      <c r="H248" s="1347"/>
      <c r="I248" s="1348">
        <f>SUM(G248:H248)</f>
        <v>0</v>
      </c>
      <c r="J248" s="1349"/>
      <c r="K248" s="1350"/>
      <c r="L248" s="1351">
        <f>+I248-J248-K248</f>
        <v>0</v>
      </c>
      <c r="M248" s="1234"/>
      <c r="N248" s="1234"/>
      <c r="O248" s="137"/>
    </row>
    <row r="249" spans="1:15" ht="13.8" thickBot="1">
      <c r="A249" s="137"/>
      <c r="B249" s="546">
        <v>2925</v>
      </c>
      <c r="C249" s="549">
        <v>41220</v>
      </c>
      <c r="D249" s="545"/>
      <c r="E249" s="547" t="s">
        <v>473</v>
      </c>
      <c r="F249" s="1017"/>
      <c r="G249" s="1017"/>
      <c r="H249" s="545"/>
      <c r="I249" s="547">
        <f>SUM(G249:H249)</f>
        <v>0</v>
      </c>
      <c r="J249" s="1017"/>
      <c r="K249" s="1040"/>
      <c r="L249" s="487">
        <f>+I249-J249-K249</f>
        <v>0</v>
      </c>
      <c r="M249" s="1234"/>
      <c r="N249" s="137"/>
      <c r="O249" s="137"/>
    </row>
    <row r="250" spans="1:15" s="1132" customFormat="1" ht="15" thickBot="1">
      <c r="A250" s="137"/>
      <c r="B250" s="1137">
        <v>3115</v>
      </c>
      <c r="C250" s="1138">
        <v>41241</v>
      </c>
      <c r="D250" s="1139"/>
      <c r="E250" s="1140" t="s">
        <v>324</v>
      </c>
      <c r="F250" s="1141"/>
      <c r="G250" s="1137"/>
      <c r="H250" s="1140"/>
      <c r="I250" s="1142">
        <f>SUM(G250:H250)</f>
        <v>0</v>
      </c>
      <c r="J250" s="1143"/>
      <c r="K250" s="1144"/>
      <c r="L250" s="1145">
        <f>+I250-J250-K250</f>
        <v>0</v>
      </c>
      <c r="M250" s="137"/>
      <c r="N250" s="137"/>
      <c r="O250" s="137"/>
    </row>
    <row r="251" spans="1:15" s="1023" customFormat="1" ht="13.8" thickBot="1">
      <c r="A251" s="137"/>
      <c r="B251" s="485"/>
      <c r="C251" s="486"/>
      <c r="D251" s="485"/>
      <c r="E251" s="485"/>
      <c r="F251" s="485"/>
      <c r="G251" s="485"/>
      <c r="H251" s="485"/>
      <c r="I251" s="485"/>
      <c r="J251" s="485"/>
      <c r="K251" s="1020"/>
      <c r="L251" s="485"/>
      <c r="M251" s="138"/>
      <c r="N251" s="137"/>
      <c r="O251" s="137"/>
    </row>
    <row r="252" spans="1:15" s="1075" customFormat="1" ht="13.8" thickBot="1">
      <c r="A252" s="137"/>
      <c r="B252" s="1077" t="s">
        <v>499</v>
      </c>
      <c r="C252" s="1078"/>
      <c r="D252" s="485"/>
      <c r="E252" s="485"/>
      <c r="F252" s="485"/>
      <c r="G252" s="1079" t="s">
        <v>152</v>
      </c>
      <c r="H252" s="779"/>
      <c r="I252" s="779"/>
      <c r="J252" s="779" t="s">
        <v>153</v>
      </c>
      <c r="K252" s="1080"/>
      <c r="L252" s="779" t="s">
        <v>154</v>
      </c>
      <c r="M252" s="138"/>
      <c r="N252" s="137"/>
      <c r="O252" s="137"/>
    </row>
    <row r="253" spans="1:15" s="1075" customFormat="1" ht="13.8" thickBot="1">
      <c r="A253" s="137"/>
      <c r="B253" s="1079" t="s">
        <v>155</v>
      </c>
      <c r="C253" s="1082" t="s">
        <v>156</v>
      </c>
      <c r="D253" s="779" t="s">
        <v>133</v>
      </c>
      <c r="E253" s="779" t="s">
        <v>131</v>
      </c>
      <c r="F253" s="1001" t="s">
        <v>157</v>
      </c>
      <c r="G253" s="1079" t="s">
        <v>8</v>
      </c>
      <c r="H253" s="779" t="s">
        <v>158</v>
      </c>
      <c r="I253" s="779" t="s">
        <v>50</v>
      </c>
      <c r="J253" s="779" t="s">
        <v>8</v>
      </c>
      <c r="K253" s="1080" t="s">
        <v>159</v>
      </c>
      <c r="L253" s="779"/>
      <c r="M253" s="138"/>
      <c r="N253" s="137"/>
      <c r="O253" s="137"/>
    </row>
    <row r="254" spans="1:15" s="1075" customFormat="1" ht="13.8" thickBot="1">
      <c r="A254" s="137"/>
      <c r="B254" s="1137">
        <v>3095</v>
      </c>
      <c r="C254" s="1138">
        <v>41239</v>
      </c>
      <c r="D254" s="1139">
        <v>901835</v>
      </c>
      <c r="E254" s="1140" t="s">
        <v>296</v>
      </c>
      <c r="F254" s="1001"/>
      <c r="G254" s="1079"/>
      <c r="H254" s="779"/>
      <c r="I254" s="779">
        <f>+G254+H254</f>
        <v>0</v>
      </c>
      <c r="J254" s="779"/>
      <c r="K254" s="1080"/>
      <c r="L254" s="1017">
        <f t="shared" ref="L254:L255" si="20">+I254-K254</f>
        <v>0</v>
      </c>
      <c r="M254" s="138"/>
      <c r="N254" s="137"/>
      <c r="O254" s="137"/>
    </row>
    <row r="255" spans="1:15" s="1075" customFormat="1" ht="13.8" thickBot="1">
      <c r="A255" s="137"/>
      <c r="B255" s="1137">
        <v>3038</v>
      </c>
      <c r="C255" s="1138">
        <v>41233</v>
      </c>
      <c r="D255" s="1139">
        <v>955617</v>
      </c>
      <c r="E255" s="1140" t="s">
        <v>539</v>
      </c>
      <c r="F255" s="1001"/>
      <c r="G255" s="1079"/>
      <c r="H255" s="779"/>
      <c r="I255" s="779">
        <f>+H255+G255</f>
        <v>0</v>
      </c>
      <c r="J255" s="779"/>
      <c r="K255" s="1080"/>
      <c r="L255" s="1017">
        <f t="shared" si="20"/>
        <v>0</v>
      </c>
      <c r="M255" s="138"/>
      <c r="N255" s="137"/>
      <c r="O255" s="137"/>
    </row>
    <row r="256" spans="1:15" s="1075" customFormat="1" ht="13.8" thickBot="1">
      <c r="A256" s="137"/>
      <c r="B256" s="1137">
        <v>3038</v>
      </c>
      <c r="C256" s="1138">
        <v>41233</v>
      </c>
      <c r="D256" s="1139">
        <v>901835</v>
      </c>
      <c r="E256" s="1140" t="s">
        <v>296</v>
      </c>
      <c r="F256" s="762"/>
      <c r="G256" s="763"/>
      <c r="H256" s="1017"/>
      <c r="I256" s="1017">
        <f>+H256</f>
        <v>0</v>
      </c>
      <c r="J256" s="1017"/>
      <c r="K256" s="1081"/>
      <c r="L256" s="1017">
        <f>+I256-K256</f>
        <v>0</v>
      </c>
      <c r="M256" s="138"/>
      <c r="N256" s="137"/>
      <c r="O256" s="137"/>
    </row>
    <row r="257" spans="1:15" s="1075" customFormat="1">
      <c r="A257" s="137"/>
      <c r="B257" s="485"/>
      <c r="C257" s="486"/>
      <c r="D257" s="485"/>
      <c r="E257" s="485"/>
      <c r="F257" s="485"/>
      <c r="G257" s="485"/>
      <c r="H257" s="485"/>
      <c r="I257" s="485"/>
      <c r="J257" s="485"/>
      <c r="K257" s="1020"/>
      <c r="L257" s="485"/>
      <c r="M257" s="138"/>
      <c r="N257" s="137"/>
      <c r="O257" s="137"/>
    </row>
    <row r="258" spans="1:15" s="994" customFormat="1">
      <c r="A258" s="137">
        <v>0</v>
      </c>
      <c r="B258" s="485"/>
      <c r="C258" s="486"/>
      <c r="D258" s="485"/>
      <c r="E258" s="485"/>
      <c r="F258" s="485"/>
      <c r="G258" s="485"/>
      <c r="H258" s="485"/>
      <c r="I258" s="485"/>
      <c r="J258" s="485"/>
      <c r="K258" s="1020"/>
      <c r="L258" s="485"/>
      <c r="M258" s="137"/>
      <c r="N258" s="137"/>
      <c r="O258" s="137"/>
    </row>
    <row r="259" spans="1:15" ht="13.8" thickBot="1">
      <c r="A259" s="137"/>
      <c r="B259" s="54"/>
      <c r="C259" s="54"/>
      <c r="D259" s="54"/>
      <c r="E259" s="54"/>
      <c r="F259" s="54"/>
      <c r="G259" s="54"/>
      <c r="H259" s="54"/>
      <c r="I259" s="54"/>
      <c r="J259" s="54"/>
      <c r="K259" s="54"/>
      <c r="L259" s="54"/>
      <c r="M259" s="137"/>
      <c r="N259" s="137"/>
      <c r="O259" s="137"/>
    </row>
    <row r="260" spans="1:15" ht="13.8" thickBot="1">
      <c r="A260" s="137"/>
      <c r="B260" s="3973" t="s">
        <v>443</v>
      </c>
      <c r="C260" s="3974"/>
      <c r="D260" s="3974"/>
      <c r="E260" s="3974"/>
      <c r="F260" s="3974"/>
      <c r="G260" s="3974"/>
      <c r="H260" s="3974"/>
      <c r="I260" s="3974"/>
      <c r="J260" s="3974"/>
      <c r="K260" s="3974"/>
      <c r="L260" s="3975"/>
      <c r="M260" s="137"/>
      <c r="N260" s="137"/>
      <c r="O260" s="137"/>
    </row>
    <row r="261" spans="1:15" ht="13.8" thickBot="1">
      <c r="A261" s="137"/>
      <c r="N261" s="137"/>
      <c r="O261" s="137"/>
    </row>
    <row r="262" spans="1:15" ht="13.8" thickBot="1">
      <c r="A262" s="137"/>
      <c r="B262" s="706" t="s">
        <v>356</v>
      </c>
      <c r="C262" s="707"/>
      <c r="D262" s="713"/>
      <c r="E262" s="712"/>
      <c r="F262" s="696"/>
      <c r="G262" s="696"/>
      <c r="H262" s="696"/>
      <c r="I262" s="696"/>
      <c r="J262" s="696"/>
      <c r="K262" s="696"/>
      <c r="L262" s="697"/>
      <c r="N262" s="137"/>
      <c r="O262" s="137"/>
    </row>
    <row r="263" spans="1:15" ht="18" customHeight="1" thickBot="1">
      <c r="A263" s="137"/>
      <c r="B263" s="709" t="s">
        <v>355</v>
      </c>
      <c r="C263" s="710"/>
      <c r="D263" s="710"/>
      <c r="E263" s="711" t="s">
        <v>345</v>
      </c>
      <c r="F263" s="139"/>
      <c r="G263" s="139"/>
      <c r="H263" s="139"/>
      <c r="I263" s="139"/>
      <c r="J263" s="139"/>
      <c r="K263" s="1341"/>
      <c r="L263" s="698"/>
      <c r="N263" s="137"/>
      <c r="O263" s="137"/>
    </row>
    <row r="264" spans="1:15" ht="14.4" thickBot="1">
      <c r="A264" s="137"/>
      <c r="B264" s="895" t="s">
        <v>440</v>
      </c>
      <c r="C264" s="714" t="s">
        <v>261</v>
      </c>
      <c r="D264" s="708" t="s">
        <v>346</v>
      </c>
      <c r="E264" s="708" t="s">
        <v>347</v>
      </c>
      <c r="F264" s="664" t="s">
        <v>348</v>
      </c>
      <c r="G264" s="900" t="s">
        <v>268</v>
      </c>
      <c r="H264" s="664" t="s">
        <v>72</v>
      </c>
      <c r="I264" s="665" t="s">
        <v>49</v>
      </c>
      <c r="J264" s="702"/>
      <c r="K264" s="702"/>
      <c r="L264" s="698"/>
      <c r="N264" s="137" t="s">
        <v>127</v>
      </c>
      <c r="O264" s="137"/>
    </row>
    <row r="265" spans="1:15" ht="13.8" thickBot="1">
      <c r="A265" s="137"/>
      <c r="B265" s="887" t="s">
        <v>344</v>
      </c>
      <c r="C265" s="1130"/>
      <c r="D265" s="889"/>
      <c r="E265" s="889"/>
      <c r="F265" s="889"/>
      <c r="G265" s="889"/>
      <c r="H265" s="889">
        <f>SUM(C265:G265)</f>
        <v>0</v>
      </c>
      <c r="I265" s="890"/>
      <c r="J265" s="702"/>
      <c r="K265" s="702"/>
      <c r="L265" s="698"/>
      <c r="N265" s="137"/>
      <c r="O265" s="137"/>
    </row>
    <row r="266" spans="1:15" ht="13.8" thickBot="1">
      <c r="A266" s="137"/>
      <c r="B266" s="888"/>
      <c r="C266" s="891"/>
      <c r="D266" s="891"/>
      <c r="E266" s="891"/>
      <c r="F266" s="891"/>
      <c r="G266" s="891"/>
      <c r="H266" s="891"/>
      <c r="I266" s="892"/>
      <c r="J266" s="702"/>
      <c r="K266" s="702"/>
      <c r="L266" s="698"/>
      <c r="N266" s="137"/>
      <c r="O266" s="137"/>
    </row>
    <row r="267" spans="1:15" ht="14.4" thickBot="1">
      <c r="A267" s="137"/>
      <c r="B267" s="896" t="s">
        <v>441</v>
      </c>
      <c r="C267" s="894" t="s">
        <v>261</v>
      </c>
      <c r="D267" s="891"/>
      <c r="E267" s="891"/>
      <c r="F267" s="891"/>
      <c r="G267" s="891"/>
      <c r="H267" s="891"/>
      <c r="I267" s="892"/>
      <c r="J267" s="702"/>
      <c r="K267" s="702"/>
      <c r="L267" s="698"/>
      <c r="N267" s="137"/>
      <c r="O267" s="137"/>
    </row>
    <row r="268" spans="1:15" ht="14.4" thickBot="1">
      <c r="A268" s="137"/>
      <c r="B268" s="887" t="s">
        <v>344</v>
      </c>
      <c r="C268" s="1129"/>
      <c r="D268" s="1148"/>
      <c r="E268" s="885"/>
      <c r="F268" s="1148"/>
      <c r="G268" s="885"/>
      <c r="H268" s="885">
        <f>SUM(C268:G268)</f>
        <v>0</v>
      </c>
      <c r="I268" s="886"/>
      <c r="J268" s="702"/>
      <c r="K268" s="702"/>
      <c r="L268" s="698"/>
      <c r="N268" s="137"/>
      <c r="O268" s="137"/>
    </row>
    <row r="269" spans="1:15" ht="13.8" thickBot="1">
      <c r="A269" s="137"/>
      <c r="B269" s="884"/>
      <c r="C269" s="559"/>
      <c r="D269" s="559"/>
      <c r="E269" s="559"/>
      <c r="F269" s="559"/>
      <c r="G269" s="559"/>
      <c r="H269" s="559"/>
      <c r="I269" s="703"/>
      <c r="J269" s="702"/>
      <c r="K269" s="702"/>
      <c r="L269" s="698"/>
      <c r="N269" s="137"/>
      <c r="O269" s="137"/>
    </row>
    <row r="270" spans="1:15" ht="14.4" thickBot="1">
      <c r="A270" s="137"/>
      <c r="B270" s="896" t="s">
        <v>442</v>
      </c>
      <c r="C270" s="894" t="s">
        <v>261</v>
      </c>
      <c r="D270" s="891"/>
      <c r="E270" s="891"/>
      <c r="F270" s="891"/>
      <c r="G270" s="891"/>
      <c r="H270" s="891"/>
      <c r="I270" s="892"/>
      <c r="J270" s="702"/>
      <c r="K270" s="1021"/>
      <c r="L270" s="698"/>
      <c r="M270" s="184"/>
      <c r="N270" s="137"/>
      <c r="O270" s="137"/>
    </row>
    <row r="271" spans="1:15" ht="14.4" thickBot="1">
      <c r="A271" s="137"/>
      <c r="B271" s="887" t="s">
        <v>344</v>
      </c>
      <c r="C271" s="995"/>
      <c r="D271" s="1148"/>
      <c r="E271" s="885"/>
      <c r="F271" s="885"/>
      <c r="G271" s="885"/>
      <c r="H271" s="885">
        <f>SUM(C271:G271)</f>
        <v>0</v>
      </c>
      <c r="I271" s="886"/>
      <c r="J271" s="139"/>
      <c r="K271" s="139"/>
      <c r="L271" s="698"/>
      <c r="N271" s="137"/>
      <c r="O271" s="137"/>
    </row>
    <row r="272" spans="1:15" ht="13.8" thickBot="1">
      <c r="A272" s="137"/>
      <c r="B272" s="303"/>
      <c r="C272" s="559"/>
      <c r="D272" s="702"/>
      <c r="E272" s="702"/>
      <c r="F272" s="702"/>
      <c r="G272" s="702"/>
      <c r="H272" s="702"/>
      <c r="I272" s="703"/>
      <c r="J272" s="139" t="s">
        <v>261</v>
      </c>
      <c r="K272" s="139"/>
      <c r="L272" s="698"/>
      <c r="N272" s="137"/>
      <c r="O272" s="137"/>
    </row>
    <row r="273" spans="1:16" ht="18" customHeight="1" thickBot="1">
      <c r="A273" s="137"/>
      <c r="B273" s="699"/>
      <c r="C273" s="715" t="s">
        <v>507</v>
      </c>
      <c r="D273" s="893"/>
      <c r="E273" s="715" t="s">
        <v>397</v>
      </c>
      <c r="F273" s="901" t="s">
        <v>66</v>
      </c>
      <c r="G273" s="753" t="s">
        <v>49</v>
      </c>
      <c r="H273" s="139"/>
      <c r="I273" s="139"/>
      <c r="J273" s="1089">
        <v>70.63</v>
      </c>
      <c r="K273" s="1131">
        <f>+F276-J273</f>
        <v>-70.63</v>
      </c>
      <c r="L273" s="698"/>
      <c r="M273" s="139"/>
      <c r="O273" s="137"/>
      <c r="P273" s="137"/>
    </row>
    <row r="274" spans="1:16" ht="14.4" thickBot="1">
      <c r="A274" s="137"/>
      <c r="B274" s="699"/>
      <c r="C274" s="692" t="s">
        <v>353</v>
      </c>
      <c r="D274" s="674"/>
      <c r="E274" s="692">
        <f>+D274</f>
        <v>0</v>
      </c>
      <c r="F274" s="899">
        <f>+E274-C265</f>
        <v>0</v>
      </c>
      <c r="G274" s="906" t="e">
        <f>+F274/E274</f>
        <v>#DIV/0!</v>
      </c>
      <c r="H274" s="139"/>
      <c r="I274" s="1021"/>
      <c r="J274" s="915"/>
      <c r="K274" s="139"/>
      <c r="L274" s="698"/>
      <c r="M274" s="139"/>
      <c r="O274" s="137"/>
      <c r="P274" s="137"/>
    </row>
    <row r="275" spans="1:16" ht="14.4" thickBot="1">
      <c r="A275" s="137"/>
      <c r="B275" s="699"/>
      <c r="C275" s="693" t="s">
        <v>82</v>
      </c>
      <c r="D275" s="695"/>
      <c r="E275" s="704">
        <f>+D275+F274</f>
        <v>0</v>
      </c>
      <c r="F275" s="932">
        <f>+E275-C268</f>
        <v>0</v>
      </c>
      <c r="G275" s="908" t="e">
        <f>+F275/E275</f>
        <v>#DIV/0!</v>
      </c>
      <c r="H275" s="139"/>
      <c r="I275" s="139"/>
      <c r="J275" s="1021">
        <f>+C271+C268+C265</f>
        <v>0</v>
      </c>
      <c r="K275" s="139"/>
      <c r="L275" s="698"/>
      <c r="M275" s="139"/>
      <c r="O275" s="137"/>
      <c r="P275" s="137"/>
    </row>
    <row r="276" spans="1:16" ht="14.4" thickBot="1">
      <c r="A276" s="137"/>
      <c r="B276" s="699"/>
      <c r="C276" s="694" t="s">
        <v>354</v>
      </c>
      <c r="D276" s="382"/>
      <c r="E276" s="705">
        <f>+D276+F275</f>
        <v>0</v>
      </c>
      <c r="F276" s="1343">
        <f>+E276-C271</f>
        <v>0</v>
      </c>
      <c r="G276" s="907" t="e">
        <f>+F276/E276</f>
        <v>#DIV/0!</v>
      </c>
      <c r="H276" s="1342"/>
      <c r="I276" s="139"/>
      <c r="J276" s="1021">
        <f>+C268+C271</f>
        <v>0</v>
      </c>
      <c r="K276" s="1146" t="s">
        <v>510</v>
      </c>
      <c r="L276" s="698"/>
      <c r="M276" s="139"/>
      <c r="O276" s="137"/>
      <c r="P276" s="137"/>
    </row>
    <row r="277" spans="1:16" ht="13.8" thickBot="1">
      <c r="A277" s="137"/>
      <c r="B277" s="398"/>
      <c r="C277" s="1083" t="s">
        <v>50</v>
      </c>
      <c r="D277" s="850">
        <f>SUM(D274:D276)</f>
        <v>0</v>
      </c>
      <c r="E277" s="850"/>
      <c r="F277" s="700"/>
      <c r="G277" s="965"/>
      <c r="H277" s="700"/>
      <c r="I277" s="700"/>
      <c r="J277" s="700">
        <v>7497.94</v>
      </c>
      <c r="K277" s="1147">
        <f>(J277-J276)</f>
        <v>7497.94</v>
      </c>
      <c r="L277" s="701"/>
      <c r="M277" s="139"/>
      <c r="O277" s="137"/>
      <c r="P277" s="137"/>
    </row>
    <row r="278" spans="1:16">
      <c r="A278" s="137"/>
      <c r="B278" s="139"/>
      <c r="C278" s="1127" t="s">
        <v>502</v>
      </c>
      <c r="D278" s="1128">
        <f>+C271+C268+C265</f>
        <v>0</v>
      </c>
      <c r="E278" s="559"/>
      <c r="F278" s="139"/>
      <c r="G278" s="139"/>
      <c r="H278" s="139"/>
      <c r="I278" s="139"/>
      <c r="J278" s="139"/>
      <c r="K278" s="139"/>
      <c r="L278" s="139"/>
      <c r="M278" s="139"/>
      <c r="O278" s="137"/>
      <c r="P278" s="137"/>
    </row>
    <row r="279" spans="1:16" ht="13.8">
      <c r="A279" s="137"/>
      <c r="G279" s="1089"/>
      <c r="J279" s="1172" t="s">
        <v>517</v>
      </c>
    </row>
    <row r="280" spans="1:16">
      <c r="A280" s="137"/>
      <c r="G280" s="1183" t="s">
        <v>532</v>
      </c>
      <c r="J280" s="1172" t="s">
        <v>519</v>
      </c>
    </row>
    <row r="281" spans="1:16" ht="13.8" thickBot="1">
      <c r="A281" s="137"/>
      <c r="G281" s="84">
        <f>SUM(G265,G268,G271)</f>
        <v>0</v>
      </c>
      <c r="J281">
        <v>27955.837999999971</v>
      </c>
    </row>
    <row r="282" spans="1:16" ht="13.8" thickBot="1">
      <c r="A282" s="137"/>
      <c r="J282" s="1173"/>
    </row>
    <row r="283" spans="1:16">
      <c r="J283" s="1172" t="s">
        <v>520</v>
      </c>
    </row>
    <row r="284" spans="1:16">
      <c r="J284" s="84">
        <f>+G268+G271</f>
        <v>0</v>
      </c>
    </row>
    <row r="285" spans="1:16">
      <c r="J285" s="85"/>
    </row>
    <row r="286" spans="1:16">
      <c r="J286" s="1172" t="s">
        <v>518</v>
      </c>
    </row>
    <row r="287" spans="1:16">
      <c r="J287" s="84">
        <f>+J281-J284</f>
        <v>27955.837999999971</v>
      </c>
    </row>
    <row r="288" spans="1:16">
      <c r="J288" s="188"/>
    </row>
  </sheetData>
  <mergeCells count="38">
    <mergeCell ref="J25:K25"/>
    <mergeCell ref="F25:G25"/>
    <mergeCell ref="B1:C1"/>
    <mergeCell ref="G2:I2"/>
    <mergeCell ref="J2:K2"/>
    <mergeCell ref="C19:C20"/>
    <mergeCell ref="B19:B20"/>
    <mergeCell ref="H25:I25"/>
    <mergeCell ref="B22:F22"/>
    <mergeCell ref="L2:L3"/>
    <mergeCell ref="B4:B5"/>
    <mergeCell ref="C4:C5"/>
    <mergeCell ref="B10:B13"/>
    <mergeCell ref="B15:B16"/>
    <mergeCell ref="C15:C16"/>
    <mergeCell ref="C10:C13"/>
    <mergeCell ref="B129:B130"/>
    <mergeCell ref="B119:B128"/>
    <mergeCell ref="B175:B195"/>
    <mergeCell ref="B234:B235"/>
    <mergeCell ref="L35:M35"/>
    <mergeCell ref="B138:B155"/>
    <mergeCell ref="B167:B174"/>
    <mergeCell ref="B132:B137"/>
    <mergeCell ref="G225:I225"/>
    <mergeCell ref="C215:D215"/>
    <mergeCell ref="B260:L260"/>
    <mergeCell ref="G246:I246"/>
    <mergeCell ref="J246:K246"/>
    <mergeCell ref="B156:B159"/>
    <mergeCell ref="B160:B165"/>
    <mergeCell ref="L246:L247"/>
    <mergeCell ref="D221:K221"/>
    <mergeCell ref="F222:H222"/>
    <mergeCell ref="J241:K241"/>
    <mergeCell ref="L241:L242"/>
    <mergeCell ref="L225:L226"/>
    <mergeCell ref="J225:K22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sheetPr>
    <tabColor theme="8" tint="0.39997558519241921"/>
  </sheetPr>
  <dimension ref="A2:M89"/>
  <sheetViews>
    <sheetView topLeftCell="A16" zoomScale="70" zoomScaleNormal="70" workbookViewId="0">
      <pane ySplit="660" topLeftCell="A78" activePane="bottomLeft"/>
      <selection activeCell="A16" sqref="A16"/>
      <selection pane="bottomLeft" activeCell="P56" sqref="P56"/>
    </sheetView>
  </sheetViews>
  <sheetFormatPr baseColWidth="10" defaultRowHeight="13.2"/>
  <cols>
    <col min="1" max="1" width="71.109375" customWidth="1"/>
    <col min="3" max="3" width="21.6640625" bestFit="1" customWidth="1"/>
    <col min="4" max="4" width="14.6640625" customWidth="1"/>
    <col min="5" max="5" width="20.88671875" bestFit="1" customWidth="1"/>
    <col min="6" max="6" width="19.5546875" bestFit="1" customWidth="1"/>
    <col min="9" max="9" width="16.44140625" bestFit="1" customWidth="1"/>
    <col min="11" max="11" width="7.6640625" bestFit="1" customWidth="1"/>
    <col min="12" max="12" width="13.109375" bestFit="1" customWidth="1"/>
  </cols>
  <sheetData>
    <row r="2" spans="1:10" s="1726" customFormat="1"/>
    <row r="3" spans="1:10" s="1726" customFormat="1"/>
    <row r="4" spans="1:10" s="1726" customFormat="1"/>
    <row r="5" spans="1:10" s="1726" customFormat="1" ht="15">
      <c r="A5" s="1726" t="s">
        <v>583</v>
      </c>
      <c r="C5" s="1725" t="s">
        <v>47</v>
      </c>
      <c r="D5" s="1725" t="s">
        <v>189</v>
      </c>
      <c r="E5" s="1725" t="s">
        <v>48</v>
      </c>
      <c r="F5" s="71" t="s">
        <v>19</v>
      </c>
      <c r="G5" s="71" t="s">
        <v>20</v>
      </c>
      <c r="H5" s="71" t="s">
        <v>49</v>
      </c>
    </row>
    <row r="6" spans="1:10" s="1726" customFormat="1">
      <c r="C6" s="252">
        <v>344.67099999999999</v>
      </c>
      <c r="E6" s="252">
        <f>+C6+D6</f>
        <v>344.67099999999999</v>
      </c>
      <c r="F6" s="84">
        <f>+F83</f>
        <v>8673.1069999999982</v>
      </c>
      <c r="G6" s="252">
        <f>+(E6-F6)</f>
        <v>-8328.4359999999979</v>
      </c>
      <c r="H6" s="1726">
        <f>+(G6/C6)*100</f>
        <v>-2416.3437016749299</v>
      </c>
    </row>
    <row r="7" spans="1:10" s="1726" customFormat="1"/>
    <row r="8" spans="1:10" s="1726" customFormat="1"/>
    <row r="9" spans="1:10" s="1726" customFormat="1"/>
    <row r="10" spans="1:10" s="1726" customFormat="1"/>
    <row r="11" spans="1:10" s="1726" customFormat="1"/>
    <row r="12" spans="1:10" s="1726" customFormat="1"/>
    <row r="13" spans="1:10" s="1726" customFormat="1"/>
    <row r="14" spans="1:10" s="1726" customFormat="1">
      <c r="J14" s="1211"/>
    </row>
    <row r="16" spans="1:10" s="1726" customFormat="1" ht="15" customHeight="1">
      <c r="A16" s="4006" t="s">
        <v>51</v>
      </c>
      <c r="B16" s="4006"/>
      <c r="C16" s="17"/>
      <c r="D16" s="17"/>
      <c r="E16" s="17"/>
      <c r="F16" s="17"/>
      <c r="G16" s="4007"/>
      <c r="H16" s="4008"/>
      <c r="I16" s="202"/>
    </row>
    <row r="17" spans="1:13" s="1726" customFormat="1" ht="5.0999999999999996" customHeight="1">
      <c r="A17" s="11"/>
      <c r="B17" s="8"/>
      <c r="C17" s="17"/>
      <c r="D17" s="17"/>
      <c r="E17" s="17"/>
      <c r="F17" s="18"/>
      <c r="G17" s="18"/>
      <c r="H17" s="11"/>
      <c r="I17" s="202"/>
    </row>
    <row r="18" spans="1:13" s="1726" customFormat="1" ht="15" customHeight="1" thickBot="1">
      <c r="A18" s="71" t="s">
        <v>45</v>
      </c>
      <c r="B18" s="71" t="s">
        <v>46</v>
      </c>
      <c r="C18" s="1725" t="s">
        <v>47</v>
      </c>
      <c r="D18" s="1725" t="s">
        <v>189</v>
      </c>
      <c r="E18" s="1725" t="s">
        <v>48</v>
      </c>
      <c r="F18" s="71" t="s">
        <v>19</v>
      </c>
      <c r="G18" s="71" t="s">
        <v>20</v>
      </c>
      <c r="H18" s="71" t="s">
        <v>49</v>
      </c>
      <c r="I18" s="203" t="s">
        <v>22</v>
      </c>
      <c r="M18" s="1690" t="s">
        <v>694</v>
      </c>
    </row>
    <row r="19" spans="1:13" s="1726" customFormat="1" ht="30">
      <c r="A19" s="3108" t="s">
        <v>617</v>
      </c>
      <c r="B19" s="119" t="s">
        <v>574</v>
      </c>
      <c r="C19" s="124">
        <v>27.658000000000001</v>
      </c>
      <c r="D19" s="1016"/>
      <c r="E19" s="124">
        <f t="shared" ref="E19:E41" si="0">+C19+D19</f>
        <v>27.658000000000001</v>
      </c>
      <c r="F19" s="242">
        <v>27.658000000000001</v>
      </c>
      <c r="G19" s="102">
        <f>+E19-F19</f>
        <v>0</v>
      </c>
      <c r="H19" s="1748">
        <f>+G19/E19</f>
        <v>0</v>
      </c>
      <c r="I19" s="182"/>
      <c r="J19" s="1726">
        <v>1</v>
      </c>
      <c r="L19" s="85">
        <f>(M19-F19)</f>
        <v>0</v>
      </c>
      <c r="M19" s="1726">
        <v>27.658000000000001</v>
      </c>
    </row>
    <row r="20" spans="1:13" s="1726" customFormat="1" ht="30">
      <c r="A20" s="3108" t="s">
        <v>618</v>
      </c>
      <c r="B20" s="119" t="s">
        <v>574</v>
      </c>
      <c r="C20" s="124">
        <v>82.054000000000002</v>
      </c>
      <c r="D20" s="101"/>
      <c r="E20" s="124">
        <f t="shared" si="0"/>
        <v>82.054000000000002</v>
      </c>
      <c r="F20" s="244">
        <v>82.054000000000002</v>
      </c>
      <c r="G20" s="102">
        <f t="shared" ref="G20:G81" si="1">+E20-F20</f>
        <v>0</v>
      </c>
      <c r="H20" s="1748">
        <f t="shared" ref="H20:H81" si="2">+G20/E20</f>
        <v>0</v>
      </c>
      <c r="I20" s="182"/>
      <c r="J20" s="118">
        <f>+J19+1</f>
        <v>2</v>
      </c>
      <c r="L20" s="85">
        <f t="shared" ref="L20:L81" si="3">(M20-F20)</f>
        <v>0</v>
      </c>
      <c r="M20" s="1726">
        <v>82.054000000000002</v>
      </c>
    </row>
    <row r="21" spans="1:13" s="1726" customFormat="1" ht="30">
      <c r="A21" s="3108" t="s">
        <v>619</v>
      </c>
      <c r="B21" s="119" t="s">
        <v>574</v>
      </c>
      <c r="C21" s="124">
        <v>94.742000000000004</v>
      </c>
      <c r="D21" s="101"/>
      <c r="E21" s="124">
        <f t="shared" si="0"/>
        <v>94.742000000000004</v>
      </c>
      <c r="F21" s="244">
        <f>6.221+0.564+77.89+10.067-27.193+22.114-18.343</f>
        <v>71.319999999999993</v>
      </c>
      <c r="G21" s="102">
        <f t="shared" si="1"/>
        <v>23.422000000000011</v>
      </c>
      <c r="H21" s="1748">
        <f t="shared" si="2"/>
        <v>0.24721876253403993</v>
      </c>
      <c r="I21" s="182"/>
      <c r="J21" s="118">
        <f t="shared" ref="J21:J81" si="4">+J20+1</f>
        <v>3</v>
      </c>
      <c r="L21" s="85">
        <f t="shared" si="3"/>
        <v>0</v>
      </c>
      <c r="M21" s="1726">
        <v>71.319999999999993</v>
      </c>
    </row>
    <row r="22" spans="1:13" s="1726" customFormat="1" ht="30">
      <c r="A22" s="3661" t="s">
        <v>620</v>
      </c>
      <c r="B22" s="119" t="s">
        <v>574</v>
      </c>
      <c r="C22" s="124">
        <v>346.34</v>
      </c>
      <c r="D22" s="101"/>
      <c r="E22" s="124">
        <f t="shared" si="0"/>
        <v>346.34</v>
      </c>
      <c r="F22" s="243">
        <v>342.40100000000001</v>
      </c>
      <c r="G22" s="102">
        <f>+E22-F22</f>
        <v>3.9389999999999645</v>
      </c>
      <c r="H22" s="1748">
        <f t="shared" si="2"/>
        <v>1.137321706993118E-2</v>
      </c>
      <c r="I22" s="182"/>
      <c r="J22" s="118">
        <f t="shared" si="4"/>
        <v>4</v>
      </c>
      <c r="L22" s="85">
        <f t="shared" si="3"/>
        <v>0</v>
      </c>
      <c r="M22" s="1726">
        <v>342.40100000000001</v>
      </c>
    </row>
    <row r="23" spans="1:13" s="1726" customFormat="1" ht="15">
      <c r="A23" s="3108" t="s">
        <v>621</v>
      </c>
      <c r="B23" s="119" t="s">
        <v>574</v>
      </c>
      <c r="C23" s="124">
        <v>0</v>
      </c>
      <c r="D23" s="101"/>
      <c r="E23" s="124">
        <f t="shared" si="0"/>
        <v>0</v>
      </c>
      <c r="F23" s="243"/>
      <c r="G23" s="102">
        <f t="shared" si="1"/>
        <v>0</v>
      </c>
      <c r="H23" s="1748" t="e">
        <f t="shared" si="2"/>
        <v>#DIV/0!</v>
      </c>
      <c r="I23" s="182"/>
      <c r="J23" s="118">
        <f t="shared" si="4"/>
        <v>5</v>
      </c>
      <c r="L23" s="85">
        <f t="shared" si="3"/>
        <v>0</v>
      </c>
      <c r="M23" s="1726">
        <v>0</v>
      </c>
    </row>
    <row r="24" spans="1:13" s="1726" customFormat="1" ht="15">
      <c r="A24" s="3108" t="s">
        <v>622</v>
      </c>
      <c r="B24" s="119" t="s">
        <v>574</v>
      </c>
      <c r="C24" s="124">
        <v>258.82900000000001</v>
      </c>
      <c r="D24" s="101"/>
      <c r="E24" s="124">
        <f t="shared" si="0"/>
        <v>258.82900000000001</v>
      </c>
      <c r="F24" s="243">
        <v>258.82900000000001</v>
      </c>
      <c r="G24" s="102">
        <f t="shared" si="1"/>
        <v>0</v>
      </c>
      <c r="H24" s="1748">
        <f t="shared" si="2"/>
        <v>0</v>
      </c>
      <c r="I24" s="182"/>
      <c r="J24" s="118">
        <f t="shared" si="4"/>
        <v>6</v>
      </c>
      <c r="L24" s="85">
        <f t="shared" si="3"/>
        <v>0</v>
      </c>
      <c r="M24" s="1726">
        <v>258.82900000000001</v>
      </c>
    </row>
    <row r="25" spans="1:13" s="1726" customFormat="1" ht="30">
      <c r="A25" s="3108" t="s">
        <v>623</v>
      </c>
      <c r="B25" s="119" t="s">
        <v>574</v>
      </c>
      <c r="C25" s="124">
        <v>270.52199999999999</v>
      </c>
      <c r="D25" s="101"/>
      <c r="E25" s="124">
        <f t="shared" si="0"/>
        <v>270.52199999999999</v>
      </c>
      <c r="F25" s="243">
        <f>15.353+0.685+8.443+4.558+241.479</f>
        <v>270.51800000000003</v>
      </c>
      <c r="G25" s="20">
        <f t="shared" si="1"/>
        <v>3.999999999962256E-3</v>
      </c>
      <c r="H25" s="1748">
        <f t="shared" si="2"/>
        <v>1.4786228107001487E-5</v>
      </c>
      <c r="I25" s="143"/>
      <c r="J25" s="118">
        <f t="shared" si="4"/>
        <v>7</v>
      </c>
      <c r="L25" s="85">
        <f t="shared" si="3"/>
        <v>-5.6843418860808015E-14</v>
      </c>
      <c r="M25" s="1726">
        <v>270.51799999999997</v>
      </c>
    </row>
    <row r="26" spans="1:13" s="1726" customFormat="1" ht="30">
      <c r="A26" s="3108" t="s">
        <v>624</v>
      </c>
      <c r="B26" s="119" t="s">
        <v>574</v>
      </c>
      <c r="C26" s="124">
        <v>0</v>
      </c>
      <c r="D26" s="101"/>
      <c r="E26" s="124">
        <f t="shared" si="0"/>
        <v>0</v>
      </c>
      <c r="F26" s="243"/>
      <c r="G26" s="20">
        <f t="shared" si="1"/>
        <v>0</v>
      </c>
      <c r="H26" s="1748" t="e">
        <f t="shared" si="2"/>
        <v>#DIV/0!</v>
      </c>
      <c r="I26" s="182"/>
      <c r="J26" s="118">
        <f t="shared" si="4"/>
        <v>8</v>
      </c>
      <c r="K26" s="1266"/>
      <c r="L26" s="85">
        <f t="shared" si="3"/>
        <v>0</v>
      </c>
      <c r="M26" s="1726">
        <v>0</v>
      </c>
    </row>
    <row r="27" spans="1:13" s="1726" customFormat="1" ht="30">
      <c r="A27" s="3108" t="s">
        <v>625</v>
      </c>
      <c r="B27" s="119" t="s">
        <v>574</v>
      </c>
      <c r="C27" s="124">
        <v>81.521000000000001</v>
      </c>
      <c r="D27" s="101"/>
      <c r="E27" s="124">
        <f t="shared" si="0"/>
        <v>81.521000000000001</v>
      </c>
      <c r="F27" s="243">
        <f>2.78+57.368+9.969+10.009+1.395</f>
        <v>81.521000000000001</v>
      </c>
      <c r="G27" s="20">
        <f t="shared" si="1"/>
        <v>0</v>
      </c>
      <c r="H27" s="1748">
        <f t="shared" si="2"/>
        <v>0</v>
      </c>
      <c r="I27" s="143"/>
      <c r="J27" s="118">
        <f t="shared" si="4"/>
        <v>9</v>
      </c>
      <c r="L27" s="85">
        <f t="shared" si="3"/>
        <v>0</v>
      </c>
      <c r="M27" s="1726">
        <v>81.521000000000001</v>
      </c>
    </row>
    <row r="28" spans="1:13" s="2034" customFormat="1" ht="15">
      <c r="A28" s="3108" t="s">
        <v>626</v>
      </c>
      <c r="B28" s="2047" t="s">
        <v>574</v>
      </c>
      <c r="C28" s="124">
        <v>0</v>
      </c>
      <c r="D28" s="1562"/>
      <c r="E28" s="124">
        <f t="shared" si="0"/>
        <v>0</v>
      </c>
      <c r="F28" s="2048"/>
      <c r="G28" s="1236">
        <f t="shared" si="1"/>
        <v>0</v>
      </c>
      <c r="H28" s="1748" t="e">
        <f t="shared" si="2"/>
        <v>#DIV/0!</v>
      </c>
      <c r="I28" s="1256"/>
      <c r="J28" s="1270">
        <f t="shared" si="4"/>
        <v>10</v>
      </c>
      <c r="K28" s="2049"/>
      <c r="L28" s="85">
        <f t="shared" si="3"/>
        <v>0</v>
      </c>
      <c r="M28" s="2034">
        <v>0</v>
      </c>
    </row>
    <row r="29" spans="1:13" s="1726" customFormat="1" ht="15" customHeight="1">
      <c r="A29" s="3108" t="s">
        <v>627</v>
      </c>
      <c r="B29" s="119" t="s">
        <v>574</v>
      </c>
      <c r="C29" s="124">
        <v>741.86800000000005</v>
      </c>
      <c r="D29" s="101"/>
      <c r="E29" s="124">
        <f t="shared" si="0"/>
        <v>741.86800000000005</v>
      </c>
      <c r="F29" s="243">
        <f>741.868-1.648+1.648</f>
        <v>741.86800000000005</v>
      </c>
      <c r="G29" s="20">
        <f>+E29-F29</f>
        <v>0</v>
      </c>
      <c r="H29" s="1748">
        <f t="shared" si="2"/>
        <v>0</v>
      </c>
      <c r="I29" s="143"/>
      <c r="J29" s="118">
        <f t="shared" si="4"/>
        <v>11</v>
      </c>
      <c r="L29" s="85">
        <f t="shared" si="3"/>
        <v>0</v>
      </c>
      <c r="M29" s="1726">
        <v>741.86800000000005</v>
      </c>
    </row>
    <row r="30" spans="1:13" s="1726" customFormat="1" ht="15">
      <c r="A30" s="3108" t="s">
        <v>628</v>
      </c>
      <c r="B30" s="119" t="s">
        <v>574</v>
      </c>
      <c r="C30" s="124">
        <v>46.284999999999997</v>
      </c>
      <c r="D30" s="101"/>
      <c r="E30" s="124">
        <f t="shared" si="0"/>
        <v>46.284999999999997</v>
      </c>
      <c r="F30" s="243">
        <f>36.844+2.928</f>
        <v>39.771999999999998</v>
      </c>
      <c r="G30" s="20">
        <f>+E30-F30</f>
        <v>6.5129999999999981</v>
      </c>
      <c r="H30" s="1748">
        <f t="shared" si="2"/>
        <v>0.14071513449281622</v>
      </c>
      <c r="I30" s="182"/>
      <c r="J30" s="118">
        <f t="shared" si="4"/>
        <v>12</v>
      </c>
      <c r="L30" s="85">
        <f t="shared" si="3"/>
        <v>0</v>
      </c>
      <c r="M30" s="1726">
        <v>39.771999999999998</v>
      </c>
    </row>
    <row r="31" spans="1:13" s="1726" customFormat="1" ht="15" customHeight="1">
      <c r="A31" s="3108" t="s">
        <v>629</v>
      </c>
      <c r="B31" s="119" t="s">
        <v>574</v>
      </c>
      <c r="C31" s="124">
        <v>139.77500000000001</v>
      </c>
      <c r="D31" s="101"/>
      <c r="E31" s="124">
        <f t="shared" si="0"/>
        <v>139.77500000000001</v>
      </c>
      <c r="F31" s="243">
        <f>3.379+3.788+20.657+8.597+103.354</f>
        <v>139.77500000000001</v>
      </c>
      <c r="G31" s="20">
        <f>+E31-F31</f>
        <v>0</v>
      </c>
      <c r="H31" s="1748">
        <f t="shared" si="2"/>
        <v>0</v>
      </c>
      <c r="I31" s="143"/>
      <c r="J31" s="118">
        <f t="shared" si="4"/>
        <v>13</v>
      </c>
      <c r="L31" s="85">
        <f t="shared" si="3"/>
        <v>0</v>
      </c>
      <c r="M31" s="1726">
        <v>139.77500000000001</v>
      </c>
    </row>
    <row r="32" spans="1:13" s="1726" customFormat="1" ht="30">
      <c r="A32" s="3108" t="s">
        <v>630</v>
      </c>
      <c r="B32" s="119" t="s">
        <v>574</v>
      </c>
      <c r="C32" s="124">
        <v>1.88</v>
      </c>
      <c r="D32" s="101"/>
      <c r="E32" s="124">
        <f t="shared" si="0"/>
        <v>1.88</v>
      </c>
      <c r="F32" s="243"/>
      <c r="G32" s="20">
        <f t="shared" si="1"/>
        <v>1.88</v>
      </c>
      <c r="H32" s="1748">
        <f t="shared" si="2"/>
        <v>1</v>
      </c>
      <c r="I32" s="182"/>
      <c r="J32" s="118">
        <f t="shared" si="4"/>
        <v>14</v>
      </c>
      <c r="L32" s="85">
        <f t="shared" si="3"/>
        <v>0</v>
      </c>
      <c r="M32" s="1726">
        <v>0</v>
      </c>
    </row>
    <row r="33" spans="1:13" s="1726" customFormat="1" ht="30">
      <c r="A33" s="3108" t="s">
        <v>631</v>
      </c>
      <c r="B33" s="119" t="s">
        <v>574</v>
      </c>
      <c r="C33" s="124">
        <v>242.458</v>
      </c>
      <c r="D33" s="101"/>
      <c r="E33" s="124">
        <f>+C33+D33</f>
        <v>242.458</v>
      </c>
      <c r="F33" s="243">
        <f>2.77+239.688-3+3</f>
        <v>242.458</v>
      </c>
      <c r="G33" s="20">
        <f t="shared" si="1"/>
        <v>0</v>
      </c>
      <c r="H33" s="1748">
        <f t="shared" si="2"/>
        <v>0</v>
      </c>
      <c r="I33" s="182"/>
      <c r="J33" s="118">
        <f t="shared" si="4"/>
        <v>15</v>
      </c>
      <c r="L33" s="85">
        <f t="shared" si="3"/>
        <v>0</v>
      </c>
      <c r="M33" s="1726">
        <v>242.458</v>
      </c>
    </row>
    <row r="34" spans="1:13" s="1726" customFormat="1" ht="30">
      <c r="A34" s="3108" t="s">
        <v>632</v>
      </c>
      <c r="B34" s="2036" t="s">
        <v>574</v>
      </c>
      <c r="C34" s="3163">
        <v>154.68600000000001</v>
      </c>
      <c r="D34" s="2037"/>
      <c r="E34" s="3163">
        <f t="shared" si="0"/>
        <v>154.68600000000001</v>
      </c>
      <c r="F34" s="2038">
        <f>0.7+5.558+1.412+13.789+2.154+131.073</f>
        <v>154.68600000000001</v>
      </c>
      <c r="G34" s="2039">
        <f t="shared" si="1"/>
        <v>0</v>
      </c>
      <c r="H34" s="3164">
        <f t="shared" si="2"/>
        <v>0</v>
      </c>
      <c r="I34" s="2040"/>
      <c r="J34" s="2041">
        <f t="shared" si="4"/>
        <v>16</v>
      </c>
      <c r="L34" s="85">
        <f t="shared" si="3"/>
        <v>0</v>
      </c>
      <c r="M34" s="1726">
        <v>154.68600000000001</v>
      </c>
    </row>
    <row r="35" spans="1:13" s="1726" customFormat="1" ht="30">
      <c r="A35" s="3108" t="s">
        <v>633</v>
      </c>
      <c r="B35" s="119" t="s">
        <v>574</v>
      </c>
      <c r="C35" s="124">
        <v>503.81400000000002</v>
      </c>
      <c r="D35" s="101"/>
      <c r="E35" s="124">
        <f t="shared" si="0"/>
        <v>503.81400000000002</v>
      </c>
      <c r="F35" s="243">
        <f>351.71+68.195+63.724+4.706+0.105+10.218+5.139+0.017</f>
        <v>503.81400000000002</v>
      </c>
      <c r="G35" s="20">
        <f>+E35-F35</f>
        <v>0</v>
      </c>
      <c r="H35" s="1748">
        <f t="shared" si="2"/>
        <v>0</v>
      </c>
      <c r="I35" s="182"/>
      <c r="J35" s="118">
        <f t="shared" si="4"/>
        <v>17</v>
      </c>
      <c r="L35" s="85">
        <f t="shared" si="3"/>
        <v>0</v>
      </c>
      <c r="M35" s="1726">
        <v>503.81400000000002</v>
      </c>
    </row>
    <row r="36" spans="1:13" s="1726" customFormat="1" ht="30">
      <c r="A36" s="3108" t="s">
        <v>634</v>
      </c>
      <c r="B36" s="119" t="s">
        <v>574</v>
      </c>
      <c r="C36" s="124">
        <v>8.6549999999999994</v>
      </c>
      <c r="D36" s="101"/>
      <c r="E36" s="124">
        <f t="shared" si="0"/>
        <v>8.6549999999999994</v>
      </c>
      <c r="F36" s="243">
        <v>0.44500000000000001</v>
      </c>
      <c r="G36" s="20">
        <f t="shared" si="1"/>
        <v>8.2099999999999991</v>
      </c>
      <c r="H36" s="1748">
        <f t="shared" si="2"/>
        <v>0.94858463316002306</v>
      </c>
      <c r="I36" s="143"/>
      <c r="J36" s="118">
        <f t="shared" si="4"/>
        <v>18</v>
      </c>
      <c r="L36" s="85">
        <f t="shared" si="3"/>
        <v>0</v>
      </c>
      <c r="M36" s="1726">
        <v>0.44500000000000001</v>
      </c>
    </row>
    <row r="37" spans="1:13" s="1726" customFormat="1" ht="30">
      <c r="A37" s="3108" t="s">
        <v>635</v>
      </c>
      <c r="B37" s="119" t="s">
        <v>574</v>
      </c>
      <c r="C37" s="124">
        <v>137.126</v>
      </c>
      <c r="D37" s="187"/>
      <c r="E37" s="124">
        <f t="shared" si="0"/>
        <v>137.126</v>
      </c>
      <c r="F37" s="243">
        <v>137.126</v>
      </c>
      <c r="G37" s="102">
        <f>+E37-F37</f>
        <v>0</v>
      </c>
      <c r="H37" s="1748">
        <f t="shared" si="2"/>
        <v>0</v>
      </c>
      <c r="I37" s="182"/>
      <c r="J37" s="118">
        <f t="shared" si="4"/>
        <v>19</v>
      </c>
      <c r="L37" s="85">
        <f t="shared" si="3"/>
        <v>0</v>
      </c>
      <c r="M37" s="1726">
        <v>137.126</v>
      </c>
    </row>
    <row r="38" spans="1:13" s="1726" customFormat="1" ht="30">
      <c r="A38" s="3108" t="s">
        <v>636</v>
      </c>
      <c r="B38" s="119" t="s">
        <v>574</v>
      </c>
      <c r="C38" s="124">
        <v>235.72900000000001</v>
      </c>
      <c r="D38" s="101"/>
      <c r="E38" s="124">
        <f t="shared" si="0"/>
        <v>235.72900000000001</v>
      </c>
      <c r="F38" s="243">
        <f>29.191+18+188.538</f>
        <v>235.72900000000001</v>
      </c>
      <c r="G38" s="20">
        <f>+E38-F38</f>
        <v>0</v>
      </c>
      <c r="H38" s="1748">
        <f t="shared" si="2"/>
        <v>0</v>
      </c>
      <c r="I38" s="182"/>
      <c r="J38" s="118">
        <f t="shared" si="4"/>
        <v>20</v>
      </c>
      <c r="L38" s="85">
        <f t="shared" si="3"/>
        <v>0</v>
      </c>
      <c r="M38" s="1726">
        <v>235.72900000000001</v>
      </c>
    </row>
    <row r="39" spans="1:13" s="1726" customFormat="1" ht="30">
      <c r="A39" s="3108" t="s">
        <v>637</v>
      </c>
      <c r="B39" s="119" t="s">
        <v>574</v>
      </c>
      <c r="C39" s="124">
        <v>299.37099999999998</v>
      </c>
      <c r="D39" s="101"/>
      <c r="E39" s="124">
        <f t="shared" si="0"/>
        <v>299.37099999999998</v>
      </c>
      <c r="F39" s="243">
        <f>9.94+1.447+288.013</f>
        <v>299.39999999999998</v>
      </c>
      <c r="G39" s="20">
        <f>+E39-F39</f>
        <v>-2.8999999999996362E-2</v>
      </c>
      <c r="H39" s="1748">
        <f t="shared" si="2"/>
        <v>-9.6869770285018804E-5</v>
      </c>
      <c r="I39" s="182"/>
      <c r="J39" s="118">
        <f t="shared" si="4"/>
        <v>21</v>
      </c>
      <c r="L39" s="85">
        <f t="shared" si="3"/>
        <v>0</v>
      </c>
      <c r="M39" s="1726">
        <v>299.39999999999998</v>
      </c>
    </row>
    <row r="40" spans="1:13" s="1211" customFormat="1" ht="30">
      <c r="A40" s="3108" t="s">
        <v>638</v>
      </c>
      <c r="B40" s="2036" t="s">
        <v>574</v>
      </c>
      <c r="C40" s="124">
        <v>91.361999999999995</v>
      </c>
      <c r="D40" s="2037"/>
      <c r="E40" s="124">
        <f t="shared" si="0"/>
        <v>91.361999999999995</v>
      </c>
      <c r="F40" s="2038">
        <f>3.025+22.127+27.363+5.072+33.98-0.205</f>
        <v>91.362000000000009</v>
      </c>
      <c r="G40" s="2039">
        <f t="shared" si="1"/>
        <v>0</v>
      </c>
      <c r="H40" s="1748">
        <f t="shared" si="2"/>
        <v>0</v>
      </c>
      <c r="I40" s="2040"/>
      <c r="J40" s="2041">
        <f t="shared" si="4"/>
        <v>22</v>
      </c>
      <c r="L40" s="85">
        <f t="shared" si="3"/>
        <v>-1.4210854715202004E-14</v>
      </c>
      <c r="M40" s="1211">
        <v>91.361999999999995</v>
      </c>
    </row>
    <row r="41" spans="1:13" s="1726" customFormat="1" ht="30">
      <c r="A41" s="3108" t="s">
        <v>639</v>
      </c>
      <c r="B41" s="119" t="s">
        <v>574</v>
      </c>
      <c r="C41" s="124">
        <v>256.27199999999999</v>
      </c>
      <c r="D41" s="101"/>
      <c r="E41" s="124">
        <f t="shared" si="0"/>
        <v>256.27199999999999</v>
      </c>
      <c r="F41" s="243">
        <f>3.182+28.046+225.044-11.266+11.266</f>
        <v>256.27199999999999</v>
      </c>
      <c r="G41" s="20">
        <f t="shared" si="1"/>
        <v>0</v>
      </c>
      <c r="H41" s="1748">
        <f t="shared" si="2"/>
        <v>0</v>
      </c>
      <c r="I41" s="143"/>
      <c r="J41" s="118">
        <f t="shared" si="4"/>
        <v>23</v>
      </c>
      <c r="K41" s="1266"/>
      <c r="L41" s="85">
        <f t="shared" si="3"/>
        <v>0</v>
      </c>
      <c r="M41" s="1726">
        <v>256.27199999999999</v>
      </c>
    </row>
    <row r="42" spans="1:13" s="1726" customFormat="1" ht="30">
      <c r="A42" s="3108" t="s">
        <v>640</v>
      </c>
      <c r="B42" s="119" t="s">
        <v>574</v>
      </c>
      <c r="C42" s="124">
        <v>20.643999999999998</v>
      </c>
      <c r="D42" s="124">
        <v>-15.759</v>
      </c>
      <c r="E42" s="2466">
        <f>+C42+D42</f>
        <v>4.884999999999998</v>
      </c>
      <c r="F42" s="243">
        <v>4.8849999999999998</v>
      </c>
      <c r="G42" s="20">
        <f t="shared" si="1"/>
        <v>0</v>
      </c>
      <c r="H42" s="1748">
        <f t="shared" si="2"/>
        <v>0</v>
      </c>
      <c r="I42" s="182"/>
      <c r="J42" s="118">
        <f t="shared" si="4"/>
        <v>24</v>
      </c>
      <c r="L42" s="85">
        <f t="shared" si="3"/>
        <v>0</v>
      </c>
      <c r="M42" s="1726">
        <v>4.8849999999999998</v>
      </c>
    </row>
    <row r="43" spans="1:13" s="1726" customFormat="1" ht="45">
      <c r="A43" s="3108" t="s">
        <v>641</v>
      </c>
      <c r="B43" s="119" t="s">
        <v>574</v>
      </c>
      <c r="C43" s="124">
        <v>8.68</v>
      </c>
      <c r="D43" s="101"/>
      <c r="E43" s="124">
        <f t="shared" ref="E43:E82" si="5">+C43+D43</f>
        <v>8.68</v>
      </c>
      <c r="F43" s="243">
        <v>8.6219999999999999</v>
      </c>
      <c r="G43" s="20">
        <f t="shared" si="1"/>
        <v>5.7999999999999829E-2</v>
      </c>
      <c r="H43" s="1748">
        <f t="shared" si="2"/>
        <v>6.6820276497695655E-3</v>
      </c>
      <c r="I43" s="182"/>
      <c r="J43" s="118">
        <f t="shared" si="4"/>
        <v>25</v>
      </c>
      <c r="L43" s="85">
        <f t="shared" si="3"/>
        <v>0</v>
      </c>
      <c r="M43" s="1726">
        <v>8.6219999999999999</v>
      </c>
    </row>
    <row r="44" spans="1:13" s="1726" customFormat="1" ht="15">
      <c r="A44" s="3108" t="s">
        <v>642</v>
      </c>
      <c r="B44" s="119" t="s">
        <v>574</v>
      </c>
      <c r="C44" s="124">
        <v>54.88</v>
      </c>
      <c r="D44" s="101"/>
      <c r="E44" s="124">
        <f t="shared" si="5"/>
        <v>54.88</v>
      </c>
      <c r="F44" s="243">
        <v>54.88</v>
      </c>
      <c r="G44" s="20">
        <f t="shared" si="1"/>
        <v>0</v>
      </c>
      <c r="H44" s="1748">
        <f t="shared" si="2"/>
        <v>0</v>
      </c>
      <c r="I44" s="143"/>
      <c r="J44" s="118">
        <f t="shared" si="4"/>
        <v>26</v>
      </c>
      <c r="L44" s="85">
        <f t="shared" si="3"/>
        <v>0</v>
      </c>
      <c r="M44" s="1726">
        <v>54.88</v>
      </c>
    </row>
    <row r="45" spans="1:13" s="1726" customFormat="1" ht="30">
      <c r="A45" s="3108" t="s">
        <v>643</v>
      </c>
      <c r="B45" s="119" t="s">
        <v>574</v>
      </c>
      <c r="C45" s="124">
        <v>43.246000000000002</v>
      </c>
      <c r="D45" s="101"/>
      <c r="E45" s="124">
        <f t="shared" si="5"/>
        <v>43.246000000000002</v>
      </c>
      <c r="F45" s="243">
        <f>9.274+33.972</f>
        <v>43.246000000000002</v>
      </c>
      <c r="G45" s="20">
        <f t="shared" si="1"/>
        <v>0</v>
      </c>
      <c r="H45" s="1748">
        <f t="shared" si="2"/>
        <v>0</v>
      </c>
      <c r="I45" s="182"/>
      <c r="J45" s="118">
        <f t="shared" si="4"/>
        <v>27</v>
      </c>
      <c r="L45" s="85">
        <f t="shared" si="3"/>
        <v>0</v>
      </c>
      <c r="M45" s="1726">
        <v>43.246000000000002</v>
      </c>
    </row>
    <row r="46" spans="1:13" s="1726" customFormat="1" ht="30">
      <c r="A46" s="3108" t="s">
        <v>644</v>
      </c>
      <c r="B46" s="119" t="s">
        <v>574</v>
      </c>
      <c r="C46" s="124">
        <v>59.96</v>
      </c>
      <c r="D46" s="101"/>
      <c r="E46" s="124">
        <f t="shared" si="5"/>
        <v>59.96</v>
      </c>
      <c r="F46" s="244">
        <f>59.387+0.571</f>
        <v>59.957999999999998</v>
      </c>
      <c r="G46" s="20">
        <f t="shared" si="1"/>
        <v>2.0000000000024443E-3</v>
      </c>
      <c r="H46" s="1748">
        <f t="shared" si="2"/>
        <v>3.3355570380294267E-5</v>
      </c>
      <c r="I46" s="182"/>
      <c r="J46" s="112">
        <f t="shared" si="4"/>
        <v>28</v>
      </c>
      <c r="K46" s="117"/>
      <c r="L46" s="85">
        <f t="shared" si="3"/>
        <v>0</v>
      </c>
      <c r="M46" s="1726">
        <v>59.957999999999998</v>
      </c>
    </row>
    <row r="47" spans="1:13" s="1726" customFormat="1" ht="30">
      <c r="A47" s="3108" t="s">
        <v>645</v>
      </c>
      <c r="B47" s="119" t="s">
        <v>574</v>
      </c>
      <c r="C47" s="124">
        <v>89.44</v>
      </c>
      <c r="D47" s="101"/>
      <c r="E47" s="124">
        <f t="shared" si="5"/>
        <v>89.44</v>
      </c>
      <c r="F47" s="244">
        <f>26.417+13.212+49.811</f>
        <v>89.44</v>
      </c>
      <c r="G47" s="20">
        <f t="shared" si="1"/>
        <v>0</v>
      </c>
      <c r="H47" s="1748">
        <f t="shared" si="2"/>
        <v>0</v>
      </c>
      <c r="I47" s="182"/>
      <c r="J47" s="118">
        <f t="shared" si="4"/>
        <v>29</v>
      </c>
      <c r="L47" s="85">
        <f t="shared" si="3"/>
        <v>0</v>
      </c>
      <c r="M47" s="1726">
        <v>89.44</v>
      </c>
    </row>
    <row r="48" spans="1:13" s="2034" customFormat="1" ht="30">
      <c r="A48" s="3108" t="s">
        <v>646</v>
      </c>
      <c r="B48" s="2047" t="s">
        <v>574</v>
      </c>
      <c r="C48" s="124">
        <v>0</v>
      </c>
      <c r="D48" s="1562"/>
      <c r="E48" s="124">
        <f t="shared" si="5"/>
        <v>0</v>
      </c>
      <c r="F48" s="2050"/>
      <c r="G48" s="1236">
        <f t="shared" si="1"/>
        <v>0</v>
      </c>
      <c r="H48" s="1748" t="e">
        <f t="shared" si="2"/>
        <v>#DIV/0!</v>
      </c>
      <c r="I48" s="1256"/>
      <c r="J48" s="1270">
        <f t="shared" si="4"/>
        <v>30</v>
      </c>
      <c r="L48" s="85">
        <f t="shared" si="3"/>
        <v>0</v>
      </c>
      <c r="M48" s="2034">
        <v>0</v>
      </c>
    </row>
    <row r="49" spans="1:13" s="1726" customFormat="1" ht="45">
      <c r="A49" s="3108" t="s">
        <v>647</v>
      </c>
      <c r="B49" s="119" t="s">
        <v>574</v>
      </c>
      <c r="C49" s="124">
        <v>120.11</v>
      </c>
      <c r="D49" s="101"/>
      <c r="E49" s="124">
        <f t="shared" si="5"/>
        <v>120.11</v>
      </c>
      <c r="F49" s="244">
        <f>3.175+96.112</f>
        <v>99.286999999999992</v>
      </c>
      <c r="G49" s="20">
        <f t="shared" si="1"/>
        <v>20.823000000000008</v>
      </c>
      <c r="H49" s="1748">
        <f t="shared" si="2"/>
        <v>0.17336608109233209</v>
      </c>
      <c r="I49" s="143"/>
      <c r="J49" s="118">
        <f t="shared" si="4"/>
        <v>31</v>
      </c>
      <c r="L49" s="85">
        <f t="shared" si="3"/>
        <v>1.4210854715202004E-14</v>
      </c>
      <c r="M49" s="1726">
        <v>99.287000000000006</v>
      </c>
    </row>
    <row r="50" spans="1:13" s="1726" customFormat="1" ht="45">
      <c r="A50" s="3108" t="s">
        <v>648</v>
      </c>
      <c r="B50" s="119" t="s">
        <v>574</v>
      </c>
      <c r="C50" s="124">
        <v>131.172</v>
      </c>
      <c r="D50" s="101"/>
      <c r="E50" s="124">
        <f t="shared" si="5"/>
        <v>131.172</v>
      </c>
      <c r="F50" s="244">
        <f>11.428+1.162+45.456+0.715+72.411</f>
        <v>131.17200000000003</v>
      </c>
      <c r="G50" s="20">
        <f t="shared" si="1"/>
        <v>0</v>
      </c>
      <c r="H50" s="1748">
        <f t="shared" si="2"/>
        <v>0</v>
      </c>
      <c r="I50" s="143"/>
      <c r="J50" s="112">
        <f t="shared" si="4"/>
        <v>32</v>
      </c>
      <c r="L50" s="85">
        <f t="shared" si="3"/>
        <v>-2.8421709430404007E-14</v>
      </c>
      <c r="M50" s="1726">
        <v>131.172</v>
      </c>
    </row>
    <row r="51" spans="1:13" s="1726" customFormat="1" ht="15">
      <c r="A51" s="3660" t="s">
        <v>649</v>
      </c>
      <c r="B51" s="119" t="s">
        <v>574</v>
      </c>
      <c r="C51" s="124">
        <v>4.72</v>
      </c>
      <c r="D51" s="101"/>
      <c r="E51" s="124">
        <f t="shared" si="5"/>
        <v>4.72</v>
      </c>
      <c r="F51" s="244">
        <v>1.3720000000000001</v>
      </c>
      <c r="G51" s="20">
        <f t="shared" si="1"/>
        <v>3.3479999999999999</v>
      </c>
      <c r="H51" s="1748">
        <f t="shared" si="2"/>
        <v>0.70932203389830506</v>
      </c>
      <c r="I51" s="182"/>
      <c r="J51" s="118">
        <f t="shared" si="4"/>
        <v>33</v>
      </c>
      <c r="L51" s="85">
        <f t="shared" si="3"/>
        <v>0</v>
      </c>
      <c r="M51" s="1726">
        <v>1.3720000000000001</v>
      </c>
    </row>
    <row r="52" spans="1:13" s="1726" customFormat="1" ht="30">
      <c r="A52" s="3108" t="s">
        <v>650</v>
      </c>
      <c r="B52" s="119" t="s">
        <v>574</v>
      </c>
      <c r="C52" s="124">
        <v>11.541</v>
      </c>
      <c r="D52" s="101">
        <v>-7.2510000000000003</v>
      </c>
      <c r="E52" s="124">
        <f t="shared" si="5"/>
        <v>4.29</v>
      </c>
      <c r="F52" s="244">
        <v>4.2880000000000003</v>
      </c>
      <c r="G52" s="20">
        <f t="shared" si="1"/>
        <v>1.9999999999997797E-3</v>
      </c>
      <c r="H52" s="1748">
        <f t="shared" si="2"/>
        <v>4.6620046620041486E-4</v>
      </c>
      <c r="I52" s="182"/>
      <c r="J52" s="118">
        <f t="shared" si="4"/>
        <v>34</v>
      </c>
      <c r="L52" s="85">
        <f t="shared" si="3"/>
        <v>0</v>
      </c>
      <c r="M52" s="1726">
        <v>4.2880000000000003</v>
      </c>
    </row>
    <row r="53" spans="1:13" s="1726" customFormat="1" ht="45">
      <c r="A53" s="3108" t="s">
        <v>651</v>
      </c>
      <c r="B53" s="119" t="s">
        <v>574</v>
      </c>
      <c r="C53" s="124">
        <v>142.03</v>
      </c>
      <c r="D53" s="101"/>
      <c r="E53" s="124">
        <f t="shared" si="5"/>
        <v>142.03</v>
      </c>
      <c r="F53" s="244">
        <f>12.668+38.152+91.21</f>
        <v>142.03</v>
      </c>
      <c r="G53" s="20">
        <f t="shared" si="1"/>
        <v>0</v>
      </c>
      <c r="H53" s="1748">
        <f t="shared" si="2"/>
        <v>0</v>
      </c>
      <c r="I53" s="182"/>
      <c r="J53" s="118">
        <f t="shared" si="4"/>
        <v>35</v>
      </c>
      <c r="L53" s="85">
        <f t="shared" si="3"/>
        <v>0</v>
      </c>
      <c r="M53" s="1726">
        <v>142.03</v>
      </c>
    </row>
    <row r="54" spans="1:13" s="1726" customFormat="1" ht="30">
      <c r="A54" s="3108" t="s">
        <v>652</v>
      </c>
      <c r="B54" s="119" t="s">
        <v>574</v>
      </c>
      <c r="C54" s="124">
        <v>55.965000000000003</v>
      </c>
      <c r="D54" s="101"/>
      <c r="E54" s="124">
        <f t="shared" si="5"/>
        <v>55.965000000000003</v>
      </c>
      <c r="F54" s="244">
        <v>55.965000000000003</v>
      </c>
      <c r="G54" s="20">
        <f t="shared" si="1"/>
        <v>0</v>
      </c>
      <c r="H54" s="1748">
        <f t="shared" si="2"/>
        <v>0</v>
      </c>
      <c r="I54" s="182"/>
      <c r="J54" s="118">
        <f t="shared" si="4"/>
        <v>36</v>
      </c>
      <c r="L54" s="85">
        <f t="shared" si="3"/>
        <v>0</v>
      </c>
      <c r="M54" s="1726">
        <v>55.965000000000003</v>
      </c>
    </row>
    <row r="55" spans="1:13" s="1726" customFormat="1" ht="30">
      <c r="A55" s="3108" t="s">
        <v>653</v>
      </c>
      <c r="B55" s="119" t="s">
        <v>574</v>
      </c>
      <c r="C55" s="124">
        <v>374.39100000000002</v>
      </c>
      <c r="D55" s="101"/>
      <c r="E55" s="124">
        <f t="shared" si="5"/>
        <v>374.39100000000002</v>
      </c>
      <c r="F55" s="244">
        <f>11.538+24.429+1.455+26.183+20.934+265.495+24.366</f>
        <v>374.4</v>
      </c>
      <c r="G55" s="20">
        <f t="shared" si="1"/>
        <v>-8.9999999999577085E-3</v>
      </c>
      <c r="H55" s="1748">
        <f t="shared" si="2"/>
        <v>-2.4039039399872614E-5</v>
      </c>
      <c r="I55" s="182"/>
      <c r="J55" s="118">
        <f t="shared" si="4"/>
        <v>37</v>
      </c>
      <c r="L55" s="85">
        <f t="shared" si="3"/>
        <v>0</v>
      </c>
      <c r="M55" s="1726">
        <v>374.4</v>
      </c>
    </row>
    <row r="56" spans="1:13" s="1726" customFormat="1" ht="30">
      <c r="A56" s="3108" t="s">
        <v>654</v>
      </c>
      <c r="B56" s="119" t="s">
        <v>574</v>
      </c>
      <c r="C56" s="124">
        <v>62.936999999999998</v>
      </c>
      <c r="D56" s="186"/>
      <c r="E56" s="124">
        <f t="shared" si="5"/>
        <v>62.936999999999998</v>
      </c>
      <c r="F56" s="244">
        <f>0.178+44.259+18.5</f>
        <v>62.936999999999998</v>
      </c>
      <c r="G56" s="20">
        <f t="shared" si="1"/>
        <v>0</v>
      </c>
      <c r="H56" s="1748">
        <f t="shared" si="2"/>
        <v>0</v>
      </c>
      <c r="I56" s="143"/>
      <c r="J56" s="118">
        <f t="shared" si="4"/>
        <v>38</v>
      </c>
      <c r="L56" s="85">
        <f t="shared" si="3"/>
        <v>0</v>
      </c>
      <c r="M56" s="1726">
        <v>62.936999999999998</v>
      </c>
    </row>
    <row r="57" spans="1:13" s="1726" customFormat="1" ht="15">
      <c r="A57" s="3108" t="s">
        <v>655</v>
      </c>
      <c r="B57" s="119" t="s">
        <v>574</v>
      </c>
      <c r="C57" s="124">
        <v>149.898</v>
      </c>
      <c r="D57" s="186"/>
      <c r="E57" s="124">
        <f t="shared" si="5"/>
        <v>149.898</v>
      </c>
      <c r="F57" s="244">
        <f>0.424+3.723+67.015+2.166+23.456+53.114</f>
        <v>149.898</v>
      </c>
      <c r="G57" s="20">
        <f t="shared" si="1"/>
        <v>0</v>
      </c>
      <c r="H57" s="1748">
        <f t="shared" si="2"/>
        <v>0</v>
      </c>
      <c r="I57" s="143"/>
      <c r="J57" s="118">
        <f t="shared" si="4"/>
        <v>39</v>
      </c>
      <c r="L57" s="85">
        <f t="shared" si="3"/>
        <v>0</v>
      </c>
      <c r="M57" s="1726">
        <v>149.898</v>
      </c>
    </row>
    <row r="58" spans="1:13" s="1726" customFormat="1" ht="30">
      <c r="A58" s="3108" t="s">
        <v>656</v>
      </c>
      <c r="B58" s="119" t="s">
        <v>574</v>
      </c>
      <c r="C58" s="124">
        <v>0</v>
      </c>
      <c r="D58" s="186"/>
      <c r="E58" s="124">
        <f t="shared" si="5"/>
        <v>0</v>
      </c>
      <c r="F58" s="244"/>
      <c r="G58" s="102">
        <f t="shared" si="1"/>
        <v>0</v>
      </c>
      <c r="H58" s="1748" t="e">
        <f t="shared" si="2"/>
        <v>#DIV/0!</v>
      </c>
      <c r="I58" s="182"/>
      <c r="J58" s="118">
        <f t="shared" si="4"/>
        <v>40</v>
      </c>
      <c r="L58" s="85">
        <f t="shared" si="3"/>
        <v>0</v>
      </c>
      <c r="M58" s="1726">
        <v>0</v>
      </c>
    </row>
    <row r="59" spans="1:13" s="1726" customFormat="1" ht="45">
      <c r="A59" s="3108" t="s">
        <v>657</v>
      </c>
      <c r="B59" s="119" t="s">
        <v>574</v>
      </c>
      <c r="C59" s="124">
        <v>40.392000000000003</v>
      </c>
      <c r="D59" s="101">
        <v>-26.001999999999999</v>
      </c>
      <c r="E59" s="124">
        <f t="shared" si="5"/>
        <v>14.390000000000004</v>
      </c>
      <c r="F59" s="244">
        <v>13.933999999999999</v>
      </c>
      <c r="G59" s="20">
        <f t="shared" si="1"/>
        <v>0.45600000000000485</v>
      </c>
      <c r="H59" s="1748">
        <f t="shared" si="2"/>
        <v>3.1688672689367946E-2</v>
      </c>
      <c r="I59" s="182"/>
      <c r="J59" s="118">
        <f t="shared" si="4"/>
        <v>41</v>
      </c>
      <c r="L59" s="85">
        <f t="shared" si="3"/>
        <v>0</v>
      </c>
      <c r="M59" s="1726">
        <v>13.933999999999999</v>
      </c>
    </row>
    <row r="60" spans="1:13" s="1726" customFormat="1" ht="30">
      <c r="A60" s="3108" t="s">
        <v>658</v>
      </c>
      <c r="B60" s="119" t="s">
        <v>574</v>
      </c>
      <c r="C60" s="124">
        <v>259.87099999999998</v>
      </c>
      <c r="D60" s="101"/>
      <c r="E60" s="124">
        <f t="shared" si="5"/>
        <v>259.87099999999998</v>
      </c>
      <c r="F60" s="244">
        <f>201.633+29.755+4.428+19.029+5.026</f>
        <v>259.87099999999998</v>
      </c>
      <c r="G60" s="20">
        <f t="shared" si="1"/>
        <v>0</v>
      </c>
      <c r="H60" s="1748">
        <f t="shared" si="2"/>
        <v>0</v>
      </c>
      <c r="I60" s="214"/>
      <c r="J60" s="118">
        <f t="shared" si="4"/>
        <v>42</v>
      </c>
      <c r="L60" s="85">
        <f t="shared" si="3"/>
        <v>0</v>
      </c>
      <c r="M60" s="1726">
        <v>259.87099999999998</v>
      </c>
    </row>
    <row r="61" spans="1:13" s="1726" customFormat="1" ht="30">
      <c r="A61" s="3108" t="s">
        <v>659</v>
      </c>
      <c r="B61" s="119" t="s">
        <v>574</v>
      </c>
      <c r="C61" s="124">
        <v>175.44499999999999</v>
      </c>
      <c r="D61" s="101"/>
      <c r="E61" s="124">
        <f t="shared" si="5"/>
        <v>175.44499999999999</v>
      </c>
      <c r="F61" s="244">
        <f>3.053+2.948+169.444</f>
        <v>175.44499999999999</v>
      </c>
      <c r="G61" s="20">
        <f t="shared" si="1"/>
        <v>0</v>
      </c>
      <c r="H61" s="1748">
        <f t="shared" si="2"/>
        <v>0</v>
      </c>
      <c r="I61" s="182"/>
      <c r="J61" s="118">
        <f t="shared" si="4"/>
        <v>43</v>
      </c>
      <c r="L61" s="85">
        <f t="shared" si="3"/>
        <v>0</v>
      </c>
      <c r="M61" s="1726">
        <v>175.44499999999999</v>
      </c>
    </row>
    <row r="62" spans="1:13" s="1726" customFormat="1" ht="15">
      <c r="A62" s="3108" t="s">
        <v>660</v>
      </c>
      <c r="B62" s="119" t="s">
        <v>574</v>
      </c>
      <c r="C62" s="124">
        <v>11.541</v>
      </c>
      <c r="D62" s="101"/>
      <c r="E62" s="124">
        <f t="shared" si="5"/>
        <v>11.541</v>
      </c>
      <c r="F62" s="244">
        <f>0.713+5.276+2.63</f>
        <v>8.6189999999999998</v>
      </c>
      <c r="G62" s="20">
        <f t="shared" si="1"/>
        <v>2.9220000000000006</v>
      </c>
      <c r="H62" s="1748">
        <f t="shared" si="2"/>
        <v>0.25318429945412013</v>
      </c>
      <c r="I62" s="215"/>
      <c r="J62" s="118">
        <f t="shared" si="4"/>
        <v>44</v>
      </c>
      <c r="L62" s="85">
        <f t="shared" si="3"/>
        <v>0</v>
      </c>
      <c r="M62" s="1726">
        <v>8.6189999999999998</v>
      </c>
    </row>
    <row r="63" spans="1:13" s="1726" customFormat="1" ht="15" customHeight="1">
      <c r="A63" s="3108" t="s">
        <v>661</v>
      </c>
      <c r="B63" s="119" t="s">
        <v>574</v>
      </c>
      <c r="C63" s="124">
        <v>465.22500000000002</v>
      </c>
      <c r="D63" s="101"/>
      <c r="E63" s="124">
        <f t="shared" si="5"/>
        <v>465.22500000000002</v>
      </c>
      <c r="F63" s="244">
        <f>31.891+1.472+16.031+2.759+2.203+401.869+9</f>
        <v>465.22500000000002</v>
      </c>
      <c r="G63" s="20">
        <f t="shared" si="1"/>
        <v>0</v>
      </c>
      <c r="H63" s="1748">
        <f t="shared" si="2"/>
        <v>0</v>
      </c>
      <c r="I63" s="143"/>
      <c r="J63" s="118">
        <f t="shared" si="4"/>
        <v>45</v>
      </c>
      <c r="L63" s="85">
        <f t="shared" si="3"/>
        <v>0</v>
      </c>
      <c r="M63" s="1726">
        <v>465.22500000000002</v>
      </c>
    </row>
    <row r="64" spans="1:13" s="1726" customFormat="1" ht="30">
      <c r="A64" s="3663" t="s">
        <v>662</v>
      </c>
      <c r="B64" s="119" t="s">
        <v>574</v>
      </c>
      <c r="C64" s="124">
        <v>179.845</v>
      </c>
      <c r="D64" s="101"/>
      <c r="E64" s="124">
        <f t="shared" si="5"/>
        <v>179.845</v>
      </c>
      <c r="F64" s="244">
        <f>156.573+23.272</f>
        <v>179.845</v>
      </c>
      <c r="G64" s="20">
        <f t="shared" si="1"/>
        <v>0</v>
      </c>
      <c r="H64" s="1748">
        <f t="shared" si="2"/>
        <v>0</v>
      </c>
      <c r="I64" s="182"/>
      <c r="J64" s="118">
        <f t="shared" si="4"/>
        <v>46</v>
      </c>
      <c r="K64" s="1266"/>
      <c r="L64" s="85">
        <f t="shared" si="3"/>
        <v>0</v>
      </c>
      <c r="M64" s="1726">
        <v>179.845</v>
      </c>
    </row>
    <row r="65" spans="1:13" s="1726" customFormat="1" ht="30">
      <c r="A65" s="3108" t="s">
        <v>663</v>
      </c>
      <c r="B65" s="119" t="s">
        <v>574</v>
      </c>
      <c r="C65" s="124">
        <v>54.264000000000003</v>
      </c>
      <c r="D65" s="101"/>
      <c r="E65" s="124">
        <f t="shared" si="5"/>
        <v>54.264000000000003</v>
      </c>
      <c r="F65" s="244">
        <v>54.264000000000003</v>
      </c>
      <c r="G65" s="20">
        <f t="shared" si="1"/>
        <v>0</v>
      </c>
      <c r="H65" s="1748">
        <f t="shared" si="2"/>
        <v>0</v>
      </c>
      <c r="I65" s="143"/>
      <c r="J65" s="118">
        <f t="shared" si="4"/>
        <v>47</v>
      </c>
      <c r="L65" s="85">
        <f t="shared" si="3"/>
        <v>0</v>
      </c>
      <c r="M65" s="1726">
        <v>54.264000000000003</v>
      </c>
    </row>
    <row r="66" spans="1:13" s="1726" customFormat="1" ht="30">
      <c r="A66" s="3108" t="s">
        <v>664</v>
      </c>
      <c r="B66" s="119" t="s">
        <v>574</v>
      </c>
      <c r="C66" s="124">
        <v>166.27600000000001</v>
      </c>
      <c r="D66" s="101"/>
      <c r="E66" s="124">
        <f t="shared" si="5"/>
        <v>166.27600000000001</v>
      </c>
      <c r="F66" s="244">
        <v>166.27600000000001</v>
      </c>
      <c r="G66" s="20">
        <f t="shared" si="1"/>
        <v>0</v>
      </c>
      <c r="H66" s="1748">
        <f t="shared" si="2"/>
        <v>0</v>
      </c>
      <c r="I66" s="182"/>
      <c r="J66" s="118">
        <f t="shared" si="4"/>
        <v>48</v>
      </c>
      <c r="L66" s="85">
        <f t="shared" si="3"/>
        <v>0</v>
      </c>
      <c r="M66" s="1726">
        <v>166.27600000000001</v>
      </c>
    </row>
    <row r="67" spans="1:13" s="1726" customFormat="1" ht="30">
      <c r="A67" s="3108" t="s">
        <v>665</v>
      </c>
      <c r="B67" s="119" t="s">
        <v>574</v>
      </c>
      <c r="C67" s="124">
        <v>104.587</v>
      </c>
      <c r="D67" s="186"/>
      <c r="E67" s="124">
        <f t="shared" si="5"/>
        <v>104.587</v>
      </c>
      <c r="F67" s="244">
        <v>104.587</v>
      </c>
      <c r="G67" s="20">
        <f t="shared" si="1"/>
        <v>0</v>
      </c>
      <c r="H67" s="1748">
        <f t="shared" si="2"/>
        <v>0</v>
      </c>
      <c r="I67" s="143"/>
      <c r="J67" s="118">
        <f t="shared" si="4"/>
        <v>49</v>
      </c>
      <c r="L67" s="85">
        <f t="shared" si="3"/>
        <v>0</v>
      </c>
      <c r="M67" s="1726">
        <v>104.587</v>
      </c>
    </row>
    <row r="68" spans="1:13" s="1726" customFormat="1" ht="30">
      <c r="A68" s="3108" t="s">
        <v>666</v>
      </c>
      <c r="B68" s="119" t="s">
        <v>574</v>
      </c>
      <c r="C68" s="124">
        <v>255.55199999999999</v>
      </c>
      <c r="D68" s="101"/>
      <c r="E68" s="124">
        <f t="shared" si="5"/>
        <v>255.55199999999999</v>
      </c>
      <c r="F68" s="244">
        <f>1.533+228.096+25.923</f>
        <v>255.55199999999999</v>
      </c>
      <c r="G68" s="20">
        <f t="shared" si="1"/>
        <v>0</v>
      </c>
      <c r="H68" s="1748">
        <f t="shared" si="2"/>
        <v>0</v>
      </c>
      <c r="I68" s="143"/>
      <c r="J68" s="118">
        <f t="shared" si="4"/>
        <v>50</v>
      </c>
      <c r="L68" s="85">
        <f t="shared" si="3"/>
        <v>0</v>
      </c>
      <c r="M68" s="1726">
        <v>255.55199999999999</v>
      </c>
    </row>
    <row r="69" spans="1:13" s="1726" customFormat="1" ht="30">
      <c r="A69" s="3108" t="s">
        <v>667</v>
      </c>
      <c r="B69" s="119" t="s">
        <v>574</v>
      </c>
      <c r="C69" s="124">
        <v>93.207999999999998</v>
      </c>
      <c r="D69" s="101"/>
      <c r="E69" s="124">
        <f t="shared" si="5"/>
        <v>93.207999999999998</v>
      </c>
      <c r="F69" s="244">
        <v>93.207999999999998</v>
      </c>
      <c r="G69" s="20">
        <f t="shared" si="1"/>
        <v>0</v>
      </c>
      <c r="H69" s="1748">
        <f t="shared" si="2"/>
        <v>0</v>
      </c>
      <c r="I69" s="182"/>
      <c r="J69" s="118">
        <f t="shared" si="4"/>
        <v>51</v>
      </c>
      <c r="L69" s="85">
        <f t="shared" si="3"/>
        <v>0</v>
      </c>
      <c r="M69" s="1726">
        <v>93.207999999999998</v>
      </c>
    </row>
    <row r="70" spans="1:13" s="1726" customFormat="1" ht="30">
      <c r="A70" s="3108" t="s">
        <v>668</v>
      </c>
      <c r="B70" s="119" t="s">
        <v>574</v>
      </c>
      <c r="C70" s="124">
        <v>86.665999999999997</v>
      </c>
      <c r="D70" s="101"/>
      <c r="E70" s="124">
        <f t="shared" si="5"/>
        <v>86.665999999999997</v>
      </c>
      <c r="F70" s="244">
        <f>70.408+14.005+2.253</f>
        <v>86.665999999999997</v>
      </c>
      <c r="G70" s="20">
        <f t="shared" si="1"/>
        <v>0</v>
      </c>
      <c r="H70" s="1748">
        <f t="shared" si="2"/>
        <v>0</v>
      </c>
      <c r="I70" s="182"/>
      <c r="J70" s="118">
        <f t="shared" si="4"/>
        <v>52</v>
      </c>
      <c r="L70" s="85">
        <f t="shared" si="3"/>
        <v>0</v>
      </c>
      <c r="M70" s="1726">
        <v>86.665999999999997</v>
      </c>
    </row>
    <row r="71" spans="1:13" s="1726" customFormat="1" ht="45">
      <c r="A71" s="3108" t="s">
        <v>669</v>
      </c>
      <c r="B71" s="119" t="s">
        <v>574</v>
      </c>
      <c r="C71" s="124">
        <v>167.43199999999999</v>
      </c>
      <c r="D71" s="101"/>
      <c r="E71" s="124">
        <f t="shared" si="5"/>
        <v>167.43199999999999</v>
      </c>
      <c r="F71" s="244">
        <f>4.395+6.737+11.951+144.349</f>
        <v>167.43199999999999</v>
      </c>
      <c r="G71" s="20">
        <f t="shared" si="1"/>
        <v>0</v>
      </c>
      <c r="H71" s="1748">
        <f t="shared" si="2"/>
        <v>0</v>
      </c>
      <c r="I71" s="182"/>
      <c r="J71" s="118">
        <f t="shared" si="4"/>
        <v>53</v>
      </c>
      <c r="L71" s="85">
        <f t="shared" si="3"/>
        <v>0</v>
      </c>
      <c r="M71" s="1726">
        <v>167.43199999999999</v>
      </c>
    </row>
    <row r="72" spans="1:13" s="1726" customFormat="1" ht="30">
      <c r="A72" s="3108" t="s">
        <v>670</v>
      </c>
      <c r="B72" s="119" t="s">
        <v>574</v>
      </c>
      <c r="C72" s="124">
        <v>50.524000000000001</v>
      </c>
      <c r="D72" s="101"/>
      <c r="E72" s="124">
        <f t="shared" si="5"/>
        <v>50.524000000000001</v>
      </c>
      <c r="F72" s="244">
        <f>3.647+46.877</f>
        <v>50.524000000000001</v>
      </c>
      <c r="G72" s="20">
        <f t="shared" si="1"/>
        <v>0</v>
      </c>
      <c r="H72" s="1748">
        <f t="shared" si="2"/>
        <v>0</v>
      </c>
      <c r="I72" s="143"/>
      <c r="J72" s="118">
        <f t="shared" si="4"/>
        <v>54</v>
      </c>
      <c r="L72" s="85">
        <f t="shared" si="3"/>
        <v>0</v>
      </c>
      <c r="M72" s="1726">
        <v>50.524000000000001</v>
      </c>
    </row>
    <row r="73" spans="1:13" s="1211" customFormat="1" ht="30">
      <c r="A73" s="3108" t="s">
        <v>671</v>
      </c>
      <c r="B73" s="2036" t="s">
        <v>574</v>
      </c>
      <c r="C73" s="124">
        <v>16.59</v>
      </c>
      <c r="D73" s="2037"/>
      <c r="E73" s="124">
        <f t="shared" si="5"/>
        <v>16.59</v>
      </c>
      <c r="F73" s="2042">
        <f>7.258+9.332</f>
        <v>16.59</v>
      </c>
      <c r="G73" s="2039">
        <f t="shared" si="1"/>
        <v>0</v>
      </c>
      <c r="H73" s="1748">
        <f t="shared" si="2"/>
        <v>0</v>
      </c>
      <c r="I73" s="2040"/>
      <c r="J73" s="2041">
        <f t="shared" si="4"/>
        <v>55</v>
      </c>
      <c r="L73" s="85">
        <f t="shared" si="3"/>
        <v>0</v>
      </c>
      <c r="M73" s="1211">
        <v>16.59</v>
      </c>
    </row>
    <row r="74" spans="1:13" s="1726" customFormat="1" ht="45">
      <c r="A74" s="3108" t="s">
        <v>672</v>
      </c>
      <c r="B74" s="119" t="s">
        <v>574</v>
      </c>
      <c r="C74" s="124">
        <v>377.36099999999999</v>
      </c>
      <c r="D74" s="101"/>
      <c r="E74" s="124">
        <f t="shared" si="5"/>
        <v>377.36099999999999</v>
      </c>
      <c r="F74" s="244">
        <v>377.36099999999999</v>
      </c>
      <c r="G74" s="20">
        <f t="shared" si="1"/>
        <v>0</v>
      </c>
      <c r="H74" s="1748">
        <f t="shared" si="2"/>
        <v>0</v>
      </c>
      <c r="I74" s="182"/>
      <c r="J74" s="118">
        <f t="shared" si="4"/>
        <v>56</v>
      </c>
      <c r="L74" s="85">
        <f t="shared" si="3"/>
        <v>0</v>
      </c>
      <c r="M74" s="1726">
        <v>377.36099999999999</v>
      </c>
    </row>
    <row r="75" spans="1:13" s="1726" customFormat="1" ht="45">
      <c r="A75" s="3108" t="s">
        <v>673</v>
      </c>
      <c r="B75" s="119" t="s">
        <v>574</v>
      </c>
      <c r="C75" s="124">
        <v>254.38900000000001</v>
      </c>
      <c r="D75" s="101"/>
      <c r="E75" s="124">
        <f t="shared" si="5"/>
        <v>254.38900000000001</v>
      </c>
      <c r="F75" s="244">
        <f>3.95+8.577+1.633+2.144+1.307+3.021+233.757+0.01-0.01</f>
        <v>254.38900000000001</v>
      </c>
      <c r="G75" s="20">
        <f t="shared" si="1"/>
        <v>0</v>
      </c>
      <c r="H75" s="1748">
        <f t="shared" si="2"/>
        <v>0</v>
      </c>
      <c r="I75" s="182"/>
      <c r="J75" s="118">
        <f t="shared" si="4"/>
        <v>57</v>
      </c>
      <c r="L75" s="85">
        <f t="shared" si="3"/>
        <v>0</v>
      </c>
      <c r="M75" s="1726">
        <v>254.38900000000001</v>
      </c>
    </row>
    <row r="76" spans="1:13" s="1211" customFormat="1" ht="30">
      <c r="A76" s="3109" t="s">
        <v>674</v>
      </c>
      <c r="B76" s="2036" t="s">
        <v>574</v>
      </c>
      <c r="C76" s="124">
        <v>406.92500000000001</v>
      </c>
      <c r="D76" s="2037"/>
      <c r="E76" s="124">
        <f t="shared" si="5"/>
        <v>406.92500000000001</v>
      </c>
      <c r="F76" s="2042">
        <f>10.04+30.35+75.296+29.947+261.292</f>
        <v>406.92499999999995</v>
      </c>
      <c r="G76" s="2039">
        <f t="shared" si="1"/>
        <v>0</v>
      </c>
      <c r="H76" s="1748">
        <f t="shared" si="2"/>
        <v>0</v>
      </c>
      <c r="I76" s="2040"/>
      <c r="J76" s="2041">
        <f t="shared" si="4"/>
        <v>58</v>
      </c>
      <c r="L76" s="85">
        <f t="shared" si="3"/>
        <v>5.6843418860808015E-14</v>
      </c>
      <c r="M76" s="1211">
        <v>406.92500000000001</v>
      </c>
    </row>
    <row r="77" spans="1:13" s="1726" customFormat="1" ht="30">
      <c r="A77" s="3108" t="s">
        <v>675</v>
      </c>
      <c r="B77" s="119" t="s">
        <v>574</v>
      </c>
      <c r="C77" s="124">
        <v>21.65</v>
      </c>
      <c r="D77" s="101"/>
      <c r="E77" s="124">
        <f t="shared" si="5"/>
        <v>21.65</v>
      </c>
      <c r="F77" s="244">
        <f>9.75+2.773</f>
        <v>12.523</v>
      </c>
      <c r="G77" s="20">
        <f t="shared" si="1"/>
        <v>9.1269999999999989</v>
      </c>
      <c r="H77" s="1748">
        <f t="shared" si="2"/>
        <v>0.42157043879907619</v>
      </c>
      <c r="I77" s="1254"/>
      <c r="J77" s="118">
        <f t="shared" si="4"/>
        <v>59</v>
      </c>
      <c r="L77" s="85">
        <f t="shared" si="3"/>
        <v>0</v>
      </c>
      <c r="M77" s="1726">
        <v>12.523</v>
      </c>
    </row>
    <row r="78" spans="1:13" s="1726" customFormat="1" ht="30">
      <c r="A78" s="3108" t="s">
        <v>676</v>
      </c>
      <c r="B78" s="119" t="s">
        <v>574</v>
      </c>
      <c r="C78" s="124">
        <v>0</v>
      </c>
      <c r="D78" s="186"/>
      <c r="E78" s="124">
        <f t="shared" si="5"/>
        <v>0</v>
      </c>
      <c r="F78" s="244"/>
      <c r="G78" s="20">
        <f t="shared" si="1"/>
        <v>0</v>
      </c>
      <c r="H78" s="1748" t="e">
        <f t="shared" si="2"/>
        <v>#DIV/0!</v>
      </c>
      <c r="I78" s="143"/>
      <c r="J78" s="118">
        <f t="shared" si="4"/>
        <v>60</v>
      </c>
      <c r="L78" s="85">
        <f t="shared" si="3"/>
        <v>0</v>
      </c>
      <c r="M78" s="1726">
        <v>0</v>
      </c>
    </row>
    <row r="79" spans="1:13" s="1726" customFormat="1" ht="15" customHeight="1">
      <c r="A79" s="3108" t="s">
        <v>91</v>
      </c>
      <c r="B79" s="119" t="s">
        <v>574</v>
      </c>
      <c r="C79" s="124">
        <v>32.460999999999999</v>
      </c>
      <c r="D79" s="1750"/>
      <c r="E79" s="124">
        <f t="shared" si="5"/>
        <v>32.460999999999999</v>
      </c>
      <c r="F79" s="2127">
        <f>32.461-2.649+2.649</f>
        <v>32.460999999999999</v>
      </c>
      <c r="G79" s="231">
        <f t="shared" si="1"/>
        <v>0</v>
      </c>
      <c r="H79" s="1748">
        <f t="shared" si="2"/>
        <v>0</v>
      </c>
      <c r="I79" s="143"/>
      <c r="J79" s="118">
        <f t="shared" si="4"/>
        <v>61</v>
      </c>
      <c r="L79" s="85">
        <f t="shared" si="3"/>
        <v>0</v>
      </c>
      <c r="M79" s="1726">
        <v>32.460999999999999</v>
      </c>
    </row>
    <row r="80" spans="1:13" s="1763" customFormat="1" ht="15" customHeight="1" thickBot="1">
      <c r="A80" s="2124" t="s">
        <v>677</v>
      </c>
      <c r="B80" s="119" t="s">
        <v>574</v>
      </c>
      <c r="C80" s="124">
        <v>344.67099999999999</v>
      </c>
      <c r="D80" s="230"/>
      <c r="E80" s="124">
        <f t="shared" si="5"/>
        <v>344.67099999999999</v>
      </c>
      <c r="F80" s="2128">
        <f>1.38+0.425-0.425+216.995+9.055-9.055+11.15+0.845+0.273+1.379</f>
        <v>232.02199999999999</v>
      </c>
      <c r="G80" s="2129">
        <f t="shared" si="1"/>
        <v>112.649</v>
      </c>
      <c r="H80" s="1748">
        <f t="shared" si="2"/>
        <v>0.32683051373628763</v>
      </c>
      <c r="I80" s="143"/>
      <c r="J80" s="118">
        <f t="shared" si="4"/>
        <v>62</v>
      </c>
      <c r="L80" s="85">
        <f t="shared" si="3"/>
        <v>0</v>
      </c>
      <c r="M80" s="1763">
        <v>232.02199999999999</v>
      </c>
    </row>
    <row r="81" spans="1:13" s="2430" customFormat="1" ht="15" customHeight="1" thickBot="1">
      <c r="A81" s="2439" t="s">
        <v>832</v>
      </c>
      <c r="B81" s="119" t="s">
        <v>574</v>
      </c>
      <c r="C81" s="2460">
        <v>44.719999999999985</v>
      </c>
      <c r="D81" s="230"/>
      <c r="E81" s="124">
        <f t="shared" si="5"/>
        <v>44.719999999999985</v>
      </c>
      <c r="F81" s="2440">
        <f>35.744+8.976-44.72</f>
        <v>0</v>
      </c>
      <c r="G81" s="2129">
        <f t="shared" si="1"/>
        <v>44.719999999999985</v>
      </c>
      <c r="H81" s="1748">
        <f t="shared" si="2"/>
        <v>1</v>
      </c>
      <c r="I81" s="2123"/>
      <c r="J81" s="118">
        <f t="shared" si="4"/>
        <v>63</v>
      </c>
      <c r="L81" s="85">
        <f t="shared" si="3"/>
        <v>0</v>
      </c>
    </row>
    <row r="82" spans="1:13" s="2628" customFormat="1" ht="15" customHeight="1" thickBot="1">
      <c r="A82" s="2439" t="s">
        <v>1262</v>
      </c>
      <c r="B82" s="119" t="s">
        <v>574</v>
      </c>
      <c r="C82" s="3349">
        <v>15.76</v>
      </c>
      <c r="D82" s="230"/>
      <c r="E82" s="2460">
        <f t="shared" si="5"/>
        <v>15.76</v>
      </c>
      <c r="F82" s="2440"/>
      <c r="G82" s="2630"/>
      <c r="H82" s="2631"/>
      <c r="I82" s="2123"/>
      <c r="J82" s="118"/>
      <c r="L82" s="85"/>
    </row>
    <row r="83" spans="1:13" s="1726" customFormat="1" ht="15" customHeight="1" thickBot="1">
      <c r="A83" s="1756" t="s">
        <v>50</v>
      </c>
      <c r="B83" s="1767" t="s">
        <v>574</v>
      </c>
      <c r="C83" s="856">
        <f>SUM(C19:C82)</f>
        <v>8975.9159999999974</v>
      </c>
      <c r="D83" s="856">
        <f>SUM(D19:D79)</f>
        <v>-49.012</v>
      </c>
      <c r="E83" s="232">
        <f>SUM(E19:E82)</f>
        <v>8926.9039999999986</v>
      </c>
      <c r="F83" s="3348">
        <f>SUM(F19:F82)</f>
        <v>8673.1069999999982</v>
      </c>
      <c r="G83" s="857">
        <f>+E83-F83</f>
        <v>253.79700000000048</v>
      </c>
      <c r="H83" s="233">
        <f t="shared" ref="H83" si="6">+G83/E83</f>
        <v>2.8430573466456065E-2</v>
      </c>
      <c r="I83" s="1757"/>
      <c r="J83" s="118"/>
      <c r="L83" s="2175">
        <f>SUM(L19:L81)</f>
        <v>-2.8421709430404007E-14</v>
      </c>
      <c r="M83" s="1211">
        <f>SUM(M19:M81)</f>
        <v>8673.1069999999982</v>
      </c>
    </row>
    <row r="84" spans="1:13" s="1726" customFormat="1" ht="20.25" customHeight="1">
      <c r="A84" s="16" t="s">
        <v>727</v>
      </c>
      <c r="B84" s="8"/>
      <c r="C84" s="17">
        <v>8986</v>
      </c>
      <c r="D84" s="17"/>
      <c r="E84" s="17"/>
      <c r="F84" s="18"/>
      <c r="G84" s="18"/>
      <c r="H84" s="728"/>
      <c r="I84" s="202"/>
      <c r="J84" s="118"/>
    </row>
    <row r="89" spans="1:13">
      <c r="C89" s="2266"/>
    </row>
  </sheetData>
  <mergeCells count="2">
    <mergeCell ref="A16:B16"/>
    <mergeCell ref="G16:H16"/>
  </mergeCells>
  <conditionalFormatting sqref="H83">
    <cfRule type="cellIs" dxfId="126" priority="6" stopIfTrue="1" operator="lessThan">
      <formula>0</formula>
    </cfRule>
    <cfRule type="cellIs" dxfId="125" priority="7" stopIfTrue="1" operator="lessThan">
      <formula>0</formula>
    </cfRule>
  </conditionalFormatting>
  <conditionalFormatting sqref="H83">
    <cfRule type="cellIs" dxfId="124" priority="5" stopIfTrue="1" operator="lessThan">
      <formula>0.05</formula>
    </cfRule>
  </conditionalFormatting>
  <conditionalFormatting sqref="H19:H82">
    <cfRule type="cellIs" dxfId="123" priority="4" operator="lessThan">
      <formula>0.3</formula>
    </cfRule>
  </conditionalFormatting>
  <conditionalFormatting sqref="H19:H82">
    <cfRule type="cellIs" dxfId="122" priority="3" operator="lessThan">
      <formula>0.2</formula>
    </cfRule>
  </conditionalFormatting>
  <conditionalFormatting sqref="H19:H82">
    <cfRule type="cellIs" dxfId="121" priority="2" operator="lessThan">
      <formula>0.1</formula>
    </cfRule>
  </conditionalFormatting>
  <conditionalFormatting sqref="H19:H82">
    <cfRule type="cellIs" dxfId="120" priority="1" operator="lessThan">
      <formula>0.05</formula>
    </cfRule>
  </conditionalFormatting>
  <pageMargins left="0.7" right="0.7" top="0.75" bottom="0.75" header="0.3" footer="0.3"/>
  <pageSetup paperSize="130" orientation="portrait" r:id="rId1"/>
  <legacyDrawing r:id="rId2"/>
</worksheet>
</file>

<file path=xl/worksheets/sheet20.xml><?xml version="1.0" encoding="utf-8"?>
<worksheet xmlns="http://schemas.openxmlformats.org/spreadsheetml/2006/main" xmlns:r="http://schemas.openxmlformats.org/officeDocument/2006/relationships">
  <sheetPr>
    <tabColor theme="7" tint="0.39997558519241921"/>
    <pageSetUpPr fitToPage="1"/>
  </sheetPr>
  <dimension ref="A1:AQ67"/>
  <sheetViews>
    <sheetView topLeftCell="AA37" workbookViewId="0">
      <selection activeCell="AX58" sqref="AX58"/>
    </sheetView>
  </sheetViews>
  <sheetFormatPr baseColWidth="10" defaultColWidth="11.44140625" defaultRowHeight="13.2"/>
  <cols>
    <col min="1" max="1" width="18.6640625" style="1109" customWidth="1"/>
    <col min="2" max="2" width="12.44140625" style="1109" bestFit="1" customWidth="1"/>
    <col min="3" max="3" width="17.88671875" style="1109" customWidth="1"/>
    <col min="4" max="4" width="11.33203125" style="1109" customWidth="1"/>
    <col min="5" max="5" width="13.33203125" style="1109" customWidth="1"/>
    <col min="6" max="6" width="13" style="1109" customWidth="1"/>
    <col min="7" max="7" width="11.6640625" style="1109" customWidth="1"/>
    <col min="8" max="8" width="11.5546875" style="1109" customWidth="1"/>
    <col min="9" max="9" width="13.33203125" style="1109" customWidth="1"/>
    <col min="10" max="10" width="9.88671875" style="1109" customWidth="1"/>
    <col min="11" max="11" width="12.5546875" style="1109" customWidth="1"/>
    <col min="12" max="12" width="10.44140625" style="1109" customWidth="1"/>
    <col min="13" max="13" width="18.33203125" style="1109" bestFit="1" customWidth="1"/>
    <col min="14" max="14" width="13" style="1109" customWidth="1"/>
    <col min="15" max="19" width="4.5546875" style="1109" customWidth="1"/>
    <col min="20" max="20" width="5" style="1109" bestFit="1" customWidth="1"/>
    <col min="21" max="28" width="4.5546875" style="1109" customWidth="1"/>
    <col min="29" max="32" width="11.44140625" style="1109"/>
    <col min="33" max="33" width="18" style="1109" bestFit="1" customWidth="1"/>
    <col min="34" max="35" width="11.44140625" style="1109"/>
    <col min="36" max="36" width="19" style="1109" customWidth="1"/>
    <col min="37" max="37" width="21" style="1109" bestFit="1" customWidth="1"/>
    <col min="38" max="40" width="11.44140625" style="1109"/>
    <col min="41" max="41" width="10.88671875" style="1109" bestFit="1" customWidth="1"/>
    <col min="42" max="16384" width="11.44140625" style="1109"/>
  </cols>
  <sheetData>
    <row r="1" spans="1:41">
      <c r="H1" s="1803"/>
    </row>
    <row r="2" spans="1:41" ht="15">
      <c r="A2" s="3736" t="s">
        <v>747</v>
      </c>
      <c r="B2" s="3786"/>
      <c r="C2" s="3786"/>
      <c r="D2" s="3786"/>
      <c r="E2" s="3786"/>
      <c r="F2" s="3786"/>
      <c r="G2" s="3786"/>
      <c r="H2" s="3786"/>
      <c r="I2" s="3786"/>
      <c r="J2" s="3786"/>
      <c r="K2" s="3786"/>
      <c r="L2" s="3786"/>
      <c r="M2" s="3787"/>
    </row>
    <row r="3" spans="1:41" ht="15">
      <c r="A3" s="4029" t="s">
        <v>598</v>
      </c>
      <c r="B3" s="4030"/>
      <c r="C3" s="4030"/>
      <c r="D3" s="4030"/>
      <c r="E3" s="4030"/>
      <c r="F3" s="4030"/>
      <c r="G3" s="4030"/>
      <c r="H3" s="4030"/>
      <c r="I3" s="4030"/>
      <c r="J3" s="4030"/>
      <c r="K3" s="4030"/>
      <c r="L3" s="4030"/>
      <c r="M3" s="4031"/>
    </row>
    <row r="4" spans="1:41" ht="15">
      <c r="A4" s="1"/>
      <c r="B4" s="1"/>
      <c r="C4" s="6"/>
      <c r="D4" s="1"/>
      <c r="E4" s="7"/>
      <c r="F4" s="8"/>
      <c r="G4" s="9"/>
      <c r="H4" s="10"/>
      <c r="I4" s="9"/>
      <c r="J4" s="10"/>
      <c r="K4" s="3788"/>
      <c r="L4" s="3788"/>
      <c r="M4" s="11"/>
      <c r="AG4" s="4009" t="s">
        <v>747</v>
      </c>
      <c r="AH4" s="4010"/>
      <c r="AI4" s="4010"/>
      <c r="AJ4" s="4010"/>
      <c r="AK4" s="4010"/>
      <c r="AL4" s="4010"/>
      <c r="AM4" s="4010"/>
      <c r="AN4" s="4010"/>
    </row>
    <row r="5" spans="1:41" ht="15.6" thickBot="1">
      <c r="A5" s="12"/>
      <c r="B5" s="12"/>
      <c r="C5" s="13"/>
      <c r="D5" s="183"/>
      <c r="E5" s="3789" t="s">
        <v>18</v>
      </c>
      <c r="F5" s="3789"/>
      <c r="G5" s="3789" t="s">
        <v>19</v>
      </c>
      <c r="H5" s="3789"/>
      <c r="I5" s="3789" t="s">
        <v>20</v>
      </c>
      <c r="J5" s="3789"/>
      <c r="K5" s="3790" t="s">
        <v>21</v>
      </c>
      <c r="L5" s="3790"/>
      <c r="M5" s="3789" t="s">
        <v>22</v>
      </c>
      <c r="AG5" s="4011" t="s">
        <v>1404</v>
      </c>
      <c r="AH5" s="4012"/>
      <c r="AI5" s="4012"/>
      <c r="AJ5" s="4012"/>
      <c r="AK5" s="4012"/>
      <c r="AL5" s="4012"/>
      <c r="AM5" s="4012"/>
      <c r="AN5" s="4012"/>
      <c r="AO5" s="3333" t="s">
        <v>1417</v>
      </c>
    </row>
    <row r="6" spans="1:41" ht="30.6" thickBot="1">
      <c r="A6" s="77" t="s">
        <v>0</v>
      </c>
      <c r="B6" s="77" t="s">
        <v>23</v>
      </c>
      <c r="C6" s="78" t="s">
        <v>2</v>
      </c>
      <c r="D6" s="1764" t="s">
        <v>24</v>
      </c>
      <c r="E6" s="78" t="s">
        <v>25</v>
      </c>
      <c r="F6" s="1802" t="s">
        <v>26</v>
      </c>
      <c r="G6" s="79" t="s">
        <v>24</v>
      </c>
      <c r="H6" s="1801" t="s">
        <v>27</v>
      </c>
      <c r="I6" s="79" t="s">
        <v>24</v>
      </c>
      <c r="J6" s="78" t="s">
        <v>27</v>
      </c>
      <c r="K6" s="1764" t="s">
        <v>24</v>
      </c>
      <c r="L6" s="1764" t="s">
        <v>27</v>
      </c>
      <c r="M6" s="3794"/>
      <c r="AG6" s="3218" t="s">
        <v>1389</v>
      </c>
      <c r="AH6" s="3218" t="s">
        <v>223</v>
      </c>
      <c r="AI6" s="3218" t="s">
        <v>1390</v>
      </c>
      <c r="AJ6" s="3218" t="s">
        <v>1391</v>
      </c>
      <c r="AK6" s="3219" t="s">
        <v>1392</v>
      </c>
      <c r="AL6" s="3220" t="s">
        <v>1393</v>
      </c>
      <c r="AM6" s="3720" t="s">
        <v>153</v>
      </c>
      <c r="AN6" s="3222" t="s">
        <v>154</v>
      </c>
      <c r="AO6" s="3332" t="s">
        <v>1624</v>
      </c>
    </row>
    <row r="7" spans="1:41" ht="15">
      <c r="A7" s="2004" t="s">
        <v>8</v>
      </c>
      <c r="B7" s="2005" t="s">
        <v>597</v>
      </c>
      <c r="C7" s="2006">
        <f>SUM(E7:E7)</f>
        <v>1000</v>
      </c>
      <c r="D7" s="2006" t="s">
        <v>726</v>
      </c>
      <c r="E7" s="2006">
        <v>1000</v>
      </c>
      <c r="F7" s="2006">
        <f t="shared" ref="F7:F16" si="0">+E7</f>
        <v>1000</v>
      </c>
      <c r="G7" s="2007">
        <f>+('Resumen Fauna Acompañante'!B53)</f>
        <v>0</v>
      </c>
      <c r="H7" s="2008">
        <f t="shared" ref="H7:H15" si="1">SUM(G7:G7)</f>
        <v>0</v>
      </c>
      <c r="I7" s="2009">
        <f t="shared" ref="I7:I16" si="2">+F7-G7</f>
        <v>1000</v>
      </c>
      <c r="J7" s="2010">
        <f>+C7-H7</f>
        <v>1000</v>
      </c>
      <c r="K7" s="2011">
        <f>1-G7/F7</f>
        <v>1</v>
      </c>
      <c r="L7" s="2012">
        <f>1-H7/C7</f>
        <v>1</v>
      </c>
      <c r="M7" s="2425"/>
      <c r="AF7" s="1109">
        <v>1</v>
      </c>
      <c r="AG7" s="3693" t="s">
        <v>1394</v>
      </c>
      <c r="AH7" s="3693">
        <v>1289</v>
      </c>
      <c r="AI7" s="3694">
        <v>41773</v>
      </c>
      <c r="AJ7" s="3693">
        <v>7</v>
      </c>
      <c r="AK7" s="3695" t="s">
        <v>1395</v>
      </c>
      <c r="AL7" s="3696">
        <v>42.2</v>
      </c>
      <c r="AM7" s="3697">
        <v>4.47</v>
      </c>
      <c r="AN7" s="3698">
        <v>37.729999999999997</v>
      </c>
    </row>
    <row r="8" spans="1:41" ht="15">
      <c r="A8" s="2004" t="s">
        <v>8</v>
      </c>
      <c r="B8" s="2005" t="s">
        <v>596</v>
      </c>
      <c r="C8" s="2006">
        <f>SUM(E8:E8)</f>
        <v>500</v>
      </c>
      <c r="D8" s="2006" t="s">
        <v>726</v>
      </c>
      <c r="E8" s="2006">
        <v>500</v>
      </c>
      <c r="F8" s="2006">
        <f t="shared" si="0"/>
        <v>500</v>
      </c>
      <c r="G8" s="2007">
        <f>+('Resumen Fauna Acompañante'!B69)</f>
        <v>2.258</v>
      </c>
      <c r="H8" s="2008">
        <f t="shared" si="1"/>
        <v>2.258</v>
      </c>
      <c r="I8" s="2009">
        <f t="shared" si="2"/>
        <v>497.74200000000002</v>
      </c>
      <c r="J8" s="2010">
        <f>+C8-H8</f>
        <v>497.74200000000002</v>
      </c>
      <c r="K8" s="2011">
        <f>1-G8/F8</f>
        <v>0.99548400000000004</v>
      </c>
      <c r="L8" s="2012">
        <f>1-H8/C8</f>
        <v>0.99548400000000004</v>
      </c>
      <c r="M8" s="2425"/>
      <c r="AF8" s="1109">
        <v>2</v>
      </c>
      <c r="AG8" s="3223" t="s">
        <v>1394</v>
      </c>
      <c r="AH8" s="3223">
        <v>1290</v>
      </c>
      <c r="AI8" s="3224">
        <v>41773</v>
      </c>
      <c r="AJ8" s="3223">
        <v>6</v>
      </c>
      <c r="AK8" s="3225" t="s">
        <v>1395</v>
      </c>
      <c r="AL8" s="3226">
        <v>42.2</v>
      </c>
      <c r="AM8" s="3227"/>
      <c r="AN8" s="3228"/>
    </row>
    <row r="9" spans="1:41" s="1190" customFormat="1" ht="15">
      <c r="A9" s="2014" t="s">
        <v>8</v>
      </c>
      <c r="B9" s="2015" t="s">
        <v>595</v>
      </c>
      <c r="C9" s="2006">
        <f t="shared" ref="C9:C11" si="3">SUM(E9:E9)</f>
        <v>33</v>
      </c>
      <c r="D9" s="2016" t="s">
        <v>726</v>
      </c>
      <c r="E9" s="2016">
        <v>33</v>
      </c>
      <c r="F9" s="2016">
        <f t="shared" si="0"/>
        <v>33</v>
      </c>
      <c r="G9" s="2017">
        <f>+('Resumen Fauna Acompañante'!B85)</f>
        <v>7.4340000000000002</v>
      </c>
      <c r="H9" s="2018">
        <f t="shared" si="1"/>
        <v>7.4340000000000002</v>
      </c>
      <c r="I9" s="2019">
        <f t="shared" si="2"/>
        <v>25.565999999999999</v>
      </c>
      <c r="J9" s="2020">
        <f>+C9-H9</f>
        <v>25.565999999999999</v>
      </c>
      <c r="K9" s="2021">
        <f>1-G9/F9</f>
        <v>0.77472727272727271</v>
      </c>
      <c r="L9" s="2022">
        <f>1-H9/C9</f>
        <v>0.77472727272727271</v>
      </c>
      <c r="M9" s="2425"/>
      <c r="N9" s="1238" t="s">
        <v>685</v>
      </c>
      <c r="O9" s="1238"/>
      <c r="AF9" s="2266">
        <v>3</v>
      </c>
      <c r="AG9" s="3229" t="s">
        <v>1394</v>
      </c>
      <c r="AH9" s="3229">
        <v>1291</v>
      </c>
      <c r="AI9" s="3230">
        <v>41773</v>
      </c>
      <c r="AJ9" s="3229">
        <v>5</v>
      </c>
      <c r="AK9" s="3231" t="s">
        <v>1395</v>
      </c>
      <c r="AL9" s="3232">
        <v>42.2</v>
      </c>
      <c r="AM9" s="3233"/>
      <c r="AN9" s="3418"/>
    </row>
    <row r="10" spans="1:41" ht="15">
      <c r="A10" s="2023" t="s">
        <v>5</v>
      </c>
      <c r="B10" s="2024" t="s">
        <v>597</v>
      </c>
      <c r="C10" s="2006">
        <v>152</v>
      </c>
      <c r="D10" s="2026" t="s">
        <v>726</v>
      </c>
      <c r="E10" s="2025">
        <f>+C10</f>
        <v>152</v>
      </c>
      <c r="F10" s="2025">
        <f t="shared" si="0"/>
        <v>152</v>
      </c>
      <c r="G10" s="2027">
        <f>+'Resumen Fauna Acompañante'!B105</f>
        <v>16.319999999999997</v>
      </c>
      <c r="H10" s="2028">
        <f t="shared" si="1"/>
        <v>16.319999999999997</v>
      </c>
      <c r="I10" s="2029">
        <f t="shared" si="2"/>
        <v>135.68</v>
      </c>
      <c r="J10" s="2030">
        <f>+C10-G10</f>
        <v>135.68</v>
      </c>
      <c r="K10" s="2031">
        <f>1-G10/E10</f>
        <v>0.89263157894736844</v>
      </c>
      <c r="L10" s="2032">
        <f>1-G10/C10</f>
        <v>0.89263157894736844</v>
      </c>
      <c r="M10" s="3286" t="s">
        <v>831</v>
      </c>
      <c r="AF10" s="2266">
        <v>4</v>
      </c>
      <c r="AG10" s="3229" t="s">
        <v>1394</v>
      </c>
      <c r="AH10" s="3229">
        <v>1292</v>
      </c>
      <c r="AI10" s="3230">
        <v>41773</v>
      </c>
      <c r="AJ10" s="3229">
        <v>4</v>
      </c>
      <c r="AK10" s="3231" t="s">
        <v>1395</v>
      </c>
      <c r="AL10" s="3232">
        <v>21.1</v>
      </c>
      <c r="AM10" s="3233"/>
      <c r="AN10" s="3418"/>
    </row>
    <row r="11" spans="1:41" ht="15">
      <c r="A11" s="2209" t="s">
        <v>5</v>
      </c>
      <c r="B11" s="2210" t="s">
        <v>724</v>
      </c>
      <c r="C11" s="2006">
        <f t="shared" si="3"/>
        <v>327</v>
      </c>
      <c r="D11" s="2211" t="s">
        <v>726</v>
      </c>
      <c r="E11" s="2025">
        <v>327</v>
      </c>
      <c r="F11" s="2025">
        <f t="shared" si="0"/>
        <v>327</v>
      </c>
      <c r="G11" s="2027">
        <f>+'Resumen Fauna Acompañante'!B124</f>
        <v>6.3120000000000012</v>
      </c>
      <c r="H11" s="2028">
        <f t="shared" si="1"/>
        <v>6.3120000000000012</v>
      </c>
      <c r="I11" s="2029">
        <f t="shared" si="2"/>
        <v>320.68799999999999</v>
      </c>
      <c r="J11" s="2030">
        <f>+C11-G11</f>
        <v>320.68799999999999</v>
      </c>
      <c r="K11" s="2031">
        <f>1-G11/E11</f>
        <v>0.98069724770642197</v>
      </c>
      <c r="L11" s="2032">
        <f>1-G11/C11</f>
        <v>0.98069724770642197</v>
      </c>
      <c r="M11" s="2427"/>
      <c r="AF11" s="2266">
        <v>5</v>
      </c>
      <c r="AG11" s="3229" t="s">
        <v>1394</v>
      </c>
      <c r="AH11" s="3229">
        <v>1293</v>
      </c>
      <c r="AI11" s="3230">
        <v>41773</v>
      </c>
      <c r="AJ11" s="3229">
        <v>3</v>
      </c>
      <c r="AK11" s="3231" t="s">
        <v>1395</v>
      </c>
      <c r="AL11" s="3232">
        <v>21.1</v>
      </c>
      <c r="AM11" s="3233"/>
      <c r="AN11" s="3418"/>
    </row>
    <row r="12" spans="1:41" ht="15">
      <c r="A12" s="1800" t="s">
        <v>14</v>
      </c>
      <c r="B12" s="1799" t="s">
        <v>597</v>
      </c>
      <c r="C12" s="1798">
        <f>+E12</f>
        <v>500</v>
      </c>
      <c r="D12" s="1798" t="s">
        <v>726</v>
      </c>
      <c r="E12" s="1798">
        <v>500</v>
      </c>
      <c r="F12" s="1798">
        <f t="shared" si="0"/>
        <v>500</v>
      </c>
      <c r="G12" s="1797">
        <f>+'Resumen Fauna Acompañante'!B165</f>
        <v>0</v>
      </c>
      <c r="H12" s="1796">
        <f t="shared" si="1"/>
        <v>0</v>
      </c>
      <c r="I12" s="1795">
        <f t="shared" si="2"/>
        <v>500</v>
      </c>
      <c r="J12" s="1794">
        <f>+C12-H12</f>
        <v>500</v>
      </c>
      <c r="K12" s="1793">
        <f>1-G12/F12</f>
        <v>1</v>
      </c>
      <c r="L12" s="1792">
        <f>1-H12/C12</f>
        <v>1</v>
      </c>
      <c r="M12" s="2428"/>
      <c r="AF12" s="2266">
        <v>6</v>
      </c>
      <c r="AG12" s="3229" t="s">
        <v>1394</v>
      </c>
      <c r="AH12" s="3229">
        <v>1294</v>
      </c>
      <c r="AI12" s="3230">
        <v>41773</v>
      </c>
      <c r="AJ12" s="3229">
        <v>2</v>
      </c>
      <c r="AK12" s="3231" t="s">
        <v>1395</v>
      </c>
      <c r="AL12" s="3232">
        <v>21.1</v>
      </c>
      <c r="AM12" s="3233"/>
      <c r="AN12" s="3418"/>
    </row>
    <row r="13" spans="1:41" ht="15">
      <c r="A13" s="1800" t="s">
        <v>14</v>
      </c>
      <c r="B13" s="1799" t="s">
        <v>596</v>
      </c>
      <c r="C13" s="1798">
        <f>+E13</f>
        <v>350</v>
      </c>
      <c r="D13" s="1798" t="s">
        <v>726</v>
      </c>
      <c r="E13" s="1798">
        <v>350</v>
      </c>
      <c r="F13" s="1798">
        <f t="shared" si="0"/>
        <v>350</v>
      </c>
      <c r="G13" s="1797">
        <f>+'Resumen Fauna Acompañante'!B184</f>
        <v>0</v>
      </c>
      <c r="H13" s="1796">
        <f t="shared" si="1"/>
        <v>0</v>
      </c>
      <c r="I13" s="1795">
        <f t="shared" si="2"/>
        <v>350</v>
      </c>
      <c r="J13" s="1794">
        <f>+C13-H13</f>
        <v>350</v>
      </c>
      <c r="K13" s="1793">
        <f>1-G13/F13</f>
        <v>1</v>
      </c>
      <c r="L13" s="1792">
        <f>1-H13/C13</f>
        <v>1</v>
      </c>
      <c r="M13" s="2428"/>
      <c r="AF13" s="2266">
        <v>7</v>
      </c>
      <c r="AG13" s="3229" t="s">
        <v>1394</v>
      </c>
      <c r="AH13" s="3229">
        <v>1295</v>
      </c>
      <c r="AI13" s="3230">
        <v>41773</v>
      </c>
      <c r="AJ13" s="3229">
        <v>1</v>
      </c>
      <c r="AK13" s="3231" t="s">
        <v>1395</v>
      </c>
      <c r="AL13" s="3232">
        <v>21.1</v>
      </c>
      <c r="AM13" s="3233"/>
      <c r="AN13" s="3418"/>
    </row>
    <row r="14" spans="1:41" ht="18" customHeight="1" thickBot="1">
      <c r="A14" s="1960" t="s">
        <v>9</v>
      </c>
      <c r="B14" s="1999" t="s">
        <v>595</v>
      </c>
      <c r="C14" s="1961">
        <f>SUM(E14:E14)</f>
        <v>167</v>
      </c>
      <c r="D14" s="1962" t="s">
        <v>726</v>
      </c>
      <c r="E14" s="1961">
        <v>167</v>
      </c>
      <c r="F14" s="1961">
        <f t="shared" si="0"/>
        <v>167</v>
      </c>
      <c r="G14" s="1998">
        <f>+('Resumen Fauna Acompañante'!B18)</f>
        <v>5.6319999999999997</v>
      </c>
      <c r="H14" s="1963">
        <f t="shared" si="1"/>
        <v>5.6319999999999997</v>
      </c>
      <c r="I14" s="2000">
        <f t="shared" si="2"/>
        <v>161.36799999999999</v>
      </c>
      <c r="J14" s="1964">
        <f>+C14-H14</f>
        <v>161.36799999999999</v>
      </c>
      <c r="K14" s="1965">
        <f>1-G14/F14</f>
        <v>0.96627544910179641</v>
      </c>
      <c r="L14" s="1966">
        <f>1-H14/C14</f>
        <v>0.96627544910179641</v>
      </c>
      <c r="M14" s="2429"/>
      <c r="P14" s="2266"/>
      <c r="AF14" s="2266">
        <v>8</v>
      </c>
      <c r="AG14" s="3687" t="s">
        <v>1394</v>
      </c>
      <c r="AH14" s="3687">
        <v>1363</v>
      </c>
      <c r="AI14" s="3688">
        <v>41775</v>
      </c>
      <c r="AJ14" s="3687">
        <v>16</v>
      </c>
      <c r="AK14" s="3689" t="s">
        <v>1396</v>
      </c>
      <c r="AL14" s="3690">
        <v>572</v>
      </c>
      <c r="AM14" s="3691">
        <v>116.89</v>
      </c>
      <c r="AN14" s="3692">
        <v>455.11</v>
      </c>
    </row>
    <row r="15" spans="1:41" ht="15" customHeight="1">
      <c r="A15" s="1790" t="s">
        <v>593</v>
      </c>
      <c r="B15" s="1789" t="s">
        <v>594</v>
      </c>
      <c r="C15" s="1788">
        <f>+E15</f>
        <v>0</v>
      </c>
      <c r="D15" s="1787" t="s">
        <v>726</v>
      </c>
      <c r="E15" s="1786"/>
      <c r="F15" s="1785">
        <f t="shared" si="0"/>
        <v>0</v>
      </c>
      <c r="G15" s="1784">
        <f>+'Resumen Fauna Acompañante'!B130</f>
        <v>0</v>
      </c>
      <c r="H15" s="1783">
        <f t="shared" si="1"/>
        <v>0</v>
      </c>
      <c r="I15" s="1782">
        <f t="shared" si="2"/>
        <v>0</v>
      </c>
      <c r="J15" s="1781">
        <f>+C15-H15</f>
        <v>0</v>
      </c>
      <c r="K15" s="1780" t="e">
        <f>1-G15/F15</f>
        <v>#DIV/0!</v>
      </c>
      <c r="L15" s="1779" t="e">
        <f>1-H15/C15</f>
        <v>#DIV/0!</v>
      </c>
      <c r="M15" s="2426"/>
      <c r="AF15" s="2266">
        <v>9</v>
      </c>
      <c r="AG15" s="3239" t="s">
        <v>1397</v>
      </c>
      <c r="AH15" s="3239">
        <v>1544</v>
      </c>
      <c r="AI15" s="3240">
        <v>41799</v>
      </c>
      <c r="AJ15" s="3239">
        <v>2</v>
      </c>
      <c r="AK15" s="3241" t="s">
        <v>1398</v>
      </c>
      <c r="AL15" s="3242">
        <v>47.94</v>
      </c>
      <c r="AM15" s="3243"/>
      <c r="AN15" s="3244"/>
    </row>
    <row r="16" spans="1:41" ht="15.6" thickBot="1">
      <c r="A16" s="3321" t="s">
        <v>593</v>
      </c>
      <c r="B16" s="3322" t="s">
        <v>10</v>
      </c>
      <c r="C16" s="3323">
        <f>SUM(E16:E16)</f>
        <v>50</v>
      </c>
      <c r="D16" s="3322" t="s">
        <v>726</v>
      </c>
      <c r="E16" s="3322">
        <v>50</v>
      </c>
      <c r="F16" s="3322">
        <f t="shared" si="0"/>
        <v>50</v>
      </c>
      <c r="G16" s="3320">
        <f>+SUM('Resumen Fauna Acompañante'!B204)</f>
        <v>6.3370000000000006</v>
      </c>
      <c r="H16" s="3324">
        <f>+G16</f>
        <v>6.3370000000000006</v>
      </c>
      <c r="I16" s="3322">
        <f t="shared" si="2"/>
        <v>43.662999999999997</v>
      </c>
      <c r="J16" s="3322">
        <f>+C16-H16</f>
        <v>43.662999999999997</v>
      </c>
      <c r="K16" s="3325">
        <f>1-G16/F16</f>
        <v>0.87325999999999993</v>
      </c>
      <c r="L16" s="3326">
        <f>1-H16/C16</f>
        <v>0.87325999999999993</v>
      </c>
      <c r="M16" s="3327"/>
      <c r="N16" s="3328" t="s">
        <v>1416</v>
      </c>
      <c r="AF16" s="2266">
        <v>10</v>
      </c>
      <c r="AG16" s="3245" t="s">
        <v>1397</v>
      </c>
      <c r="AH16" s="3245">
        <v>2258</v>
      </c>
      <c r="AI16" s="3246">
        <v>41879</v>
      </c>
      <c r="AJ16" s="3245">
        <v>23</v>
      </c>
      <c r="AK16" s="3247" t="s">
        <v>1398</v>
      </c>
      <c r="AL16" s="3248">
        <v>119.85</v>
      </c>
      <c r="AM16" s="3249"/>
      <c r="AN16" s="3424"/>
    </row>
    <row r="17" spans="1:42" ht="14.4">
      <c r="G17" s="1146"/>
      <c r="AF17" s="2266">
        <v>11</v>
      </c>
      <c r="AG17" s="3239" t="s">
        <v>1399</v>
      </c>
      <c r="AH17" s="3239">
        <v>1822</v>
      </c>
      <c r="AI17" s="3240">
        <v>41835</v>
      </c>
      <c r="AJ17" s="3239">
        <v>10</v>
      </c>
      <c r="AK17" s="3241" t="s">
        <v>1396</v>
      </c>
      <c r="AL17" s="3242">
        <v>286</v>
      </c>
      <c r="AM17" s="3243"/>
      <c r="AN17" s="3244"/>
    </row>
    <row r="18" spans="1:42" ht="14.4">
      <c r="AF18" s="2266">
        <v>12</v>
      </c>
      <c r="AG18" s="3229" t="s">
        <v>1399</v>
      </c>
      <c r="AH18" s="3229">
        <v>1823</v>
      </c>
      <c r="AI18" s="3230">
        <v>41835</v>
      </c>
      <c r="AJ18" s="3229">
        <v>11</v>
      </c>
      <c r="AK18" s="3231" t="s">
        <v>1396</v>
      </c>
      <c r="AL18" s="3232">
        <v>286</v>
      </c>
      <c r="AM18" s="3233"/>
      <c r="AN18" s="3418"/>
    </row>
    <row r="19" spans="1:42" ht="14.4">
      <c r="AF19" s="2266">
        <v>13</v>
      </c>
      <c r="AG19" s="3229" t="s">
        <v>1399</v>
      </c>
      <c r="AH19" s="3229">
        <v>1824</v>
      </c>
      <c r="AI19" s="3230">
        <v>41835</v>
      </c>
      <c r="AJ19" s="3229">
        <v>12</v>
      </c>
      <c r="AK19" s="3231" t="s">
        <v>1396</v>
      </c>
      <c r="AL19" s="3232">
        <v>572</v>
      </c>
      <c r="AM19" s="3233"/>
      <c r="AN19" s="3418"/>
      <c r="AO19" s="3704" t="s">
        <v>8</v>
      </c>
      <c r="AP19" s="2070" t="s">
        <v>1662</v>
      </c>
    </row>
    <row r="20" spans="1:42" ht="15">
      <c r="A20" s="4009" t="s">
        <v>747</v>
      </c>
      <c r="B20" s="4010"/>
      <c r="C20" s="4010"/>
      <c r="D20" s="4010"/>
      <c r="E20" s="4010"/>
      <c r="F20" s="4010"/>
      <c r="G20" s="4010"/>
      <c r="H20" s="4010"/>
      <c r="I20" s="4010"/>
      <c r="J20" s="4010"/>
      <c r="K20" s="4010"/>
      <c r="L20" s="4010"/>
      <c r="M20" s="4019"/>
      <c r="AF20" s="2266">
        <v>14</v>
      </c>
      <c r="AG20" s="3699" t="s">
        <v>1399</v>
      </c>
      <c r="AH20" s="3699">
        <v>1919</v>
      </c>
      <c r="AI20" s="3700">
        <v>41844</v>
      </c>
      <c r="AJ20" s="3699">
        <v>6</v>
      </c>
      <c r="AK20" s="3701" t="s">
        <v>1396</v>
      </c>
      <c r="AL20" s="3702">
        <v>286</v>
      </c>
      <c r="AM20" s="3703">
        <v>1.1499999999999999</v>
      </c>
      <c r="AN20" s="3418">
        <v>284.85000000000002</v>
      </c>
      <c r="AO20" s="3704">
        <v>1.0209999999999999</v>
      </c>
      <c r="AP20" s="1093"/>
    </row>
    <row r="21" spans="1:42" ht="20.399999999999999">
      <c r="A21" s="4020" t="s">
        <v>729</v>
      </c>
      <c r="B21" s="4021"/>
      <c r="C21" s="4021"/>
      <c r="D21" s="4021"/>
      <c r="E21" s="4021"/>
      <c r="F21" s="4021"/>
      <c r="G21" s="4021"/>
      <c r="H21" s="4021"/>
      <c r="I21" s="4021"/>
      <c r="J21" s="4021"/>
      <c r="K21" s="4021"/>
      <c r="L21" s="4021"/>
      <c r="M21" s="4022"/>
      <c r="AF21" s="2266">
        <v>15</v>
      </c>
      <c r="AG21" s="3229" t="s">
        <v>1399</v>
      </c>
      <c r="AH21" s="3229">
        <v>1920</v>
      </c>
      <c r="AI21" s="3230">
        <v>41844</v>
      </c>
      <c r="AJ21" s="3229">
        <v>7</v>
      </c>
      <c r="AK21" s="3231" t="s">
        <v>1396</v>
      </c>
      <c r="AL21" s="3232">
        <v>286</v>
      </c>
      <c r="AM21" s="3233"/>
      <c r="AN21" s="3418"/>
    </row>
    <row r="22" spans="1:42" ht="15">
      <c r="A22" s="1"/>
      <c r="B22" s="1"/>
      <c r="C22" s="6"/>
      <c r="D22" s="1"/>
      <c r="E22" s="7"/>
      <c r="F22" s="8"/>
      <c r="G22" s="9"/>
      <c r="H22" s="10"/>
      <c r="I22" s="9"/>
      <c r="J22" s="10"/>
      <c r="K22" s="3788"/>
      <c r="L22" s="3788"/>
      <c r="M22" s="11"/>
      <c r="AF22" s="2266">
        <v>16</v>
      </c>
      <c r="AG22" s="3229" t="s">
        <v>1399</v>
      </c>
      <c r="AH22" s="3229">
        <v>1921</v>
      </c>
      <c r="AI22" s="3230">
        <v>41844</v>
      </c>
      <c r="AJ22" s="3229">
        <v>8</v>
      </c>
      <c r="AK22" s="3231" t="s">
        <v>1396</v>
      </c>
      <c r="AL22" s="3232">
        <v>286</v>
      </c>
      <c r="AM22" s="3233"/>
      <c r="AN22" s="3420"/>
    </row>
    <row r="23" spans="1:42" ht="15.6" thickBot="1">
      <c r="A23" s="12"/>
      <c r="B23" s="12"/>
      <c r="C23" s="13"/>
      <c r="D23" s="183"/>
      <c r="E23" s="4023" t="s">
        <v>18</v>
      </c>
      <c r="F23" s="4023"/>
      <c r="G23" s="4023" t="s">
        <v>19</v>
      </c>
      <c r="H23" s="4023"/>
      <c r="I23" s="4023" t="s">
        <v>20</v>
      </c>
      <c r="J23" s="4023"/>
      <c r="K23" s="4024" t="s">
        <v>21</v>
      </c>
      <c r="L23" s="4024"/>
      <c r="M23" s="4023" t="s">
        <v>22</v>
      </c>
      <c r="AF23" s="2266">
        <v>17</v>
      </c>
      <c r="AG23" s="3245" t="s">
        <v>1399</v>
      </c>
      <c r="AH23" s="3245">
        <v>1922</v>
      </c>
      <c r="AI23" s="3246">
        <v>41844</v>
      </c>
      <c r="AJ23" s="3245">
        <v>9</v>
      </c>
      <c r="AK23" s="3247" t="s">
        <v>1396</v>
      </c>
      <c r="AL23" s="3248">
        <v>286</v>
      </c>
      <c r="AM23" s="3249"/>
      <c r="AN23" s="3421"/>
    </row>
    <row r="24" spans="1:42" ht="30">
      <c r="A24" s="2222" t="s">
        <v>0</v>
      </c>
      <c r="B24" s="2222" t="s">
        <v>23</v>
      </c>
      <c r="C24" s="2220" t="s">
        <v>2</v>
      </c>
      <c r="D24" s="2221" t="s">
        <v>24</v>
      </c>
      <c r="E24" s="2220" t="s">
        <v>25</v>
      </c>
      <c r="F24" s="1802" t="s">
        <v>26</v>
      </c>
      <c r="G24" s="2219" t="s">
        <v>24</v>
      </c>
      <c r="H24" s="1801" t="s">
        <v>27</v>
      </c>
      <c r="I24" s="2219" t="s">
        <v>24</v>
      </c>
      <c r="J24" s="2220" t="s">
        <v>27</v>
      </c>
      <c r="K24" s="2221" t="s">
        <v>24</v>
      </c>
      <c r="L24" s="2221" t="s">
        <v>27</v>
      </c>
      <c r="M24" s="4025"/>
      <c r="O24" s="2222" t="s">
        <v>730</v>
      </c>
      <c r="P24" s="2222" t="s">
        <v>780</v>
      </c>
      <c r="Q24" s="2222" t="s">
        <v>11</v>
      </c>
      <c r="R24" s="2222" t="s">
        <v>6</v>
      </c>
      <c r="S24" s="2222" t="s">
        <v>725</v>
      </c>
      <c r="T24" s="2222" t="s">
        <v>731</v>
      </c>
      <c r="U24" s="2222" t="s">
        <v>16</v>
      </c>
      <c r="V24" s="2222" t="s">
        <v>17</v>
      </c>
      <c r="W24" s="2222" t="s">
        <v>7</v>
      </c>
      <c r="X24" s="2222" t="s">
        <v>12</v>
      </c>
      <c r="Y24" s="2222" t="s">
        <v>129</v>
      </c>
      <c r="Z24" s="2222" t="s">
        <v>10</v>
      </c>
      <c r="AA24" s="2222" t="s">
        <v>13</v>
      </c>
      <c r="AB24" s="2222" t="s">
        <v>781</v>
      </c>
      <c r="AF24" s="2266">
        <v>18</v>
      </c>
      <c r="AG24" s="3705" t="s">
        <v>1400</v>
      </c>
      <c r="AH24" s="3705">
        <v>1304</v>
      </c>
      <c r="AI24" s="3706">
        <v>41773</v>
      </c>
      <c r="AJ24" s="3705">
        <v>17</v>
      </c>
      <c r="AK24" s="3707" t="s">
        <v>1398</v>
      </c>
      <c r="AL24" s="3708">
        <v>119.85</v>
      </c>
      <c r="AM24" s="3709">
        <v>119.85</v>
      </c>
      <c r="AN24" s="3710">
        <v>0</v>
      </c>
    </row>
    <row r="25" spans="1:42" ht="15">
      <c r="A25" s="2004" t="s">
        <v>1661</v>
      </c>
      <c r="B25" s="2005" t="s">
        <v>597</v>
      </c>
      <c r="C25" s="2006">
        <f>SUM(E25:E25)</f>
        <v>7510</v>
      </c>
      <c r="D25" s="2006" t="s">
        <v>726</v>
      </c>
      <c r="E25" s="2006">
        <v>7510</v>
      </c>
      <c r="F25" s="2006">
        <f t="shared" ref="F25:F34" si="4">+E25</f>
        <v>7510</v>
      </c>
      <c r="G25" s="2007">
        <f>+O25+P25+Q25</f>
        <v>0</v>
      </c>
      <c r="H25" s="2008">
        <f t="shared" ref="H25:H33" si="5">SUM(G25:G25)</f>
        <v>0</v>
      </c>
      <c r="I25" s="2009">
        <f t="shared" ref="I25:I34" si="6">+F25-G25</f>
        <v>7510</v>
      </c>
      <c r="J25" s="2010">
        <f>+C25-H25</f>
        <v>7510</v>
      </c>
      <c r="K25" s="2011">
        <f>1-G25/F25</f>
        <v>1</v>
      </c>
      <c r="L25" s="2012">
        <f>1-H25/C25</f>
        <v>1</v>
      </c>
      <c r="M25" s="2013"/>
      <c r="N25" s="2269"/>
      <c r="O25" s="1771"/>
      <c r="P25" s="1771"/>
      <c r="Q25" s="1771"/>
      <c r="AF25" s="2266">
        <v>19</v>
      </c>
      <c r="AG25" s="3699" t="s">
        <v>1400</v>
      </c>
      <c r="AH25" s="3699">
        <v>1305</v>
      </c>
      <c r="AI25" s="3700">
        <v>41773</v>
      </c>
      <c r="AJ25" s="3699">
        <v>16</v>
      </c>
      <c r="AK25" s="3701" t="s">
        <v>1398</v>
      </c>
      <c r="AL25" s="3702">
        <v>119.85</v>
      </c>
      <c r="AM25" s="3703">
        <v>32.06</v>
      </c>
      <c r="AN25" s="3711">
        <v>87.79</v>
      </c>
    </row>
    <row r="26" spans="1:42" ht="15">
      <c r="A26" s="2004" t="s">
        <v>8</v>
      </c>
      <c r="B26" s="2005" t="s">
        <v>596</v>
      </c>
      <c r="C26" s="2006">
        <v>527</v>
      </c>
      <c r="D26" s="2006" t="s">
        <v>726</v>
      </c>
      <c r="E26" s="2006"/>
      <c r="F26" s="2006">
        <f t="shared" si="4"/>
        <v>0</v>
      </c>
      <c r="G26" s="2007">
        <f>+R26+S26</f>
        <v>0</v>
      </c>
      <c r="H26" s="2008">
        <f t="shared" si="5"/>
        <v>0</v>
      </c>
      <c r="I26" s="2009">
        <f t="shared" si="6"/>
        <v>0</v>
      </c>
      <c r="J26" s="2010">
        <f>+C26-H26</f>
        <v>527</v>
      </c>
      <c r="K26" s="2011" t="e">
        <f>1-G26/F26</f>
        <v>#DIV/0!</v>
      </c>
      <c r="L26" s="2012">
        <f>1-H26/C26</f>
        <v>1</v>
      </c>
      <c r="M26" s="2013"/>
      <c r="N26" s="2269"/>
      <c r="R26" s="1771"/>
      <c r="S26" s="1771"/>
      <c r="AF26" s="2266">
        <v>20</v>
      </c>
      <c r="AG26" s="3229" t="s">
        <v>1400</v>
      </c>
      <c r="AH26" s="3229">
        <v>1306</v>
      </c>
      <c r="AI26" s="3230">
        <v>41773</v>
      </c>
      <c r="AJ26" s="3229">
        <v>15</v>
      </c>
      <c r="AK26" s="3231" t="s">
        <v>1398</v>
      </c>
      <c r="AL26" s="3232">
        <v>119.85</v>
      </c>
      <c r="AM26" s="3682"/>
      <c r="AN26" s="3418"/>
    </row>
    <row r="27" spans="1:42" ht="15">
      <c r="A27" s="2014" t="s">
        <v>8</v>
      </c>
      <c r="B27" s="2015" t="s">
        <v>595</v>
      </c>
      <c r="C27" s="2006">
        <v>422</v>
      </c>
      <c r="D27" s="2016" t="s">
        <v>726</v>
      </c>
      <c r="E27" s="2016"/>
      <c r="F27" s="2016">
        <f t="shared" si="4"/>
        <v>0</v>
      </c>
      <c r="G27" s="2017">
        <f>+T27+U27+V27+W27+X27+Y27+Z27</f>
        <v>0</v>
      </c>
      <c r="H27" s="2018">
        <f t="shared" si="5"/>
        <v>0</v>
      </c>
      <c r="I27" s="2019">
        <f t="shared" si="6"/>
        <v>0</v>
      </c>
      <c r="J27" s="2020">
        <f>+C27-H27</f>
        <v>422</v>
      </c>
      <c r="K27" s="2021" t="e">
        <f>1-G27/F27</f>
        <v>#DIV/0!</v>
      </c>
      <c r="L27" s="2022">
        <f>1-H27/C27</f>
        <v>1</v>
      </c>
      <c r="M27" s="2013"/>
      <c r="N27" s="2269"/>
      <c r="T27" s="1771"/>
      <c r="U27" s="1771"/>
      <c r="V27" s="1771"/>
      <c r="W27" s="1771"/>
      <c r="X27" s="1771"/>
      <c r="Y27" s="1771"/>
      <c r="Z27" s="1771"/>
      <c r="AF27" s="2266">
        <v>21</v>
      </c>
      <c r="AG27" s="3229" t="s">
        <v>1400</v>
      </c>
      <c r="AH27" s="3229">
        <v>1307</v>
      </c>
      <c r="AI27" s="3230">
        <v>41773</v>
      </c>
      <c r="AJ27" s="3229">
        <v>14</v>
      </c>
      <c r="AK27" s="3231" t="s">
        <v>1398</v>
      </c>
      <c r="AL27" s="3232">
        <v>119.85</v>
      </c>
      <c r="AM27" s="3682"/>
      <c r="AN27" s="3418"/>
    </row>
    <row r="28" spans="1:42" ht="15">
      <c r="A28" s="2023" t="s">
        <v>5</v>
      </c>
      <c r="B28" s="2024" t="s">
        <v>597</v>
      </c>
      <c r="C28" s="3680">
        <v>2397</v>
      </c>
      <c r="D28" s="2026" t="s">
        <v>726</v>
      </c>
      <c r="E28" s="2025"/>
      <c r="F28" s="2025">
        <f t="shared" si="4"/>
        <v>0</v>
      </c>
      <c r="G28" s="2027">
        <f>+O28+P28+Q28</f>
        <v>0</v>
      </c>
      <c r="H28" s="2028">
        <f t="shared" si="5"/>
        <v>0</v>
      </c>
      <c r="I28" s="2029">
        <f t="shared" si="6"/>
        <v>0</v>
      </c>
      <c r="J28" s="2030">
        <f>+C28-G28</f>
        <v>2397</v>
      </c>
      <c r="K28" s="2031" t="e">
        <f>1-G28/E28</f>
        <v>#DIV/0!</v>
      </c>
      <c r="L28" s="2032">
        <f>1-G28/C28</f>
        <v>1</v>
      </c>
      <c r="M28" s="2033"/>
      <c r="N28" s="2269"/>
      <c r="O28" s="1771"/>
      <c r="P28" s="1771"/>
      <c r="Q28" s="1771"/>
      <c r="AF28" s="2266">
        <v>22</v>
      </c>
      <c r="AG28" s="3229" t="s">
        <v>1400</v>
      </c>
      <c r="AH28" s="3229">
        <v>1308</v>
      </c>
      <c r="AI28" s="3230">
        <v>41773</v>
      </c>
      <c r="AJ28" s="3229">
        <v>13</v>
      </c>
      <c r="AK28" s="3231" t="s">
        <v>1398</v>
      </c>
      <c r="AL28" s="3232">
        <v>119.85</v>
      </c>
      <c r="AM28" s="3682"/>
      <c r="AN28" s="3420"/>
    </row>
    <row r="29" spans="1:42" ht="15">
      <c r="A29" s="2209" t="s">
        <v>5</v>
      </c>
      <c r="B29" s="2210" t="s">
        <v>724</v>
      </c>
      <c r="C29" s="3680">
        <f t="shared" ref="C29" si="7">SUM(E29:E29)</f>
        <v>0</v>
      </c>
      <c r="D29" s="2211" t="s">
        <v>726</v>
      </c>
      <c r="E29" s="2212"/>
      <c r="F29" s="2025">
        <f t="shared" si="4"/>
        <v>0</v>
      </c>
      <c r="G29" s="2027">
        <f>+R29+S29+T29+U29+V29+W29+X29+Y29+Z29</f>
        <v>0</v>
      </c>
      <c r="H29" s="2028">
        <f t="shared" si="5"/>
        <v>0</v>
      </c>
      <c r="I29" s="2029">
        <f t="shared" si="6"/>
        <v>0</v>
      </c>
      <c r="J29" s="2030">
        <f>+C29-G29</f>
        <v>0</v>
      </c>
      <c r="K29" s="2031" t="e">
        <f>1-G29/E29</f>
        <v>#DIV/0!</v>
      </c>
      <c r="L29" s="2032" t="e">
        <f>1-G29/C29</f>
        <v>#DIV/0!</v>
      </c>
      <c r="M29" s="2213"/>
      <c r="N29" s="2269"/>
      <c r="R29" s="1771"/>
      <c r="S29" s="1771"/>
      <c r="T29" s="1771"/>
      <c r="U29" s="1771"/>
      <c r="V29" s="1771"/>
      <c r="W29" s="1771"/>
      <c r="X29" s="1771"/>
      <c r="Y29" s="1771"/>
      <c r="Z29" s="1771"/>
      <c r="AF29" s="2266">
        <v>23</v>
      </c>
      <c r="AG29" s="3699" t="s">
        <v>1400</v>
      </c>
      <c r="AH29" s="3699">
        <v>1309</v>
      </c>
      <c r="AI29" s="3700">
        <v>41773</v>
      </c>
      <c r="AJ29" s="3699">
        <v>12</v>
      </c>
      <c r="AK29" s="3701" t="s">
        <v>1398</v>
      </c>
      <c r="AL29" s="3702">
        <v>119.85</v>
      </c>
      <c r="AM29" s="3703">
        <v>102.33</v>
      </c>
      <c r="AN29" s="3712">
        <v>17.52</v>
      </c>
    </row>
    <row r="30" spans="1:42" ht="15">
      <c r="A30" s="1800" t="s">
        <v>14</v>
      </c>
      <c r="B30" s="1799" t="s">
        <v>597</v>
      </c>
      <c r="C30" s="1798">
        <f>+E30</f>
        <v>0</v>
      </c>
      <c r="D30" s="1798" t="s">
        <v>726</v>
      </c>
      <c r="E30" s="1798"/>
      <c r="F30" s="1798">
        <f t="shared" si="4"/>
        <v>0</v>
      </c>
      <c r="G30" s="1797">
        <f>+O30+P30+Q30</f>
        <v>0</v>
      </c>
      <c r="H30" s="1796">
        <f t="shared" si="5"/>
        <v>0</v>
      </c>
      <c r="I30" s="1795">
        <f t="shared" si="6"/>
        <v>0</v>
      </c>
      <c r="J30" s="1794">
        <f>+C30-H30</f>
        <v>0</v>
      </c>
      <c r="K30" s="1793" t="e">
        <f>1-G30/F30</f>
        <v>#DIV/0!</v>
      </c>
      <c r="L30" s="1792" t="e">
        <f>1-H30/C30</f>
        <v>#DIV/0!</v>
      </c>
      <c r="M30" s="1791"/>
      <c r="N30" s="2269"/>
      <c r="O30" s="1771"/>
      <c r="P30" s="1771"/>
      <c r="Q30" s="1771"/>
      <c r="AF30" s="2266">
        <v>24</v>
      </c>
      <c r="AG30" s="3229" t="s">
        <v>1400</v>
      </c>
      <c r="AH30" s="3229">
        <v>1310</v>
      </c>
      <c r="AI30" s="3230">
        <v>41773</v>
      </c>
      <c r="AJ30" s="3229">
        <v>11</v>
      </c>
      <c r="AK30" s="3231" t="s">
        <v>1398</v>
      </c>
      <c r="AL30" s="3232">
        <v>119.85</v>
      </c>
      <c r="AM30" s="3682"/>
      <c r="AN30" s="3420"/>
    </row>
    <row r="31" spans="1:42" ht="15">
      <c r="A31" s="1800" t="s">
        <v>14</v>
      </c>
      <c r="B31" s="1799" t="s">
        <v>596</v>
      </c>
      <c r="C31" s="1798">
        <f>+E31</f>
        <v>0</v>
      </c>
      <c r="D31" s="1798" t="s">
        <v>726</v>
      </c>
      <c r="E31" s="1798"/>
      <c r="F31" s="1798">
        <f t="shared" si="4"/>
        <v>0</v>
      </c>
      <c r="G31" s="1797">
        <f>+R31+S31</f>
        <v>0</v>
      </c>
      <c r="H31" s="1796">
        <f t="shared" si="5"/>
        <v>0</v>
      </c>
      <c r="I31" s="1795">
        <f t="shared" si="6"/>
        <v>0</v>
      </c>
      <c r="J31" s="1794">
        <f>+C31-H31</f>
        <v>0</v>
      </c>
      <c r="K31" s="1793" t="e">
        <f>1-G31/F31</f>
        <v>#DIV/0!</v>
      </c>
      <c r="L31" s="1792" t="e">
        <f>1-H31/C31</f>
        <v>#DIV/0!</v>
      </c>
      <c r="M31" s="1791"/>
      <c r="N31" s="2269"/>
      <c r="R31" s="1771"/>
      <c r="S31" s="1771"/>
      <c r="AF31" s="2266">
        <v>25</v>
      </c>
      <c r="AG31" s="3229" t="s">
        <v>1400</v>
      </c>
      <c r="AH31" s="3229">
        <v>1311</v>
      </c>
      <c r="AI31" s="3230">
        <v>41773</v>
      </c>
      <c r="AJ31" s="3229">
        <v>10</v>
      </c>
      <c r="AK31" s="3231" t="s">
        <v>1398</v>
      </c>
      <c r="AL31" s="3232">
        <v>47.94</v>
      </c>
      <c r="AM31" s="3682"/>
      <c r="AN31" s="3420"/>
    </row>
    <row r="32" spans="1:42" ht="15">
      <c r="A32" s="1960" t="s">
        <v>9</v>
      </c>
      <c r="B32" s="1999" t="s">
        <v>595</v>
      </c>
      <c r="C32" s="1961">
        <v>3730</v>
      </c>
      <c r="D32" s="1962" t="s">
        <v>726</v>
      </c>
      <c r="E32" s="1961"/>
      <c r="F32" s="1961">
        <f t="shared" si="4"/>
        <v>0</v>
      </c>
      <c r="G32" s="1998">
        <f>+T32+U32+V32+W32+X32+Y32+Z32</f>
        <v>0</v>
      </c>
      <c r="H32" s="1963">
        <f t="shared" si="5"/>
        <v>0</v>
      </c>
      <c r="I32" s="2000">
        <f t="shared" si="6"/>
        <v>0</v>
      </c>
      <c r="J32" s="1964">
        <f>+C32-H32</f>
        <v>3730</v>
      </c>
      <c r="K32" s="1965" t="e">
        <f>1-G32/F32</f>
        <v>#DIV/0!</v>
      </c>
      <c r="L32" s="1966">
        <f>1-H32/C32</f>
        <v>1</v>
      </c>
      <c r="M32" s="2001"/>
      <c r="N32" s="2269"/>
      <c r="T32" s="1771"/>
      <c r="U32" s="1771"/>
      <c r="V32" s="1771"/>
      <c r="W32" s="1771"/>
      <c r="X32" s="1771"/>
      <c r="Y32" s="1771"/>
      <c r="Z32" s="1771"/>
      <c r="AF32" s="2266">
        <v>26</v>
      </c>
      <c r="AG32" s="3229" t="s">
        <v>1400</v>
      </c>
      <c r="AH32" s="3229">
        <v>1312</v>
      </c>
      <c r="AI32" s="3230">
        <v>41773</v>
      </c>
      <c r="AJ32" s="3229">
        <v>9</v>
      </c>
      <c r="AK32" s="3231" t="s">
        <v>1398</v>
      </c>
      <c r="AL32" s="3232">
        <v>47.94</v>
      </c>
      <c r="AM32" s="3682"/>
      <c r="AN32" s="3420"/>
    </row>
    <row r="33" spans="1:43" ht="15">
      <c r="A33" s="1790" t="s">
        <v>593</v>
      </c>
      <c r="B33" s="1789" t="s">
        <v>594</v>
      </c>
      <c r="C33" s="1788">
        <f>+E33</f>
        <v>187</v>
      </c>
      <c r="D33" s="1787" t="s">
        <v>726</v>
      </c>
      <c r="E33" s="1786">
        <v>187</v>
      </c>
      <c r="F33" s="1785">
        <f t="shared" si="4"/>
        <v>187</v>
      </c>
      <c r="G33" s="1784">
        <f>+Z33</f>
        <v>0</v>
      </c>
      <c r="H33" s="1783">
        <f t="shared" si="5"/>
        <v>0</v>
      </c>
      <c r="I33" s="1782">
        <f t="shared" si="6"/>
        <v>187</v>
      </c>
      <c r="J33" s="1781">
        <f>+C33-H33</f>
        <v>187</v>
      </c>
      <c r="K33" s="1780">
        <f>1-G33/F33</f>
        <v>1</v>
      </c>
      <c r="L33" s="1779">
        <f>1-H33/C33</f>
        <v>1</v>
      </c>
      <c r="M33" s="1778"/>
      <c r="N33" s="2269"/>
      <c r="Z33" s="1771"/>
      <c r="AF33" s="2266">
        <v>27</v>
      </c>
      <c r="AG33" s="3699" t="s">
        <v>1400</v>
      </c>
      <c r="AH33" s="3699">
        <v>1313</v>
      </c>
      <c r="AI33" s="3700">
        <v>41773</v>
      </c>
      <c r="AJ33" s="3699">
        <v>8</v>
      </c>
      <c r="AK33" s="3701" t="s">
        <v>1398</v>
      </c>
      <c r="AL33" s="3702">
        <v>47.94</v>
      </c>
      <c r="AM33" s="3703">
        <v>12.16</v>
      </c>
      <c r="AN33" s="3712">
        <v>35.78</v>
      </c>
      <c r="AO33" s="1211" t="s">
        <v>1586</v>
      </c>
      <c r="AP33" s="1211" t="s">
        <v>1587</v>
      </c>
      <c r="AQ33" s="1690" t="s">
        <v>1663</v>
      </c>
    </row>
    <row r="34" spans="1:43" ht="15">
      <c r="A34" s="1777" t="s">
        <v>593</v>
      </c>
      <c r="B34" s="1774" t="s">
        <v>13</v>
      </c>
      <c r="C34" s="1776">
        <f>SUM(E34:E34)</f>
        <v>80</v>
      </c>
      <c r="D34" s="1774" t="s">
        <v>726</v>
      </c>
      <c r="E34" s="1774">
        <v>80</v>
      </c>
      <c r="F34" s="1774">
        <f t="shared" si="4"/>
        <v>80</v>
      </c>
      <c r="G34" s="2155">
        <f>+AA34</f>
        <v>33.200000000000003</v>
      </c>
      <c r="H34" s="1775">
        <f>+G34</f>
        <v>33.200000000000003</v>
      </c>
      <c r="I34" s="1774">
        <f t="shared" si="6"/>
        <v>46.8</v>
      </c>
      <c r="J34" s="1774">
        <f>+C34-H34</f>
        <v>46.8</v>
      </c>
      <c r="K34" s="1773">
        <f>1-G34/F34</f>
        <v>0.58499999999999996</v>
      </c>
      <c r="L34" s="1772">
        <f>1-H34/C34</f>
        <v>0.58499999999999996</v>
      </c>
      <c r="M34" s="1771"/>
      <c r="N34" s="2269"/>
      <c r="AA34" s="3600">
        <v>33.200000000000003</v>
      </c>
      <c r="AF34" s="2266">
        <v>28</v>
      </c>
      <c r="AG34" s="3699" t="s">
        <v>1400</v>
      </c>
      <c r="AH34" s="3699">
        <v>1314</v>
      </c>
      <c r="AI34" s="3700">
        <v>41773</v>
      </c>
      <c r="AJ34" s="3699">
        <v>7</v>
      </c>
      <c r="AK34" s="3701" t="s">
        <v>1398</v>
      </c>
      <c r="AL34" s="3702">
        <v>47.94</v>
      </c>
      <c r="AM34" s="3703">
        <v>47.94</v>
      </c>
      <c r="AN34" s="3713">
        <v>0</v>
      </c>
    </row>
    <row r="35" spans="1:43" ht="14.4">
      <c r="AF35" s="2266">
        <v>29</v>
      </c>
      <c r="AG35" s="3699" t="s">
        <v>1400</v>
      </c>
      <c r="AH35" s="3699">
        <v>1315</v>
      </c>
      <c r="AI35" s="3700">
        <v>41773</v>
      </c>
      <c r="AJ35" s="3699">
        <v>6</v>
      </c>
      <c r="AK35" s="3701" t="s">
        <v>1398</v>
      </c>
      <c r="AL35" s="3702">
        <v>47.94</v>
      </c>
      <c r="AM35" s="3703">
        <v>24.21</v>
      </c>
      <c r="AN35" s="3712">
        <v>23.73</v>
      </c>
    </row>
    <row r="36" spans="1:43" ht="14.4">
      <c r="AF36" s="2266">
        <v>30</v>
      </c>
      <c r="AG36" s="3229" t="s">
        <v>1400</v>
      </c>
      <c r="AH36" s="3229">
        <v>1317</v>
      </c>
      <c r="AI36" s="3230">
        <v>41773</v>
      </c>
      <c r="AJ36" s="3229">
        <v>4</v>
      </c>
      <c r="AK36" s="3231" t="s">
        <v>1398</v>
      </c>
      <c r="AL36" s="3232">
        <v>47.94</v>
      </c>
      <c r="AM36" s="3682"/>
      <c r="AN36" s="3420"/>
    </row>
    <row r="37" spans="1:43" ht="15" thickBot="1">
      <c r="AF37" s="2266">
        <v>31</v>
      </c>
      <c r="AG37" s="3245" t="s">
        <v>1400</v>
      </c>
      <c r="AH37" s="3245">
        <v>1319</v>
      </c>
      <c r="AI37" s="3246">
        <v>41773</v>
      </c>
      <c r="AJ37" s="3245">
        <v>1</v>
      </c>
      <c r="AK37" s="3247" t="s">
        <v>1398</v>
      </c>
      <c r="AL37" s="3248">
        <v>47.94</v>
      </c>
      <c r="AM37" s="3683"/>
      <c r="AN37" s="3421"/>
      <c r="AO37" s="2414"/>
    </row>
    <row r="38" spans="1:43" ht="15">
      <c r="A38" s="4013" t="s">
        <v>747</v>
      </c>
      <c r="B38" s="4014"/>
      <c r="C38" s="4014"/>
      <c r="D38" s="4014"/>
      <c r="E38" s="4014"/>
      <c r="F38" s="4014"/>
      <c r="G38" s="4014"/>
      <c r="H38" s="4014"/>
      <c r="I38" s="4014"/>
      <c r="J38" s="4014"/>
      <c r="K38" s="4014"/>
      <c r="L38" s="4014"/>
      <c r="M38" s="4015"/>
      <c r="AF38" s="2266">
        <v>32</v>
      </c>
      <c r="AG38" s="3693" t="s">
        <v>1400</v>
      </c>
      <c r="AH38" s="3693">
        <v>1359</v>
      </c>
      <c r="AI38" s="3694">
        <v>41775</v>
      </c>
      <c r="AJ38" s="3693">
        <v>1</v>
      </c>
      <c r="AK38" s="3695" t="s">
        <v>1396</v>
      </c>
      <c r="AL38" s="3696">
        <v>114.4</v>
      </c>
      <c r="AM38" s="3697">
        <v>114.4</v>
      </c>
      <c r="AN38" s="3698">
        <v>0</v>
      </c>
    </row>
    <row r="39" spans="1:43" ht="15">
      <c r="A39" s="4016" t="s">
        <v>732</v>
      </c>
      <c r="B39" s="4017"/>
      <c r="C39" s="4017"/>
      <c r="D39" s="4017"/>
      <c r="E39" s="4017"/>
      <c r="F39" s="4017"/>
      <c r="G39" s="4017"/>
      <c r="H39" s="4017"/>
      <c r="I39" s="4017"/>
      <c r="J39" s="4017"/>
      <c r="K39" s="4017"/>
      <c r="L39" s="4017"/>
      <c r="M39" s="4018"/>
      <c r="AF39" s="2266">
        <v>33</v>
      </c>
      <c r="AG39" s="3699" t="s">
        <v>1400</v>
      </c>
      <c r="AH39" s="3699">
        <v>1360</v>
      </c>
      <c r="AI39" s="3700">
        <v>41775</v>
      </c>
      <c r="AJ39" s="3699">
        <v>2</v>
      </c>
      <c r="AK39" s="3701" t="s">
        <v>1396</v>
      </c>
      <c r="AL39" s="3702">
        <v>114.4</v>
      </c>
      <c r="AM39" s="3703">
        <v>114.4</v>
      </c>
      <c r="AN39" s="3711">
        <v>0</v>
      </c>
    </row>
    <row r="40" spans="1:43" ht="15">
      <c r="A40" s="1"/>
      <c r="B40" s="1"/>
      <c r="C40" s="6"/>
      <c r="D40" s="1"/>
      <c r="E40" s="7"/>
      <c r="F40" s="8"/>
      <c r="G40" s="9"/>
      <c r="H40" s="10"/>
      <c r="I40" s="9"/>
      <c r="J40" s="10"/>
      <c r="K40" s="3788"/>
      <c r="L40" s="3788"/>
      <c r="M40" s="11"/>
      <c r="AF40" s="2266">
        <v>34</v>
      </c>
      <c r="AG40" s="3699" t="s">
        <v>1400</v>
      </c>
      <c r="AH40" s="3699">
        <v>1361</v>
      </c>
      <c r="AI40" s="3700">
        <v>41775</v>
      </c>
      <c r="AJ40" s="3699">
        <v>4</v>
      </c>
      <c r="AK40" s="3701" t="s">
        <v>1396</v>
      </c>
      <c r="AL40" s="3702">
        <v>114.4</v>
      </c>
      <c r="AM40" s="3703">
        <v>114.4</v>
      </c>
      <c r="AN40" s="3712">
        <v>0</v>
      </c>
    </row>
    <row r="41" spans="1:43" ht="15">
      <c r="A41" s="12"/>
      <c r="B41" s="12"/>
      <c r="C41" s="13"/>
      <c r="D41" s="183"/>
      <c r="E41" s="4026" t="s">
        <v>18</v>
      </c>
      <c r="F41" s="4026"/>
      <c r="G41" s="4026" t="s">
        <v>19</v>
      </c>
      <c r="H41" s="4026"/>
      <c r="I41" s="4026" t="s">
        <v>20</v>
      </c>
      <c r="J41" s="4026"/>
      <c r="K41" s="4027" t="s">
        <v>21</v>
      </c>
      <c r="L41" s="4027"/>
      <c r="M41" s="4026" t="s">
        <v>22</v>
      </c>
      <c r="AF41" s="2266">
        <v>35</v>
      </c>
      <c r="AG41" s="3699" t="s">
        <v>1400</v>
      </c>
      <c r="AH41" s="3699">
        <v>1362</v>
      </c>
      <c r="AI41" s="3700">
        <v>41775</v>
      </c>
      <c r="AJ41" s="3699">
        <v>5</v>
      </c>
      <c r="AK41" s="3701" t="s">
        <v>1396</v>
      </c>
      <c r="AL41" s="3702">
        <v>114.4</v>
      </c>
      <c r="AM41" s="3703">
        <v>55.51</v>
      </c>
      <c r="AN41" s="3711">
        <v>58.89</v>
      </c>
    </row>
    <row r="42" spans="1:43" ht="30">
      <c r="A42" s="2226" t="s">
        <v>0</v>
      </c>
      <c r="B42" s="2226" t="s">
        <v>23</v>
      </c>
      <c r="C42" s="2224" t="s">
        <v>2</v>
      </c>
      <c r="D42" s="2225" t="s">
        <v>24</v>
      </c>
      <c r="E42" s="2224" t="s">
        <v>25</v>
      </c>
      <c r="F42" s="1802" t="s">
        <v>26</v>
      </c>
      <c r="G42" s="2223" t="s">
        <v>24</v>
      </c>
      <c r="H42" s="1801" t="s">
        <v>27</v>
      </c>
      <c r="I42" s="2223" t="s">
        <v>24</v>
      </c>
      <c r="J42" s="2224" t="s">
        <v>27</v>
      </c>
      <c r="K42" s="2225" t="s">
        <v>24</v>
      </c>
      <c r="L42" s="2225" t="s">
        <v>27</v>
      </c>
      <c r="M42" s="4028"/>
      <c r="O42" s="2265" t="s">
        <v>730</v>
      </c>
      <c r="P42" s="2265" t="s">
        <v>780</v>
      </c>
      <c r="Q42" s="2265" t="s">
        <v>11</v>
      </c>
      <c r="R42" s="2265" t="s">
        <v>6</v>
      </c>
      <c r="S42" s="2265" t="s">
        <v>725</v>
      </c>
      <c r="T42" s="2265" t="s">
        <v>731</v>
      </c>
      <c r="U42" s="2265" t="s">
        <v>16</v>
      </c>
      <c r="V42" s="2265" t="s">
        <v>17</v>
      </c>
      <c r="W42" s="2265" t="s">
        <v>7</v>
      </c>
      <c r="X42" s="2265" t="s">
        <v>12</v>
      </c>
      <c r="Y42" s="2265" t="s">
        <v>129</v>
      </c>
      <c r="Z42" s="2265" t="s">
        <v>10</v>
      </c>
      <c r="AA42" s="2265" t="s">
        <v>13</v>
      </c>
      <c r="AB42" s="2265" t="s">
        <v>781</v>
      </c>
      <c r="AF42" s="2266">
        <v>36</v>
      </c>
      <c r="AG42" s="3699" t="s">
        <v>1400</v>
      </c>
      <c r="AH42" s="3699">
        <v>1364</v>
      </c>
      <c r="AI42" s="3700">
        <v>41775</v>
      </c>
      <c r="AJ42" s="3699">
        <v>3</v>
      </c>
      <c r="AK42" s="3701" t="s">
        <v>1396</v>
      </c>
      <c r="AL42" s="3702">
        <v>114.4</v>
      </c>
      <c r="AM42" s="3703">
        <v>16.920000000000002</v>
      </c>
      <c r="AN42" s="3711">
        <v>97.48</v>
      </c>
    </row>
    <row r="43" spans="1:43" ht="15">
      <c r="A43" s="2004" t="s">
        <v>8</v>
      </c>
      <c r="B43" s="2005" t="s">
        <v>730</v>
      </c>
      <c r="C43" s="2006">
        <f>SUM(E43:E43)</f>
        <v>7530</v>
      </c>
      <c r="D43" s="2006" t="s">
        <v>726</v>
      </c>
      <c r="E43" s="2006">
        <v>7530</v>
      </c>
      <c r="F43" s="2006">
        <f t="shared" ref="F43:F53" si="8">+E43</f>
        <v>7530</v>
      </c>
      <c r="G43" s="2007">
        <f>+O43</f>
        <v>0</v>
      </c>
      <c r="H43" s="2008">
        <f t="shared" ref="H43:H52" si="9">SUM(G43:G43)</f>
        <v>0</v>
      </c>
      <c r="I43" s="2009">
        <f t="shared" ref="I43:I53" si="10">+F43-G43</f>
        <v>7530</v>
      </c>
      <c r="J43" s="2010">
        <f>+C43-H43</f>
        <v>7530</v>
      </c>
      <c r="K43" s="2011">
        <f>1-G43/F43</f>
        <v>1</v>
      </c>
      <c r="L43" s="2012">
        <f>1-H43/C43</f>
        <v>1</v>
      </c>
      <c r="M43" s="2013"/>
      <c r="N43" s="2269"/>
      <c r="O43" s="1771"/>
      <c r="AF43" s="2266">
        <v>37</v>
      </c>
      <c r="AG43" s="3699" t="s">
        <v>1400</v>
      </c>
      <c r="AH43" s="3699">
        <v>1915</v>
      </c>
      <c r="AI43" s="3700">
        <v>41844</v>
      </c>
      <c r="AJ43" s="3699">
        <v>8</v>
      </c>
      <c r="AK43" s="3701" t="s">
        <v>1395</v>
      </c>
      <c r="AL43" s="3702">
        <v>42.2</v>
      </c>
      <c r="AM43" s="3703">
        <v>15.12</v>
      </c>
      <c r="AN43" s="3711">
        <v>27.08</v>
      </c>
    </row>
    <row r="44" spans="1:43" ht="15">
      <c r="A44" s="2004" t="s">
        <v>8</v>
      </c>
      <c r="B44" s="2005" t="s">
        <v>596</v>
      </c>
      <c r="C44" s="2006">
        <f>SUM(E44:E44)</f>
        <v>0</v>
      </c>
      <c r="D44" s="2006" t="s">
        <v>726</v>
      </c>
      <c r="E44" s="2006"/>
      <c r="F44" s="2006">
        <f t="shared" si="8"/>
        <v>0</v>
      </c>
      <c r="G44" s="2007">
        <f>+R44+S44</f>
        <v>0</v>
      </c>
      <c r="H44" s="2008">
        <f t="shared" si="9"/>
        <v>0</v>
      </c>
      <c r="I44" s="2009">
        <f t="shared" si="10"/>
        <v>0</v>
      </c>
      <c r="J44" s="2010">
        <f>+C44-H44</f>
        <v>0</v>
      </c>
      <c r="K44" s="2011" t="e">
        <f>1-G44/F44</f>
        <v>#DIV/0!</v>
      </c>
      <c r="L44" s="2012" t="e">
        <f>1-H44/C44</f>
        <v>#DIV/0!</v>
      </c>
      <c r="M44" s="2013"/>
      <c r="N44" s="2269"/>
      <c r="R44" s="1771"/>
      <c r="S44" s="1771"/>
      <c r="AF44" s="2266">
        <v>38</v>
      </c>
      <c r="AG44" s="3229" t="s">
        <v>1400</v>
      </c>
      <c r="AH44" s="3229">
        <v>1916</v>
      </c>
      <c r="AI44" s="3230">
        <v>41844</v>
      </c>
      <c r="AJ44" s="3229">
        <v>9</v>
      </c>
      <c r="AK44" s="3231" t="s">
        <v>1395</v>
      </c>
      <c r="AL44" s="3232">
        <v>42.2</v>
      </c>
      <c r="AM44" s="3233"/>
      <c r="AN44" s="3418"/>
    </row>
    <row r="45" spans="1:43" ht="15">
      <c r="A45" s="2014" t="s">
        <v>8</v>
      </c>
      <c r="B45" s="2015" t="s">
        <v>595</v>
      </c>
      <c r="C45" s="2006">
        <f t="shared" ref="C45:C47" si="11">SUM(E45:E45)</f>
        <v>0</v>
      </c>
      <c r="D45" s="2016" t="s">
        <v>726</v>
      </c>
      <c r="E45" s="2016"/>
      <c r="F45" s="2016">
        <f t="shared" si="8"/>
        <v>0</v>
      </c>
      <c r="G45" s="2017">
        <f>+T45+U45+V45+W45+X45+Y45+Z45</f>
        <v>0</v>
      </c>
      <c r="H45" s="2018">
        <f t="shared" si="9"/>
        <v>0</v>
      </c>
      <c r="I45" s="2019">
        <f t="shared" si="10"/>
        <v>0</v>
      </c>
      <c r="J45" s="2020">
        <f>+C45-H45</f>
        <v>0</v>
      </c>
      <c r="K45" s="2021" t="e">
        <f>1-G45/F45</f>
        <v>#DIV/0!</v>
      </c>
      <c r="L45" s="2022" t="e">
        <f>1-H45/C45</f>
        <v>#DIV/0!</v>
      </c>
      <c r="M45" s="2013"/>
      <c r="N45" s="2269"/>
      <c r="T45" s="1771"/>
      <c r="U45" s="1771"/>
      <c r="V45" s="1771"/>
      <c r="W45" s="1771"/>
      <c r="X45" s="1771"/>
      <c r="Y45" s="1771"/>
      <c r="Z45" s="1771"/>
      <c r="AF45" s="2266">
        <v>39</v>
      </c>
      <c r="AG45" s="3229" t="s">
        <v>1400</v>
      </c>
      <c r="AH45" s="3229">
        <v>1917</v>
      </c>
      <c r="AI45" s="3230">
        <v>41844</v>
      </c>
      <c r="AJ45" s="3229">
        <v>10</v>
      </c>
      <c r="AK45" s="3231" t="s">
        <v>1395</v>
      </c>
      <c r="AL45" s="3232">
        <v>42.2</v>
      </c>
      <c r="AM45" s="3233"/>
      <c r="AN45" s="3418"/>
    </row>
    <row r="46" spans="1:43" ht="15">
      <c r="A46" s="2023" t="s">
        <v>5</v>
      </c>
      <c r="B46" s="2024" t="s">
        <v>597</v>
      </c>
      <c r="C46" s="2006">
        <f t="shared" si="11"/>
        <v>0</v>
      </c>
      <c r="D46" s="2026" t="s">
        <v>726</v>
      </c>
      <c r="E46" s="2025"/>
      <c r="F46" s="2025">
        <f t="shared" si="8"/>
        <v>0</v>
      </c>
      <c r="G46" s="2027">
        <f>+O46+P46+Q46</f>
        <v>0</v>
      </c>
      <c r="H46" s="2028">
        <f t="shared" si="9"/>
        <v>0</v>
      </c>
      <c r="I46" s="2029">
        <f t="shared" si="10"/>
        <v>0</v>
      </c>
      <c r="J46" s="2030">
        <f>+C46-G46</f>
        <v>0</v>
      </c>
      <c r="K46" s="2031" t="e">
        <f>1-G46/E46</f>
        <v>#DIV/0!</v>
      </c>
      <c r="L46" s="2032" t="e">
        <f>1-G46/C46</f>
        <v>#DIV/0!</v>
      </c>
      <c r="M46" s="2033"/>
      <c r="N46" s="2269"/>
      <c r="O46" s="1771"/>
      <c r="P46" s="1771"/>
      <c r="Q46" s="1771"/>
      <c r="AF46" s="2266">
        <v>40</v>
      </c>
      <c r="AG46" s="3229" t="s">
        <v>1400</v>
      </c>
      <c r="AH46" s="3229">
        <v>1918</v>
      </c>
      <c r="AI46" s="3230">
        <v>41844</v>
      </c>
      <c r="AJ46" s="3229">
        <v>11</v>
      </c>
      <c r="AK46" s="3231" t="s">
        <v>1395</v>
      </c>
      <c r="AL46" s="3232">
        <v>84.4</v>
      </c>
      <c r="AM46" s="3233"/>
      <c r="AN46" s="3418"/>
    </row>
    <row r="47" spans="1:43" ht="15">
      <c r="A47" s="2209" t="s">
        <v>5</v>
      </c>
      <c r="B47" s="2210" t="s">
        <v>724</v>
      </c>
      <c r="C47" s="2006">
        <f t="shared" si="11"/>
        <v>0</v>
      </c>
      <c r="D47" s="2211" t="s">
        <v>726</v>
      </c>
      <c r="E47" s="2212"/>
      <c r="F47" s="2025">
        <f t="shared" si="8"/>
        <v>0</v>
      </c>
      <c r="G47" s="2027">
        <f>+R47+S47+T47+U47+V47+W47+X47+Y47+Z47</f>
        <v>0</v>
      </c>
      <c r="H47" s="2028">
        <f t="shared" si="9"/>
        <v>0</v>
      </c>
      <c r="I47" s="2029">
        <f t="shared" si="10"/>
        <v>0</v>
      </c>
      <c r="J47" s="2030">
        <f>+C47-G47</f>
        <v>0</v>
      </c>
      <c r="K47" s="2031" t="e">
        <f>1-G47/E47</f>
        <v>#DIV/0!</v>
      </c>
      <c r="L47" s="2032" t="e">
        <f>1-G47/C47</f>
        <v>#DIV/0!</v>
      </c>
      <c r="M47" s="2213"/>
      <c r="N47" s="2269"/>
      <c r="R47" s="1771"/>
      <c r="S47" s="1771"/>
      <c r="T47" s="1771"/>
      <c r="U47" s="1771"/>
      <c r="V47" s="1771"/>
      <c r="W47" s="1771"/>
      <c r="X47" s="1771"/>
      <c r="Y47" s="1771"/>
      <c r="Z47" s="1771"/>
      <c r="AF47" s="2266">
        <v>41</v>
      </c>
      <c r="AG47" s="3229" t="s">
        <v>1400</v>
      </c>
      <c r="AH47" s="3229">
        <v>1923</v>
      </c>
      <c r="AI47" s="3230">
        <v>41844</v>
      </c>
      <c r="AJ47" s="3229">
        <v>13</v>
      </c>
      <c r="AK47" s="3231" t="s">
        <v>1396</v>
      </c>
      <c r="AL47" s="3232">
        <v>572</v>
      </c>
      <c r="AM47" s="3233"/>
      <c r="AN47" s="3418"/>
    </row>
    <row r="48" spans="1:43" ht="15.6" thickBot="1">
      <c r="A48" s="1800" t="s">
        <v>14</v>
      </c>
      <c r="B48" s="1799" t="s">
        <v>597</v>
      </c>
      <c r="C48" s="1798">
        <f>+E48</f>
        <v>0</v>
      </c>
      <c r="D48" s="1798" t="s">
        <v>726</v>
      </c>
      <c r="E48" s="1798"/>
      <c r="F48" s="1798">
        <f t="shared" si="8"/>
        <v>0</v>
      </c>
      <c r="G48" s="1797">
        <f>+O48+P48+Q48</f>
        <v>0</v>
      </c>
      <c r="H48" s="1796">
        <f t="shared" si="9"/>
        <v>0</v>
      </c>
      <c r="I48" s="1795">
        <f t="shared" si="10"/>
        <v>0</v>
      </c>
      <c r="J48" s="1794">
        <f t="shared" ref="J48:J53" si="12">+C48-H48</f>
        <v>0</v>
      </c>
      <c r="K48" s="1793" t="e">
        <f t="shared" ref="K48:K53" si="13">1-G48/F48</f>
        <v>#DIV/0!</v>
      </c>
      <c r="L48" s="1792" t="e">
        <f t="shared" ref="L48:L53" si="14">1-H48/C48</f>
        <v>#DIV/0!</v>
      </c>
      <c r="M48" s="1791"/>
      <c r="N48" s="2269"/>
      <c r="O48" s="1771"/>
      <c r="P48" s="1771"/>
      <c r="Q48" s="1771"/>
      <c r="AF48" s="2266">
        <v>42</v>
      </c>
      <c r="AG48" s="3245" t="s">
        <v>1400</v>
      </c>
      <c r="AH48" s="3245">
        <v>1924</v>
      </c>
      <c r="AI48" s="3246">
        <v>41844</v>
      </c>
      <c r="AJ48" s="3245">
        <v>14</v>
      </c>
      <c r="AK48" s="3247" t="s">
        <v>1396</v>
      </c>
      <c r="AL48" s="3248">
        <v>572</v>
      </c>
      <c r="AM48" s="3249"/>
      <c r="AN48" s="3424"/>
    </row>
    <row r="49" spans="1:41" ht="15.6" thickBot="1">
      <c r="A49" s="1800" t="s">
        <v>14</v>
      </c>
      <c r="B49" s="1799" t="s">
        <v>596</v>
      </c>
      <c r="C49" s="1798">
        <f>+E49</f>
        <v>0</v>
      </c>
      <c r="D49" s="1798" t="s">
        <v>726</v>
      </c>
      <c r="E49" s="1798"/>
      <c r="F49" s="1798">
        <f t="shared" si="8"/>
        <v>0</v>
      </c>
      <c r="G49" s="1797">
        <f>+R49+S49</f>
        <v>0</v>
      </c>
      <c r="H49" s="1796">
        <f t="shared" si="9"/>
        <v>0</v>
      </c>
      <c r="I49" s="1795">
        <f t="shared" si="10"/>
        <v>0</v>
      </c>
      <c r="J49" s="1794">
        <f t="shared" si="12"/>
        <v>0</v>
      </c>
      <c r="K49" s="1793" t="e">
        <f t="shared" si="13"/>
        <v>#DIV/0!</v>
      </c>
      <c r="L49" s="1792" t="e">
        <f t="shared" si="14"/>
        <v>#DIV/0!</v>
      </c>
      <c r="M49" s="1791"/>
      <c r="N49" s="2269"/>
      <c r="R49" s="1771"/>
      <c r="S49" s="1771"/>
      <c r="AF49" s="2266">
        <v>43</v>
      </c>
      <c r="AG49" s="3250" t="s">
        <v>1401</v>
      </c>
      <c r="AH49" s="3251">
        <v>1297</v>
      </c>
      <c r="AI49" s="3252">
        <v>41773</v>
      </c>
      <c r="AJ49" s="3250">
        <v>25</v>
      </c>
      <c r="AK49" s="3253" t="s">
        <v>1398</v>
      </c>
      <c r="AL49" s="3254">
        <v>119.85</v>
      </c>
      <c r="AM49" s="3255"/>
      <c r="AN49" s="3425"/>
    </row>
    <row r="50" spans="1:41" ht="15">
      <c r="A50" s="1960" t="s">
        <v>9</v>
      </c>
      <c r="B50" s="3078" t="s">
        <v>731</v>
      </c>
      <c r="C50" s="3081">
        <f>SUM(E50:E50)</f>
        <v>3118</v>
      </c>
      <c r="D50" s="3079" t="s">
        <v>726</v>
      </c>
      <c r="E50" s="1961">
        <v>3118</v>
      </c>
      <c r="F50" s="1961">
        <f t="shared" si="8"/>
        <v>3118</v>
      </c>
      <c r="G50" s="1998">
        <f>+T50</f>
        <v>0</v>
      </c>
      <c r="H50" s="1963">
        <f t="shared" si="9"/>
        <v>0</v>
      </c>
      <c r="I50" s="2000">
        <f t="shared" si="10"/>
        <v>3118</v>
      </c>
      <c r="J50" s="1964">
        <f t="shared" si="12"/>
        <v>3118</v>
      </c>
      <c r="K50" s="1965">
        <f t="shared" si="13"/>
        <v>1</v>
      </c>
      <c r="L50" s="1966">
        <f t="shared" si="14"/>
        <v>1</v>
      </c>
      <c r="M50" s="2001"/>
      <c r="N50" s="2269"/>
      <c r="T50" s="1771"/>
      <c r="AF50" s="2266">
        <v>44</v>
      </c>
      <c r="AG50" s="3256" t="s">
        <v>1401</v>
      </c>
      <c r="AH50" s="3257">
        <v>1298</v>
      </c>
      <c r="AI50" s="3258">
        <v>41773</v>
      </c>
      <c r="AJ50" s="3256">
        <v>24</v>
      </c>
      <c r="AK50" s="3259" t="s">
        <v>1398</v>
      </c>
      <c r="AL50" s="3260">
        <v>119.85</v>
      </c>
      <c r="AM50" s="3261"/>
      <c r="AN50" s="3423"/>
    </row>
    <row r="51" spans="1:41" ht="15.6" thickBot="1">
      <c r="A51" s="3392" t="s">
        <v>9</v>
      </c>
      <c r="B51" s="3078" t="s">
        <v>12</v>
      </c>
      <c r="C51" s="3082">
        <f>SUM(E51:E51)</f>
        <v>2602</v>
      </c>
      <c r="D51" s="3079" t="s">
        <v>726</v>
      </c>
      <c r="E51" s="1961">
        <v>2602</v>
      </c>
      <c r="F51" s="1961">
        <f t="shared" ref="F51" si="15">+E51</f>
        <v>2602</v>
      </c>
      <c r="G51" s="1998">
        <f>+X51</f>
        <v>784</v>
      </c>
      <c r="H51" s="1963">
        <f t="shared" ref="H51" si="16">SUM(G51:G51)</f>
        <v>784</v>
      </c>
      <c r="I51" s="2000">
        <f t="shared" ref="I51" si="17">+F51-G51</f>
        <v>1818</v>
      </c>
      <c r="J51" s="1964">
        <f t="shared" si="12"/>
        <v>1818</v>
      </c>
      <c r="K51" s="1965">
        <f t="shared" si="13"/>
        <v>0.69869331283627978</v>
      </c>
      <c r="L51" s="1966">
        <f t="shared" si="14"/>
        <v>0.69869331283627978</v>
      </c>
      <c r="M51" s="2001"/>
      <c r="N51" s="3391" t="s">
        <v>1414</v>
      </c>
      <c r="X51" s="3390">
        <v>784</v>
      </c>
      <c r="AF51" s="2266">
        <v>45</v>
      </c>
      <c r="AG51" s="3256" t="s">
        <v>1401</v>
      </c>
      <c r="AH51" s="3257">
        <v>1300</v>
      </c>
      <c r="AI51" s="3258">
        <v>41773</v>
      </c>
      <c r="AJ51" s="3256">
        <v>21</v>
      </c>
      <c r="AK51" s="3259" t="s">
        <v>1398</v>
      </c>
      <c r="AL51" s="3260">
        <v>119.85</v>
      </c>
      <c r="AM51" s="3261"/>
      <c r="AN51" s="3423"/>
    </row>
    <row r="52" spans="1:41" ht="15">
      <c r="A52" s="1790" t="s">
        <v>593</v>
      </c>
      <c r="B52" s="1789" t="s">
        <v>594</v>
      </c>
      <c r="C52" s="3080">
        <f>+E52</f>
        <v>187</v>
      </c>
      <c r="D52" s="1787" t="s">
        <v>726</v>
      </c>
      <c r="E52" s="1786">
        <v>187</v>
      </c>
      <c r="F52" s="1785">
        <f t="shared" si="8"/>
        <v>187</v>
      </c>
      <c r="G52" s="1784">
        <f>+Z52</f>
        <v>0</v>
      </c>
      <c r="H52" s="1783">
        <f t="shared" si="9"/>
        <v>0</v>
      </c>
      <c r="I52" s="1782">
        <f t="shared" si="10"/>
        <v>187</v>
      </c>
      <c r="J52" s="1781">
        <f t="shared" si="12"/>
        <v>187</v>
      </c>
      <c r="K52" s="1780">
        <f t="shared" si="13"/>
        <v>1</v>
      </c>
      <c r="L52" s="1779">
        <f t="shared" si="14"/>
        <v>1</v>
      </c>
      <c r="M52" s="1778"/>
      <c r="N52" s="2269"/>
      <c r="Z52" s="1771"/>
      <c r="AF52" s="2266">
        <v>46</v>
      </c>
      <c r="AG52" s="3256" t="s">
        <v>1401</v>
      </c>
      <c r="AH52" s="3257">
        <v>1302</v>
      </c>
      <c r="AI52" s="3258">
        <v>41773</v>
      </c>
      <c r="AJ52" s="3256">
        <v>19</v>
      </c>
      <c r="AK52" s="3259" t="s">
        <v>1398</v>
      </c>
      <c r="AL52" s="3260">
        <v>119.85</v>
      </c>
      <c r="AM52" s="3261"/>
      <c r="AN52" s="3423"/>
    </row>
    <row r="53" spans="1:41" ht="15">
      <c r="A53" s="1777" t="s">
        <v>593</v>
      </c>
      <c r="B53" s="1774" t="s">
        <v>13</v>
      </c>
      <c r="C53" s="1776">
        <f>SUM(E53:E53)</f>
        <v>80</v>
      </c>
      <c r="D53" s="1774" t="s">
        <v>726</v>
      </c>
      <c r="E53" s="1774">
        <v>80</v>
      </c>
      <c r="F53" s="1774">
        <f t="shared" si="8"/>
        <v>80</v>
      </c>
      <c r="G53" s="2155">
        <f>+AA53</f>
        <v>0</v>
      </c>
      <c r="H53" s="1775">
        <f>+G53</f>
        <v>0</v>
      </c>
      <c r="I53" s="1774">
        <f t="shared" si="10"/>
        <v>80</v>
      </c>
      <c r="J53" s="1774">
        <f t="shared" si="12"/>
        <v>80</v>
      </c>
      <c r="K53" s="1773">
        <f t="shared" si="13"/>
        <v>1</v>
      </c>
      <c r="L53" s="1772">
        <f t="shared" si="14"/>
        <v>1</v>
      </c>
      <c r="M53" s="1771"/>
      <c r="N53" s="2269"/>
      <c r="AA53" s="1771"/>
      <c r="AF53" s="2266">
        <v>47</v>
      </c>
      <c r="AG53" s="3714" t="s">
        <v>1401</v>
      </c>
      <c r="AH53" s="3715">
        <v>1316</v>
      </c>
      <c r="AI53" s="3716">
        <v>41773</v>
      </c>
      <c r="AJ53" s="3714">
        <v>5</v>
      </c>
      <c r="AK53" s="3717" t="s">
        <v>1398</v>
      </c>
      <c r="AL53" s="3718">
        <v>47.94</v>
      </c>
      <c r="AM53" s="3719">
        <v>36.07</v>
      </c>
      <c r="AN53" s="3713">
        <v>11.87</v>
      </c>
    </row>
    <row r="54" spans="1:41" ht="14.4">
      <c r="AF54" s="2266">
        <v>48</v>
      </c>
      <c r="AG54" s="3256" t="s">
        <v>1401</v>
      </c>
      <c r="AH54" s="3257">
        <v>1393</v>
      </c>
      <c r="AI54" s="3258">
        <v>41781</v>
      </c>
      <c r="AJ54" s="3256">
        <v>17</v>
      </c>
      <c r="AK54" s="3259" t="s">
        <v>1396</v>
      </c>
      <c r="AL54" s="3260">
        <v>572</v>
      </c>
      <c r="AM54" s="3261"/>
      <c r="AN54" s="3423"/>
    </row>
    <row r="55" spans="1:41" ht="15" thickBot="1">
      <c r="AF55" s="2266">
        <v>49</v>
      </c>
      <c r="AG55" s="3262" t="s">
        <v>1401</v>
      </c>
      <c r="AH55" s="3263">
        <v>1925</v>
      </c>
      <c r="AI55" s="3264">
        <v>41844</v>
      </c>
      <c r="AJ55" s="3262">
        <v>15</v>
      </c>
      <c r="AK55" s="3265" t="s">
        <v>1396</v>
      </c>
      <c r="AL55" s="3266">
        <v>572</v>
      </c>
      <c r="AM55" s="3267"/>
      <c r="AN55" s="3426"/>
    </row>
    <row r="56" spans="1:41" ht="14.4">
      <c r="AF56" s="2266">
        <v>50</v>
      </c>
      <c r="AG56" s="3268" t="s">
        <v>1402</v>
      </c>
      <c r="AH56" s="3269">
        <v>1296</v>
      </c>
      <c r="AI56" s="3270">
        <v>41773</v>
      </c>
      <c r="AJ56" s="3268">
        <v>26</v>
      </c>
      <c r="AK56" s="3271" t="s">
        <v>1398</v>
      </c>
      <c r="AL56" s="3272">
        <v>119.85</v>
      </c>
      <c r="AM56" s="3273"/>
      <c r="AN56" s="3427"/>
    </row>
    <row r="57" spans="1:41" ht="14.4">
      <c r="AF57" s="2266">
        <v>51</v>
      </c>
      <c r="AG57" s="3714" t="s">
        <v>1402</v>
      </c>
      <c r="AH57" s="3715">
        <v>1299</v>
      </c>
      <c r="AI57" s="3716">
        <v>41773</v>
      </c>
      <c r="AJ57" s="3714">
        <v>22</v>
      </c>
      <c r="AK57" s="3717" t="s">
        <v>1398</v>
      </c>
      <c r="AL57" s="3718">
        <v>119.85</v>
      </c>
      <c r="AM57" s="3719">
        <v>14.57</v>
      </c>
      <c r="AN57" s="3713">
        <v>105.28</v>
      </c>
    </row>
    <row r="58" spans="1:41" ht="14.4">
      <c r="AF58" s="2266">
        <v>52</v>
      </c>
      <c r="AG58" s="3256" t="s">
        <v>1402</v>
      </c>
      <c r="AH58" s="3257">
        <v>1301</v>
      </c>
      <c r="AI58" s="3258">
        <v>41773</v>
      </c>
      <c r="AJ58" s="3256">
        <v>20</v>
      </c>
      <c r="AK58" s="3259" t="s">
        <v>1398</v>
      </c>
      <c r="AL58" s="3260">
        <v>119.85</v>
      </c>
      <c r="AM58" s="3261"/>
      <c r="AN58" s="3423"/>
    </row>
    <row r="59" spans="1:41" ht="15" thickBot="1">
      <c r="AF59" s="2266">
        <v>53</v>
      </c>
      <c r="AG59" s="3274" t="s">
        <v>1402</v>
      </c>
      <c r="AH59" s="3275">
        <v>1318</v>
      </c>
      <c r="AI59" s="3276">
        <v>41773</v>
      </c>
      <c r="AJ59" s="3274">
        <v>3</v>
      </c>
      <c r="AK59" s="3277" t="s">
        <v>1398</v>
      </c>
      <c r="AL59" s="3278">
        <v>47.94</v>
      </c>
      <c r="AM59" s="3279"/>
      <c r="AN59" s="3428"/>
    </row>
    <row r="60" spans="1:41" ht="15" thickBot="1">
      <c r="AF60" s="2266">
        <v>54</v>
      </c>
      <c r="AG60" s="3280" t="s">
        <v>1403</v>
      </c>
      <c r="AH60" s="3281">
        <v>1303</v>
      </c>
      <c r="AI60" s="3282">
        <v>41773</v>
      </c>
      <c r="AJ60" s="3280">
        <v>18</v>
      </c>
      <c r="AK60" s="3283" t="s">
        <v>1398</v>
      </c>
      <c r="AL60" s="3284">
        <v>119.85</v>
      </c>
      <c r="AM60" s="3285"/>
      <c r="AN60" s="3429"/>
    </row>
    <row r="61" spans="1:41" ht="15" thickBot="1">
      <c r="AG61" s="3280"/>
      <c r="AH61" s="3281"/>
      <c r="AI61" s="3282"/>
      <c r="AJ61" s="3280"/>
      <c r="AK61" s="3283"/>
      <c r="AL61" s="3284"/>
      <c r="AM61" s="3285"/>
      <c r="AN61" s="3429"/>
      <c r="AO61" s="3328"/>
    </row>
    <row r="62" spans="1:41">
      <c r="AM62" s="3721"/>
    </row>
    <row r="67" spans="38:40">
      <c r="AL67" s="3334">
        <f>SUM(AL7:AL61)</f>
        <v>8538.9999999999964</v>
      </c>
      <c r="AM67" s="3334">
        <f>SUM(AM7:AM61)</f>
        <v>942.45</v>
      </c>
      <c r="AN67" s="2414">
        <f>SUM(AN7:AN61)</f>
        <v>1243.1099999999997</v>
      </c>
    </row>
  </sheetData>
  <mergeCells count="26">
    <mergeCell ref="A2:M2"/>
    <mergeCell ref="K4:L4"/>
    <mergeCell ref="E5:F5"/>
    <mergeCell ref="G5:H5"/>
    <mergeCell ref="I5:J5"/>
    <mergeCell ref="K5:L5"/>
    <mergeCell ref="A3:M3"/>
    <mergeCell ref="M5:M6"/>
    <mergeCell ref="E41:F41"/>
    <mergeCell ref="G41:H41"/>
    <mergeCell ref="I41:J41"/>
    <mergeCell ref="K41:L41"/>
    <mergeCell ref="M41:M42"/>
    <mergeCell ref="AG4:AN4"/>
    <mergeCell ref="AG5:AN5"/>
    <mergeCell ref="A38:M38"/>
    <mergeCell ref="A39:M39"/>
    <mergeCell ref="K40:L40"/>
    <mergeCell ref="A20:M20"/>
    <mergeCell ref="A21:M21"/>
    <mergeCell ref="K22:L22"/>
    <mergeCell ref="E23:F23"/>
    <mergeCell ref="G23:H23"/>
    <mergeCell ref="I23:J23"/>
    <mergeCell ref="K23:L23"/>
    <mergeCell ref="M23:M24"/>
  </mergeCells>
  <pageMargins left="0.74803149606299213" right="0.74803149606299213" top="0.98425196850393704" bottom="0.98425196850393704" header="0" footer="0"/>
  <pageSetup paperSize="137" scale="79" orientation="portrait" r:id="rId1"/>
  <headerFooter alignWithMargins="0"/>
  <legacyDrawing r:id="rId2"/>
</worksheet>
</file>

<file path=xl/worksheets/sheet21.xml><?xml version="1.0" encoding="utf-8"?>
<worksheet xmlns="http://schemas.openxmlformats.org/spreadsheetml/2006/main" xmlns:r="http://schemas.openxmlformats.org/officeDocument/2006/relationships">
  <sheetPr>
    <tabColor theme="7" tint="0.39997558519241921"/>
  </sheetPr>
  <dimension ref="A1:AH204"/>
  <sheetViews>
    <sheetView topLeftCell="A100" workbookViewId="0">
      <selection activeCell="C112" sqref="C112"/>
    </sheetView>
  </sheetViews>
  <sheetFormatPr baseColWidth="10" defaultColWidth="11.44140625" defaultRowHeight="13.2"/>
  <cols>
    <col min="1" max="1" width="11.44140625" style="1766"/>
    <col min="2" max="2" width="17.44140625" style="1766" customWidth="1"/>
    <col min="3" max="7" width="5.6640625" style="1766" customWidth="1"/>
    <col min="8" max="9" width="9.44140625" style="1766" bestFit="1" customWidth="1"/>
    <col min="10" max="33" width="5.6640625" style="1766" customWidth="1"/>
    <col min="34" max="34" width="9.6640625" style="1766" customWidth="1"/>
    <col min="35" max="35" width="5.33203125" style="1766" customWidth="1"/>
    <col min="36" max="37" width="11.44140625" style="1766"/>
    <col min="38" max="69" width="6.5546875" style="1766" customWidth="1"/>
    <col min="70" max="70" width="4.44140625" style="1766" customWidth="1"/>
    <col min="71" max="72" width="11.44140625" style="1766"/>
    <col min="73" max="104" width="7" style="1766" customWidth="1"/>
    <col min="105" max="107" width="11.44140625" style="1766"/>
    <col min="108" max="139" width="6.5546875" style="1766" customWidth="1"/>
    <col min="140" max="142" width="11.44140625" style="1766"/>
    <col min="143" max="173" width="5.6640625" style="1766" customWidth="1"/>
    <col min="174" max="174" width="8.44140625" style="1766" customWidth="1"/>
    <col min="175" max="16384" width="11.44140625" style="1766"/>
  </cols>
  <sheetData>
    <row r="1" spans="1:34" ht="15">
      <c r="A1" s="4032" t="s">
        <v>605</v>
      </c>
      <c r="B1" s="4033"/>
      <c r="C1" s="4033"/>
      <c r="D1" s="4033"/>
      <c r="E1" s="4033"/>
      <c r="F1" s="4033"/>
      <c r="G1" s="4033"/>
      <c r="H1" s="4033"/>
      <c r="I1" s="4033"/>
      <c r="J1" s="4033"/>
      <c r="K1" s="4033"/>
      <c r="L1" s="4033"/>
      <c r="M1" s="4033"/>
      <c r="N1" s="4033"/>
      <c r="O1" s="4033"/>
      <c r="P1" s="4033"/>
      <c r="Q1" s="4033"/>
      <c r="R1" s="4033"/>
      <c r="S1" s="4033"/>
      <c r="T1" s="4034"/>
      <c r="U1" s="1851"/>
      <c r="V1" s="1851"/>
      <c r="W1" s="1851"/>
      <c r="X1" s="1851"/>
      <c r="Y1" s="1851"/>
      <c r="Z1" s="1851"/>
      <c r="AA1" s="1851"/>
      <c r="AB1" s="1851"/>
      <c r="AC1" s="1851"/>
      <c r="AD1" s="1851"/>
      <c r="AE1" s="1851"/>
      <c r="AF1" s="1851"/>
      <c r="AG1" s="1851"/>
      <c r="AH1" s="1851"/>
    </row>
    <row r="2" spans="1:34">
      <c r="A2" s="1851"/>
      <c r="B2" s="1851"/>
      <c r="C2" s="1851"/>
      <c r="D2" s="1851"/>
      <c r="E2" s="1851"/>
      <c r="F2" s="1851"/>
      <c r="G2" s="1851"/>
      <c r="H2" s="1851"/>
      <c r="I2" s="1851"/>
      <c r="J2" s="1851"/>
      <c r="K2" s="1851"/>
      <c r="L2" s="1851"/>
      <c r="M2" s="1851"/>
      <c r="N2" s="1851"/>
      <c r="O2" s="1851"/>
      <c r="P2" s="1851"/>
      <c r="Q2" s="1851"/>
      <c r="R2" s="1851"/>
      <c r="S2" s="1851"/>
      <c r="T2" s="1851"/>
      <c r="U2" s="1851"/>
      <c r="V2" s="1851"/>
      <c r="W2" s="1851"/>
      <c r="X2" s="1851"/>
      <c r="Y2" s="1851"/>
      <c r="Z2" s="1851"/>
      <c r="AA2" s="1851"/>
      <c r="AB2" s="1851"/>
      <c r="AC2" s="1851"/>
      <c r="AD2" s="1851"/>
      <c r="AE2" s="1851"/>
      <c r="AF2" s="1851"/>
      <c r="AG2" s="1851"/>
      <c r="AH2" s="1851"/>
    </row>
    <row r="3" spans="1:34">
      <c r="A3" s="1851"/>
      <c r="B3" s="1851"/>
      <c r="C3" s="1851"/>
      <c r="D3" s="1851"/>
      <c r="E3" s="1851"/>
      <c r="F3" s="1851"/>
      <c r="G3" s="1851"/>
      <c r="H3" s="1851"/>
      <c r="I3" s="1851"/>
      <c r="J3" s="1851"/>
      <c r="K3" s="1851"/>
      <c r="L3" s="1851"/>
      <c r="M3" s="1851"/>
      <c r="N3" s="1851"/>
      <c r="O3" s="1851"/>
      <c r="P3" s="1851"/>
      <c r="Q3" s="1851"/>
      <c r="R3" s="1851"/>
      <c r="S3" s="1851"/>
      <c r="T3" s="1851"/>
      <c r="U3" s="1851"/>
      <c r="V3" s="1851"/>
      <c r="W3" s="1851"/>
      <c r="X3" s="1851"/>
      <c r="Y3" s="1851"/>
      <c r="Z3" s="1851"/>
      <c r="AA3" s="1851"/>
      <c r="AB3" s="1851"/>
      <c r="AC3" s="1851"/>
      <c r="AD3" s="1851"/>
      <c r="AE3" s="1851"/>
      <c r="AF3" s="1851"/>
      <c r="AG3" s="1851"/>
      <c r="AH3" s="1851"/>
    </row>
    <row r="4" spans="1:34" ht="15">
      <c r="A4" s="4032" t="s">
        <v>604</v>
      </c>
      <c r="B4" s="4033"/>
      <c r="C4" s="4034"/>
      <c r="D4" s="1849"/>
      <c r="E4" s="1849"/>
      <c r="F4" s="1849"/>
      <c r="G4" s="1849"/>
      <c r="H4" s="1849"/>
      <c r="I4" s="1849"/>
      <c r="J4" s="1849"/>
      <c r="K4" s="1849"/>
      <c r="L4" s="1849"/>
      <c r="M4" s="1850"/>
      <c r="N4" s="1849"/>
      <c r="O4" s="1849"/>
      <c r="P4" s="1849"/>
      <c r="Q4" s="1849"/>
      <c r="R4" s="1849"/>
      <c r="S4" s="1849"/>
      <c r="T4" s="1849"/>
      <c r="U4" s="1849"/>
      <c r="V4" s="1849"/>
      <c r="W4" s="1849"/>
      <c r="X4" s="1849"/>
      <c r="Y4" s="1849"/>
      <c r="Z4" s="1849"/>
      <c r="AA4" s="1849"/>
      <c r="AB4" s="1849"/>
      <c r="AC4" s="1849"/>
      <c r="AD4" s="1849"/>
      <c r="AE4" s="1849"/>
      <c r="AF4" s="1849"/>
      <c r="AG4" s="1849"/>
      <c r="AH4" s="1849"/>
    </row>
    <row r="5" spans="1:34" ht="15">
      <c r="A5" s="1847" t="s">
        <v>70</v>
      </c>
      <c r="B5" s="1847" t="s">
        <v>71</v>
      </c>
      <c r="C5" s="1847">
        <v>1</v>
      </c>
      <c r="D5" s="1847">
        <v>2</v>
      </c>
      <c r="E5" s="1847">
        <v>3</v>
      </c>
      <c r="F5" s="1847">
        <v>4</v>
      </c>
      <c r="G5" s="1847">
        <v>5</v>
      </c>
      <c r="H5" s="1847">
        <v>6</v>
      </c>
      <c r="I5" s="1847">
        <v>7</v>
      </c>
      <c r="J5" s="1847">
        <v>8</v>
      </c>
      <c r="K5" s="1847">
        <v>9</v>
      </c>
      <c r="L5" s="1847">
        <v>10</v>
      </c>
      <c r="M5" s="1847">
        <v>11</v>
      </c>
      <c r="N5" s="1847">
        <v>12</v>
      </c>
      <c r="O5" s="1847">
        <v>13</v>
      </c>
      <c r="P5" s="1847">
        <v>14</v>
      </c>
      <c r="Q5" s="1847">
        <v>15</v>
      </c>
      <c r="R5" s="1847">
        <v>16</v>
      </c>
      <c r="S5" s="1847">
        <v>17</v>
      </c>
      <c r="T5" s="1847">
        <v>18</v>
      </c>
      <c r="U5" s="1847">
        <v>19</v>
      </c>
      <c r="V5" s="1847">
        <v>20</v>
      </c>
      <c r="W5" s="1847">
        <v>21</v>
      </c>
      <c r="X5" s="1847">
        <v>22</v>
      </c>
      <c r="Y5" s="1847">
        <v>23</v>
      </c>
      <c r="Z5" s="1847">
        <v>24</v>
      </c>
      <c r="AA5" s="1847">
        <v>25</v>
      </c>
      <c r="AB5" s="1847">
        <v>26</v>
      </c>
      <c r="AC5" s="1847">
        <v>27</v>
      </c>
      <c r="AD5" s="1847">
        <v>28</v>
      </c>
      <c r="AE5" s="1847">
        <v>29</v>
      </c>
      <c r="AF5" s="1847">
        <v>30</v>
      </c>
      <c r="AG5" s="1847">
        <v>31</v>
      </c>
      <c r="AH5" s="1848" t="s">
        <v>72</v>
      </c>
    </row>
    <row r="6" spans="1:34" ht="15">
      <c r="A6" s="1847" t="s">
        <v>73</v>
      </c>
      <c r="B6" s="1846">
        <f t="shared" ref="B6:B17" si="0">+AH6</f>
        <v>4.6120000000000001</v>
      </c>
      <c r="C6" s="1843">
        <f>+'Fauna Acompañante'!C197</f>
        <v>0</v>
      </c>
      <c r="D6" s="1843">
        <f>+'Fauna Acompañante'!D197</f>
        <v>0</v>
      </c>
      <c r="E6" s="1843">
        <f>+'Fauna Acompañante'!E197</f>
        <v>0</v>
      </c>
      <c r="F6" s="1843">
        <f>+'Fauna Acompañante'!F197</f>
        <v>0</v>
      </c>
      <c r="G6" s="1843">
        <f>+'Fauna Acompañante'!G197</f>
        <v>0</v>
      </c>
      <c r="H6" s="1843">
        <f>+'Fauna Acompañante'!H197</f>
        <v>0</v>
      </c>
      <c r="I6" s="1843">
        <f>+'Fauna Acompañante'!I197</f>
        <v>0</v>
      </c>
      <c r="J6" s="1843">
        <f>+'Fauna Acompañante'!J197</f>
        <v>0</v>
      </c>
      <c r="K6" s="1843">
        <f>+'Fauna Acompañante'!K197</f>
        <v>0</v>
      </c>
      <c r="L6" s="1843">
        <f>+'Fauna Acompañante'!L197</f>
        <v>0</v>
      </c>
      <c r="M6" s="1843">
        <f>+'Fauna Acompañante'!M197</f>
        <v>0</v>
      </c>
      <c r="N6" s="1843">
        <f>+'Fauna Acompañante'!N197</f>
        <v>0</v>
      </c>
      <c r="O6" s="1843">
        <f>+'Fauna Acompañante'!O197</f>
        <v>0</v>
      </c>
      <c r="P6" s="1843">
        <f>+'Fauna Acompañante'!P197</f>
        <v>0</v>
      </c>
      <c r="Q6" s="1843">
        <f>+'Fauna Acompañante'!Q197</f>
        <v>0</v>
      </c>
      <c r="R6" s="1843">
        <f>+'Fauna Acompañante'!R197</f>
        <v>0</v>
      </c>
      <c r="S6" s="1843">
        <f>+'Fauna Acompañante'!S197</f>
        <v>0</v>
      </c>
      <c r="T6" s="1843">
        <f>+'Fauna Acompañante'!T197</f>
        <v>0</v>
      </c>
      <c r="U6" s="1843">
        <f>+'Fauna Acompañante'!U197</f>
        <v>0</v>
      </c>
      <c r="V6" s="1843">
        <f>+'Fauna Acompañante'!V197</f>
        <v>0</v>
      </c>
      <c r="W6" s="1843">
        <f>+'Fauna Acompañante'!W197</f>
        <v>0</v>
      </c>
      <c r="X6" s="1843">
        <f>+'Fauna Acompañante'!X197</f>
        <v>0</v>
      </c>
      <c r="Y6" s="1843">
        <f>+'Fauna Acompañante'!Y197</f>
        <v>0</v>
      </c>
      <c r="Z6" s="1843">
        <f>+'Fauna Acompañante'!Z197</f>
        <v>0.68799999999999994</v>
      </c>
      <c r="AA6" s="1843">
        <f>+'Fauna Acompañante'!AA197</f>
        <v>0</v>
      </c>
      <c r="AB6" s="1843">
        <f>+'Fauna Acompañante'!AB197</f>
        <v>0</v>
      </c>
      <c r="AC6" s="1843">
        <f>+'Fauna Acompañante'!AC197</f>
        <v>0</v>
      </c>
      <c r="AD6" s="1843">
        <f>+'Fauna Acompañante'!AD197</f>
        <v>3.81</v>
      </c>
      <c r="AE6" s="1843">
        <f>+'Fauna Acompañante'!AE197</f>
        <v>0</v>
      </c>
      <c r="AF6" s="1843">
        <f>+'Fauna Acompañante'!AF197</f>
        <v>0.114</v>
      </c>
      <c r="AG6" s="1843">
        <f>+'Fauna Acompañante'!AG197</f>
        <v>0</v>
      </c>
      <c r="AH6" s="1842">
        <f t="shared" ref="AH6:AH17" si="1">SUM(C6:AG6)</f>
        <v>4.6120000000000001</v>
      </c>
    </row>
    <row r="7" spans="1:34" ht="15">
      <c r="A7" s="1847" t="s">
        <v>74</v>
      </c>
      <c r="B7" s="1846">
        <f t="shared" si="0"/>
        <v>1.02</v>
      </c>
      <c r="C7" s="1843">
        <f>+'Fauna Acompañante'!C198</f>
        <v>1.02</v>
      </c>
      <c r="D7" s="1843">
        <f>+'Fauna Acompañante'!D198</f>
        <v>0</v>
      </c>
      <c r="E7" s="1843">
        <f>+'Fauna Acompañante'!E198</f>
        <v>0</v>
      </c>
      <c r="F7" s="1843">
        <f>+'Fauna Acompañante'!F198</f>
        <v>0</v>
      </c>
      <c r="G7" s="1843">
        <f>+'Fauna Acompañante'!G198</f>
        <v>0</v>
      </c>
      <c r="H7" s="1843">
        <f>+'Fauna Acompañante'!H198</f>
        <v>0</v>
      </c>
      <c r="I7" s="1843">
        <f>+'Fauna Acompañante'!I198</f>
        <v>0</v>
      </c>
      <c r="J7" s="1843">
        <f>+'Fauna Acompañante'!J198</f>
        <v>0</v>
      </c>
      <c r="K7" s="1843">
        <f>+'Fauna Acompañante'!K198</f>
        <v>0</v>
      </c>
      <c r="L7" s="1843">
        <f>+'Fauna Acompañante'!L198</f>
        <v>0</v>
      </c>
      <c r="M7" s="1843">
        <f>+'Fauna Acompañante'!M198</f>
        <v>0</v>
      </c>
      <c r="N7" s="1843">
        <f>+'Fauna Acompañante'!N198</f>
        <v>0</v>
      </c>
      <c r="O7" s="1843">
        <f>+'Fauna Acompañante'!O198</f>
        <v>0</v>
      </c>
      <c r="P7" s="1843">
        <f>+'Fauna Acompañante'!P198</f>
        <v>0</v>
      </c>
      <c r="Q7" s="1843">
        <f>+'Fauna Acompañante'!Q198</f>
        <v>0</v>
      </c>
      <c r="R7" s="1843">
        <f>+'Fauna Acompañante'!R198</f>
        <v>0</v>
      </c>
      <c r="S7" s="1843">
        <f>+'Fauna Acompañante'!S198</f>
        <v>0</v>
      </c>
      <c r="T7" s="1843">
        <f>+'Fauna Acompañante'!T198</f>
        <v>0</v>
      </c>
      <c r="U7" s="1843">
        <f>+'Fauna Acompañante'!U198</f>
        <v>0</v>
      </c>
      <c r="V7" s="1843">
        <f>+'Fauna Acompañante'!V198</f>
        <v>0</v>
      </c>
      <c r="W7" s="1843">
        <f>+'Fauna Acompañante'!W198</f>
        <v>0</v>
      </c>
      <c r="X7" s="1843">
        <f>+'Fauna Acompañante'!X198</f>
        <v>0</v>
      </c>
      <c r="Y7" s="1843">
        <f>+'Fauna Acompañante'!Y198</f>
        <v>0</v>
      </c>
      <c r="Z7" s="1843">
        <f>+'Fauna Acompañante'!Z198</f>
        <v>0</v>
      </c>
      <c r="AA7" s="1843">
        <f>+'Fauna Acompañante'!AA198</f>
        <v>0</v>
      </c>
      <c r="AB7" s="1843">
        <f>+'Fauna Acompañante'!AB198</f>
        <v>0</v>
      </c>
      <c r="AC7" s="1843">
        <f>+'Fauna Acompañante'!AC198</f>
        <v>0</v>
      </c>
      <c r="AD7" s="1843">
        <f>+'Fauna Acompañante'!AD198</f>
        <v>0</v>
      </c>
      <c r="AE7" s="1843">
        <f>+'Fauna Acompañante'!AE198</f>
        <v>0</v>
      </c>
      <c r="AF7" s="1843">
        <f>+'Fauna Acompañante'!AF198</f>
        <v>0</v>
      </c>
      <c r="AG7" s="1843">
        <f>+'Fauna Acompañante'!AG198</f>
        <v>0</v>
      </c>
      <c r="AH7" s="1842">
        <f t="shared" si="1"/>
        <v>1.02</v>
      </c>
    </row>
    <row r="8" spans="1:34" ht="15">
      <c r="A8" s="1847" t="s">
        <v>75</v>
      </c>
      <c r="B8" s="1846">
        <f t="shared" si="0"/>
        <v>0</v>
      </c>
      <c r="C8" s="1843">
        <f>+'Fauna Acompañante'!C199</f>
        <v>0</v>
      </c>
      <c r="D8" s="1843">
        <f>+'Fauna Acompañante'!D199</f>
        <v>0</v>
      </c>
      <c r="E8" s="1843">
        <f>+'Fauna Acompañante'!E199</f>
        <v>0</v>
      </c>
      <c r="F8" s="1843">
        <f>+'Fauna Acompañante'!F199</f>
        <v>0</v>
      </c>
      <c r="G8" s="1843">
        <f>+'Fauna Acompañante'!G199</f>
        <v>0</v>
      </c>
      <c r="H8" s="1843">
        <f>+'Fauna Acompañante'!H199</f>
        <v>0</v>
      </c>
      <c r="I8" s="1843">
        <f>+'Fauna Acompañante'!I199</f>
        <v>0</v>
      </c>
      <c r="J8" s="1843">
        <f>+'Fauna Acompañante'!J199</f>
        <v>0</v>
      </c>
      <c r="K8" s="1843">
        <f>+'Fauna Acompañante'!K199</f>
        <v>0</v>
      </c>
      <c r="L8" s="1843">
        <f>+'Fauna Acompañante'!L199</f>
        <v>0</v>
      </c>
      <c r="M8" s="1843">
        <f>+'Fauna Acompañante'!M199</f>
        <v>0</v>
      </c>
      <c r="N8" s="1843">
        <f>+'Fauna Acompañante'!N199</f>
        <v>0</v>
      </c>
      <c r="O8" s="1843">
        <f>+'Fauna Acompañante'!O199</f>
        <v>0</v>
      </c>
      <c r="P8" s="1843">
        <f>+'Fauna Acompañante'!P199</f>
        <v>0</v>
      </c>
      <c r="Q8" s="1843">
        <f>+'Fauna Acompañante'!Q199</f>
        <v>0</v>
      </c>
      <c r="R8" s="1843">
        <f>+'Fauna Acompañante'!R199</f>
        <v>0</v>
      </c>
      <c r="S8" s="1843">
        <f>+'Fauna Acompañante'!S199</f>
        <v>0</v>
      </c>
      <c r="T8" s="1843">
        <f>+'Fauna Acompañante'!T199</f>
        <v>0</v>
      </c>
      <c r="U8" s="1843">
        <f>+'Fauna Acompañante'!U199</f>
        <v>0</v>
      </c>
      <c r="V8" s="1843">
        <f>+'Fauna Acompañante'!V199</f>
        <v>0</v>
      </c>
      <c r="W8" s="1843">
        <f>+'Fauna Acompañante'!W199</f>
        <v>0</v>
      </c>
      <c r="X8" s="1843">
        <f>+'Fauna Acompañante'!X199</f>
        <v>0</v>
      </c>
      <c r="Y8" s="1843">
        <f>+'Fauna Acompañante'!Y199</f>
        <v>0</v>
      </c>
      <c r="Z8" s="1843">
        <f>+'Fauna Acompañante'!Z199</f>
        <v>0</v>
      </c>
      <c r="AA8" s="1843">
        <f>+'Fauna Acompañante'!AA199</f>
        <v>0</v>
      </c>
      <c r="AB8" s="1843">
        <f>+'Fauna Acompañante'!AB199</f>
        <v>0</v>
      </c>
      <c r="AC8" s="1843">
        <f>+'Fauna Acompañante'!AC199</f>
        <v>0</v>
      </c>
      <c r="AD8" s="1843">
        <f>+'Fauna Acompañante'!AD199</f>
        <v>0</v>
      </c>
      <c r="AE8" s="1843">
        <f>+'Fauna Acompañante'!AE199</f>
        <v>0</v>
      </c>
      <c r="AF8" s="1843">
        <f>+'Fauna Acompañante'!AF199</f>
        <v>0</v>
      </c>
      <c r="AG8" s="1843">
        <f>+'Fauna Acompañante'!AG199</f>
        <v>0</v>
      </c>
      <c r="AH8" s="1842">
        <f t="shared" si="1"/>
        <v>0</v>
      </c>
    </row>
    <row r="9" spans="1:34" ht="15">
      <c r="A9" s="1847" t="s">
        <v>76</v>
      </c>
      <c r="B9" s="1846">
        <f t="shared" si="0"/>
        <v>0</v>
      </c>
      <c r="C9" s="1843">
        <f>+'Fauna Acompañante'!C200</f>
        <v>0</v>
      </c>
      <c r="D9" s="1843">
        <f>+'Fauna Acompañante'!D200</f>
        <v>0</v>
      </c>
      <c r="E9" s="1843">
        <f>+'Fauna Acompañante'!E200</f>
        <v>0</v>
      </c>
      <c r="F9" s="1843">
        <f>+'Fauna Acompañante'!F200</f>
        <v>0</v>
      </c>
      <c r="G9" s="1843">
        <f>+'Fauna Acompañante'!G200</f>
        <v>0</v>
      </c>
      <c r="H9" s="1843">
        <f>+'Fauna Acompañante'!H200</f>
        <v>0</v>
      </c>
      <c r="I9" s="1843">
        <f>+'Fauna Acompañante'!I200</f>
        <v>0</v>
      </c>
      <c r="J9" s="1843">
        <f>+'Fauna Acompañante'!J200</f>
        <v>0</v>
      </c>
      <c r="K9" s="1843">
        <f>+'Fauna Acompañante'!K200</f>
        <v>0</v>
      </c>
      <c r="L9" s="1843">
        <f>+'Fauna Acompañante'!L200</f>
        <v>0</v>
      </c>
      <c r="M9" s="1843">
        <f>+'Fauna Acompañante'!M200</f>
        <v>0</v>
      </c>
      <c r="N9" s="1843">
        <f>+'Fauna Acompañante'!N200</f>
        <v>0</v>
      </c>
      <c r="O9" s="1843">
        <f>+'Fauna Acompañante'!O200</f>
        <v>0</v>
      </c>
      <c r="P9" s="1843">
        <f>+'Fauna Acompañante'!P200</f>
        <v>0</v>
      </c>
      <c r="Q9" s="1843">
        <f>+'Fauna Acompañante'!Q200</f>
        <v>0</v>
      </c>
      <c r="R9" s="1843">
        <f>+'Fauna Acompañante'!R200</f>
        <v>0</v>
      </c>
      <c r="S9" s="1843">
        <f>+'Fauna Acompañante'!S200</f>
        <v>0</v>
      </c>
      <c r="T9" s="1843">
        <f>+'Fauna Acompañante'!T200</f>
        <v>0</v>
      </c>
      <c r="U9" s="1843">
        <f>+'Fauna Acompañante'!U200</f>
        <v>0</v>
      </c>
      <c r="V9" s="1843">
        <f>+'Fauna Acompañante'!V200</f>
        <v>0</v>
      </c>
      <c r="W9" s="1843">
        <f>+'Fauna Acompañante'!W200</f>
        <v>0</v>
      </c>
      <c r="X9" s="1843">
        <f>+'Fauna Acompañante'!X200</f>
        <v>0</v>
      </c>
      <c r="Y9" s="1843">
        <f>+'Fauna Acompañante'!Y200</f>
        <v>0</v>
      </c>
      <c r="Z9" s="1843">
        <f>+'Fauna Acompañante'!Z200</f>
        <v>0</v>
      </c>
      <c r="AA9" s="1843">
        <f>+'Fauna Acompañante'!AA200</f>
        <v>0</v>
      </c>
      <c r="AB9" s="1843">
        <f>+'Fauna Acompañante'!AB200</f>
        <v>0</v>
      </c>
      <c r="AC9" s="1843">
        <f>+'Fauna Acompañante'!AC200</f>
        <v>0</v>
      </c>
      <c r="AD9" s="1843">
        <f>+'Fauna Acompañante'!AD200</f>
        <v>0</v>
      </c>
      <c r="AE9" s="1843">
        <f>+'Fauna Acompañante'!AE200</f>
        <v>0</v>
      </c>
      <c r="AF9" s="1843">
        <f>+'Fauna Acompañante'!AF200</f>
        <v>0</v>
      </c>
      <c r="AG9" s="1843">
        <f>+'Fauna Acompañante'!AG200</f>
        <v>0</v>
      </c>
      <c r="AH9" s="1842">
        <f t="shared" si="1"/>
        <v>0</v>
      </c>
    </row>
    <row r="10" spans="1:34" ht="15">
      <c r="A10" s="1847" t="s">
        <v>77</v>
      </c>
      <c r="B10" s="1846">
        <f t="shared" si="0"/>
        <v>0</v>
      </c>
      <c r="C10" s="1843">
        <f>+'Fauna Acompañante'!C201</f>
        <v>0</v>
      </c>
      <c r="D10" s="1843">
        <f>+'Fauna Acompañante'!D201</f>
        <v>0</v>
      </c>
      <c r="E10" s="1843">
        <f>+'Fauna Acompañante'!E201</f>
        <v>0</v>
      </c>
      <c r="F10" s="1843">
        <f>+'Fauna Acompañante'!F201</f>
        <v>0</v>
      </c>
      <c r="G10" s="1843">
        <f>+'Fauna Acompañante'!G201</f>
        <v>0</v>
      </c>
      <c r="H10" s="1843">
        <f>+'Fauna Acompañante'!H201</f>
        <v>0</v>
      </c>
      <c r="I10" s="1843">
        <f>+'Fauna Acompañante'!I201</f>
        <v>0</v>
      </c>
      <c r="J10" s="1843">
        <f>+'Fauna Acompañante'!J201</f>
        <v>0</v>
      </c>
      <c r="K10" s="1843">
        <f>+'Fauna Acompañante'!K201</f>
        <v>0</v>
      </c>
      <c r="L10" s="1843">
        <f>+'Fauna Acompañante'!L201</f>
        <v>0</v>
      </c>
      <c r="M10" s="1843">
        <f>+'Fauna Acompañante'!M201</f>
        <v>0</v>
      </c>
      <c r="N10" s="1843">
        <f>+'Fauna Acompañante'!N201</f>
        <v>0</v>
      </c>
      <c r="O10" s="1843">
        <f>+'Fauna Acompañante'!O201</f>
        <v>0</v>
      </c>
      <c r="P10" s="1843">
        <f>+'Fauna Acompañante'!P201</f>
        <v>0</v>
      </c>
      <c r="Q10" s="1843">
        <f>+'Fauna Acompañante'!Q201</f>
        <v>0</v>
      </c>
      <c r="R10" s="1843">
        <f>+'Fauna Acompañante'!R201</f>
        <v>0</v>
      </c>
      <c r="S10" s="1843">
        <f>+'Fauna Acompañante'!S201</f>
        <v>0</v>
      </c>
      <c r="T10" s="1843">
        <f>+'Fauna Acompañante'!T201</f>
        <v>0</v>
      </c>
      <c r="U10" s="1843">
        <f>+'Fauna Acompañante'!U201</f>
        <v>0</v>
      </c>
      <c r="V10" s="1843">
        <f>+'Fauna Acompañante'!V201</f>
        <v>0</v>
      </c>
      <c r="W10" s="1843">
        <f>+'Fauna Acompañante'!W201</f>
        <v>0</v>
      </c>
      <c r="X10" s="1843">
        <f>+'Fauna Acompañante'!X201</f>
        <v>0</v>
      </c>
      <c r="Y10" s="1843">
        <f>+'Fauna Acompañante'!Y201</f>
        <v>0</v>
      </c>
      <c r="Z10" s="1843">
        <f>+'Fauna Acompañante'!Z201</f>
        <v>0</v>
      </c>
      <c r="AA10" s="1843">
        <f>+'Fauna Acompañante'!AA201</f>
        <v>0</v>
      </c>
      <c r="AB10" s="1843">
        <f>+'Fauna Acompañante'!AB201</f>
        <v>0</v>
      </c>
      <c r="AC10" s="1843">
        <f>+'Fauna Acompañante'!AC201</f>
        <v>0</v>
      </c>
      <c r="AD10" s="1843">
        <f>+'Fauna Acompañante'!AD201</f>
        <v>0</v>
      </c>
      <c r="AE10" s="1843">
        <f>+'Fauna Acompañante'!AE201</f>
        <v>0</v>
      </c>
      <c r="AF10" s="1843">
        <f>+'Fauna Acompañante'!AF201</f>
        <v>0</v>
      </c>
      <c r="AG10" s="1843">
        <f>+'Fauna Acompañante'!AG201</f>
        <v>0</v>
      </c>
      <c r="AH10" s="1842">
        <f t="shared" si="1"/>
        <v>0</v>
      </c>
    </row>
    <row r="11" spans="1:34" ht="15">
      <c r="A11" s="1847" t="s">
        <v>78</v>
      </c>
      <c r="B11" s="1846">
        <f t="shared" si="0"/>
        <v>0</v>
      </c>
      <c r="C11" s="1843">
        <f>+'Fauna Acompañante'!C202</f>
        <v>0</v>
      </c>
      <c r="D11" s="1843">
        <f>+'Fauna Acompañante'!D202</f>
        <v>0</v>
      </c>
      <c r="E11" s="1843">
        <f>+'Fauna Acompañante'!E202</f>
        <v>0</v>
      </c>
      <c r="F11" s="1843">
        <f>+'Fauna Acompañante'!F202</f>
        <v>0</v>
      </c>
      <c r="G11" s="1843">
        <f>+'Fauna Acompañante'!G202</f>
        <v>0</v>
      </c>
      <c r="H11" s="1843">
        <f>+'Fauna Acompañante'!H202</f>
        <v>0</v>
      </c>
      <c r="I11" s="1843">
        <f>+'Fauna Acompañante'!I202</f>
        <v>0</v>
      </c>
      <c r="J11" s="1843">
        <f>+'Fauna Acompañante'!J202</f>
        <v>0</v>
      </c>
      <c r="K11" s="1843">
        <f>+'Fauna Acompañante'!K202</f>
        <v>0</v>
      </c>
      <c r="L11" s="1843">
        <f>+'Fauna Acompañante'!L202</f>
        <v>0</v>
      </c>
      <c r="M11" s="1843">
        <f>+'Fauna Acompañante'!M202</f>
        <v>0</v>
      </c>
      <c r="N11" s="1843">
        <f>+'Fauna Acompañante'!N202</f>
        <v>0</v>
      </c>
      <c r="O11" s="1843">
        <f>+'Fauna Acompañante'!O202</f>
        <v>0</v>
      </c>
      <c r="P11" s="1843">
        <f>+'Fauna Acompañante'!P202</f>
        <v>0</v>
      </c>
      <c r="Q11" s="1843">
        <f>+'Fauna Acompañante'!Q202</f>
        <v>0</v>
      </c>
      <c r="R11" s="1843">
        <f>+'Fauna Acompañante'!R202</f>
        <v>0</v>
      </c>
      <c r="S11" s="1843">
        <f>+'Fauna Acompañante'!S202</f>
        <v>0</v>
      </c>
      <c r="T11" s="1843">
        <f>+'Fauna Acompañante'!T202</f>
        <v>0</v>
      </c>
      <c r="U11" s="1843">
        <f>+'Fauna Acompañante'!U202</f>
        <v>0</v>
      </c>
      <c r="V11" s="1843">
        <f>+'Fauna Acompañante'!V202</f>
        <v>0</v>
      </c>
      <c r="W11" s="1843">
        <f>+'Fauna Acompañante'!W202</f>
        <v>0</v>
      </c>
      <c r="X11" s="1843">
        <f>+'Fauna Acompañante'!X202</f>
        <v>0</v>
      </c>
      <c r="Y11" s="1843">
        <f>+'Fauna Acompañante'!Y202</f>
        <v>0</v>
      </c>
      <c r="Z11" s="1843">
        <f>+'Fauna Acompañante'!Z202</f>
        <v>0</v>
      </c>
      <c r="AA11" s="1843">
        <f>+'Fauna Acompañante'!AA202</f>
        <v>0</v>
      </c>
      <c r="AB11" s="1843">
        <f>+'Fauna Acompañante'!AB202</f>
        <v>0</v>
      </c>
      <c r="AC11" s="1843">
        <f>+'Fauna Acompañante'!AC202</f>
        <v>0</v>
      </c>
      <c r="AD11" s="1843">
        <f>+'Fauna Acompañante'!AD202</f>
        <v>0</v>
      </c>
      <c r="AE11" s="1843">
        <f>+'Fauna Acompañante'!AE202</f>
        <v>0</v>
      </c>
      <c r="AF11" s="1843">
        <f>+'Fauna Acompañante'!AF202</f>
        <v>0</v>
      </c>
      <c r="AG11" s="1843">
        <f>+'Fauna Acompañante'!AG202</f>
        <v>0</v>
      </c>
      <c r="AH11" s="1842">
        <f t="shared" si="1"/>
        <v>0</v>
      </c>
    </row>
    <row r="12" spans="1:34" ht="15">
      <c r="A12" s="1847" t="s">
        <v>79</v>
      </c>
      <c r="B12" s="1846">
        <f t="shared" si="0"/>
        <v>0</v>
      </c>
      <c r="C12" s="1843">
        <f>+'Fauna Acompañante'!C203</f>
        <v>0</v>
      </c>
      <c r="D12" s="1843">
        <f>+'Fauna Acompañante'!D203</f>
        <v>0</v>
      </c>
      <c r="E12" s="1843">
        <f>+'Fauna Acompañante'!E203</f>
        <v>0</v>
      </c>
      <c r="F12" s="1843">
        <f>+'Fauna Acompañante'!F203</f>
        <v>0</v>
      </c>
      <c r="G12" s="1843">
        <f>+'Fauna Acompañante'!G203</f>
        <v>0</v>
      </c>
      <c r="H12" s="1843">
        <f>+'Fauna Acompañante'!H203</f>
        <v>0</v>
      </c>
      <c r="I12" s="1843">
        <f>+'Fauna Acompañante'!I203</f>
        <v>0</v>
      </c>
      <c r="J12" s="1843">
        <f>+'Fauna Acompañante'!J203</f>
        <v>0</v>
      </c>
      <c r="K12" s="1843">
        <f>+'Fauna Acompañante'!K203</f>
        <v>0</v>
      </c>
      <c r="L12" s="1843">
        <f>+'Fauna Acompañante'!L203</f>
        <v>0</v>
      </c>
      <c r="M12" s="1843">
        <f>+'Fauna Acompañante'!M203</f>
        <v>0</v>
      </c>
      <c r="N12" s="1843">
        <f>+'Fauna Acompañante'!N203</f>
        <v>0</v>
      </c>
      <c r="O12" s="1843">
        <f>+'Fauna Acompañante'!O203</f>
        <v>0</v>
      </c>
      <c r="P12" s="1843">
        <f>+'Fauna Acompañante'!P203</f>
        <v>0</v>
      </c>
      <c r="Q12" s="1843">
        <f>+'Fauna Acompañante'!Q203</f>
        <v>0</v>
      </c>
      <c r="R12" s="1843">
        <f>+'Fauna Acompañante'!R203</f>
        <v>0</v>
      </c>
      <c r="S12" s="1843">
        <f>+'Fauna Acompañante'!S203</f>
        <v>0</v>
      </c>
      <c r="T12" s="1843">
        <f>+'Fauna Acompañante'!T203</f>
        <v>0</v>
      </c>
      <c r="U12" s="1843">
        <f>+'Fauna Acompañante'!U203</f>
        <v>0</v>
      </c>
      <c r="V12" s="1843">
        <f>+'Fauna Acompañante'!V203</f>
        <v>0</v>
      </c>
      <c r="W12" s="1843">
        <f>+'Fauna Acompañante'!W203</f>
        <v>0</v>
      </c>
      <c r="X12" s="1843">
        <f>+'Fauna Acompañante'!X203</f>
        <v>0</v>
      </c>
      <c r="Y12" s="1843">
        <f>+'Fauna Acompañante'!Y203</f>
        <v>0</v>
      </c>
      <c r="Z12" s="1843">
        <f>+'Fauna Acompañante'!Z203</f>
        <v>0</v>
      </c>
      <c r="AA12" s="1843">
        <f>+'Fauna Acompañante'!AA203</f>
        <v>0</v>
      </c>
      <c r="AB12" s="1843">
        <f>+'Fauna Acompañante'!AB203</f>
        <v>0</v>
      </c>
      <c r="AC12" s="1843">
        <f>+'Fauna Acompañante'!AC203</f>
        <v>0</v>
      </c>
      <c r="AD12" s="1843">
        <f>+'Fauna Acompañante'!AD203</f>
        <v>0</v>
      </c>
      <c r="AE12" s="1843">
        <f>+'Fauna Acompañante'!AE203</f>
        <v>0</v>
      </c>
      <c r="AF12" s="1843">
        <f>+'Fauna Acompañante'!AF203</f>
        <v>0</v>
      </c>
      <c r="AG12" s="1843">
        <f>+'Fauna Acompañante'!AG203</f>
        <v>0</v>
      </c>
      <c r="AH12" s="1842">
        <f t="shared" si="1"/>
        <v>0</v>
      </c>
    </row>
    <row r="13" spans="1:34" ht="15">
      <c r="A13" s="1847" t="s">
        <v>80</v>
      </c>
      <c r="B13" s="1846">
        <f t="shared" si="0"/>
        <v>0</v>
      </c>
      <c r="C13" s="1843">
        <f>+'Fauna Acompañante'!C204</f>
        <v>0</v>
      </c>
      <c r="D13" s="1843">
        <f>+'Fauna Acompañante'!D204</f>
        <v>0</v>
      </c>
      <c r="E13" s="1843">
        <f>+'Fauna Acompañante'!E204</f>
        <v>0</v>
      </c>
      <c r="F13" s="1843">
        <f>+'Fauna Acompañante'!F204</f>
        <v>0</v>
      </c>
      <c r="G13" s="1843">
        <f>+'Fauna Acompañante'!G204</f>
        <v>0</v>
      </c>
      <c r="H13" s="1843">
        <f>+'Fauna Acompañante'!H204</f>
        <v>0</v>
      </c>
      <c r="I13" s="1843">
        <f>+'Fauna Acompañante'!I204</f>
        <v>0</v>
      </c>
      <c r="J13" s="1843">
        <f>+'Fauna Acompañante'!J204</f>
        <v>0</v>
      </c>
      <c r="K13" s="1843">
        <f>+'Fauna Acompañante'!K204</f>
        <v>0</v>
      </c>
      <c r="L13" s="1843">
        <f>+'Fauna Acompañante'!L204</f>
        <v>0</v>
      </c>
      <c r="M13" s="1843">
        <f>+'Fauna Acompañante'!M204</f>
        <v>0</v>
      </c>
      <c r="N13" s="1843">
        <f>+'Fauna Acompañante'!N204</f>
        <v>0</v>
      </c>
      <c r="O13" s="1843">
        <f>+'Fauna Acompañante'!O204</f>
        <v>0</v>
      </c>
      <c r="P13" s="1843">
        <f>+'Fauna Acompañante'!P204</f>
        <v>0</v>
      </c>
      <c r="Q13" s="1843">
        <f>+'Fauna Acompañante'!Q204</f>
        <v>0</v>
      </c>
      <c r="R13" s="1843">
        <f>+'Fauna Acompañante'!R204</f>
        <v>0</v>
      </c>
      <c r="S13" s="1843">
        <f>+'Fauna Acompañante'!S204</f>
        <v>0</v>
      </c>
      <c r="T13" s="1843">
        <f>+'Fauna Acompañante'!T204</f>
        <v>0</v>
      </c>
      <c r="U13" s="1843">
        <f>+'Fauna Acompañante'!U204</f>
        <v>0</v>
      </c>
      <c r="V13" s="1843">
        <f>+'Fauna Acompañante'!V204</f>
        <v>0</v>
      </c>
      <c r="W13" s="1843">
        <f>+'Fauna Acompañante'!W204</f>
        <v>0</v>
      </c>
      <c r="X13" s="1843">
        <f>+'Fauna Acompañante'!X204</f>
        <v>0</v>
      </c>
      <c r="Y13" s="1843">
        <f>+'Fauna Acompañante'!Y204</f>
        <v>0</v>
      </c>
      <c r="Z13" s="1843">
        <f>+'Fauna Acompañante'!Z204</f>
        <v>0</v>
      </c>
      <c r="AA13" s="1843">
        <f>+'Fauna Acompañante'!AA204</f>
        <v>0</v>
      </c>
      <c r="AB13" s="1843">
        <f>+'Fauna Acompañante'!AB204</f>
        <v>0</v>
      </c>
      <c r="AC13" s="1843">
        <f>+'Fauna Acompañante'!AC204</f>
        <v>0</v>
      </c>
      <c r="AD13" s="1843">
        <f>+'Fauna Acompañante'!AD204</f>
        <v>0</v>
      </c>
      <c r="AE13" s="1843">
        <f>+'Fauna Acompañante'!AE204</f>
        <v>0</v>
      </c>
      <c r="AF13" s="1843">
        <f>+'Fauna Acompañante'!AF204</f>
        <v>0</v>
      </c>
      <c r="AG13" s="1843">
        <f>+'Fauna Acompañante'!AG204</f>
        <v>0</v>
      </c>
      <c r="AH13" s="1842">
        <f t="shared" si="1"/>
        <v>0</v>
      </c>
    </row>
    <row r="14" spans="1:34" ht="15">
      <c r="A14" s="1847" t="s">
        <v>81</v>
      </c>
      <c r="B14" s="1846">
        <f t="shared" si="0"/>
        <v>0</v>
      </c>
      <c r="C14" s="1843">
        <f>+'Fauna Acompañante'!C205</f>
        <v>0</v>
      </c>
      <c r="D14" s="1843">
        <f>+'Fauna Acompañante'!D205</f>
        <v>0</v>
      </c>
      <c r="E14" s="1843">
        <f>+'Fauna Acompañante'!E205</f>
        <v>0</v>
      </c>
      <c r="F14" s="1843">
        <f>+'Fauna Acompañante'!F205</f>
        <v>0</v>
      </c>
      <c r="G14" s="1843">
        <f>+'Fauna Acompañante'!G205</f>
        <v>0</v>
      </c>
      <c r="H14" s="1843">
        <f>+'Fauna Acompañante'!H205</f>
        <v>0</v>
      </c>
      <c r="I14" s="1843">
        <f>+'Fauna Acompañante'!I205</f>
        <v>0</v>
      </c>
      <c r="J14" s="1843">
        <f>+'Fauna Acompañante'!J205</f>
        <v>0</v>
      </c>
      <c r="K14" s="1843">
        <f>+'Fauna Acompañante'!K205</f>
        <v>0</v>
      </c>
      <c r="L14" s="1843">
        <f>+'Fauna Acompañante'!L205</f>
        <v>0</v>
      </c>
      <c r="M14" s="1843">
        <f>+'Fauna Acompañante'!M205</f>
        <v>0</v>
      </c>
      <c r="N14" s="1843">
        <f>+'Fauna Acompañante'!N205</f>
        <v>0</v>
      </c>
      <c r="O14" s="1843">
        <f>+'Fauna Acompañante'!O205</f>
        <v>0</v>
      </c>
      <c r="P14" s="1843">
        <f>+'Fauna Acompañante'!P205</f>
        <v>0</v>
      </c>
      <c r="Q14" s="1843">
        <f>+'Fauna Acompañante'!Q205</f>
        <v>0</v>
      </c>
      <c r="R14" s="1843">
        <f>+'Fauna Acompañante'!R205</f>
        <v>0</v>
      </c>
      <c r="S14" s="1843">
        <f>+'Fauna Acompañante'!S205</f>
        <v>0</v>
      </c>
      <c r="T14" s="1843">
        <f>+'Fauna Acompañante'!T205</f>
        <v>0</v>
      </c>
      <c r="U14" s="1843">
        <f>+'Fauna Acompañante'!U205</f>
        <v>0</v>
      </c>
      <c r="V14" s="1843">
        <f>+'Fauna Acompañante'!V205</f>
        <v>0</v>
      </c>
      <c r="W14" s="1843">
        <f>+'Fauna Acompañante'!W205</f>
        <v>0</v>
      </c>
      <c r="X14" s="1843">
        <f>+'Fauna Acompañante'!X205</f>
        <v>0</v>
      </c>
      <c r="Y14" s="1843">
        <f>+'Fauna Acompañante'!Y205</f>
        <v>0</v>
      </c>
      <c r="Z14" s="1843">
        <f>+'Fauna Acompañante'!Z205</f>
        <v>0</v>
      </c>
      <c r="AA14" s="1843">
        <f>+'Fauna Acompañante'!AA205</f>
        <v>0</v>
      </c>
      <c r="AB14" s="1843">
        <f>+'Fauna Acompañante'!AB205</f>
        <v>0</v>
      </c>
      <c r="AC14" s="1843">
        <f>+'Fauna Acompañante'!AC205</f>
        <v>0</v>
      </c>
      <c r="AD14" s="1843">
        <f>+'Fauna Acompañante'!AD205</f>
        <v>0</v>
      </c>
      <c r="AE14" s="1843">
        <f>+'Fauna Acompañante'!AE205</f>
        <v>0</v>
      </c>
      <c r="AF14" s="1843">
        <f>+'Fauna Acompañante'!AF205</f>
        <v>0</v>
      </c>
      <c r="AG14" s="1843">
        <f>+'Fauna Acompañante'!AG205</f>
        <v>0</v>
      </c>
      <c r="AH14" s="1842">
        <f t="shared" si="1"/>
        <v>0</v>
      </c>
    </row>
    <row r="15" spans="1:34" ht="15">
      <c r="A15" s="1847" t="s">
        <v>82</v>
      </c>
      <c r="B15" s="1846">
        <f t="shared" si="0"/>
        <v>0</v>
      </c>
      <c r="C15" s="1843">
        <f>+'Fauna Acompañante'!C206</f>
        <v>0</v>
      </c>
      <c r="D15" s="1843">
        <f>+'Fauna Acompañante'!D206</f>
        <v>0</v>
      </c>
      <c r="E15" s="1843">
        <f>+'Fauna Acompañante'!E206</f>
        <v>0</v>
      </c>
      <c r="F15" s="1843">
        <f>+'Fauna Acompañante'!F206</f>
        <v>0</v>
      </c>
      <c r="G15" s="1843">
        <f>+'Fauna Acompañante'!G206</f>
        <v>0</v>
      </c>
      <c r="H15" s="1843">
        <f>+'Fauna Acompañante'!H206</f>
        <v>0</v>
      </c>
      <c r="I15" s="1843">
        <f>+'Fauna Acompañante'!I206</f>
        <v>0</v>
      </c>
      <c r="J15" s="1843">
        <f>+'Fauna Acompañante'!J206</f>
        <v>0</v>
      </c>
      <c r="K15" s="1843">
        <f>+'Fauna Acompañante'!K206</f>
        <v>0</v>
      </c>
      <c r="L15" s="1843">
        <f>+'Fauna Acompañante'!L206</f>
        <v>0</v>
      </c>
      <c r="M15" s="1843">
        <f>+'Fauna Acompañante'!M206</f>
        <v>0</v>
      </c>
      <c r="N15" s="1843">
        <f>+'Fauna Acompañante'!N206</f>
        <v>0</v>
      </c>
      <c r="O15" s="1843">
        <f>+'Fauna Acompañante'!O206</f>
        <v>0</v>
      </c>
      <c r="P15" s="1843">
        <f>+'Fauna Acompañante'!P206</f>
        <v>0</v>
      </c>
      <c r="Q15" s="1843">
        <f>+'Fauna Acompañante'!Q206</f>
        <v>0</v>
      </c>
      <c r="R15" s="1843">
        <f>+'Fauna Acompañante'!R206</f>
        <v>0</v>
      </c>
      <c r="S15" s="1843">
        <f>+'Fauna Acompañante'!S206</f>
        <v>0</v>
      </c>
      <c r="T15" s="1843">
        <f>+'Fauna Acompañante'!T206</f>
        <v>0</v>
      </c>
      <c r="U15" s="1843">
        <f>+'Fauna Acompañante'!U206</f>
        <v>0</v>
      </c>
      <c r="V15" s="1843">
        <f>+'Fauna Acompañante'!V206</f>
        <v>0</v>
      </c>
      <c r="W15" s="1843">
        <f>+'Fauna Acompañante'!W206</f>
        <v>0</v>
      </c>
      <c r="X15" s="1843">
        <f>+'Fauna Acompañante'!X206</f>
        <v>0</v>
      </c>
      <c r="Y15" s="1843">
        <f>+'Fauna Acompañante'!Y206</f>
        <v>0</v>
      </c>
      <c r="Z15" s="1843">
        <f>+'Fauna Acompañante'!Z206</f>
        <v>0</v>
      </c>
      <c r="AA15" s="1843">
        <f>+'Fauna Acompañante'!AA206</f>
        <v>0</v>
      </c>
      <c r="AB15" s="1843">
        <f>+'Fauna Acompañante'!AB206</f>
        <v>0</v>
      </c>
      <c r="AC15" s="1843">
        <f>+'Fauna Acompañante'!AC206</f>
        <v>0</v>
      </c>
      <c r="AD15" s="1843">
        <f>+'Fauna Acompañante'!AD206</f>
        <v>0</v>
      </c>
      <c r="AE15" s="1843">
        <f>+'Fauna Acompañante'!AE206</f>
        <v>0</v>
      </c>
      <c r="AF15" s="1843">
        <f>+'Fauna Acompañante'!AF206</f>
        <v>0</v>
      </c>
      <c r="AG15" s="1843">
        <f>+'Fauna Acompañante'!AG206</f>
        <v>0</v>
      </c>
      <c r="AH15" s="1842">
        <f t="shared" si="1"/>
        <v>0</v>
      </c>
    </row>
    <row r="16" spans="1:34" ht="15">
      <c r="A16" s="1847" t="s">
        <v>83</v>
      </c>
      <c r="B16" s="1846">
        <f t="shared" si="0"/>
        <v>0</v>
      </c>
      <c r="C16" s="1843">
        <f>+'Fauna Acompañante'!C207</f>
        <v>0</v>
      </c>
      <c r="D16" s="1843">
        <f>+'Fauna Acompañante'!D207</f>
        <v>0</v>
      </c>
      <c r="E16" s="1843">
        <f>+'Fauna Acompañante'!E207</f>
        <v>0</v>
      </c>
      <c r="F16" s="1843">
        <f>+'Fauna Acompañante'!F207</f>
        <v>0</v>
      </c>
      <c r="G16" s="1843">
        <f>+'Fauna Acompañante'!G207</f>
        <v>0</v>
      </c>
      <c r="H16" s="1843">
        <f>+'Fauna Acompañante'!H207</f>
        <v>0</v>
      </c>
      <c r="I16" s="1843">
        <f>+'Fauna Acompañante'!I207</f>
        <v>0</v>
      </c>
      <c r="J16" s="1843">
        <f>+'Fauna Acompañante'!J207</f>
        <v>0</v>
      </c>
      <c r="K16" s="1843">
        <f>+'Fauna Acompañante'!K207</f>
        <v>0</v>
      </c>
      <c r="L16" s="1843">
        <f>+'Fauna Acompañante'!L207</f>
        <v>0</v>
      </c>
      <c r="M16" s="1843">
        <f>+'Fauna Acompañante'!M207</f>
        <v>0</v>
      </c>
      <c r="N16" s="1843">
        <f>+'Fauna Acompañante'!N207</f>
        <v>0</v>
      </c>
      <c r="O16" s="1843">
        <f>+'Fauna Acompañante'!O207</f>
        <v>0</v>
      </c>
      <c r="P16" s="1843">
        <f>+'Fauna Acompañante'!P207</f>
        <v>0</v>
      </c>
      <c r="Q16" s="1843">
        <f>+'Fauna Acompañante'!Q207</f>
        <v>0</v>
      </c>
      <c r="R16" s="1843">
        <f>+'Fauna Acompañante'!R207</f>
        <v>0</v>
      </c>
      <c r="S16" s="1843">
        <f>+'Fauna Acompañante'!S207</f>
        <v>0</v>
      </c>
      <c r="T16" s="1843">
        <f>+'Fauna Acompañante'!T207</f>
        <v>0</v>
      </c>
      <c r="U16" s="1843">
        <f>+'Fauna Acompañante'!U207</f>
        <v>0</v>
      </c>
      <c r="V16" s="1843">
        <f>+'Fauna Acompañante'!V207</f>
        <v>0</v>
      </c>
      <c r="W16" s="1843">
        <f>+'Fauna Acompañante'!W207</f>
        <v>0</v>
      </c>
      <c r="X16" s="1843">
        <f>+'Fauna Acompañante'!X207</f>
        <v>0</v>
      </c>
      <c r="Y16" s="1843">
        <f>+'Fauna Acompañante'!Y207</f>
        <v>0</v>
      </c>
      <c r="Z16" s="1843">
        <f>+'Fauna Acompañante'!Z207</f>
        <v>0</v>
      </c>
      <c r="AA16" s="1843">
        <f>+'Fauna Acompañante'!AA207</f>
        <v>0</v>
      </c>
      <c r="AB16" s="1843">
        <f>+'Fauna Acompañante'!AB207</f>
        <v>0</v>
      </c>
      <c r="AC16" s="1843">
        <f>+'Fauna Acompañante'!AC207</f>
        <v>0</v>
      </c>
      <c r="AD16" s="1843">
        <f>+'Fauna Acompañante'!AD207</f>
        <v>0</v>
      </c>
      <c r="AE16" s="1843">
        <f>+'Fauna Acompañante'!AE207</f>
        <v>0</v>
      </c>
      <c r="AF16" s="1843">
        <f>+'Fauna Acompañante'!AF207</f>
        <v>0</v>
      </c>
      <c r="AG16" s="1843">
        <f>+'Fauna Acompañante'!AG207</f>
        <v>0</v>
      </c>
      <c r="AH16" s="1842">
        <f t="shared" si="1"/>
        <v>0</v>
      </c>
    </row>
    <row r="17" spans="1:34" ht="15">
      <c r="A17" s="1847" t="s">
        <v>84</v>
      </c>
      <c r="B17" s="1846">
        <f t="shared" si="0"/>
        <v>0</v>
      </c>
      <c r="C17" s="1843">
        <f>+'Fauna Acompañante'!C208</f>
        <v>0</v>
      </c>
      <c r="D17" s="1843">
        <f>+'Fauna Acompañante'!D208</f>
        <v>0</v>
      </c>
      <c r="E17" s="1843">
        <f>+'Fauna Acompañante'!E208</f>
        <v>0</v>
      </c>
      <c r="F17" s="1843">
        <f>+'Fauna Acompañante'!F208</f>
        <v>0</v>
      </c>
      <c r="G17" s="1843">
        <f>+'Fauna Acompañante'!G208</f>
        <v>0</v>
      </c>
      <c r="H17" s="1843">
        <f>+'Fauna Acompañante'!H208</f>
        <v>0</v>
      </c>
      <c r="I17" s="1843">
        <f>+'Fauna Acompañante'!I208</f>
        <v>0</v>
      </c>
      <c r="J17" s="1843">
        <f>+'Fauna Acompañante'!J208</f>
        <v>0</v>
      </c>
      <c r="K17" s="1843">
        <f>+'Fauna Acompañante'!K208</f>
        <v>0</v>
      </c>
      <c r="L17" s="1843">
        <f>+'Fauna Acompañante'!L208</f>
        <v>0</v>
      </c>
      <c r="M17" s="1843">
        <f>+'Fauna Acompañante'!M208</f>
        <v>0</v>
      </c>
      <c r="N17" s="1843">
        <f>+'Fauna Acompañante'!N208</f>
        <v>0</v>
      </c>
      <c r="O17" s="1843">
        <f>+'Fauna Acompañante'!O208</f>
        <v>0</v>
      </c>
      <c r="P17" s="1843">
        <f>+'Fauna Acompañante'!P208</f>
        <v>0</v>
      </c>
      <c r="Q17" s="1843">
        <f>+'Fauna Acompañante'!Q208</f>
        <v>0</v>
      </c>
      <c r="R17" s="1843">
        <f>+'Fauna Acompañante'!R208</f>
        <v>0</v>
      </c>
      <c r="S17" s="1843">
        <f>+'Fauna Acompañante'!S208</f>
        <v>0</v>
      </c>
      <c r="T17" s="1843">
        <f>+'Fauna Acompañante'!T208</f>
        <v>0</v>
      </c>
      <c r="U17" s="1843">
        <f>+'Fauna Acompañante'!U208</f>
        <v>0</v>
      </c>
      <c r="V17" s="1843">
        <f>+'Fauna Acompañante'!V208</f>
        <v>0</v>
      </c>
      <c r="W17" s="1843">
        <f>+'Fauna Acompañante'!W208</f>
        <v>0</v>
      </c>
      <c r="X17" s="1843">
        <f>+'Fauna Acompañante'!X208</f>
        <v>0</v>
      </c>
      <c r="Y17" s="1843">
        <f>+'Fauna Acompañante'!Y208</f>
        <v>0</v>
      </c>
      <c r="Z17" s="1843">
        <f>+'Fauna Acompañante'!Z208</f>
        <v>0</v>
      </c>
      <c r="AA17" s="1843">
        <f>+'Fauna Acompañante'!AA208</f>
        <v>0</v>
      </c>
      <c r="AB17" s="1843">
        <f>+'Fauna Acompañante'!AB208</f>
        <v>0</v>
      </c>
      <c r="AC17" s="1843">
        <f>+'Fauna Acompañante'!AC208</f>
        <v>0</v>
      </c>
      <c r="AD17" s="1843">
        <f>+'Fauna Acompañante'!AD208</f>
        <v>0</v>
      </c>
      <c r="AE17" s="1843">
        <f>+'Fauna Acompañante'!AE208</f>
        <v>0</v>
      </c>
      <c r="AF17" s="1843">
        <f>+'Fauna Acompañante'!AF208</f>
        <v>0</v>
      </c>
      <c r="AG17" s="1843">
        <f>+'Fauna Acompañante'!AG208</f>
        <v>0</v>
      </c>
      <c r="AH17" s="1842">
        <f t="shared" si="1"/>
        <v>0</v>
      </c>
    </row>
    <row r="18" spans="1:34" ht="15">
      <c r="A18" s="1845" t="s">
        <v>72</v>
      </c>
      <c r="B18" s="1844">
        <f t="shared" ref="B18:AH18" si="2">SUM(B6:B17)</f>
        <v>5.6319999999999997</v>
      </c>
      <c r="C18" s="1843">
        <f t="shared" si="2"/>
        <v>1.02</v>
      </c>
      <c r="D18" s="1843">
        <f t="shared" si="2"/>
        <v>0</v>
      </c>
      <c r="E18" s="1843">
        <f t="shared" si="2"/>
        <v>0</v>
      </c>
      <c r="F18" s="1843">
        <f t="shared" si="2"/>
        <v>0</v>
      </c>
      <c r="G18" s="1843">
        <f t="shared" si="2"/>
        <v>0</v>
      </c>
      <c r="H18" s="1843">
        <f t="shared" si="2"/>
        <v>0</v>
      </c>
      <c r="I18" s="1843">
        <f t="shared" si="2"/>
        <v>0</v>
      </c>
      <c r="J18" s="1843">
        <f t="shared" si="2"/>
        <v>0</v>
      </c>
      <c r="K18" s="1843">
        <f t="shared" si="2"/>
        <v>0</v>
      </c>
      <c r="L18" s="1843">
        <f t="shared" si="2"/>
        <v>0</v>
      </c>
      <c r="M18" s="1843">
        <f t="shared" si="2"/>
        <v>0</v>
      </c>
      <c r="N18" s="1843">
        <f t="shared" si="2"/>
        <v>0</v>
      </c>
      <c r="O18" s="1843">
        <f t="shared" si="2"/>
        <v>0</v>
      </c>
      <c r="P18" s="1843">
        <f t="shared" si="2"/>
        <v>0</v>
      </c>
      <c r="Q18" s="1843">
        <f t="shared" si="2"/>
        <v>0</v>
      </c>
      <c r="R18" s="1843">
        <f t="shared" si="2"/>
        <v>0</v>
      </c>
      <c r="S18" s="1843">
        <f t="shared" si="2"/>
        <v>0</v>
      </c>
      <c r="T18" s="1843">
        <f t="shared" si="2"/>
        <v>0</v>
      </c>
      <c r="U18" s="1843">
        <f t="shared" si="2"/>
        <v>0</v>
      </c>
      <c r="V18" s="1843">
        <f t="shared" si="2"/>
        <v>0</v>
      </c>
      <c r="W18" s="1843">
        <f t="shared" si="2"/>
        <v>0</v>
      </c>
      <c r="X18" s="1843">
        <f t="shared" si="2"/>
        <v>0</v>
      </c>
      <c r="Y18" s="1843">
        <f t="shared" si="2"/>
        <v>0</v>
      </c>
      <c r="Z18" s="1843">
        <f t="shared" si="2"/>
        <v>0.68799999999999994</v>
      </c>
      <c r="AA18" s="1843">
        <f t="shared" si="2"/>
        <v>0</v>
      </c>
      <c r="AB18" s="1843">
        <f t="shared" si="2"/>
        <v>0</v>
      </c>
      <c r="AC18" s="1843">
        <f t="shared" si="2"/>
        <v>0</v>
      </c>
      <c r="AD18" s="1843">
        <f t="shared" si="2"/>
        <v>3.81</v>
      </c>
      <c r="AE18" s="1843">
        <f t="shared" si="2"/>
        <v>0</v>
      </c>
      <c r="AF18" s="1843">
        <f t="shared" si="2"/>
        <v>0.114</v>
      </c>
      <c r="AG18" s="1843">
        <f t="shared" si="2"/>
        <v>0</v>
      </c>
      <c r="AH18" s="1842">
        <f t="shared" si="2"/>
        <v>5.6319999999999997</v>
      </c>
    </row>
    <row r="20" spans="1:34" ht="15">
      <c r="A20" s="3821" t="s">
        <v>554</v>
      </c>
      <c r="B20" s="3822"/>
      <c r="C20" s="3822"/>
      <c r="D20" s="3822"/>
      <c r="E20" s="3822"/>
      <c r="F20" s="3822"/>
      <c r="G20" s="3822"/>
      <c r="H20" s="3822"/>
      <c r="I20" s="3822"/>
      <c r="J20" s="3822"/>
      <c r="K20" s="3822"/>
      <c r="L20" s="3822"/>
      <c r="M20" s="3822"/>
      <c r="N20" s="3822"/>
      <c r="O20" s="3822"/>
      <c r="P20" s="3822"/>
      <c r="Q20" s="3822"/>
      <c r="R20" s="3822"/>
      <c r="S20" s="3822"/>
      <c r="T20" s="3823"/>
      <c r="U20" s="1841"/>
      <c r="V20" s="1841"/>
      <c r="W20" s="1841"/>
      <c r="X20" s="1841"/>
      <c r="Y20" s="1841"/>
      <c r="Z20" s="1841"/>
      <c r="AA20" s="1841"/>
      <c r="AB20" s="1841"/>
      <c r="AC20" s="1841"/>
      <c r="AD20" s="1841"/>
      <c r="AE20" s="1841"/>
      <c r="AF20" s="1841"/>
      <c r="AG20" s="1841"/>
      <c r="AH20" s="1841"/>
    </row>
    <row r="21" spans="1:34">
      <c r="A21" s="1841"/>
      <c r="B21" s="1841"/>
      <c r="C21" s="1841"/>
      <c r="D21" s="1841"/>
      <c r="E21" s="1841"/>
      <c r="F21" s="1841"/>
      <c r="G21" s="1841"/>
      <c r="H21" s="1841"/>
      <c r="I21" s="1841"/>
      <c r="J21" s="1841"/>
      <c r="K21" s="1841"/>
      <c r="L21" s="1841"/>
      <c r="M21" s="1841"/>
      <c r="N21" s="1841"/>
      <c r="O21" s="1841"/>
      <c r="P21" s="1841"/>
      <c r="Q21" s="1841"/>
      <c r="R21" s="1841"/>
      <c r="S21" s="1841"/>
      <c r="T21" s="1841"/>
      <c r="U21" s="1841"/>
      <c r="V21" s="1841"/>
      <c r="W21" s="1841"/>
      <c r="X21" s="1841"/>
      <c r="Y21" s="1841"/>
      <c r="Z21" s="1841"/>
      <c r="AA21" s="1841"/>
      <c r="AB21" s="1841"/>
      <c r="AC21" s="1841"/>
      <c r="AD21" s="1841"/>
      <c r="AE21" s="1841"/>
      <c r="AF21" s="1841"/>
      <c r="AG21" s="1841"/>
      <c r="AH21" s="1841"/>
    </row>
    <row r="22" spans="1:34">
      <c r="A22" s="1841"/>
      <c r="B22" s="1841"/>
      <c r="C22" s="1841"/>
      <c r="D22" s="1841"/>
      <c r="E22" s="1841"/>
      <c r="F22" s="1841"/>
      <c r="G22" s="1841"/>
      <c r="H22" s="1841"/>
      <c r="I22" s="1841"/>
      <c r="J22" s="1841"/>
      <c r="K22" s="1841"/>
      <c r="L22" s="1841"/>
      <c r="M22" s="1841"/>
      <c r="N22" s="1841"/>
      <c r="O22" s="1841"/>
      <c r="P22" s="1841"/>
      <c r="Q22" s="1841"/>
      <c r="R22" s="1841"/>
      <c r="S22" s="1841"/>
      <c r="T22" s="1841"/>
      <c r="U22" s="1841"/>
      <c r="V22" s="1841"/>
      <c r="W22" s="1841"/>
      <c r="X22" s="1841"/>
      <c r="Y22" s="1841"/>
      <c r="Z22" s="1841"/>
      <c r="AA22" s="1841"/>
      <c r="AB22" s="1841"/>
      <c r="AC22" s="1841"/>
      <c r="AD22" s="1841"/>
      <c r="AE22" s="1841"/>
      <c r="AF22" s="1841"/>
      <c r="AG22" s="1841"/>
      <c r="AH22" s="1841"/>
    </row>
    <row r="23" spans="1:34" ht="15">
      <c r="A23" s="3821" t="s">
        <v>603</v>
      </c>
      <c r="B23" s="3822"/>
      <c r="C23" s="3823"/>
      <c r="D23" s="1839"/>
      <c r="E23" s="1839"/>
      <c r="F23" s="1839"/>
      <c r="G23" s="1839"/>
      <c r="H23" s="1839"/>
      <c r="I23" s="1839"/>
      <c r="J23" s="1839"/>
      <c r="K23" s="1839"/>
      <c r="L23" s="1839"/>
      <c r="M23" s="1840"/>
      <c r="N23" s="1839"/>
      <c r="O23" s="1839"/>
      <c r="P23" s="1839"/>
      <c r="Q23" s="1839"/>
      <c r="R23" s="1839"/>
      <c r="S23" s="1839"/>
      <c r="T23" s="1839"/>
      <c r="U23" s="1839"/>
      <c r="V23" s="1839"/>
      <c r="W23" s="1839"/>
      <c r="X23" s="1839"/>
      <c r="Y23" s="1839"/>
      <c r="Z23" s="1839"/>
      <c r="AA23" s="1839"/>
      <c r="AB23" s="1839"/>
      <c r="AC23" s="1839"/>
      <c r="AD23" s="1839"/>
      <c r="AE23" s="1839"/>
      <c r="AF23" s="1839"/>
      <c r="AG23" s="1839"/>
      <c r="AH23" s="1839"/>
    </row>
    <row r="24" spans="1:34" ht="15">
      <c r="A24" s="1524" t="s">
        <v>70</v>
      </c>
      <c r="B24" s="1524" t="s">
        <v>71</v>
      </c>
      <c r="C24" s="1524">
        <v>1</v>
      </c>
      <c r="D24" s="1524">
        <v>2</v>
      </c>
      <c r="E24" s="1524">
        <v>3</v>
      </c>
      <c r="F24" s="1524">
        <v>4</v>
      </c>
      <c r="G24" s="1524">
        <v>5</v>
      </c>
      <c r="H24" s="1524">
        <v>6</v>
      </c>
      <c r="I24" s="1524">
        <v>7</v>
      </c>
      <c r="J24" s="1524">
        <v>8</v>
      </c>
      <c r="K24" s="1524">
        <v>9</v>
      </c>
      <c r="L24" s="1524">
        <v>10</v>
      </c>
      <c r="M24" s="1524">
        <v>11</v>
      </c>
      <c r="N24" s="1524">
        <v>12</v>
      </c>
      <c r="O24" s="1524">
        <v>13</v>
      </c>
      <c r="P24" s="1524">
        <v>14</v>
      </c>
      <c r="Q24" s="1524">
        <v>15</v>
      </c>
      <c r="R24" s="1524">
        <v>16</v>
      </c>
      <c r="S24" s="1524">
        <v>17</v>
      </c>
      <c r="T24" s="1524">
        <v>18</v>
      </c>
      <c r="U24" s="1524">
        <v>19</v>
      </c>
      <c r="V24" s="1524">
        <v>20</v>
      </c>
      <c r="W24" s="1524">
        <v>21</v>
      </c>
      <c r="X24" s="1524">
        <v>22</v>
      </c>
      <c r="Y24" s="1524">
        <v>23</v>
      </c>
      <c r="Z24" s="1524">
        <v>24</v>
      </c>
      <c r="AA24" s="1524">
        <v>25</v>
      </c>
      <c r="AB24" s="1524">
        <v>26</v>
      </c>
      <c r="AC24" s="1524">
        <v>27</v>
      </c>
      <c r="AD24" s="1524">
        <v>28</v>
      </c>
      <c r="AE24" s="1524">
        <v>29</v>
      </c>
      <c r="AF24" s="1524">
        <v>30</v>
      </c>
      <c r="AG24" s="1524">
        <v>31</v>
      </c>
      <c r="AH24" s="1838" t="s">
        <v>72</v>
      </c>
    </row>
    <row r="25" spans="1:34" ht="15">
      <c r="A25" s="1524" t="s">
        <v>73</v>
      </c>
      <c r="B25" s="1527">
        <f t="shared" ref="B25:B36" si="3">+AH25</f>
        <v>0</v>
      </c>
      <c r="C25" s="1835"/>
      <c r="D25" s="1835"/>
      <c r="E25" s="1835"/>
      <c r="F25" s="1835"/>
      <c r="G25" s="1835"/>
      <c r="H25" s="1835"/>
      <c r="I25" s="1835"/>
      <c r="J25" s="1835"/>
      <c r="K25" s="1835"/>
      <c r="L25" s="1835"/>
      <c r="M25" s="1835"/>
      <c r="N25" s="1835"/>
      <c r="O25" s="1835"/>
      <c r="P25" s="1835"/>
      <c r="Q25" s="1835"/>
      <c r="R25" s="1835"/>
      <c r="S25" s="1835"/>
      <c r="T25" s="1835"/>
      <c r="U25" s="1835"/>
      <c r="V25" s="1835"/>
      <c r="W25" s="1835"/>
      <c r="X25" s="1835"/>
      <c r="Y25" s="1835"/>
      <c r="Z25" s="1835"/>
      <c r="AA25" s="1835"/>
      <c r="AB25" s="1835"/>
      <c r="AC25" s="1835"/>
      <c r="AD25" s="1835"/>
      <c r="AE25" s="1835"/>
      <c r="AF25" s="1835"/>
      <c r="AG25" s="1835"/>
      <c r="AH25" s="1834">
        <f t="shared" ref="AH25:AH36" si="4">SUM(C25:AG25)</f>
        <v>0</v>
      </c>
    </row>
    <row r="26" spans="1:34" ht="15">
      <c r="A26" s="1524" t="s">
        <v>74</v>
      </c>
      <c r="B26" s="1527">
        <f t="shared" si="3"/>
        <v>0</v>
      </c>
      <c r="C26" s="1835"/>
      <c r="D26" s="1835"/>
      <c r="E26" s="1835"/>
      <c r="F26" s="1835"/>
      <c r="G26" s="1835"/>
      <c r="H26" s="1835"/>
      <c r="I26" s="1835"/>
      <c r="J26" s="1835"/>
      <c r="K26" s="1835"/>
      <c r="L26" s="1835"/>
      <c r="M26" s="1835"/>
      <c r="N26" s="1835"/>
      <c r="O26" s="1835"/>
      <c r="P26" s="1835"/>
      <c r="Q26" s="1835"/>
      <c r="R26" s="1835"/>
      <c r="S26" s="1835"/>
      <c r="T26" s="1835"/>
      <c r="U26" s="1835"/>
      <c r="V26" s="1835"/>
      <c r="W26" s="1835"/>
      <c r="X26" s="1835"/>
      <c r="Y26" s="1835"/>
      <c r="Z26" s="1835"/>
      <c r="AA26" s="1835"/>
      <c r="AB26" s="1835"/>
      <c r="AC26" s="1835"/>
      <c r="AD26" s="1835"/>
      <c r="AE26" s="1835"/>
      <c r="AF26" s="1835"/>
      <c r="AG26" s="1835"/>
      <c r="AH26" s="1834">
        <f t="shared" si="4"/>
        <v>0</v>
      </c>
    </row>
    <row r="27" spans="1:34" ht="15">
      <c r="A27" s="1524" t="s">
        <v>75</v>
      </c>
      <c r="B27" s="1527">
        <f t="shared" si="3"/>
        <v>0</v>
      </c>
      <c r="C27" s="1835"/>
      <c r="D27" s="1835"/>
      <c r="E27" s="1835"/>
      <c r="F27" s="1835"/>
      <c r="G27" s="1835"/>
      <c r="H27" s="1835"/>
      <c r="I27" s="1835"/>
      <c r="J27" s="1835"/>
      <c r="K27" s="1835"/>
      <c r="L27" s="1835"/>
      <c r="M27" s="1835"/>
      <c r="N27" s="1835"/>
      <c r="O27" s="1835"/>
      <c r="P27" s="1835"/>
      <c r="Q27" s="1835"/>
      <c r="R27" s="1835"/>
      <c r="S27" s="1835"/>
      <c r="T27" s="1835"/>
      <c r="U27" s="1835"/>
      <c r="V27" s="1835"/>
      <c r="W27" s="1835"/>
      <c r="X27" s="1835"/>
      <c r="Y27" s="1835"/>
      <c r="Z27" s="1835"/>
      <c r="AA27" s="1835"/>
      <c r="AB27" s="1835"/>
      <c r="AC27" s="1835"/>
      <c r="AD27" s="1835"/>
      <c r="AE27" s="1835"/>
      <c r="AF27" s="1835"/>
      <c r="AG27" s="1835"/>
      <c r="AH27" s="1834">
        <f t="shared" si="4"/>
        <v>0</v>
      </c>
    </row>
    <row r="28" spans="1:34" ht="15">
      <c r="A28" s="1524" t="s">
        <v>76</v>
      </c>
      <c r="B28" s="1527">
        <f t="shared" si="3"/>
        <v>0</v>
      </c>
      <c r="C28" s="1835"/>
      <c r="D28" s="1835"/>
      <c r="E28" s="1835"/>
      <c r="F28" s="1835"/>
      <c r="G28" s="1835"/>
      <c r="H28" s="1835"/>
      <c r="I28" s="1835"/>
      <c r="J28" s="1835"/>
      <c r="K28" s="1835"/>
      <c r="L28" s="1835"/>
      <c r="M28" s="1835"/>
      <c r="N28" s="1835"/>
      <c r="O28" s="1835"/>
      <c r="P28" s="1835"/>
      <c r="Q28" s="1835"/>
      <c r="R28" s="1835"/>
      <c r="S28" s="1835"/>
      <c r="T28" s="1835"/>
      <c r="U28" s="1835"/>
      <c r="V28" s="1835"/>
      <c r="W28" s="1835"/>
      <c r="X28" s="1835"/>
      <c r="Y28" s="1835"/>
      <c r="Z28" s="1835"/>
      <c r="AA28" s="1835"/>
      <c r="AB28" s="1835"/>
      <c r="AC28" s="1835"/>
      <c r="AD28" s="1835"/>
      <c r="AE28" s="1835"/>
      <c r="AF28" s="1835"/>
      <c r="AG28" s="1835"/>
      <c r="AH28" s="1834">
        <f t="shared" si="4"/>
        <v>0</v>
      </c>
    </row>
    <row r="29" spans="1:34" ht="15">
      <c r="A29" s="1524" t="s">
        <v>77</v>
      </c>
      <c r="B29" s="1527">
        <f t="shared" si="3"/>
        <v>0</v>
      </c>
      <c r="C29" s="1835"/>
      <c r="D29" s="1835"/>
      <c r="E29" s="1835"/>
      <c r="F29" s="1835"/>
      <c r="G29" s="1835"/>
      <c r="H29" s="1835"/>
      <c r="I29" s="1835"/>
      <c r="J29" s="1835"/>
      <c r="K29" s="1835"/>
      <c r="L29" s="1835"/>
      <c r="M29" s="1835"/>
      <c r="N29" s="1835"/>
      <c r="O29" s="1835"/>
      <c r="P29" s="1835"/>
      <c r="Q29" s="1835"/>
      <c r="R29" s="1835"/>
      <c r="S29" s="1835"/>
      <c r="T29" s="1835"/>
      <c r="U29" s="1835"/>
      <c r="V29" s="1835"/>
      <c r="W29" s="1835"/>
      <c r="X29" s="1835"/>
      <c r="Y29" s="1835"/>
      <c r="Z29" s="1835"/>
      <c r="AA29" s="1835"/>
      <c r="AB29" s="1835"/>
      <c r="AC29" s="1835"/>
      <c r="AD29" s="1835"/>
      <c r="AE29" s="1835"/>
      <c r="AF29" s="1835"/>
      <c r="AG29" s="1835"/>
      <c r="AH29" s="1834">
        <f t="shared" si="4"/>
        <v>0</v>
      </c>
    </row>
    <row r="30" spans="1:34" ht="15">
      <c r="A30" s="1524" t="s">
        <v>78</v>
      </c>
      <c r="B30" s="1527">
        <f t="shared" si="3"/>
        <v>0</v>
      </c>
      <c r="C30" s="1835"/>
      <c r="D30" s="1835"/>
      <c r="E30" s="1835"/>
      <c r="F30" s="1835"/>
      <c r="G30" s="1835"/>
      <c r="H30" s="1835"/>
      <c r="I30" s="1835"/>
      <c r="J30" s="1835"/>
      <c r="K30" s="1835"/>
      <c r="L30" s="1835"/>
      <c r="M30" s="1835"/>
      <c r="N30" s="1835"/>
      <c r="O30" s="1835"/>
      <c r="P30" s="1835"/>
      <c r="Q30" s="1835"/>
      <c r="R30" s="1835"/>
      <c r="S30" s="1835"/>
      <c r="T30" s="1835"/>
      <c r="U30" s="1835"/>
      <c r="V30" s="1835"/>
      <c r="W30" s="1835"/>
      <c r="X30" s="1835"/>
      <c r="Y30" s="1835"/>
      <c r="Z30" s="1835"/>
      <c r="AA30" s="1835"/>
      <c r="AB30" s="1835"/>
      <c r="AC30" s="1835"/>
      <c r="AD30" s="1835"/>
      <c r="AE30" s="1835"/>
      <c r="AF30" s="1835"/>
      <c r="AG30" s="1835"/>
      <c r="AH30" s="1834">
        <f t="shared" si="4"/>
        <v>0</v>
      </c>
    </row>
    <row r="31" spans="1:34" ht="15">
      <c r="A31" s="1524" t="s">
        <v>79</v>
      </c>
      <c r="B31" s="1527">
        <f t="shared" si="3"/>
        <v>0</v>
      </c>
      <c r="C31" s="1835"/>
      <c r="D31" s="1835"/>
      <c r="E31" s="1835"/>
      <c r="F31" s="1835"/>
      <c r="G31" s="1835"/>
      <c r="H31" s="1835"/>
      <c r="I31" s="1835"/>
      <c r="J31" s="1835"/>
      <c r="K31" s="1835"/>
      <c r="L31" s="1835"/>
      <c r="M31" s="1835"/>
      <c r="N31" s="1835"/>
      <c r="O31" s="1835"/>
      <c r="P31" s="1835"/>
      <c r="Q31" s="1835"/>
      <c r="R31" s="1835"/>
      <c r="S31" s="1835"/>
      <c r="T31" s="1835"/>
      <c r="U31" s="1835"/>
      <c r="V31" s="1835"/>
      <c r="W31" s="1835"/>
      <c r="X31" s="1835"/>
      <c r="Y31" s="1835"/>
      <c r="Z31" s="1835"/>
      <c r="AA31" s="1835"/>
      <c r="AB31" s="1835"/>
      <c r="AC31" s="1835"/>
      <c r="AD31" s="1835"/>
      <c r="AE31" s="1835"/>
      <c r="AF31" s="1835"/>
      <c r="AG31" s="1835"/>
      <c r="AH31" s="1834">
        <f t="shared" si="4"/>
        <v>0</v>
      </c>
    </row>
    <row r="32" spans="1:34" ht="15">
      <c r="A32" s="1524" t="s">
        <v>80</v>
      </c>
      <c r="B32" s="1527">
        <f t="shared" si="3"/>
        <v>0</v>
      </c>
      <c r="C32" s="1835"/>
      <c r="D32" s="1835"/>
      <c r="E32" s="1835"/>
      <c r="F32" s="1835"/>
      <c r="G32" s="1835"/>
      <c r="H32" s="1835"/>
      <c r="I32" s="1835"/>
      <c r="J32" s="1835"/>
      <c r="K32" s="1835"/>
      <c r="L32" s="1835"/>
      <c r="M32" s="1835"/>
      <c r="N32" s="1835"/>
      <c r="O32" s="1835"/>
      <c r="P32" s="1835"/>
      <c r="Q32" s="1835"/>
      <c r="R32" s="1835"/>
      <c r="S32" s="1835"/>
      <c r="T32" s="1835"/>
      <c r="U32" s="1835"/>
      <c r="V32" s="1835"/>
      <c r="W32" s="1835"/>
      <c r="X32" s="1835"/>
      <c r="Y32" s="1835"/>
      <c r="Z32" s="1835"/>
      <c r="AA32" s="1835"/>
      <c r="AB32" s="1835"/>
      <c r="AC32" s="1835"/>
      <c r="AD32" s="1835"/>
      <c r="AE32" s="1835"/>
      <c r="AF32" s="1835"/>
      <c r="AG32" s="1835"/>
      <c r="AH32" s="1834">
        <f t="shared" si="4"/>
        <v>0</v>
      </c>
    </row>
    <row r="33" spans="1:34" ht="15">
      <c r="A33" s="1524" t="s">
        <v>81</v>
      </c>
      <c r="B33" s="1527">
        <f t="shared" si="3"/>
        <v>0</v>
      </c>
      <c r="C33" s="1835"/>
      <c r="D33" s="1835"/>
      <c r="E33" s="1835"/>
      <c r="F33" s="1835"/>
      <c r="G33" s="1835"/>
      <c r="H33" s="1835"/>
      <c r="I33" s="1835"/>
      <c r="J33" s="1835"/>
      <c r="K33" s="1835"/>
      <c r="L33" s="1835"/>
      <c r="M33" s="1835"/>
      <c r="N33" s="1835"/>
      <c r="O33" s="1835"/>
      <c r="P33" s="1835"/>
      <c r="Q33" s="1835"/>
      <c r="R33" s="1835"/>
      <c r="S33" s="1835"/>
      <c r="T33" s="1835"/>
      <c r="U33" s="1835"/>
      <c r="V33" s="1835"/>
      <c r="W33" s="1835"/>
      <c r="X33" s="1835"/>
      <c r="Y33" s="1835"/>
      <c r="Z33" s="1835"/>
      <c r="AA33" s="1835"/>
      <c r="AB33" s="1835"/>
      <c r="AC33" s="1835"/>
      <c r="AD33" s="1835"/>
      <c r="AE33" s="1835"/>
      <c r="AF33" s="1835"/>
      <c r="AG33" s="1835"/>
      <c r="AH33" s="1834">
        <f t="shared" si="4"/>
        <v>0</v>
      </c>
    </row>
    <row r="34" spans="1:34" ht="15">
      <c r="A34" s="1524" t="s">
        <v>82</v>
      </c>
      <c r="B34" s="1527">
        <f t="shared" si="3"/>
        <v>0</v>
      </c>
      <c r="C34" s="1835"/>
      <c r="D34" s="1835"/>
      <c r="E34" s="1835"/>
      <c r="F34" s="1835"/>
      <c r="G34" s="1835"/>
      <c r="H34" s="1835"/>
      <c r="I34" s="1835"/>
      <c r="J34" s="1835"/>
      <c r="K34" s="1835"/>
      <c r="L34" s="1835"/>
      <c r="M34" s="1835"/>
      <c r="N34" s="1835"/>
      <c r="O34" s="1835"/>
      <c r="P34" s="1835"/>
      <c r="Q34" s="1835"/>
      <c r="R34" s="1835"/>
      <c r="S34" s="1835"/>
      <c r="T34" s="1835"/>
      <c r="U34" s="1835"/>
      <c r="V34" s="1835"/>
      <c r="W34" s="1835"/>
      <c r="X34" s="1835"/>
      <c r="Y34" s="1835"/>
      <c r="Z34" s="1835"/>
      <c r="AA34" s="1835"/>
      <c r="AB34" s="1835"/>
      <c r="AC34" s="1835"/>
      <c r="AD34" s="1835"/>
      <c r="AE34" s="1835"/>
      <c r="AF34" s="1835"/>
      <c r="AG34" s="1835"/>
      <c r="AH34" s="1834">
        <f t="shared" si="4"/>
        <v>0</v>
      </c>
    </row>
    <row r="35" spans="1:34" ht="15">
      <c r="A35" s="1524" t="s">
        <v>83</v>
      </c>
      <c r="B35" s="1527">
        <f t="shared" si="3"/>
        <v>0</v>
      </c>
      <c r="C35" s="1835"/>
      <c r="D35" s="1835"/>
      <c r="E35" s="1835"/>
      <c r="F35" s="1835"/>
      <c r="G35" s="1835"/>
      <c r="H35" s="1835"/>
      <c r="I35" s="1835"/>
      <c r="J35" s="1835"/>
      <c r="K35" s="1835"/>
      <c r="L35" s="1835"/>
      <c r="M35" s="1835"/>
      <c r="N35" s="1835"/>
      <c r="O35" s="1835"/>
      <c r="P35" s="1835"/>
      <c r="Q35" s="1835"/>
      <c r="R35" s="1835"/>
      <c r="S35" s="1835"/>
      <c r="T35" s="1835"/>
      <c r="U35" s="1835"/>
      <c r="V35" s="1835"/>
      <c r="W35" s="1835"/>
      <c r="X35" s="1835"/>
      <c r="Y35" s="1835"/>
      <c r="Z35" s="1835"/>
      <c r="AA35" s="1835"/>
      <c r="AB35" s="1835"/>
      <c r="AC35" s="1835"/>
      <c r="AD35" s="1835"/>
      <c r="AE35" s="1835"/>
      <c r="AF35" s="1835"/>
      <c r="AG35" s="1835"/>
      <c r="AH35" s="1834">
        <f t="shared" si="4"/>
        <v>0</v>
      </c>
    </row>
    <row r="36" spans="1:34" ht="15">
      <c r="A36" s="1524" t="s">
        <v>84</v>
      </c>
      <c r="B36" s="1527">
        <f t="shared" si="3"/>
        <v>0</v>
      </c>
      <c r="C36" s="1835"/>
      <c r="D36" s="1835"/>
      <c r="E36" s="1835"/>
      <c r="F36" s="1835"/>
      <c r="G36" s="1835"/>
      <c r="H36" s="1835"/>
      <c r="I36" s="1835"/>
      <c r="J36" s="1835"/>
      <c r="K36" s="1835"/>
      <c r="L36" s="1835"/>
      <c r="M36" s="1835"/>
      <c r="N36" s="1835"/>
      <c r="O36" s="1835"/>
      <c r="P36" s="1835"/>
      <c r="Q36" s="1835"/>
      <c r="R36" s="1835"/>
      <c r="S36" s="1835"/>
      <c r="T36" s="1835"/>
      <c r="U36" s="1835"/>
      <c r="V36" s="1835"/>
      <c r="W36" s="1835"/>
      <c r="X36" s="1835"/>
      <c r="Y36" s="1835"/>
      <c r="Z36" s="1835"/>
      <c r="AA36" s="1835"/>
      <c r="AB36" s="1835"/>
      <c r="AC36" s="1835"/>
      <c r="AD36" s="1835"/>
      <c r="AE36" s="1835"/>
      <c r="AF36" s="1835"/>
      <c r="AG36" s="1835"/>
      <c r="AH36" s="1834">
        <f t="shared" si="4"/>
        <v>0</v>
      </c>
    </row>
    <row r="37" spans="1:34" ht="15">
      <c r="A37" s="1837" t="s">
        <v>72</v>
      </c>
      <c r="B37" s="1836">
        <f t="shared" ref="B37:AH37" si="5">SUM(B25:B36)</f>
        <v>0</v>
      </c>
      <c r="C37" s="1835">
        <f t="shared" si="5"/>
        <v>0</v>
      </c>
      <c r="D37" s="1835">
        <f t="shared" si="5"/>
        <v>0</v>
      </c>
      <c r="E37" s="1835">
        <f t="shared" si="5"/>
        <v>0</v>
      </c>
      <c r="F37" s="1835">
        <f t="shared" si="5"/>
        <v>0</v>
      </c>
      <c r="G37" s="1835">
        <f t="shared" si="5"/>
        <v>0</v>
      </c>
      <c r="H37" s="1835">
        <f t="shared" si="5"/>
        <v>0</v>
      </c>
      <c r="I37" s="1835">
        <f t="shared" si="5"/>
        <v>0</v>
      </c>
      <c r="J37" s="1835">
        <f t="shared" si="5"/>
        <v>0</v>
      </c>
      <c r="K37" s="1835">
        <f t="shared" si="5"/>
        <v>0</v>
      </c>
      <c r="L37" s="1835">
        <f t="shared" si="5"/>
        <v>0</v>
      </c>
      <c r="M37" s="1835">
        <f t="shared" si="5"/>
        <v>0</v>
      </c>
      <c r="N37" s="1835">
        <f t="shared" si="5"/>
        <v>0</v>
      </c>
      <c r="O37" s="1835">
        <f t="shared" si="5"/>
        <v>0</v>
      </c>
      <c r="P37" s="1835">
        <f t="shared" si="5"/>
        <v>0</v>
      </c>
      <c r="Q37" s="1835">
        <f t="shared" si="5"/>
        <v>0</v>
      </c>
      <c r="R37" s="1835">
        <f t="shared" si="5"/>
        <v>0</v>
      </c>
      <c r="S37" s="1835">
        <f t="shared" si="5"/>
        <v>0</v>
      </c>
      <c r="T37" s="1835">
        <f t="shared" si="5"/>
        <v>0</v>
      </c>
      <c r="U37" s="1835">
        <f t="shared" si="5"/>
        <v>0</v>
      </c>
      <c r="V37" s="1835">
        <f t="shared" si="5"/>
        <v>0</v>
      </c>
      <c r="W37" s="1835">
        <f t="shared" si="5"/>
        <v>0</v>
      </c>
      <c r="X37" s="1835">
        <f t="shared" si="5"/>
        <v>0</v>
      </c>
      <c r="Y37" s="1835">
        <f t="shared" si="5"/>
        <v>0</v>
      </c>
      <c r="Z37" s="1835">
        <f t="shared" si="5"/>
        <v>0</v>
      </c>
      <c r="AA37" s="1835">
        <f t="shared" si="5"/>
        <v>0</v>
      </c>
      <c r="AB37" s="1835">
        <f t="shared" si="5"/>
        <v>0</v>
      </c>
      <c r="AC37" s="1835">
        <f t="shared" si="5"/>
        <v>0</v>
      </c>
      <c r="AD37" s="1835">
        <f t="shared" si="5"/>
        <v>0</v>
      </c>
      <c r="AE37" s="1835">
        <f t="shared" si="5"/>
        <v>0</v>
      </c>
      <c r="AF37" s="1835">
        <f t="shared" si="5"/>
        <v>0</v>
      </c>
      <c r="AG37" s="1835">
        <f t="shared" si="5"/>
        <v>0</v>
      </c>
      <c r="AH37" s="1834">
        <f t="shared" si="5"/>
        <v>0</v>
      </c>
    </row>
    <row r="39" spans="1:34" ht="15">
      <c r="A39" s="3821" t="s">
        <v>602</v>
      </c>
      <c r="B39" s="3822"/>
      <c r="C39" s="3823"/>
      <c r="D39" s="1839"/>
      <c r="E39" s="1839"/>
      <c r="F39" s="1839"/>
      <c r="G39" s="1839"/>
      <c r="H39" s="1839"/>
      <c r="I39" s="1839"/>
      <c r="J39" s="1839"/>
      <c r="K39" s="1839"/>
      <c r="L39" s="1839"/>
      <c r="M39" s="1840"/>
      <c r="N39" s="1839"/>
      <c r="O39" s="1839"/>
      <c r="P39" s="1839"/>
      <c r="Q39" s="1839"/>
      <c r="R39" s="1839"/>
      <c r="S39" s="1839"/>
      <c r="T39" s="1839"/>
      <c r="U39" s="1839"/>
      <c r="V39" s="1839"/>
      <c r="W39" s="1839"/>
      <c r="X39" s="1839"/>
      <c r="Y39" s="1839"/>
      <c r="Z39" s="1839"/>
      <c r="AA39" s="1839"/>
      <c r="AB39" s="1839"/>
      <c r="AC39" s="1839"/>
      <c r="AD39" s="1839"/>
      <c r="AE39" s="1839"/>
      <c r="AF39" s="1839"/>
      <c r="AG39" s="1839"/>
      <c r="AH39" s="1839"/>
    </row>
    <row r="40" spans="1:34" ht="15">
      <c r="A40" s="1524" t="s">
        <v>70</v>
      </c>
      <c r="B40" s="1524" t="s">
        <v>71</v>
      </c>
      <c r="C40" s="1524">
        <v>1</v>
      </c>
      <c r="D40" s="1524">
        <v>2</v>
      </c>
      <c r="E40" s="1524">
        <v>3</v>
      </c>
      <c r="F40" s="1524">
        <v>4</v>
      </c>
      <c r="G40" s="1524">
        <v>5</v>
      </c>
      <c r="H40" s="1524">
        <v>6</v>
      </c>
      <c r="I40" s="1524">
        <v>7</v>
      </c>
      <c r="J40" s="1524">
        <v>8</v>
      </c>
      <c r="K40" s="1524">
        <v>9</v>
      </c>
      <c r="L40" s="1524">
        <v>10</v>
      </c>
      <c r="M40" s="1524">
        <v>11</v>
      </c>
      <c r="N40" s="1524">
        <v>12</v>
      </c>
      <c r="O40" s="1524">
        <v>13</v>
      </c>
      <c r="P40" s="1524">
        <v>14</v>
      </c>
      <c r="Q40" s="1524">
        <v>15</v>
      </c>
      <c r="R40" s="1524">
        <v>16</v>
      </c>
      <c r="S40" s="1524">
        <v>17</v>
      </c>
      <c r="T40" s="1524">
        <v>18</v>
      </c>
      <c r="U40" s="1524">
        <v>19</v>
      </c>
      <c r="V40" s="1524">
        <v>20</v>
      </c>
      <c r="W40" s="1524">
        <v>21</v>
      </c>
      <c r="X40" s="1524">
        <v>22</v>
      </c>
      <c r="Y40" s="1524">
        <v>23</v>
      </c>
      <c r="Z40" s="1524">
        <v>24</v>
      </c>
      <c r="AA40" s="1524">
        <v>25</v>
      </c>
      <c r="AB40" s="1524">
        <v>26</v>
      </c>
      <c r="AC40" s="1524">
        <v>27</v>
      </c>
      <c r="AD40" s="1524">
        <v>28</v>
      </c>
      <c r="AE40" s="1524">
        <v>29</v>
      </c>
      <c r="AF40" s="1524">
        <v>30</v>
      </c>
      <c r="AG40" s="1524">
        <v>31</v>
      </c>
      <c r="AH40" s="1838" t="s">
        <v>72</v>
      </c>
    </row>
    <row r="41" spans="1:34" ht="15">
      <c r="A41" s="1524" t="s">
        <v>73</v>
      </c>
      <c r="B41" s="1527">
        <f t="shared" ref="B41:B52" si="6">+AH41</f>
        <v>0</v>
      </c>
      <c r="C41" s="1835">
        <f>+'Fauna Acompañante'!AL213</f>
        <v>0</v>
      </c>
      <c r="D41" s="1835">
        <f>+'Fauna Acompañante'!AM213</f>
        <v>0</v>
      </c>
      <c r="E41" s="1835">
        <f>+'Fauna Acompañante'!AN213</f>
        <v>0</v>
      </c>
      <c r="F41" s="1835">
        <f>+'Fauna Acompañante'!AO213</f>
        <v>0</v>
      </c>
      <c r="G41" s="1835">
        <f>+'Fauna Acompañante'!AP213</f>
        <v>0</v>
      </c>
      <c r="H41" s="1835">
        <f>+'Fauna Acompañante'!AQ213</f>
        <v>0</v>
      </c>
      <c r="I41" s="1835">
        <f>+'Fauna Acompañante'!AR213</f>
        <v>0</v>
      </c>
      <c r="J41" s="1835">
        <f>+'Fauna Acompañante'!AS213</f>
        <v>0</v>
      </c>
      <c r="K41" s="1835">
        <f>+'Fauna Acompañante'!AT213</f>
        <v>0</v>
      </c>
      <c r="L41" s="1835">
        <f>+'Fauna Acompañante'!AU213</f>
        <v>0</v>
      </c>
      <c r="M41" s="1835">
        <f>+'Fauna Acompañante'!AV213</f>
        <v>0</v>
      </c>
      <c r="N41" s="1835">
        <f>+'Fauna Acompañante'!AW213</f>
        <v>0</v>
      </c>
      <c r="O41" s="1835">
        <f>+'Fauna Acompañante'!AX213</f>
        <v>0</v>
      </c>
      <c r="P41" s="1835">
        <f>+'Fauna Acompañante'!AY213</f>
        <v>0</v>
      </c>
      <c r="Q41" s="1835">
        <f>+'Fauna Acompañante'!AZ213</f>
        <v>0</v>
      </c>
      <c r="R41" s="1835">
        <f>+'Fauna Acompañante'!BA213</f>
        <v>0</v>
      </c>
      <c r="S41" s="1835">
        <f>+'Fauna Acompañante'!BB213</f>
        <v>0</v>
      </c>
      <c r="T41" s="1835">
        <f>+'Fauna Acompañante'!BC213</f>
        <v>0</v>
      </c>
      <c r="U41" s="1835">
        <f>+'Fauna Acompañante'!BD213</f>
        <v>0</v>
      </c>
      <c r="V41" s="1835">
        <f>+'Fauna Acompañante'!BE213</f>
        <v>0</v>
      </c>
      <c r="W41" s="1835">
        <f>+'Fauna Acompañante'!BF213</f>
        <v>0</v>
      </c>
      <c r="X41" s="1835">
        <f>+'Fauna Acompañante'!BG213</f>
        <v>0</v>
      </c>
      <c r="Y41" s="1835">
        <f>+'Fauna Acompañante'!BH213</f>
        <v>0</v>
      </c>
      <c r="Z41" s="1835">
        <f>+'Fauna Acompañante'!BI213</f>
        <v>0</v>
      </c>
      <c r="AA41" s="1835">
        <f>+'Fauna Acompañante'!BJ213</f>
        <v>0</v>
      </c>
      <c r="AB41" s="1835">
        <f>+'Fauna Acompañante'!BK213</f>
        <v>0</v>
      </c>
      <c r="AC41" s="1835">
        <f>+'Fauna Acompañante'!BL213</f>
        <v>0</v>
      </c>
      <c r="AD41" s="1835">
        <f>+'Fauna Acompañante'!BM213</f>
        <v>0</v>
      </c>
      <c r="AE41" s="1835">
        <f>+'Fauna Acompañante'!BN213</f>
        <v>0</v>
      </c>
      <c r="AF41" s="1835">
        <f>+'Fauna Acompañante'!BO213</f>
        <v>0</v>
      </c>
      <c r="AG41" s="1835">
        <f>+'Fauna Acompañante'!BP213</f>
        <v>0</v>
      </c>
      <c r="AH41" s="1834">
        <f t="shared" ref="AH41:AH52" si="7">SUM(C41:AG41)</f>
        <v>0</v>
      </c>
    </row>
    <row r="42" spans="1:34" ht="15">
      <c r="A42" s="1524" t="s">
        <v>74</v>
      </c>
      <c r="B42" s="1527">
        <f t="shared" si="6"/>
        <v>0</v>
      </c>
      <c r="C42" s="1835">
        <f>+'Fauna Acompañante'!AL214</f>
        <v>0</v>
      </c>
      <c r="D42" s="1835">
        <f>+'Fauna Acompañante'!AM214</f>
        <v>0</v>
      </c>
      <c r="E42" s="1835">
        <f>+'Fauna Acompañante'!AN214</f>
        <v>0</v>
      </c>
      <c r="F42" s="1835">
        <f>+'Fauna Acompañante'!AO214</f>
        <v>0</v>
      </c>
      <c r="G42" s="1835">
        <f>+'Fauna Acompañante'!AP214</f>
        <v>0</v>
      </c>
      <c r="H42" s="1835">
        <f>+'Fauna Acompañante'!AQ214</f>
        <v>0</v>
      </c>
      <c r="I42" s="1835">
        <f>+'Fauna Acompañante'!AR214</f>
        <v>0</v>
      </c>
      <c r="J42" s="1835">
        <f>+'Fauna Acompañante'!AS214</f>
        <v>0</v>
      </c>
      <c r="K42" s="1835">
        <f>+'Fauna Acompañante'!AT214</f>
        <v>0</v>
      </c>
      <c r="L42" s="1835">
        <f>+'Fauna Acompañante'!AU214</f>
        <v>0</v>
      </c>
      <c r="M42" s="1835">
        <f>+'Fauna Acompañante'!AV214</f>
        <v>0</v>
      </c>
      <c r="N42" s="1835">
        <f>+'Fauna Acompañante'!AW214</f>
        <v>0</v>
      </c>
      <c r="O42" s="1835">
        <f>+'Fauna Acompañante'!AX214</f>
        <v>0</v>
      </c>
      <c r="P42" s="1835">
        <f>+'Fauna Acompañante'!AY214</f>
        <v>0</v>
      </c>
      <c r="Q42" s="1835">
        <f>+'Fauna Acompañante'!AZ214</f>
        <v>0</v>
      </c>
      <c r="R42" s="1835">
        <f>+'Fauna Acompañante'!BA214</f>
        <v>0</v>
      </c>
      <c r="S42" s="1835">
        <f>+'Fauna Acompañante'!BB214</f>
        <v>0</v>
      </c>
      <c r="T42" s="1835">
        <f>+'Fauna Acompañante'!BC214</f>
        <v>0</v>
      </c>
      <c r="U42" s="1835">
        <f>+'Fauna Acompañante'!BD214</f>
        <v>0</v>
      </c>
      <c r="V42" s="1835">
        <f>+'Fauna Acompañante'!BE214</f>
        <v>0</v>
      </c>
      <c r="W42" s="1835">
        <f>+'Fauna Acompañante'!BF214</f>
        <v>0</v>
      </c>
      <c r="X42" s="1835">
        <f>+'Fauna Acompañante'!BG214</f>
        <v>0</v>
      </c>
      <c r="Y42" s="1835">
        <f>+'Fauna Acompañante'!BH214</f>
        <v>0</v>
      </c>
      <c r="Z42" s="1835">
        <f>+'Fauna Acompañante'!BI214</f>
        <v>0</v>
      </c>
      <c r="AA42" s="1835">
        <f>+'Fauna Acompañante'!BJ214</f>
        <v>0</v>
      </c>
      <c r="AB42" s="1835">
        <f>+'Fauna Acompañante'!BK214</f>
        <v>0</v>
      </c>
      <c r="AC42" s="1835">
        <f>+'Fauna Acompañante'!BL214</f>
        <v>0</v>
      </c>
      <c r="AD42" s="1835">
        <f>+'Fauna Acompañante'!BM214</f>
        <v>0</v>
      </c>
      <c r="AE42" s="1835">
        <f>+'Fauna Acompañante'!BN214</f>
        <v>0</v>
      </c>
      <c r="AF42" s="1835">
        <f>+'Fauna Acompañante'!BO214</f>
        <v>0</v>
      </c>
      <c r="AG42" s="1835">
        <f>+'Fauna Acompañante'!BP214</f>
        <v>0</v>
      </c>
      <c r="AH42" s="1834">
        <f t="shared" si="7"/>
        <v>0</v>
      </c>
    </row>
    <row r="43" spans="1:34" ht="15">
      <c r="A43" s="1524" t="s">
        <v>75</v>
      </c>
      <c r="B43" s="1527">
        <f t="shared" si="6"/>
        <v>0</v>
      </c>
      <c r="C43" s="1835">
        <f>+'Fauna Acompañante'!AL215</f>
        <v>0</v>
      </c>
      <c r="D43" s="1835">
        <f>+'Fauna Acompañante'!AM215</f>
        <v>0</v>
      </c>
      <c r="E43" s="1835">
        <f>+'Fauna Acompañante'!AN215</f>
        <v>0</v>
      </c>
      <c r="F43" s="1835">
        <f>+'Fauna Acompañante'!AO215</f>
        <v>0</v>
      </c>
      <c r="G43" s="1835">
        <f>+'Fauna Acompañante'!AP215</f>
        <v>0</v>
      </c>
      <c r="H43" s="1835">
        <f>+'Fauna Acompañante'!AQ215</f>
        <v>0</v>
      </c>
      <c r="I43" s="1835">
        <f>+'Fauna Acompañante'!AR215</f>
        <v>0</v>
      </c>
      <c r="J43" s="1835">
        <f>+'Fauna Acompañante'!AS215</f>
        <v>0</v>
      </c>
      <c r="K43" s="1835">
        <f>+'Fauna Acompañante'!AT215</f>
        <v>0</v>
      </c>
      <c r="L43" s="1835">
        <f>+'Fauna Acompañante'!AU215</f>
        <v>0</v>
      </c>
      <c r="M43" s="1835">
        <f>+'Fauna Acompañante'!AV215</f>
        <v>0</v>
      </c>
      <c r="N43" s="1835">
        <f>+'Fauna Acompañante'!AW215</f>
        <v>0</v>
      </c>
      <c r="O43" s="1835">
        <f>+'Fauna Acompañante'!AX215</f>
        <v>0</v>
      </c>
      <c r="P43" s="1835">
        <f>+'Fauna Acompañante'!AY215</f>
        <v>0</v>
      </c>
      <c r="Q43" s="1835">
        <f>+'Fauna Acompañante'!AZ215</f>
        <v>0</v>
      </c>
      <c r="R43" s="1835">
        <f>+'Fauna Acompañante'!BA215</f>
        <v>0</v>
      </c>
      <c r="S43" s="1835">
        <f>+'Fauna Acompañante'!BB215</f>
        <v>0</v>
      </c>
      <c r="T43" s="1835">
        <f>+'Fauna Acompañante'!BC215</f>
        <v>0</v>
      </c>
      <c r="U43" s="1835">
        <f>+'Fauna Acompañante'!BD215</f>
        <v>0</v>
      </c>
      <c r="V43" s="1835">
        <f>+'Fauna Acompañante'!BE215</f>
        <v>0</v>
      </c>
      <c r="W43" s="1835">
        <f>+'Fauna Acompañante'!BF215</f>
        <v>0</v>
      </c>
      <c r="X43" s="1835">
        <f>+'Fauna Acompañante'!BG215</f>
        <v>0</v>
      </c>
      <c r="Y43" s="1835">
        <f>+'Fauna Acompañante'!BH215</f>
        <v>0</v>
      </c>
      <c r="Z43" s="1835">
        <f>+'Fauna Acompañante'!BI215</f>
        <v>0</v>
      </c>
      <c r="AA43" s="1835">
        <f>+'Fauna Acompañante'!BJ215</f>
        <v>0</v>
      </c>
      <c r="AB43" s="1835">
        <f>+'Fauna Acompañante'!BK215</f>
        <v>0</v>
      </c>
      <c r="AC43" s="1835">
        <f>+'Fauna Acompañante'!BL215</f>
        <v>0</v>
      </c>
      <c r="AD43" s="1835">
        <f>+'Fauna Acompañante'!BM215</f>
        <v>0</v>
      </c>
      <c r="AE43" s="1835">
        <f>+'Fauna Acompañante'!BN215</f>
        <v>0</v>
      </c>
      <c r="AF43" s="1835">
        <f>+'Fauna Acompañante'!BO215</f>
        <v>0</v>
      </c>
      <c r="AG43" s="1835">
        <f>+'Fauna Acompañante'!BP215</f>
        <v>0</v>
      </c>
      <c r="AH43" s="1834">
        <f t="shared" si="7"/>
        <v>0</v>
      </c>
    </row>
    <row r="44" spans="1:34" ht="15">
      <c r="A44" s="1524" t="s">
        <v>76</v>
      </c>
      <c r="B44" s="1527">
        <f t="shared" si="6"/>
        <v>0</v>
      </c>
      <c r="C44" s="1835">
        <f>+'Fauna Acompañante'!AL216</f>
        <v>0</v>
      </c>
      <c r="D44" s="1835">
        <f>+'Fauna Acompañante'!AM216</f>
        <v>0</v>
      </c>
      <c r="E44" s="1835">
        <f>+'Fauna Acompañante'!AN216</f>
        <v>0</v>
      </c>
      <c r="F44" s="1835">
        <f>+'Fauna Acompañante'!AO216</f>
        <v>0</v>
      </c>
      <c r="G44" s="1835">
        <f>+'Fauna Acompañante'!AP216</f>
        <v>0</v>
      </c>
      <c r="H44" s="1835">
        <f>+'Fauna Acompañante'!AQ216</f>
        <v>0</v>
      </c>
      <c r="I44" s="1835">
        <f>+'Fauna Acompañante'!AR216</f>
        <v>0</v>
      </c>
      <c r="J44" s="1835">
        <f>+'Fauna Acompañante'!AS216</f>
        <v>0</v>
      </c>
      <c r="K44" s="1835">
        <f>+'Fauna Acompañante'!AT216</f>
        <v>0</v>
      </c>
      <c r="L44" s="1835">
        <f>+'Fauna Acompañante'!AU216</f>
        <v>0</v>
      </c>
      <c r="M44" s="1835">
        <f>+'Fauna Acompañante'!AV216</f>
        <v>0</v>
      </c>
      <c r="N44" s="1835">
        <f>+'Fauna Acompañante'!AW216</f>
        <v>0</v>
      </c>
      <c r="O44" s="1835">
        <f>+'Fauna Acompañante'!AX216</f>
        <v>0</v>
      </c>
      <c r="P44" s="1835">
        <f>+'Fauna Acompañante'!AY216</f>
        <v>0</v>
      </c>
      <c r="Q44" s="1835">
        <f>+'Fauna Acompañante'!AZ216</f>
        <v>0</v>
      </c>
      <c r="R44" s="1835">
        <f>+'Fauna Acompañante'!BA216</f>
        <v>0</v>
      </c>
      <c r="S44" s="1835">
        <f>+'Fauna Acompañante'!BB216</f>
        <v>0</v>
      </c>
      <c r="T44" s="1835">
        <f>+'Fauna Acompañante'!BC216</f>
        <v>0</v>
      </c>
      <c r="U44" s="1835">
        <f>+'Fauna Acompañante'!BD216</f>
        <v>0</v>
      </c>
      <c r="V44" s="1835">
        <f>+'Fauna Acompañante'!BE216</f>
        <v>0</v>
      </c>
      <c r="W44" s="1835">
        <f>+'Fauna Acompañante'!BF216</f>
        <v>0</v>
      </c>
      <c r="X44" s="1835">
        <f>+'Fauna Acompañante'!BG216</f>
        <v>0</v>
      </c>
      <c r="Y44" s="1835">
        <f>+'Fauna Acompañante'!BH216</f>
        <v>0</v>
      </c>
      <c r="Z44" s="1835">
        <f>+'Fauna Acompañante'!BI216</f>
        <v>0</v>
      </c>
      <c r="AA44" s="1835">
        <f>+'Fauna Acompañante'!BJ216</f>
        <v>0</v>
      </c>
      <c r="AB44" s="1835">
        <f>+'Fauna Acompañante'!BK216</f>
        <v>0</v>
      </c>
      <c r="AC44" s="1835">
        <f>+'Fauna Acompañante'!BL216</f>
        <v>0</v>
      </c>
      <c r="AD44" s="1835">
        <f>+'Fauna Acompañante'!BM216</f>
        <v>0</v>
      </c>
      <c r="AE44" s="1835">
        <f>+'Fauna Acompañante'!BN216</f>
        <v>0</v>
      </c>
      <c r="AF44" s="1835">
        <f>+'Fauna Acompañante'!BO216</f>
        <v>0</v>
      </c>
      <c r="AG44" s="1835">
        <f>+'Fauna Acompañante'!BP216</f>
        <v>0</v>
      </c>
      <c r="AH44" s="1834">
        <f t="shared" si="7"/>
        <v>0</v>
      </c>
    </row>
    <row r="45" spans="1:34" ht="15">
      <c r="A45" s="1524" t="s">
        <v>77</v>
      </c>
      <c r="B45" s="1527">
        <f t="shared" si="6"/>
        <v>0</v>
      </c>
      <c r="C45" s="1835">
        <f>+'Fauna Acompañante'!AL217</f>
        <v>0</v>
      </c>
      <c r="D45" s="1835">
        <f>+'Fauna Acompañante'!AM217</f>
        <v>0</v>
      </c>
      <c r="E45" s="1835">
        <f>+'Fauna Acompañante'!AN217</f>
        <v>0</v>
      </c>
      <c r="F45" s="1835">
        <f>+'Fauna Acompañante'!AO217</f>
        <v>0</v>
      </c>
      <c r="G45" s="1835">
        <f>+'Fauna Acompañante'!AP217</f>
        <v>0</v>
      </c>
      <c r="H45" s="1835">
        <f>+'Fauna Acompañante'!AQ217</f>
        <v>0</v>
      </c>
      <c r="I45" s="1835">
        <f>+'Fauna Acompañante'!AR217</f>
        <v>0</v>
      </c>
      <c r="J45" s="1835">
        <f>+'Fauna Acompañante'!AS217</f>
        <v>0</v>
      </c>
      <c r="K45" s="1835">
        <f>+'Fauna Acompañante'!AT217</f>
        <v>0</v>
      </c>
      <c r="L45" s="1835">
        <f>+'Fauna Acompañante'!AU217</f>
        <v>0</v>
      </c>
      <c r="M45" s="1835">
        <f>+'Fauna Acompañante'!AV217</f>
        <v>0</v>
      </c>
      <c r="N45" s="1835">
        <f>+'Fauna Acompañante'!AW217</f>
        <v>0</v>
      </c>
      <c r="O45" s="1835">
        <f>+'Fauna Acompañante'!AX217</f>
        <v>0</v>
      </c>
      <c r="P45" s="1835">
        <f>+'Fauna Acompañante'!AY217</f>
        <v>0</v>
      </c>
      <c r="Q45" s="1835">
        <f>+'Fauna Acompañante'!AZ217</f>
        <v>0</v>
      </c>
      <c r="R45" s="1835">
        <f>+'Fauna Acompañante'!BA217</f>
        <v>0</v>
      </c>
      <c r="S45" s="1835">
        <f>+'Fauna Acompañante'!BB217</f>
        <v>0</v>
      </c>
      <c r="T45" s="1835">
        <f>+'Fauna Acompañante'!BC217</f>
        <v>0</v>
      </c>
      <c r="U45" s="1835">
        <f>+'Fauna Acompañante'!BD217</f>
        <v>0</v>
      </c>
      <c r="V45" s="1835">
        <f>+'Fauna Acompañante'!BE217</f>
        <v>0</v>
      </c>
      <c r="W45" s="1835">
        <f>+'Fauna Acompañante'!BF217</f>
        <v>0</v>
      </c>
      <c r="X45" s="1835">
        <f>+'Fauna Acompañante'!BG217</f>
        <v>0</v>
      </c>
      <c r="Y45" s="1835">
        <f>+'Fauna Acompañante'!BH217</f>
        <v>0</v>
      </c>
      <c r="Z45" s="1835">
        <f>+'Fauna Acompañante'!BI217</f>
        <v>0</v>
      </c>
      <c r="AA45" s="1835">
        <f>+'Fauna Acompañante'!BJ217</f>
        <v>0</v>
      </c>
      <c r="AB45" s="1835">
        <f>+'Fauna Acompañante'!BK217</f>
        <v>0</v>
      </c>
      <c r="AC45" s="1835">
        <f>+'Fauna Acompañante'!BL217</f>
        <v>0</v>
      </c>
      <c r="AD45" s="1835">
        <f>+'Fauna Acompañante'!BM217</f>
        <v>0</v>
      </c>
      <c r="AE45" s="1835">
        <f>+'Fauna Acompañante'!BN217</f>
        <v>0</v>
      </c>
      <c r="AF45" s="1835">
        <f>+'Fauna Acompañante'!BO217</f>
        <v>0</v>
      </c>
      <c r="AG45" s="1835">
        <f>+'Fauna Acompañante'!BP217</f>
        <v>0</v>
      </c>
      <c r="AH45" s="1834">
        <f t="shared" si="7"/>
        <v>0</v>
      </c>
    </row>
    <row r="46" spans="1:34" ht="15">
      <c r="A46" s="1524" t="s">
        <v>78</v>
      </c>
      <c r="B46" s="1527">
        <f t="shared" si="6"/>
        <v>0</v>
      </c>
      <c r="C46" s="1835">
        <f>+'Fauna Acompañante'!AL218</f>
        <v>0</v>
      </c>
      <c r="D46" s="1835">
        <f>+'Fauna Acompañante'!AM218</f>
        <v>0</v>
      </c>
      <c r="E46" s="1835">
        <f>+'Fauna Acompañante'!AN218</f>
        <v>0</v>
      </c>
      <c r="F46" s="1835">
        <f>+'Fauna Acompañante'!AO218</f>
        <v>0</v>
      </c>
      <c r="G46" s="1835">
        <f>+'Fauna Acompañante'!AP218</f>
        <v>0</v>
      </c>
      <c r="H46" s="1835">
        <f>+'Fauna Acompañante'!AQ218</f>
        <v>0</v>
      </c>
      <c r="I46" s="1835">
        <f>+'Fauna Acompañante'!AR218</f>
        <v>0</v>
      </c>
      <c r="J46" s="1835">
        <f>+'Fauna Acompañante'!AS218</f>
        <v>0</v>
      </c>
      <c r="K46" s="1835">
        <f>+'Fauna Acompañante'!AT218</f>
        <v>0</v>
      </c>
      <c r="L46" s="1835">
        <f>+'Fauna Acompañante'!AU218</f>
        <v>0</v>
      </c>
      <c r="M46" s="1835">
        <f>+'Fauna Acompañante'!AV218</f>
        <v>0</v>
      </c>
      <c r="N46" s="1835">
        <f>+'Fauna Acompañante'!AW218</f>
        <v>0</v>
      </c>
      <c r="O46" s="1835">
        <f>+'Fauna Acompañante'!AX218</f>
        <v>0</v>
      </c>
      <c r="P46" s="1835">
        <f>+'Fauna Acompañante'!AY218</f>
        <v>0</v>
      </c>
      <c r="Q46" s="1835">
        <f>+'Fauna Acompañante'!AZ218</f>
        <v>0</v>
      </c>
      <c r="R46" s="1835">
        <f>+'Fauna Acompañante'!BA218</f>
        <v>0</v>
      </c>
      <c r="S46" s="1835">
        <f>+'Fauna Acompañante'!BB218</f>
        <v>0</v>
      </c>
      <c r="T46" s="1835">
        <f>+'Fauna Acompañante'!BC218</f>
        <v>0</v>
      </c>
      <c r="U46" s="1835">
        <f>+'Fauna Acompañante'!BD218</f>
        <v>0</v>
      </c>
      <c r="V46" s="1835">
        <f>+'Fauna Acompañante'!BE218</f>
        <v>0</v>
      </c>
      <c r="W46" s="1835">
        <f>+'Fauna Acompañante'!BF218</f>
        <v>0</v>
      </c>
      <c r="X46" s="1835">
        <f>+'Fauna Acompañante'!BG218</f>
        <v>0</v>
      </c>
      <c r="Y46" s="1835">
        <f>+'Fauna Acompañante'!BH218</f>
        <v>0</v>
      </c>
      <c r="Z46" s="1835">
        <f>+'Fauna Acompañante'!BI218</f>
        <v>0</v>
      </c>
      <c r="AA46" s="1835">
        <f>+'Fauna Acompañante'!BJ218</f>
        <v>0</v>
      </c>
      <c r="AB46" s="1835">
        <f>+'Fauna Acompañante'!BK218</f>
        <v>0</v>
      </c>
      <c r="AC46" s="1835">
        <f>+'Fauna Acompañante'!BL218</f>
        <v>0</v>
      </c>
      <c r="AD46" s="1835">
        <f>+'Fauna Acompañante'!BM218</f>
        <v>0</v>
      </c>
      <c r="AE46" s="1835">
        <f>+'Fauna Acompañante'!BN218</f>
        <v>0</v>
      </c>
      <c r="AF46" s="1835">
        <f>+'Fauna Acompañante'!BO218</f>
        <v>0</v>
      </c>
      <c r="AG46" s="1835">
        <f>+'Fauna Acompañante'!BP218</f>
        <v>0</v>
      </c>
      <c r="AH46" s="1834">
        <f t="shared" si="7"/>
        <v>0</v>
      </c>
    </row>
    <row r="47" spans="1:34" ht="15">
      <c r="A47" s="1524" t="s">
        <v>79</v>
      </c>
      <c r="B47" s="1527">
        <f t="shared" si="6"/>
        <v>0</v>
      </c>
      <c r="C47" s="1835">
        <f>+'Fauna Acompañante'!AL219</f>
        <v>0</v>
      </c>
      <c r="D47" s="1835">
        <f>+'Fauna Acompañante'!AM219</f>
        <v>0</v>
      </c>
      <c r="E47" s="1835">
        <f>+'Fauna Acompañante'!AN219</f>
        <v>0</v>
      </c>
      <c r="F47" s="1835">
        <f>+'Fauna Acompañante'!AO219</f>
        <v>0</v>
      </c>
      <c r="G47" s="1835">
        <f>+'Fauna Acompañante'!AP219</f>
        <v>0</v>
      </c>
      <c r="H47" s="1835">
        <f>+'Fauna Acompañante'!AQ219</f>
        <v>0</v>
      </c>
      <c r="I47" s="1835">
        <f>+'Fauna Acompañante'!AR219</f>
        <v>0</v>
      </c>
      <c r="J47" s="1835">
        <f>+'Fauna Acompañante'!AS219</f>
        <v>0</v>
      </c>
      <c r="K47" s="1835">
        <f>+'Fauna Acompañante'!AT219</f>
        <v>0</v>
      </c>
      <c r="L47" s="1835">
        <f>+'Fauna Acompañante'!AU219</f>
        <v>0</v>
      </c>
      <c r="M47" s="1835">
        <f>+'Fauna Acompañante'!AV219</f>
        <v>0</v>
      </c>
      <c r="N47" s="1835">
        <f>+'Fauna Acompañante'!AW219</f>
        <v>0</v>
      </c>
      <c r="O47" s="1835">
        <f>+'Fauna Acompañante'!AX219</f>
        <v>0</v>
      </c>
      <c r="P47" s="1835">
        <f>+'Fauna Acompañante'!AY219</f>
        <v>0</v>
      </c>
      <c r="Q47" s="1835">
        <f>+'Fauna Acompañante'!AZ219</f>
        <v>0</v>
      </c>
      <c r="R47" s="1835">
        <f>+'Fauna Acompañante'!BA219</f>
        <v>0</v>
      </c>
      <c r="S47" s="1835">
        <f>+'Fauna Acompañante'!BB219</f>
        <v>0</v>
      </c>
      <c r="T47" s="1835">
        <f>+'Fauna Acompañante'!BC219</f>
        <v>0</v>
      </c>
      <c r="U47" s="1835">
        <f>+'Fauna Acompañante'!BD219</f>
        <v>0</v>
      </c>
      <c r="V47" s="1835">
        <f>+'Fauna Acompañante'!BE219</f>
        <v>0</v>
      </c>
      <c r="W47" s="1835">
        <f>+'Fauna Acompañante'!BF219</f>
        <v>0</v>
      </c>
      <c r="X47" s="1835">
        <f>+'Fauna Acompañante'!BG219</f>
        <v>0</v>
      </c>
      <c r="Y47" s="1835">
        <f>+'Fauna Acompañante'!BH219</f>
        <v>0</v>
      </c>
      <c r="Z47" s="1835">
        <f>+'Fauna Acompañante'!BI219</f>
        <v>0</v>
      </c>
      <c r="AA47" s="1835">
        <f>+'Fauna Acompañante'!BJ219</f>
        <v>0</v>
      </c>
      <c r="AB47" s="1835">
        <f>+'Fauna Acompañante'!BK219</f>
        <v>0</v>
      </c>
      <c r="AC47" s="1835">
        <f>+'Fauna Acompañante'!BL219</f>
        <v>0</v>
      </c>
      <c r="AD47" s="1835">
        <f>+'Fauna Acompañante'!BM219</f>
        <v>0</v>
      </c>
      <c r="AE47" s="1835">
        <f>+'Fauna Acompañante'!BN219</f>
        <v>0</v>
      </c>
      <c r="AF47" s="1835">
        <f>+'Fauna Acompañante'!BO219</f>
        <v>0</v>
      </c>
      <c r="AG47" s="1835">
        <f>+'Fauna Acompañante'!BP219</f>
        <v>0</v>
      </c>
      <c r="AH47" s="1834">
        <f t="shared" si="7"/>
        <v>0</v>
      </c>
    </row>
    <row r="48" spans="1:34" ht="15">
      <c r="A48" s="1524" t="s">
        <v>80</v>
      </c>
      <c r="B48" s="1527">
        <f t="shared" si="6"/>
        <v>0</v>
      </c>
      <c r="C48" s="1835">
        <f>+'Fauna Acompañante'!AL220</f>
        <v>0</v>
      </c>
      <c r="D48" s="1835">
        <f>+'Fauna Acompañante'!AM220</f>
        <v>0</v>
      </c>
      <c r="E48" s="1835">
        <f>+'Fauna Acompañante'!AN220</f>
        <v>0</v>
      </c>
      <c r="F48" s="1835">
        <f>+'Fauna Acompañante'!AO220</f>
        <v>0</v>
      </c>
      <c r="G48" s="1835">
        <f>+'Fauna Acompañante'!AP220</f>
        <v>0</v>
      </c>
      <c r="H48" s="1835">
        <f>+'Fauna Acompañante'!AQ220</f>
        <v>0</v>
      </c>
      <c r="I48" s="1835">
        <f>+'Fauna Acompañante'!AR220</f>
        <v>0</v>
      </c>
      <c r="J48" s="1835">
        <f>+'Fauna Acompañante'!AS220</f>
        <v>0</v>
      </c>
      <c r="K48" s="1835">
        <f>+'Fauna Acompañante'!AT220</f>
        <v>0</v>
      </c>
      <c r="L48" s="1835">
        <f>+'Fauna Acompañante'!AU220</f>
        <v>0</v>
      </c>
      <c r="M48" s="1835">
        <f>+'Fauna Acompañante'!AV220</f>
        <v>0</v>
      </c>
      <c r="N48" s="1835">
        <f>+'Fauna Acompañante'!AW220</f>
        <v>0</v>
      </c>
      <c r="O48" s="1835">
        <f>+'Fauna Acompañante'!AX220</f>
        <v>0</v>
      </c>
      <c r="P48" s="1835">
        <f>+'Fauna Acompañante'!AY220</f>
        <v>0</v>
      </c>
      <c r="Q48" s="1835">
        <f>+'Fauna Acompañante'!AZ220</f>
        <v>0</v>
      </c>
      <c r="R48" s="1835">
        <f>+'Fauna Acompañante'!BA220</f>
        <v>0</v>
      </c>
      <c r="S48" s="1835">
        <f>+'Fauna Acompañante'!BB220</f>
        <v>0</v>
      </c>
      <c r="T48" s="1835">
        <f>+'Fauna Acompañante'!BC220</f>
        <v>0</v>
      </c>
      <c r="U48" s="1835">
        <f>+'Fauna Acompañante'!BD220</f>
        <v>0</v>
      </c>
      <c r="V48" s="1835">
        <f>+'Fauna Acompañante'!BE220</f>
        <v>0</v>
      </c>
      <c r="W48" s="1835">
        <f>+'Fauna Acompañante'!BF220</f>
        <v>0</v>
      </c>
      <c r="X48" s="1835">
        <f>+'Fauna Acompañante'!BG220</f>
        <v>0</v>
      </c>
      <c r="Y48" s="1835">
        <f>+'Fauna Acompañante'!BH220</f>
        <v>0</v>
      </c>
      <c r="Z48" s="1835">
        <f>+'Fauna Acompañante'!BI220</f>
        <v>0</v>
      </c>
      <c r="AA48" s="1835">
        <f>+'Fauna Acompañante'!BJ220</f>
        <v>0</v>
      </c>
      <c r="AB48" s="1835">
        <f>+'Fauna Acompañante'!BK220</f>
        <v>0</v>
      </c>
      <c r="AC48" s="1835">
        <f>+'Fauna Acompañante'!BL220</f>
        <v>0</v>
      </c>
      <c r="AD48" s="1835">
        <f>+'Fauna Acompañante'!BM220</f>
        <v>0</v>
      </c>
      <c r="AE48" s="1835">
        <f>+'Fauna Acompañante'!BN220</f>
        <v>0</v>
      </c>
      <c r="AF48" s="1835">
        <f>+'Fauna Acompañante'!BO220</f>
        <v>0</v>
      </c>
      <c r="AG48" s="1835">
        <f>+'Fauna Acompañante'!BP220</f>
        <v>0</v>
      </c>
      <c r="AH48" s="1834">
        <f t="shared" si="7"/>
        <v>0</v>
      </c>
    </row>
    <row r="49" spans="1:34" ht="15">
      <c r="A49" s="1524" t="s">
        <v>81</v>
      </c>
      <c r="B49" s="1527">
        <f t="shared" si="6"/>
        <v>0</v>
      </c>
      <c r="C49" s="1835">
        <f>+'Fauna Acompañante'!AL221</f>
        <v>0</v>
      </c>
      <c r="D49" s="1835">
        <f>+'Fauna Acompañante'!AM221</f>
        <v>0</v>
      </c>
      <c r="E49" s="1835">
        <f>+'Fauna Acompañante'!AN221</f>
        <v>0</v>
      </c>
      <c r="F49" s="1835">
        <f>+'Fauna Acompañante'!AO221</f>
        <v>0</v>
      </c>
      <c r="G49" s="1835">
        <f>+'Fauna Acompañante'!AP221</f>
        <v>0</v>
      </c>
      <c r="H49" s="1835">
        <f>+'Fauna Acompañante'!AQ221</f>
        <v>0</v>
      </c>
      <c r="I49" s="1835">
        <f>+'Fauna Acompañante'!AR221</f>
        <v>0</v>
      </c>
      <c r="J49" s="1835">
        <f>+'Fauna Acompañante'!AS221</f>
        <v>0</v>
      </c>
      <c r="K49" s="1835">
        <f>+'Fauna Acompañante'!AT221</f>
        <v>0</v>
      </c>
      <c r="L49" s="1835">
        <f>+'Fauna Acompañante'!AU221</f>
        <v>0</v>
      </c>
      <c r="M49" s="1835">
        <f>+'Fauna Acompañante'!AV221</f>
        <v>0</v>
      </c>
      <c r="N49" s="1835">
        <f>+'Fauna Acompañante'!AW221</f>
        <v>0</v>
      </c>
      <c r="O49" s="1835">
        <f>+'Fauna Acompañante'!AX221</f>
        <v>0</v>
      </c>
      <c r="P49" s="1835">
        <f>+'Fauna Acompañante'!AY221</f>
        <v>0</v>
      </c>
      <c r="Q49" s="1835">
        <f>+'Fauna Acompañante'!AZ221</f>
        <v>0</v>
      </c>
      <c r="R49" s="1835">
        <f>+'Fauna Acompañante'!BA221</f>
        <v>0</v>
      </c>
      <c r="S49" s="1835">
        <f>+'Fauna Acompañante'!BB221</f>
        <v>0</v>
      </c>
      <c r="T49" s="1835">
        <f>+'Fauna Acompañante'!BC221</f>
        <v>0</v>
      </c>
      <c r="U49" s="1835">
        <f>+'Fauna Acompañante'!BD221</f>
        <v>0</v>
      </c>
      <c r="V49" s="1835">
        <f>+'Fauna Acompañante'!BE221</f>
        <v>0</v>
      </c>
      <c r="W49" s="1835">
        <f>+'Fauna Acompañante'!BF221</f>
        <v>0</v>
      </c>
      <c r="X49" s="1835">
        <f>+'Fauna Acompañante'!BG221</f>
        <v>0</v>
      </c>
      <c r="Y49" s="1835">
        <f>+'Fauna Acompañante'!BH221</f>
        <v>0</v>
      </c>
      <c r="Z49" s="1835">
        <f>+'Fauna Acompañante'!BI221</f>
        <v>0</v>
      </c>
      <c r="AA49" s="1835">
        <f>+'Fauna Acompañante'!BJ221</f>
        <v>0</v>
      </c>
      <c r="AB49" s="1835">
        <f>+'Fauna Acompañante'!BK221</f>
        <v>0</v>
      </c>
      <c r="AC49" s="1835">
        <f>+'Fauna Acompañante'!BL221</f>
        <v>0</v>
      </c>
      <c r="AD49" s="1835">
        <f>+'Fauna Acompañante'!BM221</f>
        <v>0</v>
      </c>
      <c r="AE49" s="1835">
        <f>+'Fauna Acompañante'!BN221</f>
        <v>0</v>
      </c>
      <c r="AF49" s="1835">
        <f>+'Fauna Acompañante'!BO221</f>
        <v>0</v>
      </c>
      <c r="AG49" s="1835">
        <f>+'Fauna Acompañante'!BP221</f>
        <v>0</v>
      </c>
      <c r="AH49" s="1834">
        <f t="shared" si="7"/>
        <v>0</v>
      </c>
    </row>
    <row r="50" spans="1:34" ht="15">
      <c r="A50" s="1524" t="s">
        <v>82</v>
      </c>
      <c r="B50" s="1527">
        <f t="shared" si="6"/>
        <v>0</v>
      </c>
      <c r="C50" s="1835">
        <f>+'Fauna Acompañante'!AL222</f>
        <v>0</v>
      </c>
      <c r="D50" s="1835">
        <f>+'Fauna Acompañante'!AM222</f>
        <v>0</v>
      </c>
      <c r="E50" s="1835">
        <f>+'Fauna Acompañante'!AN222</f>
        <v>0</v>
      </c>
      <c r="F50" s="1835">
        <f>+'Fauna Acompañante'!AO222</f>
        <v>0</v>
      </c>
      <c r="G50" s="1835">
        <f>+'Fauna Acompañante'!AP222</f>
        <v>0</v>
      </c>
      <c r="H50" s="1835">
        <f>+'Fauna Acompañante'!AQ222</f>
        <v>0</v>
      </c>
      <c r="I50" s="1835">
        <f>+'Fauna Acompañante'!AR222</f>
        <v>0</v>
      </c>
      <c r="J50" s="1835">
        <f>+'Fauna Acompañante'!AS222</f>
        <v>0</v>
      </c>
      <c r="K50" s="1835">
        <f>+'Fauna Acompañante'!AT222</f>
        <v>0</v>
      </c>
      <c r="L50" s="1835">
        <f>+'Fauna Acompañante'!AU222</f>
        <v>0</v>
      </c>
      <c r="M50" s="1835">
        <f>+'Fauna Acompañante'!AV222</f>
        <v>0</v>
      </c>
      <c r="N50" s="1835">
        <f>+'Fauna Acompañante'!AW222</f>
        <v>0</v>
      </c>
      <c r="O50" s="1835">
        <f>+'Fauna Acompañante'!AX222</f>
        <v>0</v>
      </c>
      <c r="P50" s="1835">
        <f>+'Fauna Acompañante'!AY222</f>
        <v>0</v>
      </c>
      <c r="Q50" s="1835">
        <f>+'Fauna Acompañante'!AZ222</f>
        <v>0</v>
      </c>
      <c r="R50" s="1835">
        <f>+'Fauna Acompañante'!BA222</f>
        <v>0</v>
      </c>
      <c r="S50" s="1835">
        <f>+'Fauna Acompañante'!BB222</f>
        <v>0</v>
      </c>
      <c r="T50" s="1835">
        <f>+'Fauna Acompañante'!BC222</f>
        <v>0</v>
      </c>
      <c r="U50" s="1835">
        <f>+'Fauna Acompañante'!BD222</f>
        <v>0</v>
      </c>
      <c r="V50" s="1835">
        <f>+'Fauna Acompañante'!BE222</f>
        <v>0</v>
      </c>
      <c r="W50" s="1835">
        <f>+'Fauna Acompañante'!BF222</f>
        <v>0</v>
      </c>
      <c r="X50" s="1835">
        <f>+'Fauna Acompañante'!BG222</f>
        <v>0</v>
      </c>
      <c r="Y50" s="1835">
        <f>+'Fauna Acompañante'!BH222</f>
        <v>0</v>
      </c>
      <c r="Z50" s="1835">
        <f>+'Fauna Acompañante'!BI222</f>
        <v>0</v>
      </c>
      <c r="AA50" s="1835">
        <f>+'Fauna Acompañante'!BJ222</f>
        <v>0</v>
      </c>
      <c r="AB50" s="1835">
        <f>+'Fauna Acompañante'!BK222</f>
        <v>0</v>
      </c>
      <c r="AC50" s="1835">
        <f>+'Fauna Acompañante'!BL222</f>
        <v>0</v>
      </c>
      <c r="AD50" s="1835">
        <f>+'Fauna Acompañante'!BM222</f>
        <v>0</v>
      </c>
      <c r="AE50" s="1835">
        <f>+'Fauna Acompañante'!BN222</f>
        <v>0</v>
      </c>
      <c r="AF50" s="1835">
        <f>+'Fauna Acompañante'!BO222</f>
        <v>0</v>
      </c>
      <c r="AG50" s="1835">
        <f>+'Fauna Acompañante'!BP222</f>
        <v>0</v>
      </c>
      <c r="AH50" s="1834">
        <f t="shared" si="7"/>
        <v>0</v>
      </c>
    </row>
    <row r="51" spans="1:34" ht="15">
      <c r="A51" s="1524" t="s">
        <v>83</v>
      </c>
      <c r="B51" s="1527">
        <f t="shared" si="6"/>
        <v>0</v>
      </c>
      <c r="C51" s="1835">
        <f>+'Fauna Acompañante'!AL223</f>
        <v>0</v>
      </c>
      <c r="D51" s="1835">
        <f>+'Fauna Acompañante'!AM223</f>
        <v>0</v>
      </c>
      <c r="E51" s="1835">
        <f>+'Fauna Acompañante'!AN223</f>
        <v>0</v>
      </c>
      <c r="F51" s="1835">
        <f>+'Fauna Acompañante'!AO223</f>
        <v>0</v>
      </c>
      <c r="G51" s="1835">
        <f>+'Fauna Acompañante'!AP223</f>
        <v>0</v>
      </c>
      <c r="H51" s="1835">
        <f>+'Fauna Acompañante'!AQ223</f>
        <v>0</v>
      </c>
      <c r="I51" s="1835">
        <f>+'Fauna Acompañante'!AR223</f>
        <v>0</v>
      </c>
      <c r="J51" s="1835">
        <f>+'Fauna Acompañante'!AS223</f>
        <v>0</v>
      </c>
      <c r="K51" s="1835">
        <f>+'Fauna Acompañante'!AT223</f>
        <v>0</v>
      </c>
      <c r="L51" s="1835">
        <f>+'Fauna Acompañante'!AU223</f>
        <v>0</v>
      </c>
      <c r="M51" s="1835">
        <f>+'Fauna Acompañante'!AV223</f>
        <v>0</v>
      </c>
      <c r="N51" s="1835">
        <f>+'Fauna Acompañante'!AW223</f>
        <v>0</v>
      </c>
      <c r="O51" s="1835">
        <f>+'Fauna Acompañante'!AX223</f>
        <v>0</v>
      </c>
      <c r="P51" s="1835">
        <f>+'Fauna Acompañante'!AY223</f>
        <v>0</v>
      </c>
      <c r="Q51" s="1835">
        <f>+'Fauna Acompañante'!AZ223</f>
        <v>0</v>
      </c>
      <c r="R51" s="1835">
        <f>+'Fauna Acompañante'!BA223</f>
        <v>0</v>
      </c>
      <c r="S51" s="1835">
        <f>+'Fauna Acompañante'!BB223</f>
        <v>0</v>
      </c>
      <c r="T51" s="1835">
        <f>+'Fauna Acompañante'!BC223</f>
        <v>0</v>
      </c>
      <c r="U51" s="1835">
        <f>+'Fauna Acompañante'!BD223</f>
        <v>0</v>
      </c>
      <c r="V51" s="1835">
        <f>+'Fauna Acompañante'!BE223</f>
        <v>0</v>
      </c>
      <c r="W51" s="1835">
        <f>+'Fauna Acompañante'!BF223</f>
        <v>0</v>
      </c>
      <c r="X51" s="1835">
        <f>+'Fauna Acompañante'!BG223</f>
        <v>0</v>
      </c>
      <c r="Y51" s="1835">
        <f>+'Fauna Acompañante'!BH223</f>
        <v>0</v>
      </c>
      <c r="Z51" s="1835">
        <f>+'Fauna Acompañante'!BI223</f>
        <v>0</v>
      </c>
      <c r="AA51" s="1835">
        <f>+'Fauna Acompañante'!BJ223</f>
        <v>0</v>
      </c>
      <c r="AB51" s="1835">
        <f>+'Fauna Acompañante'!BK223</f>
        <v>0</v>
      </c>
      <c r="AC51" s="1835">
        <f>+'Fauna Acompañante'!BL223</f>
        <v>0</v>
      </c>
      <c r="AD51" s="1835">
        <f>+'Fauna Acompañante'!BM223</f>
        <v>0</v>
      </c>
      <c r="AE51" s="1835">
        <f>+'Fauna Acompañante'!BN223</f>
        <v>0</v>
      </c>
      <c r="AF51" s="1835">
        <f>+'Fauna Acompañante'!BO223</f>
        <v>0</v>
      </c>
      <c r="AG51" s="1835">
        <f>+'Fauna Acompañante'!BP223</f>
        <v>0</v>
      </c>
      <c r="AH51" s="1834">
        <f t="shared" si="7"/>
        <v>0</v>
      </c>
    </row>
    <row r="52" spans="1:34" ht="15">
      <c r="A52" s="1524" t="s">
        <v>84</v>
      </c>
      <c r="B52" s="1527">
        <f t="shared" si="6"/>
        <v>0</v>
      </c>
      <c r="C52" s="1835">
        <f>+'Fauna Acompañante'!AL224</f>
        <v>0</v>
      </c>
      <c r="D52" s="1835">
        <f>+'Fauna Acompañante'!AM224</f>
        <v>0</v>
      </c>
      <c r="E52" s="1835">
        <f>+'Fauna Acompañante'!AN224</f>
        <v>0</v>
      </c>
      <c r="F52" s="1835">
        <f>+'Fauna Acompañante'!AO224</f>
        <v>0</v>
      </c>
      <c r="G52" s="1835">
        <f>+'Fauna Acompañante'!AP224</f>
        <v>0</v>
      </c>
      <c r="H52" s="1835">
        <f>+'Fauna Acompañante'!AQ224</f>
        <v>0</v>
      </c>
      <c r="I52" s="1835">
        <f>+'Fauna Acompañante'!AR224</f>
        <v>0</v>
      </c>
      <c r="J52" s="1835">
        <f>+'Fauna Acompañante'!AS224</f>
        <v>0</v>
      </c>
      <c r="K52" s="1835">
        <f>+'Fauna Acompañante'!AT224</f>
        <v>0</v>
      </c>
      <c r="L52" s="1835">
        <f>+'Fauna Acompañante'!AU224</f>
        <v>0</v>
      </c>
      <c r="M52" s="1835">
        <f>+'Fauna Acompañante'!AV224</f>
        <v>0</v>
      </c>
      <c r="N52" s="1835">
        <f>+'Fauna Acompañante'!AW224</f>
        <v>0</v>
      </c>
      <c r="O52" s="1835">
        <f>+'Fauna Acompañante'!AX224</f>
        <v>0</v>
      </c>
      <c r="P52" s="1835">
        <f>+'Fauna Acompañante'!AY224</f>
        <v>0</v>
      </c>
      <c r="Q52" s="1835">
        <f>+'Fauna Acompañante'!AZ224</f>
        <v>0</v>
      </c>
      <c r="R52" s="1835">
        <f>+'Fauna Acompañante'!BA224</f>
        <v>0</v>
      </c>
      <c r="S52" s="1835">
        <f>+'Fauna Acompañante'!BB224</f>
        <v>0</v>
      </c>
      <c r="T52" s="1835">
        <f>+'Fauna Acompañante'!BC224</f>
        <v>0</v>
      </c>
      <c r="U52" s="1835">
        <f>+'Fauna Acompañante'!BD224</f>
        <v>0</v>
      </c>
      <c r="V52" s="1835">
        <f>+'Fauna Acompañante'!BE224</f>
        <v>0</v>
      </c>
      <c r="W52" s="1835">
        <f>+'Fauna Acompañante'!BF224</f>
        <v>0</v>
      </c>
      <c r="X52" s="1835">
        <f>+'Fauna Acompañante'!BG224</f>
        <v>0</v>
      </c>
      <c r="Y52" s="1835">
        <f>+'Fauna Acompañante'!BH224</f>
        <v>0</v>
      </c>
      <c r="Z52" s="1835">
        <f>+'Fauna Acompañante'!BI224</f>
        <v>0</v>
      </c>
      <c r="AA52" s="1835">
        <f>+'Fauna Acompañante'!BJ224</f>
        <v>0</v>
      </c>
      <c r="AB52" s="1835">
        <f>+'Fauna Acompañante'!BK224</f>
        <v>0</v>
      </c>
      <c r="AC52" s="1835">
        <f>+'Fauna Acompañante'!BL224</f>
        <v>0</v>
      </c>
      <c r="AD52" s="1835">
        <f>+'Fauna Acompañante'!BM224</f>
        <v>0</v>
      </c>
      <c r="AE52" s="1835">
        <f>+'Fauna Acompañante'!BN224</f>
        <v>0</v>
      </c>
      <c r="AF52" s="1835">
        <f>+'Fauna Acompañante'!BO224</f>
        <v>0</v>
      </c>
      <c r="AG52" s="1835">
        <f>+'Fauna Acompañante'!BP224</f>
        <v>0</v>
      </c>
      <c r="AH52" s="1834">
        <f t="shared" si="7"/>
        <v>0</v>
      </c>
    </row>
    <row r="53" spans="1:34" ht="15">
      <c r="A53" s="1837" t="s">
        <v>72</v>
      </c>
      <c r="B53" s="1836">
        <f t="shared" ref="B53:AH53" si="8">SUM(B41:B52)</f>
        <v>0</v>
      </c>
      <c r="C53" s="1835">
        <f t="shared" si="8"/>
        <v>0</v>
      </c>
      <c r="D53" s="1835">
        <f t="shared" si="8"/>
        <v>0</v>
      </c>
      <c r="E53" s="1835">
        <f t="shared" si="8"/>
        <v>0</v>
      </c>
      <c r="F53" s="1835">
        <f t="shared" si="8"/>
        <v>0</v>
      </c>
      <c r="G53" s="1835">
        <f t="shared" si="8"/>
        <v>0</v>
      </c>
      <c r="H53" s="1835">
        <f t="shared" si="8"/>
        <v>0</v>
      </c>
      <c r="I53" s="1835">
        <f t="shared" si="8"/>
        <v>0</v>
      </c>
      <c r="J53" s="1835">
        <f t="shared" si="8"/>
        <v>0</v>
      </c>
      <c r="K53" s="1835">
        <f t="shared" si="8"/>
        <v>0</v>
      </c>
      <c r="L53" s="1835">
        <f t="shared" si="8"/>
        <v>0</v>
      </c>
      <c r="M53" s="1835">
        <f t="shared" si="8"/>
        <v>0</v>
      </c>
      <c r="N53" s="1835">
        <f t="shared" si="8"/>
        <v>0</v>
      </c>
      <c r="O53" s="1835">
        <f t="shared" si="8"/>
        <v>0</v>
      </c>
      <c r="P53" s="1835">
        <f t="shared" si="8"/>
        <v>0</v>
      </c>
      <c r="Q53" s="1835">
        <f t="shared" si="8"/>
        <v>0</v>
      </c>
      <c r="R53" s="1835">
        <f t="shared" si="8"/>
        <v>0</v>
      </c>
      <c r="S53" s="1835">
        <f t="shared" si="8"/>
        <v>0</v>
      </c>
      <c r="T53" s="1835">
        <f t="shared" si="8"/>
        <v>0</v>
      </c>
      <c r="U53" s="1835">
        <f t="shared" si="8"/>
        <v>0</v>
      </c>
      <c r="V53" s="1835">
        <f t="shared" si="8"/>
        <v>0</v>
      </c>
      <c r="W53" s="1835">
        <f t="shared" si="8"/>
        <v>0</v>
      </c>
      <c r="X53" s="1835">
        <f t="shared" si="8"/>
        <v>0</v>
      </c>
      <c r="Y53" s="1835">
        <f t="shared" si="8"/>
        <v>0</v>
      </c>
      <c r="Z53" s="1835">
        <f t="shared" si="8"/>
        <v>0</v>
      </c>
      <c r="AA53" s="1835">
        <f t="shared" si="8"/>
        <v>0</v>
      </c>
      <c r="AB53" s="1835">
        <f t="shared" si="8"/>
        <v>0</v>
      </c>
      <c r="AC53" s="1835">
        <f t="shared" si="8"/>
        <v>0</v>
      </c>
      <c r="AD53" s="1835">
        <f t="shared" si="8"/>
        <v>0</v>
      </c>
      <c r="AE53" s="1835">
        <f t="shared" si="8"/>
        <v>0</v>
      </c>
      <c r="AF53" s="1835">
        <f t="shared" si="8"/>
        <v>0</v>
      </c>
      <c r="AG53" s="1835">
        <f t="shared" si="8"/>
        <v>0</v>
      </c>
      <c r="AH53" s="1834">
        <f t="shared" si="8"/>
        <v>0</v>
      </c>
    </row>
    <row r="55" spans="1:34" ht="15">
      <c r="A55" s="3821" t="s">
        <v>601</v>
      </c>
      <c r="B55" s="3822"/>
      <c r="C55" s="3823"/>
      <c r="D55" s="1839"/>
      <c r="E55" s="1839"/>
      <c r="F55" s="1839"/>
      <c r="G55" s="1839"/>
      <c r="H55" s="1839"/>
      <c r="I55" s="1839"/>
      <c r="J55" s="1839"/>
      <c r="K55" s="1839"/>
      <c r="L55" s="1839"/>
      <c r="M55" s="1840"/>
      <c r="N55" s="1839"/>
      <c r="O55" s="1839"/>
      <c r="P55" s="1839"/>
      <c r="Q55" s="1839"/>
      <c r="R55" s="1839"/>
      <c r="S55" s="1839"/>
      <c r="T55" s="1839"/>
      <c r="U55" s="1839"/>
      <c r="V55" s="1839"/>
      <c r="W55" s="1839"/>
      <c r="X55" s="1839"/>
      <c r="Y55" s="1839"/>
      <c r="Z55" s="1839"/>
      <c r="AA55" s="1839"/>
      <c r="AB55" s="1839"/>
      <c r="AC55" s="1839"/>
      <c r="AD55" s="1839"/>
      <c r="AE55" s="1839"/>
      <c r="AF55" s="1839"/>
      <c r="AG55" s="1839"/>
      <c r="AH55" s="1839"/>
    </row>
    <row r="56" spans="1:34" ht="15">
      <c r="A56" s="1524" t="s">
        <v>70</v>
      </c>
      <c r="B56" s="1524" t="s">
        <v>71</v>
      </c>
      <c r="C56" s="1524">
        <v>1</v>
      </c>
      <c r="D56" s="1524">
        <v>2</v>
      </c>
      <c r="E56" s="1524">
        <v>3</v>
      </c>
      <c r="F56" s="1524">
        <v>4</v>
      </c>
      <c r="G56" s="1524">
        <v>5</v>
      </c>
      <c r="H56" s="1524">
        <v>6</v>
      </c>
      <c r="I56" s="1524">
        <v>7</v>
      </c>
      <c r="J56" s="1524">
        <v>8</v>
      </c>
      <c r="K56" s="1524">
        <v>9</v>
      </c>
      <c r="L56" s="1524">
        <v>10</v>
      </c>
      <c r="M56" s="1524">
        <v>11</v>
      </c>
      <c r="N56" s="1524">
        <v>12</v>
      </c>
      <c r="O56" s="1524">
        <v>13</v>
      </c>
      <c r="P56" s="1524">
        <v>14</v>
      </c>
      <c r="Q56" s="1524">
        <v>15</v>
      </c>
      <c r="R56" s="1524">
        <v>16</v>
      </c>
      <c r="S56" s="1524">
        <v>17</v>
      </c>
      <c r="T56" s="1524">
        <v>18</v>
      </c>
      <c r="U56" s="1524">
        <v>19</v>
      </c>
      <c r="V56" s="1524">
        <v>20</v>
      </c>
      <c r="W56" s="1524">
        <v>21</v>
      </c>
      <c r="X56" s="1524">
        <v>22</v>
      </c>
      <c r="Y56" s="1524">
        <v>23</v>
      </c>
      <c r="Z56" s="1524">
        <v>24</v>
      </c>
      <c r="AA56" s="1524">
        <v>25</v>
      </c>
      <c r="AB56" s="1524">
        <v>26</v>
      </c>
      <c r="AC56" s="1524">
        <v>27</v>
      </c>
      <c r="AD56" s="1524">
        <v>28</v>
      </c>
      <c r="AE56" s="1524">
        <v>29</v>
      </c>
      <c r="AF56" s="1524">
        <v>30</v>
      </c>
      <c r="AG56" s="1524">
        <v>31</v>
      </c>
      <c r="AH56" s="1838" t="s">
        <v>72</v>
      </c>
    </row>
    <row r="57" spans="1:34" ht="15">
      <c r="A57" s="1524" t="s">
        <v>73</v>
      </c>
      <c r="B57" s="1527">
        <f t="shared" ref="B57:B68" si="9">+AH57</f>
        <v>0</v>
      </c>
      <c r="C57" s="1835">
        <f>+('Fauna Acompañante'!AL229)</f>
        <v>0</v>
      </c>
      <c r="D57" s="1835">
        <f>+('Fauna Acompañante'!AM229)</f>
        <v>0</v>
      </c>
      <c r="E57" s="1835">
        <f>+('Fauna Acompañante'!AN229)</f>
        <v>0</v>
      </c>
      <c r="F57" s="1835">
        <f>+('Fauna Acompañante'!AO229)</f>
        <v>0</v>
      </c>
      <c r="G57" s="1835">
        <f>+('Fauna Acompañante'!AP229)</f>
        <v>0</v>
      </c>
      <c r="H57" s="1835">
        <f>+('Fauna Acompañante'!AQ229)</f>
        <v>0</v>
      </c>
      <c r="I57" s="1835">
        <f>+('Fauna Acompañante'!AR229)</f>
        <v>0</v>
      </c>
      <c r="J57" s="1835">
        <f>+('Fauna Acompañante'!AS229)</f>
        <v>0</v>
      </c>
      <c r="K57" s="1835">
        <f>+('Fauna Acompañante'!AT229)</f>
        <v>0</v>
      </c>
      <c r="L57" s="1835">
        <f>+('Fauna Acompañante'!AU229)</f>
        <v>0</v>
      </c>
      <c r="M57" s="1835">
        <f>+('Fauna Acompañante'!AV229)</f>
        <v>0</v>
      </c>
      <c r="N57" s="1835">
        <f>+('Fauna Acompañante'!AW229)</f>
        <v>0</v>
      </c>
      <c r="O57" s="1835">
        <f>+('Fauna Acompañante'!AX229)</f>
        <v>0</v>
      </c>
      <c r="P57" s="1835">
        <f>+('Fauna Acompañante'!AY229)</f>
        <v>0</v>
      </c>
      <c r="Q57" s="1835">
        <f>+('Fauna Acompañante'!AZ229)</f>
        <v>0</v>
      </c>
      <c r="R57" s="1835">
        <f>+('Fauna Acompañante'!BA229)</f>
        <v>0</v>
      </c>
      <c r="S57" s="1835">
        <f>+('Fauna Acompañante'!BB229)</f>
        <v>0</v>
      </c>
      <c r="T57" s="1835">
        <f>+('Fauna Acompañante'!BC229)</f>
        <v>0</v>
      </c>
      <c r="U57" s="1835">
        <f>+('Fauna Acompañante'!BD229)</f>
        <v>0</v>
      </c>
      <c r="V57" s="1835">
        <f>+('Fauna Acompañante'!BE229)</f>
        <v>0</v>
      </c>
      <c r="W57" s="1835">
        <f>+('Fauna Acompañante'!BF229)</f>
        <v>0</v>
      </c>
      <c r="X57" s="1835">
        <f>+('Fauna Acompañante'!BG229)</f>
        <v>0</v>
      </c>
      <c r="Y57" s="1835">
        <f>+('Fauna Acompañante'!BH229)</f>
        <v>0</v>
      </c>
      <c r="Z57" s="1835">
        <f>+('Fauna Acompañante'!BI229)</f>
        <v>0</v>
      </c>
      <c r="AA57" s="1835">
        <f>+('Fauna Acompañante'!BJ229)</f>
        <v>0</v>
      </c>
      <c r="AB57" s="1835">
        <f>+('Fauna Acompañante'!BK229)</f>
        <v>0</v>
      </c>
      <c r="AC57" s="1835">
        <f>+('Fauna Acompañante'!BL229)</f>
        <v>0</v>
      </c>
      <c r="AD57" s="1835">
        <f>+('Fauna Acompañante'!BM229)</f>
        <v>0</v>
      </c>
      <c r="AE57" s="1835">
        <f>+('Fauna Acompañante'!BN229)</f>
        <v>0</v>
      </c>
      <c r="AF57" s="1835">
        <f>+('Fauna Acompañante'!BO229)</f>
        <v>0</v>
      </c>
      <c r="AG57" s="1835">
        <f>+('Fauna Acompañante'!BP229)</f>
        <v>0</v>
      </c>
      <c r="AH57" s="1834">
        <f t="shared" ref="AH57:AH68" si="10">SUM(C57:AG57)</f>
        <v>0</v>
      </c>
    </row>
    <row r="58" spans="1:34" ht="15">
      <c r="A58" s="1524" t="s">
        <v>74</v>
      </c>
      <c r="B58" s="1527">
        <f t="shared" si="9"/>
        <v>0</v>
      </c>
      <c r="C58" s="1835">
        <f>+('Fauna Acompañante'!AL230)</f>
        <v>0</v>
      </c>
      <c r="D58" s="1835">
        <f>+('Fauna Acompañante'!AM230)</f>
        <v>0</v>
      </c>
      <c r="E58" s="1835">
        <f>+('Fauna Acompañante'!AN230)</f>
        <v>0</v>
      </c>
      <c r="F58" s="1835">
        <f>+('Fauna Acompañante'!AO230)</f>
        <v>0</v>
      </c>
      <c r="G58" s="1835">
        <f>+('Fauna Acompañante'!AP230)</f>
        <v>0</v>
      </c>
      <c r="H58" s="1835">
        <f>+('Fauna Acompañante'!AQ230)</f>
        <v>0</v>
      </c>
      <c r="I58" s="1835">
        <f>+('Fauna Acompañante'!AR230)</f>
        <v>0</v>
      </c>
      <c r="J58" s="1835">
        <f>+('Fauna Acompañante'!AS230)</f>
        <v>0</v>
      </c>
      <c r="K58" s="1835">
        <f>+('Fauna Acompañante'!AT230)</f>
        <v>0</v>
      </c>
      <c r="L58" s="1835">
        <f>+('Fauna Acompañante'!AU230)</f>
        <v>0</v>
      </c>
      <c r="M58" s="1835">
        <f>+('Fauna Acompañante'!AV230)</f>
        <v>0</v>
      </c>
      <c r="N58" s="1835">
        <f>+('Fauna Acompañante'!AW230)</f>
        <v>0</v>
      </c>
      <c r="O58" s="1835">
        <f>+('Fauna Acompañante'!AX230)</f>
        <v>0</v>
      </c>
      <c r="P58" s="1835">
        <f>+('Fauna Acompañante'!AY230)</f>
        <v>0</v>
      </c>
      <c r="Q58" s="1835">
        <f>+('Fauna Acompañante'!AZ230)</f>
        <v>0</v>
      </c>
      <c r="R58" s="1835">
        <f>+('Fauna Acompañante'!BA230)</f>
        <v>0</v>
      </c>
      <c r="S58" s="1835">
        <f>+('Fauna Acompañante'!BB230)</f>
        <v>0</v>
      </c>
      <c r="T58" s="1835">
        <f>+('Fauna Acompañante'!BC230)</f>
        <v>0</v>
      </c>
      <c r="U58" s="1835">
        <f>+('Fauna Acompañante'!BD230)</f>
        <v>0</v>
      </c>
      <c r="V58" s="1835">
        <f>+('Fauna Acompañante'!BE230)</f>
        <v>0</v>
      </c>
      <c r="W58" s="1835">
        <f>+('Fauna Acompañante'!BF230)</f>
        <v>0</v>
      </c>
      <c r="X58" s="1835">
        <f>+('Fauna Acompañante'!BG230)</f>
        <v>0</v>
      </c>
      <c r="Y58" s="1835">
        <f>+('Fauna Acompañante'!BH230)</f>
        <v>0</v>
      </c>
      <c r="Z58" s="1835">
        <f>+('Fauna Acompañante'!BI230)</f>
        <v>0</v>
      </c>
      <c r="AA58" s="1835">
        <f>+('Fauna Acompañante'!BJ230)</f>
        <v>0</v>
      </c>
      <c r="AB58" s="1835">
        <f>+('Fauna Acompañante'!BK230)</f>
        <v>0</v>
      </c>
      <c r="AC58" s="1835">
        <f>+('Fauna Acompañante'!BL230)</f>
        <v>0</v>
      </c>
      <c r="AD58" s="1835">
        <f>+('Fauna Acompañante'!BM230)</f>
        <v>0</v>
      </c>
      <c r="AE58" s="1835">
        <f>+('Fauna Acompañante'!BN230)</f>
        <v>0</v>
      </c>
      <c r="AF58" s="1835">
        <f>+('Fauna Acompañante'!BO230)</f>
        <v>0</v>
      </c>
      <c r="AG58" s="1835">
        <f>+('Fauna Acompañante'!BP230)</f>
        <v>0</v>
      </c>
      <c r="AH58" s="1834">
        <f t="shared" si="10"/>
        <v>0</v>
      </c>
    </row>
    <row r="59" spans="1:34" ht="15">
      <c r="A59" s="1524" t="s">
        <v>75</v>
      </c>
      <c r="B59" s="1527">
        <f t="shared" si="9"/>
        <v>0</v>
      </c>
      <c r="C59" s="1835">
        <f>+('Fauna Acompañante'!AL231)</f>
        <v>0</v>
      </c>
      <c r="D59" s="1835">
        <f>+('Fauna Acompañante'!AM231)</f>
        <v>0</v>
      </c>
      <c r="E59" s="1835">
        <f>+('Fauna Acompañante'!AN231)</f>
        <v>0</v>
      </c>
      <c r="F59" s="1835">
        <f>+('Fauna Acompañante'!AO231)</f>
        <v>0</v>
      </c>
      <c r="G59" s="1835">
        <f>+('Fauna Acompañante'!AP231)</f>
        <v>0</v>
      </c>
      <c r="H59" s="1835">
        <f>+('Fauna Acompañante'!AQ231)</f>
        <v>0</v>
      </c>
      <c r="I59" s="1835">
        <f>+('Fauna Acompañante'!AR231)</f>
        <v>0</v>
      </c>
      <c r="J59" s="1835">
        <f>+('Fauna Acompañante'!AS231)</f>
        <v>0</v>
      </c>
      <c r="K59" s="1835">
        <f>+('Fauna Acompañante'!AT231)</f>
        <v>0</v>
      </c>
      <c r="L59" s="1835">
        <f>+('Fauna Acompañante'!AU231)</f>
        <v>0</v>
      </c>
      <c r="M59" s="1835">
        <f>+('Fauna Acompañante'!AV231)</f>
        <v>0</v>
      </c>
      <c r="N59" s="1835">
        <f>+('Fauna Acompañante'!AW231)</f>
        <v>0</v>
      </c>
      <c r="O59" s="1835">
        <f>+('Fauna Acompañante'!AX231)</f>
        <v>0</v>
      </c>
      <c r="P59" s="1835">
        <f>+('Fauna Acompañante'!AY231)</f>
        <v>0</v>
      </c>
      <c r="Q59" s="1835">
        <f>+('Fauna Acompañante'!AZ231)</f>
        <v>0</v>
      </c>
      <c r="R59" s="1835">
        <f>+('Fauna Acompañante'!BA231)</f>
        <v>0</v>
      </c>
      <c r="S59" s="1835">
        <f>+('Fauna Acompañante'!BB231)</f>
        <v>0</v>
      </c>
      <c r="T59" s="1835">
        <f>+('Fauna Acompañante'!BC231)</f>
        <v>0</v>
      </c>
      <c r="U59" s="1835">
        <f>+('Fauna Acompañante'!BD231)</f>
        <v>0</v>
      </c>
      <c r="V59" s="1835">
        <f>+('Fauna Acompañante'!BE231)</f>
        <v>0</v>
      </c>
      <c r="W59" s="1835">
        <f>+('Fauna Acompañante'!BF231)</f>
        <v>0</v>
      </c>
      <c r="X59" s="1835">
        <f>+('Fauna Acompañante'!BG231)</f>
        <v>0</v>
      </c>
      <c r="Y59" s="1835">
        <f>+('Fauna Acompañante'!BH231)</f>
        <v>0</v>
      </c>
      <c r="Z59" s="1835">
        <f>+('Fauna Acompañante'!BI231)</f>
        <v>0</v>
      </c>
      <c r="AA59" s="1835">
        <f>+('Fauna Acompañante'!BJ231)</f>
        <v>0</v>
      </c>
      <c r="AB59" s="1835">
        <f>+('Fauna Acompañante'!BK231)</f>
        <v>0</v>
      </c>
      <c r="AC59" s="1835">
        <f>+('Fauna Acompañante'!BL231)</f>
        <v>0</v>
      </c>
      <c r="AD59" s="1835">
        <f>+('Fauna Acompañante'!BM231)</f>
        <v>0</v>
      </c>
      <c r="AE59" s="1835">
        <f>+('Fauna Acompañante'!BN231)</f>
        <v>0</v>
      </c>
      <c r="AF59" s="1835">
        <f>+('Fauna Acompañante'!BO231)</f>
        <v>0</v>
      </c>
      <c r="AG59" s="1835">
        <f>+('Fauna Acompañante'!BP231)</f>
        <v>0</v>
      </c>
      <c r="AH59" s="1834">
        <f t="shared" si="10"/>
        <v>0</v>
      </c>
    </row>
    <row r="60" spans="1:34" ht="15">
      <c r="A60" s="1524" t="s">
        <v>76</v>
      </c>
      <c r="B60" s="1527">
        <f t="shared" si="9"/>
        <v>0</v>
      </c>
      <c r="C60" s="1835">
        <f>+('Fauna Acompañante'!AL232)</f>
        <v>0</v>
      </c>
      <c r="D60" s="1835">
        <f>+('Fauna Acompañante'!AM232)</f>
        <v>0</v>
      </c>
      <c r="E60" s="1835">
        <f>+('Fauna Acompañante'!AN232)</f>
        <v>0</v>
      </c>
      <c r="F60" s="1835">
        <f>+('Fauna Acompañante'!AO232)</f>
        <v>0</v>
      </c>
      <c r="G60" s="1835">
        <f>+('Fauna Acompañante'!AP232)</f>
        <v>0</v>
      </c>
      <c r="H60" s="1835">
        <f>+('Fauna Acompañante'!AQ232)</f>
        <v>0</v>
      </c>
      <c r="I60" s="1835">
        <f>+('Fauna Acompañante'!AR232)</f>
        <v>0</v>
      </c>
      <c r="J60" s="1835">
        <f>+('Fauna Acompañante'!AS232)</f>
        <v>0</v>
      </c>
      <c r="K60" s="1835">
        <f>+('Fauna Acompañante'!AT232)</f>
        <v>0</v>
      </c>
      <c r="L60" s="1835">
        <f>+('Fauna Acompañante'!AU232)</f>
        <v>0</v>
      </c>
      <c r="M60" s="1835">
        <f>+('Fauna Acompañante'!AV232)</f>
        <v>0</v>
      </c>
      <c r="N60" s="1835">
        <f>+('Fauna Acompañante'!AW232)</f>
        <v>0</v>
      </c>
      <c r="O60" s="1835">
        <f>+('Fauna Acompañante'!AX232)</f>
        <v>0</v>
      </c>
      <c r="P60" s="1835">
        <f>+('Fauna Acompañante'!AY232)</f>
        <v>0</v>
      </c>
      <c r="Q60" s="1835">
        <f>+('Fauna Acompañante'!AZ232)</f>
        <v>0</v>
      </c>
      <c r="R60" s="1835">
        <f>+('Fauna Acompañante'!BA232)</f>
        <v>0</v>
      </c>
      <c r="S60" s="1835">
        <f>+('Fauna Acompañante'!BB232)</f>
        <v>0</v>
      </c>
      <c r="T60" s="1835">
        <f>+('Fauna Acompañante'!BC232)</f>
        <v>0</v>
      </c>
      <c r="U60" s="1835">
        <f>+('Fauna Acompañante'!BD232)</f>
        <v>0</v>
      </c>
      <c r="V60" s="1835">
        <f>+('Fauna Acompañante'!BE232)</f>
        <v>0</v>
      </c>
      <c r="W60" s="1835">
        <f>+('Fauna Acompañante'!BF232)</f>
        <v>0</v>
      </c>
      <c r="X60" s="1835">
        <f>+('Fauna Acompañante'!BG232)</f>
        <v>0</v>
      </c>
      <c r="Y60" s="1835">
        <f>+('Fauna Acompañante'!BH232)</f>
        <v>0</v>
      </c>
      <c r="Z60" s="1835">
        <f>+('Fauna Acompañante'!BI232)</f>
        <v>0</v>
      </c>
      <c r="AA60" s="1835">
        <f>+('Fauna Acompañante'!BJ232)</f>
        <v>0</v>
      </c>
      <c r="AB60" s="1835">
        <f>+('Fauna Acompañante'!BK232)</f>
        <v>0</v>
      </c>
      <c r="AC60" s="1835">
        <f>+('Fauna Acompañante'!BL232)</f>
        <v>0</v>
      </c>
      <c r="AD60" s="1835">
        <f>+('Fauna Acompañante'!BM232)</f>
        <v>0</v>
      </c>
      <c r="AE60" s="1835">
        <f>+('Fauna Acompañante'!BN232)</f>
        <v>0</v>
      </c>
      <c r="AF60" s="1835">
        <f>+('Fauna Acompañante'!BO232)</f>
        <v>0</v>
      </c>
      <c r="AG60" s="1835">
        <f>+('Fauna Acompañante'!BP232)</f>
        <v>0</v>
      </c>
      <c r="AH60" s="1834">
        <f t="shared" si="10"/>
        <v>0</v>
      </c>
    </row>
    <row r="61" spans="1:34" ht="15">
      <c r="A61" s="1524" t="s">
        <v>77</v>
      </c>
      <c r="B61" s="1527">
        <f t="shared" si="9"/>
        <v>0</v>
      </c>
      <c r="C61" s="1835">
        <f>+('Fauna Acompañante'!AL233)</f>
        <v>0</v>
      </c>
      <c r="D61" s="1835">
        <f>+('Fauna Acompañante'!AM233)</f>
        <v>0</v>
      </c>
      <c r="E61" s="1835">
        <f>+('Fauna Acompañante'!AN233)</f>
        <v>0</v>
      </c>
      <c r="F61" s="1835">
        <f>+('Fauna Acompañante'!AO233)</f>
        <v>0</v>
      </c>
      <c r="G61" s="1835">
        <f>+('Fauna Acompañante'!AP233)</f>
        <v>0</v>
      </c>
      <c r="H61" s="1835">
        <f>+('Fauna Acompañante'!AQ233)</f>
        <v>0</v>
      </c>
      <c r="I61" s="1835">
        <f>+('Fauna Acompañante'!AR233)</f>
        <v>0</v>
      </c>
      <c r="J61" s="1835">
        <f>+('Fauna Acompañante'!AS233)</f>
        <v>0</v>
      </c>
      <c r="K61" s="1835">
        <f>+('Fauna Acompañante'!AT233)</f>
        <v>0</v>
      </c>
      <c r="L61" s="1835">
        <f>+('Fauna Acompañante'!AU233)</f>
        <v>0</v>
      </c>
      <c r="M61" s="1835">
        <f>+('Fauna Acompañante'!AV233)</f>
        <v>0</v>
      </c>
      <c r="N61" s="1835">
        <f>+('Fauna Acompañante'!AW233)</f>
        <v>0</v>
      </c>
      <c r="O61" s="1835">
        <f>+('Fauna Acompañante'!AX233)</f>
        <v>0</v>
      </c>
      <c r="P61" s="1835">
        <f>+('Fauna Acompañante'!AY233)</f>
        <v>0</v>
      </c>
      <c r="Q61" s="1835">
        <f>+('Fauna Acompañante'!AZ233)</f>
        <v>0</v>
      </c>
      <c r="R61" s="1835">
        <f>+('Fauna Acompañante'!BA233)</f>
        <v>0</v>
      </c>
      <c r="S61" s="1835">
        <f>+('Fauna Acompañante'!BB233)</f>
        <v>0</v>
      </c>
      <c r="T61" s="1835">
        <f>+('Fauna Acompañante'!BC233)</f>
        <v>0</v>
      </c>
      <c r="U61" s="1835">
        <f>+('Fauna Acompañante'!BD233)</f>
        <v>0</v>
      </c>
      <c r="V61" s="1835">
        <f>+('Fauna Acompañante'!BE233)</f>
        <v>0</v>
      </c>
      <c r="W61" s="1835">
        <f>+('Fauna Acompañante'!BF233)</f>
        <v>0</v>
      </c>
      <c r="X61" s="1835">
        <f>+('Fauna Acompañante'!BG233)</f>
        <v>0</v>
      </c>
      <c r="Y61" s="1835">
        <f>+('Fauna Acompañante'!BH233)</f>
        <v>0</v>
      </c>
      <c r="Z61" s="1835">
        <f>+('Fauna Acompañante'!BI233)</f>
        <v>0</v>
      </c>
      <c r="AA61" s="1835">
        <f>+('Fauna Acompañante'!BJ233)</f>
        <v>0</v>
      </c>
      <c r="AB61" s="1835">
        <f>+('Fauna Acompañante'!BK233)</f>
        <v>0</v>
      </c>
      <c r="AC61" s="1835">
        <f>+('Fauna Acompañante'!BL233)</f>
        <v>0</v>
      </c>
      <c r="AD61" s="1835">
        <f>+('Fauna Acompañante'!BM233)</f>
        <v>0</v>
      </c>
      <c r="AE61" s="1835">
        <f>+('Fauna Acompañante'!BN233)</f>
        <v>0</v>
      </c>
      <c r="AF61" s="1835">
        <f>+('Fauna Acompañante'!BO233)</f>
        <v>0</v>
      </c>
      <c r="AG61" s="1835">
        <f>+('Fauna Acompañante'!BP233)</f>
        <v>0</v>
      </c>
      <c r="AH61" s="1834">
        <f t="shared" si="10"/>
        <v>0</v>
      </c>
    </row>
    <row r="62" spans="1:34" ht="15">
      <c r="A62" s="1524" t="s">
        <v>78</v>
      </c>
      <c r="B62" s="1527">
        <f t="shared" si="9"/>
        <v>0</v>
      </c>
      <c r="C62" s="1835">
        <f>+('Fauna Acompañante'!AL234)</f>
        <v>0</v>
      </c>
      <c r="D62" s="1835">
        <f>+('Fauna Acompañante'!AM234)</f>
        <v>0</v>
      </c>
      <c r="E62" s="1835">
        <f>+('Fauna Acompañante'!AN234)</f>
        <v>0</v>
      </c>
      <c r="F62" s="1835">
        <f>+('Fauna Acompañante'!AO234)</f>
        <v>0</v>
      </c>
      <c r="G62" s="1835">
        <f>+('Fauna Acompañante'!AP234)</f>
        <v>0</v>
      </c>
      <c r="H62" s="1835">
        <f>+('Fauna Acompañante'!AQ234)</f>
        <v>0</v>
      </c>
      <c r="I62" s="1835">
        <f>+('Fauna Acompañante'!AR234)</f>
        <v>0</v>
      </c>
      <c r="J62" s="1835">
        <f>+('Fauna Acompañante'!AS234)</f>
        <v>0</v>
      </c>
      <c r="K62" s="1835">
        <f>+('Fauna Acompañante'!AT234)</f>
        <v>0</v>
      </c>
      <c r="L62" s="1835">
        <f>+('Fauna Acompañante'!AU234)</f>
        <v>0</v>
      </c>
      <c r="M62" s="1835">
        <f>+('Fauna Acompañante'!AV234)</f>
        <v>0</v>
      </c>
      <c r="N62" s="1835">
        <f>+('Fauna Acompañante'!AW234)</f>
        <v>0</v>
      </c>
      <c r="O62" s="1835">
        <f>+('Fauna Acompañante'!AX234)</f>
        <v>0</v>
      </c>
      <c r="P62" s="1835">
        <f>+('Fauna Acompañante'!AY234)</f>
        <v>0</v>
      </c>
      <c r="Q62" s="1835">
        <f>+('Fauna Acompañante'!AZ234)</f>
        <v>0</v>
      </c>
      <c r="R62" s="1835">
        <f>+('Fauna Acompañante'!BA234)</f>
        <v>0</v>
      </c>
      <c r="S62" s="1835">
        <f>+('Fauna Acompañante'!BB234)</f>
        <v>0</v>
      </c>
      <c r="T62" s="1835">
        <f>+('Fauna Acompañante'!BC234)</f>
        <v>0</v>
      </c>
      <c r="U62" s="1835">
        <f>+('Fauna Acompañante'!BD234)</f>
        <v>0</v>
      </c>
      <c r="V62" s="1835">
        <f>+('Fauna Acompañante'!BE234)</f>
        <v>0</v>
      </c>
      <c r="W62" s="1835">
        <f>+('Fauna Acompañante'!BF234)</f>
        <v>0</v>
      </c>
      <c r="X62" s="1835">
        <f>+('Fauna Acompañante'!BG234)</f>
        <v>0</v>
      </c>
      <c r="Y62" s="1835">
        <f>+('Fauna Acompañante'!BH234)</f>
        <v>0</v>
      </c>
      <c r="Z62" s="1835">
        <f>+('Fauna Acompañante'!BI234)</f>
        <v>0</v>
      </c>
      <c r="AA62" s="1835">
        <f>+('Fauna Acompañante'!BJ234)</f>
        <v>0</v>
      </c>
      <c r="AB62" s="1835">
        <f>+('Fauna Acompañante'!BK234)</f>
        <v>0</v>
      </c>
      <c r="AC62" s="1835">
        <f>+('Fauna Acompañante'!BL234)</f>
        <v>0</v>
      </c>
      <c r="AD62" s="1835">
        <f>+('Fauna Acompañante'!BM234)</f>
        <v>0</v>
      </c>
      <c r="AE62" s="1835">
        <f>+('Fauna Acompañante'!BN234)</f>
        <v>0</v>
      </c>
      <c r="AF62" s="1835">
        <f>+('Fauna Acompañante'!BO234)</f>
        <v>0</v>
      </c>
      <c r="AG62" s="1835">
        <f>+('Fauna Acompañante'!BP234)</f>
        <v>0</v>
      </c>
      <c r="AH62" s="1834">
        <f t="shared" si="10"/>
        <v>0</v>
      </c>
    </row>
    <row r="63" spans="1:34" ht="15">
      <c r="A63" s="1524" t="s">
        <v>79</v>
      </c>
      <c r="B63" s="1527">
        <f t="shared" si="9"/>
        <v>0</v>
      </c>
      <c r="C63" s="1835">
        <f>+('Fauna Acompañante'!AL235)</f>
        <v>0</v>
      </c>
      <c r="D63" s="1835">
        <f>+('Fauna Acompañante'!AM235)</f>
        <v>0</v>
      </c>
      <c r="E63" s="1835">
        <f>+('Fauna Acompañante'!AN235)</f>
        <v>0</v>
      </c>
      <c r="F63" s="1835">
        <f>+('Fauna Acompañante'!AO235)</f>
        <v>0</v>
      </c>
      <c r="G63" s="1835">
        <f>+('Fauna Acompañante'!AP235)</f>
        <v>0</v>
      </c>
      <c r="H63" s="1835">
        <f>+('Fauna Acompañante'!AQ235)</f>
        <v>0</v>
      </c>
      <c r="I63" s="1835">
        <f>+('Fauna Acompañante'!AR235)</f>
        <v>0</v>
      </c>
      <c r="J63" s="1835">
        <f>+('Fauna Acompañante'!AS235)</f>
        <v>0</v>
      </c>
      <c r="K63" s="1835">
        <f>+('Fauna Acompañante'!AT235)</f>
        <v>0</v>
      </c>
      <c r="L63" s="1835">
        <f>+('Fauna Acompañante'!AU235)</f>
        <v>0</v>
      </c>
      <c r="M63" s="1835">
        <f>+('Fauna Acompañante'!AV235)</f>
        <v>0</v>
      </c>
      <c r="N63" s="1835">
        <f>+('Fauna Acompañante'!AW235)</f>
        <v>0</v>
      </c>
      <c r="O63" s="1835">
        <f>+('Fauna Acompañante'!AX235)</f>
        <v>0</v>
      </c>
      <c r="P63" s="1835">
        <f>+('Fauna Acompañante'!AY235)</f>
        <v>0</v>
      </c>
      <c r="Q63" s="1835">
        <f>+('Fauna Acompañante'!AZ235)</f>
        <v>0</v>
      </c>
      <c r="R63" s="1835">
        <f>+('Fauna Acompañante'!BA235)</f>
        <v>0</v>
      </c>
      <c r="S63" s="1835">
        <f>+('Fauna Acompañante'!BB235)</f>
        <v>0</v>
      </c>
      <c r="T63" s="1835">
        <f>+('Fauna Acompañante'!BC235)</f>
        <v>0</v>
      </c>
      <c r="U63" s="1835">
        <f>+('Fauna Acompañante'!BD235)</f>
        <v>0</v>
      </c>
      <c r="V63" s="1835">
        <f>+('Fauna Acompañante'!BE235)</f>
        <v>0</v>
      </c>
      <c r="W63" s="1835">
        <f>+('Fauna Acompañante'!BF235)</f>
        <v>0</v>
      </c>
      <c r="X63" s="1835">
        <f>+('Fauna Acompañante'!BG235)</f>
        <v>0</v>
      </c>
      <c r="Y63" s="1835">
        <f>+('Fauna Acompañante'!BH235)</f>
        <v>0</v>
      </c>
      <c r="Z63" s="1835">
        <f>+('Fauna Acompañante'!BI235)</f>
        <v>0</v>
      </c>
      <c r="AA63" s="1835">
        <f>+('Fauna Acompañante'!BJ235)</f>
        <v>0</v>
      </c>
      <c r="AB63" s="1835">
        <f>+('Fauna Acompañante'!BK235)</f>
        <v>0</v>
      </c>
      <c r="AC63" s="1835">
        <f>+('Fauna Acompañante'!BL235)</f>
        <v>0</v>
      </c>
      <c r="AD63" s="1835">
        <f>+('Fauna Acompañante'!BM235)</f>
        <v>0</v>
      </c>
      <c r="AE63" s="1835">
        <f>+('Fauna Acompañante'!BN235)</f>
        <v>0</v>
      </c>
      <c r="AF63" s="1835">
        <f>+('Fauna Acompañante'!BO235)</f>
        <v>0</v>
      </c>
      <c r="AG63" s="1835">
        <f>+('Fauna Acompañante'!BP235)</f>
        <v>0</v>
      </c>
      <c r="AH63" s="1834">
        <f t="shared" si="10"/>
        <v>0</v>
      </c>
    </row>
    <row r="64" spans="1:34" ht="15">
      <c r="A64" s="1524" t="s">
        <v>80</v>
      </c>
      <c r="B64" s="1527">
        <f t="shared" si="9"/>
        <v>2.258</v>
      </c>
      <c r="C64" s="1835">
        <f>+('Fauna Acompañante'!AL236)</f>
        <v>0</v>
      </c>
      <c r="D64" s="1835">
        <f>+('Fauna Acompañante'!AM236)</f>
        <v>0</v>
      </c>
      <c r="E64" s="1835">
        <f>+('Fauna Acompañante'!AN236)</f>
        <v>0</v>
      </c>
      <c r="F64" s="1835">
        <f>+('Fauna Acompañante'!AO236)</f>
        <v>0</v>
      </c>
      <c r="G64" s="1835">
        <f>+('Fauna Acompañante'!AP236)</f>
        <v>0</v>
      </c>
      <c r="H64" s="1835">
        <f>+('Fauna Acompañante'!AQ236)</f>
        <v>0</v>
      </c>
      <c r="I64" s="1835">
        <f>+('Fauna Acompañante'!AR236)</f>
        <v>0</v>
      </c>
      <c r="J64" s="1835">
        <f>+('Fauna Acompañante'!AS236)</f>
        <v>0</v>
      </c>
      <c r="K64" s="1835">
        <f>+('Fauna Acompañante'!AT236)</f>
        <v>0</v>
      </c>
      <c r="L64" s="1835">
        <f>+('Fauna Acompañante'!AU236)</f>
        <v>0</v>
      </c>
      <c r="M64" s="1835">
        <f>+('Fauna Acompañante'!AV236)</f>
        <v>2.258</v>
      </c>
      <c r="N64" s="1835">
        <f>+('Fauna Acompañante'!AW236)</f>
        <v>0</v>
      </c>
      <c r="O64" s="1835">
        <f>+('Fauna Acompañante'!AX236)</f>
        <v>0</v>
      </c>
      <c r="P64" s="1835">
        <f>+('Fauna Acompañante'!AY236)</f>
        <v>0</v>
      </c>
      <c r="Q64" s="1835">
        <f>+('Fauna Acompañante'!AZ236)</f>
        <v>0</v>
      </c>
      <c r="R64" s="1835">
        <f>+('Fauna Acompañante'!BA236)</f>
        <v>0</v>
      </c>
      <c r="S64" s="1835">
        <f>+('Fauna Acompañante'!BB236)</f>
        <v>0</v>
      </c>
      <c r="T64" s="1835">
        <f>+('Fauna Acompañante'!BC236)</f>
        <v>0</v>
      </c>
      <c r="U64" s="1835">
        <f>+('Fauna Acompañante'!BD236)</f>
        <v>0</v>
      </c>
      <c r="V64" s="1835">
        <f>+('Fauna Acompañante'!BE236)</f>
        <v>0</v>
      </c>
      <c r="W64" s="1835">
        <f>+('Fauna Acompañante'!BF236)</f>
        <v>0</v>
      </c>
      <c r="X64" s="1835">
        <f>+('Fauna Acompañante'!BG236)</f>
        <v>0</v>
      </c>
      <c r="Y64" s="1835">
        <f>+('Fauna Acompañante'!BH236)</f>
        <v>0</v>
      </c>
      <c r="Z64" s="1835">
        <f>+('Fauna Acompañante'!BI236)</f>
        <v>0</v>
      </c>
      <c r="AA64" s="1835">
        <f>+('Fauna Acompañante'!BJ236)</f>
        <v>0</v>
      </c>
      <c r="AB64" s="1835">
        <f>+('Fauna Acompañante'!BK236)</f>
        <v>0</v>
      </c>
      <c r="AC64" s="1835">
        <f>+('Fauna Acompañante'!BL236)</f>
        <v>0</v>
      </c>
      <c r="AD64" s="1835">
        <f>+('Fauna Acompañante'!BM236)</f>
        <v>0</v>
      </c>
      <c r="AE64" s="1835">
        <f>+('Fauna Acompañante'!BN236)</f>
        <v>0</v>
      </c>
      <c r="AF64" s="1835">
        <f>+('Fauna Acompañante'!BO236)</f>
        <v>0</v>
      </c>
      <c r="AG64" s="1835">
        <f>+('Fauna Acompañante'!BP236)</f>
        <v>0</v>
      </c>
      <c r="AH64" s="1834">
        <f t="shared" si="10"/>
        <v>2.258</v>
      </c>
    </row>
    <row r="65" spans="1:34" ht="15">
      <c r="A65" s="1524" t="s">
        <v>81</v>
      </c>
      <c r="B65" s="1527">
        <f t="shared" si="9"/>
        <v>0</v>
      </c>
      <c r="C65" s="1835">
        <f>+('Fauna Acompañante'!AL237)</f>
        <v>0</v>
      </c>
      <c r="D65" s="1835">
        <f>+('Fauna Acompañante'!AM237)</f>
        <v>0</v>
      </c>
      <c r="E65" s="1835">
        <f>+('Fauna Acompañante'!AN237)</f>
        <v>0</v>
      </c>
      <c r="F65" s="1835">
        <f>+('Fauna Acompañante'!AO237)</f>
        <v>0</v>
      </c>
      <c r="G65" s="1835">
        <f>+('Fauna Acompañante'!AP237)</f>
        <v>0</v>
      </c>
      <c r="H65" s="1835">
        <f>+('Fauna Acompañante'!AQ237)</f>
        <v>0</v>
      </c>
      <c r="I65" s="1835">
        <f>+('Fauna Acompañante'!AR237)</f>
        <v>0</v>
      </c>
      <c r="J65" s="1835">
        <f>+('Fauna Acompañante'!AS237)</f>
        <v>0</v>
      </c>
      <c r="K65" s="1835">
        <f>+('Fauna Acompañante'!AT237)</f>
        <v>0</v>
      </c>
      <c r="L65" s="1835">
        <f>+('Fauna Acompañante'!AU237)</f>
        <v>0</v>
      </c>
      <c r="M65" s="1835">
        <f>+('Fauna Acompañante'!AV237)</f>
        <v>0</v>
      </c>
      <c r="N65" s="1835">
        <f>+('Fauna Acompañante'!AW237)</f>
        <v>0</v>
      </c>
      <c r="O65" s="1835">
        <f>+('Fauna Acompañante'!AX237)</f>
        <v>0</v>
      </c>
      <c r="P65" s="1835">
        <f>+('Fauna Acompañante'!AY237)</f>
        <v>0</v>
      </c>
      <c r="Q65" s="1835">
        <f>+('Fauna Acompañante'!AZ237)</f>
        <v>0</v>
      </c>
      <c r="R65" s="1835">
        <f>+('Fauna Acompañante'!BA237)</f>
        <v>0</v>
      </c>
      <c r="S65" s="1835">
        <f>+('Fauna Acompañante'!BB237)</f>
        <v>0</v>
      </c>
      <c r="T65" s="1835">
        <f>+('Fauna Acompañante'!BC237)</f>
        <v>0</v>
      </c>
      <c r="U65" s="1835">
        <f>+('Fauna Acompañante'!BD237)</f>
        <v>0</v>
      </c>
      <c r="V65" s="1835">
        <f>+('Fauna Acompañante'!BE237)</f>
        <v>0</v>
      </c>
      <c r="W65" s="1835">
        <f>+('Fauna Acompañante'!BF237)</f>
        <v>0</v>
      </c>
      <c r="X65" s="1835">
        <f>+('Fauna Acompañante'!BG237)</f>
        <v>0</v>
      </c>
      <c r="Y65" s="1835">
        <f>+('Fauna Acompañante'!BH237)</f>
        <v>0</v>
      </c>
      <c r="Z65" s="1835">
        <f>+('Fauna Acompañante'!BI237)</f>
        <v>0</v>
      </c>
      <c r="AA65" s="1835">
        <f>+('Fauna Acompañante'!BJ237)</f>
        <v>0</v>
      </c>
      <c r="AB65" s="1835">
        <f>+('Fauna Acompañante'!BK237)</f>
        <v>0</v>
      </c>
      <c r="AC65" s="1835">
        <f>+('Fauna Acompañante'!BL237)</f>
        <v>0</v>
      </c>
      <c r="AD65" s="1835">
        <f>+('Fauna Acompañante'!BM237)</f>
        <v>0</v>
      </c>
      <c r="AE65" s="1835">
        <f>+('Fauna Acompañante'!BN237)</f>
        <v>0</v>
      </c>
      <c r="AF65" s="1835">
        <f>+('Fauna Acompañante'!BO237)</f>
        <v>0</v>
      </c>
      <c r="AG65" s="1835">
        <f>+('Fauna Acompañante'!BP237)</f>
        <v>0</v>
      </c>
      <c r="AH65" s="1834">
        <f t="shared" si="10"/>
        <v>0</v>
      </c>
    </row>
    <row r="66" spans="1:34" ht="15">
      <c r="A66" s="1524" t="s">
        <v>82</v>
      </c>
      <c r="B66" s="1527">
        <f t="shared" si="9"/>
        <v>0</v>
      </c>
      <c r="C66" s="1835">
        <f>+('Fauna Acompañante'!AL238)</f>
        <v>0</v>
      </c>
      <c r="D66" s="1835">
        <f>+('Fauna Acompañante'!AM238)</f>
        <v>0</v>
      </c>
      <c r="E66" s="1835">
        <f>+('Fauna Acompañante'!AN238)</f>
        <v>0</v>
      </c>
      <c r="F66" s="1835">
        <f>+('Fauna Acompañante'!AO238)</f>
        <v>0</v>
      </c>
      <c r="G66" s="1835">
        <f>+('Fauna Acompañante'!AP238)</f>
        <v>0</v>
      </c>
      <c r="H66" s="1835">
        <f>+('Fauna Acompañante'!AQ238)</f>
        <v>0</v>
      </c>
      <c r="I66" s="1835">
        <f>+('Fauna Acompañante'!AR238)</f>
        <v>0</v>
      </c>
      <c r="J66" s="1835">
        <f>+('Fauna Acompañante'!AS238)</f>
        <v>0</v>
      </c>
      <c r="K66" s="1835">
        <f>+('Fauna Acompañante'!AT238)</f>
        <v>0</v>
      </c>
      <c r="L66" s="1835">
        <f>+('Fauna Acompañante'!AU238)</f>
        <v>0</v>
      </c>
      <c r="M66" s="1835">
        <f>+('Fauna Acompañante'!AV238)</f>
        <v>0</v>
      </c>
      <c r="N66" s="1835">
        <f>+('Fauna Acompañante'!AW238)</f>
        <v>0</v>
      </c>
      <c r="O66" s="1835">
        <f>+('Fauna Acompañante'!AX238)</f>
        <v>0</v>
      </c>
      <c r="P66" s="1835">
        <f>+('Fauna Acompañante'!AY238)</f>
        <v>0</v>
      </c>
      <c r="Q66" s="1835">
        <f>+('Fauna Acompañante'!AZ238)</f>
        <v>0</v>
      </c>
      <c r="R66" s="1835">
        <f>+('Fauna Acompañante'!BA238)</f>
        <v>0</v>
      </c>
      <c r="S66" s="1835">
        <f>+('Fauna Acompañante'!BB238)</f>
        <v>0</v>
      </c>
      <c r="T66" s="1835">
        <f>+('Fauna Acompañante'!BC238)</f>
        <v>0</v>
      </c>
      <c r="U66" s="1835">
        <f>+('Fauna Acompañante'!BD238)</f>
        <v>0</v>
      </c>
      <c r="V66" s="1835">
        <f>+('Fauna Acompañante'!BE238)</f>
        <v>0</v>
      </c>
      <c r="W66" s="1835">
        <f>+('Fauna Acompañante'!BF238)</f>
        <v>0</v>
      </c>
      <c r="X66" s="1835">
        <f>+('Fauna Acompañante'!BG238)</f>
        <v>0</v>
      </c>
      <c r="Y66" s="1835">
        <f>+('Fauna Acompañante'!BH238)</f>
        <v>0</v>
      </c>
      <c r="Z66" s="1835">
        <f>+('Fauna Acompañante'!BI238)</f>
        <v>0</v>
      </c>
      <c r="AA66" s="1835">
        <f>+('Fauna Acompañante'!BJ238)</f>
        <v>0</v>
      </c>
      <c r="AB66" s="1835">
        <f>+('Fauna Acompañante'!BK238)</f>
        <v>0</v>
      </c>
      <c r="AC66" s="1835">
        <f>+('Fauna Acompañante'!BL238)</f>
        <v>0</v>
      </c>
      <c r="AD66" s="1835">
        <f>+('Fauna Acompañante'!BM238)</f>
        <v>0</v>
      </c>
      <c r="AE66" s="1835">
        <f>+('Fauna Acompañante'!BN238)</f>
        <v>0</v>
      </c>
      <c r="AF66" s="1835">
        <f>+('Fauna Acompañante'!BO238)</f>
        <v>0</v>
      </c>
      <c r="AG66" s="1835">
        <f>+('Fauna Acompañante'!BP238)</f>
        <v>0</v>
      </c>
      <c r="AH66" s="1834">
        <f t="shared" si="10"/>
        <v>0</v>
      </c>
    </row>
    <row r="67" spans="1:34" ht="15">
      <c r="A67" s="1524" t="s">
        <v>83</v>
      </c>
      <c r="B67" s="1527">
        <f t="shared" si="9"/>
        <v>0</v>
      </c>
      <c r="C67" s="1835">
        <f>+('Fauna Acompañante'!AL239)</f>
        <v>0</v>
      </c>
      <c r="D67" s="1835">
        <f>+('Fauna Acompañante'!AM239)</f>
        <v>0</v>
      </c>
      <c r="E67" s="1835">
        <f>+('Fauna Acompañante'!AN239)</f>
        <v>0</v>
      </c>
      <c r="F67" s="1835">
        <f>+('Fauna Acompañante'!AO239)</f>
        <v>0</v>
      </c>
      <c r="G67" s="1835">
        <f>+('Fauna Acompañante'!AP239)</f>
        <v>0</v>
      </c>
      <c r="H67" s="1835">
        <f>+('Fauna Acompañante'!AQ239)</f>
        <v>0</v>
      </c>
      <c r="I67" s="1835">
        <f>+('Fauna Acompañante'!AR239)</f>
        <v>0</v>
      </c>
      <c r="J67" s="1835">
        <f>+('Fauna Acompañante'!AS239)</f>
        <v>0</v>
      </c>
      <c r="K67" s="1835">
        <f>+('Fauna Acompañante'!AT239)</f>
        <v>0</v>
      </c>
      <c r="L67" s="1835">
        <f>+('Fauna Acompañante'!AU239)</f>
        <v>0</v>
      </c>
      <c r="M67" s="1835">
        <f>+('Fauna Acompañante'!AV239)</f>
        <v>0</v>
      </c>
      <c r="N67" s="1835">
        <f>+('Fauna Acompañante'!AW239)</f>
        <v>0</v>
      </c>
      <c r="O67" s="1835">
        <f>+('Fauna Acompañante'!AX239)</f>
        <v>0</v>
      </c>
      <c r="P67" s="1835">
        <f>+('Fauna Acompañante'!AY239)</f>
        <v>0</v>
      </c>
      <c r="Q67" s="1835">
        <f>+('Fauna Acompañante'!AZ239)</f>
        <v>0</v>
      </c>
      <c r="R67" s="1835">
        <f>+('Fauna Acompañante'!BA239)</f>
        <v>0</v>
      </c>
      <c r="S67" s="1835">
        <f>+('Fauna Acompañante'!BB239)</f>
        <v>0</v>
      </c>
      <c r="T67" s="1835">
        <f>+('Fauna Acompañante'!BC239)</f>
        <v>0</v>
      </c>
      <c r="U67" s="1835">
        <f>+('Fauna Acompañante'!BD239)</f>
        <v>0</v>
      </c>
      <c r="V67" s="1835">
        <f>+('Fauna Acompañante'!BE239)</f>
        <v>0</v>
      </c>
      <c r="W67" s="1835">
        <f>+('Fauna Acompañante'!BF239)</f>
        <v>0</v>
      </c>
      <c r="X67" s="1835">
        <f>+('Fauna Acompañante'!BG239)</f>
        <v>0</v>
      </c>
      <c r="Y67" s="1835">
        <f>+('Fauna Acompañante'!BH239)</f>
        <v>0</v>
      </c>
      <c r="Z67" s="1835">
        <f>+('Fauna Acompañante'!BI239)</f>
        <v>0</v>
      </c>
      <c r="AA67" s="1835">
        <f>+('Fauna Acompañante'!BJ239)</f>
        <v>0</v>
      </c>
      <c r="AB67" s="1835">
        <f>+('Fauna Acompañante'!BK239)</f>
        <v>0</v>
      </c>
      <c r="AC67" s="1835">
        <f>+('Fauna Acompañante'!BL239)</f>
        <v>0</v>
      </c>
      <c r="AD67" s="1835">
        <f>+('Fauna Acompañante'!BM239)</f>
        <v>0</v>
      </c>
      <c r="AE67" s="1835">
        <f>+('Fauna Acompañante'!BN239)</f>
        <v>0</v>
      </c>
      <c r="AF67" s="1835">
        <f>+('Fauna Acompañante'!BO239)</f>
        <v>0</v>
      </c>
      <c r="AG67" s="1835">
        <f>+('Fauna Acompañante'!BP239)</f>
        <v>0</v>
      </c>
      <c r="AH67" s="1834">
        <f t="shared" si="10"/>
        <v>0</v>
      </c>
    </row>
    <row r="68" spans="1:34" ht="15">
      <c r="A68" s="1524" t="s">
        <v>84</v>
      </c>
      <c r="B68" s="1527">
        <f t="shared" si="9"/>
        <v>0</v>
      </c>
      <c r="C68" s="1835">
        <f>+('Fauna Acompañante'!AL240)</f>
        <v>0</v>
      </c>
      <c r="D68" s="1835">
        <f>+('Fauna Acompañante'!AM240)</f>
        <v>0</v>
      </c>
      <c r="E68" s="1835">
        <f>+('Fauna Acompañante'!AN240)</f>
        <v>0</v>
      </c>
      <c r="F68" s="1835">
        <f>+('Fauna Acompañante'!AO240)</f>
        <v>0</v>
      </c>
      <c r="G68" s="1835">
        <f>+('Fauna Acompañante'!AP240)</f>
        <v>0</v>
      </c>
      <c r="H68" s="1835">
        <f>+('Fauna Acompañante'!AQ240)</f>
        <v>0</v>
      </c>
      <c r="I68" s="1835">
        <f>+('Fauna Acompañante'!AR240)</f>
        <v>0</v>
      </c>
      <c r="J68" s="1835">
        <f>+('Fauna Acompañante'!AS240)</f>
        <v>0</v>
      </c>
      <c r="K68" s="1835">
        <f>+('Fauna Acompañante'!AT240)</f>
        <v>0</v>
      </c>
      <c r="L68" s="1835">
        <f>+('Fauna Acompañante'!AU240)</f>
        <v>0</v>
      </c>
      <c r="M68" s="1835">
        <f>+('Fauna Acompañante'!AV240)</f>
        <v>0</v>
      </c>
      <c r="N68" s="1835">
        <f>+('Fauna Acompañante'!AW240)</f>
        <v>0</v>
      </c>
      <c r="O68" s="1835">
        <f>+('Fauna Acompañante'!AX240)</f>
        <v>0</v>
      </c>
      <c r="P68" s="1835">
        <f>+('Fauna Acompañante'!AY240)</f>
        <v>0</v>
      </c>
      <c r="Q68" s="1835">
        <f>+('Fauna Acompañante'!AZ240)</f>
        <v>0</v>
      </c>
      <c r="R68" s="1835">
        <f>+('Fauna Acompañante'!BA240)</f>
        <v>0</v>
      </c>
      <c r="S68" s="1835">
        <f>+('Fauna Acompañante'!BB240)</f>
        <v>0</v>
      </c>
      <c r="T68" s="1835">
        <f>+('Fauna Acompañante'!BC240)</f>
        <v>0</v>
      </c>
      <c r="U68" s="1835">
        <f>+('Fauna Acompañante'!BD240)</f>
        <v>0</v>
      </c>
      <c r="V68" s="1835">
        <f>+('Fauna Acompañante'!BE240)</f>
        <v>0</v>
      </c>
      <c r="W68" s="1835">
        <f>+('Fauna Acompañante'!BF240)</f>
        <v>0</v>
      </c>
      <c r="X68" s="1835">
        <f>+('Fauna Acompañante'!BG240)</f>
        <v>0</v>
      </c>
      <c r="Y68" s="1835">
        <f>+('Fauna Acompañante'!BH240)</f>
        <v>0</v>
      </c>
      <c r="Z68" s="1835">
        <f>+('Fauna Acompañante'!BI240)</f>
        <v>0</v>
      </c>
      <c r="AA68" s="1835">
        <f>+('Fauna Acompañante'!BJ240)</f>
        <v>0</v>
      </c>
      <c r="AB68" s="1835">
        <f>+('Fauna Acompañante'!BK240)</f>
        <v>0</v>
      </c>
      <c r="AC68" s="1835">
        <f>+('Fauna Acompañante'!BL240)</f>
        <v>0</v>
      </c>
      <c r="AD68" s="1835">
        <f>+('Fauna Acompañante'!BM240)</f>
        <v>0</v>
      </c>
      <c r="AE68" s="1835">
        <f>+('Fauna Acompañante'!BN240)</f>
        <v>0</v>
      </c>
      <c r="AF68" s="1835">
        <f>+('Fauna Acompañante'!BO240)</f>
        <v>0</v>
      </c>
      <c r="AG68" s="1835">
        <f>+('Fauna Acompañante'!BP240)</f>
        <v>0</v>
      </c>
      <c r="AH68" s="1834">
        <f t="shared" si="10"/>
        <v>0</v>
      </c>
    </row>
    <row r="69" spans="1:34" ht="15">
      <c r="A69" s="1837" t="s">
        <v>72</v>
      </c>
      <c r="B69" s="1836">
        <f t="shared" ref="B69:AH69" si="11">SUM(B57:B68)</f>
        <v>2.258</v>
      </c>
      <c r="C69" s="1835">
        <f t="shared" si="11"/>
        <v>0</v>
      </c>
      <c r="D69" s="1835">
        <f t="shared" si="11"/>
        <v>0</v>
      </c>
      <c r="E69" s="1835">
        <f t="shared" si="11"/>
        <v>0</v>
      </c>
      <c r="F69" s="1835">
        <f t="shared" si="11"/>
        <v>0</v>
      </c>
      <c r="G69" s="1835">
        <f t="shared" si="11"/>
        <v>0</v>
      </c>
      <c r="H69" s="1835">
        <f t="shared" si="11"/>
        <v>0</v>
      </c>
      <c r="I69" s="1835">
        <f t="shared" si="11"/>
        <v>0</v>
      </c>
      <c r="J69" s="1835">
        <f t="shared" si="11"/>
        <v>0</v>
      </c>
      <c r="K69" s="1835">
        <f t="shared" si="11"/>
        <v>0</v>
      </c>
      <c r="L69" s="1835">
        <f t="shared" si="11"/>
        <v>0</v>
      </c>
      <c r="M69" s="1835">
        <f t="shared" si="11"/>
        <v>2.258</v>
      </c>
      <c r="N69" s="1835">
        <f t="shared" si="11"/>
        <v>0</v>
      </c>
      <c r="O69" s="1835">
        <f t="shared" si="11"/>
        <v>0</v>
      </c>
      <c r="P69" s="1835">
        <f t="shared" si="11"/>
        <v>0</v>
      </c>
      <c r="Q69" s="1835">
        <f t="shared" si="11"/>
        <v>0</v>
      </c>
      <c r="R69" s="1835">
        <f t="shared" si="11"/>
        <v>0</v>
      </c>
      <c r="S69" s="1835">
        <f t="shared" si="11"/>
        <v>0</v>
      </c>
      <c r="T69" s="1835">
        <f t="shared" si="11"/>
        <v>0</v>
      </c>
      <c r="U69" s="1835">
        <f t="shared" si="11"/>
        <v>0</v>
      </c>
      <c r="V69" s="1835">
        <f t="shared" si="11"/>
        <v>0</v>
      </c>
      <c r="W69" s="1835">
        <f t="shared" si="11"/>
        <v>0</v>
      </c>
      <c r="X69" s="1835">
        <f t="shared" si="11"/>
        <v>0</v>
      </c>
      <c r="Y69" s="1835">
        <f t="shared" si="11"/>
        <v>0</v>
      </c>
      <c r="Z69" s="1835">
        <f t="shared" si="11"/>
        <v>0</v>
      </c>
      <c r="AA69" s="1835">
        <f t="shared" si="11"/>
        <v>0</v>
      </c>
      <c r="AB69" s="1835">
        <f t="shared" si="11"/>
        <v>0</v>
      </c>
      <c r="AC69" s="1835">
        <f t="shared" si="11"/>
        <v>0</v>
      </c>
      <c r="AD69" s="1835">
        <f t="shared" si="11"/>
        <v>0</v>
      </c>
      <c r="AE69" s="1835">
        <f t="shared" si="11"/>
        <v>0</v>
      </c>
      <c r="AF69" s="1835">
        <f t="shared" si="11"/>
        <v>0</v>
      </c>
      <c r="AG69" s="1835">
        <f t="shared" si="11"/>
        <v>0</v>
      </c>
      <c r="AH69" s="1834">
        <f t="shared" si="11"/>
        <v>2.258</v>
      </c>
    </row>
    <row r="71" spans="1:34" ht="15">
      <c r="A71" s="3821" t="s">
        <v>604</v>
      </c>
      <c r="B71" s="3822"/>
      <c r="C71" s="3823"/>
      <c r="D71" s="1839"/>
      <c r="E71" s="1839"/>
      <c r="F71" s="1839"/>
      <c r="G71" s="1839"/>
      <c r="H71" s="1839"/>
      <c r="I71" s="1839"/>
      <c r="J71" s="1839"/>
      <c r="K71" s="1839"/>
      <c r="L71" s="1839"/>
      <c r="M71" s="1840"/>
      <c r="N71" s="1839"/>
      <c r="O71" s="1839"/>
      <c r="P71" s="1839"/>
      <c r="Q71" s="1839"/>
      <c r="R71" s="1839"/>
      <c r="S71" s="1839"/>
      <c r="T71" s="1839"/>
      <c r="U71" s="1839"/>
      <c r="V71" s="1839"/>
      <c r="W71" s="1839"/>
      <c r="X71" s="1839"/>
      <c r="Y71" s="1839"/>
      <c r="Z71" s="1839"/>
      <c r="AA71" s="1839"/>
      <c r="AB71" s="1839"/>
      <c r="AC71" s="1839"/>
      <c r="AD71" s="1839"/>
      <c r="AE71" s="1839"/>
      <c r="AF71" s="1839"/>
      <c r="AG71" s="1839"/>
      <c r="AH71" s="1839"/>
    </row>
    <row r="72" spans="1:34" ht="15">
      <c r="A72" s="1524" t="s">
        <v>70</v>
      </c>
      <c r="B72" s="1524" t="s">
        <v>71</v>
      </c>
      <c r="C72" s="1524">
        <v>1</v>
      </c>
      <c r="D72" s="1524">
        <v>2</v>
      </c>
      <c r="E72" s="1524">
        <v>3</v>
      </c>
      <c r="F72" s="1524">
        <v>4</v>
      </c>
      <c r="G72" s="1524">
        <v>5</v>
      </c>
      <c r="H72" s="1524">
        <v>6</v>
      </c>
      <c r="I72" s="1524">
        <v>7</v>
      </c>
      <c r="J72" s="1524">
        <v>8</v>
      </c>
      <c r="K72" s="1524">
        <v>9</v>
      </c>
      <c r="L72" s="1524">
        <v>10</v>
      </c>
      <c r="M72" s="1524">
        <v>11</v>
      </c>
      <c r="N72" s="1524">
        <v>12</v>
      </c>
      <c r="O72" s="1524">
        <v>13</v>
      </c>
      <c r="P72" s="1524">
        <v>14</v>
      </c>
      <c r="Q72" s="1524">
        <v>15</v>
      </c>
      <c r="R72" s="1524">
        <v>16</v>
      </c>
      <c r="S72" s="1524">
        <v>17</v>
      </c>
      <c r="T72" s="1524">
        <v>18</v>
      </c>
      <c r="U72" s="1524">
        <v>19</v>
      </c>
      <c r="V72" s="1524">
        <v>20</v>
      </c>
      <c r="W72" s="1524">
        <v>21</v>
      </c>
      <c r="X72" s="1524">
        <v>22</v>
      </c>
      <c r="Y72" s="1524">
        <v>23</v>
      </c>
      <c r="Z72" s="1524">
        <v>24</v>
      </c>
      <c r="AA72" s="1524">
        <v>25</v>
      </c>
      <c r="AB72" s="1524">
        <v>26</v>
      </c>
      <c r="AC72" s="1524">
        <v>27</v>
      </c>
      <c r="AD72" s="1524">
        <v>28</v>
      </c>
      <c r="AE72" s="1524">
        <v>29</v>
      </c>
      <c r="AF72" s="1524">
        <v>30</v>
      </c>
      <c r="AG72" s="1524">
        <v>31</v>
      </c>
      <c r="AH72" s="1838" t="s">
        <v>72</v>
      </c>
    </row>
    <row r="73" spans="1:34" ht="15">
      <c r="A73" s="1524" t="s">
        <v>73</v>
      </c>
      <c r="B73" s="1527">
        <f t="shared" ref="B73:B84" si="12">+AH73</f>
        <v>5.3120000000000003</v>
      </c>
      <c r="C73" s="1835">
        <f>+('Fauna Acompañante'!AL245)</f>
        <v>0</v>
      </c>
      <c r="D73" s="1835">
        <f>+('Fauna Acompañante'!AM245)</f>
        <v>0</v>
      </c>
      <c r="E73" s="1835">
        <f>+('Fauna Acompañante'!AN245)</f>
        <v>0</v>
      </c>
      <c r="F73" s="1835">
        <f>+('Fauna Acompañante'!AO245)</f>
        <v>0</v>
      </c>
      <c r="G73" s="1835">
        <f>+('Fauna Acompañante'!AP245)</f>
        <v>0</v>
      </c>
      <c r="H73" s="1835">
        <f>+('Fauna Acompañante'!AQ245)</f>
        <v>0</v>
      </c>
      <c r="I73" s="1835">
        <f>+('Fauna Acompañante'!AR245)</f>
        <v>0</v>
      </c>
      <c r="J73" s="1835">
        <f>+('Fauna Acompañante'!AS245)</f>
        <v>0</v>
      </c>
      <c r="K73" s="1835">
        <f>+('Fauna Acompañante'!AT245)</f>
        <v>0</v>
      </c>
      <c r="L73" s="1835">
        <f>+('Fauna Acompañante'!AU245)</f>
        <v>0</v>
      </c>
      <c r="M73" s="1835">
        <f>+('Fauna Acompañante'!AV245)</f>
        <v>0</v>
      </c>
      <c r="N73" s="1835">
        <f>+('Fauna Acompañante'!AW245)</f>
        <v>0</v>
      </c>
      <c r="O73" s="1835">
        <f>+('Fauna Acompañante'!AX245)</f>
        <v>0</v>
      </c>
      <c r="P73" s="1835">
        <f>+('Fauna Acompañante'!AY245)</f>
        <v>0</v>
      </c>
      <c r="Q73" s="1835">
        <f>+('Fauna Acompañante'!AZ245)</f>
        <v>0</v>
      </c>
      <c r="R73" s="1835">
        <f>+('Fauna Acompañante'!BA245)</f>
        <v>0</v>
      </c>
      <c r="S73" s="1835">
        <f>+('Fauna Acompañante'!BB245)</f>
        <v>0</v>
      </c>
      <c r="T73" s="1835">
        <f>+('Fauna Acompañante'!BC245)</f>
        <v>0</v>
      </c>
      <c r="U73" s="1835">
        <f>+('Fauna Acompañante'!BD245)</f>
        <v>0</v>
      </c>
      <c r="V73" s="1835">
        <f>+('Fauna Acompañante'!BE245)</f>
        <v>0</v>
      </c>
      <c r="W73" s="1835">
        <f>+('Fauna Acompañante'!BF245)</f>
        <v>0</v>
      </c>
      <c r="X73" s="1835">
        <f>+('Fauna Acompañante'!BG245)</f>
        <v>0</v>
      </c>
      <c r="Y73" s="1835">
        <f>+('Fauna Acompañante'!BH245)</f>
        <v>0</v>
      </c>
      <c r="Z73" s="1835">
        <f>+('Fauna Acompañante'!BI245)</f>
        <v>9.8000000000000004E-2</v>
      </c>
      <c r="AA73" s="1835">
        <f>+('Fauna Acompañante'!BJ245)</f>
        <v>0</v>
      </c>
      <c r="AB73" s="1835">
        <f>+('Fauna Acompañante'!BK245)</f>
        <v>0</v>
      </c>
      <c r="AC73" s="1835">
        <f>+('Fauna Acompañante'!BL245)</f>
        <v>0</v>
      </c>
      <c r="AD73" s="1835">
        <f>+('Fauna Acompañante'!BM245)</f>
        <v>4.7320000000000002</v>
      </c>
      <c r="AE73" s="1835">
        <f>+('Fauna Acompañante'!BN245)</f>
        <v>0</v>
      </c>
      <c r="AF73" s="1835">
        <f>+('Fauna Acompañante'!BO245)</f>
        <v>0.48199999999999998</v>
      </c>
      <c r="AG73" s="1835">
        <f>+('Fauna Acompañante'!BP245)</f>
        <v>0</v>
      </c>
      <c r="AH73" s="1834">
        <f t="shared" ref="AH73:AH84" si="13">SUM(C73:AG73)</f>
        <v>5.3120000000000003</v>
      </c>
    </row>
    <row r="74" spans="1:34" ht="15">
      <c r="A74" s="1524" t="s">
        <v>74</v>
      </c>
      <c r="B74" s="1527">
        <f t="shared" si="12"/>
        <v>2.1219999999999999</v>
      </c>
      <c r="C74" s="1835">
        <f>+('Fauna Acompañante'!AL246)</f>
        <v>2.1219999999999999</v>
      </c>
      <c r="D74" s="1835">
        <f>+('Fauna Acompañante'!AM246)</f>
        <v>0</v>
      </c>
      <c r="E74" s="1835">
        <f>+('Fauna Acompañante'!AN246)</f>
        <v>0</v>
      </c>
      <c r="F74" s="1835">
        <f>+('Fauna Acompañante'!AO246)</f>
        <v>0</v>
      </c>
      <c r="G74" s="1835">
        <f>+('Fauna Acompañante'!AP246)</f>
        <v>0</v>
      </c>
      <c r="H74" s="1835">
        <f>+('Fauna Acompañante'!AQ246)</f>
        <v>0</v>
      </c>
      <c r="I74" s="1835">
        <f>+('Fauna Acompañante'!AR246)</f>
        <v>0</v>
      </c>
      <c r="J74" s="1835">
        <f>+('Fauna Acompañante'!AS246)</f>
        <v>0</v>
      </c>
      <c r="K74" s="1835">
        <f>+('Fauna Acompañante'!AT246)</f>
        <v>0</v>
      </c>
      <c r="L74" s="1835">
        <f>+('Fauna Acompañante'!AU246)</f>
        <v>0</v>
      </c>
      <c r="M74" s="1835">
        <f>+('Fauna Acompañante'!AV246)</f>
        <v>0</v>
      </c>
      <c r="N74" s="1835">
        <f>+('Fauna Acompañante'!AW246)</f>
        <v>0</v>
      </c>
      <c r="O74" s="1835">
        <f>+('Fauna Acompañante'!AX246)</f>
        <v>0</v>
      </c>
      <c r="P74" s="1835">
        <f>+('Fauna Acompañante'!AY246)</f>
        <v>0</v>
      </c>
      <c r="Q74" s="1835">
        <f>+('Fauna Acompañante'!AZ246)</f>
        <v>0</v>
      </c>
      <c r="R74" s="1835">
        <f>+('Fauna Acompañante'!BA246)</f>
        <v>0</v>
      </c>
      <c r="S74" s="1835">
        <f>+('Fauna Acompañante'!BB246)</f>
        <v>0</v>
      </c>
      <c r="T74" s="1835">
        <f>+('Fauna Acompañante'!BC246)</f>
        <v>0</v>
      </c>
      <c r="U74" s="1835">
        <f>+('Fauna Acompañante'!BD246)</f>
        <v>0</v>
      </c>
      <c r="V74" s="1835">
        <f>+('Fauna Acompañante'!BE246)</f>
        <v>0</v>
      </c>
      <c r="W74" s="1835">
        <f>+('Fauna Acompañante'!BF246)</f>
        <v>0</v>
      </c>
      <c r="X74" s="1835">
        <f>+('Fauna Acompañante'!BG246)</f>
        <v>0</v>
      </c>
      <c r="Y74" s="1835">
        <f>+('Fauna Acompañante'!BH246)</f>
        <v>0</v>
      </c>
      <c r="Z74" s="1835">
        <f>+('Fauna Acompañante'!BI246)</f>
        <v>0</v>
      </c>
      <c r="AA74" s="1835">
        <f>+('Fauna Acompañante'!BJ246)</f>
        <v>0</v>
      </c>
      <c r="AB74" s="1835">
        <f>+('Fauna Acompañante'!BK246)</f>
        <v>0</v>
      </c>
      <c r="AC74" s="1835">
        <f>+('Fauna Acompañante'!BL246)</f>
        <v>0</v>
      </c>
      <c r="AD74" s="1835">
        <f>+('Fauna Acompañante'!BM246)</f>
        <v>0</v>
      </c>
      <c r="AE74" s="1835">
        <f>+('Fauna Acompañante'!BN246)</f>
        <v>0</v>
      </c>
      <c r="AF74" s="1835">
        <f>+('Fauna Acompañante'!BO246)</f>
        <v>0</v>
      </c>
      <c r="AG74" s="1835">
        <f>+('Fauna Acompañante'!BP246)</f>
        <v>0</v>
      </c>
      <c r="AH74" s="1834">
        <f t="shared" si="13"/>
        <v>2.1219999999999999</v>
      </c>
    </row>
    <row r="75" spans="1:34" ht="15">
      <c r="A75" s="1524" t="s">
        <v>75</v>
      </c>
      <c r="B75" s="1527">
        <f t="shared" si="12"/>
        <v>0</v>
      </c>
      <c r="C75" s="1835">
        <f>+('Fauna Acompañante'!AL247)</f>
        <v>0</v>
      </c>
      <c r="D75" s="1835">
        <f>+('Fauna Acompañante'!AM247)</f>
        <v>0</v>
      </c>
      <c r="E75" s="1835">
        <f>+('Fauna Acompañante'!AN247)</f>
        <v>0</v>
      </c>
      <c r="F75" s="1835">
        <f>+('Fauna Acompañante'!AO247)</f>
        <v>0</v>
      </c>
      <c r="G75" s="1835">
        <f>+('Fauna Acompañante'!AP247)</f>
        <v>0</v>
      </c>
      <c r="H75" s="1835">
        <f>+('Fauna Acompañante'!AQ247)</f>
        <v>0</v>
      </c>
      <c r="I75" s="1835">
        <f>+('Fauna Acompañante'!AR247)</f>
        <v>0</v>
      </c>
      <c r="J75" s="1835">
        <f>+('Fauna Acompañante'!AS247)</f>
        <v>0</v>
      </c>
      <c r="K75" s="1835">
        <f>+('Fauna Acompañante'!AT247)</f>
        <v>0</v>
      </c>
      <c r="L75" s="1835">
        <f>+('Fauna Acompañante'!AU247)</f>
        <v>0</v>
      </c>
      <c r="M75" s="1835">
        <f>+('Fauna Acompañante'!AV247)</f>
        <v>0</v>
      </c>
      <c r="N75" s="1835">
        <f>+('Fauna Acompañante'!AW247)</f>
        <v>0</v>
      </c>
      <c r="O75" s="1835">
        <f>+('Fauna Acompañante'!AX247)</f>
        <v>0</v>
      </c>
      <c r="P75" s="1835">
        <f>+('Fauna Acompañante'!AY247)</f>
        <v>0</v>
      </c>
      <c r="Q75" s="1835">
        <f>+('Fauna Acompañante'!AZ247)</f>
        <v>0</v>
      </c>
      <c r="R75" s="1835">
        <f>+('Fauna Acompañante'!BA247)</f>
        <v>0</v>
      </c>
      <c r="S75" s="1835">
        <f>+('Fauna Acompañante'!BB247)</f>
        <v>0</v>
      </c>
      <c r="T75" s="1835">
        <f>+('Fauna Acompañante'!BC247)</f>
        <v>0</v>
      </c>
      <c r="U75" s="1835">
        <f>+('Fauna Acompañante'!BD247)</f>
        <v>0</v>
      </c>
      <c r="V75" s="1835">
        <f>+('Fauna Acompañante'!BE247)</f>
        <v>0</v>
      </c>
      <c r="W75" s="1835">
        <f>+('Fauna Acompañante'!BF247)</f>
        <v>0</v>
      </c>
      <c r="X75" s="1835">
        <f>+('Fauna Acompañante'!BG247)</f>
        <v>0</v>
      </c>
      <c r="Y75" s="1835">
        <f>+('Fauna Acompañante'!BH247)</f>
        <v>0</v>
      </c>
      <c r="Z75" s="1835">
        <f>+('Fauna Acompañante'!BI247)</f>
        <v>0</v>
      </c>
      <c r="AA75" s="1835">
        <f>+('Fauna Acompañante'!BJ247)</f>
        <v>0</v>
      </c>
      <c r="AB75" s="1835">
        <f>+('Fauna Acompañante'!BK247)</f>
        <v>0</v>
      </c>
      <c r="AC75" s="1835">
        <f>+('Fauna Acompañante'!BL247)</f>
        <v>0</v>
      </c>
      <c r="AD75" s="1835">
        <f>+('Fauna Acompañante'!BM247)</f>
        <v>0</v>
      </c>
      <c r="AE75" s="1835">
        <f>+('Fauna Acompañante'!BN247)</f>
        <v>0</v>
      </c>
      <c r="AF75" s="1835">
        <f>+('Fauna Acompañante'!BO247)</f>
        <v>0</v>
      </c>
      <c r="AG75" s="1835">
        <f>+('Fauna Acompañante'!BP247)</f>
        <v>0</v>
      </c>
      <c r="AH75" s="1834">
        <f t="shared" si="13"/>
        <v>0</v>
      </c>
    </row>
    <row r="76" spans="1:34" ht="15">
      <c r="A76" s="1524" t="s">
        <v>76</v>
      </c>
      <c r="B76" s="1527">
        <f t="shared" si="12"/>
        <v>0</v>
      </c>
      <c r="C76" s="1835">
        <f>+('Fauna Acompañante'!AL248)</f>
        <v>0</v>
      </c>
      <c r="D76" s="1835">
        <f>+('Fauna Acompañante'!AM248)</f>
        <v>0</v>
      </c>
      <c r="E76" s="1835">
        <f>+('Fauna Acompañante'!AN248)</f>
        <v>0</v>
      </c>
      <c r="F76" s="1835">
        <f>+('Fauna Acompañante'!AO248)</f>
        <v>0</v>
      </c>
      <c r="G76" s="1835">
        <f>+('Fauna Acompañante'!AP248)</f>
        <v>0</v>
      </c>
      <c r="H76" s="1835">
        <f>+('Fauna Acompañante'!AQ248)</f>
        <v>0</v>
      </c>
      <c r="I76" s="1835">
        <f>+('Fauna Acompañante'!AR248)</f>
        <v>0</v>
      </c>
      <c r="J76" s="1835">
        <f>+('Fauna Acompañante'!AS248)</f>
        <v>0</v>
      </c>
      <c r="K76" s="1835">
        <f>+('Fauna Acompañante'!AT248)</f>
        <v>0</v>
      </c>
      <c r="L76" s="1835">
        <f>+('Fauna Acompañante'!AU248)</f>
        <v>0</v>
      </c>
      <c r="M76" s="1835">
        <f>+('Fauna Acompañante'!AV248)</f>
        <v>0</v>
      </c>
      <c r="N76" s="1835">
        <f>+('Fauna Acompañante'!AW248)</f>
        <v>0</v>
      </c>
      <c r="O76" s="1835">
        <f>+('Fauna Acompañante'!AX248)</f>
        <v>0</v>
      </c>
      <c r="P76" s="1835">
        <f>+('Fauna Acompañante'!AY248)</f>
        <v>0</v>
      </c>
      <c r="Q76" s="1835">
        <f>+('Fauna Acompañante'!AZ248)</f>
        <v>0</v>
      </c>
      <c r="R76" s="1835">
        <f>+('Fauna Acompañante'!BA248)</f>
        <v>0</v>
      </c>
      <c r="S76" s="1835">
        <f>+('Fauna Acompañante'!BB248)</f>
        <v>0</v>
      </c>
      <c r="T76" s="1835">
        <f>+('Fauna Acompañante'!BC248)</f>
        <v>0</v>
      </c>
      <c r="U76" s="1835">
        <f>+('Fauna Acompañante'!BD248)</f>
        <v>0</v>
      </c>
      <c r="V76" s="1835">
        <f>+('Fauna Acompañante'!BE248)</f>
        <v>0</v>
      </c>
      <c r="W76" s="1835">
        <f>+('Fauna Acompañante'!BF248)</f>
        <v>0</v>
      </c>
      <c r="X76" s="1835">
        <f>+('Fauna Acompañante'!BG248)</f>
        <v>0</v>
      </c>
      <c r="Y76" s="1835">
        <f>+('Fauna Acompañante'!BH248)</f>
        <v>0</v>
      </c>
      <c r="Z76" s="1835">
        <f>+('Fauna Acompañante'!BI248)</f>
        <v>0</v>
      </c>
      <c r="AA76" s="1835">
        <f>+('Fauna Acompañante'!BJ248)</f>
        <v>0</v>
      </c>
      <c r="AB76" s="1835">
        <f>+('Fauna Acompañante'!BK248)</f>
        <v>0</v>
      </c>
      <c r="AC76" s="1835">
        <f>+('Fauna Acompañante'!BL248)</f>
        <v>0</v>
      </c>
      <c r="AD76" s="1835">
        <f>+('Fauna Acompañante'!BM248)</f>
        <v>0</v>
      </c>
      <c r="AE76" s="1835">
        <f>+('Fauna Acompañante'!BN248)</f>
        <v>0</v>
      </c>
      <c r="AF76" s="1835">
        <f>+('Fauna Acompañante'!BO248)</f>
        <v>0</v>
      </c>
      <c r="AG76" s="1835">
        <f>+('Fauna Acompañante'!BP248)</f>
        <v>0</v>
      </c>
      <c r="AH76" s="1834">
        <f t="shared" si="13"/>
        <v>0</v>
      </c>
    </row>
    <row r="77" spans="1:34" ht="15">
      <c r="A77" s="1524" t="s">
        <v>77</v>
      </c>
      <c r="B77" s="1527">
        <f t="shared" si="12"/>
        <v>0</v>
      </c>
      <c r="C77" s="1835">
        <f>+('Fauna Acompañante'!AL249)</f>
        <v>0</v>
      </c>
      <c r="D77" s="1835">
        <f>+('Fauna Acompañante'!AM249)</f>
        <v>0</v>
      </c>
      <c r="E77" s="1835">
        <f>+('Fauna Acompañante'!AN249)</f>
        <v>0</v>
      </c>
      <c r="F77" s="1835">
        <f>+('Fauna Acompañante'!AO249)</f>
        <v>0</v>
      </c>
      <c r="G77" s="1835">
        <f>+('Fauna Acompañante'!AP249)</f>
        <v>0</v>
      </c>
      <c r="H77" s="1835">
        <f>+('Fauna Acompañante'!AQ249)</f>
        <v>0</v>
      </c>
      <c r="I77" s="1835">
        <f>+('Fauna Acompañante'!AR249)</f>
        <v>0</v>
      </c>
      <c r="J77" s="1835">
        <f>+('Fauna Acompañante'!AS249)</f>
        <v>0</v>
      </c>
      <c r="K77" s="1835">
        <f>+('Fauna Acompañante'!AT249)</f>
        <v>0</v>
      </c>
      <c r="L77" s="1835">
        <f>+('Fauna Acompañante'!AU249)</f>
        <v>0</v>
      </c>
      <c r="M77" s="1835">
        <f>+('Fauna Acompañante'!AV249)</f>
        <v>0</v>
      </c>
      <c r="N77" s="1835">
        <f>+('Fauna Acompañante'!AW249)</f>
        <v>0</v>
      </c>
      <c r="O77" s="1835">
        <f>+('Fauna Acompañante'!AX249)</f>
        <v>0</v>
      </c>
      <c r="P77" s="1835">
        <f>+('Fauna Acompañante'!AY249)</f>
        <v>0</v>
      </c>
      <c r="Q77" s="1835">
        <f>+('Fauna Acompañante'!AZ249)</f>
        <v>0</v>
      </c>
      <c r="R77" s="1835">
        <f>+('Fauna Acompañante'!BA249)</f>
        <v>0</v>
      </c>
      <c r="S77" s="1835">
        <f>+('Fauna Acompañante'!BB249)</f>
        <v>0</v>
      </c>
      <c r="T77" s="1835">
        <f>+('Fauna Acompañante'!BC249)</f>
        <v>0</v>
      </c>
      <c r="U77" s="1835">
        <f>+('Fauna Acompañante'!BD249)</f>
        <v>0</v>
      </c>
      <c r="V77" s="1835">
        <f>+('Fauna Acompañante'!BE249)</f>
        <v>0</v>
      </c>
      <c r="W77" s="1835">
        <f>+('Fauna Acompañante'!BF249)</f>
        <v>0</v>
      </c>
      <c r="X77" s="1835">
        <f>+('Fauna Acompañante'!BG249)</f>
        <v>0</v>
      </c>
      <c r="Y77" s="1835">
        <f>+('Fauna Acompañante'!BH249)</f>
        <v>0</v>
      </c>
      <c r="Z77" s="1835">
        <f>+('Fauna Acompañante'!BI249)</f>
        <v>0</v>
      </c>
      <c r="AA77" s="1835">
        <f>+('Fauna Acompañante'!BJ249)</f>
        <v>0</v>
      </c>
      <c r="AB77" s="1835">
        <f>+('Fauna Acompañante'!BK249)</f>
        <v>0</v>
      </c>
      <c r="AC77" s="1835">
        <f>+('Fauna Acompañante'!BL249)</f>
        <v>0</v>
      </c>
      <c r="AD77" s="1835">
        <f>+('Fauna Acompañante'!BM249)</f>
        <v>0</v>
      </c>
      <c r="AE77" s="1835">
        <f>+('Fauna Acompañante'!BN249)</f>
        <v>0</v>
      </c>
      <c r="AF77" s="1835">
        <f>+('Fauna Acompañante'!BO249)</f>
        <v>0</v>
      </c>
      <c r="AG77" s="1835">
        <f>+('Fauna Acompañante'!BP249)</f>
        <v>0</v>
      </c>
      <c r="AH77" s="1834">
        <f t="shared" si="13"/>
        <v>0</v>
      </c>
    </row>
    <row r="78" spans="1:34" ht="15">
      <c r="A78" s="1524" t="s">
        <v>78</v>
      </c>
      <c r="B78" s="1527">
        <f t="shared" si="12"/>
        <v>0</v>
      </c>
      <c r="C78" s="1835">
        <f>+('Fauna Acompañante'!AL250)</f>
        <v>0</v>
      </c>
      <c r="D78" s="1835">
        <f>+('Fauna Acompañante'!AM250)</f>
        <v>0</v>
      </c>
      <c r="E78" s="1835">
        <f>+('Fauna Acompañante'!AN250)</f>
        <v>0</v>
      </c>
      <c r="F78" s="1835">
        <f>+('Fauna Acompañante'!AO250)</f>
        <v>0</v>
      </c>
      <c r="G78" s="1835">
        <f>+('Fauna Acompañante'!AP250)</f>
        <v>0</v>
      </c>
      <c r="H78" s="1835">
        <f>+('Fauna Acompañante'!AQ250)</f>
        <v>0</v>
      </c>
      <c r="I78" s="1835">
        <f>+('Fauna Acompañante'!AR250)</f>
        <v>0</v>
      </c>
      <c r="J78" s="1835">
        <f>+('Fauna Acompañante'!AS250)</f>
        <v>0</v>
      </c>
      <c r="K78" s="1835">
        <f>+('Fauna Acompañante'!AT250)</f>
        <v>0</v>
      </c>
      <c r="L78" s="1835">
        <f>+('Fauna Acompañante'!AU250)</f>
        <v>0</v>
      </c>
      <c r="M78" s="1835">
        <f>+('Fauna Acompañante'!AV250)</f>
        <v>0</v>
      </c>
      <c r="N78" s="1835">
        <f>+('Fauna Acompañante'!AW250)</f>
        <v>0</v>
      </c>
      <c r="O78" s="1835">
        <f>+('Fauna Acompañante'!AX250)</f>
        <v>0</v>
      </c>
      <c r="P78" s="1835">
        <f>+('Fauna Acompañante'!AY250)</f>
        <v>0</v>
      </c>
      <c r="Q78" s="1835">
        <f>+('Fauna Acompañante'!AZ250)</f>
        <v>0</v>
      </c>
      <c r="R78" s="1835">
        <f>+('Fauna Acompañante'!BA250)</f>
        <v>0</v>
      </c>
      <c r="S78" s="1835">
        <f>+('Fauna Acompañante'!BB250)</f>
        <v>0</v>
      </c>
      <c r="T78" s="1835">
        <f>+('Fauna Acompañante'!BC250)</f>
        <v>0</v>
      </c>
      <c r="U78" s="1835">
        <f>+('Fauna Acompañante'!BD250)</f>
        <v>0</v>
      </c>
      <c r="V78" s="1835">
        <f>+('Fauna Acompañante'!BE250)</f>
        <v>0</v>
      </c>
      <c r="W78" s="1835">
        <f>+('Fauna Acompañante'!BF250)</f>
        <v>0</v>
      </c>
      <c r="X78" s="1835">
        <f>+('Fauna Acompañante'!BG250)</f>
        <v>0</v>
      </c>
      <c r="Y78" s="1835">
        <f>+('Fauna Acompañante'!BH250)</f>
        <v>0</v>
      </c>
      <c r="Z78" s="1835">
        <f>+('Fauna Acompañante'!BI250)</f>
        <v>0</v>
      </c>
      <c r="AA78" s="1835">
        <f>+('Fauna Acompañante'!BJ250)</f>
        <v>0</v>
      </c>
      <c r="AB78" s="1835">
        <f>+('Fauna Acompañante'!BK250)</f>
        <v>0</v>
      </c>
      <c r="AC78" s="1835">
        <f>+('Fauna Acompañante'!BL250)</f>
        <v>0</v>
      </c>
      <c r="AD78" s="1835">
        <f>+('Fauna Acompañante'!BM250)</f>
        <v>0</v>
      </c>
      <c r="AE78" s="1835">
        <f>+('Fauna Acompañante'!BN250)</f>
        <v>0</v>
      </c>
      <c r="AF78" s="1835">
        <f>+('Fauna Acompañante'!BO250)</f>
        <v>0</v>
      </c>
      <c r="AG78" s="1835">
        <f>+('Fauna Acompañante'!BP250)</f>
        <v>0</v>
      </c>
      <c r="AH78" s="1834">
        <f t="shared" si="13"/>
        <v>0</v>
      </c>
    </row>
    <row r="79" spans="1:34" ht="15">
      <c r="A79" s="1524" t="s">
        <v>79</v>
      </c>
      <c r="B79" s="1527">
        <f t="shared" si="12"/>
        <v>0</v>
      </c>
      <c r="C79" s="1835">
        <f>+('Fauna Acompañante'!AL251)</f>
        <v>0</v>
      </c>
      <c r="D79" s="1835">
        <f>+('Fauna Acompañante'!AM251)</f>
        <v>0</v>
      </c>
      <c r="E79" s="1835">
        <f>+('Fauna Acompañante'!AN251)</f>
        <v>0</v>
      </c>
      <c r="F79" s="1835">
        <f>+('Fauna Acompañante'!AO251)</f>
        <v>0</v>
      </c>
      <c r="G79" s="1835">
        <f>+('Fauna Acompañante'!AP251)</f>
        <v>0</v>
      </c>
      <c r="H79" s="1835">
        <f>+('Fauna Acompañante'!AQ251)</f>
        <v>0</v>
      </c>
      <c r="I79" s="1835">
        <f>+('Fauna Acompañante'!AR251)</f>
        <v>0</v>
      </c>
      <c r="J79" s="1835">
        <f>+('Fauna Acompañante'!AS251)</f>
        <v>0</v>
      </c>
      <c r="K79" s="1835">
        <f>+('Fauna Acompañante'!AT251)</f>
        <v>0</v>
      </c>
      <c r="L79" s="1835">
        <f>+('Fauna Acompañante'!AU251)</f>
        <v>0</v>
      </c>
      <c r="M79" s="1835">
        <f>+('Fauna Acompañante'!AV251)</f>
        <v>0</v>
      </c>
      <c r="N79" s="1835">
        <f>+('Fauna Acompañante'!AW251)</f>
        <v>0</v>
      </c>
      <c r="O79" s="1835">
        <f>+('Fauna Acompañante'!AX251)</f>
        <v>0</v>
      </c>
      <c r="P79" s="1835">
        <f>+('Fauna Acompañante'!AY251)</f>
        <v>0</v>
      </c>
      <c r="Q79" s="1835">
        <f>+('Fauna Acompañante'!AZ251)</f>
        <v>0</v>
      </c>
      <c r="R79" s="1835">
        <f>+('Fauna Acompañante'!BA251)</f>
        <v>0</v>
      </c>
      <c r="S79" s="1835">
        <f>+('Fauna Acompañante'!BB251)</f>
        <v>0</v>
      </c>
      <c r="T79" s="1835">
        <f>+('Fauna Acompañante'!BC251)</f>
        <v>0</v>
      </c>
      <c r="U79" s="1835">
        <f>+('Fauna Acompañante'!BD251)</f>
        <v>0</v>
      </c>
      <c r="V79" s="1835">
        <f>+('Fauna Acompañante'!BE251)</f>
        <v>0</v>
      </c>
      <c r="W79" s="1835">
        <f>+('Fauna Acompañante'!BF251)</f>
        <v>0</v>
      </c>
      <c r="X79" s="1835">
        <f>+('Fauna Acompañante'!BG251)</f>
        <v>0</v>
      </c>
      <c r="Y79" s="1835">
        <f>+('Fauna Acompañante'!BH251)</f>
        <v>0</v>
      </c>
      <c r="Z79" s="1835">
        <f>+('Fauna Acompañante'!BI251)</f>
        <v>0</v>
      </c>
      <c r="AA79" s="1835">
        <f>+('Fauna Acompañante'!BJ251)</f>
        <v>0</v>
      </c>
      <c r="AB79" s="1835">
        <f>+('Fauna Acompañante'!BK251)</f>
        <v>0</v>
      </c>
      <c r="AC79" s="1835">
        <f>+('Fauna Acompañante'!BL251)</f>
        <v>0</v>
      </c>
      <c r="AD79" s="1835">
        <f>+('Fauna Acompañante'!BM251)</f>
        <v>0</v>
      </c>
      <c r="AE79" s="1835">
        <f>+('Fauna Acompañante'!BN251)</f>
        <v>0</v>
      </c>
      <c r="AF79" s="1835">
        <f>+('Fauna Acompañante'!BO251)</f>
        <v>0</v>
      </c>
      <c r="AG79" s="1835">
        <f>+('Fauna Acompañante'!BP251)</f>
        <v>0</v>
      </c>
      <c r="AH79" s="1834">
        <f t="shared" si="13"/>
        <v>0</v>
      </c>
    </row>
    <row r="80" spans="1:34" ht="15">
      <c r="A80" s="1524" t="s">
        <v>80</v>
      </c>
      <c r="B80" s="1527">
        <f t="shared" si="12"/>
        <v>0</v>
      </c>
      <c r="C80" s="1835">
        <f>+('Fauna Acompañante'!AL252)</f>
        <v>0</v>
      </c>
      <c r="D80" s="1835">
        <f>+('Fauna Acompañante'!AM252)</f>
        <v>0</v>
      </c>
      <c r="E80" s="1835">
        <f>+('Fauna Acompañante'!AN252)</f>
        <v>0</v>
      </c>
      <c r="F80" s="1835">
        <f>+('Fauna Acompañante'!AO252)</f>
        <v>0</v>
      </c>
      <c r="G80" s="1835">
        <f>+('Fauna Acompañante'!AP252)</f>
        <v>0</v>
      </c>
      <c r="H80" s="1835">
        <f>+('Fauna Acompañante'!AQ252)</f>
        <v>0</v>
      </c>
      <c r="I80" s="1835">
        <f>+('Fauna Acompañante'!AR252)</f>
        <v>0</v>
      </c>
      <c r="J80" s="1835">
        <f>+('Fauna Acompañante'!AS252)</f>
        <v>0</v>
      </c>
      <c r="K80" s="1835">
        <f>+('Fauna Acompañante'!AT252)</f>
        <v>0</v>
      </c>
      <c r="L80" s="1835">
        <f>+('Fauna Acompañante'!AU252)</f>
        <v>0</v>
      </c>
      <c r="M80" s="1835">
        <f>+('Fauna Acompañante'!AV252)</f>
        <v>0</v>
      </c>
      <c r="N80" s="1835">
        <f>+('Fauna Acompañante'!AW252)</f>
        <v>0</v>
      </c>
      <c r="O80" s="1835">
        <f>+('Fauna Acompañante'!AX252)</f>
        <v>0</v>
      </c>
      <c r="P80" s="1835">
        <f>+('Fauna Acompañante'!AY252)</f>
        <v>0</v>
      </c>
      <c r="Q80" s="1835">
        <f>+('Fauna Acompañante'!AZ252)</f>
        <v>0</v>
      </c>
      <c r="R80" s="1835">
        <f>+('Fauna Acompañante'!BA252)</f>
        <v>0</v>
      </c>
      <c r="S80" s="1835">
        <f>+('Fauna Acompañante'!BB252)</f>
        <v>0</v>
      </c>
      <c r="T80" s="1835">
        <f>+('Fauna Acompañante'!BC252)</f>
        <v>0</v>
      </c>
      <c r="U80" s="1835">
        <f>+('Fauna Acompañante'!BD252)</f>
        <v>0</v>
      </c>
      <c r="V80" s="1835">
        <f>+('Fauna Acompañante'!BE252)</f>
        <v>0</v>
      </c>
      <c r="W80" s="1835">
        <f>+('Fauna Acompañante'!BF252)</f>
        <v>0</v>
      </c>
      <c r="X80" s="1835">
        <f>+('Fauna Acompañante'!BG252)</f>
        <v>0</v>
      </c>
      <c r="Y80" s="1835">
        <f>+('Fauna Acompañante'!BH252)</f>
        <v>0</v>
      </c>
      <c r="Z80" s="1835">
        <f>+('Fauna Acompañante'!BI252)</f>
        <v>0</v>
      </c>
      <c r="AA80" s="1835">
        <f>+('Fauna Acompañante'!BJ252)</f>
        <v>0</v>
      </c>
      <c r="AB80" s="1835">
        <f>+('Fauna Acompañante'!BK252)</f>
        <v>0</v>
      </c>
      <c r="AC80" s="1835">
        <f>+('Fauna Acompañante'!BL252)</f>
        <v>0</v>
      </c>
      <c r="AD80" s="1835">
        <f>+('Fauna Acompañante'!BM252)</f>
        <v>0</v>
      </c>
      <c r="AE80" s="1835">
        <f>+('Fauna Acompañante'!BN252)</f>
        <v>0</v>
      </c>
      <c r="AF80" s="1835">
        <f>+('Fauna Acompañante'!BO252)</f>
        <v>0</v>
      </c>
      <c r="AG80" s="1835">
        <f>+('Fauna Acompañante'!BP252)</f>
        <v>0</v>
      </c>
      <c r="AH80" s="1834">
        <f t="shared" si="13"/>
        <v>0</v>
      </c>
    </row>
    <row r="81" spans="1:34" ht="15">
      <c r="A81" s="1524" t="s">
        <v>81</v>
      </c>
      <c r="B81" s="1527">
        <f t="shared" si="12"/>
        <v>0</v>
      </c>
      <c r="C81" s="1835">
        <f>+('Fauna Acompañante'!AL253)</f>
        <v>0</v>
      </c>
      <c r="D81" s="1835">
        <f>+('Fauna Acompañante'!AM253)</f>
        <v>0</v>
      </c>
      <c r="E81" s="1835">
        <f>+('Fauna Acompañante'!AN253)</f>
        <v>0</v>
      </c>
      <c r="F81" s="1835">
        <f>+('Fauna Acompañante'!AO253)</f>
        <v>0</v>
      </c>
      <c r="G81" s="1835">
        <f>+('Fauna Acompañante'!AP253)</f>
        <v>0</v>
      </c>
      <c r="H81" s="1835">
        <f>+('Fauna Acompañante'!AQ253)</f>
        <v>0</v>
      </c>
      <c r="I81" s="1835">
        <f>+('Fauna Acompañante'!AR253)</f>
        <v>0</v>
      </c>
      <c r="J81" s="1835">
        <f>+('Fauna Acompañante'!AS253)</f>
        <v>0</v>
      </c>
      <c r="K81" s="1835">
        <f>+('Fauna Acompañante'!AT253)</f>
        <v>0</v>
      </c>
      <c r="L81" s="1835">
        <f>+('Fauna Acompañante'!AU253)</f>
        <v>0</v>
      </c>
      <c r="M81" s="1835">
        <f>+('Fauna Acompañante'!AV253)</f>
        <v>0</v>
      </c>
      <c r="N81" s="1835">
        <f>+('Fauna Acompañante'!AW253)</f>
        <v>0</v>
      </c>
      <c r="O81" s="1835">
        <f>+('Fauna Acompañante'!AX253)</f>
        <v>0</v>
      </c>
      <c r="P81" s="1835">
        <f>+('Fauna Acompañante'!AY253)</f>
        <v>0</v>
      </c>
      <c r="Q81" s="1835">
        <f>+('Fauna Acompañante'!AZ253)</f>
        <v>0</v>
      </c>
      <c r="R81" s="1835">
        <f>+('Fauna Acompañante'!BA253)</f>
        <v>0</v>
      </c>
      <c r="S81" s="1835">
        <f>+('Fauna Acompañante'!BB253)</f>
        <v>0</v>
      </c>
      <c r="T81" s="1835">
        <f>+('Fauna Acompañante'!BC253)</f>
        <v>0</v>
      </c>
      <c r="U81" s="1835">
        <f>+('Fauna Acompañante'!BD253)</f>
        <v>0</v>
      </c>
      <c r="V81" s="1835">
        <f>+('Fauna Acompañante'!BE253)</f>
        <v>0</v>
      </c>
      <c r="W81" s="1835">
        <f>+('Fauna Acompañante'!BF253)</f>
        <v>0</v>
      </c>
      <c r="X81" s="1835">
        <f>+('Fauna Acompañante'!BG253)</f>
        <v>0</v>
      </c>
      <c r="Y81" s="1835">
        <f>+('Fauna Acompañante'!BH253)</f>
        <v>0</v>
      </c>
      <c r="Z81" s="1835">
        <f>+('Fauna Acompañante'!BI253)</f>
        <v>0</v>
      </c>
      <c r="AA81" s="1835">
        <f>+('Fauna Acompañante'!BJ253)</f>
        <v>0</v>
      </c>
      <c r="AB81" s="1835">
        <f>+('Fauna Acompañante'!BK253)</f>
        <v>0</v>
      </c>
      <c r="AC81" s="1835">
        <f>+('Fauna Acompañante'!BL253)</f>
        <v>0</v>
      </c>
      <c r="AD81" s="1835">
        <f>+('Fauna Acompañante'!BM253)</f>
        <v>0</v>
      </c>
      <c r="AE81" s="1835">
        <f>+('Fauna Acompañante'!BN253)</f>
        <v>0</v>
      </c>
      <c r="AF81" s="1835">
        <f>+('Fauna Acompañante'!BO253)</f>
        <v>0</v>
      </c>
      <c r="AG81" s="1835">
        <f>+('Fauna Acompañante'!BP253)</f>
        <v>0</v>
      </c>
      <c r="AH81" s="1834">
        <f t="shared" si="13"/>
        <v>0</v>
      </c>
    </row>
    <row r="82" spans="1:34" ht="15">
      <c r="A82" s="1524" t="s">
        <v>82</v>
      </c>
      <c r="B82" s="1527">
        <f t="shared" si="12"/>
        <v>0</v>
      </c>
      <c r="C82" s="1835">
        <f>+('Fauna Acompañante'!AL254)</f>
        <v>0</v>
      </c>
      <c r="D82" s="1835">
        <f>+('Fauna Acompañante'!AM254)</f>
        <v>0</v>
      </c>
      <c r="E82" s="1835">
        <f>+('Fauna Acompañante'!AN254)</f>
        <v>0</v>
      </c>
      <c r="F82" s="1835">
        <f>+('Fauna Acompañante'!AO254)</f>
        <v>0</v>
      </c>
      <c r="G82" s="1835">
        <f>+('Fauna Acompañante'!AP254)</f>
        <v>0</v>
      </c>
      <c r="H82" s="1835">
        <f>+('Fauna Acompañante'!AQ254)</f>
        <v>0</v>
      </c>
      <c r="I82" s="1835">
        <f>+('Fauna Acompañante'!AR254)</f>
        <v>0</v>
      </c>
      <c r="J82" s="1835">
        <f>+('Fauna Acompañante'!AS254)</f>
        <v>0</v>
      </c>
      <c r="K82" s="1835">
        <f>+('Fauna Acompañante'!AT254)</f>
        <v>0</v>
      </c>
      <c r="L82" s="1835">
        <f>+('Fauna Acompañante'!AU254)</f>
        <v>0</v>
      </c>
      <c r="M82" s="1835">
        <f>+('Fauna Acompañante'!AV254)</f>
        <v>0</v>
      </c>
      <c r="N82" s="1835">
        <f>+('Fauna Acompañante'!AW254)</f>
        <v>0</v>
      </c>
      <c r="O82" s="1835">
        <f>+('Fauna Acompañante'!AX254)</f>
        <v>0</v>
      </c>
      <c r="P82" s="1835">
        <f>+('Fauna Acompañante'!AY254)</f>
        <v>0</v>
      </c>
      <c r="Q82" s="1835">
        <f>+('Fauna Acompañante'!AZ254)</f>
        <v>0</v>
      </c>
      <c r="R82" s="1835">
        <f>+('Fauna Acompañante'!BA254)</f>
        <v>0</v>
      </c>
      <c r="S82" s="1835">
        <f>+('Fauna Acompañante'!BB254)</f>
        <v>0</v>
      </c>
      <c r="T82" s="1835">
        <f>+('Fauna Acompañante'!BC254)</f>
        <v>0</v>
      </c>
      <c r="U82" s="1835">
        <f>+('Fauna Acompañante'!BD254)</f>
        <v>0</v>
      </c>
      <c r="V82" s="1835">
        <f>+('Fauna Acompañante'!BE254)</f>
        <v>0</v>
      </c>
      <c r="W82" s="1835">
        <f>+('Fauna Acompañante'!BF254)</f>
        <v>0</v>
      </c>
      <c r="X82" s="1835">
        <f>+('Fauna Acompañante'!BG254)</f>
        <v>0</v>
      </c>
      <c r="Y82" s="1835">
        <f>+('Fauna Acompañante'!BH254)</f>
        <v>0</v>
      </c>
      <c r="Z82" s="1835">
        <f>+('Fauna Acompañante'!BI254)</f>
        <v>0</v>
      </c>
      <c r="AA82" s="1835">
        <f>+('Fauna Acompañante'!BJ254)</f>
        <v>0</v>
      </c>
      <c r="AB82" s="1835">
        <f>+('Fauna Acompañante'!BK254)</f>
        <v>0</v>
      </c>
      <c r="AC82" s="1835">
        <f>+('Fauna Acompañante'!BL254)</f>
        <v>0</v>
      </c>
      <c r="AD82" s="1835">
        <f>+('Fauna Acompañante'!BM254)</f>
        <v>0</v>
      </c>
      <c r="AE82" s="1835">
        <f>+('Fauna Acompañante'!BN254)</f>
        <v>0</v>
      </c>
      <c r="AF82" s="1835">
        <f>+('Fauna Acompañante'!BO254)</f>
        <v>0</v>
      </c>
      <c r="AG82" s="1835">
        <f>+('Fauna Acompañante'!BP254)</f>
        <v>0</v>
      </c>
      <c r="AH82" s="1834">
        <f t="shared" si="13"/>
        <v>0</v>
      </c>
    </row>
    <row r="83" spans="1:34" ht="15">
      <c r="A83" s="1524" t="s">
        <v>83</v>
      </c>
      <c r="B83" s="1527">
        <f t="shared" si="12"/>
        <v>0</v>
      </c>
      <c r="C83" s="1835">
        <f>+('Fauna Acompañante'!AL255)</f>
        <v>0</v>
      </c>
      <c r="D83" s="1835">
        <f>+('Fauna Acompañante'!AM255)</f>
        <v>0</v>
      </c>
      <c r="E83" s="1835">
        <f>+('Fauna Acompañante'!AN255)</f>
        <v>0</v>
      </c>
      <c r="F83" s="1835">
        <f>+('Fauna Acompañante'!AO255)</f>
        <v>0</v>
      </c>
      <c r="G83" s="1835">
        <f>+('Fauna Acompañante'!AP255)</f>
        <v>0</v>
      </c>
      <c r="H83" s="1835">
        <f>+('Fauna Acompañante'!AQ255)</f>
        <v>0</v>
      </c>
      <c r="I83" s="1835">
        <f>+('Fauna Acompañante'!AR255)</f>
        <v>0</v>
      </c>
      <c r="J83" s="1835">
        <f>+('Fauna Acompañante'!AS255)</f>
        <v>0</v>
      </c>
      <c r="K83" s="1835">
        <f>+('Fauna Acompañante'!AT255)</f>
        <v>0</v>
      </c>
      <c r="L83" s="1835">
        <f>+('Fauna Acompañante'!AU255)</f>
        <v>0</v>
      </c>
      <c r="M83" s="1835">
        <f>+('Fauna Acompañante'!AV255)</f>
        <v>0</v>
      </c>
      <c r="N83" s="1835">
        <f>+('Fauna Acompañante'!AW255)</f>
        <v>0</v>
      </c>
      <c r="O83" s="1835">
        <f>+('Fauna Acompañante'!AX255)</f>
        <v>0</v>
      </c>
      <c r="P83" s="1835">
        <f>+('Fauna Acompañante'!AY255)</f>
        <v>0</v>
      </c>
      <c r="Q83" s="1835">
        <f>+('Fauna Acompañante'!AZ255)</f>
        <v>0</v>
      </c>
      <c r="R83" s="1835">
        <f>+('Fauna Acompañante'!BA255)</f>
        <v>0</v>
      </c>
      <c r="S83" s="1835">
        <f>+('Fauna Acompañante'!BB255)</f>
        <v>0</v>
      </c>
      <c r="T83" s="1835">
        <f>+('Fauna Acompañante'!BC255)</f>
        <v>0</v>
      </c>
      <c r="U83" s="1835">
        <f>+('Fauna Acompañante'!BD255)</f>
        <v>0</v>
      </c>
      <c r="V83" s="1835">
        <f>+('Fauna Acompañante'!BE255)</f>
        <v>0</v>
      </c>
      <c r="W83" s="1835">
        <f>+('Fauna Acompañante'!BF255)</f>
        <v>0</v>
      </c>
      <c r="X83" s="1835">
        <f>+('Fauna Acompañante'!BG255)</f>
        <v>0</v>
      </c>
      <c r="Y83" s="1835">
        <f>+('Fauna Acompañante'!BH255)</f>
        <v>0</v>
      </c>
      <c r="Z83" s="1835">
        <f>+('Fauna Acompañante'!BI255)</f>
        <v>0</v>
      </c>
      <c r="AA83" s="1835">
        <f>+('Fauna Acompañante'!BJ255)</f>
        <v>0</v>
      </c>
      <c r="AB83" s="1835">
        <f>+('Fauna Acompañante'!BK255)</f>
        <v>0</v>
      </c>
      <c r="AC83" s="1835">
        <f>+('Fauna Acompañante'!BL255)</f>
        <v>0</v>
      </c>
      <c r="AD83" s="1835">
        <f>+('Fauna Acompañante'!BM255)</f>
        <v>0</v>
      </c>
      <c r="AE83" s="1835">
        <f>+('Fauna Acompañante'!BN255)</f>
        <v>0</v>
      </c>
      <c r="AF83" s="1835">
        <f>+('Fauna Acompañante'!BO255)</f>
        <v>0</v>
      </c>
      <c r="AG83" s="1835">
        <f>+('Fauna Acompañante'!BP255)</f>
        <v>0</v>
      </c>
      <c r="AH83" s="1834">
        <f t="shared" si="13"/>
        <v>0</v>
      </c>
    </row>
    <row r="84" spans="1:34" ht="15">
      <c r="A84" s="1524" t="s">
        <v>84</v>
      </c>
      <c r="B84" s="1527">
        <f t="shared" si="12"/>
        <v>0</v>
      </c>
      <c r="C84" s="1835">
        <f>+('Fauna Acompañante'!AL256)</f>
        <v>0</v>
      </c>
      <c r="D84" s="1835">
        <f>+('Fauna Acompañante'!AM256)</f>
        <v>0</v>
      </c>
      <c r="E84" s="1835">
        <f>+('Fauna Acompañante'!AN256)</f>
        <v>0</v>
      </c>
      <c r="F84" s="1835">
        <f>+('Fauna Acompañante'!AO256)</f>
        <v>0</v>
      </c>
      <c r="G84" s="1835">
        <f>+('Fauna Acompañante'!AP256)</f>
        <v>0</v>
      </c>
      <c r="H84" s="1835">
        <f>+('Fauna Acompañante'!AQ256)</f>
        <v>0</v>
      </c>
      <c r="I84" s="1835">
        <f>+('Fauna Acompañante'!AR256)</f>
        <v>0</v>
      </c>
      <c r="J84" s="1835">
        <f>+('Fauna Acompañante'!AS256)</f>
        <v>0</v>
      </c>
      <c r="K84" s="1835">
        <f>+('Fauna Acompañante'!AT256)</f>
        <v>0</v>
      </c>
      <c r="L84" s="1835">
        <f>+('Fauna Acompañante'!AU256)</f>
        <v>0</v>
      </c>
      <c r="M84" s="1835">
        <f>+('Fauna Acompañante'!AV256)</f>
        <v>0</v>
      </c>
      <c r="N84" s="1835">
        <f>+('Fauna Acompañante'!AW256)</f>
        <v>0</v>
      </c>
      <c r="O84" s="1835">
        <f>+('Fauna Acompañante'!AX256)</f>
        <v>0</v>
      </c>
      <c r="P84" s="1835">
        <f>+('Fauna Acompañante'!AY256)</f>
        <v>0</v>
      </c>
      <c r="Q84" s="1835">
        <f>+('Fauna Acompañante'!AZ256)</f>
        <v>0</v>
      </c>
      <c r="R84" s="1835">
        <f>+('Fauna Acompañante'!BA256)</f>
        <v>0</v>
      </c>
      <c r="S84" s="1835">
        <f>+('Fauna Acompañante'!BB256)</f>
        <v>0</v>
      </c>
      <c r="T84" s="1835">
        <f>+('Fauna Acompañante'!BC256)</f>
        <v>0</v>
      </c>
      <c r="U84" s="1835">
        <f>+('Fauna Acompañante'!BD256)</f>
        <v>0</v>
      </c>
      <c r="V84" s="1835">
        <f>+('Fauna Acompañante'!BE256)</f>
        <v>0</v>
      </c>
      <c r="W84" s="1835">
        <f>+('Fauna Acompañante'!BF256)</f>
        <v>0</v>
      </c>
      <c r="X84" s="1835">
        <f>+('Fauna Acompañante'!BG256)</f>
        <v>0</v>
      </c>
      <c r="Y84" s="1835">
        <f>+('Fauna Acompañante'!BH256)</f>
        <v>0</v>
      </c>
      <c r="Z84" s="1835">
        <f>+('Fauna Acompañante'!BI256)</f>
        <v>0</v>
      </c>
      <c r="AA84" s="1835">
        <f>+('Fauna Acompañante'!BJ256)</f>
        <v>0</v>
      </c>
      <c r="AB84" s="1835">
        <f>+('Fauna Acompañante'!BK256)</f>
        <v>0</v>
      </c>
      <c r="AC84" s="1835">
        <f>+('Fauna Acompañante'!BL256)</f>
        <v>0</v>
      </c>
      <c r="AD84" s="1835">
        <f>+('Fauna Acompañante'!BM256)</f>
        <v>0</v>
      </c>
      <c r="AE84" s="1835">
        <f>+('Fauna Acompañante'!BN256)</f>
        <v>0</v>
      </c>
      <c r="AF84" s="1835">
        <f>+('Fauna Acompañante'!BO256)</f>
        <v>0</v>
      </c>
      <c r="AG84" s="1835">
        <f>+('Fauna Acompañante'!BP256)</f>
        <v>0</v>
      </c>
      <c r="AH84" s="1834">
        <f t="shared" si="13"/>
        <v>0</v>
      </c>
    </row>
    <row r="85" spans="1:34" ht="15">
      <c r="A85" s="1837" t="s">
        <v>72</v>
      </c>
      <c r="B85" s="1836">
        <f t="shared" ref="B85:AH85" si="14">SUM(B73:B84)</f>
        <v>7.4340000000000002</v>
      </c>
      <c r="C85" s="1835">
        <f t="shared" si="14"/>
        <v>2.1219999999999999</v>
      </c>
      <c r="D85" s="1835">
        <f t="shared" si="14"/>
        <v>0</v>
      </c>
      <c r="E85" s="1835">
        <f t="shared" si="14"/>
        <v>0</v>
      </c>
      <c r="F85" s="1835">
        <f t="shared" si="14"/>
        <v>0</v>
      </c>
      <c r="G85" s="1835">
        <f t="shared" si="14"/>
        <v>0</v>
      </c>
      <c r="H85" s="1835">
        <f t="shared" si="14"/>
        <v>0</v>
      </c>
      <c r="I85" s="1835">
        <f t="shared" si="14"/>
        <v>0</v>
      </c>
      <c r="J85" s="1835">
        <f t="shared" si="14"/>
        <v>0</v>
      </c>
      <c r="K85" s="1835">
        <f t="shared" si="14"/>
        <v>0</v>
      </c>
      <c r="L85" s="1835">
        <f t="shared" si="14"/>
        <v>0</v>
      </c>
      <c r="M85" s="1835">
        <f t="shared" si="14"/>
        <v>0</v>
      </c>
      <c r="N85" s="1835">
        <f t="shared" si="14"/>
        <v>0</v>
      </c>
      <c r="O85" s="1835">
        <f t="shared" si="14"/>
        <v>0</v>
      </c>
      <c r="P85" s="1835">
        <f t="shared" si="14"/>
        <v>0</v>
      </c>
      <c r="Q85" s="1835">
        <f t="shared" si="14"/>
        <v>0</v>
      </c>
      <c r="R85" s="1835">
        <f t="shared" si="14"/>
        <v>0</v>
      </c>
      <c r="S85" s="1835">
        <f t="shared" si="14"/>
        <v>0</v>
      </c>
      <c r="T85" s="1835">
        <f t="shared" si="14"/>
        <v>0</v>
      </c>
      <c r="U85" s="1835">
        <f t="shared" si="14"/>
        <v>0</v>
      </c>
      <c r="V85" s="1835">
        <f t="shared" si="14"/>
        <v>0</v>
      </c>
      <c r="W85" s="1835">
        <f t="shared" si="14"/>
        <v>0</v>
      </c>
      <c r="X85" s="1835">
        <f t="shared" si="14"/>
        <v>0</v>
      </c>
      <c r="Y85" s="1835">
        <f t="shared" si="14"/>
        <v>0</v>
      </c>
      <c r="Z85" s="1835">
        <f t="shared" si="14"/>
        <v>9.8000000000000004E-2</v>
      </c>
      <c r="AA85" s="1835">
        <f t="shared" si="14"/>
        <v>0</v>
      </c>
      <c r="AB85" s="1835">
        <f t="shared" si="14"/>
        <v>0</v>
      </c>
      <c r="AC85" s="1835">
        <f t="shared" si="14"/>
        <v>0</v>
      </c>
      <c r="AD85" s="1835">
        <f t="shared" si="14"/>
        <v>4.7320000000000002</v>
      </c>
      <c r="AE85" s="1835">
        <f t="shared" si="14"/>
        <v>0</v>
      </c>
      <c r="AF85" s="1835">
        <f t="shared" si="14"/>
        <v>0.48199999999999998</v>
      </c>
      <c r="AG85" s="1835">
        <f t="shared" si="14"/>
        <v>0</v>
      </c>
      <c r="AH85" s="1834">
        <f t="shared" si="14"/>
        <v>7.4340000000000002</v>
      </c>
    </row>
    <row r="88" spans="1:34" ht="15">
      <c r="A88" s="4035" t="s">
        <v>748</v>
      </c>
      <c r="B88" s="4036"/>
      <c r="C88" s="4036"/>
      <c r="D88" s="4036"/>
      <c r="E88" s="4036"/>
      <c r="F88" s="4036"/>
      <c r="G88" s="4036"/>
      <c r="H88" s="4036"/>
      <c r="I88" s="4036"/>
      <c r="J88" s="4036"/>
      <c r="K88" s="4036"/>
      <c r="L88" s="4036"/>
      <c r="M88" s="4036"/>
      <c r="N88" s="4036"/>
      <c r="O88" s="4036"/>
      <c r="P88" s="4036"/>
      <c r="Q88" s="4036"/>
      <c r="R88" s="4036"/>
      <c r="S88" s="4036"/>
      <c r="T88" s="4037"/>
      <c r="U88" s="1833"/>
      <c r="V88" s="1833"/>
      <c r="W88" s="1833"/>
      <c r="X88" s="1833"/>
      <c r="Y88" s="1833"/>
      <c r="Z88" s="1833"/>
      <c r="AA88" s="1833"/>
      <c r="AB88" s="1833"/>
      <c r="AC88" s="1833"/>
      <c r="AD88" s="1833"/>
      <c r="AE88" s="1833"/>
      <c r="AF88" s="1833"/>
      <c r="AG88" s="1833"/>
      <c r="AH88" s="1833"/>
    </row>
    <row r="89" spans="1:34">
      <c r="A89" s="1833"/>
      <c r="B89" s="1833"/>
      <c r="C89" s="1833"/>
      <c r="D89" s="1833"/>
      <c r="E89" s="1833"/>
      <c r="F89" s="1833"/>
      <c r="G89" s="1833"/>
      <c r="H89" s="1833"/>
      <c r="I89" s="1833"/>
      <c r="J89" s="1833"/>
      <c r="K89" s="1833"/>
      <c r="L89" s="1833"/>
      <c r="M89" s="1833"/>
      <c r="N89" s="1833"/>
      <c r="O89" s="1833"/>
      <c r="P89" s="1833"/>
      <c r="Q89" s="1833"/>
      <c r="R89" s="1833"/>
      <c r="S89" s="1833"/>
      <c r="T89" s="1833"/>
      <c r="U89" s="1833"/>
      <c r="V89" s="1833"/>
      <c r="W89" s="1833"/>
      <c r="X89" s="1833"/>
      <c r="Y89" s="1833"/>
      <c r="Z89" s="1833"/>
      <c r="AA89" s="1833"/>
      <c r="AB89" s="1833"/>
      <c r="AC89" s="1833"/>
      <c r="AD89" s="1833"/>
      <c r="AE89" s="1833"/>
      <c r="AF89" s="1833"/>
      <c r="AG89" s="1833"/>
      <c r="AH89" s="1833"/>
    </row>
    <row r="90" spans="1:34">
      <c r="A90" s="1833"/>
      <c r="B90" s="1833"/>
      <c r="C90" s="1833"/>
      <c r="D90" s="1833"/>
      <c r="E90" s="1833"/>
      <c r="F90" s="1833"/>
      <c r="G90" s="1833"/>
      <c r="H90" s="1833"/>
      <c r="I90" s="1833"/>
      <c r="J90" s="1833"/>
      <c r="K90" s="1833"/>
      <c r="L90" s="1833"/>
      <c r="M90" s="1833"/>
      <c r="N90" s="1833"/>
      <c r="O90" s="1833"/>
      <c r="P90" s="1833"/>
      <c r="Q90" s="1833"/>
      <c r="R90" s="1833"/>
      <c r="S90" s="1833"/>
      <c r="T90" s="1833"/>
      <c r="U90" s="1833"/>
      <c r="V90" s="1833"/>
      <c r="W90" s="1833"/>
      <c r="X90" s="1833"/>
      <c r="Y90" s="1833"/>
      <c r="Z90" s="1833"/>
      <c r="AA90" s="1833"/>
      <c r="AB90" s="1833"/>
      <c r="AC90" s="1833"/>
      <c r="AD90" s="1833"/>
      <c r="AE90" s="1833"/>
      <c r="AF90" s="1833"/>
      <c r="AG90" s="1833"/>
      <c r="AH90" s="1833"/>
    </row>
    <row r="91" spans="1:34" ht="15">
      <c r="A91" s="4035" t="s">
        <v>599</v>
      </c>
      <c r="B91" s="4036"/>
      <c r="C91" s="4037"/>
      <c r="D91" s="1831"/>
      <c r="E91" s="1831"/>
      <c r="F91" s="1831"/>
      <c r="G91" s="1831"/>
      <c r="H91" s="1831"/>
      <c r="I91" s="1831"/>
      <c r="J91" s="1831"/>
      <c r="K91" s="1831"/>
      <c r="L91" s="1831"/>
      <c r="M91" s="1832"/>
      <c r="N91" s="1831"/>
      <c r="O91" s="1831"/>
      <c r="P91" s="1831"/>
      <c r="Q91" s="1831"/>
      <c r="R91" s="1831"/>
      <c r="S91" s="1831"/>
      <c r="T91" s="1831"/>
      <c r="U91" s="1831"/>
      <c r="V91" s="1831"/>
      <c r="W91" s="1831"/>
      <c r="X91" s="1831"/>
      <c r="Y91" s="1831"/>
      <c r="Z91" s="1831"/>
      <c r="AA91" s="1831"/>
      <c r="AB91" s="1831"/>
      <c r="AC91" s="1831"/>
      <c r="AD91" s="1831"/>
      <c r="AE91" s="1831"/>
      <c r="AF91" s="1831"/>
      <c r="AG91" s="1831"/>
      <c r="AH91" s="1831"/>
    </row>
    <row r="92" spans="1:34" ht="15">
      <c r="A92" s="1621" t="s">
        <v>70</v>
      </c>
      <c r="B92" s="1621" t="s">
        <v>71</v>
      </c>
      <c r="C92" s="1621">
        <v>1</v>
      </c>
      <c r="D92" s="1621">
        <v>2</v>
      </c>
      <c r="E92" s="1621">
        <v>3</v>
      </c>
      <c r="F92" s="1621">
        <v>4</v>
      </c>
      <c r="G92" s="1621">
        <v>5</v>
      </c>
      <c r="H92" s="1621">
        <v>6</v>
      </c>
      <c r="I92" s="1621">
        <v>7</v>
      </c>
      <c r="J92" s="1621">
        <v>8</v>
      </c>
      <c r="K92" s="1621">
        <v>9</v>
      </c>
      <c r="L92" s="1621">
        <v>10</v>
      </c>
      <c r="M92" s="1621">
        <v>11</v>
      </c>
      <c r="N92" s="1621">
        <v>12</v>
      </c>
      <c r="O92" s="1621">
        <v>13</v>
      </c>
      <c r="P92" s="1621">
        <v>14</v>
      </c>
      <c r="Q92" s="1621">
        <v>15</v>
      </c>
      <c r="R92" s="1621">
        <v>16</v>
      </c>
      <c r="S92" s="1621">
        <v>17</v>
      </c>
      <c r="T92" s="1621">
        <v>18</v>
      </c>
      <c r="U92" s="1621">
        <v>19</v>
      </c>
      <c r="V92" s="1621">
        <v>20</v>
      </c>
      <c r="W92" s="1621">
        <v>21</v>
      </c>
      <c r="X92" s="1621">
        <v>22</v>
      </c>
      <c r="Y92" s="1621">
        <v>23</v>
      </c>
      <c r="Z92" s="1621">
        <v>24</v>
      </c>
      <c r="AA92" s="1621">
        <v>25</v>
      </c>
      <c r="AB92" s="1621">
        <v>26</v>
      </c>
      <c r="AC92" s="1621">
        <v>27</v>
      </c>
      <c r="AD92" s="1621">
        <v>28</v>
      </c>
      <c r="AE92" s="1621">
        <v>29</v>
      </c>
      <c r="AF92" s="1621">
        <v>30</v>
      </c>
      <c r="AG92" s="1621">
        <v>31</v>
      </c>
      <c r="AH92" s="1830" t="s">
        <v>72</v>
      </c>
    </row>
    <row r="93" spans="1:34" ht="15">
      <c r="A93" s="1621" t="s">
        <v>73</v>
      </c>
      <c r="B93" s="1622">
        <f t="shared" ref="B93:B104" si="15">+AH93</f>
        <v>0.08</v>
      </c>
      <c r="C93" s="1827">
        <f>+SUM('Fauna Acompañante'!BU5+'Fauna Acompañante'!BU21+'Fauna Acompañante'!BU37)</f>
        <v>0</v>
      </c>
      <c r="D93" s="1827">
        <f>+SUM('Fauna Acompañante'!BV5+'Fauna Acompañante'!BV21+'Fauna Acompañante'!BV37)</f>
        <v>0</v>
      </c>
      <c r="E93" s="1827">
        <f>+SUM('Fauna Acompañante'!BW5+'Fauna Acompañante'!BW21+'Fauna Acompañante'!BW37)</f>
        <v>0</v>
      </c>
      <c r="F93" s="1827">
        <f>+SUM('Fauna Acompañante'!BX5+'Fauna Acompañante'!BX21+'Fauna Acompañante'!BX37)</f>
        <v>0</v>
      </c>
      <c r="G93" s="1827">
        <f>+SUM('Fauna Acompañante'!BY5+'Fauna Acompañante'!BY21+'Fauna Acompañante'!BY37)</f>
        <v>0</v>
      </c>
      <c r="H93" s="1827">
        <f>+SUM('Fauna Acompañante'!BZ5+'Fauna Acompañante'!BZ21+'Fauna Acompañante'!BZ37)</f>
        <v>0</v>
      </c>
      <c r="I93" s="1827">
        <f>+SUM('Fauna Acompañante'!CA5+'Fauna Acompañante'!CA21+'Fauna Acompañante'!CA37)</f>
        <v>0</v>
      </c>
      <c r="J93" s="1827">
        <f>+SUM('Fauna Acompañante'!CB5+'Fauna Acompañante'!CB21+'Fauna Acompañante'!CB37)</f>
        <v>0</v>
      </c>
      <c r="K93" s="1827">
        <f>+SUM('Fauna Acompañante'!CC5+'Fauna Acompañante'!CC21+'Fauna Acompañante'!CC37)</f>
        <v>0</v>
      </c>
      <c r="L93" s="1827">
        <f>+SUM('Fauna Acompañante'!CD5+'Fauna Acompañante'!CD21+'Fauna Acompañante'!CD37)</f>
        <v>0</v>
      </c>
      <c r="M93" s="1827">
        <f>+SUM('Fauna Acompañante'!CE5+'Fauna Acompañante'!CE21+'Fauna Acompañante'!CE37)</f>
        <v>0</v>
      </c>
      <c r="N93" s="1827">
        <f>+SUM('Fauna Acompañante'!CF5+'Fauna Acompañante'!CF21+'Fauna Acompañante'!CF37)</f>
        <v>0</v>
      </c>
      <c r="O93" s="1827">
        <f>+SUM('Fauna Acompañante'!CG5+'Fauna Acompañante'!CG21+'Fauna Acompañante'!CG37)</f>
        <v>0</v>
      </c>
      <c r="P93" s="1827">
        <f>+SUM('Fauna Acompañante'!CH5+'Fauna Acompañante'!CH21+'Fauna Acompañante'!CH37)</f>
        <v>0</v>
      </c>
      <c r="Q93" s="1827">
        <f>+SUM('Fauna Acompañante'!CI5+'Fauna Acompañante'!CI21+'Fauna Acompañante'!CI37)</f>
        <v>0.08</v>
      </c>
      <c r="R93" s="1827">
        <f>+SUM('Fauna Acompañante'!CJ5+'Fauna Acompañante'!CJ21+'Fauna Acompañante'!CJ37)</f>
        <v>0</v>
      </c>
      <c r="S93" s="1827">
        <f>+SUM('Fauna Acompañante'!CK5+'Fauna Acompañante'!CK21+'Fauna Acompañante'!CK37)</f>
        <v>0</v>
      </c>
      <c r="T93" s="1827">
        <f>+SUM('Fauna Acompañante'!CL5+'Fauna Acompañante'!CL21+'Fauna Acompañante'!CL37)</f>
        <v>0</v>
      </c>
      <c r="U93" s="1827">
        <f>+SUM('Fauna Acompañante'!CM5+'Fauna Acompañante'!CM21+'Fauna Acompañante'!CM37)</f>
        <v>0</v>
      </c>
      <c r="V93" s="1827">
        <f>+SUM('Fauna Acompañante'!CN5+'Fauna Acompañante'!CN21+'Fauna Acompañante'!CN37)</f>
        <v>0</v>
      </c>
      <c r="W93" s="1827">
        <f>+SUM('Fauna Acompañante'!CO5+'Fauna Acompañante'!CO21+'Fauna Acompañante'!CO37)</f>
        <v>0</v>
      </c>
      <c r="X93" s="1827">
        <f>+SUM('Fauna Acompañante'!CP5+'Fauna Acompañante'!CP21+'Fauna Acompañante'!CP37)</f>
        <v>0</v>
      </c>
      <c r="Y93" s="1827">
        <f>+SUM('Fauna Acompañante'!CQ5+'Fauna Acompañante'!CQ21+'Fauna Acompañante'!CQ37)</f>
        <v>0</v>
      </c>
      <c r="Z93" s="1827">
        <f>+SUM('Fauna Acompañante'!CR5+'Fauna Acompañante'!CR21+'Fauna Acompañante'!CR37)</f>
        <v>0</v>
      </c>
      <c r="AA93" s="1827">
        <f>+SUM('Fauna Acompañante'!CS5+'Fauna Acompañante'!CS21+'Fauna Acompañante'!CS37)</f>
        <v>0</v>
      </c>
      <c r="AB93" s="1827">
        <f>+SUM('Fauna Acompañante'!CT5+'Fauna Acompañante'!CT21+'Fauna Acompañante'!CT37)</f>
        <v>0</v>
      </c>
      <c r="AC93" s="1827">
        <f>+SUM('Fauna Acompañante'!CU5+'Fauna Acompañante'!CU21+'Fauna Acompañante'!CU37)</f>
        <v>0</v>
      </c>
      <c r="AD93" s="1827">
        <f>+SUM('Fauna Acompañante'!CV5+'Fauna Acompañante'!CV21+'Fauna Acompañante'!CV37)</f>
        <v>0</v>
      </c>
      <c r="AE93" s="1827">
        <f>+SUM('Fauna Acompañante'!CW5+'Fauna Acompañante'!CW21+'Fauna Acompañante'!CW37)</f>
        <v>0</v>
      </c>
      <c r="AF93" s="1827">
        <f>+SUM('Fauna Acompañante'!CX5+'Fauna Acompañante'!CX21+'Fauna Acompañante'!CX37)</f>
        <v>0</v>
      </c>
      <c r="AG93" s="1827">
        <f>+SUM('Fauna Acompañante'!CY5+'Fauna Acompañante'!CY21+'Fauna Acompañante'!CY37)</f>
        <v>0</v>
      </c>
      <c r="AH93" s="1826">
        <f t="shared" ref="AH93:AH104" si="16">SUM(C93:AG93)</f>
        <v>0.08</v>
      </c>
    </row>
    <row r="94" spans="1:34" ht="15">
      <c r="A94" s="1621" t="s">
        <v>74</v>
      </c>
      <c r="B94" s="1622">
        <f t="shared" si="15"/>
        <v>0.60599999999999998</v>
      </c>
      <c r="C94" s="1827">
        <f>+SUM('Fauna Acompañante'!BU6+'Fauna Acompañante'!BU22+'Fauna Acompañante'!BU38)</f>
        <v>0</v>
      </c>
      <c r="D94" s="1827">
        <f>+SUM('Fauna Acompañante'!BV6+'Fauna Acompañante'!BV22+'Fauna Acompañante'!BV38)</f>
        <v>0</v>
      </c>
      <c r="E94" s="1827">
        <f>+SUM('Fauna Acompañante'!BW6+'Fauna Acompañante'!BW22+'Fauna Acompañante'!BW38)</f>
        <v>0</v>
      </c>
      <c r="F94" s="1827">
        <f>+SUM('Fauna Acompañante'!BX6+'Fauna Acompañante'!BX22+'Fauna Acompañante'!BX38)</f>
        <v>0</v>
      </c>
      <c r="G94" s="1827">
        <f>+SUM('Fauna Acompañante'!BY6+'Fauna Acompañante'!BY22+'Fauna Acompañante'!BY38)</f>
        <v>0</v>
      </c>
      <c r="H94" s="1827">
        <f>+SUM('Fauna Acompañante'!BZ6+'Fauna Acompañante'!BZ22+'Fauna Acompañante'!BZ38)</f>
        <v>0</v>
      </c>
      <c r="I94" s="1827">
        <f>+SUM('Fauna Acompañante'!CA6+'Fauna Acompañante'!CA22+'Fauna Acompañante'!CA38)</f>
        <v>0</v>
      </c>
      <c r="J94" s="1827">
        <f>+SUM('Fauna Acompañante'!CB6+'Fauna Acompañante'!CB22+'Fauna Acompañante'!CB38)</f>
        <v>0</v>
      </c>
      <c r="K94" s="1827">
        <f>+SUM('Fauna Acompañante'!CC6+'Fauna Acompañante'!CC22+'Fauna Acompañante'!CC38)</f>
        <v>0</v>
      </c>
      <c r="L94" s="1827">
        <f>+SUM('Fauna Acompañante'!CD6+'Fauna Acompañante'!CD22+'Fauna Acompañante'!CD38)</f>
        <v>0</v>
      </c>
      <c r="M94" s="1827">
        <f>+SUM('Fauna Acompañante'!CE6+'Fauna Acompañante'!CE22+'Fauna Acompañante'!CE38)</f>
        <v>0</v>
      </c>
      <c r="N94" s="1827">
        <f>+SUM('Fauna Acompañante'!CF6+'Fauna Acompañante'!CF22+'Fauna Acompañante'!CF38)</f>
        <v>0.60599999999999998</v>
      </c>
      <c r="O94" s="1827">
        <f>+SUM('Fauna Acompañante'!CG6+'Fauna Acompañante'!CG22+'Fauna Acompañante'!CG38)</f>
        <v>0</v>
      </c>
      <c r="P94" s="1827">
        <f>+SUM('Fauna Acompañante'!CH6+'Fauna Acompañante'!CH22+'Fauna Acompañante'!CH38)</f>
        <v>0</v>
      </c>
      <c r="Q94" s="1827">
        <f>+SUM('Fauna Acompañante'!CI6+'Fauna Acompañante'!CI22+'Fauna Acompañante'!CI38)</f>
        <v>0</v>
      </c>
      <c r="R94" s="1827">
        <f>+SUM('Fauna Acompañante'!CJ6+'Fauna Acompañante'!CJ22+'Fauna Acompañante'!CJ38)</f>
        <v>0</v>
      </c>
      <c r="S94" s="1827">
        <f>+SUM('Fauna Acompañante'!CK6+'Fauna Acompañante'!CK22+'Fauna Acompañante'!CK38)</f>
        <v>0</v>
      </c>
      <c r="T94" s="1827">
        <f>+SUM('Fauna Acompañante'!CL6+'Fauna Acompañante'!CL22+'Fauna Acompañante'!CL38)</f>
        <v>0</v>
      </c>
      <c r="U94" s="1827">
        <f>+SUM('Fauna Acompañante'!CM6+'Fauna Acompañante'!CM22+'Fauna Acompañante'!CM38)</f>
        <v>0</v>
      </c>
      <c r="V94" s="1827">
        <f>+SUM('Fauna Acompañante'!CN6+'Fauna Acompañante'!CN22+'Fauna Acompañante'!CN38)</f>
        <v>0</v>
      </c>
      <c r="W94" s="1827">
        <f>+SUM('Fauna Acompañante'!CO6+'Fauna Acompañante'!CO22+'Fauna Acompañante'!CO38)</f>
        <v>0</v>
      </c>
      <c r="X94" s="1827">
        <f>+SUM('Fauna Acompañante'!CP6+'Fauna Acompañante'!CP22+'Fauna Acompañante'!CP38)</f>
        <v>0</v>
      </c>
      <c r="Y94" s="1827">
        <f>+SUM('Fauna Acompañante'!CQ6+'Fauna Acompañante'!CQ22+'Fauna Acompañante'!CQ38)</f>
        <v>0</v>
      </c>
      <c r="Z94" s="1827">
        <f>+SUM('Fauna Acompañante'!CR6+'Fauna Acompañante'!CR22+'Fauna Acompañante'!CR38)</f>
        <v>0</v>
      </c>
      <c r="AA94" s="1827">
        <f>+SUM('Fauna Acompañante'!CS6+'Fauna Acompañante'!CS22+'Fauna Acompañante'!CS38)</f>
        <v>0</v>
      </c>
      <c r="AB94" s="1827">
        <f>+SUM('Fauna Acompañante'!CT6+'Fauna Acompañante'!CT22+'Fauna Acompañante'!CT38)</f>
        <v>0</v>
      </c>
      <c r="AC94" s="1827">
        <f>+SUM('Fauna Acompañante'!CU6+'Fauna Acompañante'!CU22+'Fauna Acompañante'!CU38)</f>
        <v>0</v>
      </c>
      <c r="AD94" s="1827">
        <f>+SUM('Fauna Acompañante'!CV6+'Fauna Acompañante'!CV22+'Fauna Acompañante'!CV38)</f>
        <v>0</v>
      </c>
      <c r="AE94" s="1827">
        <f>+SUM('Fauna Acompañante'!CW6+'Fauna Acompañante'!CW22+'Fauna Acompañante'!CW38)</f>
        <v>0</v>
      </c>
      <c r="AF94" s="1827">
        <f>+SUM('Fauna Acompañante'!CX6+'Fauna Acompañante'!CX22+'Fauna Acompañante'!CX38)</f>
        <v>0</v>
      </c>
      <c r="AG94" s="1827">
        <f>+SUM('Fauna Acompañante'!CY6+'Fauna Acompañante'!CY22+'Fauna Acompañante'!CY38)</f>
        <v>0</v>
      </c>
      <c r="AH94" s="1826">
        <f t="shared" si="16"/>
        <v>0.60599999999999998</v>
      </c>
    </row>
    <row r="95" spans="1:34" ht="15">
      <c r="A95" s="1621" t="s">
        <v>75</v>
      </c>
      <c r="B95" s="1622">
        <f t="shared" si="15"/>
        <v>1.3140000000000001</v>
      </c>
      <c r="C95" s="1827">
        <f>+SUM('Fauna Acompañante'!BU7+'Fauna Acompañante'!BU23+'Fauna Acompañante'!BU39)</f>
        <v>0</v>
      </c>
      <c r="D95" s="1827">
        <f>+SUM('Fauna Acompañante'!BV7+'Fauna Acompañante'!BV23+'Fauna Acompañante'!BV39)</f>
        <v>0</v>
      </c>
      <c r="E95" s="1827">
        <f>+SUM('Fauna Acompañante'!BW7+'Fauna Acompañante'!BW23+'Fauna Acompañante'!BW39)</f>
        <v>0</v>
      </c>
      <c r="F95" s="1827">
        <f>+SUM('Fauna Acompañante'!BX7+'Fauna Acompañante'!BX23+'Fauna Acompañante'!BX39)</f>
        <v>1.3140000000000001</v>
      </c>
      <c r="G95" s="1827">
        <f>+SUM('Fauna Acompañante'!BY7+'Fauna Acompañante'!BY23+'Fauna Acompañante'!BY39)</f>
        <v>0</v>
      </c>
      <c r="H95" s="1827">
        <f>+SUM('Fauna Acompañante'!BZ7+'Fauna Acompañante'!BZ23+'Fauna Acompañante'!BZ39)</f>
        <v>0</v>
      </c>
      <c r="I95" s="1827">
        <f>+SUM('Fauna Acompañante'!CA7+'Fauna Acompañante'!CA23+'Fauna Acompañante'!CA39)</f>
        <v>0</v>
      </c>
      <c r="J95" s="1827">
        <f>+SUM('Fauna Acompañante'!CB7+'Fauna Acompañante'!CB23+'Fauna Acompañante'!CB39)</f>
        <v>0</v>
      </c>
      <c r="K95" s="1827">
        <f>+SUM('Fauna Acompañante'!CC7+'Fauna Acompañante'!CC23+'Fauna Acompañante'!CC39)</f>
        <v>0</v>
      </c>
      <c r="L95" s="1827">
        <f>+SUM('Fauna Acompañante'!CD7+'Fauna Acompañante'!CD23+'Fauna Acompañante'!CD39)</f>
        <v>0</v>
      </c>
      <c r="M95" s="1827">
        <f>+SUM('Fauna Acompañante'!CE7+'Fauna Acompañante'!CE23+'Fauna Acompañante'!CE39)</f>
        <v>0</v>
      </c>
      <c r="N95" s="1827">
        <f>+SUM('Fauna Acompañante'!CF7+'Fauna Acompañante'!CF23+'Fauna Acompañante'!CF39)</f>
        <v>0</v>
      </c>
      <c r="O95" s="1827">
        <f>+SUM('Fauna Acompañante'!CG7+'Fauna Acompañante'!CG23+'Fauna Acompañante'!CG39)</f>
        <v>0</v>
      </c>
      <c r="P95" s="1827">
        <f>+SUM('Fauna Acompañante'!CH7+'Fauna Acompañante'!CH23+'Fauna Acompañante'!CH39)</f>
        <v>0</v>
      </c>
      <c r="Q95" s="1827">
        <f>+SUM('Fauna Acompañante'!CI7+'Fauna Acompañante'!CI23+'Fauna Acompañante'!CI39)</f>
        <v>0</v>
      </c>
      <c r="R95" s="1827">
        <f>+SUM('Fauna Acompañante'!CJ7+'Fauna Acompañante'!CJ23+'Fauna Acompañante'!CJ39)</f>
        <v>0</v>
      </c>
      <c r="S95" s="1827">
        <f>+SUM('Fauna Acompañante'!CK7+'Fauna Acompañante'!CK23+'Fauna Acompañante'!CK39)</f>
        <v>0</v>
      </c>
      <c r="T95" s="1827">
        <f>+SUM('Fauna Acompañante'!CL7+'Fauna Acompañante'!CL23+'Fauna Acompañante'!CL39)</f>
        <v>0</v>
      </c>
      <c r="U95" s="1827">
        <f>+SUM('Fauna Acompañante'!CM7+'Fauna Acompañante'!CM23+'Fauna Acompañante'!CM39)</f>
        <v>0</v>
      </c>
      <c r="V95" s="1827">
        <f>+SUM('Fauna Acompañante'!CN7+'Fauna Acompañante'!CN23+'Fauna Acompañante'!CN39)</f>
        <v>0</v>
      </c>
      <c r="W95" s="1827">
        <f>+SUM('Fauna Acompañante'!CO7+'Fauna Acompañante'!CO23+'Fauna Acompañante'!CO39)</f>
        <v>0</v>
      </c>
      <c r="X95" s="1827">
        <f>+SUM('Fauna Acompañante'!CP7+'Fauna Acompañante'!CP23+'Fauna Acompañante'!CP39)</f>
        <v>0</v>
      </c>
      <c r="Y95" s="1827">
        <f>+SUM('Fauna Acompañante'!CQ7+'Fauna Acompañante'!CQ23+'Fauna Acompañante'!CQ39)</f>
        <v>0</v>
      </c>
      <c r="Z95" s="1827">
        <f>+SUM('Fauna Acompañante'!CR7+'Fauna Acompañante'!CR23+'Fauna Acompañante'!CR39)</f>
        <v>0</v>
      </c>
      <c r="AA95" s="1827">
        <f>+SUM('Fauna Acompañante'!CS7+'Fauna Acompañante'!CS23+'Fauna Acompañante'!CS39)</f>
        <v>0</v>
      </c>
      <c r="AB95" s="1827">
        <f>+SUM('Fauna Acompañante'!CT7+'Fauna Acompañante'!CT23+'Fauna Acompañante'!CT39)</f>
        <v>0</v>
      </c>
      <c r="AC95" s="1827">
        <f>+SUM('Fauna Acompañante'!CU7+'Fauna Acompañante'!CU23+'Fauna Acompañante'!CU39)</f>
        <v>0</v>
      </c>
      <c r="AD95" s="1827">
        <f>+SUM('Fauna Acompañante'!CV7+'Fauna Acompañante'!CV23+'Fauna Acompañante'!CV39)</f>
        <v>0</v>
      </c>
      <c r="AE95" s="1827">
        <f>+SUM('Fauna Acompañante'!CW7+'Fauna Acompañante'!CW23+'Fauna Acompañante'!CW39)</f>
        <v>0</v>
      </c>
      <c r="AF95" s="1827">
        <f>+SUM('Fauna Acompañante'!CX7+'Fauna Acompañante'!CX23+'Fauna Acompañante'!CX39)</f>
        <v>0</v>
      </c>
      <c r="AG95" s="1827">
        <f>+SUM('Fauna Acompañante'!CY7+'Fauna Acompañante'!CY23+'Fauna Acompañante'!CY39)</f>
        <v>0</v>
      </c>
      <c r="AH95" s="1826">
        <f t="shared" si="16"/>
        <v>1.3140000000000001</v>
      </c>
    </row>
    <row r="96" spans="1:34" ht="15">
      <c r="A96" s="1621" t="s">
        <v>76</v>
      </c>
      <c r="B96" s="1622">
        <f t="shared" si="15"/>
        <v>0</v>
      </c>
      <c r="C96" s="1827">
        <f>+SUM('Fauna Acompañante'!BU8+'Fauna Acompañante'!BU24+'Fauna Acompañante'!BU40)</f>
        <v>0</v>
      </c>
      <c r="D96" s="1827">
        <f>+SUM('Fauna Acompañante'!BV8+'Fauna Acompañante'!BV24+'Fauna Acompañante'!BV40)</f>
        <v>0</v>
      </c>
      <c r="E96" s="1827">
        <f>+SUM('Fauna Acompañante'!BW8+'Fauna Acompañante'!BW24+'Fauna Acompañante'!BW40)</f>
        <v>0</v>
      </c>
      <c r="F96" s="1827">
        <f>+SUM('Fauna Acompañante'!BX8+'Fauna Acompañante'!BX24+'Fauna Acompañante'!BX40)</f>
        <v>0</v>
      </c>
      <c r="G96" s="1827">
        <f>+SUM('Fauna Acompañante'!BY8+'Fauna Acompañante'!BY24+'Fauna Acompañante'!BY40)</f>
        <v>0</v>
      </c>
      <c r="H96" s="1827">
        <f>+SUM('Fauna Acompañante'!BZ8+'Fauna Acompañante'!BZ24+'Fauna Acompañante'!BZ40)</f>
        <v>0</v>
      </c>
      <c r="I96" s="1827">
        <f>+SUM('Fauna Acompañante'!CA8+'Fauna Acompañante'!CA24+'Fauna Acompañante'!CA40)</f>
        <v>0</v>
      </c>
      <c r="J96" s="1827">
        <f>+SUM('Fauna Acompañante'!CB8+'Fauna Acompañante'!CB24+'Fauna Acompañante'!CB40)</f>
        <v>0</v>
      </c>
      <c r="K96" s="1827">
        <f>+SUM('Fauna Acompañante'!CC8+'Fauna Acompañante'!CC24+'Fauna Acompañante'!CC40)</f>
        <v>0</v>
      </c>
      <c r="L96" s="1827">
        <f>+SUM('Fauna Acompañante'!CD8+'Fauna Acompañante'!CD24+'Fauna Acompañante'!CD40)</f>
        <v>0</v>
      </c>
      <c r="M96" s="1827">
        <f>+SUM('Fauna Acompañante'!CE8+'Fauna Acompañante'!CE24+'Fauna Acompañante'!CE40)</f>
        <v>0</v>
      </c>
      <c r="N96" s="1827">
        <f>+SUM('Fauna Acompañante'!CF8+'Fauna Acompañante'!CF24+'Fauna Acompañante'!CF40)</f>
        <v>0</v>
      </c>
      <c r="O96" s="1827">
        <f>+SUM('Fauna Acompañante'!CG8+'Fauna Acompañante'!CG24+'Fauna Acompañante'!CG40)</f>
        <v>0</v>
      </c>
      <c r="P96" s="1827">
        <f>+SUM('Fauna Acompañante'!CH8+'Fauna Acompañante'!CH24+'Fauna Acompañante'!CH40)</f>
        <v>0</v>
      </c>
      <c r="Q96" s="1827">
        <f>+SUM('Fauna Acompañante'!CI8+'Fauna Acompañante'!CI24+'Fauna Acompañante'!CI40)</f>
        <v>0</v>
      </c>
      <c r="R96" s="1827">
        <f>+SUM('Fauna Acompañante'!CJ8+'Fauna Acompañante'!CJ24+'Fauna Acompañante'!CJ40)</f>
        <v>0</v>
      </c>
      <c r="S96" s="1827">
        <f>+SUM('Fauna Acompañante'!CK8+'Fauna Acompañante'!CK24+'Fauna Acompañante'!CK40)</f>
        <v>0</v>
      </c>
      <c r="T96" s="1827">
        <f>+SUM('Fauna Acompañante'!CL8+'Fauna Acompañante'!CL24+'Fauna Acompañante'!CL40)</f>
        <v>0</v>
      </c>
      <c r="U96" s="1827">
        <f>+SUM('Fauna Acompañante'!CM8+'Fauna Acompañante'!CM24+'Fauna Acompañante'!CM40)</f>
        <v>0</v>
      </c>
      <c r="V96" s="1827">
        <f>+SUM('Fauna Acompañante'!CN8+'Fauna Acompañante'!CN24+'Fauna Acompañante'!CN40)</f>
        <v>0</v>
      </c>
      <c r="W96" s="1827">
        <f>+SUM('Fauna Acompañante'!CO8+'Fauna Acompañante'!CO24+'Fauna Acompañante'!CO40)</f>
        <v>0</v>
      </c>
      <c r="X96" s="1827">
        <f>+SUM('Fauna Acompañante'!CP8+'Fauna Acompañante'!CP24+'Fauna Acompañante'!CP40)</f>
        <v>0</v>
      </c>
      <c r="Y96" s="1827">
        <f>+SUM('Fauna Acompañante'!CQ8+'Fauna Acompañante'!CQ24+'Fauna Acompañante'!CQ40)</f>
        <v>0</v>
      </c>
      <c r="Z96" s="1827">
        <f>+SUM('Fauna Acompañante'!CR8+'Fauna Acompañante'!CR24+'Fauna Acompañante'!CR40)</f>
        <v>0</v>
      </c>
      <c r="AA96" s="1827">
        <f>+SUM('Fauna Acompañante'!CS8+'Fauna Acompañante'!CS24+'Fauna Acompañante'!CS40)</f>
        <v>0</v>
      </c>
      <c r="AB96" s="1827">
        <f>+SUM('Fauna Acompañante'!CT8+'Fauna Acompañante'!CT24+'Fauna Acompañante'!CT40)</f>
        <v>0</v>
      </c>
      <c r="AC96" s="1827">
        <f>+SUM('Fauna Acompañante'!CU8+'Fauna Acompañante'!CU24+'Fauna Acompañante'!CU40)</f>
        <v>0</v>
      </c>
      <c r="AD96" s="1827">
        <f>+SUM('Fauna Acompañante'!CV8+'Fauna Acompañante'!CV24+'Fauna Acompañante'!CV40)</f>
        <v>0</v>
      </c>
      <c r="AE96" s="1827">
        <f>+SUM('Fauna Acompañante'!CW8+'Fauna Acompañante'!CW24+'Fauna Acompañante'!CW40)</f>
        <v>0</v>
      </c>
      <c r="AF96" s="1827">
        <f>+SUM('Fauna Acompañante'!CX8+'Fauna Acompañante'!CX24+'Fauna Acompañante'!CX40)</f>
        <v>0</v>
      </c>
      <c r="AG96" s="1827">
        <f>+SUM('Fauna Acompañante'!CY8+'Fauna Acompañante'!CY24+'Fauna Acompañante'!CY40)</f>
        <v>0</v>
      </c>
      <c r="AH96" s="1826">
        <f t="shared" si="16"/>
        <v>0</v>
      </c>
    </row>
    <row r="97" spans="1:34" ht="15">
      <c r="A97" s="1621" t="s">
        <v>77</v>
      </c>
      <c r="B97" s="1622">
        <f t="shared" si="15"/>
        <v>0</v>
      </c>
      <c r="C97" s="1827">
        <f>+SUM('Fauna Acompañante'!BU9+'Fauna Acompañante'!BU25+'Fauna Acompañante'!BU41)</f>
        <v>0</v>
      </c>
      <c r="D97" s="1827">
        <f>+SUM('Fauna Acompañante'!BV9+'Fauna Acompañante'!BV25+'Fauna Acompañante'!BV41)</f>
        <v>0</v>
      </c>
      <c r="E97" s="1827">
        <f>+SUM('Fauna Acompañante'!BW9+'Fauna Acompañante'!BW25+'Fauna Acompañante'!BW41)</f>
        <v>0</v>
      </c>
      <c r="F97" s="1827">
        <f>+SUM('Fauna Acompañante'!BX9+'Fauna Acompañante'!BX25+'Fauna Acompañante'!BX41)</f>
        <v>0</v>
      </c>
      <c r="G97" s="1827">
        <f>+SUM('Fauna Acompañante'!BY9+'Fauna Acompañante'!BY25+'Fauna Acompañante'!BY41)</f>
        <v>0</v>
      </c>
      <c r="H97" s="1827">
        <f>+SUM('Fauna Acompañante'!BZ9+'Fauna Acompañante'!BZ25+'Fauna Acompañante'!BZ41)</f>
        <v>0</v>
      </c>
      <c r="I97" s="1827">
        <f>+SUM('Fauna Acompañante'!CA9+'Fauna Acompañante'!CA25+'Fauna Acompañante'!CA41)</f>
        <v>0</v>
      </c>
      <c r="J97" s="1827">
        <f>+SUM('Fauna Acompañante'!CB9+'Fauna Acompañante'!CB25+'Fauna Acompañante'!CB41)</f>
        <v>0</v>
      </c>
      <c r="K97" s="1827">
        <f>+SUM('Fauna Acompañante'!CC9+'Fauna Acompañante'!CC25+'Fauna Acompañante'!CC41)</f>
        <v>0</v>
      </c>
      <c r="L97" s="1827">
        <f>+SUM('Fauna Acompañante'!CD9+'Fauna Acompañante'!CD25+'Fauna Acompañante'!CD41)</f>
        <v>0</v>
      </c>
      <c r="M97" s="1827">
        <f>+SUM('Fauna Acompañante'!CE9+'Fauna Acompañante'!CE25+'Fauna Acompañante'!CE41)</f>
        <v>0</v>
      </c>
      <c r="N97" s="1827">
        <f>+SUM('Fauna Acompañante'!CF9+'Fauna Acompañante'!CF25+'Fauna Acompañante'!CF41)</f>
        <v>0</v>
      </c>
      <c r="O97" s="1827">
        <f>+SUM('Fauna Acompañante'!CG9+'Fauna Acompañante'!CG25+'Fauna Acompañante'!CG41)</f>
        <v>0</v>
      </c>
      <c r="P97" s="1827">
        <f>+SUM('Fauna Acompañante'!CH9+'Fauna Acompañante'!CH25+'Fauna Acompañante'!CH41)</f>
        <v>0</v>
      </c>
      <c r="Q97" s="1827">
        <f>+SUM('Fauna Acompañante'!CI9+'Fauna Acompañante'!CI25+'Fauna Acompañante'!CI41)</f>
        <v>0</v>
      </c>
      <c r="R97" s="1827">
        <f>+SUM('Fauna Acompañante'!CJ9+'Fauna Acompañante'!CJ25+'Fauna Acompañante'!CJ41)</f>
        <v>0</v>
      </c>
      <c r="S97" s="1827">
        <f>+SUM('Fauna Acompañante'!CK9+'Fauna Acompañante'!CK25+'Fauna Acompañante'!CK41)</f>
        <v>0</v>
      </c>
      <c r="T97" s="1827">
        <f>+SUM('Fauna Acompañante'!CL9+'Fauna Acompañante'!CL25+'Fauna Acompañante'!CL41)</f>
        <v>0</v>
      </c>
      <c r="U97" s="1827">
        <f>+SUM('Fauna Acompañante'!CM9+'Fauna Acompañante'!CM25+'Fauna Acompañante'!CM41)</f>
        <v>0</v>
      </c>
      <c r="V97" s="1827">
        <f>+SUM('Fauna Acompañante'!CN9+'Fauna Acompañante'!CN25+'Fauna Acompañante'!CN41)</f>
        <v>0</v>
      </c>
      <c r="W97" s="1827">
        <f>+SUM('Fauna Acompañante'!CO9+'Fauna Acompañante'!CO25+'Fauna Acompañante'!CO41)</f>
        <v>0</v>
      </c>
      <c r="X97" s="1827">
        <f>+SUM('Fauna Acompañante'!CP9+'Fauna Acompañante'!CP25+'Fauna Acompañante'!CP41)</f>
        <v>0</v>
      </c>
      <c r="Y97" s="1827">
        <f>+SUM('Fauna Acompañante'!CQ9+'Fauna Acompañante'!CQ25+'Fauna Acompañante'!CQ41)</f>
        <v>0</v>
      </c>
      <c r="Z97" s="1827">
        <f>+SUM('Fauna Acompañante'!CR9+'Fauna Acompañante'!CR25+'Fauna Acompañante'!CR41)</f>
        <v>0</v>
      </c>
      <c r="AA97" s="1827">
        <f>+SUM('Fauna Acompañante'!CS9+'Fauna Acompañante'!CS25+'Fauna Acompañante'!CS41)</f>
        <v>0</v>
      </c>
      <c r="AB97" s="1827">
        <f>+SUM('Fauna Acompañante'!CT9+'Fauna Acompañante'!CT25+'Fauna Acompañante'!CT41)</f>
        <v>0</v>
      </c>
      <c r="AC97" s="1827">
        <f>+SUM('Fauna Acompañante'!CU9+'Fauna Acompañante'!CU25+'Fauna Acompañante'!CU41)</f>
        <v>0</v>
      </c>
      <c r="AD97" s="1827">
        <f>+SUM('Fauna Acompañante'!CV9+'Fauna Acompañante'!CV25+'Fauna Acompañante'!CV41)</f>
        <v>0</v>
      </c>
      <c r="AE97" s="1827">
        <f>+SUM('Fauna Acompañante'!CW9+'Fauna Acompañante'!CW25+'Fauna Acompañante'!CW41)</f>
        <v>0</v>
      </c>
      <c r="AF97" s="1827">
        <f>+SUM('Fauna Acompañante'!CX9+'Fauna Acompañante'!CX25+'Fauna Acompañante'!CX41)</f>
        <v>0</v>
      </c>
      <c r="AG97" s="1827">
        <f>+SUM('Fauna Acompañante'!CY9+'Fauna Acompañante'!CY25+'Fauna Acompañante'!CY41)</f>
        <v>0</v>
      </c>
      <c r="AH97" s="1826">
        <f t="shared" si="16"/>
        <v>0</v>
      </c>
    </row>
    <row r="98" spans="1:34" ht="15">
      <c r="A98" s="1621" t="s">
        <v>78</v>
      </c>
      <c r="B98" s="1622">
        <f t="shared" si="15"/>
        <v>0</v>
      </c>
      <c r="C98" s="1827">
        <f>+SUM('Fauna Acompañante'!BU10+'Fauna Acompañante'!BU26+'Fauna Acompañante'!BU42)</f>
        <v>0</v>
      </c>
      <c r="D98" s="1827">
        <f>+SUM('Fauna Acompañante'!BV10+'Fauna Acompañante'!BV26+'Fauna Acompañante'!BV42)</f>
        <v>0</v>
      </c>
      <c r="E98" s="1827">
        <f>+SUM('Fauna Acompañante'!BW10+'Fauna Acompañante'!BW26+'Fauna Acompañante'!BW42)</f>
        <v>0</v>
      </c>
      <c r="F98" s="1827">
        <f>+SUM('Fauna Acompañante'!BX10+'Fauna Acompañante'!BX26+'Fauna Acompañante'!BX42)</f>
        <v>0</v>
      </c>
      <c r="G98" s="1827">
        <f>+SUM('Fauna Acompañante'!BY10+'Fauna Acompañante'!BY26+'Fauna Acompañante'!BY42)</f>
        <v>0</v>
      </c>
      <c r="H98" s="1827">
        <f>+SUM('Fauna Acompañante'!BZ10+'Fauna Acompañante'!BZ26+'Fauna Acompañante'!BZ42)</f>
        <v>0</v>
      </c>
      <c r="I98" s="1827">
        <f>+SUM('Fauna Acompañante'!CA10+'Fauna Acompañante'!CA26+'Fauna Acompañante'!CA42)</f>
        <v>0</v>
      </c>
      <c r="J98" s="1827">
        <f>+SUM('Fauna Acompañante'!CB10+'Fauna Acompañante'!CB26+'Fauna Acompañante'!CB42)</f>
        <v>0</v>
      </c>
      <c r="K98" s="1827">
        <f>+SUM('Fauna Acompañante'!CC10+'Fauna Acompañante'!CC26+'Fauna Acompañante'!CC42)</f>
        <v>0</v>
      </c>
      <c r="L98" s="1827">
        <f>+SUM('Fauna Acompañante'!CD10+'Fauna Acompañante'!CD26+'Fauna Acompañante'!CD42)</f>
        <v>0</v>
      </c>
      <c r="M98" s="1827">
        <f>+SUM('Fauna Acompañante'!CE10+'Fauna Acompañante'!CE26+'Fauna Acompañante'!CE42)</f>
        <v>0</v>
      </c>
      <c r="N98" s="1827">
        <f>+SUM('Fauna Acompañante'!CF10+'Fauna Acompañante'!CF26+'Fauna Acompañante'!CF42)</f>
        <v>0</v>
      </c>
      <c r="O98" s="1827">
        <f>+SUM('Fauna Acompañante'!CG10+'Fauna Acompañante'!CG26+'Fauna Acompañante'!CG42)</f>
        <v>0</v>
      </c>
      <c r="P98" s="1827">
        <f>+SUM('Fauna Acompañante'!CH10+'Fauna Acompañante'!CH26+'Fauna Acompañante'!CH42)</f>
        <v>0</v>
      </c>
      <c r="Q98" s="1827">
        <f>+SUM('Fauna Acompañante'!CI10+'Fauna Acompañante'!CI26+'Fauna Acompañante'!CI42)</f>
        <v>0</v>
      </c>
      <c r="R98" s="1827">
        <f>+SUM('Fauna Acompañante'!CJ10+'Fauna Acompañante'!CJ26+'Fauna Acompañante'!CJ42)</f>
        <v>0</v>
      </c>
      <c r="S98" s="1827">
        <f>+SUM('Fauna Acompañante'!CK10+'Fauna Acompañante'!CK26+'Fauna Acompañante'!CK42)</f>
        <v>0</v>
      </c>
      <c r="T98" s="1827">
        <f>+SUM('Fauna Acompañante'!CL10+'Fauna Acompañante'!CL26+'Fauna Acompañante'!CL42)</f>
        <v>0</v>
      </c>
      <c r="U98" s="1827">
        <f>+SUM('Fauna Acompañante'!CM10+'Fauna Acompañante'!CM26+'Fauna Acompañante'!CM42)</f>
        <v>0</v>
      </c>
      <c r="V98" s="1827">
        <f>+SUM('Fauna Acompañante'!CN10+'Fauna Acompañante'!CN26+'Fauna Acompañante'!CN42)</f>
        <v>0</v>
      </c>
      <c r="W98" s="1827">
        <f>+SUM('Fauna Acompañante'!CO10+'Fauna Acompañante'!CO26+'Fauna Acompañante'!CO42)</f>
        <v>0</v>
      </c>
      <c r="X98" s="1827">
        <f>+SUM('Fauna Acompañante'!CP10+'Fauna Acompañante'!CP26+'Fauna Acompañante'!CP42)</f>
        <v>0</v>
      </c>
      <c r="Y98" s="1827">
        <f>+SUM('Fauna Acompañante'!CQ10+'Fauna Acompañante'!CQ26+'Fauna Acompañante'!CQ42)</f>
        <v>0</v>
      </c>
      <c r="Z98" s="1827">
        <f>+SUM('Fauna Acompañante'!CR10+'Fauna Acompañante'!CR26+'Fauna Acompañante'!CR42)</f>
        <v>0</v>
      </c>
      <c r="AA98" s="1827">
        <f>+SUM('Fauna Acompañante'!CS10+'Fauna Acompañante'!CS26+'Fauna Acompañante'!CS42)</f>
        <v>0</v>
      </c>
      <c r="AB98" s="1827">
        <f>+SUM('Fauna Acompañante'!CT10+'Fauna Acompañante'!CT26+'Fauna Acompañante'!CT42)</f>
        <v>0</v>
      </c>
      <c r="AC98" s="1827">
        <f>+SUM('Fauna Acompañante'!CU10+'Fauna Acompañante'!CU26+'Fauna Acompañante'!CU42)</f>
        <v>0</v>
      </c>
      <c r="AD98" s="1827">
        <f>+SUM('Fauna Acompañante'!CV10+'Fauna Acompañante'!CV26+'Fauna Acompañante'!CV42)</f>
        <v>0</v>
      </c>
      <c r="AE98" s="1827">
        <f>+SUM('Fauna Acompañante'!CW10+'Fauna Acompañante'!CW26+'Fauna Acompañante'!CW42)</f>
        <v>0</v>
      </c>
      <c r="AF98" s="1827">
        <f>+SUM('Fauna Acompañante'!CX10+'Fauna Acompañante'!CX26+'Fauna Acompañante'!CX42)</f>
        <v>0</v>
      </c>
      <c r="AG98" s="1827">
        <f>+SUM('Fauna Acompañante'!CY10+'Fauna Acompañante'!CY26+'Fauna Acompañante'!CY42)</f>
        <v>0</v>
      </c>
      <c r="AH98" s="1826">
        <f t="shared" si="16"/>
        <v>0</v>
      </c>
    </row>
    <row r="99" spans="1:34" ht="15">
      <c r="A99" s="1621" t="s">
        <v>79</v>
      </c>
      <c r="B99" s="1622">
        <f t="shared" si="15"/>
        <v>9.5739999999999998</v>
      </c>
      <c r="C99" s="1827">
        <f>+SUM('Fauna Acompañante'!BU11+'Fauna Acompañante'!BU27+'Fauna Acompañante'!BU43)</f>
        <v>0</v>
      </c>
      <c r="D99" s="1827">
        <f>+SUM('Fauna Acompañante'!BV11+'Fauna Acompañante'!BV27+'Fauna Acompañante'!BV43)</f>
        <v>0</v>
      </c>
      <c r="E99" s="1827">
        <f>+SUM('Fauna Acompañante'!BW11+'Fauna Acompañante'!BW27+'Fauna Acompañante'!BW43)</f>
        <v>0</v>
      </c>
      <c r="F99" s="1827">
        <f>+SUM('Fauna Acompañante'!BX11+'Fauna Acompañante'!BX27+'Fauna Acompañante'!BX43)</f>
        <v>0</v>
      </c>
      <c r="G99" s="1827">
        <f>+SUM('Fauna Acompañante'!BY11+'Fauna Acompañante'!BY27+'Fauna Acompañante'!BY43)</f>
        <v>8.5000000000000006E-2</v>
      </c>
      <c r="H99" s="1827">
        <f>+SUM('Fauna Acompañante'!BZ11+'Fauna Acompañante'!BZ27+'Fauna Acompañante'!BZ43)</f>
        <v>0</v>
      </c>
      <c r="I99" s="1827">
        <f>+SUM('Fauna Acompañante'!CA11+'Fauna Acompañante'!CA27+'Fauna Acompañante'!CA43)</f>
        <v>0</v>
      </c>
      <c r="J99" s="1827">
        <f>+SUM('Fauna Acompañante'!CB11+'Fauna Acompañante'!CB27+'Fauna Acompañante'!CB43)</f>
        <v>0</v>
      </c>
      <c r="K99" s="1827">
        <f>+SUM('Fauna Acompañante'!CC11+'Fauna Acompañante'!CC27+'Fauna Acompañante'!CC43)</f>
        <v>0</v>
      </c>
      <c r="L99" s="1827">
        <f>+SUM('Fauna Acompañante'!CD11+'Fauna Acompañante'!CD27+'Fauna Acompañante'!CD43)</f>
        <v>0</v>
      </c>
      <c r="M99" s="1827">
        <f>+SUM('Fauna Acompañante'!CE11+'Fauna Acompañante'!CE27+'Fauna Acompañante'!CE43)</f>
        <v>0</v>
      </c>
      <c r="N99" s="1827">
        <f>+SUM('Fauna Acompañante'!CF11+'Fauna Acompañante'!CF27+'Fauna Acompañante'!CF43)</f>
        <v>0</v>
      </c>
      <c r="O99" s="1827">
        <f>+SUM('Fauna Acompañante'!CG11+'Fauna Acompañante'!CG27+'Fauna Acompañante'!CG43)</f>
        <v>0</v>
      </c>
      <c r="P99" s="1827">
        <f>+SUM('Fauna Acompañante'!CH11+'Fauna Acompañante'!CH27+'Fauna Acompañante'!CH43)</f>
        <v>0.15</v>
      </c>
      <c r="Q99" s="1827">
        <f>+SUM('Fauna Acompañante'!CI11+'Fauna Acompañante'!CI27+'Fauna Acompañante'!CI43)</f>
        <v>0</v>
      </c>
      <c r="R99" s="1827">
        <f>+SUM('Fauna Acompañante'!CJ11+'Fauna Acompañante'!CJ27+'Fauna Acompañante'!CJ43)</f>
        <v>0</v>
      </c>
      <c r="S99" s="1827">
        <f>+SUM('Fauna Acompañante'!CK11+'Fauna Acompañante'!CK27+'Fauna Acompañante'!CK43)</f>
        <v>0</v>
      </c>
      <c r="T99" s="1827">
        <f>+SUM('Fauna Acompañante'!CL11+'Fauna Acompañante'!CL27+'Fauna Acompañante'!CL43)</f>
        <v>0</v>
      </c>
      <c r="U99" s="1827">
        <f>+SUM('Fauna Acompañante'!CM11+'Fauna Acompañante'!CM27+'Fauna Acompañante'!CM43)</f>
        <v>0.3</v>
      </c>
      <c r="V99" s="1827">
        <f>+SUM('Fauna Acompañante'!CN11+'Fauna Acompañante'!CN27+'Fauna Acompañante'!CN43)</f>
        <v>0</v>
      </c>
      <c r="W99" s="1827">
        <f>+SUM('Fauna Acompañante'!CO11+'Fauna Acompañante'!CO27+'Fauna Acompañante'!CO43)</f>
        <v>0</v>
      </c>
      <c r="X99" s="1827">
        <f>+SUM('Fauna Acompañante'!CP11+'Fauna Acompañante'!CP27+'Fauna Acompañante'!CP43)</f>
        <v>0</v>
      </c>
      <c r="Y99" s="1827">
        <f>+SUM('Fauna Acompañante'!CQ11+'Fauna Acompañante'!CQ27+'Fauna Acompañante'!CQ43)</f>
        <v>0</v>
      </c>
      <c r="Z99" s="1827">
        <f>+SUM('Fauna Acompañante'!CR11+'Fauna Acompañante'!CR27+'Fauna Acompañante'!CR43)</f>
        <v>0</v>
      </c>
      <c r="AA99" s="1827">
        <f>+SUM('Fauna Acompañante'!CS11+'Fauna Acompañante'!CS27+'Fauna Acompañante'!CS43)</f>
        <v>0</v>
      </c>
      <c r="AB99" s="1827">
        <f>+SUM('Fauna Acompañante'!CT11+'Fauna Acompañante'!CT27+'Fauna Acompañante'!CT43)</f>
        <v>0.8</v>
      </c>
      <c r="AC99" s="1827">
        <f>+SUM('Fauna Acompañante'!CU11+'Fauna Acompañante'!CU27+'Fauna Acompañante'!CU43)</f>
        <v>7.9000000000000001E-2</v>
      </c>
      <c r="AD99" s="1827">
        <f>+SUM('Fauna Acompañante'!CV11+'Fauna Acompañante'!CV27+'Fauna Acompañante'!CV43)</f>
        <v>0</v>
      </c>
      <c r="AE99" s="1827">
        <f>+SUM('Fauna Acompañante'!CW11+'Fauna Acompañante'!CW27+'Fauna Acompañante'!CW43)</f>
        <v>0</v>
      </c>
      <c r="AF99" s="1827">
        <f>+SUM('Fauna Acompañante'!CX11+'Fauna Acompañante'!CX27+'Fauna Acompañante'!CX43)</f>
        <v>7.7599999999999989</v>
      </c>
      <c r="AG99" s="1827">
        <f>+SUM('Fauna Acompañante'!CY11+'Fauna Acompañante'!CY27+'Fauna Acompañante'!CY43)</f>
        <v>0.4</v>
      </c>
      <c r="AH99" s="1826">
        <f t="shared" si="16"/>
        <v>9.5739999999999998</v>
      </c>
    </row>
    <row r="100" spans="1:34" ht="15">
      <c r="A100" s="1621" t="s">
        <v>80</v>
      </c>
      <c r="B100" s="1622">
        <f t="shared" si="15"/>
        <v>1.41</v>
      </c>
      <c r="C100" s="1827">
        <f>+SUM('Fauna Acompañante'!BU12+'Fauna Acompañante'!BU28+'Fauna Acompañante'!BU44)</f>
        <v>0</v>
      </c>
      <c r="D100" s="1827">
        <f>+SUM('Fauna Acompañante'!BV12+'Fauna Acompañante'!BV28+'Fauna Acompañante'!BV44)</f>
        <v>0.8</v>
      </c>
      <c r="E100" s="1827">
        <f>+SUM('Fauna Acompañante'!BW12+'Fauna Acompañante'!BW28+'Fauna Acompañante'!BW44)</f>
        <v>0</v>
      </c>
      <c r="F100" s="1827">
        <f>+SUM('Fauna Acompañante'!BX12+'Fauna Acompañante'!BX28+'Fauna Acompañante'!BX44)</f>
        <v>0</v>
      </c>
      <c r="G100" s="1827">
        <f>+SUM('Fauna Acompañante'!BY12+'Fauna Acompañante'!BY28+'Fauna Acompañante'!BY44)</f>
        <v>0.6</v>
      </c>
      <c r="H100" s="1827">
        <f>+SUM('Fauna Acompañante'!BZ12+'Fauna Acompañante'!BZ28+'Fauna Acompañante'!BZ44)</f>
        <v>0</v>
      </c>
      <c r="I100" s="1827">
        <f>+SUM('Fauna Acompañante'!CA12+'Fauna Acompañante'!CA28+'Fauna Acompañante'!CA44)</f>
        <v>0</v>
      </c>
      <c r="J100" s="1827">
        <f>+SUM('Fauna Acompañante'!CB12+'Fauna Acompañante'!CB28+'Fauna Acompañante'!CB44)</f>
        <v>0</v>
      </c>
      <c r="K100" s="1827">
        <f>+SUM('Fauna Acompañante'!CC12+'Fauna Acompañante'!CC28+'Fauna Acompañante'!CC44)</f>
        <v>0</v>
      </c>
      <c r="L100" s="1827">
        <f>+SUM('Fauna Acompañante'!CD12+'Fauna Acompañante'!CD28+'Fauna Acompañante'!CD44)</f>
        <v>0</v>
      </c>
      <c r="M100" s="1827">
        <f>+SUM('Fauna Acompañante'!CE12+'Fauna Acompañante'!CE28+'Fauna Acompañante'!CE44)</f>
        <v>0</v>
      </c>
      <c r="N100" s="1827">
        <f>+SUM('Fauna Acompañante'!CF12+'Fauna Acompañante'!CF28+'Fauna Acompañante'!CF44)</f>
        <v>0</v>
      </c>
      <c r="O100" s="1827">
        <f>+SUM('Fauna Acompañante'!CG12+'Fauna Acompañante'!CG28+'Fauna Acompañante'!CG44)</f>
        <v>0</v>
      </c>
      <c r="P100" s="1827">
        <f>+SUM('Fauna Acompañante'!CH12+'Fauna Acompañante'!CH28+'Fauna Acompañante'!CH44)</f>
        <v>0</v>
      </c>
      <c r="Q100" s="1827">
        <f>+SUM('Fauna Acompañante'!CI12+'Fauna Acompañante'!CI28+'Fauna Acompañante'!CI44)</f>
        <v>0</v>
      </c>
      <c r="R100" s="1827">
        <f>+SUM('Fauna Acompañante'!CJ12+'Fauna Acompañante'!CJ28+'Fauna Acompañante'!CJ44)</f>
        <v>0</v>
      </c>
      <c r="S100" s="1827">
        <f>+SUM('Fauna Acompañante'!CK12+'Fauna Acompañante'!CK28+'Fauna Acompañante'!CK44)</f>
        <v>0</v>
      </c>
      <c r="T100" s="1827">
        <f>+SUM('Fauna Acompañante'!CL12+'Fauna Acompañante'!CL28+'Fauna Acompañante'!CL44)</f>
        <v>0</v>
      </c>
      <c r="U100" s="1827">
        <f>+SUM('Fauna Acompañante'!CM12+'Fauna Acompañante'!CM28+'Fauna Acompañante'!CM44)</f>
        <v>0</v>
      </c>
      <c r="V100" s="1827">
        <f>+SUM('Fauna Acompañante'!CN12+'Fauna Acompañante'!CN28+'Fauna Acompañante'!CN44)</f>
        <v>0</v>
      </c>
      <c r="W100" s="1827">
        <f>+SUM('Fauna Acompañante'!CO12+'Fauna Acompañante'!CO28+'Fauna Acompañante'!CO44)</f>
        <v>0</v>
      </c>
      <c r="X100" s="1827">
        <f>+SUM('Fauna Acompañante'!CP12+'Fauna Acompañante'!CP28+'Fauna Acompañante'!CP44)</f>
        <v>0</v>
      </c>
      <c r="Y100" s="1827">
        <f>+SUM('Fauna Acompañante'!CQ12+'Fauna Acompañante'!CQ28+'Fauna Acompañante'!CQ44)</f>
        <v>0</v>
      </c>
      <c r="Z100" s="1827">
        <f>+SUM('Fauna Acompañante'!CR12+'Fauna Acompañante'!CR28+'Fauna Acompañante'!CR44)</f>
        <v>0</v>
      </c>
      <c r="AA100" s="1827">
        <f>+SUM('Fauna Acompañante'!CS12+'Fauna Acompañante'!CS28+'Fauna Acompañante'!CS44)</f>
        <v>0</v>
      </c>
      <c r="AB100" s="1827">
        <f>+SUM('Fauna Acompañante'!CT12+'Fauna Acompañante'!CT28+'Fauna Acompañante'!CT44)</f>
        <v>0</v>
      </c>
      <c r="AC100" s="1827">
        <f>+SUM('Fauna Acompañante'!CU12+'Fauna Acompañante'!CU28+'Fauna Acompañante'!CU44)</f>
        <v>0</v>
      </c>
      <c r="AD100" s="1827">
        <f>+SUM('Fauna Acompañante'!CV12+'Fauna Acompañante'!CV28+'Fauna Acompañante'!CV44)</f>
        <v>0</v>
      </c>
      <c r="AE100" s="1827">
        <f>+SUM('Fauna Acompañante'!CW12+'Fauna Acompañante'!CW28+'Fauna Acompañante'!CW44)</f>
        <v>0</v>
      </c>
      <c r="AF100" s="1827">
        <f>+SUM('Fauna Acompañante'!CX12+'Fauna Acompañante'!CX28+'Fauna Acompañante'!CX44)</f>
        <v>0.01</v>
      </c>
      <c r="AG100" s="1827">
        <f>+SUM('Fauna Acompañante'!CY12+'Fauna Acompañante'!CY28+'Fauna Acompañante'!CY44)</f>
        <v>0</v>
      </c>
      <c r="AH100" s="1826">
        <f t="shared" si="16"/>
        <v>1.41</v>
      </c>
    </row>
    <row r="101" spans="1:34" ht="15">
      <c r="A101" s="1621" t="s">
        <v>81</v>
      </c>
      <c r="B101" s="1622">
        <f t="shared" si="15"/>
        <v>3.0209999999999999</v>
      </c>
      <c r="C101" s="1827">
        <f>+SUM('Fauna Acompañante'!BU13+'Fauna Acompañante'!BU29+'Fauna Acompañante'!BU45)</f>
        <v>0</v>
      </c>
      <c r="D101" s="1827">
        <f>+SUM('Fauna Acompañante'!BV13+'Fauna Acompañante'!BV29+'Fauna Acompañante'!BV45)</f>
        <v>0</v>
      </c>
      <c r="E101" s="1827">
        <f>+SUM('Fauna Acompañante'!BW13+'Fauna Acompañante'!BW29+'Fauna Acompañante'!BW45)</f>
        <v>1.2E-2</v>
      </c>
      <c r="F101" s="1827">
        <f>+SUM('Fauna Acompañante'!BX13+'Fauna Acompañante'!BX29+'Fauna Acompañante'!BX45)</f>
        <v>1.5</v>
      </c>
      <c r="G101" s="1827">
        <f>+SUM('Fauna Acompañante'!BY13+'Fauna Acompañante'!BY29+'Fauna Acompañante'!BY45)</f>
        <v>0.02</v>
      </c>
      <c r="H101" s="1827">
        <f>+SUM('Fauna Acompañante'!BZ13+'Fauna Acompañante'!BZ29+'Fauna Acompañante'!BZ45)</f>
        <v>0</v>
      </c>
      <c r="I101" s="1827">
        <f>+SUM('Fauna Acompañante'!CA13+'Fauna Acompañante'!CA29+'Fauna Acompañante'!CA45)</f>
        <v>0</v>
      </c>
      <c r="J101" s="1827">
        <f>+SUM('Fauna Acompañante'!CB13+'Fauna Acompañante'!CB29+'Fauna Acompañante'!CB45)</f>
        <v>0</v>
      </c>
      <c r="K101" s="1827">
        <f>+SUM('Fauna Acompañante'!CC13+'Fauna Acompañante'!CC29+'Fauna Acompañante'!CC45)</f>
        <v>0.1</v>
      </c>
      <c r="L101" s="1827">
        <f>+SUM('Fauna Acompañante'!CD13+'Fauna Acompañante'!CD29+'Fauna Acompañante'!CD45)</f>
        <v>1.2</v>
      </c>
      <c r="M101" s="1827">
        <f>+SUM('Fauna Acompañante'!CE13+'Fauna Acompañante'!CE29+'Fauna Acompañante'!CE45)</f>
        <v>0</v>
      </c>
      <c r="N101" s="1827">
        <f>+SUM('Fauna Acompañante'!CF13+'Fauna Acompañante'!CF29+'Fauna Acompañante'!CF45)</f>
        <v>0</v>
      </c>
      <c r="O101" s="1827">
        <f>+SUM('Fauna Acompañante'!CG13+'Fauna Acompañante'!CG29+'Fauna Acompañante'!CG45)</f>
        <v>0.15</v>
      </c>
      <c r="P101" s="1827">
        <f>+SUM('Fauna Acompañante'!CH13+'Fauna Acompañante'!CH29+'Fauna Acompañante'!CH45)</f>
        <v>0</v>
      </c>
      <c r="Q101" s="1827">
        <f>+SUM('Fauna Acompañante'!CI13+'Fauna Acompañante'!CI29+'Fauna Acompañante'!CI45)</f>
        <v>0</v>
      </c>
      <c r="R101" s="1827">
        <f>+SUM('Fauna Acompañante'!CJ13+'Fauna Acompañante'!CJ29+'Fauna Acompañante'!CJ45)</f>
        <v>4.0000000000000001E-3</v>
      </c>
      <c r="S101" s="1827">
        <f>+SUM('Fauna Acompañante'!CK13+'Fauna Acompañante'!CK29+'Fauna Acompañante'!CK45)</f>
        <v>1.6E-2</v>
      </c>
      <c r="T101" s="1827">
        <f>+SUM('Fauna Acompañante'!CL13+'Fauna Acompañante'!CL29+'Fauna Acompañante'!CL45)</f>
        <v>0</v>
      </c>
      <c r="U101" s="1827">
        <f>+SUM('Fauna Acompañante'!CM13+'Fauna Acompañante'!CM29+'Fauna Acompañante'!CM45)</f>
        <v>0</v>
      </c>
      <c r="V101" s="1827">
        <f>+SUM('Fauna Acompañante'!CN13+'Fauna Acompañante'!CN29+'Fauna Acompañante'!CN45)</f>
        <v>0</v>
      </c>
      <c r="W101" s="1827">
        <f>+SUM('Fauna Acompañante'!CO13+'Fauna Acompañante'!CO29+'Fauna Acompañante'!CO45)</f>
        <v>0</v>
      </c>
      <c r="X101" s="1827">
        <f>+SUM('Fauna Acompañante'!CP13+'Fauna Acompañante'!CP29+'Fauna Acompañante'!CP45)</f>
        <v>0</v>
      </c>
      <c r="Y101" s="1827">
        <f>+SUM('Fauna Acompañante'!CQ13+'Fauna Acompañante'!CQ29+'Fauna Acompañante'!CQ45)</f>
        <v>0</v>
      </c>
      <c r="Z101" s="1827">
        <f>+SUM('Fauna Acompañante'!CR13+'Fauna Acompañante'!CR29+'Fauna Acompañante'!CR45)</f>
        <v>0</v>
      </c>
      <c r="AA101" s="1827">
        <f>+SUM('Fauna Acompañante'!CS13+'Fauna Acompañante'!CS29+'Fauna Acompañante'!CS45)</f>
        <v>0</v>
      </c>
      <c r="AB101" s="1827">
        <f>+SUM('Fauna Acompañante'!CT13+'Fauna Acompañante'!CT29+'Fauna Acompañante'!CT45)</f>
        <v>0</v>
      </c>
      <c r="AC101" s="1827">
        <f>+SUM('Fauna Acompañante'!CU13+'Fauna Acompañante'!CU29+'Fauna Acompañante'!CU45)</f>
        <v>0</v>
      </c>
      <c r="AD101" s="1827">
        <f>+SUM('Fauna Acompañante'!CV13+'Fauna Acompañante'!CV29+'Fauna Acompañante'!CV45)</f>
        <v>0</v>
      </c>
      <c r="AE101" s="1827">
        <f>+SUM('Fauna Acompañante'!CW13+'Fauna Acompañante'!CW29+'Fauna Acompañante'!CW45)</f>
        <v>0</v>
      </c>
      <c r="AF101" s="1827">
        <f>+SUM('Fauna Acompañante'!CX13+'Fauna Acompañante'!CX29+'Fauna Acompañante'!CX45)</f>
        <v>1.9E-2</v>
      </c>
      <c r="AG101" s="1827">
        <f>+SUM('Fauna Acompañante'!CY13+'Fauna Acompañante'!CY29+'Fauna Acompañante'!CY45)</f>
        <v>0</v>
      </c>
      <c r="AH101" s="1826">
        <f t="shared" si="16"/>
        <v>3.0209999999999999</v>
      </c>
    </row>
    <row r="102" spans="1:34" ht="15">
      <c r="A102" s="1621" t="s">
        <v>82</v>
      </c>
      <c r="B102" s="1622">
        <f t="shared" si="15"/>
        <v>0.17599999999999999</v>
      </c>
      <c r="C102" s="1827">
        <f>+SUM('Fauna Acompañante'!BU14+'Fauna Acompañante'!BU30+'Fauna Acompañante'!BU46)</f>
        <v>0</v>
      </c>
      <c r="D102" s="1827">
        <f>+SUM('Fauna Acompañante'!BV14+'Fauna Acompañante'!BV30+'Fauna Acompañante'!BV46)</f>
        <v>0</v>
      </c>
      <c r="E102" s="1827">
        <f>+SUM('Fauna Acompañante'!BW14+'Fauna Acompañante'!BW30+'Fauna Acompañante'!BW46)</f>
        <v>0</v>
      </c>
      <c r="F102" s="1827">
        <f>+SUM('Fauna Acompañante'!BX14+'Fauna Acompañante'!BX30+'Fauna Acompañante'!BX46)</f>
        <v>0</v>
      </c>
      <c r="G102" s="1827">
        <f>+SUM('Fauna Acompañante'!BY14+'Fauna Acompañante'!BY30+'Fauna Acompañante'!BY46)</f>
        <v>0</v>
      </c>
      <c r="H102" s="1827">
        <f>+SUM('Fauna Acompañante'!BZ14+'Fauna Acompañante'!BZ30+'Fauna Acompañante'!BZ46)</f>
        <v>0</v>
      </c>
      <c r="I102" s="1827">
        <f>+SUM('Fauna Acompañante'!CA14+'Fauna Acompañante'!CA30+'Fauna Acompañante'!CA46)</f>
        <v>0</v>
      </c>
      <c r="J102" s="1827">
        <f>+SUM('Fauna Acompañante'!CB14+'Fauna Acompañante'!CB30+'Fauna Acompañante'!CB46)</f>
        <v>0</v>
      </c>
      <c r="K102" s="1827">
        <f>+SUM('Fauna Acompañante'!CC14+'Fauna Acompañante'!CC30+'Fauna Acompañante'!CC46)</f>
        <v>0</v>
      </c>
      <c r="L102" s="1827">
        <f>+SUM('Fauna Acompañante'!CD14+'Fauna Acompañante'!CD30+'Fauna Acompañante'!CD46)</f>
        <v>0</v>
      </c>
      <c r="M102" s="1827">
        <f>+SUM('Fauna Acompañante'!CE14+'Fauna Acompañante'!CE30+'Fauna Acompañante'!CE46)</f>
        <v>0</v>
      </c>
      <c r="N102" s="1827">
        <f>+SUM('Fauna Acompañante'!CF14+'Fauna Acompañante'!CF30+'Fauna Acompañante'!CF46)</f>
        <v>0</v>
      </c>
      <c r="O102" s="1827">
        <f>+SUM('Fauna Acompañante'!CG14+'Fauna Acompañante'!CG30+'Fauna Acompañante'!CG46)</f>
        <v>0</v>
      </c>
      <c r="P102" s="1827">
        <f>+SUM('Fauna Acompañante'!CH14+'Fauna Acompañante'!CH30+'Fauna Acompañante'!CH46)</f>
        <v>0</v>
      </c>
      <c r="Q102" s="1827">
        <f>+SUM('Fauna Acompañante'!CI14+'Fauna Acompañante'!CI30+'Fauna Acompañante'!CI46)</f>
        <v>0</v>
      </c>
      <c r="R102" s="1827">
        <f>+SUM('Fauna Acompañante'!CJ14+'Fauna Acompañante'!CJ30+'Fauna Acompañante'!CJ46)</f>
        <v>0</v>
      </c>
      <c r="S102" s="1827">
        <f>+SUM('Fauna Acompañante'!CK14+'Fauna Acompañante'!CK30+'Fauna Acompañante'!CK46)</f>
        <v>0</v>
      </c>
      <c r="T102" s="1827">
        <f>+SUM('Fauna Acompañante'!CL14+'Fauna Acompañante'!CL30+'Fauna Acompañante'!CL46)</f>
        <v>0</v>
      </c>
      <c r="U102" s="1827">
        <f>+SUM('Fauna Acompañante'!CM14+'Fauna Acompañante'!CM30+'Fauna Acompañante'!CM46)</f>
        <v>1.2E-2</v>
      </c>
      <c r="V102" s="1827">
        <f>+SUM('Fauna Acompañante'!CN14+'Fauna Acompañante'!CN30+'Fauna Acompañante'!CN46)</f>
        <v>0.02</v>
      </c>
      <c r="W102" s="1827">
        <f>+SUM('Fauna Acompañante'!CO14+'Fauna Acompañante'!CO30+'Fauna Acompañante'!CO46)</f>
        <v>0</v>
      </c>
      <c r="X102" s="1827">
        <f>+SUM('Fauna Acompañante'!CP14+'Fauna Acompañante'!CP30+'Fauna Acompañante'!CP46)</f>
        <v>0</v>
      </c>
      <c r="Y102" s="1827">
        <f>+SUM('Fauna Acompañante'!CQ14+'Fauna Acompañante'!CQ30+'Fauna Acompañante'!CQ46)</f>
        <v>0</v>
      </c>
      <c r="Z102" s="1827">
        <f>+SUM('Fauna Acompañante'!CR14+'Fauna Acompañante'!CR30+'Fauna Acompañante'!CR46)</f>
        <v>0</v>
      </c>
      <c r="AA102" s="1827">
        <f>+SUM('Fauna Acompañante'!CS14+'Fauna Acompañante'!CS30+'Fauna Acompañante'!CS46)</f>
        <v>0.03</v>
      </c>
      <c r="AB102" s="1827">
        <f>+SUM('Fauna Acompañante'!CT14+'Fauna Acompañante'!CT30+'Fauna Acompañante'!CT46)</f>
        <v>0</v>
      </c>
      <c r="AC102" s="1827">
        <f>+SUM('Fauna Acompañante'!CU14+'Fauna Acompañante'!CU30+'Fauna Acompañante'!CU46)</f>
        <v>0</v>
      </c>
      <c r="AD102" s="1827">
        <f>+SUM('Fauna Acompañante'!CV14+'Fauna Acompañante'!CV30+'Fauna Acompañante'!CV46)</f>
        <v>8.0000000000000002E-3</v>
      </c>
      <c r="AE102" s="1827">
        <f>+SUM('Fauna Acompañante'!CW14+'Fauna Acompañante'!CW30+'Fauna Acompañante'!CW46)</f>
        <v>0</v>
      </c>
      <c r="AF102" s="1827">
        <f>+SUM('Fauna Acompañante'!CX14+'Fauna Acompañante'!CX30+'Fauna Acompañante'!CX46)</f>
        <v>8.6999999999999994E-2</v>
      </c>
      <c r="AG102" s="1827">
        <f>+SUM('Fauna Acompañante'!CY14+'Fauna Acompañante'!CY30+'Fauna Acompañante'!CY46)</f>
        <v>1.9E-2</v>
      </c>
      <c r="AH102" s="1826">
        <f t="shared" si="16"/>
        <v>0.17599999999999999</v>
      </c>
    </row>
    <row r="103" spans="1:34" ht="15">
      <c r="A103" s="1621" t="s">
        <v>83</v>
      </c>
      <c r="B103" s="1622">
        <f t="shared" si="15"/>
        <v>0.11</v>
      </c>
      <c r="C103" s="1827">
        <f>+SUM('Fauna Acompañante'!BU15+'Fauna Acompañante'!BU31+'Fauna Acompañante'!BU47)</f>
        <v>0</v>
      </c>
      <c r="D103" s="1827">
        <f>+SUM('Fauna Acompañante'!BV15+'Fauna Acompañante'!BV31+'Fauna Acompañante'!BV47)</f>
        <v>0</v>
      </c>
      <c r="E103" s="1827">
        <f>+SUM('Fauna Acompañante'!BW15+'Fauna Acompañante'!BW31+'Fauna Acompañante'!BW47)</f>
        <v>0</v>
      </c>
      <c r="F103" s="1827">
        <f>+SUM('Fauna Acompañante'!BX15+'Fauna Acompañante'!BX31+'Fauna Acompañante'!BX47)</f>
        <v>0</v>
      </c>
      <c r="G103" s="1827">
        <f>+SUM('Fauna Acompañante'!BY15+'Fauna Acompañante'!BY31+'Fauna Acompañante'!BY47)</f>
        <v>0</v>
      </c>
      <c r="H103" s="1827">
        <f>+SUM('Fauna Acompañante'!BZ15+'Fauna Acompañante'!BZ31+'Fauna Acompañante'!BZ47)</f>
        <v>0</v>
      </c>
      <c r="I103" s="1827">
        <f>+SUM('Fauna Acompañante'!CA15+'Fauna Acompañante'!CA31+'Fauna Acompañante'!CA47)</f>
        <v>0</v>
      </c>
      <c r="J103" s="1827">
        <f>+SUM('Fauna Acompañante'!CB15+'Fauna Acompañante'!CB31+'Fauna Acompañante'!CB47)</f>
        <v>0</v>
      </c>
      <c r="K103" s="1827">
        <f>+SUM('Fauna Acompañante'!CC15+'Fauna Acompañante'!CC31+'Fauna Acompañante'!CC47)</f>
        <v>0</v>
      </c>
      <c r="L103" s="1827">
        <f>+SUM('Fauna Acompañante'!CD15+'Fauna Acompañante'!CD31+'Fauna Acompañante'!CD47)</f>
        <v>0</v>
      </c>
      <c r="M103" s="1827">
        <f>+SUM('Fauna Acompañante'!CE15+'Fauna Acompañante'!CE31+'Fauna Acompañante'!CE47)</f>
        <v>0</v>
      </c>
      <c r="N103" s="1827">
        <f>+SUM('Fauna Acompañante'!CF15+'Fauna Acompañante'!CF31+'Fauna Acompañante'!CF47)</f>
        <v>0</v>
      </c>
      <c r="O103" s="1827">
        <f>+SUM('Fauna Acompañante'!CG15+'Fauna Acompañante'!CG31+'Fauna Acompañante'!CG47)</f>
        <v>0</v>
      </c>
      <c r="P103" s="1827">
        <f>+SUM('Fauna Acompañante'!CH15+'Fauna Acompañante'!CH31+'Fauna Acompañante'!CH47)</f>
        <v>0</v>
      </c>
      <c r="Q103" s="1827">
        <f>+SUM('Fauna Acompañante'!CI15+'Fauna Acompañante'!CI31+'Fauna Acompañante'!CI47)</f>
        <v>0</v>
      </c>
      <c r="R103" s="1827">
        <f>+SUM('Fauna Acompañante'!CJ15+'Fauna Acompañante'!CJ31+'Fauna Acompañante'!CJ47)</f>
        <v>0</v>
      </c>
      <c r="S103" s="1827">
        <f>+SUM('Fauna Acompañante'!CK15+'Fauna Acompañante'!CK31+'Fauna Acompañante'!CK47)</f>
        <v>0</v>
      </c>
      <c r="T103" s="1827">
        <f>+SUM('Fauna Acompañante'!CL15+'Fauna Acompañante'!CL31+'Fauna Acompañante'!CL47)</f>
        <v>0</v>
      </c>
      <c r="U103" s="1827">
        <f>+SUM('Fauna Acompañante'!CM15+'Fauna Acompañante'!CM31+'Fauna Acompañante'!CM47)</f>
        <v>0</v>
      </c>
      <c r="V103" s="1827">
        <f>+SUM('Fauna Acompañante'!CN15+'Fauna Acompañante'!CN31+'Fauna Acompañante'!CN47)</f>
        <v>0</v>
      </c>
      <c r="W103" s="1827">
        <f>+SUM('Fauna Acompañante'!CO15+'Fauna Acompañante'!CO31+'Fauna Acompañante'!CO47)</f>
        <v>0</v>
      </c>
      <c r="X103" s="1827">
        <f>+SUM('Fauna Acompañante'!CP15+'Fauna Acompañante'!CP31+'Fauna Acompañante'!CP47)</f>
        <v>0</v>
      </c>
      <c r="Y103" s="1827">
        <f>+SUM('Fauna Acompañante'!CQ15+'Fauna Acompañante'!CQ31+'Fauna Acompañante'!CQ47)</f>
        <v>0.03</v>
      </c>
      <c r="Z103" s="1827">
        <f>+SUM('Fauna Acompañante'!CR15+'Fauna Acompañante'!CR31+'Fauna Acompañante'!CR47)</f>
        <v>0</v>
      </c>
      <c r="AA103" s="1827">
        <f>+SUM('Fauna Acompañante'!CS15+'Fauna Acompañante'!CS31+'Fauna Acompañante'!CS47)</f>
        <v>0</v>
      </c>
      <c r="AB103" s="1827">
        <f>+SUM('Fauna Acompañante'!CT15+'Fauna Acompañante'!CT31+'Fauna Acompañante'!CT47)</f>
        <v>0.06</v>
      </c>
      <c r="AC103" s="1827">
        <f>+SUM('Fauna Acompañante'!CU15+'Fauna Acompañante'!CU31+'Fauna Acompañante'!CU47)</f>
        <v>0</v>
      </c>
      <c r="AD103" s="1827">
        <f>+SUM('Fauna Acompañante'!CV15+'Fauna Acompañante'!CV31+'Fauna Acompañante'!CV47)</f>
        <v>0.02</v>
      </c>
      <c r="AE103" s="1827">
        <f>+SUM('Fauna Acompañante'!CW15+'Fauna Acompañante'!CW31+'Fauna Acompañante'!CW47)</f>
        <v>0</v>
      </c>
      <c r="AF103" s="1827">
        <f>+SUM('Fauna Acompañante'!CX15+'Fauna Acompañante'!CX31+'Fauna Acompañante'!CX47)</f>
        <v>0</v>
      </c>
      <c r="AG103" s="1827">
        <f>+SUM('Fauna Acompañante'!CY15+'Fauna Acompañante'!CY31+'Fauna Acompañante'!CY47)</f>
        <v>0</v>
      </c>
      <c r="AH103" s="1826">
        <f t="shared" si="16"/>
        <v>0.11</v>
      </c>
    </row>
    <row r="104" spans="1:34" ht="15">
      <c r="A104" s="1621" t="s">
        <v>84</v>
      </c>
      <c r="B104" s="1622">
        <f t="shared" si="15"/>
        <v>2.8999999999999998E-2</v>
      </c>
      <c r="C104" s="1827">
        <f>+SUM('Fauna Acompañante'!BU16+'Fauna Acompañante'!BU32+'Fauna Acompañante'!BU48)</f>
        <v>0</v>
      </c>
      <c r="D104" s="1827">
        <f>+SUM('Fauna Acompañante'!BV16+'Fauna Acompañante'!BV32+'Fauna Acompañante'!BV48)</f>
        <v>0</v>
      </c>
      <c r="E104" s="1827">
        <f>+SUM('Fauna Acompañante'!BW16+'Fauna Acompañante'!BW32+'Fauna Acompañante'!BW48)</f>
        <v>0</v>
      </c>
      <c r="F104" s="1827">
        <f>+SUM('Fauna Acompañante'!BX16+'Fauna Acompañante'!BX32+'Fauna Acompañante'!BX48)</f>
        <v>1.2E-2</v>
      </c>
      <c r="G104" s="1827">
        <f>+SUM('Fauna Acompañante'!BY16+'Fauna Acompañante'!BY32+'Fauna Acompañante'!BY48)</f>
        <v>3.0000000000000001E-3</v>
      </c>
      <c r="H104" s="1827">
        <f>+SUM('Fauna Acompañante'!BZ16+'Fauna Acompañante'!BZ32+'Fauna Acompañante'!BZ48)</f>
        <v>0</v>
      </c>
      <c r="I104" s="1827">
        <f>+SUM('Fauna Acompañante'!CA16+'Fauna Acompañante'!CA32+'Fauna Acompañante'!CA48)</f>
        <v>0</v>
      </c>
      <c r="J104" s="1827">
        <f>+SUM('Fauna Acompañante'!CB16+'Fauna Acompañante'!CB32+'Fauna Acompañante'!CB48)</f>
        <v>4.0000000000000001E-3</v>
      </c>
      <c r="K104" s="1827">
        <f>+SUM('Fauna Acompañante'!CC16+'Fauna Acompañante'!CC32+'Fauna Acompañante'!CC48)</f>
        <v>0</v>
      </c>
      <c r="L104" s="1827">
        <f>+SUM('Fauna Acompañante'!CD16+'Fauna Acompañante'!CD32+'Fauna Acompañante'!CD48)</f>
        <v>0</v>
      </c>
      <c r="M104" s="1827">
        <f>+SUM('Fauna Acompañante'!CE16+'Fauna Acompañante'!CE32+'Fauna Acompañante'!CE48)</f>
        <v>0.01</v>
      </c>
      <c r="N104" s="1827">
        <f>+SUM('Fauna Acompañante'!CF16+'Fauna Acompañante'!CF32+'Fauna Acompañante'!CF48)</f>
        <v>0</v>
      </c>
      <c r="O104" s="1827">
        <f>+SUM('Fauna Acompañante'!CG16+'Fauna Acompañante'!CG32+'Fauna Acompañante'!CG48)</f>
        <v>0</v>
      </c>
      <c r="P104" s="1827">
        <f>+SUM('Fauna Acompañante'!CH16+'Fauna Acompañante'!CH32+'Fauna Acompañante'!CH48)</f>
        <v>0</v>
      </c>
      <c r="Q104" s="1827">
        <f>+SUM('Fauna Acompañante'!CI16+'Fauna Acompañante'!CI32+'Fauna Acompañante'!CI48)</f>
        <v>0</v>
      </c>
      <c r="R104" s="1827">
        <f>+SUM('Fauna Acompañante'!CJ16+'Fauna Acompañante'!CJ32+'Fauna Acompañante'!CJ48)</f>
        <v>0</v>
      </c>
      <c r="S104" s="1827">
        <f>+SUM('Fauna Acompañante'!CK16+'Fauna Acompañante'!CK32+'Fauna Acompañante'!CK48)</f>
        <v>0</v>
      </c>
      <c r="T104" s="1827">
        <f>+SUM('Fauna Acompañante'!CL16+'Fauna Acompañante'!CL32+'Fauna Acompañante'!CL48)</f>
        <v>0</v>
      </c>
      <c r="U104" s="1827">
        <f>+SUM('Fauna Acompañante'!CM16+'Fauna Acompañante'!CM32+'Fauna Acompañante'!CM48)</f>
        <v>0</v>
      </c>
      <c r="V104" s="1827">
        <f>+SUM('Fauna Acompañante'!CN16+'Fauna Acompañante'!CN32+'Fauna Acompañante'!CN48)</f>
        <v>0</v>
      </c>
      <c r="W104" s="1827">
        <f>+SUM('Fauna Acompañante'!CO16+'Fauna Acompañante'!CO32+'Fauna Acompañante'!CO48)</f>
        <v>0</v>
      </c>
      <c r="X104" s="1827">
        <f>+SUM('Fauna Acompañante'!CP16+'Fauna Acompañante'!CP32+'Fauna Acompañante'!CP48)</f>
        <v>0</v>
      </c>
      <c r="Y104" s="1827">
        <f>+SUM('Fauna Acompañante'!CQ16+'Fauna Acompañante'!CQ32+'Fauna Acompañante'!CQ48)</f>
        <v>0</v>
      </c>
      <c r="Z104" s="1827">
        <f>+SUM('Fauna Acompañante'!CR16+'Fauna Acompañante'!CR32+'Fauna Acompañante'!CR48)</f>
        <v>0</v>
      </c>
      <c r="AA104" s="1827">
        <f>+SUM('Fauna Acompañante'!CS16+'Fauna Acompañante'!CS32+'Fauna Acompañante'!CS48)</f>
        <v>0</v>
      </c>
      <c r="AB104" s="1827">
        <f>+SUM('Fauna Acompañante'!CT16+'Fauna Acompañante'!CT32+'Fauna Acompañante'!CT48)</f>
        <v>0</v>
      </c>
      <c r="AC104" s="1827">
        <f>+SUM('Fauna Acompañante'!CU16+'Fauna Acompañante'!CU32+'Fauna Acompañante'!CU48)</f>
        <v>0</v>
      </c>
      <c r="AD104" s="1827">
        <f>+SUM('Fauna Acompañante'!CV16+'Fauna Acompañante'!CV32+'Fauna Acompañante'!CV48)</f>
        <v>0</v>
      </c>
      <c r="AE104" s="1827">
        <f>+SUM('Fauna Acompañante'!CW16+'Fauna Acompañante'!CW32+'Fauna Acompañante'!CW48)</f>
        <v>0</v>
      </c>
      <c r="AF104" s="1827">
        <f>+SUM('Fauna Acompañante'!CX16+'Fauna Acompañante'!CX32+'Fauna Acompañante'!CX48)</f>
        <v>0</v>
      </c>
      <c r="AG104" s="1827">
        <f>+SUM('Fauna Acompañante'!CY16+'Fauna Acompañante'!CY32+'Fauna Acompañante'!CY48)</f>
        <v>0</v>
      </c>
      <c r="AH104" s="1826">
        <f t="shared" si="16"/>
        <v>2.8999999999999998E-2</v>
      </c>
    </row>
    <row r="105" spans="1:34" ht="15">
      <c r="A105" s="1829" t="s">
        <v>72</v>
      </c>
      <c r="B105" s="1828">
        <f>SUM(B93:B104)</f>
        <v>16.319999999999997</v>
      </c>
      <c r="C105" s="1827">
        <f>+SUM('Fauna Acompañante'!BU17+'Fauna Acompañante'!BU33+'Fauna Acompañante'!BU49)</f>
        <v>0</v>
      </c>
      <c r="D105" s="1827">
        <f>+SUM('Fauna Acompañante'!BV17+'Fauna Acompañante'!BV33+'Fauna Acompañante'!BV49)</f>
        <v>0.8</v>
      </c>
      <c r="E105" s="1827">
        <f>+SUM('Fauna Acompañante'!BW17+'Fauna Acompañante'!BW33+'Fauna Acompañante'!BW49)</f>
        <v>1.2E-2</v>
      </c>
      <c r="F105" s="1827">
        <f>+SUM('Fauna Acompañante'!BX17+'Fauna Acompañante'!BX33+'Fauna Acompañante'!BX49)</f>
        <v>2.8260000000000001</v>
      </c>
      <c r="G105" s="1827">
        <f>+SUM('Fauna Acompañante'!BY17+'Fauna Acompañante'!BY33+'Fauna Acompañante'!BY49)</f>
        <v>0.70799999999999996</v>
      </c>
      <c r="H105" s="1827">
        <f>+SUM('Fauna Acompañante'!BZ17+'Fauna Acompañante'!BZ33+'Fauna Acompañante'!BZ49)</f>
        <v>0</v>
      </c>
      <c r="I105" s="1827">
        <f>+SUM('Fauna Acompañante'!CA17+'Fauna Acompañante'!CA33+'Fauna Acompañante'!CA49)</f>
        <v>0</v>
      </c>
      <c r="J105" s="1827">
        <f>+SUM('Fauna Acompañante'!CB17+'Fauna Acompañante'!CB33+'Fauna Acompañante'!CB49)</f>
        <v>4.0000000000000001E-3</v>
      </c>
      <c r="K105" s="1827">
        <f>+SUM('Fauna Acompañante'!CC17+'Fauna Acompañante'!CC33+'Fauna Acompañante'!CC49)</f>
        <v>0.1</v>
      </c>
      <c r="L105" s="1827">
        <f>+SUM('Fauna Acompañante'!CD17+'Fauna Acompañante'!CD33+'Fauna Acompañante'!CD49)</f>
        <v>1.2</v>
      </c>
      <c r="M105" s="1827">
        <f>+SUM('Fauna Acompañante'!CE17+'Fauna Acompañante'!CE33+'Fauna Acompañante'!CE49)</f>
        <v>0.01</v>
      </c>
      <c r="N105" s="1827">
        <f>+SUM('Fauna Acompañante'!CF17+'Fauna Acompañante'!CF33+'Fauna Acompañante'!CF49)</f>
        <v>0.60599999999999998</v>
      </c>
      <c r="O105" s="1827">
        <f>+SUM('Fauna Acompañante'!CG17+'Fauna Acompañante'!CG33+'Fauna Acompañante'!CG49)</f>
        <v>0.15</v>
      </c>
      <c r="P105" s="1827">
        <f>+SUM('Fauna Acompañante'!CH17+'Fauna Acompañante'!CH33+'Fauna Acompañante'!CH49)</f>
        <v>0.15</v>
      </c>
      <c r="Q105" s="1827">
        <f>+SUM('Fauna Acompañante'!CI17+'Fauna Acompañante'!CI33+'Fauna Acompañante'!CI49)</f>
        <v>0.08</v>
      </c>
      <c r="R105" s="1827">
        <f>+SUM('Fauna Acompañante'!CJ17+'Fauna Acompañante'!CJ33+'Fauna Acompañante'!CJ49)</f>
        <v>4.0000000000000001E-3</v>
      </c>
      <c r="S105" s="1827">
        <f>+SUM('Fauna Acompañante'!CK17+'Fauna Acompañante'!CK33+'Fauna Acompañante'!CK49)</f>
        <v>1.6E-2</v>
      </c>
      <c r="T105" s="1827">
        <f>+SUM('Fauna Acompañante'!CL17+'Fauna Acompañante'!CL33+'Fauna Acompañante'!CL49)</f>
        <v>0</v>
      </c>
      <c r="U105" s="1827">
        <f>+SUM('Fauna Acompañante'!CM17+'Fauna Acompañante'!CM33+'Fauna Acompañante'!CM49)</f>
        <v>0.312</v>
      </c>
      <c r="V105" s="1827">
        <f>+SUM('Fauna Acompañante'!CN17+'Fauna Acompañante'!CN33+'Fauna Acompañante'!CN49)</f>
        <v>0.02</v>
      </c>
      <c r="W105" s="1827">
        <f>+SUM('Fauna Acompañante'!CO17+'Fauna Acompañante'!CO33+'Fauna Acompañante'!CO49)</f>
        <v>0</v>
      </c>
      <c r="X105" s="1827">
        <f>+SUM('Fauna Acompañante'!CP17+'Fauna Acompañante'!CP33+'Fauna Acompañante'!CP49)</f>
        <v>0</v>
      </c>
      <c r="Y105" s="1827">
        <f>+SUM('Fauna Acompañante'!CQ17+'Fauna Acompañante'!CQ33+'Fauna Acompañante'!CQ49)</f>
        <v>0.03</v>
      </c>
      <c r="Z105" s="1827">
        <f>+SUM('Fauna Acompañante'!CR17+'Fauna Acompañante'!CR33+'Fauna Acompañante'!CR49)</f>
        <v>0</v>
      </c>
      <c r="AA105" s="1827">
        <f>+SUM('Fauna Acompañante'!CS17+'Fauna Acompañante'!CS33+'Fauna Acompañante'!CS49)</f>
        <v>0.03</v>
      </c>
      <c r="AB105" s="1827">
        <f>+SUM('Fauna Acompañante'!CT17+'Fauna Acompañante'!CT33+'Fauna Acompañante'!CT49)</f>
        <v>0.8600000000000001</v>
      </c>
      <c r="AC105" s="1827">
        <f>+SUM('Fauna Acompañante'!CU17+'Fauna Acompañante'!CU33+'Fauna Acompañante'!CU49)</f>
        <v>7.9000000000000001E-2</v>
      </c>
      <c r="AD105" s="1827">
        <f>+SUM('Fauna Acompañante'!CV17+'Fauna Acompañante'!CV33+'Fauna Acompañante'!CV49)</f>
        <v>2.8000000000000001E-2</v>
      </c>
      <c r="AE105" s="1827">
        <f>+SUM('Fauna Acompañante'!CW17+'Fauna Acompañante'!CW33+'Fauna Acompañante'!CW49)</f>
        <v>0</v>
      </c>
      <c r="AF105" s="1827">
        <f>+SUM('Fauna Acompañante'!CX17+'Fauna Acompañante'!CX33+'Fauna Acompañante'!CX49)</f>
        <v>7.8759999999999986</v>
      </c>
      <c r="AG105" s="1827">
        <f>+SUM('Fauna Acompañante'!CY17+'Fauna Acompañante'!CY33+'Fauna Acompañante'!CY49)</f>
        <v>0.41900000000000004</v>
      </c>
      <c r="AH105" s="1826">
        <f t="shared" ref="AH105" si="17">SUM(AH93:AH104)</f>
        <v>16.319999999999997</v>
      </c>
    </row>
    <row r="106" spans="1:34" s="2206" customFormat="1" ht="15">
      <c r="A106" s="1901"/>
      <c r="B106" s="2207"/>
      <c r="C106" s="2208"/>
      <c r="D106" s="2208"/>
      <c r="E106" s="2208"/>
      <c r="F106" s="2208"/>
      <c r="G106" s="2208"/>
      <c r="H106" s="2208"/>
      <c r="I106" s="2208"/>
      <c r="J106" s="2208"/>
      <c r="K106" s="2208"/>
      <c r="L106" s="2208"/>
      <c r="M106" s="2208"/>
      <c r="N106" s="2208"/>
      <c r="O106" s="2208"/>
      <c r="P106" s="2208"/>
      <c r="Q106" s="2208"/>
      <c r="R106" s="2208"/>
      <c r="S106" s="2208"/>
      <c r="T106" s="2208"/>
      <c r="U106" s="2208"/>
      <c r="V106" s="2208"/>
      <c r="W106" s="2208"/>
      <c r="X106" s="2208"/>
      <c r="Y106" s="2208"/>
      <c r="Z106" s="2208"/>
      <c r="AA106" s="2208"/>
      <c r="AB106" s="2208"/>
      <c r="AC106" s="2208"/>
      <c r="AD106" s="2208"/>
      <c r="AE106" s="2208"/>
      <c r="AF106" s="2208"/>
      <c r="AG106" s="2208"/>
      <c r="AH106" s="1891"/>
    </row>
    <row r="107" spans="1:34" s="2206" customFormat="1" ht="15">
      <c r="A107" s="4035" t="s">
        <v>749</v>
      </c>
      <c r="B107" s="4036"/>
      <c r="C107" s="4036"/>
      <c r="D107" s="4036"/>
      <c r="E107" s="4036"/>
      <c r="F107" s="4036"/>
      <c r="G107" s="4036"/>
      <c r="H107" s="4036"/>
      <c r="I107" s="4036"/>
      <c r="J107" s="4036"/>
      <c r="K107" s="4036"/>
      <c r="L107" s="4036"/>
      <c r="M107" s="4036"/>
      <c r="N107" s="4036"/>
      <c r="O107" s="4036"/>
      <c r="P107" s="4036"/>
      <c r="Q107" s="4036"/>
      <c r="R107" s="4036"/>
      <c r="S107" s="4036"/>
      <c r="T107" s="4037"/>
      <c r="U107" s="1833"/>
      <c r="V107" s="1833"/>
      <c r="W107" s="1833"/>
      <c r="X107" s="1833"/>
      <c r="Y107" s="1833"/>
      <c r="Z107" s="1833"/>
      <c r="AA107" s="1833"/>
      <c r="AB107" s="1833"/>
      <c r="AC107" s="1833"/>
      <c r="AD107" s="1833"/>
      <c r="AE107" s="1833"/>
      <c r="AF107" s="1833"/>
      <c r="AG107" s="1833"/>
      <c r="AH107" s="1833"/>
    </row>
    <row r="108" spans="1:34" s="2206" customFormat="1">
      <c r="A108" s="1833"/>
      <c r="B108" s="1833"/>
      <c r="C108" s="1833"/>
      <c r="D108" s="1833"/>
      <c r="E108" s="1833"/>
      <c r="F108" s="1833"/>
      <c r="G108" s="1833"/>
      <c r="H108" s="1833"/>
      <c r="I108" s="1833"/>
      <c r="J108" s="1833"/>
      <c r="K108" s="1833"/>
      <c r="L108" s="1833"/>
      <c r="M108" s="1833"/>
      <c r="N108" s="1833"/>
      <c r="O108" s="1833"/>
      <c r="P108" s="1833"/>
      <c r="Q108" s="1833"/>
      <c r="R108" s="1833"/>
      <c r="S108" s="1833"/>
      <c r="T108" s="1833"/>
      <c r="U108" s="1833"/>
      <c r="V108" s="1833"/>
      <c r="W108" s="1833"/>
      <c r="X108" s="1833"/>
      <c r="Y108" s="1833"/>
      <c r="Z108" s="1833"/>
      <c r="AA108" s="1833"/>
      <c r="AB108" s="1833"/>
      <c r="AC108" s="1833"/>
      <c r="AD108" s="1833"/>
      <c r="AE108" s="1833"/>
      <c r="AF108" s="1833"/>
      <c r="AG108" s="1833"/>
      <c r="AH108" s="1833"/>
    </row>
    <row r="109" spans="1:34" s="2206" customFormat="1">
      <c r="A109" s="1833"/>
      <c r="B109" s="1833"/>
      <c r="C109" s="1833"/>
      <c r="D109" s="1833"/>
      <c r="E109" s="1833"/>
      <c r="F109" s="1833"/>
      <c r="G109" s="1833"/>
      <c r="H109" s="1833"/>
      <c r="I109" s="1833"/>
      <c r="J109" s="1833"/>
      <c r="K109" s="1833"/>
      <c r="L109" s="1833"/>
      <c r="M109" s="1833"/>
      <c r="N109" s="1833"/>
      <c r="O109" s="1833"/>
      <c r="P109" s="1833"/>
      <c r="Q109" s="1833"/>
      <c r="R109" s="1833"/>
      <c r="S109" s="1833"/>
      <c r="T109" s="1833"/>
      <c r="U109" s="1833"/>
      <c r="V109" s="1833"/>
      <c r="W109" s="1833"/>
      <c r="X109" s="1833"/>
      <c r="Y109" s="1833"/>
      <c r="Z109" s="1833"/>
      <c r="AA109" s="1833"/>
      <c r="AB109" s="1833"/>
      <c r="AC109" s="1833"/>
      <c r="AD109" s="1833"/>
      <c r="AE109" s="1833"/>
      <c r="AF109" s="1833"/>
      <c r="AG109" s="1833"/>
      <c r="AH109" s="1833"/>
    </row>
    <row r="110" spans="1:34" s="2206" customFormat="1" ht="15">
      <c r="A110" s="4035" t="s">
        <v>599</v>
      </c>
      <c r="B110" s="4036"/>
      <c r="C110" s="4037"/>
      <c r="D110" s="1831"/>
      <c r="E110" s="1831"/>
      <c r="F110" s="1831"/>
      <c r="G110" s="1831"/>
      <c r="H110" s="1831"/>
      <c r="I110" s="1831"/>
      <c r="J110" s="1831"/>
      <c r="K110" s="1831"/>
      <c r="L110" s="1831"/>
      <c r="M110" s="1832"/>
      <c r="N110" s="1831"/>
      <c r="O110" s="1831"/>
      <c r="P110" s="1831"/>
      <c r="Q110" s="1831"/>
      <c r="R110" s="1831"/>
      <c r="S110" s="1831"/>
      <c r="T110" s="1831"/>
      <c r="U110" s="1831"/>
      <c r="V110" s="1831"/>
      <c r="W110" s="1831"/>
      <c r="X110" s="1831"/>
      <c r="Y110" s="1831"/>
      <c r="Z110" s="1831"/>
      <c r="AA110" s="1831"/>
      <c r="AB110" s="1831"/>
      <c r="AC110" s="1831"/>
      <c r="AD110" s="1831"/>
      <c r="AE110" s="1831"/>
      <c r="AF110" s="1831"/>
      <c r="AG110" s="1831"/>
      <c r="AH110" s="1831"/>
    </row>
    <row r="111" spans="1:34" s="2206" customFormat="1" ht="15">
      <c r="A111" s="1621" t="s">
        <v>70</v>
      </c>
      <c r="B111" s="1621" t="s">
        <v>71</v>
      </c>
      <c r="C111" s="1621">
        <v>1</v>
      </c>
      <c r="D111" s="1621">
        <v>2</v>
      </c>
      <c r="E111" s="1621">
        <v>3</v>
      </c>
      <c r="F111" s="1621">
        <v>4</v>
      </c>
      <c r="G111" s="1621">
        <v>5</v>
      </c>
      <c r="H111" s="1621">
        <v>6</v>
      </c>
      <c r="I111" s="1621">
        <v>7</v>
      </c>
      <c r="J111" s="1621">
        <v>8</v>
      </c>
      <c r="K111" s="1621">
        <v>9</v>
      </c>
      <c r="L111" s="1621">
        <v>10</v>
      </c>
      <c r="M111" s="1621">
        <v>11</v>
      </c>
      <c r="N111" s="1621">
        <v>12</v>
      </c>
      <c r="O111" s="1621">
        <v>13</v>
      </c>
      <c r="P111" s="1621">
        <v>14</v>
      </c>
      <c r="Q111" s="1621">
        <v>15</v>
      </c>
      <c r="R111" s="1621">
        <v>16</v>
      </c>
      <c r="S111" s="1621">
        <v>17</v>
      </c>
      <c r="T111" s="1621">
        <v>18</v>
      </c>
      <c r="U111" s="1621">
        <v>19</v>
      </c>
      <c r="V111" s="1621">
        <v>20</v>
      </c>
      <c r="W111" s="1621">
        <v>21</v>
      </c>
      <c r="X111" s="1621">
        <v>22</v>
      </c>
      <c r="Y111" s="1621">
        <v>23</v>
      </c>
      <c r="Z111" s="1621">
        <v>24</v>
      </c>
      <c r="AA111" s="1621">
        <v>25</v>
      </c>
      <c r="AB111" s="1621">
        <v>26</v>
      </c>
      <c r="AC111" s="1621">
        <v>27</v>
      </c>
      <c r="AD111" s="1621">
        <v>28</v>
      </c>
      <c r="AE111" s="1621">
        <v>29</v>
      </c>
      <c r="AF111" s="1621">
        <v>30</v>
      </c>
      <c r="AG111" s="1621">
        <v>31</v>
      </c>
      <c r="AH111" s="1830" t="s">
        <v>72</v>
      </c>
    </row>
    <row r="112" spans="1:34" s="2206" customFormat="1" ht="15">
      <c r="A112" s="1621" t="s">
        <v>73</v>
      </c>
      <c r="B112" s="1622">
        <f t="shared" ref="B112:B123" si="18">+AH112</f>
        <v>0.8230000000000004</v>
      </c>
      <c r="C112" s="1827">
        <f>+SUM('Fauna Acompañante'!BU53+'Fauna Acompañante'!BU69+'Fauna Acompañante'!BU85+'Fauna Acompañante'!BU101+'Fauna Acompañante'!BU117+'Fauna Acompañante'!BU133+'Fauna Acompañante'!BU149+'Fauna Acompañante'!BU165)</f>
        <v>0</v>
      </c>
      <c r="D112" s="1827">
        <f>+SUM('Fauna Acompañante'!BV53+'Fauna Acompañante'!BV69+'Fauna Acompañante'!BV85+'Fauna Acompañante'!BV101+'Fauna Acompañante'!BV117+'Fauna Acompañante'!BV133+'Fauna Acompañante'!BV149+'Fauna Acompañante'!BV165)</f>
        <v>0</v>
      </c>
      <c r="E112" s="1827">
        <f>+SUM('Fauna Acompañante'!BW53+'Fauna Acompañante'!BW69+'Fauna Acompañante'!BW85+'Fauna Acompañante'!BW101+'Fauna Acompañante'!BW117+'Fauna Acompañante'!BW133+'Fauna Acompañante'!BW149+'Fauna Acompañante'!BW165)</f>
        <v>2.1999999999999999E-2</v>
      </c>
      <c r="F112" s="1827">
        <f>+SUM('Fauna Acompañante'!BX53+'Fauna Acompañante'!BX69+'Fauna Acompañante'!BX85+'Fauna Acompañante'!BX101+'Fauna Acompañante'!BX117+'Fauna Acompañante'!BX133+'Fauna Acompañante'!BX149+'Fauna Acompañante'!BX165)</f>
        <v>0</v>
      </c>
      <c r="G112" s="1827">
        <f>+SUM('Fauna Acompañante'!BY53+'Fauna Acompañante'!BY69+'Fauna Acompañante'!BY85+'Fauna Acompañante'!BY101+'Fauna Acompañante'!BY117+'Fauna Acompañante'!BY133+'Fauna Acompañante'!BY149+'Fauna Acompañante'!BY165)</f>
        <v>0.15</v>
      </c>
      <c r="H112" s="1827">
        <f>+SUM('Fauna Acompañante'!BZ53+'Fauna Acompañante'!BZ69+'Fauna Acompañante'!BZ85+'Fauna Acompañante'!BZ101+'Fauna Acompañante'!BZ117+'Fauna Acompañante'!BZ133+'Fauna Acompañante'!BZ149+'Fauna Acompañante'!BZ165)</f>
        <v>2.5000000000000001E-2</v>
      </c>
      <c r="I112" s="1827">
        <f>+SUM('Fauna Acompañante'!CA53+'Fauna Acompañante'!CA69+'Fauna Acompañante'!CA85+'Fauna Acompañante'!CA101+'Fauna Acompañante'!CA117+'Fauna Acompañante'!CA133+'Fauna Acompañante'!CA149+'Fauna Acompañante'!CA165)</f>
        <v>0.15</v>
      </c>
      <c r="J112" s="1827">
        <f>+SUM('Fauna Acompañante'!CB53+'Fauna Acompañante'!CB69+'Fauna Acompañante'!CB85+'Fauna Acompañante'!CB101+'Fauna Acompañante'!CB117+'Fauna Acompañante'!CB133+'Fauna Acompañante'!CB149+'Fauna Acompañante'!CB165)</f>
        <v>0.02</v>
      </c>
      <c r="K112" s="1827">
        <f>+SUM('Fauna Acompañante'!CC53+'Fauna Acompañante'!CC69+'Fauna Acompañante'!CC85+'Fauna Acompañante'!CC101+'Fauna Acompañante'!CC117+'Fauna Acompañante'!CC133+'Fauna Acompañante'!CC149+'Fauna Acompañante'!CC165)</f>
        <v>0.03</v>
      </c>
      <c r="L112" s="1827">
        <f>+SUM('Fauna Acompañante'!CD53+'Fauna Acompañante'!CD69+'Fauna Acompañante'!CD85+'Fauna Acompañante'!CD101+'Fauna Acompañante'!CD117+'Fauna Acompañante'!CD133+'Fauna Acompañante'!CD149+'Fauna Acompañante'!CD165)</f>
        <v>2.5000000000000008E-2</v>
      </c>
      <c r="M112" s="1827">
        <f>+SUM('Fauna Acompañante'!CE53+'Fauna Acompañante'!CE69+'Fauna Acompañante'!CE85+'Fauna Acompañante'!CE101+'Fauna Acompañante'!CE117+'Fauna Acompañante'!CE133+'Fauna Acompañante'!CE149+'Fauna Acompañante'!CE165)</f>
        <v>0</v>
      </c>
      <c r="N112" s="1827">
        <f>+SUM('Fauna Acompañante'!CF53+'Fauna Acompañante'!CF69+'Fauna Acompañante'!CF85+'Fauna Acompañante'!CF101+'Fauna Acompañante'!CF117+'Fauna Acompañante'!CF133+'Fauna Acompañante'!CF149+'Fauna Acompañante'!CF165)</f>
        <v>2.7E-2</v>
      </c>
      <c r="O112" s="1827">
        <f>+SUM('Fauna Acompañante'!CG53+'Fauna Acompañante'!CG69+'Fauna Acompañante'!CG85+'Fauna Acompañante'!CG101+'Fauna Acompañante'!CG117+'Fauna Acompañante'!CG133+'Fauna Acompañante'!CG149+'Fauna Acompañante'!CG165)</f>
        <v>0</v>
      </c>
      <c r="P112" s="1827">
        <f>+SUM('Fauna Acompañante'!CH53+'Fauna Acompañante'!CH69+'Fauna Acompañante'!CH85+'Fauna Acompañante'!CH101+'Fauna Acompañante'!CH117+'Fauna Acompañante'!CH133+'Fauna Acompañante'!CH149+'Fauna Acompañante'!CH165)</f>
        <v>1.0000000000000009E-2</v>
      </c>
      <c r="Q112" s="1827">
        <f>+SUM('Fauna Acompañante'!CI53+'Fauna Acompañante'!CI69+'Fauna Acompañante'!CI85+'Fauna Acompañante'!CI101+'Fauna Acompañante'!CI117+'Fauna Acompañante'!CI133+'Fauna Acompañante'!CI149+'Fauna Acompañante'!CI165)</f>
        <v>0.03</v>
      </c>
      <c r="R112" s="1827">
        <f>+SUM('Fauna Acompañante'!CJ53+'Fauna Acompañante'!CJ69+'Fauna Acompañante'!CJ85+'Fauna Acompañante'!CJ101+'Fauna Acompañante'!CJ117+'Fauna Acompañante'!CJ133+'Fauna Acompañante'!CJ149+'Fauna Acompañante'!CJ165)</f>
        <v>0.03</v>
      </c>
      <c r="S112" s="1827">
        <f>+SUM('Fauna Acompañante'!CK53+'Fauna Acompañante'!CK69+'Fauna Acompañante'!CK85+'Fauna Acompañante'!CK101+'Fauna Acompañante'!CK117+'Fauna Acompañante'!CK133+'Fauna Acompañante'!CK149+'Fauna Acompañante'!CK165)</f>
        <v>5.1999999999999991E-2</v>
      </c>
      <c r="T112" s="1827">
        <f>+SUM('Fauna Acompañante'!CL53+'Fauna Acompañante'!CL69+'Fauna Acompañante'!CL85+'Fauna Acompañante'!CL101+'Fauna Acompañante'!CL117+'Fauna Acompañante'!CL133+'Fauna Acompañante'!CL149+'Fauna Acompañante'!CL165)</f>
        <v>4.0000000000000029E-2</v>
      </c>
      <c r="U112" s="1827">
        <f>+SUM('Fauna Acompañante'!CM53+'Fauna Acompañante'!CM69+'Fauna Acompañante'!CM85+'Fauna Acompañante'!CM101+'Fauna Acompañante'!CM117+'Fauna Acompañante'!CM133+'Fauna Acompañante'!CM149+'Fauna Acompañante'!CM165)</f>
        <v>0</v>
      </c>
      <c r="V112" s="1827">
        <f>+SUM('Fauna Acompañante'!CN53+'Fauna Acompañante'!CN69+'Fauna Acompañante'!CN85+'Fauna Acompañante'!CN101+'Fauna Acompañante'!CN117+'Fauna Acompañante'!CN133+'Fauna Acompañante'!CN149+'Fauna Acompañante'!CN165)</f>
        <v>1.4999999999999999E-2</v>
      </c>
      <c r="W112" s="1827">
        <f>+SUM('Fauna Acompañante'!CO53+'Fauna Acompañante'!CO69+'Fauna Acompañante'!CO85+'Fauna Acompañante'!CO101+'Fauna Acompañante'!CO117+'Fauna Acompañante'!CO133+'Fauna Acompañante'!CO149+'Fauna Acompañante'!CO165)</f>
        <v>1.4999999999999996E-2</v>
      </c>
      <c r="X112" s="1827">
        <f>+SUM('Fauna Acompañante'!CP53+'Fauna Acompañante'!CP69+'Fauna Acompañante'!CP85+'Fauna Acompañante'!CP101+'Fauna Acompañante'!CP117+'Fauna Acompañante'!CP133+'Fauna Acompañante'!CP149+'Fauna Acompañante'!CP165)</f>
        <v>0.06</v>
      </c>
      <c r="Y112" s="1827">
        <f>+SUM('Fauna Acompañante'!CQ53+'Fauna Acompañante'!CQ69+'Fauna Acompañante'!CQ85+'Fauna Acompañante'!CQ101+'Fauna Acompañante'!CQ117+'Fauna Acompañante'!CQ133+'Fauna Acompañante'!CQ149+'Fauna Acompañante'!CQ165)</f>
        <v>2.9999999999999888E-3</v>
      </c>
      <c r="Z112" s="1827">
        <f>+SUM('Fauna Acompañante'!CR53+'Fauna Acompañante'!CR69+'Fauna Acompañante'!CR85+'Fauna Acompañante'!CR101+'Fauna Acompañante'!CR117+'Fauna Acompañante'!CR133+'Fauna Acompañante'!CR149+'Fauna Acompañante'!CR165)</f>
        <v>2.0000000000000018E-2</v>
      </c>
      <c r="AA112" s="1827">
        <f>+SUM('Fauna Acompañante'!CS53+'Fauna Acompañante'!CS69+'Fauna Acompañante'!CS85+'Fauna Acompañante'!CS101+'Fauna Acompañante'!CS117+'Fauna Acompañante'!CS133+'Fauna Acompañante'!CS149+'Fauna Acompañante'!CS165)</f>
        <v>3.3000000000000002E-2</v>
      </c>
      <c r="AB112" s="1827">
        <f>+SUM('Fauna Acompañante'!CT53+'Fauna Acompañante'!CT69+'Fauna Acompañante'!CT85+'Fauna Acompañante'!CT101+'Fauna Acompañante'!CT117+'Fauna Acompañante'!CT133+'Fauna Acompañante'!CT149+'Fauna Acompañante'!CT165)</f>
        <v>7.0000000000000001E-3</v>
      </c>
      <c r="AC112" s="1827">
        <f>+SUM('Fauna Acompañante'!CU53+'Fauna Acompañante'!CU69+'Fauna Acompañante'!CU85+'Fauna Acompañante'!CU101+'Fauna Acompañante'!CU117+'Fauna Acompañante'!CU133+'Fauna Acompañante'!CU149+'Fauna Acompañante'!CU165)</f>
        <v>0</v>
      </c>
      <c r="AD112" s="1827">
        <f>+SUM('Fauna Acompañante'!CV53+'Fauna Acompañante'!CV69+'Fauna Acompañante'!CV85+'Fauna Acompañante'!CV101+'Fauna Acompañante'!CV117+'Fauna Acompañante'!CV133+'Fauna Acompañante'!CV149+'Fauna Acompañante'!CV165)</f>
        <v>5.0000000000000001E-3</v>
      </c>
      <c r="AE112" s="1827">
        <f>+SUM('Fauna Acompañante'!CW53+'Fauna Acompañante'!CW69+'Fauna Acompañante'!CW85+'Fauna Acompañante'!CW101+'Fauna Acompañante'!CW117+'Fauna Acompañante'!CW133+'Fauna Acompañante'!CW149+'Fauna Acompañante'!CW165)</f>
        <v>1.0000000000000009E-2</v>
      </c>
      <c r="AF112" s="1827">
        <f>+SUM('Fauna Acompañante'!CX53+'Fauna Acompañante'!CX69+'Fauna Acompañante'!CX85+'Fauna Acompañante'!CX101+'Fauna Acompañante'!CX117+'Fauna Acompañante'!CX133+'Fauna Acompañante'!CX149+'Fauna Acompañante'!CX165)</f>
        <v>3.2999999999999995E-2</v>
      </c>
      <c r="AG112" s="1827">
        <f>+SUM('Fauna Acompañante'!CY53+'Fauna Acompañante'!CY69+'Fauna Acompañante'!CY85+'Fauna Acompañante'!CY101+'Fauna Acompañante'!CY117+'Fauna Acompañante'!CY133+'Fauna Acompañante'!CY149+'Fauna Acompañante'!CY165)</f>
        <v>1.0999999999999999E-2</v>
      </c>
      <c r="AH112" s="1826">
        <f t="shared" ref="AH112:AH123" si="19">SUM(C112:AG112)</f>
        <v>0.8230000000000004</v>
      </c>
    </row>
    <row r="113" spans="1:34" s="2206" customFormat="1" ht="15">
      <c r="A113" s="1621" t="s">
        <v>74</v>
      </c>
      <c r="B113" s="1622">
        <f t="shared" si="18"/>
        <v>3.6200000000000006</v>
      </c>
      <c r="C113" s="1827">
        <f>+SUM('Fauna Acompañante'!BU54+'Fauna Acompañante'!BU70+'Fauna Acompañante'!BU86+'Fauna Acompañante'!BU102+'Fauna Acompañante'!BU118+'Fauna Acompañante'!BU134+'Fauna Acompañante'!BU150+'Fauna Acompañante'!BU166)</f>
        <v>7.3000000000000009E-2</v>
      </c>
      <c r="D113" s="1827">
        <f>+SUM('Fauna Acompañante'!BV54+'Fauna Acompañante'!BV70+'Fauna Acompañante'!BV86+'Fauna Acompañante'!BV102+'Fauna Acompañante'!BV118+'Fauna Acompañante'!BV134+'Fauna Acompañante'!BV150+'Fauna Acompañante'!BV166)</f>
        <v>3.7999999999999999E-2</v>
      </c>
      <c r="E113" s="1827">
        <f>+SUM('Fauna Acompañante'!BW54+'Fauna Acompañante'!BW70+'Fauna Acompañante'!BW86+'Fauna Acompañante'!BW102+'Fauna Acompañante'!BW118+'Fauna Acompañante'!BW134+'Fauna Acompañante'!BW150+'Fauna Acompañante'!BW166)</f>
        <v>0.109</v>
      </c>
      <c r="F113" s="1827">
        <f>+SUM('Fauna Acompañante'!BX54+'Fauna Acompañante'!BX70+'Fauna Acompañante'!BX86+'Fauna Acompañante'!BX102+'Fauna Acompañante'!BX118+'Fauna Acompañante'!BX134+'Fauna Acompañante'!BX150+'Fauna Acompañante'!BX166)</f>
        <v>8.0000000000000071E-3</v>
      </c>
      <c r="G113" s="1827">
        <f>+SUM('Fauna Acompañante'!BY54+'Fauna Acompañante'!BY70+'Fauna Acompañante'!BY86+'Fauna Acompañante'!BY102+'Fauna Acompañante'!BY118+'Fauna Acompañante'!BY134+'Fauna Acompañante'!BY150+'Fauna Acompañante'!BY166)</f>
        <v>2.601</v>
      </c>
      <c r="H113" s="1827">
        <f>+SUM('Fauna Acompañante'!BZ54+'Fauna Acompañante'!BZ70+'Fauna Acompañante'!BZ86+'Fauna Acompañante'!BZ102+'Fauna Acompañante'!BZ118+'Fauna Acompañante'!BZ134+'Fauna Acompañante'!BZ150+'Fauna Acompañante'!BZ166)</f>
        <v>0</v>
      </c>
      <c r="I113" s="1827">
        <f>+SUM('Fauna Acompañante'!CA54+'Fauna Acompañante'!CA70+'Fauna Acompañante'!CA86+'Fauna Acompañante'!CA102+'Fauna Acompañante'!CA118+'Fauna Acompañante'!CA134+'Fauna Acompañante'!CA150+'Fauna Acompañante'!CA166)</f>
        <v>0.16500000000000001</v>
      </c>
      <c r="J113" s="1827">
        <f>+SUM('Fauna Acompañante'!CB54+'Fauna Acompañante'!CB70+'Fauna Acompañante'!CB86+'Fauna Acompañante'!CB102+'Fauna Acompañante'!CB118+'Fauna Acompañante'!CB134+'Fauna Acompañante'!CB150+'Fauna Acompañante'!CB166)</f>
        <v>0.127</v>
      </c>
      <c r="K113" s="1827">
        <f>+SUM('Fauna Acompañante'!CC54+'Fauna Acompañante'!CC70+'Fauna Acompañante'!CC86+'Fauna Acompañante'!CC102+'Fauna Acompañante'!CC118+'Fauna Acompañante'!CC134+'Fauna Acompañante'!CC150+'Fauna Acompañante'!CC166)</f>
        <v>1.1000000000000003E-2</v>
      </c>
      <c r="L113" s="1827">
        <f>+SUM('Fauna Acompañante'!CD54+'Fauna Acompañante'!CD70+'Fauna Acompañante'!CD86+'Fauna Acompañante'!CD102+'Fauna Acompañante'!CD118+'Fauna Acompañante'!CD134+'Fauna Acompañante'!CD150+'Fauna Acompañante'!CD166)</f>
        <v>4.2999999999999997E-2</v>
      </c>
      <c r="M113" s="1827">
        <f>+SUM('Fauna Acompañante'!CE54+'Fauna Acompañante'!CE70+'Fauna Acompañante'!CE86+'Fauna Acompañante'!CE102+'Fauna Acompañante'!CE118+'Fauna Acompañante'!CE134+'Fauna Acompañante'!CE150+'Fauna Acompañante'!CE166)</f>
        <v>3.5000000000000003E-2</v>
      </c>
      <c r="N113" s="1827">
        <f>+SUM('Fauna Acompañante'!CF54+'Fauna Acompañante'!CF70+'Fauna Acompañante'!CF86+'Fauna Acompañante'!CF102+'Fauna Acompañante'!CF118+'Fauna Acompañante'!CF134+'Fauna Acompañante'!CF150+'Fauna Acompañante'!CF166)</f>
        <v>0.02</v>
      </c>
      <c r="O113" s="1827">
        <f>+SUM('Fauna Acompañante'!CG54+'Fauna Acompañante'!CG70+'Fauna Acompañante'!CG86+'Fauna Acompañante'!CG102+'Fauna Acompañante'!CG118+'Fauna Acompañante'!CG134+'Fauna Acompañante'!CG150+'Fauna Acompañante'!CG166)</f>
        <v>0.03</v>
      </c>
      <c r="P113" s="1827">
        <f>+SUM('Fauna Acompañante'!CH54+'Fauna Acompañante'!CH70+'Fauna Acompañante'!CH86+'Fauna Acompañante'!CH102+'Fauna Acompañante'!CH118+'Fauna Acompañante'!CH134+'Fauna Acompañante'!CH150+'Fauna Acompañante'!CH166)</f>
        <v>9.5000000000000001E-2</v>
      </c>
      <c r="Q113" s="1827">
        <f>+SUM('Fauna Acompañante'!CI54+'Fauna Acompañante'!CI70+'Fauna Acompañante'!CI86+'Fauna Acompañante'!CI102+'Fauna Acompañante'!CI118+'Fauna Acompañante'!CI134+'Fauna Acompañante'!CI150+'Fauna Acompañante'!CI166)</f>
        <v>4.0000000000000036E-2</v>
      </c>
      <c r="R113" s="1827">
        <f>+SUM('Fauna Acompañante'!CJ54+'Fauna Acompañante'!CJ70+'Fauna Acompañante'!CJ86+'Fauna Acompañante'!CJ102+'Fauna Acompañante'!CJ118+'Fauna Acompañante'!CJ134+'Fauna Acompañante'!CJ150+'Fauna Acompañante'!CJ166)</f>
        <v>3.6999999999999998E-2</v>
      </c>
      <c r="S113" s="1827">
        <f>+SUM('Fauna Acompañante'!CK54+'Fauna Acompañante'!CK70+'Fauna Acompañante'!CK86+'Fauna Acompañante'!CK102+'Fauna Acompañante'!CK118+'Fauna Acompañante'!CK134+'Fauna Acompañante'!CK150+'Fauna Acompañante'!CK166)</f>
        <v>2.0000000000000004E-2</v>
      </c>
      <c r="T113" s="1827">
        <f>+SUM('Fauna Acompañante'!CL54+'Fauna Acompañante'!CL70+'Fauna Acompañante'!CL86+'Fauna Acompañante'!CL102+'Fauna Acompañante'!CL118+'Fauna Acompañante'!CL134+'Fauna Acompañante'!CL150+'Fauna Acompañante'!CL166)</f>
        <v>2.4999999999999911E-2</v>
      </c>
      <c r="U113" s="1827">
        <f>+SUM('Fauna Acompañante'!CM54+'Fauna Acompañante'!CM70+'Fauna Acompañante'!CM86+'Fauna Acompañante'!CM102+'Fauna Acompañante'!CM118+'Fauna Acompañante'!CM134+'Fauna Acompañante'!CM150+'Fauna Acompañante'!CM166)</f>
        <v>6.9999999999998952E-3</v>
      </c>
      <c r="V113" s="1827">
        <f>+SUM('Fauna Acompañante'!CN54+'Fauna Acompañante'!CN70+'Fauna Acompañante'!CN86+'Fauna Acompañante'!CN102+'Fauna Acompañante'!CN118+'Fauna Acompañante'!CN134+'Fauna Acompañante'!CN150+'Fauna Acompañante'!CN166)</f>
        <v>0</v>
      </c>
      <c r="W113" s="1827">
        <f>+SUM('Fauna Acompañante'!CO54+'Fauna Acompañante'!CO70+'Fauna Acompañante'!CO86+'Fauna Acompañante'!CO102+'Fauna Acompañante'!CO118+'Fauna Acompañante'!CO134+'Fauna Acompañante'!CO150+'Fauna Acompañante'!CO166)</f>
        <v>6.5000000000000002E-2</v>
      </c>
      <c r="X113" s="1827">
        <f>+SUM('Fauna Acompañante'!CP54+'Fauna Acompañante'!CP70+'Fauna Acompañante'!CP86+'Fauna Acompañante'!CP102+'Fauna Acompañante'!CP118+'Fauna Acompañante'!CP134+'Fauna Acompañante'!CP150+'Fauna Acompañante'!CP166)</f>
        <v>0</v>
      </c>
      <c r="Y113" s="1827">
        <f>+SUM('Fauna Acompañante'!CQ54+'Fauna Acompañante'!CQ70+'Fauna Acompañante'!CQ86+'Fauna Acompañante'!CQ102+'Fauna Acompañante'!CQ118+'Fauna Acompañante'!CQ134+'Fauna Acompañante'!CQ150+'Fauna Acompañante'!CQ166)</f>
        <v>0</v>
      </c>
      <c r="Z113" s="1827">
        <f>+SUM('Fauna Acompañante'!CR54+'Fauna Acompañante'!CR70+'Fauna Acompañante'!CR86+'Fauna Acompañante'!CR102+'Fauna Acompañante'!CR118+'Fauna Acompañante'!CR134+'Fauna Acompañante'!CR150+'Fauna Acompañante'!CR166)</f>
        <v>0</v>
      </c>
      <c r="AA113" s="1827">
        <f>+SUM('Fauna Acompañante'!CS54+'Fauna Acompañante'!CS70+'Fauna Acompañante'!CS86+'Fauna Acompañante'!CS102+'Fauna Acompañante'!CS118+'Fauna Acompañante'!CS134+'Fauna Acompañante'!CS150+'Fauna Acompañante'!CS166)</f>
        <v>0</v>
      </c>
      <c r="AB113" s="1827">
        <f>+SUM('Fauna Acompañante'!CT54+'Fauna Acompañante'!CT70+'Fauna Acompañante'!CT86+'Fauna Acompañante'!CT102+'Fauna Acompañante'!CT118+'Fauna Acompañante'!CT134+'Fauna Acompañante'!CT150+'Fauna Acompañante'!CT166)</f>
        <v>0</v>
      </c>
      <c r="AC113" s="1827">
        <f>+SUM('Fauna Acompañante'!CU54+'Fauna Acompañante'!CU70+'Fauna Acompañante'!CU86+'Fauna Acompañante'!CU102+'Fauna Acompañante'!CU118+'Fauna Acompañante'!CU134+'Fauna Acompañante'!CU150+'Fauna Acompañante'!CU166)</f>
        <v>9.9999999999999985E-3</v>
      </c>
      <c r="AD113" s="1827">
        <f>+SUM('Fauna Acompañante'!CV54+'Fauna Acompañante'!CV70+'Fauna Acompañante'!CV86+'Fauna Acompañante'!CV102+'Fauna Acompañante'!CV118+'Fauna Acompañante'!CV134+'Fauna Acompañante'!CV150+'Fauna Acompañante'!CV166)</f>
        <v>6.0999999999999999E-2</v>
      </c>
      <c r="AE113" s="1827">
        <f>+SUM('Fauna Acompañante'!CW54+'Fauna Acompañante'!CW70+'Fauna Acompañante'!CW86+'Fauna Acompañante'!CW102+'Fauna Acompañante'!CW118+'Fauna Acompañante'!CW134+'Fauna Acompañante'!CW150+'Fauna Acompañante'!CW166)</f>
        <v>0</v>
      </c>
      <c r="AF113" s="1827">
        <f>+SUM('Fauna Acompañante'!CX54+'Fauna Acompañante'!CX70+'Fauna Acompañante'!CX86+'Fauna Acompañante'!CX102+'Fauna Acompañante'!CX118+'Fauna Acompañante'!CX134+'Fauna Acompañante'!CX150+'Fauna Acompañante'!CX166)</f>
        <v>0</v>
      </c>
      <c r="AG113" s="1827">
        <f>+SUM('Fauna Acompañante'!CY54+'Fauna Acompañante'!CY70+'Fauna Acompañante'!CY86+'Fauna Acompañante'!CY102+'Fauna Acompañante'!CY118+'Fauna Acompañante'!CY134+'Fauna Acompañante'!CY150+'Fauna Acompañante'!CY166)</f>
        <v>0</v>
      </c>
      <c r="AH113" s="1826">
        <f t="shared" si="19"/>
        <v>3.6200000000000006</v>
      </c>
    </row>
    <row r="114" spans="1:34" s="2206" customFormat="1" ht="15">
      <c r="A114" s="1621" t="s">
        <v>75</v>
      </c>
      <c r="B114" s="1622">
        <f t="shared" si="18"/>
        <v>0.33500000000000002</v>
      </c>
      <c r="C114" s="1827">
        <f>+SUM('Fauna Acompañante'!BU55+'Fauna Acompañante'!BU71+'Fauna Acompañante'!BU87+'Fauna Acompañante'!BU103+'Fauna Acompañante'!BU119+'Fauna Acompañante'!BU135+'Fauna Acompañante'!BU151+'Fauna Acompañante'!BU167)</f>
        <v>1.9999999999999997E-2</v>
      </c>
      <c r="D114" s="1827">
        <f>+SUM('Fauna Acompañante'!BV55+'Fauna Acompañante'!BV71+'Fauna Acompañante'!BV87+'Fauna Acompañante'!BV103+'Fauna Acompañante'!BV119+'Fauna Acompañante'!BV135+'Fauna Acompañante'!BV151+'Fauna Acompañante'!BV167)</f>
        <v>0.01</v>
      </c>
      <c r="E114" s="1827">
        <f>+SUM('Fauna Acompañante'!BW55+'Fauna Acompañante'!BW71+'Fauna Acompañante'!BW87+'Fauna Acompañante'!BW103+'Fauna Acompañante'!BW119+'Fauna Acompañante'!BW135+'Fauna Acompañante'!BW151+'Fauna Acompañante'!BW167)</f>
        <v>0</v>
      </c>
      <c r="F114" s="1827">
        <f>+SUM('Fauna Acompañante'!BX55+'Fauna Acompañante'!BX71+'Fauna Acompañante'!BX87+'Fauna Acompañante'!BX103+'Fauna Acompañante'!BX119+'Fauna Acompañante'!BX135+'Fauna Acompañante'!BX151+'Fauna Acompañante'!BX167)</f>
        <v>5.0000000000000001E-3</v>
      </c>
      <c r="G114" s="1827">
        <f>+SUM('Fauna Acompañante'!BY55+'Fauna Acompañante'!BY71+'Fauna Acompañante'!BY87+'Fauna Acompañante'!BY103+'Fauna Acompañante'!BY119+'Fauna Acompañante'!BY135+'Fauna Acompañante'!BY151+'Fauna Acompañante'!BY167)</f>
        <v>0.01</v>
      </c>
      <c r="H114" s="1827">
        <f>+SUM('Fauna Acompañante'!BZ55+'Fauna Acompañante'!BZ71+'Fauna Acompañante'!BZ87+'Fauna Acompañante'!BZ103+'Fauna Acompañante'!BZ119+'Fauna Acompañante'!BZ135+'Fauna Acompañante'!BZ151+'Fauna Acompañante'!BZ167)</f>
        <v>2.4999999999999998E-2</v>
      </c>
      <c r="I114" s="1827">
        <f>+SUM('Fauna Acompañante'!CA55+'Fauna Acompañante'!CA71+'Fauna Acompañante'!CA87+'Fauna Acompañante'!CA103+'Fauna Acompañante'!CA119+'Fauna Acompañante'!CA135+'Fauna Acompañante'!CA151+'Fauna Acompañante'!CA167)</f>
        <v>0</v>
      </c>
      <c r="J114" s="1827">
        <f>+SUM('Fauna Acompañante'!CB55+'Fauna Acompañante'!CB71+'Fauna Acompañante'!CB87+'Fauna Acompañante'!CB103+'Fauna Acompañante'!CB119+'Fauna Acompañante'!CB135+'Fauna Acompañante'!CB151+'Fauna Acompañante'!CB167)</f>
        <v>0.02</v>
      </c>
      <c r="K114" s="1827">
        <f>+SUM('Fauna Acompañante'!CC55+'Fauna Acompañante'!CC71+'Fauna Acompañante'!CC87+'Fauna Acompañante'!CC103+'Fauna Acompañante'!CC119+'Fauna Acompañante'!CC135+'Fauna Acompañante'!CC151+'Fauna Acompañante'!CC167)</f>
        <v>0</v>
      </c>
      <c r="L114" s="1827">
        <f>+SUM('Fauna Acompañante'!CD55+'Fauna Acompañante'!CD71+'Fauna Acompañante'!CD87+'Fauna Acompañante'!CD103+'Fauna Acompañante'!CD119+'Fauna Acompañante'!CD135+'Fauna Acompañante'!CD151+'Fauna Acompañante'!CD167)</f>
        <v>0.01</v>
      </c>
      <c r="M114" s="1827">
        <f>+SUM('Fauna Acompañante'!CE55+'Fauna Acompañante'!CE71+'Fauna Acompañante'!CE87+'Fauna Acompañante'!CE103+'Fauna Acompañante'!CE119+'Fauna Acompañante'!CE135+'Fauna Acompañante'!CE151+'Fauna Acompañante'!CE167)</f>
        <v>0.04</v>
      </c>
      <c r="N114" s="1827">
        <f>+SUM('Fauna Acompañante'!CF55+'Fauna Acompañante'!CF71+'Fauna Acompañante'!CF87+'Fauna Acompañante'!CF103+'Fauna Acompañante'!CF119+'Fauna Acompañante'!CF135+'Fauna Acompañante'!CF151+'Fauna Acompañante'!CF167)</f>
        <v>1.4999999999999999E-2</v>
      </c>
      <c r="O114" s="1827">
        <f>+SUM('Fauna Acompañante'!CG55+'Fauna Acompañante'!CG71+'Fauna Acompañante'!CG87+'Fauna Acompañante'!CG103+'Fauna Acompañante'!CG119+'Fauna Acompañante'!CG135+'Fauna Acompañante'!CG151+'Fauna Acompañante'!CG167)</f>
        <v>9.999999999999995E-3</v>
      </c>
      <c r="P114" s="1827">
        <f>+SUM('Fauna Acompañante'!CH55+'Fauna Acompañante'!CH71+'Fauna Acompañante'!CH87+'Fauna Acompañante'!CH103+'Fauna Acompañante'!CH119+'Fauna Acompañante'!CH135+'Fauna Acompañante'!CH151+'Fauna Acompañante'!CH167)</f>
        <v>9.999999999999995E-3</v>
      </c>
      <c r="Q114" s="1827">
        <f>+SUM('Fauna Acompañante'!CI55+'Fauna Acompañante'!CI71+'Fauna Acompañante'!CI87+'Fauna Acompañante'!CI103+'Fauna Acompañante'!CI119+'Fauna Acompañante'!CI135+'Fauna Acompañante'!CI151+'Fauna Acompañante'!CI167)</f>
        <v>2.4999999999999994E-2</v>
      </c>
      <c r="R114" s="1827">
        <f>+SUM('Fauna Acompañante'!CJ55+'Fauna Acompañante'!CJ71+'Fauna Acompañante'!CJ87+'Fauna Acompañante'!CJ103+'Fauna Acompañante'!CJ119+'Fauna Acompañante'!CJ135+'Fauna Acompañante'!CJ151+'Fauna Acompañante'!CJ167)</f>
        <v>0</v>
      </c>
      <c r="S114" s="1827">
        <f>+SUM('Fauna Acompañante'!CK55+'Fauna Acompañante'!CK71+'Fauna Acompañante'!CK87+'Fauna Acompañante'!CK103+'Fauna Acompañante'!CK119+'Fauna Acompañante'!CK135+'Fauna Acompañante'!CK151+'Fauna Acompañante'!CK167)</f>
        <v>0</v>
      </c>
      <c r="T114" s="1827">
        <f>+SUM('Fauna Acompañante'!CL55+'Fauna Acompañante'!CL71+'Fauna Acompañante'!CL87+'Fauna Acompañante'!CL103+'Fauna Acompañante'!CL119+'Fauna Acompañante'!CL135+'Fauna Acompañante'!CL151+'Fauna Acompañante'!CL167)</f>
        <v>0</v>
      </c>
      <c r="U114" s="1827">
        <f>+SUM('Fauna Acompañante'!CM55+'Fauna Acompañante'!CM71+'Fauna Acompañante'!CM87+'Fauna Acompañante'!CM103+'Fauna Acompañante'!CM119+'Fauna Acompañante'!CM135+'Fauna Acompañante'!CM151+'Fauna Acompañante'!CM167)</f>
        <v>0</v>
      </c>
      <c r="V114" s="1827">
        <f>+SUM('Fauna Acompañante'!CN55+'Fauna Acompañante'!CN71+'Fauna Acompañante'!CN87+'Fauna Acompañante'!CN103+'Fauna Acompañante'!CN119+'Fauna Acompañante'!CN135+'Fauna Acompañante'!CN151+'Fauna Acompañante'!CN167)</f>
        <v>0</v>
      </c>
      <c r="W114" s="1827">
        <f>+SUM('Fauna Acompañante'!CO55+'Fauna Acompañante'!CO71+'Fauna Acompañante'!CO87+'Fauna Acompañante'!CO103+'Fauna Acompañante'!CO119+'Fauna Acompañante'!CO135+'Fauna Acompañante'!CO151+'Fauna Acompañante'!CO167)</f>
        <v>4.4999999999999998E-2</v>
      </c>
      <c r="X114" s="1827">
        <f>+SUM('Fauna Acompañante'!CP55+'Fauna Acompañante'!CP71+'Fauna Acompañante'!CP87+'Fauna Acompañante'!CP103+'Fauna Acompañante'!CP119+'Fauna Acompañante'!CP135+'Fauna Acompañante'!CP151+'Fauna Acompañante'!CP167)</f>
        <v>0.03</v>
      </c>
      <c r="Y114" s="1827">
        <f>+SUM('Fauna Acompañante'!CQ55+'Fauna Acompañante'!CQ71+'Fauna Acompañante'!CQ87+'Fauna Acompañante'!CQ103+'Fauna Acompañante'!CQ119+'Fauna Acompañante'!CQ135+'Fauna Acompañante'!CQ151+'Fauna Acompañante'!CQ167)</f>
        <v>0</v>
      </c>
      <c r="Z114" s="1827">
        <f>+SUM('Fauna Acompañante'!CR55+'Fauna Acompañante'!CR71+'Fauna Acompañante'!CR87+'Fauna Acompañante'!CR103+'Fauna Acompañante'!CR119+'Fauna Acompañante'!CR135+'Fauna Acompañante'!CR151+'Fauna Acompañante'!CR167)</f>
        <v>0</v>
      </c>
      <c r="AA114" s="1827">
        <f>+SUM('Fauna Acompañante'!CS55+'Fauna Acompañante'!CS71+'Fauna Acompañante'!CS87+'Fauna Acompañante'!CS103+'Fauna Acompañante'!CS119+'Fauna Acompañante'!CS135+'Fauna Acompañante'!CS151+'Fauna Acompañante'!CS167)</f>
        <v>1.4999999999999999E-2</v>
      </c>
      <c r="AB114" s="1827">
        <f>+SUM('Fauna Acompañante'!CT55+'Fauna Acompañante'!CT71+'Fauna Acompañante'!CT87+'Fauna Acompañante'!CT103+'Fauna Acompañante'!CT119+'Fauna Acompañante'!CT135+'Fauna Acompañante'!CT151+'Fauna Acompañante'!CT167)</f>
        <v>0</v>
      </c>
      <c r="AC114" s="1827">
        <f>+SUM('Fauna Acompañante'!CU55+'Fauna Acompañante'!CU71+'Fauna Acompañante'!CU87+'Fauna Acompañante'!CU103+'Fauna Acompañante'!CU119+'Fauna Acompañante'!CU135+'Fauna Acompañante'!CU151+'Fauna Acompañante'!CU167)</f>
        <v>0</v>
      </c>
      <c r="AD114" s="1827">
        <f>+SUM('Fauna Acompañante'!CV55+'Fauna Acompañante'!CV71+'Fauna Acompañante'!CV87+'Fauna Acompañante'!CV103+'Fauna Acompañante'!CV119+'Fauna Acompañante'!CV135+'Fauna Acompañante'!CV151+'Fauna Acompañante'!CV167)</f>
        <v>0</v>
      </c>
      <c r="AE114" s="1827">
        <f>+SUM('Fauna Acompañante'!CW55+'Fauna Acompañante'!CW71+'Fauna Acompañante'!CW87+'Fauna Acompañante'!CW103+'Fauna Acompañante'!CW119+'Fauna Acompañante'!CW135+'Fauna Acompañante'!CW151+'Fauna Acompañante'!CW167)</f>
        <v>4.4999999999999984E-2</v>
      </c>
      <c r="AF114" s="1827">
        <f>+SUM('Fauna Acompañante'!CX55+'Fauna Acompañante'!CX71+'Fauna Acompañante'!CX87+'Fauna Acompañante'!CX103+'Fauna Acompañante'!CX119+'Fauna Acompañante'!CX135+'Fauna Acompañante'!CX151+'Fauna Acompañante'!CX167)</f>
        <v>0</v>
      </c>
      <c r="AG114" s="1827">
        <f>+SUM('Fauna Acompañante'!CY55+'Fauna Acompañante'!CY71+'Fauna Acompañante'!CY87+'Fauna Acompañante'!CY103+'Fauna Acompañante'!CY119+'Fauna Acompañante'!CY135+'Fauna Acompañante'!CY151+'Fauna Acompañante'!CY167)</f>
        <v>0</v>
      </c>
      <c r="AH114" s="1826">
        <f t="shared" si="19"/>
        <v>0.33500000000000002</v>
      </c>
    </row>
    <row r="115" spans="1:34" s="2206" customFormat="1" ht="15">
      <c r="A115" s="1621" t="s">
        <v>76</v>
      </c>
      <c r="B115" s="1622">
        <f t="shared" si="18"/>
        <v>0.26600000000000001</v>
      </c>
      <c r="C115" s="1827">
        <f>+SUM('Fauna Acompañante'!BU56+'Fauna Acompañante'!BU72+'Fauna Acompañante'!BU88+'Fauna Acompañante'!BU104+'Fauna Acompañante'!BU120+'Fauna Acompañante'!BU136+'Fauna Acompañante'!BU152+'Fauna Acompañante'!BU168)</f>
        <v>0</v>
      </c>
      <c r="D115" s="1827">
        <f>+SUM('Fauna Acompañante'!BV56+'Fauna Acompañante'!BV72+'Fauna Acompañante'!BV88+'Fauna Acompañante'!BV104+'Fauna Acompañante'!BV120+'Fauna Acompañante'!BV136+'Fauna Acompañante'!BV152+'Fauna Acompañante'!BV168)</f>
        <v>0</v>
      </c>
      <c r="E115" s="1827">
        <f>+SUM('Fauna Acompañante'!BW56+'Fauna Acompañante'!BW72+'Fauna Acompañante'!BW88+'Fauna Acompañante'!BW104+'Fauna Acompañante'!BW120+'Fauna Acompañante'!BW136+'Fauna Acompañante'!BW152+'Fauna Acompañante'!BW168)</f>
        <v>0.02</v>
      </c>
      <c r="F115" s="1827">
        <f>+SUM('Fauna Acompañante'!BX56+'Fauna Acompañante'!BX72+'Fauna Acompañante'!BX88+'Fauna Acompañante'!BX104+'Fauna Acompañante'!BX120+'Fauna Acompañante'!BX136+'Fauna Acompañante'!BX152+'Fauna Acompañante'!BX168)</f>
        <v>0</v>
      </c>
      <c r="G115" s="1827">
        <f>+SUM('Fauna Acompañante'!BY56+'Fauna Acompañante'!BY72+'Fauna Acompañante'!BY88+'Fauna Acompañante'!BY104+'Fauna Acompañante'!BY120+'Fauna Acompañante'!BY136+'Fauna Acompañante'!BY152+'Fauna Acompañante'!BY168)</f>
        <v>0</v>
      </c>
      <c r="H115" s="1827">
        <f>+SUM('Fauna Acompañante'!BZ56+'Fauna Acompañante'!BZ72+'Fauna Acompañante'!BZ88+'Fauna Acompañante'!BZ104+'Fauna Acompañante'!BZ120+'Fauna Acompañante'!BZ136+'Fauna Acompañante'!BZ152+'Fauna Acompañante'!BZ168)</f>
        <v>0</v>
      </c>
      <c r="I115" s="1827">
        <f>+SUM('Fauna Acompañante'!CA56+'Fauna Acompañante'!CA72+'Fauna Acompañante'!CA88+'Fauna Acompañante'!CA104+'Fauna Acompañante'!CA120+'Fauna Acompañante'!CA136+'Fauna Acompañante'!CA152+'Fauna Acompañante'!CA168)</f>
        <v>0.04</v>
      </c>
      <c r="J115" s="1827">
        <f>+SUM('Fauna Acompañante'!CB56+'Fauna Acompañante'!CB72+'Fauna Acompañante'!CB88+'Fauna Acompañante'!CB104+'Fauna Acompañante'!CB120+'Fauna Acompañante'!CB136+'Fauna Acompañante'!CB152+'Fauna Acompañante'!CB168)</f>
        <v>0</v>
      </c>
      <c r="K115" s="1827">
        <f>+SUM('Fauna Acompañante'!CC56+'Fauna Acompañante'!CC72+'Fauna Acompañante'!CC88+'Fauna Acompañante'!CC104+'Fauna Acompañante'!CC120+'Fauna Acompañante'!CC136+'Fauna Acompañante'!CC152+'Fauna Acompañante'!CC168)</f>
        <v>0</v>
      </c>
      <c r="L115" s="1827">
        <f>+SUM('Fauna Acompañante'!CD56+'Fauna Acompañante'!CD72+'Fauna Acompañante'!CD88+'Fauna Acompañante'!CD104+'Fauna Acompañante'!CD120+'Fauna Acompañante'!CD136+'Fauna Acompañante'!CD152+'Fauna Acompañante'!CD168)</f>
        <v>0</v>
      </c>
      <c r="M115" s="1827">
        <f>+SUM('Fauna Acompañante'!CE56+'Fauna Acompañante'!CE72+'Fauna Acompañante'!CE88+'Fauna Acompañante'!CE104+'Fauna Acompañante'!CE120+'Fauna Acompañante'!CE136+'Fauna Acompañante'!CE152+'Fauna Acompañante'!CE168)</f>
        <v>0</v>
      </c>
      <c r="N115" s="1827">
        <f>+SUM('Fauna Acompañante'!CF56+'Fauna Acompañante'!CF72+'Fauna Acompañante'!CF88+'Fauna Acompañante'!CF104+'Fauna Acompañante'!CF120+'Fauna Acompañante'!CF136+'Fauna Acompañante'!CF152+'Fauna Acompañante'!CF168)</f>
        <v>0.04</v>
      </c>
      <c r="O115" s="1827">
        <f>+SUM('Fauna Acompañante'!CG56+'Fauna Acompañante'!CG72+'Fauna Acompañante'!CG88+'Fauna Acompañante'!CG104+'Fauna Acompañante'!CG120+'Fauna Acompañante'!CG136+'Fauna Acompañante'!CG152+'Fauna Acompañante'!CG168)</f>
        <v>0.02</v>
      </c>
      <c r="P115" s="1827">
        <f>+SUM('Fauna Acompañante'!CH56+'Fauna Acompañante'!CH72+'Fauna Acompañante'!CH88+'Fauna Acompañante'!CH104+'Fauna Acompañante'!CH120+'Fauna Acompañante'!CH136+'Fauna Acompañante'!CH152+'Fauna Acompañante'!CH168)</f>
        <v>0.02</v>
      </c>
      <c r="Q115" s="1827">
        <f>+SUM('Fauna Acompañante'!CI56+'Fauna Acompañante'!CI72+'Fauna Acompañante'!CI88+'Fauna Acompañante'!CI104+'Fauna Acompañante'!CI120+'Fauna Acompañante'!CI136+'Fauna Acompañante'!CI152+'Fauna Acompañante'!CI168)</f>
        <v>0.03</v>
      </c>
      <c r="R115" s="1827">
        <f>+SUM('Fauna Acompañante'!CJ56+'Fauna Acompañante'!CJ72+'Fauna Acompañante'!CJ88+'Fauna Acompañante'!CJ104+'Fauna Acompañante'!CJ120+'Fauna Acompañante'!CJ136+'Fauna Acompañante'!CJ152+'Fauna Acompañante'!CJ168)</f>
        <v>0.06</v>
      </c>
      <c r="S115" s="1827">
        <f>+SUM('Fauna Acompañante'!CK56+'Fauna Acompañante'!CK72+'Fauna Acompañante'!CK88+'Fauna Acompañante'!CK104+'Fauna Acompañante'!CK120+'Fauna Acompañante'!CK136+'Fauna Acompañante'!CK152+'Fauna Acompañante'!CK168)</f>
        <v>0.03</v>
      </c>
      <c r="T115" s="1827">
        <f>+SUM('Fauna Acompañante'!CL56+'Fauna Acompañante'!CL72+'Fauna Acompañante'!CL88+'Fauna Acompañante'!CL104+'Fauna Acompañante'!CL120+'Fauna Acompañante'!CL136+'Fauna Acompañante'!CL152+'Fauna Acompañante'!CL168)</f>
        <v>0</v>
      </c>
      <c r="U115" s="1827">
        <f>+SUM('Fauna Acompañante'!CM56+'Fauna Acompañante'!CM72+'Fauna Acompañante'!CM88+'Fauna Acompañante'!CM104+'Fauna Acompañante'!CM120+'Fauna Acompañante'!CM136+'Fauna Acompañante'!CM152+'Fauna Acompañante'!CM168)</f>
        <v>0</v>
      </c>
      <c r="V115" s="1827">
        <f>+SUM('Fauna Acompañante'!CN56+'Fauna Acompañante'!CN72+'Fauna Acompañante'!CN88+'Fauna Acompañante'!CN104+'Fauna Acompañante'!CN120+'Fauna Acompañante'!CN136+'Fauna Acompañante'!CN152+'Fauna Acompañante'!CN168)</f>
        <v>0</v>
      </c>
      <c r="W115" s="1827">
        <f>+SUM('Fauna Acompañante'!CO56+'Fauna Acompañante'!CO72+'Fauna Acompañante'!CO88+'Fauna Acompañante'!CO104+'Fauna Acompañante'!CO120+'Fauna Acompañante'!CO136+'Fauna Acompañante'!CO152+'Fauna Acompañante'!CO168)</f>
        <v>0</v>
      </c>
      <c r="X115" s="1827">
        <f>+SUM('Fauna Acompañante'!CP56+'Fauna Acompañante'!CP72+'Fauna Acompañante'!CP88+'Fauna Acompañante'!CP104+'Fauna Acompañante'!CP120+'Fauna Acompañante'!CP136+'Fauna Acompañante'!CP152+'Fauna Acompañante'!CP168)</f>
        <v>0</v>
      </c>
      <c r="Y115" s="1827">
        <f>+SUM('Fauna Acompañante'!CQ56+'Fauna Acompañante'!CQ72+'Fauna Acompañante'!CQ88+'Fauna Acompañante'!CQ104+'Fauna Acompañante'!CQ120+'Fauna Acompañante'!CQ136+'Fauna Acompañante'!CQ152+'Fauna Acompañante'!CQ168)</f>
        <v>0</v>
      </c>
      <c r="Z115" s="1827">
        <f>+SUM('Fauna Acompañante'!CR56+'Fauna Acompañante'!CR72+'Fauna Acompañante'!CR88+'Fauna Acompañante'!CR104+'Fauna Acompañante'!CR120+'Fauna Acompañante'!CR136+'Fauna Acompañante'!CR152+'Fauna Acompañante'!CR168)</f>
        <v>0</v>
      </c>
      <c r="AA115" s="1827">
        <f>+SUM('Fauna Acompañante'!CS56+'Fauna Acompañante'!CS72+'Fauna Acompañante'!CS88+'Fauna Acompañante'!CS104+'Fauna Acompañante'!CS120+'Fauna Acompañante'!CS136+'Fauna Acompañante'!CS152+'Fauna Acompañante'!CS168)</f>
        <v>6.0000000000000001E-3</v>
      </c>
      <c r="AB115" s="1827">
        <f>+SUM('Fauna Acompañante'!CT56+'Fauna Acompañante'!CT72+'Fauna Acompañante'!CT88+'Fauna Acompañante'!CT104+'Fauna Acompañante'!CT120+'Fauna Acompañante'!CT136+'Fauna Acompañante'!CT152+'Fauna Acompañante'!CT168)</f>
        <v>0</v>
      </c>
      <c r="AC115" s="1827">
        <f>+SUM('Fauna Acompañante'!CU56+'Fauna Acompañante'!CU72+'Fauna Acompañante'!CU88+'Fauna Acompañante'!CU104+'Fauna Acompañante'!CU120+'Fauna Acompañante'!CU136+'Fauna Acompañante'!CU152+'Fauna Acompañante'!CU168)</f>
        <v>0</v>
      </c>
      <c r="AD115" s="1827">
        <f>+SUM('Fauna Acompañante'!CV56+'Fauna Acompañante'!CV72+'Fauna Acompañante'!CV88+'Fauna Acompañante'!CV104+'Fauna Acompañante'!CV120+'Fauna Acompañante'!CV136+'Fauna Acompañante'!CV152+'Fauna Acompañante'!CV168)</f>
        <v>0</v>
      </c>
      <c r="AE115" s="1827">
        <f>+SUM('Fauna Acompañante'!CW56+'Fauna Acompañante'!CW72+'Fauna Acompañante'!CW88+'Fauna Acompañante'!CW104+'Fauna Acompañante'!CW120+'Fauna Acompañante'!CW136+'Fauna Acompañante'!CW152+'Fauna Acompañante'!CW168)</f>
        <v>0</v>
      </c>
      <c r="AF115" s="1827">
        <f>+SUM('Fauna Acompañante'!CX56+'Fauna Acompañante'!CX72+'Fauna Acompañante'!CX88+'Fauna Acompañante'!CX104+'Fauna Acompañante'!CX120+'Fauna Acompañante'!CX136+'Fauna Acompañante'!CX152+'Fauna Acompañante'!CX168)</f>
        <v>0</v>
      </c>
      <c r="AG115" s="1827">
        <f>+SUM('Fauna Acompañante'!CY56+'Fauna Acompañante'!CY72+'Fauna Acompañante'!CY88+'Fauna Acompañante'!CY104+'Fauna Acompañante'!CY120+'Fauna Acompañante'!CY136+'Fauna Acompañante'!CY152+'Fauna Acompañante'!CY168)</f>
        <v>0</v>
      </c>
      <c r="AH115" s="1826">
        <f t="shared" si="19"/>
        <v>0.26600000000000001</v>
      </c>
    </row>
    <row r="116" spans="1:34" s="2206" customFormat="1" ht="15">
      <c r="A116" s="1621" t="s">
        <v>77</v>
      </c>
      <c r="B116" s="1622">
        <f t="shared" si="18"/>
        <v>0</v>
      </c>
      <c r="C116" s="1827">
        <f>+SUM('Fauna Acompañante'!BU57+'Fauna Acompañante'!BU73+'Fauna Acompañante'!BU89+'Fauna Acompañante'!BU105+'Fauna Acompañante'!BU121+'Fauna Acompañante'!BU137+'Fauna Acompañante'!BU153+'Fauna Acompañante'!BU169)</f>
        <v>0</v>
      </c>
      <c r="D116" s="1827">
        <f>+SUM('Fauna Acompañante'!BV57+'Fauna Acompañante'!BV73+'Fauna Acompañante'!BV89+'Fauna Acompañante'!BV105+'Fauna Acompañante'!BV121+'Fauna Acompañante'!BV137+'Fauna Acompañante'!BV153+'Fauna Acompañante'!BV169)</f>
        <v>0</v>
      </c>
      <c r="E116" s="1827">
        <f>+SUM('Fauna Acompañante'!BW57+'Fauna Acompañante'!BW73+'Fauna Acompañante'!BW89+'Fauna Acompañante'!BW105+'Fauna Acompañante'!BW121+'Fauna Acompañante'!BW137+'Fauna Acompañante'!BW153+'Fauna Acompañante'!BW169)</f>
        <v>0</v>
      </c>
      <c r="F116" s="1827">
        <f>+SUM('Fauna Acompañante'!BX57+'Fauna Acompañante'!BX73+'Fauna Acompañante'!BX89+'Fauna Acompañante'!BX105+'Fauna Acompañante'!BX121+'Fauna Acompañante'!BX137+'Fauna Acompañante'!BX153+'Fauna Acompañante'!BX169)</f>
        <v>0</v>
      </c>
      <c r="G116" s="1827">
        <f>+SUM('Fauna Acompañante'!BY57+'Fauna Acompañante'!BY73+'Fauna Acompañante'!BY89+'Fauna Acompañante'!BY105+'Fauna Acompañante'!BY121+'Fauna Acompañante'!BY137+'Fauna Acompañante'!BY153+'Fauna Acompañante'!BY169)</f>
        <v>0</v>
      </c>
      <c r="H116" s="1827">
        <f>+SUM('Fauna Acompañante'!BZ57+'Fauna Acompañante'!BZ73+'Fauna Acompañante'!BZ89+'Fauna Acompañante'!BZ105+'Fauna Acompañante'!BZ121+'Fauna Acompañante'!BZ137+'Fauna Acompañante'!BZ153+'Fauna Acompañante'!BZ169)</f>
        <v>0</v>
      </c>
      <c r="I116" s="1827">
        <f>+SUM('Fauna Acompañante'!CA57+'Fauna Acompañante'!CA73+'Fauna Acompañante'!CA89+'Fauna Acompañante'!CA105+'Fauna Acompañante'!CA121+'Fauna Acompañante'!CA137+'Fauna Acompañante'!CA153+'Fauna Acompañante'!CA169)</f>
        <v>0</v>
      </c>
      <c r="J116" s="1827">
        <f>+SUM('Fauna Acompañante'!CB57+'Fauna Acompañante'!CB73+'Fauna Acompañante'!CB89+'Fauna Acompañante'!CB105+'Fauna Acompañante'!CB121+'Fauna Acompañante'!CB137+'Fauna Acompañante'!CB153+'Fauna Acompañante'!CB169)</f>
        <v>0</v>
      </c>
      <c r="K116" s="1827">
        <f>+SUM('Fauna Acompañante'!CC57+'Fauna Acompañante'!CC73+'Fauna Acompañante'!CC89+'Fauna Acompañante'!CC105+'Fauna Acompañante'!CC121+'Fauna Acompañante'!CC137+'Fauna Acompañante'!CC153+'Fauna Acompañante'!CC169)</f>
        <v>0</v>
      </c>
      <c r="L116" s="1827">
        <f>+SUM('Fauna Acompañante'!CD57+'Fauna Acompañante'!CD73+'Fauna Acompañante'!CD89+'Fauna Acompañante'!CD105+'Fauna Acompañante'!CD121+'Fauna Acompañante'!CD137+'Fauna Acompañante'!CD153+'Fauna Acompañante'!CD169)</f>
        <v>0</v>
      </c>
      <c r="M116" s="1827">
        <f>+SUM('Fauna Acompañante'!CE57+'Fauna Acompañante'!CE73+'Fauna Acompañante'!CE89+'Fauna Acompañante'!CE105+'Fauna Acompañante'!CE121+'Fauna Acompañante'!CE137+'Fauna Acompañante'!CE153+'Fauna Acompañante'!CE169)</f>
        <v>0</v>
      </c>
      <c r="N116" s="1827">
        <f>+SUM('Fauna Acompañante'!CF57+'Fauna Acompañante'!CF73+'Fauna Acompañante'!CF89+'Fauna Acompañante'!CF105+'Fauna Acompañante'!CF121+'Fauna Acompañante'!CF137+'Fauna Acompañante'!CF153+'Fauna Acompañante'!CF169)</f>
        <v>0</v>
      </c>
      <c r="O116" s="1827">
        <f>+SUM('Fauna Acompañante'!CG57+'Fauna Acompañante'!CG73+'Fauna Acompañante'!CG89+'Fauna Acompañante'!CG105+'Fauna Acompañante'!CG121+'Fauna Acompañante'!CG137+'Fauna Acompañante'!CG153+'Fauna Acompañante'!CG169)</f>
        <v>0</v>
      </c>
      <c r="P116" s="1827">
        <f>+SUM('Fauna Acompañante'!CH57+'Fauna Acompañante'!CH73+'Fauna Acompañante'!CH89+'Fauna Acompañante'!CH105+'Fauna Acompañante'!CH121+'Fauna Acompañante'!CH137+'Fauna Acompañante'!CH153+'Fauna Acompañante'!CH169)</f>
        <v>0</v>
      </c>
      <c r="Q116" s="1827">
        <f>+SUM('Fauna Acompañante'!CI57+'Fauna Acompañante'!CI73+'Fauna Acompañante'!CI89+'Fauna Acompañante'!CI105+'Fauna Acompañante'!CI121+'Fauna Acompañante'!CI137+'Fauna Acompañante'!CI153+'Fauna Acompañante'!CI169)</f>
        <v>0</v>
      </c>
      <c r="R116" s="1827">
        <f>+SUM('Fauna Acompañante'!CJ57+'Fauna Acompañante'!CJ73+'Fauna Acompañante'!CJ89+'Fauna Acompañante'!CJ105+'Fauna Acompañante'!CJ121+'Fauna Acompañante'!CJ137+'Fauna Acompañante'!CJ153+'Fauna Acompañante'!CJ169)</f>
        <v>0</v>
      </c>
      <c r="S116" s="1827">
        <f>+SUM('Fauna Acompañante'!CK57+'Fauna Acompañante'!CK73+'Fauna Acompañante'!CK89+'Fauna Acompañante'!CK105+'Fauna Acompañante'!CK121+'Fauna Acompañante'!CK137+'Fauna Acompañante'!CK153+'Fauna Acompañante'!CK169)</f>
        <v>0</v>
      </c>
      <c r="T116" s="1827">
        <f>+SUM('Fauna Acompañante'!CL57+'Fauna Acompañante'!CL73+'Fauna Acompañante'!CL89+'Fauna Acompañante'!CL105+'Fauna Acompañante'!CL121+'Fauna Acompañante'!CL137+'Fauna Acompañante'!CL153+'Fauna Acompañante'!CL169)</f>
        <v>0</v>
      </c>
      <c r="U116" s="1827">
        <f>+SUM('Fauna Acompañante'!CM57+'Fauna Acompañante'!CM73+'Fauna Acompañante'!CM89+'Fauna Acompañante'!CM105+'Fauna Acompañante'!CM121+'Fauna Acompañante'!CM137+'Fauna Acompañante'!CM153+'Fauna Acompañante'!CM169)</f>
        <v>0</v>
      </c>
      <c r="V116" s="1827">
        <f>+SUM('Fauna Acompañante'!CN57+'Fauna Acompañante'!CN73+'Fauna Acompañante'!CN89+'Fauna Acompañante'!CN105+'Fauna Acompañante'!CN121+'Fauna Acompañante'!CN137+'Fauna Acompañante'!CN153+'Fauna Acompañante'!CN169)</f>
        <v>0</v>
      </c>
      <c r="W116" s="1827">
        <f>+SUM('Fauna Acompañante'!CO57+'Fauna Acompañante'!CO73+'Fauna Acompañante'!CO89+'Fauna Acompañante'!CO105+'Fauna Acompañante'!CO121+'Fauna Acompañante'!CO137+'Fauna Acompañante'!CO153+'Fauna Acompañante'!CO169)</f>
        <v>0</v>
      </c>
      <c r="X116" s="1827">
        <f>+SUM('Fauna Acompañante'!CP57+'Fauna Acompañante'!CP73+'Fauna Acompañante'!CP89+'Fauna Acompañante'!CP105+'Fauna Acompañante'!CP121+'Fauna Acompañante'!CP137+'Fauna Acompañante'!CP153+'Fauna Acompañante'!CP169)</f>
        <v>0</v>
      </c>
      <c r="Y116" s="1827">
        <f>+SUM('Fauna Acompañante'!CQ57+'Fauna Acompañante'!CQ73+'Fauna Acompañante'!CQ89+'Fauna Acompañante'!CQ105+'Fauna Acompañante'!CQ121+'Fauna Acompañante'!CQ137+'Fauna Acompañante'!CQ153+'Fauna Acompañante'!CQ169)</f>
        <v>0</v>
      </c>
      <c r="Z116" s="1827">
        <f>+SUM('Fauna Acompañante'!CR57+'Fauna Acompañante'!CR73+'Fauna Acompañante'!CR89+'Fauna Acompañante'!CR105+'Fauna Acompañante'!CR121+'Fauna Acompañante'!CR137+'Fauna Acompañante'!CR153+'Fauna Acompañante'!CR169)</f>
        <v>0</v>
      </c>
      <c r="AA116" s="1827">
        <f>+SUM('Fauna Acompañante'!CS57+'Fauna Acompañante'!CS73+'Fauna Acompañante'!CS89+'Fauna Acompañante'!CS105+'Fauna Acompañante'!CS121+'Fauna Acompañante'!CS137+'Fauna Acompañante'!CS153+'Fauna Acompañante'!CS169)</f>
        <v>0</v>
      </c>
      <c r="AB116" s="1827">
        <f>+SUM('Fauna Acompañante'!CT57+'Fauna Acompañante'!CT73+'Fauna Acompañante'!CT89+'Fauna Acompañante'!CT105+'Fauna Acompañante'!CT121+'Fauna Acompañante'!CT137+'Fauna Acompañante'!CT153+'Fauna Acompañante'!CT169)</f>
        <v>0</v>
      </c>
      <c r="AC116" s="1827">
        <f>+SUM('Fauna Acompañante'!CU57+'Fauna Acompañante'!CU73+'Fauna Acompañante'!CU89+'Fauna Acompañante'!CU105+'Fauna Acompañante'!CU121+'Fauna Acompañante'!CU137+'Fauna Acompañante'!CU153+'Fauna Acompañante'!CU169)</f>
        <v>0</v>
      </c>
      <c r="AD116" s="1827">
        <f>+SUM('Fauna Acompañante'!CV57+'Fauna Acompañante'!CV73+'Fauna Acompañante'!CV89+'Fauna Acompañante'!CV105+'Fauna Acompañante'!CV121+'Fauna Acompañante'!CV137+'Fauna Acompañante'!CV153+'Fauna Acompañante'!CV169)</f>
        <v>0</v>
      </c>
      <c r="AE116" s="1827">
        <f>+SUM('Fauna Acompañante'!CW57+'Fauna Acompañante'!CW73+'Fauna Acompañante'!CW89+'Fauna Acompañante'!CW105+'Fauna Acompañante'!CW121+'Fauna Acompañante'!CW137+'Fauna Acompañante'!CW153+'Fauna Acompañante'!CW169)</f>
        <v>0</v>
      </c>
      <c r="AF116" s="1827">
        <f>+SUM('Fauna Acompañante'!CX57+'Fauna Acompañante'!CX73+'Fauna Acompañante'!CX89+'Fauna Acompañante'!CX105+'Fauna Acompañante'!CX121+'Fauna Acompañante'!CX137+'Fauna Acompañante'!CX153+'Fauna Acompañante'!CX169)</f>
        <v>0</v>
      </c>
      <c r="AG116" s="1827">
        <f>+SUM('Fauna Acompañante'!CY57+'Fauna Acompañante'!CY73+'Fauna Acompañante'!CY89+'Fauna Acompañante'!CY105+'Fauna Acompañante'!CY121+'Fauna Acompañante'!CY137+'Fauna Acompañante'!CY153+'Fauna Acompañante'!CY169)</f>
        <v>0</v>
      </c>
      <c r="AH116" s="1826">
        <f t="shared" si="19"/>
        <v>0</v>
      </c>
    </row>
    <row r="117" spans="1:34" s="2206" customFormat="1" ht="15">
      <c r="A117" s="1621" t="s">
        <v>78</v>
      </c>
      <c r="B117" s="1622">
        <f t="shared" si="18"/>
        <v>1.4999999999999999E-2</v>
      </c>
      <c r="C117" s="1827">
        <f>+SUM('Fauna Acompañante'!BU58+'Fauna Acompañante'!BU74+'Fauna Acompañante'!BU90+'Fauna Acompañante'!BU106+'Fauna Acompañante'!BU122+'Fauna Acompañante'!BU138+'Fauna Acompañante'!BU154+'Fauna Acompañante'!BU170)</f>
        <v>0</v>
      </c>
      <c r="D117" s="1827">
        <f>+SUM('Fauna Acompañante'!BV58+'Fauna Acompañante'!BV74+'Fauna Acompañante'!BV90+'Fauna Acompañante'!BV106+'Fauna Acompañante'!BV122+'Fauna Acompañante'!BV138+'Fauna Acompañante'!BV154+'Fauna Acompañante'!BV170)</f>
        <v>0</v>
      </c>
      <c r="E117" s="1827">
        <f>+SUM('Fauna Acompañante'!BW58+'Fauna Acompañante'!BW74+'Fauna Acompañante'!BW90+'Fauna Acompañante'!BW106+'Fauna Acompañante'!BW122+'Fauna Acompañante'!BW138+'Fauna Acompañante'!BW154+'Fauna Acompañante'!BW170)</f>
        <v>0</v>
      </c>
      <c r="F117" s="1827">
        <f>+SUM('Fauna Acompañante'!BX58+'Fauna Acompañante'!BX74+'Fauna Acompañante'!BX90+'Fauna Acompañante'!BX106+'Fauna Acompañante'!BX122+'Fauna Acompañante'!BX138+'Fauna Acompañante'!BX154+'Fauna Acompañante'!BX170)</f>
        <v>0</v>
      </c>
      <c r="G117" s="1827">
        <f>+SUM('Fauna Acompañante'!BY58+'Fauna Acompañante'!BY74+'Fauna Acompañante'!BY90+'Fauna Acompañante'!BY106+'Fauna Acompañante'!BY122+'Fauna Acompañante'!BY138+'Fauna Acompañante'!BY154+'Fauna Acompañante'!BY170)</f>
        <v>0</v>
      </c>
      <c r="H117" s="1827">
        <f>+SUM('Fauna Acompañante'!BZ58+'Fauna Acompañante'!BZ74+'Fauna Acompañante'!BZ90+'Fauna Acompañante'!BZ106+'Fauna Acompañante'!BZ122+'Fauna Acompañante'!BZ138+'Fauna Acompañante'!BZ154+'Fauna Acompañante'!BZ170)</f>
        <v>0</v>
      </c>
      <c r="I117" s="1827">
        <f>+SUM('Fauna Acompañante'!CA58+'Fauna Acompañante'!CA74+'Fauna Acompañante'!CA90+'Fauna Acompañante'!CA106+'Fauna Acompañante'!CA122+'Fauna Acompañante'!CA138+'Fauna Acompañante'!CA154+'Fauna Acompañante'!CA170)</f>
        <v>0</v>
      </c>
      <c r="J117" s="1827">
        <f>+SUM('Fauna Acompañante'!CB58+'Fauna Acompañante'!CB74+'Fauna Acompañante'!CB90+'Fauna Acompañante'!CB106+'Fauna Acompañante'!CB122+'Fauna Acompañante'!CB138+'Fauna Acompañante'!CB154+'Fauna Acompañante'!CB170)</f>
        <v>0</v>
      </c>
      <c r="K117" s="1827">
        <f>+SUM('Fauna Acompañante'!CC58+'Fauna Acompañante'!CC74+'Fauna Acompañante'!CC90+'Fauna Acompañante'!CC106+'Fauna Acompañante'!CC122+'Fauna Acompañante'!CC138+'Fauna Acompañante'!CC154+'Fauna Acompañante'!CC170)</f>
        <v>0</v>
      </c>
      <c r="L117" s="1827">
        <f>+SUM('Fauna Acompañante'!CD58+'Fauna Acompañante'!CD74+'Fauna Acompañante'!CD90+'Fauna Acompañante'!CD106+'Fauna Acompañante'!CD122+'Fauna Acompañante'!CD138+'Fauna Acompañante'!CD154+'Fauna Acompañante'!CD170)</f>
        <v>0</v>
      </c>
      <c r="M117" s="1827">
        <f>+SUM('Fauna Acompañante'!CE58+'Fauna Acompañante'!CE74+'Fauna Acompañante'!CE90+'Fauna Acompañante'!CE106+'Fauna Acompañante'!CE122+'Fauna Acompañante'!CE138+'Fauna Acompañante'!CE154+'Fauna Acompañante'!CE170)</f>
        <v>0</v>
      </c>
      <c r="N117" s="1827">
        <f>+SUM('Fauna Acompañante'!CF58+'Fauna Acompañante'!CF74+'Fauna Acompañante'!CF90+'Fauna Acompañante'!CF106+'Fauna Acompañante'!CF122+'Fauna Acompañante'!CF138+'Fauna Acompañante'!CF154+'Fauna Acompañante'!CF170)</f>
        <v>0</v>
      </c>
      <c r="O117" s="1827">
        <f>+SUM('Fauna Acompañante'!CG58+'Fauna Acompañante'!CG74+'Fauna Acompañante'!CG90+'Fauna Acompañante'!CG106+'Fauna Acompañante'!CG122+'Fauna Acompañante'!CG138+'Fauna Acompañante'!CG154+'Fauna Acompañante'!CG170)</f>
        <v>0</v>
      </c>
      <c r="P117" s="1827">
        <f>+SUM('Fauna Acompañante'!CH58+'Fauna Acompañante'!CH74+'Fauna Acompañante'!CH90+'Fauna Acompañante'!CH106+'Fauna Acompañante'!CH122+'Fauna Acompañante'!CH138+'Fauna Acompañante'!CH154+'Fauna Acompañante'!CH170)</f>
        <v>0</v>
      </c>
      <c r="Q117" s="1827">
        <f>+SUM('Fauna Acompañante'!CI58+'Fauna Acompañante'!CI74+'Fauna Acompañante'!CI90+'Fauna Acompañante'!CI106+'Fauna Acompañante'!CI122+'Fauna Acompañante'!CI138+'Fauna Acompañante'!CI154+'Fauna Acompañante'!CI170)</f>
        <v>0</v>
      </c>
      <c r="R117" s="1827">
        <f>+SUM('Fauna Acompañante'!CJ58+'Fauna Acompañante'!CJ74+'Fauna Acompañante'!CJ90+'Fauna Acompañante'!CJ106+'Fauna Acompañante'!CJ122+'Fauna Acompañante'!CJ138+'Fauna Acompañante'!CJ154+'Fauna Acompañante'!CJ170)</f>
        <v>0</v>
      </c>
      <c r="S117" s="1827">
        <f>+SUM('Fauna Acompañante'!CK58+'Fauna Acompañante'!CK74+'Fauna Acompañante'!CK90+'Fauna Acompañante'!CK106+'Fauna Acompañante'!CK122+'Fauna Acompañante'!CK138+'Fauna Acompañante'!CK154+'Fauna Acompañante'!CK170)</f>
        <v>0</v>
      </c>
      <c r="T117" s="1827">
        <f>+SUM('Fauna Acompañante'!CL58+'Fauna Acompañante'!CL74+'Fauna Acompañante'!CL90+'Fauna Acompañante'!CL106+'Fauna Acompañante'!CL122+'Fauna Acompañante'!CL138+'Fauna Acompañante'!CL154+'Fauna Acompañante'!CL170)</f>
        <v>0</v>
      </c>
      <c r="U117" s="1827">
        <f>+SUM('Fauna Acompañante'!CM58+'Fauna Acompañante'!CM74+'Fauna Acompañante'!CM90+'Fauna Acompañante'!CM106+'Fauna Acompañante'!CM122+'Fauna Acompañante'!CM138+'Fauna Acompañante'!CM154+'Fauna Acompañante'!CM170)</f>
        <v>0</v>
      </c>
      <c r="V117" s="1827">
        <f>+SUM('Fauna Acompañante'!CN58+'Fauna Acompañante'!CN74+'Fauna Acompañante'!CN90+'Fauna Acompañante'!CN106+'Fauna Acompañante'!CN122+'Fauna Acompañante'!CN138+'Fauna Acompañante'!CN154+'Fauna Acompañante'!CN170)</f>
        <v>0</v>
      </c>
      <c r="W117" s="1827">
        <f>+SUM('Fauna Acompañante'!CO58+'Fauna Acompañante'!CO74+'Fauna Acompañante'!CO90+'Fauna Acompañante'!CO106+'Fauna Acompañante'!CO122+'Fauna Acompañante'!CO138+'Fauna Acompañante'!CO154+'Fauna Acompañante'!CO170)</f>
        <v>0</v>
      </c>
      <c r="X117" s="1827">
        <f>+SUM('Fauna Acompañante'!CP58+'Fauna Acompañante'!CP74+'Fauna Acompañante'!CP90+'Fauna Acompañante'!CP106+'Fauna Acompañante'!CP122+'Fauna Acompañante'!CP138+'Fauna Acompañante'!CP154+'Fauna Acompañante'!CP170)</f>
        <v>0</v>
      </c>
      <c r="Y117" s="1827">
        <f>+SUM('Fauna Acompañante'!CQ58+'Fauna Acompañante'!CQ74+'Fauna Acompañante'!CQ90+'Fauna Acompañante'!CQ106+'Fauna Acompañante'!CQ122+'Fauna Acompañante'!CQ138+'Fauna Acompañante'!CQ154+'Fauna Acompañante'!CQ170)</f>
        <v>1.4999999999999999E-2</v>
      </c>
      <c r="Z117" s="1827">
        <f>+SUM('Fauna Acompañante'!CR58+'Fauna Acompañante'!CR74+'Fauna Acompañante'!CR90+'Fauna Acompañante'!CR106+'Fauna Acompañante'!CR122+'Fauna Acompañante'!CR138+'Fauna Acompañante'!CR154+'Fauna Acompañante'!CR170)</f>
        <v>0</v>
      </c>
      <c r="AA117" s="1827">
        <f>+SUM('Fauna Acompañante'!CS58+'Fauna Acompañante'!CS74+'Fauna Acompañante'!CS90+'Fauna Acompañante'!CS106+'Fauna Acompañante'!CS122+'Fauna Acompañante'!CS138+'Fauna Acompañante'!CS154+'Fauna Acompañante'!CS170)</f>
        <v>0</v>
      </c>
      <c r="AB117" s="1827">
        <f>+SUM('Fauna Acompañante'!CT58+'Fauna Acompañante'!CT74+'Fauna Acompañante'!CT90+'Fauna Acompañante'!CT106+'Fauna Acompañante'!CT122+'Fauna Acompañante'!CT138+'Fauna Acompañante'!CT154+'Fauna Acompañante'!CT170)</f>
        <v>0</v>
      </c>
      <c r="AC117" s="1827">
        <f>+SUM('Fauna Acompañante'!CU58+'Fauna Acompañante'!CU74+'Fauna Acompañante'!CU90+'Fauna Acompañante'!CU106+'Fauna Acompañante'!CU122+'Fauna Acompañante'!CU138+'Fauna Acompañante'!CU154+'Fauna Acompañante'!CU170)</f>
        <v>0</v>
      </c>
      <c r="AD117" s="1827">
        <f>+SUM('Fauna Acompañante'!CV58+'Fauna Acompañante'!CV74+'Fauna Acompañante'!CV90+'Fauna Acompañante'!CV106+'Fauna Acompañante'!CV122+'Fauna Acompañante'!CV138+'Fauna Acompañante'!CV154+'Fauna Acompañante'!CV170)</f>
        <v>0</v>
      </c>
      <c r="AE117" s="1827">
        <f>+SUM('Fauna Acompañante'!CW58+'Fauna Acompañante'!CW74+'Fauna Acompañante'!CW90+'Fauna Acompañante'!CW106+'Fauna Acompañante'!CW122+'Fauna Acompañante'!CW138+'Fauna Acompañante'!CW154+'Fauna Acompañante'!CW170)</f>
        <v>0</v>
      </c>
      <c r="AF117" s="1827">
        <f>+SUM('Fauna Acompañante'!CX58+'Fauna Acompañante'!CX74+'Fauna Acompañante'!CX90+'Fauna Acompañante'!CX106+'Fauna Acompañante'!CX122+'Fauna Acompañante'!CX138+'Fauna Acompañante'!CX154+'Fauna Acompañante'!CX170)</f>
        <v>0</v>
      </c>
      <c r="AG117" s="1827">
        <f>+SUM('Fauna Acompañante'!CY58+'Fauna Acompañante'!CY74+'Fauna Acompañante'!CY90+'Fauna Acompañante'!CY106+'Fauna Acompañante'!CY122+'Fauna Acompañante'!CY138+'Fauna Acompañante'!CY154+'Fauna Acompañante'!CY170)</f>
        <v>0</v>
      </c>
      <c r="AH117" s="1826">
        <f t="shared" si="19"/>
        <v>1.4999999999999999E-2</v>
      </c>
    </row>
    <row r="118" spans="1:34" s="2206" customFormat="1" ht="15">
      <c r="A118" s="1621" t="s">
        <v>79</v>
      </c>
      <c r="B118" s="1622">
        <f t="shared" si="18"/>
        <v>3.9E-2</v>
      </c>
      <c r="C118" s="1827">
        <f>+SUM('Fauna Acompañante'!BU59+'Fauna Acompañante'!BU75+'Fauna Acompañante'!BU91+'Fauna Acompañante'!BU107+'Fauna Acompañante'!BU123+'Fauna Acompañante'!BU139+'Fauna Acompañante'!BU155+'Fauna Acompañante'!BU171)</f>
        <v>0</v>
      </c>
      <c r="D118" s="1827">
        <f>+SUM('Fauna Acompañante'!BV59+'Fauna Acompañante'!BV75+'Fauna Acompañante'!BV91+'Fauna Acompañante'!BV107+'Fauna Acompañante'!BV123+'Fauna Acompañante'!BV139+'Fauna Acompañante'!BV155+'Fauna Acompañante'!BV171)</f>
        <v>0</v>
      </c>
      <c r="E118" s="1827">
        <f>+SUM('Fauna Acompañante'!BW59+'Fauna Acompañante'!BW75+'Fauna Acompañante'!BW91+'Fauna Acompañante'!BW107+'Fauna Acompañante'!BW123+'Fauna Acompañante'!BW139+'Fauna Acompañante'!BW155+'Fauna Acompañante'!BW171)</f>
        <v>0</v>
      </c>
      <c r="F118" s="1827">
        <f>+SUM('Fauna Acompañante'!BX59+'Fauna Acompañante'!BX75+'Fauna Acompañante'!BX91+'Fauna Acompañante'!BX107+'Fauna Acompañante'!BX123+'Fauna Acompañante'!BX139+'Fauna Acompañante'!BX155+'Fauna Acompañante'!BX171)</f>
        <v>0</v>
      </c>
      <c r="G118" s="1827">
        <f>+SUM('Fauna Acompañante'!BY59+'Fauna Acompañante'!BY75+'Fauna Acompañante'!BY91+'Fauna Acompañante'!BY107+'Fauna Acompañante'!BY123+'Fauna Acompañante'!BY139+'Fauna Acompañante'!BY155+'Fauna Acompañante'!BY171)</f>
        <v>0</v>
      </c>
      <c r="H118" s="1827">
        <f>+SUM('Fauna Acompañante'!BZ59+'Fauna Acompañante'!BZ75+'Fauna Acompañante'!BZ91+'Fauna Acompañante'!BZ107+'Fauna Acompañante'!BZ123+'Fauna Acompañante'!BZ139+'Fauna Acompañante'!BZ155+'Fauna Acompañante'!BZ171)</f>
        <v>0</v>
      </c>
      <c r="I118" s="1827">
        <f>+SUM('Fauna Acompañante'!CA59+'Fauna Acompañante'!CA75+'Fauna Acompañante'!CA91+'Fauna Acompañante'!CA107+'Fauna Acompañante'!CA123+'Fauna Acompañante'!CA139+'Fauna Acompañante'!CA155+'Fauna Acompañante'!CA171)</f>
        <v>0</v>
      </c>
      <c r="J118" s="1827">
        <f>+SUM('Fauna Acompañante'!CB59+'Fauna Acompañante'!CB75+'Fauna Acompañante'!CB91+'Fauna Acompañante'!CB107+'Fauna Acompañante'!CB123+'Fauna Acompañante'!CB139+'Fauna Acompañante'!CB155+'Fauna Acompañante'!CB171)</f>
        <v>3.9E-2</v>
      </c>
      <c r="K118" s="1827">
        <f>+SUM('Fauna Acompañante'!CC59+'Fauna Acompañante'!CC75+'Fauna Acompañante'!CC91+'Fauna Acompañante'!CC107+'Fauna Acompañante'!CC123+'Fauna Acompañante'!CC139+'Fauna Acompañante'!CC155+'Fauna Acompañante'!CC171)</f>
        <v>0</v>
      </c>
      <c r="L118" s="1827">
        <f>+SUM('Fauna Acompañante'!CD59+'Fauna Acompañante'!CD75+'Fauna Acompañante'!CD91+'Fauna Acompañante'!CD107+'Fauna Acompañante'!CD123+'Fauna Acompañante'!CD139+'Fauna Acompañante'!CD155+'Fauna Acompañante'!CD171)</f>
        <v>0</v>
      </c>
      <c r="M118" s="1827">
        <f>+SUM('Fauna Acompañante'!CE59+'Fauna Acompañante'!CE75+'Fauna Acompañante'!CE91+'Fauna Acompañante'!CE107+'Fauna Acompañante'!CE123+'Fauna Acompañante'!CE139+'Fauna Acompañante'!CE155+'Fauna Acompañante'!CE171)</f>
        <v>0</v>
      </c>
      <c r="N118" s="1827">
        <f>+SUM('Fauna Acompañante'!CF59+'Fauna Acompañante'!CF75+'Fauna Acompañante'!CF91+'Fauna Acompañante'!CF107+'Fauna Acompañante'!CF123+'Fauna Acompañante'!CF139+'Fauna Acompañante'!CF155+'Fauna Acompañante'!CF171)</f>
        <v>0</v>
      </c>
      <c r="O118" s="1827">
        <f>+SUM('Fauna Acompañante'!CG59+'Fauna Acompañante'!CG75+'Fauna Acompañante'!CG91+'Fauna Acompañante'!CG107+'Fauna Acompañante'!CG123+'Fauna Acompañante'!CG139+'Fauna Acompañante'!CG155+'Fauna Acompañante'!CG171)</f>
        <v>0</v>
      </c>
      <c r="P118" s="1827">
        <f>+SUM('Fauna Acompañante'!CH59+'Fauna Acompañante'!CH75+'Fauna Acompañante'!CH91+'Fauna Acompañante'!CH107+'Fauna Acompañante'!CH123+'Fauna Acompañante'!CH139+'Fauna Acompañante'!CH155+'Fauna Acompañante'!CH171)</f>
        <v>0</v>
      </c>
      <c r="Q118" s="1827">
        <f>+SUM('Fauna Acompañante'!CI59+'Fauna Acompañante'!CI75+'Fauna Acompañante'!CI91+'Fauna Acompañante'!CI107+'Fauna Acompañante'!CI123+'Fauna Acompañante'!CI139+'Fauna Acompañante'!CI155+'Fauna Acompañante'!CI171)</f>
        <v>0</v>
      </c>
      <c r="R118" s="1827">
        <f>+SUM('Fauna Acompañante'!CJ59+'Fauna Acompañante'!CJ75+'Fauna Acompañante'!CJ91+'Fauna Acompañante'!CJ107+'Fauna Acompañante'!CJ123+'Fauna Acompañante'!CJ139+'Fauna Acompañante'!CJ155+'Fauna Acompañante'!CJ171)</f>
        <v>0</v>
      </c>
      <c r="S118" s="1827">
        <f>+SUM('Fauna Acompañante'!CK59+'Fauna Acompañante'!CK75+'Fauna Acompañante'!CK91+'Fauna Acompañante'!CK107+'Fauna Acompañante'!CK123+'Fauna Acompañante'!CK139+'Fauna Acompañante'!CK155+'Fauna Acompañante'!CK171)</f>
        <v>0</v>
      </c>
      <c r="T118" s="1827">
        <f>+SUM('Fauna Acompañante'!CL59+'Fauna Acompañante'!CL75+'Fauna Acompañante'!CL91+'Fauna Acompañante'!CL107+'Fauna Acompañante'!CL123+'Fauna Acompañante'!CL139+'Fauna Acompañante'!CL155+'Fauna Acompañante'!CL171)</f>
        <v>0</v>
      </c>
      <c r="U118" s="1827">
        <f>+SUM('Fauna Acompañante'!CM59+'Fauna Acompañante'!CM75+'Fauna Acompañante'!CM91+'Fauna Acompañante'!CM107+'Fauna Acompañante'!CM123+'Fauna Acompañante'!CM139+'Fauna Acompañante'!CM155+'Fauna Acompañante'!CM171)</f>
        <v>0</v>
      </c>
      <c r="V118" s="1827">
        <f>+SUM('Fauna Acompañante'!CN59+'Fauna Acompañante'!CN75+'Fauna Acompañante'!CN91+'Fauna Acompañante'!CN107+'Fauna Acompañante'!CN123+'Fauna Acompañante'!CN139+'Fauna Acompañante'!CN155+'Fauna Acompañante'!CN171)</f>
        <v>0</v>
      </c>
      <c r="W118" s="1827">
        <f>+SUM('Fauna Acompañante'!CO59+'Fauna Acompañante'!CO75+'Fauna Acompañante'!CO91+'Fauna Acompañante'!CO107+'Fauna Acompañante'!CO123+'Fauna Acompañante'!CO139+'Fauna Acompañante'!CO155+'Fauna Acompañante'!CO171)</f>
        <v>0</v>
      </c>
      <c r="X118" s="1827">
        <f>+SUM('Fauna Acompañante'!CP59+'Fauna Acompañante'!CP75+'Fauna Acompañante'!CP91+'Fauna Acompañante'!CP107+'Fauna Acompañante'!CP123+'Fauna Acompañante'!CP139+'Fauna Acompañante'!CP155+'Fauna Acompañante'!CP171)</f>
        <v>0</v>
      </c>
      <c r="Y118" s="1827">
        <f>+SUM('Fauna Acompañante'!CQ59+'Fauna Acompañante'!CQ75+'Fauna Acompañante'!CQ91+'Fauna Acompañante'!CQ107+'Fauna Acompañante'!CQ123+'Fauna Acompañante'!CQ139+'Fauna Acompañante'!CQ155+'Fauna Acompañante'!CQ171)</f>
        <v>0</v>
      </c>
      <c r="Z118" s="1827">
        <f>+SUM('Fauna Acompañante'!CR59+'Fauna Acompañante'!CR75+'Fauna Acompañante'!CR91+'Fauna Acompañante'!CR107+'Fauna Acompañante'!CR123+'Fauna Acompañante'!CR139+'Fauna Acompañante'!CR155+'Fauna Acompañante'!CR171)</f>
        <v>0</v>
      </c>
      <c r="AA118" s="1827">
        <f>+SUM('Fauna Acompañante'!CS59+'Fauna Acompañante'!CS75+'Fauna Acompañante'!CS91+'Fauna Acompañante'!CS107+'Fauna Acompañante'!CS123+'Fauna Acompañante'!CS139+'Fauna Acompañante'!CS155+'Fauna Acompañante'!CS171)</f>
        <v>0</v>
      </c>
      <c r="AB118" s="1827">
        <f>+SUM('Fauna Acompañante'!CT59+'Fauna Acompañante'!CT75+'Fauna Acompañante'!CT91+'Fauna Acompañante'!CT107+'Fauna Acompañante'!CT123+'Fauna Acompañante'!CT139+'Fauna Acompañante'!CT155+'Fauna Acompañante'!CT171)</f>
        <v>0</v>
      </c>
      <c r="AC118" s="1827">
        <f>+SUM('Fauna Acompañante'!CU59+'Fauna Acompañante'!CU75+'Fauna Acompañante'!CU91+'Fauna Acompañante'!CU107+'Fauna Acompañante'!CU123+'Fauna Acompañante'!CU139+'Fauna Acompañante'!CU155+'Fauna Acompañante'!CU171)</f>
        <v>0</v>
      </c>
      <c r="AD118" s="1827">
        <f>+SUM('Fauna Acompañante'!CV59+'Fauna Acompañante'!CV75+'Fauna Acompañante'!CV91+'Fauna Acompañante'!CV107+'Fauna Acompañante'!CV123+'Fauna Acompañante'!CV139+'Fauna Acompañante'!CV155+'Fauna Acompañante'!CV171)</f>
        <v>0</v>
      </c>
      <c r="AE118" s="1827">
        <f>+SUM('Fauna Acompañante'!CW59+'Fauna Acompañante'!CW75+'Fauna Acompañante'!CW91+'Fauna Acompañante'!CW107+'Fauna Acompañante'!CW123+'Fauna Acompañante'!CW139+'Fauna Acompañante'!CW155+'Fauna Acompañante'!CW171)</f>
        <v>0</v>
      </c>
      <c r="AF118" s="1827">
        <f>+SUM('Fauna Acompañante'!CX59+'Fauna Acompañante'!CX75+'Fauna Acompañante'!CX91+'Fauna Acompañante'!CX107+'Fauna Acompañante'!CX123+'Fauna Acompañante'!CX139+'Fauna Acompañante'!CX155+'Fauna Acompañante'!CX171)</f>
        <v>0</v>
      </c>
      <c r="AG118" s="1827">
        <f>+SUM('Fauna Acompañante'!CY59+'Fauna Acompañante'!CY75+'Fauna Acompañante'!CY91+'Fauna Acompañante'!CY107+'Fauna Acompañante'!CY123+'Fauna Acompañante'!CY139+'Fauna Acompañante'!CY155+'Fauna Acompañante'!CY171)</f>
        <v>0</v>
      </c>
      <c r="AH118" s="1826">
        <f t="shared" si="19"/>
        <v>3.9E-2</v>
      </c>
    </row>
    <row r="119" spans="1:34" s="2206" customFormat="1" ht="15">
      <c r="A119" s="1621" t="s">
        <v>80</v>
      </c>
      <c r="B119" s="1622">
        <f t="shared" si="18"/>
        <v>1E-3</v>
      </c>
      <c r="C119" s="1827">
        <f>+SUM('Fauna Acompañante'!BU60+'Fauna Acompañante'!BU76+'Fauna Acompañante'!BU92+'Fauna Acompañante'!BU108+'Fauna Acompañante'!BU124+'Fauna Acompañante'!BU140+'Fauna Acompañante'!BU156+'Fauna Acompañante'!BU172)</f>
        <v>0</v>
      </c>
      <c r="D119" s="1827">
        <f>+SUM('Fauna Acompañante'!BV60+'Fauna Acompañante'!BV76+'Fauna Acompañante'!BV92+'Fauna Acompañante'!BV108+'Fauna Acompañante'!BV124+'Fauna Acompañante'!BV140+'Fauna Acompañante'!BV156+'Fauna Acompañante'!BV172)</f>
        <v>0</v>
      </c>
      <c r="E119" s="1827">
        <f>+SUM('Fauna Acompañante'!BW60+'Fauna Acompañante'!BW76+'Fauna Acompañante'!BW92+'Fauna Acompañante'!BW108+'Fauna Acompañante'!BW124+'Fauna Acompañante'!BW140+'Fauna Acompañante'!BW156+'Fauna Acompañante'!BW172)</f>
        <v>0</v>
      </c>
      <c r="F119" s="1827">
        <f>+SUM('Fauna Acompañante'!BX60+'Fauna Acompañante'!BX76+'Fauna Acompañante'!BX92+'Fauna Acompañante'!BX108+'Fauna Acompañante'!BX124+'Fauna Acompañante'!BX140+'Fauna Acompañante'!BX156+'Fauna Acompañante'!BX172)</f>
        <v>0</v>
      </c>
      <c r="G119" s="1827">
        <f>+SUM('Fauna Acompañante'!BY60+'Fauna Acompañante'!BY76+'Fauna Acompañante'!BY92+'Fauna Acompañante'!BY108+'Fauna Acompañante'!BY124+'Fauna Acompañante'!BY140+'Fauna Acompañante'!BY156+'Fauna Acompañante'!BY172)</f>
        <v>0</v>
      </c>
      <c r="H119" s="1827">
        <f>+SUM('Fauna Acompañante'!BZ60+'Fauna Acompañante'!BZ76+'Fauna Acompañante'!BZ92+'Fauna Acompañante'!BZ108+'Fauna Acompañante'!BZ124+'Fauna Acompañante'!BZ140+'Fauna Acompañante'!BZ156+'Fauna Acompañante'!BZ172)</f>
        <v>0</v>
      </c>
      <c r="I119" s="1827">
        <f>+SUM('Fauna Acompañante'!CA60+'Fauna Acompañante'!CA76+'Fauna Acompañante'!CA92+'Fauna Acompañante'!CA108+'Fauna Acompañante'!CA124+'Fauna Acompañante'!CA140+'Fauna Acompañante'!CA156+'Fauna Acompañante'!CA172)</f>
        <v>0</v>
      </c>
      <c r="J119" s="1827">
        <f>+SUM('Fauna Acompañante'!CB60+'Fauna Acompañante'!CB76+'Fauna Acompañante'!CB92+'Fauna Acompañante'!CB108+'Fauna Acompañante'!CB124+'Fauna Acompañante'!CB140+'Fauna Acompañante'!CB156+'Fauna Acompañante'!CB172)</f>
        <v>0</v>
      </c>
      <c r="K119" s="1827">
        <f>+SUM('Fauna Acompañante'!CC60+'Fauna Acompañante'!CC76+'Fauna Acompañante'!CC92+'Fauna Acompañante'!CC108+'Fauna Acompañante'!CC124+'Fauna Acompañante'!CC140+'Fauna Acompañante'!CC156+'Fauna Acompañante'!CC172)</f>
        <v>0</v>
      </c>
      <c r="L119" s="1827">
        <f>+SUM('Fauna Acompañante'!CD60+'Fauna Acompañante'!CD76+'Fauna Acompañante'!CD92+'Fauna Acompañante'!CD108+'Fauna Acompañante'!CD124+'Fauna Acompañante'!CD140+'Fauna Acompañante'!CD156+'Fauna Acompañante'!CD172)</f>
        <v>0</v>
      </c>
      <c r="M119" s="1827">
        <f>+SUM('Fauna Acompañante'!CE60+'Fauna Acompañante'!CE76+'Fauna Acompañante'!CE92+'Fauna Acompañante'!CE108+'Fauna Acompañante'!CE124+'Fauna Acompañante'!CE140+'Fauna Acompañante'!CE156+'Fauna Acompañante'!CE172)</f>
        <v>0</v>
      </c>
      <c r="N119" s="1827">
        <f>+SUM('Fauna Acompañante'!CF60+'Fauna Acompañante'!CF76+'Fauna Acompañante'!CF92+'Fauna Acompañante'!CF108+'Fauna Acompañante'!CF124+'Fauna Acompañante'!CF140+'Fauna Acompañante'!CF156+'Fauna Acompañante'!CF172)</f>
        <v>0</v>
      </c>
      <c r="O119" s="1827">
        <f>+SUM('Fauna Acompañante'!CG60+'Fauna Acompañante'!CG76+'Fauna Acompañante'!CG92+'Fauna Acompañante'!CG108+'Fauna Acompañante'!CG124+'Fauna Acompañante'!CG140+'Fauna Acompañante'!CG156+'Fauna Acompañante'!CG172)</f>
        <v>1E-3</v>
      </c>
      <c r="P119" s="1827">
        <f>+SUM('Fauna Acompañante'!CH60+'Fauna Acompañante'!CH76+'Fauna Acompañante'!CH92+'Fauna Acompañante'!CH108+'Fauna Acompañante'!CH124+'Fauna Acompañante'!CH140+'Fauna Acompañante'!CH156+'Fauna Acompañante'!CH172)</f>
        <v>0</v>
      </c>
      <c r="Q119" s="1827">
        <f>+SUM('Fauna Acompañante'!CI60+'Fauna Acompañante'!CI76+'Fauna Acompañante'!CI92+'Fauna Acompañante'!CI108+'Fauna Acompañante'!CI124+'Fauna Acompañante'!CI140+'Fauna Acompañante'!CI156+'Fauna Acompañante'!CI172)</f>
        <v>0</v>
      </c>
      <c r="R119" s="1827">
        <f>+SUM('Fauna Acompañante'!CJ60+'Fauna Acompañante'!CJ76+'Fauna Acompañante'!CJ92+'Fauna Acompañante'!CJ108+'Fauna Acompañante'!CJ124+'Fauna Acompañante'!CJ140+'Fauna Acompañante'!CJ156+'Fauna Acompañante'!CJ172)</f>
        <v>0</v>
      </c>
      <c r="S119" s="1827">
        <f>+SUM('Fauna Acompañante'!CK60+'Fauna Acompañante'!CK76+'Fauna Acompañante'!CK92+'Fauna Acompañante'!CK108+'Fauna Acompañante'!CK124+'Fauna Acompañante'!CK140+'Fauna Acompañante'!CK156+'Fauna Acompañante'!CK172)</f>
        <v>0</v>
      </c>
      <c r="T119" s="1827">
        <f>+SUM('Fauna Acompañante'!CL60+'Fauna Acompañante'!CL76+'Fauna Acompañante'!CL92+'Fauna Acompañante'!CL108+'Fauna Acompañante'!CL124+'Fauna Acompañante'!CL140+'Fauna Acompañante'!CL156+'Fauna Acompañante'!CL172)</f>
        <v>0</v>
      </c>
      <c r="U119" s="1827">
        <f>+SUM('Fauna Acompañante'!CM60+'Fauna Acompañante'!CM76+'Fauna Acompañante'!CM92+'Fauna Acompañante'!CM108+'Fauna Acompañante'!CM124+'Fauna Acompañante'!CM140+'Fauna Acompañante'!CM156+'Fauna Acompañante'!CM172)</f>
        <v>0</v>
      </c>
      <c r="V119" s="1827">
        <f>+SUM('Fauna Acompañante'!CN60+'Fauna Acompañante'!CN76+'Fauna Acompañante'!CN92+'Fauna Acompañante'!CN108+'Fauna Acompañante'!CN124+'Fauna Acompañante'!CN140+'Fauna Acompañante'!CN156+'Fauna Acompañante'!CN172)</f>
        <v>0</v>
      </c>
      <c r="W119" s="1827">
        <f>+SUM('Fauna Acompañante'!CO60+'Fauna Acompañante'!CO76+'Fauna Acompañante'!CO92+'Fauna Acompañante'!CO108+'Fauna Acompañante'!CO124+'Fauna Acompañante'!CO140+'Fauna Acompañante'!CO156+'Fauna Acompañante'!CO172)</f>
        <v>0</v>
      </c>
      <c r="X119" s="1827">
        <f>+SUM('Fauna Acompañante'!CP60+'Fauna Acompañante'!CP76+'Fauna Acompañante'!CP92+'Fauna Acompañante'!CP108+'Fauna Acompañante'!CP124+'Fauna Acompañante'!CP140+'Fauna Acompañante'!CP156+'Fauna Acompañante'!CP172)</f>
        <v>0</v>
      </c>
      <c r="Y119" s="1827">
        <f>+SUM('Fauna Acompañante'!CQ60+'Fauna Acompañante'!CQ76+'Fauna Acompañante'!CQ92+'Fauna Acompañante'!CQ108+'Fauna Acompañante'!CQ124+'Fauna Acompañante'!CQ140+'Fauna Acompañante'!CQ156+'Fauna Acompañante'!CQ172)</f>
        <v>0</v>
      </c>
      <c r="Z119" s="1827">
        <f>+SUM('Fauna Acompañante'!CR60+'Fauna Acompañante'!CR76+'Fauna Acompañante'!CR92+'Fauna Acompañante'!CR108+'Fauna Acompañante'!CR124+'Fauna Acompañante'!CR140+'Fauna Acompañante'!CR156+'Fauna Acompañante'!CR172)</f>
        <v>0</v>
      </c>
      <c r="AA119" s="1827">
        <f>+SUM('Fauna Acompañante'!CS60+'Fauna Acompañante'!CS76+'Fauna Acompañante'!CS92+'Fauna Acompañante'!CS108+'Fauna Acompañante'!CS124+'Fauna Acompañante'!CS140+'Fauna Acompañante'!CS156+'Fauna Acompañante'!CS172)</f>
        <v>0</v>
      </c>
      <c r="AB119" s="1827">
        <f>+SUM('Fauna Acompañante'!CT60+'Fauna Acompañante'!CT76+'Fauna Acompañante'!CT92+'Fauna Acompañante'!CT108+'Fauna Acompañante'!CT124+'Fauna Acompañante'!CT140+'Fauna Acompañante'!CT156+'Fauna Acompañante'!CT172)</f>
        <v>0</v>
      </c>
      <c r="AC119" s="1827">
        <f>+SUM('Fauna Acompañante'!CU60+'Fauna Acompañante'!CU76+'Fauna Acompañante'!CU92+'Fauna Acompañante'!CU108+'Fauna Acompañante'!CU124+'Fauna Acompañante'!CU140+'Fauna Acompañante'!CU156+'Fauna Acompañante'!CU172)</f>
        <v>0</v>
      </c>
      <c r="AD119" s="1827">
        <f>+SUM('Fauna Acompañante'!CV60+'Fauna Acompañante'!CV76+'Fauna Acompañante'!CV92+'Fauna Acompañante'!CV108+'Fauna Acompañante'!CV124+'Fauna Acompañante'!CV140+'Fauna Acompañante'!CV156+'Fauna Acompañante'!CV172)</f>
        <v>0</v>
      </c>
      <c r="AE119" s="1827">
        <f>+SUM('Fauna Acompañante'!CW60+'Fauna Acompañante'!CW76+'Fauna Acompañante'!CW92+'Fauna Acompañante'!CW108+'Fauna Acompañante'!CW124+'Fauna Acompañante'!CW140+'Fauna Acompañante'!CW156+'Fauna Acompañante'!CW172)</f>
        <v>0</v>
      </c>
      <c r="AF119" s="1827">
        <f>+SUM('Fauna Acompañante'!CX60+'Fauna Acompañante'!CX76+'Fauna Acompañante'!CX92+'Fauna Acompañante'!CX108+'Fauna Acompañante'!CX124+'Fauna Acompañante'!CX140+'Fauna Acompañante'!CX156+'Fauna Acompañante'!CX172)</f>
        <v>0</v>
      </c>
      <c r="AG119" s="1827">
        <f>+SUM('Fauna Acompañante'!CY60+'Fauna Acompañante'!CY76+'Fauna Acompañante'!CY92+'Fauna Acompañante'!CY108+'Fauna Acompañante'!CY124+'Fauna Acompañante'!CY140+'Fauna Acompañante'!CY156+'Fauna Acompañante'!CY172)</f>
        <v>0</v>
      </c>
      <c r="AH119" s="1826">
        <f t="shared" si="19"/>
        <v>1E-3</v>
      </c>
    </row>
    <row r="120" spans="1:34" s="2206" customFormat="1" ht="15">
      <c r="A120" s="1621" t="s">
        <v>81</v>
      </c>
      <c r="B120" s="1622">
        <f t="shared" si="18"/>
        <v>0</v>
      </c>
      <c r="C120" s="1827">
        <f>+SUM('Fauna Acompañante'!BU61+'Fauna Acompañante'!BU77+'Fauna Acompañante'!BU93+'Fauna Acompañante'!BU109+'Fauna Acompañante'!BU125+'Fauna Acompañante'!BU141+'Fauna Acompañante'!BU157+'Fauna Acompañante'!BU173)</f>
        <v>0</v>
      </c>
      <c r="D120" s="1827">
        <f>+SUM('Fauna Acompañante'!BV61+'Fauna Acompañante'!BV77+'Fauna Acompañante'!BV93+'Fauna Acompañante'!BV109+'Fauna Acompañante'!BV125+'Fauna Acompañante'!BV141+'Fauna Acompañante'!BV157+'Fauna Acompañante'!BV173)</f>
        <v>0</v>
      </c>
      <c r="E120" s="1827">
        <f>+SUM('Fauna Acompañante'!BW61+'Fauna Acompañante'!BW77+'Fauna Acompañante'!BW93+'Fauna Acompañante'!BW109+'Fauna Acompañante'!BW125+'Fauna Acompañante'!BW141+'Fauna Acompañante'!BW157+'Fauna Acompañante'!BW173)</f>
        <v>0</v>
      </c>
      <c r="F120" s="1827">
        <f>+SUM('Fauna Acompañante'!BX61+'Fauna Acompañante'!BX77+'Fauna Acompañante'!BX93+'Fauna Acompañante'!BX109+'Fauna Acompañante'!BX125+'Fauna Acompañante'!BX141+'Fauna Acompañante'!BX157+'Fauna Acompañante'!BX173)</f>
        <v>0</v>
      </c>
      <c r="G120" s="1827">
        <f>+SUM('Fauna Acompañante'!BY61+'Fauna Acompañante'!BY77+'Fauna Acompañante'!BY93+'Fauna Acompañante'!BY109+'Fauna Acompañante'!BY125+'Fauna Acompañante'!BY141+'Fauna Acompañante'!BY157+'Fauna Acompañante'!BY173)</f>
        <v>0</v>
      </c>
      <c r="H120" s="1827">
        <f>+SUM('Fauna Acompañante'!BZ61+'Fauna Acompañante'!BZ77+'Fauna Acompañante'!BZ93+'Fauna Acompañante'!BZ109+'Fauna Acompañante'!BZ125+'Fauna Acompañante'!BZ141+'Fauna Acompañante'!BZ157+'Fauna Acompañante'!BZ173)</f>
        <v>0</v>
      </c>
      <c r="I120" s="1827">
        <f>+SUM('Fauna Acompañante'!CA61+'Fauna Acompañante'!CA77+'Fauna Acompañante'!CA93+'Fauna Acompañante'!CA109+'Fauna Acompañante'!CA125+'Fauna Acompañante'!CA141+'Fauna Acompañante'!CA157+'Fauna Acompañante'!CA173)</f>
        <v>0</v>
      </c>
      <c r="J120" s="1827">
        <f>+SUM('Fauna Acompañante'!CB61+'Fauna Acompañante'!CB77+'Fauna Acompañante'!CB93+'Fauna Acompañante'!CB109+'Fauna Acompañante'!CB125+'Fauna Acompañante'!CB141+'Fauna Acompañante'!CB157+'Fauna Acompañante'!CB173)</f>
        <v>0</v>
      </c>
      <c r="K120" s="1827">
        <f>+SUM('Fauna Acompañante'!CC61+'Fauna Acompañante'!CC77+'Fauna Acompañante'!CC93+'Fauna Acompañante'!CC109+'Fauna Acompañante'!CC125+'Fauna Acompañante'!CC141+'Fauna Acompañante'!CC157+'Fauna Acompañante'!CC173)</f>
        <v>0</v>
      </c>
      <c r="L120" s="1827">
        <f>+SUM('Fauna Acompañante'!CD61+'Fauna Acompañante'!CD77+'Fauna Acompañante'!CD93+'Fauna Acompañante'!CD109+'Fauna Acompañante'!CD125+'Fauna Acompañante'!CD141+'Fauna Acompañante'!CD157+'Fauna Acompañante'!CD173)</f>
        <v>0</v>
      </c>
      <c r="M120" s="1827">
        <f>+SUM('Fauna Acompañante'!CE61+'Fauna Acompañante'!CE77+'Fauna Acompañante'!CE93+'Fauna Acompañante'!CE109+'Fauna Acompañante'!CE125+'Fauna Acompañante'!CE141+'Fauna Acompañante'!CE157+'Fauna Acompañante'!CE173)</f>
        <v>0</v>
      </c>
      <c r="N120" s="1827">
        <f>+SUM('Fauna Acompañante'!CF61+'Fauna Acompañante'!CF77+'Fauna Acompañante'!CF93+'Fauna Acompañante'!CF109+'Fauna Acompañante'!CF125+'Fauna Acompañante'!CF141+'Fauna Acompañante'!CF157+'Fauna Acompañante'!CF173)</f>
        <v>0</v>
      </c>
      <c r="O120" s="1827">
        <f>+SUM('Fauna Acompañante'!CG61+'Fauna Acompañante'!CG77+'Fauna Acompañante'!CG93+'Fauna Acompañante'!CG109+'Fauna Acompañante'!CG125+'Fauna Acompañante'!CG141+'Fauna Acompañante'!CG157+'Fauna Acompañante'!CG173)</f>
        <v>0</v>
      </c>
      <c r="P120" s="1827">
        <f>+SUM('Fauna Acompañante'!CH61+'Fauna Acompañante'!CH77+'Fauna Acompañante'!CH93+'Fauna Acompañante'!CH109+'Fauna Acompañante'!CH125+'Fauna Acompañante'!CH141+'Fauna Acompañante'!CH157+'Fauna Acompañante'!CH173)</f>
        <v>0</v>
      </c>
      <c r="Q120" s="1827">
        <f>+SUM('Fauna Acompañante'!CI61+'Fauna Acompañante'!CI77+'Fauna Acompañante'!CI93+'Fauna Acompañante'!CI109+'Fauna Acompañante'!CI125+'Fauna Acompañante'!CI141+'Fauna Acompañante'!CI157+'Fauna Acompañante'!CI173)</f>
        <v>0</v>
      </c>
      <c r="R120" s="1827">
        <f>+SUM('Fauna Acompañante'!CJ61+'Fauna Acompañante'!CJ77+'Fauna Acompañante'!CJ93+'Fauna Acompañante'!CJ109+'Fauna Acompañante'!CJ125+'Fauna Acompañante'!CJ141+'Fauna Acompañante'!CJ157+'Fauna Acompañante'!CJ173)</f>
        <v>0</v>
      </c>
      <c r="S120" s="1827">
        <f>+SUM('Fauna Acompañante'!CK61+'Fauna Acompañante'!CK77+'Fauna Acompañante'!CK93+'Fauna Acompañante'!CK109+'Fauna Acompañante'!CK125+'Fauna Acompañante'!CK141+'Fauna Acompañante'!CK157+'Fauna Acompañante'!CK173)</f>
        <v>0</v>
      </c>
      <c r="T120" s="1827">
        <f>+SUM('Fauna Acompañante'!CL61+'Fauna Acompañante'!CL77+'Fauna Acompañante'!CL93+'Fauna Acompañante'!CL109+'Fauna Acompañante'!CL125+'Fauna Acompañante'!CL141+'Fauna Acompañante'!CL157+'Fauna Acompañante'!CL173)</f>
        <v>0</v>
      </c>
      <c r="U120" s="1827">
        <f>+SUM('Fauna Acompañante'!CM61+'Fauna Acompañante'!CM77+'Fauna Acompañante'!CM93+'Fauna Acompañante'!CM109+'Fauna Acompañante'!CM125+'Fauna Acompañante'!CM141+'Fauna Acompañante'!CM157+'Fauna Acompañante'!CM173)</f>
        <v>0</v>
      </c>
      <c r="V120" s="1827">
        <f>+SUM('Fauna Acompañante'!CN61+'Fauna Acompañante'!CN77+'Fauna Acompañante'!CN93+'Fauna Acompañante'!CN109+'Fauna Acompañante'!CN125+'Fauna Acompañante'!CN141+'Fauna Acompañante'!CN157+'Fauna Acompañante'!CN173)</f>
        <v>0</v>
      </c>
      <c r="W120" s="1827">
        <f>+SUM('Fauna Acompañante'!CO61+'Fauna Acompañante'!CO77+'Fauna Acompañante'!CO93+'Fauna Acompañante'!CO109+'Fauna Acompañante'!CO125+'Fauna Acompañante'!CO141+'Fauna Acompañante'!CO157+'Fauna Acompañante'!CO173)</f>
        <v>0</v>
      </c>
      <c r="X120" s="1827">
        <f>+SUM('Fauna Acompañante'!CP61+'Fauna Acompañante'!CP77+'Fauna Acompañante'!CP93+'Fauna Acompañante'!CP109+'Fauna Acompañante'!CP125+'Fauna Acompañante'!CP141+'Fauna Acompañante'!CP157+'Fauna Acompañante'!CP173)</f>
        <v>0</v>
      </c>
      <c r="Y120" s="1827">
        <f>+SUM('Fauna Acompañante'!CQ61+'Fauna Acompañante'!CQ77+'Fauna Acompañante'!CQ93+'Fauna Acompañante'!CQ109+'Fauna Acompañante'!CQ125+'Fauna Acompañante'!CQ141+'Fauna Acompañante'!CQ157+'Fauna Acompañante'!CQ173)</f>
        <v>0</v>
      </c>
      <c r="Z120" s="1827">
        <f>+SUM('Fauna Acompañante'!CR61+'Fauna Acompañante'!CR77+'Fauna Acompañante'!CR93+'Fauna Acompañante'!CR109+'Fauna Acompañante'!CR125+'Fauna Acompañante'!CR141+'Fauna Acompañante'!CR157+'Fauna Acompañante'!CR173)</f>
        <v>0</v>
      </c>
      <c r="AA120" s="1827">
        <f>+SUM('Fauna Acompañante'!CS61+'Fauna Acompañante'!CS77+'Fauna Acompañante'!CS93+'Fauna Acompañante'!CS109+'Fauna Acompañante'!CS125+'Fauna Acompañante'!CS141+'Fauna Acompañante'!CS157+'Fauna Acompañante'!CS173)</f>
        <v>0</v>
      </c>
      <c r="AB120" s="1827">
        <f>+SUM('Fauna Acompañante'!CT61+'Fauna Acompañante'!CT77+'Fauna Acompañante'!CT93+'Fauna Acompañante'!CT109+'Fauna Acompañante'!CT125+'Fauna Acompañante'!CT141+'Fauna Acompañante'!CT157+'Fauna Acompañante'!CT173)</f>
        <v>0</v>
      </c>
      <c r="AC120" s="1827">
        <f>+SUM('Fauna Acompañante'!CU61+'Fauna Acompañante'!CU77+'Fauna Acompañante'!CU93+'Fauna Acompañante'!CU109+'Fauna Acompañante'!CU125+'Fauna Acompañante'!CU141+'Fauna Acompañante'!CU157+'Fauna Acompañante'!CU173)</f>
        <v>0</v>
      </c>
      <c r="AD120" s="1827">
        <f>+SUM('Fauna Acompañante'!CV61+'Fauna Acompañante'!CV77+'Fauna Acompañante'!CV93+'Fauna Acompañante'!CV109+'Fauna Acompañante'!CV125+'Fauna Acompañante'!CV141+'Fauna Acompañante'!CV157+'Fauna Acompañante'!CV173)</f>
        <v>0</v>
      </c>
      <c r="AE120" s="1827">
        <f>+SUM('Fauna Acompañante'!CW61+'Fauna Acompañante'!CW77+'Fauna Acompañante'!CW93+'Fauna Acompañante'!CW109+'Fauna Acompañante'!CW125+'Fauna Acompañante'!CW141+'Fauna Acompañante'!CW157+'Fauna Acompañante'!CW173)</f>
        <v>0</v>
      </c>
      <c r="AF120" s="1827">
        <f>+SUM('Fauna Acompañante'!CX61+'Fauna Acompañante'!CX77+'Fauna Acompañante'!CX93+'Fauna Acompañante'!CX109+'Fauna Acompañante'!CX125+'Fauna Acompañante'!CX141+'Fauna Acompañante'!CX157+'Fauna Acompañante'!CX173)</f>
        <v>0</v>
      </c>
      <c r="AG120" s="1827">
        <f>+SUM('Fauna Acompañante'!CY61+'Fauna Acompañante'!CY77+'Fauna Acompañante'!CY93+'Fauna Acompañante'!CY109+'Fauna Acompañante'!CY125+'Fauna Acompañante'!CY141+'Fauna Acompañante'!CY157+'Fauna Acompañante'!CY173)</f>
        <v>0</v>
      </c>
      <c r="AH120" s="1826">
        <f t="shared" si="19"/>
        <v>0</v>
      </c>
    </row>
    <row r="121" spans="1:34" s="2206" customFormat="1" ht="15">
      <c r="A121" s="1621" t="s">
        <v>82</v>
      </c>
      <c r="B121" s="1622">
        <f t="shared" si="18"/>
        <v>6.3E-2</v>
      </c>
      <c r="C121" s="1827">
        <f>+SUM('Fauna Acompañante'!BU62+'Fauna Acompañante'!BU78+'Fauna Acompañante'!BU94+'Fauna Acompañante'!BU110+'Fauna Acompañante'!BU126+'Fauna Acompañante'!BU142+'Fauna Acompañante'!BU158+'Fauna Acompañante'!BU174)</f>
        <v>0</v>
      </c>
      <c r="D121" s="1827">
        <f>+SUM('Fauna Acompañante'!BV62+'Fauna Acompañante'!BV78+'Fauna Acompañante'!BV94+'Fauna Acompañante'!BV110+'Fauna Acompañante'!BV126+'Fauna Acompañante'!BV142+'Fauna Acompañante'!BV158+'Fauna Acompañante'!BV174)</f>
        <v>0</v>
      </c>
      <c r="E121" s="1827">
        <f>+SUM('Fauna Acompañante'!BW62+'Fauna Acompañante'!BW78+'Fauna Acompañante'!BW94+'Fauna Acompañante'!BW110+'Fauna Acompañante'!BW126+'Fauna Acompañante'!BW142+'Fauna Acompañante'!BW158+'Fauna Acompañante'!BW174)</f>
        <v>0</v>
      </c>
      <c r="F121" s="1827">
        <f>+SUM('Fauna Acompañante'!BX62+'Fauna Acompañante'!BX78+'Fauna Acompañante'!BX94+'Fauna Acompañante'!BX110+'Fauna Acompañante'!BX126+'Fauna Acompañante'!BX142+'Fauna Acompañante'!BX158+'Fauna Acompañante'!BX174)</f>
        <v>0</v>
      </c>
      <c r="G121" s="1827">
        <f>+SUM('Fauna Acompañante'!BY62+'Fauna Acompañante'!BY78+'Fauna Acompañante'!BY94+'Fauna Acompañante'!BY110+'Fauna Acompañante'!BY126+'Fauna Acompañante'!BY142+'Fauna Acompañante'!BY158+'Fauna Acompañante'!BY174)</f>
        <v>0</v>
      </c>
      <c r="H121" s="1827">
        <f>+SUM('Fauna Acompañante'!BZ62+'Fauna Acompañante'!BZ78+'Fauna Acompañante'!BZ94+'Fauna Acompañante'!BZ110+'Fauna Acompañante'!BZ126+'Fauna Acompañante'!BZ142+'Fauna Acompañante'!BZ158+'Fauna Acompañante'!BZ174)</f>
        <v>0</v>
      </c>
      <c r="I121" s="1827">
        <f>+SUM('Fauna Acompañante'!CA62+'Fauna Acompañante'!CA78+'Fauna Acompañante'!CA94+'Fauna Acompañante'!CA110+'Fauna Acompañante'!CA126+'Fauna Acompañante'!CA142+'Fauna Acompañante'!CA158+'Fauna Acompañante'!CA174)</f>
        <v>0</v>
      </c>
      <c r="J121" s="1827">
        <f>+SUM('Fauna Acompañante'!CB62+'Fauna Acompañante'!CB78+'Fauna Acompañante'!CB94+'Fauna Acompañante'!CB110+'Fauna Acompañante'!CB126+'Fauna Acompañante'!CB142+'Fauna Acompañante'!CB158+'Fauna Acompañante'!CB174)</f>
        <v>0</v>
      </c>
      <c r="K121" s="1827">
        <f>+SUM('Fauna Acompañante'!CC62+'Fauna Acompañante'!CC78+'Fauna Acompañante'!CC94+'Fauna Acompañante'!CC110+'Fauna Acompañante'!CC126+'Fauna Acompañante'!CC142+'Fauna Acompañante'!CC158+'Fauna Acompañante'!CC174)</f>
        <v>0</v>
      </c>
      <c r="L121" s="1827">
        <f>+SUM('Fauna Acompañante'!CD62+'Fauna Acompañante'!CD78+'Fauna Acompañante'!CD94+'Fauna Acompañante'!CD110+'Fauna Acompañante'!CD126+'Fauna Acompañante'!CD142+'Fauna Acompañante'!CD158+'Fauna Acompañante'!CD174)</f>
        <v>0</v>
      </c>
      <c r="M121" s="1827">
        <f>+SUM('Fauna Acompañante'!CE62+'Fauna Acompañante'!CE78+'Fauna Acompañante'!CE94+'Fauna Acompañante'!CE110+'Fauna Acompañante'!CE126+'Fauna Acompañante'!CE142+'Fauna Acompañante'!CE158+'Fauna Acompañante'!CE174)</f>
        <v>0</v>
      </c>
      <c r="N121" s="1827">
        <f>+SUM('Fauna Acompañante'!CF62+'Fauna Acompañante'!CF78+'Fauna Acompañante'!CF94+'Fauna Acompañante'!CF110+'Fauna Acompañante'!CF126+'Fauna Acompañante'!CF142+'Fauna Acompañante'!CF158+'Fauna Acompañante'!CF174)</f>
        <v>0</v>
      </c>
      <c r="O121" s="1827">
        <f>+SUM('Fauna Acompañante'!CG62+'Fauna Acompañante'!CG78+'Fauna Acompañante'!CG94+'Fauna Acompañante'!CG110+'Fauna Acompañante'!CG126+'Fauna Acompañante'!CG142+'Fauna Acompañante'!CG158+'Fauna Acompañante'!CG174)</f>
        <v>0</v>
      </c>
      <c r="P121" s="1827">
        <f>+SUM('Fauna Acompañante'!CH62+'Fauna Acompañante'!CH78+'Fauna Acompañante'!CH94+'Fauna Acompañante'!CH110+'Fauna Acompañante'!CH126+'Fauna Acompañante'!CH142+'Fauna Acompañante'!CH158+'Fauna Acompañante'!CH174)</f>
        <v>0.01</v>
      </c>
      <c r="Q121" s="1827">
        <f>+SUM('Fauna Acompañante'!CI62+'Fauna Acompañante'!CI78+'Fauna Acompañante'!CI94+'Fauna Acompañante'!CI110+'Fauna Acompañante'!CI126+'Fauna Acompañante'!CI142+'Fauna Acompañante'!CI158+'Fauna Acompañante'!CI174)</f>
        <v>0</v>
      </c>
      <c r="R121" s="1827">
        <f>+SUM('Fauna Acompañante'!CJ62+'Fauna Acompañante'!CJ78+'Fauna Acompañante'!CJ94+'Fauna Acompañante'!CJ110+'Fauna Acompañante'!CJ126+'Fauna Acompañante'!CJ142+'Fauna Acompañante'!CJ158+'Fauna Acompañante'!CJ174)</f>
        <v>0.01</v>
      </c>
      <c r="S121" s="1827">
        <f>+SUM('Fauna Acompañante'!CK62+'Fauna Acompañante'!CK78+'Fauna Acompañante'!CK94+'Fauna Acompañante'!CK110+'Fauna Acompañante'!CK126+'Fauna Acompañante'!CK142+'Fauna Acompañante'!CK158+'Fauna Acompañante'!CK174)</f>
        <v>0.01</v>
      </c>
      <c r="T121" s="1827">
        <f>+SUM('Fauna Acompañante'!CL62+'Fauna Acompañante'!CL78+'Fauna Acompañante'!CL94+'Fauna Acompañante'!CL110+'Fauna Acompañante'!CL126+'Fauna Acompañante'!CL142+'Fauna Acompañante'!CL158+'Fauna Acompañante'!CL174)</f>
        <v>0</v>
      </c>
      <c r="U121" s="1827">
        <f>+SUM('Fauna Acompañante'!CM62+'Fauna Acompañante'!CM78+'Fauna Acompañante'!CM94+'Fauna Acompañante'!CM110+'Fauna Acompañante'!CM126+'Fauna Acompañante'!CM142+'Fauna Acompañante'!CM158+'Fauna Acompañante'!CM174)</f>
        <v>0</v>
      </c>
      <c r="V121" s="1827">
        <f>+SUM('Fauna Acompañante'!CN62+'Fauna Acompañante'!CN78+'Fauna Acompañante'!CN94+'Fauna Acompañante'!CN110+'Fauna Acompañante'!CN126+'Fauna Acompañante'!CN142+'Fauna Acompañante'!CN158+'Fauna Acompañante'!CN174)</f>
        <v>0</v>
      </c>
      <c r="W121" s="1827">
        <f>+SUM('Fauna Acompañante'!CO62+'Fauna Acompañante'!CO78+'Fauna Acompañante'!CO94+'Fauna Acompañante'!CO110+'Fauna Acompañante'!CO126+'Fauna Acompañante'!CO142+'Fauna Acompañante'!CO158+'Fauna Acompañante'!CO174)</f>
        <v>0</v>
      </c>
      <c r="X121" s="1827">
        <f>+SUM('Fauna Acompañante'!CP62+'Fauna Acompañante'!CP78+'Fauna Acompañante'!CP94+'Fauna Acompañante'!CP110+'Fauna Acompañante'!CP126+'Fauna Acompañante'!CP142+'Fauna Acompañante'!CP158+'Fauna Acompañante'!CP174)</f>
        <v>0</v>
      </c>
      <c r="Y121" s="1827">
        <f>+SUM('Fauna Acompañante'!CQ62+'Fauna Acompañante'!CQ78+'Fauna Acompañante'!CQ94+'Fauna Acompañante'!CQ110+'Fauna Acompañante'!CQ126+'Fauna Acompañante'!CQ142+'Fauna Acompañante'!CQ158+'Fauna Acompañante'!CQ174)</f>
        <v>0</v>
      </c>
      <c r="Z121" s="1827">
        <f>+SUM('Fauna Acompañante'!CR62+'Fauna Acompañante'!CR78+'Fauna Acompañante'!CR94+'Fauna Acompañante'!CR110+'Fauna Acompañante'!CR126+'Fauna Acompañante'!CR142+'Fauna Acompañante'!CR158+'Fauna Acompañante'!CR174)</f>
        <v>0</v>
      </c>
      <c r="AA121" s="1827">
        <f>+SUM('Fauna Acompañante'!CS62+'Fauna Acompañante'!CS78+'Fauna Acompañante'!CS94+'Fauna Acompañante'!CS110+'Fauna Acompañante'!CS126+'Fauna Acompañante'!CS142+'Fauna Acompañante'!CS158+'Fauna Acompañante'!CS174)</f>
        <v>1.7999999999999999E-2</v>
      </c>
      <c r="AB121" s="1827">
        <f>+SUM('Fauna Acompañante'!CT62+'Fauna Acompañante'!CT78+'Fauna Acompañante'!CT94+'Fauna Acompañante'!CT110+'Fauna Acompañante'!CT126+'Fauna Acompañante'!CT142+'Fauna Acompañante'!CT158+'Fauna Acompañante'!CT174)</f>
        <v>5.0000000000000001E-3</v>
      </c>
      <c r="AC121" s="1827">
        <f>+SUM('Fauna Acompañante'!CU62+'Fauna Acompañante'!CU78+'Fauna Acompañante'!CU94+'Fauna Acompañante'!CU110+'Fauna Acompañante'!CU126+'Fauna Acompañante'!CU142+'Fauna Acompañante'!CU158+'Fauna Acompañante'!CU174)</f>
        <v>0</v>
      </c>
      <c r="AD121" s="1827">
        <f>+SUM('Fauna Acompañante'!CV62+'Fauna Acompañante'!CV78+'Fauna Acompañante'!CV94+'Fauna Acompañante'!CV110+'Fauna Acompañante'!CV126+'Fauna Acompañante'!CV142+'Fauna Acompañante'!CV158+'Fauna Acompañante'!CV174)</f>
        <v>0</v>
      </c>
      <c r="AE121" s="1827">
        <f>+SUM('Fauna Acompañante'!CW62+'Fauna Acompañante'!CW78+'Fauna Acompañante'!CW94+'Fauna Acompañante'!CW110+'Fauna Acompañante'!CW126+'Fauna Acompañante'!CW142+'Fauna Acompañante'!CW158+'Fauna Acompañante'!CW174)</f>
        <v>0.01</v>
      </c>
      <c r="AF121" s="1827">
        <f>+SUM('Fauna Acompañante'!CX62+'Fauna Acompañante'!CX78+'Fauna Acompañante'!CX94+'Fauna Acompañante'!CX110+'Fauna Acompañante'!CX126+'Fauna Acompañante'!CX142+'Fauna Acompañante'!CX158+'Fauna Acompañante'!CX174)</f>
        <v>0</v>
      </c>
      <c r="AG121" s="1827">
        <f>+SUM('Fauna Acompañante'!CY62+'Fauna Acompañante'!CY78+'Fauna Acompañante'!CY94+'Fauna Acompañante'!CY110+'Fauna Acompañante'!CY126+'Fauna Acompañante'!CY142+'Fauna Acompañante'!CY158+'Fauna Acompañante'!CY174)</f>
        <v>0</v>
      </c>
      <c r="AH121" s="1826">
        <f t="shared" si="19"/>
        <v>6.3E-2</v>
      </c>
    </row>
    <row r="122" spans="1:34" s="2206" customFormat="1" ht="15">
      <c r="A122" s="1621" t="s">
        <v>83</v>
      </c>
      <c r="B122" s="1622">
        <f t="shared" si="18"/>
        <v>0.68300000000000005</v>
      </c>
      <c r="C122" s="1827">
        <f>+SUM('Fauna Acompañante'!BU63+'Fauna Acompañante'!BU79+'Fauna Acompañante'!BU95+'Fauna Acompañante'!BU111+'Fauna Acompañante'!BU127+'Fauna Acompañante'!BU143+'Fauna Acompañante'!BU159+'Fauna Acompañante'!BU175)</f>
        <v>0.01</v>
      </c>
      <c r="D122" s="1827">
        <f>+SUM('Fauna Acompañante'!BV63+'Fauna Acompañante'!BV79+'Fauna Acompañante'!BV95+'Fauna Acompañante'!BV111+'Fauna Acompañante'!BV127+'Fauna Acompañante'!BV143+'Fauna Acompañante'!BV159+'Fauna Acompañante'!BV175)</f>
        <v>0</v>
      </c>
      <c r="E122" s="1827">
        <f>+SUM('Fauna Acompañante'!BW63+'Fauna Acompañante'!BW79+'Fauna Acompañante'!BW95+'Fauna Acompañante'!BW111+'Fauna Acompañante'!BW127+'Fauna Acompañante'!BW143+'Fauna Acompañante'!BW159+'Fauna Acompañante'!BW175)</f>
        <v>0</v>
      </c>
      <c r="F122" s="1827">
        <f>+SUM('Fauna Acompañante'!BX63+'Fauna Acompañante'!BX79+'Fauna Acompañante'!BX95+'Fauna Acompañante'!BX111+'Fauna Acompañante'!BX127+'Fauna Acompañante'!BX143+'Fauna Acompañante'!BX159+'Fauna Acompañante'!BX175)</f>
        <v>0</v>
      </c>
      <c r="G122" s="1827">
        <f>+SUM('Fauna Acompañante'!BY63+'Fauna Acompañante'!BY79+'Fauna Acompañante'!BY95+'Fauna Acompañante'!BY111+'Fauna Acompañante'!BY127+'Fauna Acompañante'!BY143+'Fauna Acompañante'!BY159+'Fauna Acompañante'!BY175)</f>
        <v>0</v>
      </c>
      <c r="H122" s="1827">
        <f>+SUM('Fauna Acompañante'!BZ63+'Fauna Acompañante'!BZ79+'Fauna Acompañante'!BZ95+'Fauna Acompañante'!BZ111+'Fauna Acompañante'!BZ127+'Fauna Acompañante'!BZ143+'Fauna Acompañante'!BZ159+'Fauna Acompañante'!BZ175)</f>
        <v>0</v>
      </c>
      <c r="I122" s="1827">
        <f>+SUM('Fauna Acompañante'!CA63+'Fauna Acompañante'!CA79+'Fauna Acompañante'!CA95+'Fauna Acompañante'!CA111+'Fauna Acompañante'!CA127+'Fauna Acompañante'!CA143+'Fauna Acompañante'!CA159+'Fauna Acompañante'!CA175)</f>
        <v>0</v>
      </c>
      <c r="J122" s="1827">
        <f>+SUM('Fauna Acompañante'!CB63+'Fauna Acompañante'!CB79+'Fauna Acompañante'!CB95+'Fauna Acompañante'!CB111+'Fauna Acompañante'!CB127+'Fauna Acompañante'!CB143+'Fauna Acompañante'!CB159+'Fauna Acompañante'!CB175)</f>
        <v>0.11</v>
      </c>
      <c r="K122" s="1827">
        <f>+SUM('Fauna Acompañante'!CC63+'Fauna Acompañante'!CC79+'Fauna Acompañante'!CC95+'Fauna Acompañante'!CC111+'Fauna Acompañante'!CC127+'Fauna Acompañante'!CC143+'Fauna Acompañante'!CC159+'Fauna Acompañante'!CC175)</f>
        <v>0</v>
      </c>
      <c r="L122" s="1827">
        <f>+SUM('Fauna Acompañante'!CD63+'Fauna Acompañante'!CD79+'Fauna Acompañante'!CD95+'Fauna Acompañante'!CD111+'Fauna Acompañante'!CD127+'Fauna Acompañante'!CD143+'Fauna Acompañante'!CD159+'Fauna Acompañante'!CD175)</f>
        <v>0</v>
      </c>
      <c r="M122" s="1827">
        <f>+SUM('Fauna Acompañante'!CE63+'Fauna Acompañante'!CE79+'Fauna Acompañante'!CE95+'Fauna Acompañante'!CE111+'Fauna Acompañante'!CE127+'Fauna Acompañante'!CE143+'Fauna Acompañante'!CE159+'Fauna Acompañante'!CE175)</f>
        <v>0.503</v>
      </c>
      <c r="N122" s="1827">
        <f>+SUM('Fauna Acompañante'!CF63+'Fauna Acompañante'!CF79+'Fauna Acompañante'!CF95+'Fauna Acompañante'!CF111+'Fauna Acompañante'!CF127+'Fauna Acompañante'!CF143+'Fauna Acompañante'!CF159+'Fauna Acompañante'!CF175)</f>
        <v>0</v>
      </c>
      <c r="O122" s="1827">
        <f>+SUM('Fauna Acompañante'!CG63+'Fauna Acompañante'!CG79+'Fauna Acompañante'!CG95+'Fauna Acompañante'!CG111+'Fauna Acompañante'!CG127+'Fauna Acompañante'!CG143+'Fauna Acompañante'!CG159+'Fauna Acompañante'!CG175)</f>
        <v>0.06</v>
      </c>
      <c r="P122" s="1827">
        <f>+SUM('Fauna Acompañante'!CH63+'Fauna Acompañante'!CH79+'Fauna Acompañante'!CH95+'Fauna Acompañante'!CH111+'Fauna Acompañante'!CH127+'Fauna Acompañante'!CH143+'Fauna Acompañante'!CH159+'Fauna Acompañante'!CH175)</f>
        <v>0</v>
      </c>
      <c r="Q122" s="1827">
        <f>+SUM('Fauna Acompañante'!CI63+'Fauna Acompañante'!CI79+'Fauna Acompañante'!CI95+'Fauna Acompañante'!CI111+'Fauna Acompañante'!CI127+'Fauna Acompañante'!CI143+'Fauna Acompañante'!CI159+'Fauna Acompañante'!CI175)</f>
        <v>0</v>
      </c>
      <c r="R122" s="1827">
        <f>+SUM('Fauna Acompañante'!CJ63+'Fauna Acompañante'!CJ79+'Fauna Acompañante'!CJ95+'Fauna Acompañante'!CJ111+'Fauna Acompañante'!CJ127+'Fauna Acompañante'!CJ143+'Fauna Acompañante'!CJ159+'Fauna Acompañante'!CJ175)</f>
        <v>0</v>
      </c>
      <c r="S122" s="1827">
        <f>+SUM('Fauna Acompañante'!CK63+'Fauna Acompañante'!CK79+'Fauna Acompañante'!CK95+'Fauna Acompañante'!CK111+'Fauna Acompañante'!CK127+'Fauna Acompañante'!CK143+'Fauna Acompañante'!CK159+'Fauna Acompañante'!CK175)</f>
        <v>0</v>
      </c>
      <c r="T122" s="1827">
        <f>+SUM('Fauna Acompañante'!CL63+'Fauna Acompañante'!CL79+'Fauna Acompañante'!CL95+'Fauna Acompañante'!CL111+'Fauna Acompañante'!CL127+'Fauna Acompañante'!CL143+'Fauna Acompañante'!CL159+'Fauna Acompañante'!CL175)</f>
        <v>0</v>
      </c>
      <c r="U122" s="1827">
        <f>+SUM('Fauna Acompañante'!CM63+'Fauna Acompañante'!CM79+'Fauna Acompañante'!CM95+'Fauna Acompañante'!CM111+'Fauna Acompañante'!CM127+'Fauna Acompañante'!CM143+'Fauna Acompañante'!CM159+'Fauna Acompañante'!CM175)</f>
        <v>0</v>
      </c>
      <c r="V122" s="1827">
        <f>+SUM('Fauna Acompañante'!CN63+'Fauna Acompañante'!CN79+'Fauna Acompañante'!CN95+'Fauna Acompañante'!CN111+'Fauna Acompañante'!CN127+'Fauna Acompañante'!CN143+'Fauna Acompañante'!CN159+'Fauna Acompañante'!CN175)</f>
        <v>0</v>
      </c>
      <c r="W122" s="1827">
        <f>+SUM('Fauna Acompañante'!CO63+'Fauna Acompañante'!CO79+'Fauna Acompañante'!CO95+'Fauna Acompañante'!CO111+'Fauna Acompañante'!CO127+'Fauna Acompañante'!CO143+'Fauna Acompañante'!CO159+'Fauna Acompañante'!CO175)</f>
        <v>0</v>
      </c>
      <c r="X122" s="1827">
        <f>+SUM('Fauna Acompañante'!CP63+'Fauna Acompañante'!CP79+'Fauna Acompañante'!CP95+'Fauna Acompañante'!CP111+'Fauna Acompañante'!CP127+'Fauna Acompañante'!CP143+'Fauna Acompañante'!CP159+'Fauna Acompañante'!CP175)</f>
        <v>0</v>
      </c>
      <c r="Y122" s="1827">
        <f>+SUM('Fauna Acompañante'!CQ63+'Fauna Acompañante'!CQ79+'Fauna Acompañante'!CQ95+'Fauna Acompañante'!CQ111+'Fauna Acompañante'!CQ127+'Fauna Acompañante'!CQ143+'Fauna Acompañante'!CQ159+'Fauna Acompañante'!CQ175)</f>
        <v>0</v>
      </c>
      <c r="Z122" s="1827">
        <f>+SUM('Fauna Acompañante'!CR63+'Fauna Acompañante'!CR79+'Fauna Acompañante'!CR95+'Fauna Acompañante'!CR111+'Fauna Acompañante'!CR127+'Fauna Acompañante'!CR143+'Fauna Acompañante'!CR159+'Fauna Acompañante'!CR175)</f>
        <v>0</v>
      </c>
      <c r="AA122" s="1827">
        <f>+SUM('Fauna Acompañante'!CS63+'Fauna Acompañante'!CS79+'Fauna Acompañante'!CS95+'Fauna Acompañante'!CS111+'Fauna Acompañante'!CS127+'Fauna Acompañante'!CS143+'Fauna Acompañante'!CS159+'Fauna Acompañante'!CS175)</f>
        <v>0</v>
      </c>
      <c r="AB122" s="1827">
        <f>+SUM('Fauna Acompañante'!CT63+'Fauna Acompañante'!CT79+'Fauna Acompañante'!CT95+'Fauna Acompañante'!CT111+'Fauna Acompañante'!CT127+'Fauna Acompañante'!CT143+'Fauna Acompañante'!CT159+'Fauna Acompañante'!CT175)</f>
        <v>0</v>
      </c>
      <c r="AC122" s="1827">
        <f>+SUM('Fauna Acompañante'!CU63+'Fauna Acompañante'!CU79+'Fauna Acompañante'!CU95+'Fauna Acompañante'!CU111+'Fauna Acompañante'!CU127+'Fauna Acompañante'!CU143+'Fauna Acompañante'!CU159+'Fauna Acompañante'!CU175)</f>
        <v>0</v>
      </c>
      <c r="AD122" s="1827">
        <f>+SUM('Fauna Acompañante'!CV63+'Fauna Acompañante'!CV79+'Fauna Acompañante'!CV95+'Fauna Acompañante'!CV111+'Fauna Acompañante'!CV127+'Fauna Acompañante'!CV143+'Fauna Acompañante'!CV159+'Fauna Acompañante'!CV175)</f>
        <v>0</v>
      </c>
      <c r="AE122" s="1827">
        <f>+SUM('Fauna Acompañante'!CW63+'Fauna Acompañante'!CW79+'Fauna Acompañante'!CW95+'Fauna Acompañante'!CW111+'Fauna Acompañante'!CW127+'Fauna Acompañante'!CW143+'Fauna Acompañante'!CW159+'Fauna Acompañante'!CW175)</f>
        <v>0</v>
      </c>
      <c r="AF122" s="1827">
        <f>+SUM('Fauna Acompañante'!CX63+'Fauna Acompañante'!CX79+'Fauna Acompañante'!CX95+'Fauna Acompañante'!CX111+'Fauna Acompañante'!CX127+'Fauna Acompañante'!CX143+'Fauna Acompañante'!CX159+'Fauna Acompañante'!CX175)</f>
        <v>0</v>
      </c>
      <c r="AG122" s="1827">
        <f>+SUM('Fauna Acompañante'!CY63+'Fauna Acompañante'!CY79+'Fauna Acompañante'!CY95+'Fauna Acompañante'!CY111+'Fauna Acompañante'!CY127+'Fauna Acompañante'!CY143+'Fauna Acompañante'!CY159+'Fauna Acompañante'!CY175)</f>
        <v>0</v>
      </c>
      <c r="AH122" s="1826">
        <f t="shared" si="19"/>
        <v>0.68300000000000005</v>
      </c>
    </row>
    <row r="123" spans="1:34" s="2206" customFormat="1" ht="15">
      <c r="A123" s="1621" t="s">
        <v>84</v>
      </c>
      <c r="B123" s="1622">
        <f t="shared" si="18"/>
        <v>0.46700000000000008</v>
      </c>
      <c r="C123" s="1827">
        <f>+SUM('Fauna Acompañante'!BU64+'Fauna Acompañante'!BU80+'Fauna Acompañante'!BU96+'Fauna Acompañante'!BU112+'Fauna Acompañante'!BU128+'Fauna Acompañante'!BU144+'Fauna Acompañante'!BU160+'Fauna Acompañante'!BU176)</f>
        <v>0</v>
      </c>
      <c r="D123" s="1827">
        <f>+SUM('Fauna Acompañante'!BV64+'Fauna Acompañante'!BV80+'Fauna Acompañante'!BV96+'Fauna Acompañante'!BV112+'Fauna Acompañante'!BV128+'Fauna Acompañante'!BV144+'Fauna Acompañante'!BV160+'Fauna Acompañante'!BV176)</f>
        <v>0</v>
      </c>
      <c r="E123" s="1827">
        <f>+SUM('Fauna Acompañante'!BW64+'Fauna Acompañante'!BW80+'Fauna Acompañante'!BW96+'Fauna Acompañante'!BW112+'Fauna Acompañante'!BW128+'Fauna Acompañante'!BW144+'Fauna Acompañante'!BW160+'Fauna Acompañante'!BW176)</f>
        <v>2E-3</v>
      </c>
      <c r="F123" s="1827">
        <f>+SUM('Fauna Acompañante'!BX64+'Fauna Acompañante'!BX80+'Fauna Acompañante'!BX96+'Fauna Acompañante'!BX112+'Fauna Acompañante'!BX128+'Fauna Acompañante'!BX144+'Fauna Acompañante'!BX160+'Fauna Acompañante'!BX176)</f>
        <v>0</v>
      </c>
      <c r="G123" s="1827">
        <f>+SUM('Fauna Acompañante'!BY64+'Fauna Acompañante'!BY80+'Fauna Acompañante'!BY96+'Fauna Acompañante'!BY112+'Fauna Acompañante'!BY128+'Fauna Acompañante'!BY144+'Fauna Acompañante'!BY160+'Fauna Acompañante'!BY176)</f>
        <v>2.1999999999999999E-2</v>
      </c>
      <c r="H123" s="1827">
        <f>+SUM('Fauna Acompañante'!BZ64+'Fauna Acompañante'!BZ80+'Fauna Acompañante'!BZ96+'Fauna Acompañante'!BZ112+'Fauna Acompañante'!BZ128+'Fauna Acompañante'!BZ144+'Fauna Acompañante'!BZ160+'Fauna Acompañante'!BZ176)</f>
        <v>0</v>
      </c>
      <c r="I123" s="1827">
        <f>+SUM('Fauna Acompañante'!CA64+'Fauna Acompañante'!CA80+'Fauna Acompañante'!CA96+'Fauna Acompañante'!CA112+'Fauna Acompañante'!CA128+'Fauna Acompañante'!CA144+'Fauna Acompañante'!CA160+'Fauna Acompañante'!CA176)</f>
        <v>0</v>
      </c>
      <c r="J123" s="1827">
        <f>+SUM('Fauna Acompañante'!CB64+'Fauna Acompañante'!CB80+'Fauna Acompañante'!CB96+'Fauna Acompañante'!CB112+'Fauna Acompañante'!CB128+'Fauna Acompañante'!CB144+'Fauna Acompañante'!CB160+'Fauna Acompañante'!CB176)</f>
        <v>0</v>
      </c>
      <c r="K123" s="1827">
        <f>+SUM('Fauna Acompañante'!CC64+'Fauna Acompañante'!CC80+'Fauna Acompañante'!CC96+'Fauna Acompañante'!CC112+'Fauna Acompañante'!CC128+'Fauna Acompañante'!CC144+'Fauna Acompañante'!CC160+'Fauna Acompañante'!CC176)</f>
        <v>0</v>
      </c>
      <c r="L123" s="1827">
        <f>+SUM('Fauna Acompañante'!CD64+'Fauna Acompañante'!CD80+'Fauna Acompañante'!CD96+'Fauna Acompañante'!CD112+'Fauna Acompañante'!CD128+'Fauna Acompañante'!CD144+'Fauna Acompañante'!CD160+'Fauna Acompañante'!CD176)</f>
        <v>0.38500000000000001</v>
      </c>
      <c r="M123" s="1827">
        <f>+SUM('Fauna Acompañante'!CE64+'Fauna Acompañante'!CE80+'Fauna Acompañante'!CE96+'Fauna Acompañante'!CE112+'Fauna Acompañante'!CE128+'Fauna Acompañante'!CE144+'Fauna Acompañante'!CE160+'Fauna Acompañante'!CE176)</f>
        <v>0</v>
      </c>
      <c r="N123" s="1827">
        <f>+SUM('Fauna Acompañante'!CF64+'Fauna Acompañante'!CF80+'Fauna Acompañante'!CF96+'Fauna Acompañante'!CF112+'Fauna Acompañante'!CF128+'Fauna Acompañante'!CF144+'Fauna Acompañante'!CF160+'Fauna Acompañante'!CF176)</f>
        <v>0</v>
      </c>
      <c r="O123" s="1827">
        <f>+SUM('Fauna Acompañante'!CG64+'Fauna Acompañante'!CG80+'Fauna Acompañante'!CG96+'Fauna Acompañante'!CG112+'Fauna Acompañante'!CG128+'Fauna Acompañante'!CG144+'Fauna Acompañante'!CG160+'Fauna Acompañante'!CG176)</f>
        <v>5.0000000000000001E-3</v>
      </c>
      <c r="P123" s="1827">
        <f>+SUM('Fauna Acompañante'!CH64+'Fauna Acompañante'!CH80+'Fauna Acompañante'!CH96+'Fauna Acompañante'!CH112+'Fauna Acompañante'!CH128+'Fauna Acompañante'!CH144+'Fauna Acompañante'!CH160+'Fauna Acompañante'!CH176)</f>
        <v>0</v>
      </c>
      <c r="Q123" s="1827">
        <f>+SUM('Fauna Acompañante'!CI64+'Fauna Acompañante'!CI80+'Fauna Acompañante'!CI96+'Fauna Acompañante'!CI112+'Fauna Acompañante'!CI128+'Fauna Acompañante'!CI144+'Fauna Acompañante'!CI160+'Fauna Acompañante'!CI176)</f>
        <v>0</v>
      </c>
      <c r="R123" s="1827">
        <f>+SUM('Fauna Acompañante'!CJ64+'Fauna Acompañante'!CJ80+'Fauna Acompañante'!CJ96+'Fauna Acompañante'!CJ112+'Fauna Acompañante'!CJ128+'Fauna Acompañante'!CJ144+'Fauna Acompañante'!CJ160+'Fauna Acompañante'!CJ176)</f>
        <v>0.03</v>
      </c>
      <c r="S123" s="1827">
        <f>+SUM('Fauna Acompañante'!CK64+'Fauna Acompañante'!CK80+'Fauna Acompañante'!CK96+'Fauna Acompañante'!CK112+'Fauna Acompañante'!CK128+'Fauna Acompañante'!CK144+'Fauna Acompañante'!CK160+'Fauna Acompañante'!CK176)</f>
        <v>0</v>
      </c>
      <c r="T123" s="1827">
        <f>+SUM('Fauna Acompañante'!CL64+'Fauna Acompañante'!CL80+'Fauna Acompañante'!CL96+'Fauna Acompañante'!CL112+'Fauna Acompañante'!CL128+'Fauna Acompañante'!CL144+'Fauna Acompañante'!CL160+'Fauna Acompañante'!CL176)</f>
        <v>0</v>
      </c>
      <c r="U123" s="1827">
        <f>+SUM('Fauna Acompañante'!CM64+'Fauna Acompañante'!CM80+'Fauna Acompañante'!CM96+'Fauna Acompañante'!CM112+'Fauna Acompañante'!CM128+'Fauna Acompañante'!CM144+'Fauna Acompañante'!CM160+'Fauna Acompañante'!CM176)</f>
        <v>0</v>
      </c>
      <c r="V123" s="1827">
        <f>+SUM('Fauna Acompañante'!CN64+'Fauna Acompañante'!CN80+'Fauna Acompañante'!CN96+'Fauna Acompañante'!CN112+'Fauna Acompañante'!CN128+'Fauna Acompañante'!CN144+'Fauna Acompañante'!CN160+'Fauna Acompañante'!CN176)</f>
        <v>1.4999999999999999E-2</v>
      </c>
      <c r="W123" s="1827">
        <f>+SUM('Fauna Acompañante'!CO64+'Fauna Acompañante'!CO80+'Fauna Acompañante'!CO96+'Fauna Acompañante'!CO112+'Fauna Acompañante'!CO128+'Fauna Acompañante'!CO144+'Fauna Acompañante'!CO160+'Fauna Acompañante'!CO176)</f>
        <v>0</v>
      </c>
      <c r="X123" s="1827">
        <f>+SUM('Fauna Acompañante'!CP64+'Fauna Acompañante'!CP80+'Fauna Acompañante'!CP96+'Fauna Acompañante'!CP112+'Fauna Acompañante'!CP128+'Fauna Acompañante'!CP144+'Fauna Acompañante'!CP160+'Fauna Acompañante'!CP176)</f>
        <v>0</v>
      </c>
      <c r="Y123" s="1827">
        <f>+SUM('Fauna Acompañante'!CQ64+'Fauna Acompañante'!CQ80+'Fauna Acompañante'!CQ96+'Fauna Acompañante'!CQ112+'Fauna Acompañante'!CQ128+'Fauna Acompañante'!CQ144+'Fauna Acompañante'!CQ160+'Fauna Acompañante'!CQ176)</f>
        <v>0</v>
      </c>
      <c r="Z123" s="1827">
        <f>+SUM('Fauna Acompañante'!CR64+'Fauna Acompañante'!CR80+'Fauna Acompañante'!CR96+'Fauna Acompañante'!CR112+'Fauna Acompañante'!CR128+'Fauna Acompañante'!CR144+'Fauna Acompañante'!CR160+'Fauna Acompañante'!CR176)</f>
        <v>0</v>
      </c>
      <c r="AA123" s="1827">
        <f>+SUM('Fauna Acompañante'!CS64+'Fauna Acompañante'!CS80+'Fauna Acompañante'!CS96+'Fauna Acompañante'!CS112+'Fauna Acompañante'!CS128+'Fauna Acompañante'!CS144+'Fauna Acompañante'!CS160+'Fauna Acompañante'!CS176)</f>
        <v>8.0000000000000002E-3</v>
      </c>
      <c r="AB123" s="1827">
        <f>+SUM('Fauna Acompañante'!CT64+'Fauna Acompañante'!CT80+'Fauna Acompañante'!CT96+'Fauna Acompañante'!CT112+'Fauna Acompañante'!CT128+'Fauna Acompañante'!CT144+'Fauna Acompañante'!CT160+'Fauna Acompañante'!CT176)</f>
        <v>0</v>
      </c>
      <c r="AC123" s="1827">
        <f>+SUM('Fauna Acompañante'!CU64+'Fauna Acompañante'!CU80+'Fauna Acompañante'!CU96+'Fauna Acompañante'!CU112+'Fauna Acompañante'!CU128+'Fauna Acompañante'!CU144+'Fauna Acompañante'!CU160+'Fauna Acompañante'!CU176)</f>
        <v>0</v>
      </c>
      <c r="AD123" s="1827">
        <f>+SUM('Fauna Acompañante'!CV64+'Fauna Acompañante'!CV80+'Fauna Acompañante'!CV96+'Fauna Acompañante'!CV112+'Fauna Acompañante'!CV128+'Fauna Acompañante'!CV144+'Fauna Acompañante'!CV160+'Fauna Acompañante'!CV176)</f>
        <v>0</v>
      </c>
      <c r="AE123" s="1827">
        <f>+SUM('Fauna Acompañante'!CW64+'Fauna Acompañante'!CW80+'Fauna Acompañante'!CW96+'Fauna Acompañante'!CW112+'Fauna Acompañante'!CW128+'Fauna Acompañante'!CW144+'Fauna Acompañante'!CW160+'Fauna Acompañante'!CW176)</f>
        <v>0</v>
      </c>
      <c r="AF123" s="1827">
        <f>+SUM('Fauna Acompañante'!CX64+'Fauna Acompañante'!CX80+'Fauna Acompañante'!CX96+'Fauna Acompañante'!CX112+'Fauna Acompañante'!CX128+'Fauna Acompañante'!CX144+'Fauna Acompañante'!CX160+'Fauna Acompañante'!CX176)</f>
        <v>0</v>
      </c>
      <c r="AG123" s="1827">
        <f>+SUM('Fauna Acompañante'!CY64+'Fauna Acompañante'!CY80+'Fauna Acompañante'!CY96+'Fauna Acompañante'!CY112+'Fauna Acompañante'!CY128+'Fauna Acompañante'!CY144+'Fauna Acompañante'!CY160+'Fauna Acompañante'!CY176)</f>
        <v>0</v>
      </c>
      <c r="AH123" s="1826">
        <f t="shared" si="19"/>
        <v>0.46700000000000008</v>
      </c>
    </row>
    <row r="124" spans="1:34" s="2206" customFormat="1" ht="15">
      <c r="A124" s="1829" t="s">
        <v>72</v>
      </c>
      <c r="B124" s="1828">
        <f t="shared" ref="B124:AH124" si="20">SUM(B112:B123)</f>
        <v>6.3120000000000012</v>
      </c>
      <c r="C124" s="1827">
        <f t="shared" si="20"/>
        <v>0.10299999999999999</v>
      </c>
      <c r="D124" s="1827">
        <f t="shared" si="20"/>
        <v>4.8000000000000001E-2</v>
      </c>
      <c r="E124" s="1827">
        <f t="shared" si="20"/>
        <v>0.153</v>
      </c>
      <c r="F124" s="1827">
        <f t="shared" si="20"/>
        <v>1.3000000000000008E-2</v>
      </c>
      <c r="G124" s="1827">
        <f t="shared" si="20"/>
        <v>2.7829999999999995</v>
      </c>
      <c r="H124" s="1827">
        <f t="shared" si="20"/>
        <v>0.05</v>
      </c>
      <c r="I124" s="1827">
        <f t="shared" si="20"/>
        <v>0.35499999999999998</v>
      </c>
      <c r="J124" s="1827">
        <f t="shared" si="20"/>
        <v>0.316</v>
      </c>
      <c r="K124" s="1827">
        <f t="shared" si="20"/>
        <v>4.1000000000000002E-2</v>
      </c>
      <c r="L124" s="1827">
        <f t="shared" si="20"/>
        <v>0.46300000000000002</v>
      </c>
      <c r="M124" s="1827">
        <f t="shared" si="20"/>
        <v>0.57800000000000007</v>
      </c>
      <c r="N124" s="1827">
        <f t="shared" si="20"/>
        <v>0.10200000000000001</v>
      </c>
      <c r="O124" s="1827">
        <f t="shared" si="20"/>
        <v>0.126</v>
      </c>
      <c r="P124" s="1827">
        <f t="shared" si="20"/>
        <v>0.14500000000000002</v>
      </c>
      <c r="Q124" s="1827">
        <f t="shared" si="20"/>
        <v>0.12500000000000003</v>
      </c>
      <c r="R124" s="1827">
        <f t="shared" si="20"/>
        <v>0.16700000000000001</v>
      </c>
      <c r="S124" s="1827">
        <f t="shared" si="20"/>
        <v>0.11199999999999999</v>
      </c>
      <c r="T124" s="1827">
        <f t="shared" si="20"/>
        <v>6.4999999999999947E-2</v>
      </c>
      <c r="U124" s="1827">
        <f t="shared" si="20"/>
        <v>6.9999999999998952E-3</v>
      </c>
      <c r="V124" s="1827">
        <f t="shared" si="20"/>
        <v>0.03</v>
      </c>
      <c r="W124" s="1827">
        <f t="shared" si="20"/>
        <v>0.125</v>
      </c>
      <c r="X124" s="1827">
        <f t="shared" si="20"/>
        <v>0.09</v>
      </c>
      <c r="Y124" s="1827">
        <f t="shared" si="20"/>
        <v>1.7999999999999988E-2</v>
      </c>
      <c r="Z124" s="1827">
        <f t="shared" si="20"/>
        <v>2.0000000000000018E-2</v>
      </c>
      <c r="AA124" s="1827">
        <f t="shared" si="20"/>
        <v>7.9999999999999988E-2</v>
      </c>
      <c r="AB124" s="1827">
        <f t="shared" si="20"/>
        <v>1.2E-2</v>
      </c>
      <c r="AC124" s="1827">
        <f t="shared" si="20"/>
        <v>9.9999999999999985E-3</v>
      </c>
      <c r="AD124" s="1827">
        <f t="shared" si="20"/>
        <v>6.6000000000000003E-2</v>
      </c>
      <c r="AE124" s="1827">
        <f t="shared" si="20"/>
        <v>6.4999999999999988E-2</v>
      </c>
      <c r="AF124" s="1827">
        <f t="shared" si="20"/>
        <v>3.2999999999999995E-2</v>
      </c>
      <c r="AG124" s="1827">
        <f t="shared" si="20"/>
        <v>1.0999999999999999E-2</v>
      </c>
      <c r="AH124" s="1826">
        <f t="shared" si="20"/>
        <v>6.3120000000000012</v>
      </c>
    </row>
    <row r="125" spans="1:34" s="2206" customFormat="1" ht="15">
      <c r="A125" s="1901"/>
      <c r="B125" s="2207"/>
      <c r="C125" s="2208"/>
      <c r="D125" s="2208"/>
      <c r="E125" s="2208"/>
      <c r="F125" s="2208"/>
      <c r="G125" s="2208"/>
      <c r="H125" s="2208"/>
      <c r="I125" s="2208"/>
      <c r="J125" s="2208"/>
      <c r="K125" s="2208"/>
      <c r="L125" s="2208"/>
      <c r="M125" s="2208"/>
      <c r="N125" s="2208"/>
      <c r="O125" s="2208"/>
      <c r="P125" s="2208"/>
      <c r="Q125" s="2208"/>
      <c r="R125" s="2208"/>
      <c r="S125" s="2208"/>
      <c r="T125" s="2208"/>
      <c r="U125" s="2208"/>
      <c r="V125" s="2208"/>
      <c r="W125" s="2208"/>
      <c r="X125" s="2208"/>
      <c r="Y125" s="2208"/>
      <c r="Z125" s="2208"/>
      <c r="AA125" s="2208"/>
      <c r="AB125" s="2208"/>
      <c r="AC125" s="2208"/>
      <c r="AD125" s="2208"/>
      <c r="AE125" s="2208"/>
      <c r="AF125" s="2208"/>
      <c r="AG125" s="2208"/>
      <c r="AH125" s="1891"/>
    </row>
    <row r="126" spans="1:34" s="2206" customFormat="1" ht="15">
      <c r="A126" s="1901"/>
      <c r="B126" s="2207"/>
      <c r="C126" s="2208"/>
      <c r="D126" s="2208"/>
      <c r="E126" s="2208"/>
      <c r="F126" s="2208"/>
      <c r="G126" s="2208"/>
      <c r="H126" s="2208"/>
      <c r="I126" s="2208"/>
      <c r="J126" s="2208"/>
      <c r="K126" s="2208"/>
      <c r="L126" s="2208"/>
      <c r="M126" s="2208"/>
      <c r="N126" s="2208"/>
      <c r="O126" s="2208"/>
      <c r="P126" s="2208"/>
      <c r="Q126" s="2208"/>
      <c r="R126" s="2208"/>
      <c r="S126" s="2208"/>
      <c r="T126" s="2208"/>
      <c r="U126" s="2208"/>
      <c r="V126" s="2208"/>
      <c r="W126" s="2208"/>
      <c r="X126" s="2208"/>
      <c r="Y126" s="2208"/>
      <c r="Z126" s="2208"/>
      <c r="AA126" s="2208"/>
      <c r="AB126" s="2208"/>
      <c r="AC126" s="2208"/>
      <c r="AD126" s="2208"/>
      <c r="AE126" s="2208"/>
      <c r="AF126" s="2208"/>
      <c r="AG126" s="2208"/>
      <c r="AH126" s="1891"/>
    </row>
    <row r="127" spans="1:34" s="2206" customFormat="1" ht="15">
      <c r="A127" s="1901"/>
      <c r="B127" s="2207"/>
      <c r="C127" s="2208"/>
      <c r="D127" s="2208"/>
      <c r="E127" s="2208"/>
      <c r="F127" s="2208"/>
      <c r="G127" s="2208"/>
      <c r="H127" s="2208"/>
      <c r="I127" s="2208"/>
      <c r="J127" s="2208"/>
      <c r="K127" s="2208"/>
      <c r="L127" s="2208"/>
      <c r="M127" s="2208"/>
      <c r="N127" s="2208"/>
      <c r="O127" s="2208"/>
      <c r="P127" s="2208"/>
      <c r="Q127" s="2208"/>
      <c r="R127" s="2208"/>
      <c r="S127" s="2208"/>
      <c r="T127" s="2208"/>
      <c r="U127" s="2208"/>
      <c r="V127" s="2208"/>
      <c r="W127" s="2208"/>
      <c r="X127" s="2208"/>
      <c r="Y127" s="2208"/>
      <c r="Z127" s="2208"/>
      <c r="AA127" s="2208"/>
      <c r="AB127" s="2208"/>
      <c r="AC127" s="2208"/>
      <c r="AD127" s="2208"/>
      <c r="AE127" s="2208"/>
      <c r="AF127" s="2208"/>
      <c r="AG127" s="2208"/>
      <c r="AH127" s="1891"/>
    </row>
    <row r="129" spans="1:34" ht="15">
      <c r="A129" s="4038" t="s">
        <v>750</v>
      </c>
      <c r="B129" s="4039"/>
      <c r="C129" s="4039"/>
      <c r="D129" s="4039"/>
      <c r="E129" s="4039"/>
      <c r="F129" s="4039"/>
      <c r="G129" s="4039"/>
      <c r="H129" s="4039"/>
      <c r="I129" s="4039"/>
      <c r="J129" s="4039"/>
      <c r="K129" s="4039"/>
      <c r="L129" s="4039"/>
      <c r="M129" s="4039"/>
      <c r="N129" s="4039"/>
      <c r="O129" s="4039"/>
      <c r="P129" s="4039"/>
      <c r="Q129" s="4039"/>
      <c r="R129" s="4039"/>
      <c r="S129" s="4039"/>
      <c r="T129" s="4040"/>
      <c r="U129" s="1825"/>
      <c r="V129" s="1825"/>
      <c r="W129" s="1825"/>
      <c r="X129" s="1825"/>
      <c r="Y129" s="1825"/>
      <c r="Z129" s="1825"/>
      <c r="AA129" s="1825"/>
      <c r="AB129" s="1825"/>
      <c r="AC129" s="1825"/>
      <c r="AD129" s="1825"/>
      <c r="AE129" s="1825"/>
      <c r="AF129" s="1825"/>
      <c r="AG129" s="1825"/>
      <c r="AH129" s="1825"/>
    </row>
    <row r="130" spans="1:34">
      <c r="A130" s="1825"/>
      <c r="B130" s="1825"/>
      <c r="C130" s="1825"/>
      <c r="D130" s="1825"/>
      <c r="E130" s="1825"/>
      <c r="F130" s="1825"/>
      <c r="G130" s="1825"/>
      <c r="H130" s="1825"/>
      <c r="I130" s="1825"/>
      <c r="J130" s="1825"/>
      <c r="K130" s="1825"/>
      <c r="L130" s="1825"/>
      <c r="M130" s="1825"/>
      <c r="N130" s="1825"/>
      <c r="O130" s="1825"/>
      <c r="P130" s="1825"/>
      <c r="Q130" s="1825"/>
      <c r="R130" s="1825"/>
      <c r="S130" s="1825"/>
      <c r="T130" s="1825"/>
      <c r="U130" s="1825"/>
      <c r="V130" s="1825"/>
      <c r="W130" s="1825"/>
      <c r="X130" s="1825"/>
      <c r="Y130" s="1825"/>
      <c r="Z130" s="1825"/>
      <c r="AA130" s="1825"/>
      <c r="AB130" s="1825"/>
      <c r="AC130" s="1825"/>
      <c r="AD130" s="1825"/>
      <c r="AE130" s="1825"/>
      <c r="AF130" s="1825"/>
      <c r="AG130" s="1825"/>
      <c r="AH130" s="1825"/>
    </row>
    <row r="131" spans="1:34">
      <c r="A131" s="1825"/>
      <c r="B131" s="1825"/>
      <c r="C131" s="1825"/>
      <c r="D131" s="1825"/>
      <c r="E131" s="1825"/>
      <c r="F131" s="1825"/>
      <c r="G131" s="1825"/>
      <c r="H131" s="1825"/>
      <c r="I131" s="1825"/>
      <c r="J131" s="1825"/>
      <c r="K131" s="1825"/>
      <c r="L131" s="1825"/>
      <c r="M131" s="1825"/>
      <c r="N131" s="1825"/>
      <c r="O131" s="1825"/>
      <c r="P131" s="1825"/>
      <c r="Q131" s="1825"/>
      <c r="R131" s="1825"/>
      <c r="S131" s="1825"/>
      <c r="T131" s="1825"/>
      <c r="U131" s="1825"/>
      <c r="V131" s="1825"/>
      <c r="W131" s="1825"/>
      <c r="X131" s="1825"/>
      <c r="Y131" s="1825"/>
      <c r="Z131" s="1825"/>
      <c r="AA131" s="1825"/>
      <c r="AB131" s="1825"/>
      <c r="AC131" s="1825"/>
      <c r="AD131" s="1825"/>
      <c r="AE131" s="1825"/>
      <c r="AF131" s="1825"/>
      <c r="AG131" s="1825"/>
      <c r="AH131" s="1825"/>
    </row>
    <row r="132" spans="1:34" ht="15">
      <c r="A132" s="4038" t="s">
        <v>603</v>
      </c>
      <c r="B132" s="4039"/>
      <c r="C132" s="4040"/>
      <c r="D132" s="1823"/>
      <c r="E132" s="1823"/>
      <c r="F132" s="1823"/>
      <c r="G132" s="1823"/>
      <c r="H132" s="1823"/>
      <c r="I132" s="1823"/>
      <c r="J132" s="1823"/>
      <c r="K132" s="1823"/>
      <c r="L132" s="1823"/>
      <c r="M132" s="1824"/>
      <c r="N132" s="1823"/>
      <c r="O132" s="1823"/>
      <c r="P132" s="1823"/>
      <c r="Q132" s="1823"/>
      <c r="R132" s="1823"/>
      <c r="S132" s="1823"/>
      <c r="T132" s="1823"/>
      <c r="U132" s="1823"/>
      <c r="V132" s="1823"/>
      <c r="W132" s="1823"/>
      <c r="X132" s="1823"/>
      <c r="Y132" s="1823"/>
      <c r="Z132" s="1823"/>
      <c r="AA132" s="1823"/>
      <c r="AB132" s="1823"/>
      <c r="AC132" s="1823"/>
      <c r="AD132" s="1823"/>
      <c r="AE132" s="1823"/>
      <c r="AF132" s="1823"/>
      <c r="AG132" s="1823"/>
      <c r="AH132" s="1823"/>
    </row>
    <row r="133" spans="1:34" ht="15">
      <c r="A133" s="1719" t="s">
        <v>70</v>
      </c>
      <c r="B133" s="1719" t="s">
        <v>71</v>
      </c>
      <c r="C133" s="1719">
        <v>1</v>
      </c>
      <c r="D133" s="1719">
        <v>2</v>
      </c>
      <c r="E133" s="1719">
        <v>3</v>
      </c>
      <c r="F133" s="1719">
        <v>4</v>
      </c>
      <c r="G133" s="1719">
        <v>5</v>
      </c>
      <c r="H133" s="1719">
        <v>6</v>
      </c>
      <c r="I133" s="1719">
        <v>7</v>
      </c>
      <c r="J133" s="1719">
        <v>8</v>
      </c>
      <c r="K133" s="1719">
        <v>9</v>
      </c>
      <c r="L133" s="1719">
        <v>10</v>
      </c>
      <c r="M133" s="1719">
        <v>11</v>
      </c>
      <c r="N133" s="1719">
        <v>12</v>
      </c>
      <c r="O133" s="1719">
        <v>13</v>
      </c>
      <c r="P133" s="1719">
        <v>14</v>
      </c>
      <c r="Q133" s="1719">
        <v>15</v>
      </c>
      <c r="R133" s="1719">
        <v>16</v>
      </c>
      <c r="S133" s="1719">
        <v>17</v>
      </c>
      <c r="T133" s="1719">
        <v>18</v>
      </c>
      <c r="U133" s="1719">
        <v>19</v>
      </c>
      <c r="V133" s="1719">
        <v>20</v>
      </c>
      <c r="W133" s="1719">
        <v>21</v>
      </c>
      <c r="X133" s="1719">
        <v>22</v>
      </c>
      <c r="Y133" s="1719">
        <v>23</v>
      </c>
      <c r="Z133" s="1719">
        <v>24</v>
      </c>
      <c r="AA133" s="1719">
        <v>25</v>
      </c>
      <c r="AB133" s="1719">
        <v>26</v>
      </c>
      <c r="AC133" s="1719">
        <v>27</v>
      </c>
      <c r="AD133" s="1719">
        <v>28</v>
      </c>
      <c r="AE133" s="1719">
        <v>29</v>
      </c>
      <c r="AF133" s="1719">
        <v>30</v>
      </c>
      <c r="AG133" s="1719">
        <v>31</v>
      </c>
      <c r="AH133" s="1822" t="s">
        <v>72</v>
      </c>
    </row>
    <row r="134" spans="1:34" ht="15">
      <c r="A134" s="1719" t="s">
        <v>73</v>
      </c>
      <c r="B134" s="1821">
        <f t="shared" ref="B134:B145" si="21">+AH134</f>
        <v>0</v>
      </c>
      <c r="C134" s="1818">
        <f>+'Fauna Acompañante'!DD197</f>
        <v>0</v>
      </c>
      <c r="D134" s="1818">
        <f>+'Fauna Acompañante'!DE197</f>
        <v>0</v>
      </c>
      <c r="E134" s="1818">
        <f>+'Fauna Acompañante'!DF197</f>
        <v>0</v>
      </c>
      <c r="F134" s="1818">
        <f>+'Fauna Acompañante'!DG197</f>
        <v>0</v>
      </c>
      <c r="G134" s="1818">
        <f>+'Fauna Acompañante'!DH197</f>
        <v>0</v>
      </c>
      <c r="H134" s="1818">
        <f>+'Fauna Acompañante'!DI197</f>
        <v>0</v>
      </c>
      <c r="I134" s="1818">
        <f>+'Fauna Acompañante'!DJ197</f>
        <v>0</v>
      </c>
      <c r="J134" s="1818">
        <f>+'Fauna Acompañante'!DK197</f>
        <v>0</v>
      </c>
      <c r="K134" s="1818">
        <f>+'Fauna Acompañante'!DL197</f>
        <v>0</v>
      </c>
      <c r="L134" s="1818">
        <f>+'Fauna Acompañante'!DM197</f>
        <v>0</v>
      </c>
      <c r="M134" s="1818">
        <f>+'Fauna Acompañante'!DN197</f>
        <v>0</v>
      </c>
      <c r="N134" s="1818">
        <f>+'Fauna Acompañante'!DO197</f>
        <v>0</v>
      </c>
      <c r="O134" s="1818">
        <f>+'Fauna Acompañante'!DP197</f>
        <v>0</v>
      </c>
      <c r="P134" s="1818">
        <f>+'Fauna Acompañante'!DQ197</f>
        <v>0</v>
      </c>
      <c r="Q134" s="1818">
        <f>+'Fauna Acompañante'!DR197</f>
        <v>0</v>
      </c>
      <c r="R134" s="1818">
        <f>+'Fauna Acompañante'!DS197</f>
        <v>0</v>
      </c>
      <c r="S134" s="1818">
        <f>+'Fauna Acompañante'!DT197</f>
        <v>0</v>
      </c>
      <c r="T134" s="1818">
        <f>+'Fauna Acompañante'!DU197</f>
        <v>0</v>
      </c>
      <c r="U134" s="1818">
        <f>+'Fauna Acompañante'!DV197</f>
        <v>0</v>
      </c>
      <c r="V134" s="1818">
        <f>+'Fauna Acompañante'!DW197</f>
        <v>0</v>
      </c>
      <c r="W134" s="1818">
        <f>+'Fauna Acompañante'!DX197</f>
        <v>0</v>
      </c>
      <c r="X134" s="1818">
        <f>+'Fauna Acompañante'!DY197</f>
        <v>0</v>
      </c>
      <c r="Y134" s="1818">
        <f>+'Fauna Acompañante'!DZ197</f>
        <v>0</v>
      </c>
      <c r="Z134" s="1818">
        <f>+'Fauna Acompañante'!EA197</f>
        <v>0</v>
      </c>
      <c r="AA134" s="1818">
        <f>+'Fauna Acompañante'!EB197</f>
        <v>0</v>
      </c>
      <c r="AB134" s="1818">
        <f>+'Fauna Acompañante'!EC197</f>
        <v>0</v>
      </c>
      <c r="AC134" s="1818">
        <f>+'Fauna Acompañante'!ED197</f>
        <v>0</v>
      </c>
      <c r="AD134" s="1818">
        <f>+'Fauna Acompañante'!EE197</f>
        <v>0</v>
      </c>
      <c r="AE134" s="1818">
        <f>+'Fauna Acompañante'!EF197</f>
        <v>0</v>
      </c>
      <c r="AF134" s="1818">
        <f>+'Fauna Acompañante'!EG197</f>
        <v>0</v>
      </c>
      <c r="AG134" s="1818">
        <f>+'Fauna Acompañante'!EH197</f>
        <v>0</v>
      </c>
      <c r="AH134" s="1817">
        <f t="shared" ref="AH134:AH145" si="22">SUM(C134:AG134)</f>
        <v>0</v>
      </c>
    </row>
    <row r="135" spans="1:34" ht="15">
      <c r="A135" s="1719" t="s">
        <v>74</v>
      </c>
      <c r="B135" s="1821">
        <f t="shared" si="21"/>
        <v>0</v>
      </c>
      <c r="C135" s="1818">
        <f>+'Fauna Acompañante'!DD198</f>
        <v>0</v>
      </c>
      <c r="D135" s="1818">
        <f>+'Fauna Acompañante'!DE198</f>
        <v>0</v>
      </c>
      <c r="E135" s="1818">
        <f>+'Fauna Acompañante'!DF198</f>
        <v>0</v>
      </c>
      <c r="F135" s="1818">
        <f>+'Fauna Acompañante'!DG198</f>
        <v>0</v>
      </c>
      <c r="G135" s="1818">
        <f>+'Fauna Acompañante'!DH198</f>
        <v>0</v>
      </c>
      <c r="H135" s="1818">
        <f>+'Fauna Acompañante'!DI198</f>
        <v>0</v>
      </c>
      <c r="I135" s="1818">
        <f>+'Fauna Acompañante'!DJ198</f>
        <v>0</v>
      </c>
      <c r="J135" s="1818">
        <f>+'Fauna Acompañante'!DK198</f>
        <v>0</v>
      </c>
      <c r="K135" s="1818">
        <f>+'Fauna Acompañante'!DL198</f>
        <v>0</v>
      </c>
      <c r="L135" s="1818">
        <f>+'Fauna Acompañante'!DM198</f>
        <v>0</v>
      </c>
      <c r="M135" s="1818">
        <f>+'Fauna Acompañante'!DN198</f>
        <v>0</v>
      </c>
      <c r="N135" s="1818">
        <f>+'Fauna Acompañante'!DO198</f>
        <v>0</v>
      </c>
      <c r="O135" s="1818">
        <f>+'Fauna Acompañante'!DP198</f>
        <v>0</v>
      </c>
      <c r="P135" s="1818">
        <f>+'Fauna Acompañante'!DQ198</f>
        <v>0</v>
      </c>
      <c r="Q135" s="1818">
        <f>+'Fauna Acompañante'!DR198</f>
        <v>0</v>
      </c>
      <c r="R135" s="1818">
        <f>+'Fauna Acompañante'!DS198</f>
        <v>0</v>
      </c>
      <c r="S135" s="1818">
        <f>+'Fauna Acompañante'!DT198</f>
        <v>0</v>
      </c>
      <c r="T135" s="1818">
        <f>+'Fauna Acompañante'!DU198</f>
        <v>0</v>
      </c>
      <c r="U135" s="1818">
        <f>+'Fauna Acompañante'!DV198</f>
        <v>0</v>
      </c>
      <c r="V135" s="1818">
        <f>+'Fauna Acompañante'!DW198</f>
        <v>0</v>
      </c>
      <c r="W135" s="1818">
        <f>+'Fauna Acompañante'!DX198</f>
        <v>0</v>
      </c>
      <c r="X135" s="1818">
        <f>+'Fauna Acompañante'!DY198</f>
        <v>0</v>
      </c>
      <c r="Y135" s="1818">
        <f>+'Fauna Acompañante'!DZ198</f>
        <v>0</v>
      </c>
      <c r="Z135" s="1818">
        <f>+'Fauna Acompañante'!EA198</f>
        <v>0</v>
      </c>
      <c r="AA135" s="1818">
        <f>+'Fauna Acompañante'!EB198</f>
        <v>0</v>
      </c>
      <c r="AB135" s="1818">
        <f>+'Fauna Acompañante'!EC198</f>
        <v>0</v>
      </c>
      <c r="AC135" s="1818">
        <f>+'Fauna Acompañante'!ED198</f>
        <v>0</v>
      </c>
      <c r="AD135" s="1818">
        <f>+'Fauna Acompañante'!EE198</f>
        <v>0</v>
      </c>
      <c r="AE135" s="1818">
        <f>+'Fauna Acompañante'!EF198</f>
        <v>0</v>
      </c>
      <c r="AF135" s="1818">
        <f>+'Fauna Acompañante'!EG198</f>
        <v>0</v>
      </c>
      <c r="AG135" s="1818">
        <f>+'Fauna Acompañante'!EH198</f>
        <v>0</v>
      </c>
      <c r="AH135" s="1817">
        <f t="shared" si="22"/>
        <v>0</v>
      </c>
    </row>
    <row r="136" spans="1:34" ht="15">
      <c r="A136" s="1719" t="s">
        <v>75</v>
      </c>
      <c r="B136" s="1821">
        <f t="shared" si="21"/>
        <v>0</v>
      </c>
      <c r="C136" s="1818">
        <f>+'Fauna Acompañante'!DD199</f>
        <v>0</v>
      </c>
      <c r="D136" s="1818">
        <f>+'Fauna Acompañante'!DE199</f>
        <v>0</v>
      </c>
      <c r="E136" s="1818">
        <f>+'Fauna Acompañante'!DF199</f>
        <v>0</v>
      </c>
      <c r="F136" s="1818">
        <f>+'Fauna Acompañante'!DG199</f>
        <v>0</v>
      </c>
      <c r="G136" s="1818">
        <f>+'Fauna Acompañante'!DH199</f>
        <v>0</v>
      </c>
      <c r="H136" s="1818">
        <f>+'Fauna Acompañante'!DI199</f>
        <v>0</v>
      </c>
      <c r="I136" s="1818">
        <f>+'Fauna Acompañante'!DJ199</f>
        <v>0</v>
      </c>
      <c r="J136" s="1818">
        <f>+'Fauna Acompañante'!DK199</f>
        <v>0</v>
      </c>
      <c r="K136" s="1818">
        <f>+'Fauna Acompañante'!DL199</f>
        <v>0</v>
      </c>
      <c r="L136" s="1818">
        <f>+'Fauna Acompañante'!DM199</f>
        <v>0</v>
      </c>
      <c r="M136" s="1818">
        <f>+'Fauna Acompañante'!DN199</f>
        <v>0</v>
      </c>
      <c r="N136" s="1818">
        <f>+'Fauna Acompañante'!DO199</f>
        <v>0</v>
      </c>
      <c r="O136" s="1818">
        <f>+'Fauna Acompañante'!DP199</f>
        <v>0</v>
      </c>
      <c r="P136" s="1818">
        <f>+'Fauna Acompañante'!DQ199</f>
        <v>0</v>
      </c>
      <c r="Q136" s="1818">
        <f>+'Fauna Acompañante'!DR199</f>
        <v>0</v>
      </c>
      <c r="R136" s="1818">
        <f>+'Fauna Acompañante'!DS199</f>
        <v>0</v>
      </c>
      <c r="S136" s="1818">
        <f>+'Fauna Acompañante'!DT199</f>
        <v>0</v>
      </c>
      <c r="T136" s="1818">
        <f>+'Fauna Acompañante'!DU199</f>
        <v>0</v>
      </c>
      <c r="U136" s="1818">
        <f>+'Fauna Acompañante'!DV199</f>
        <v>0</v>
      </c>
      <c r="V136" s="1818">
        <f>+'Fauna Acompañante'!DW199</f>
        <v>0</v>
      </c>
      <c r="W136" s="1818">
        <f>+'Fauna Acompañante'!DX199</f>
        <v>0</v>
      </c>
      <c r="X136" s="1818">
        <f>+'Fauna Acompañante'!DY199</f>
        <v>0</v>
      </c>
      <c r="Y136" s="1818">
        <f>+'Fauna Acompañante'!DZ199</f>
        <v>0</v>
      </c>
      <c r="Z136" s="1818">
        <f>+'Fauna Acompañante'!EA199</f>
        <v>0</v>
      </c>
      <c r="AA136" s="1818">
        <f>+'Fauna Acompañante'!EB199</f>
        <v>0</v>
      </c>
      <c r="AB136" s="1818">
        <f>+'Fauna Acompañante'!EC199</f>
        <v>0</v>
      </c>
      <c r="AC136" s="1818">
        <f>+'Fauna Acompañante'!ED199</f>
        <v>0</v>
      </c>
      <c r="AD136" s="1818">
        <f>+'Fauna Acompañante'!EE199</f>
        <v>0</v>
      </c>
      <c r="AE136" s="1818">
        <f>+'Fauna Acompañante'!EF199</f>
        <v>0</v>
      </c>
      <c r="AF136" s="1818">
        <f>+'Fauna Acompañante'!EG199</f>
        <v>0</v>
      </c>
      <c r="AG136" s="1818">
        <f>+'Fauna Acompañante'!EH199</f>
        <v>0</v>
      </c>
      <c r="AH136" s="1817">
        <f t="shared" si="22"/>
        <v>0</v>
      </c>
    </row>
    <row r="137" spans="1:34" ht="15">
      <c r="A137" s="1719" t="s">
        <v>76</v>
      </c>
      <c r="B137" s="1821">
        <f t="shared" si="21"/>
        <v>0</v>
      </c>
      <c r="C137" s="1818">
        <f>+'Fauna Acompañante'!DD200</f>
        <v>0</v>
      </c>
      <c r="D137" s="1818">
        <f>+'Fauna Acompañante'!DE200</f>
        <v>0</v>
      </c>
      <c r="E137" s="1818">
        <f>+'Fauna Acompañante'!DF200</f>
        <v>0</v>
      </c>
      <c r="F137" s="1818">
        <f>+'Fauna Acompañante'!DG200</f>
        <v>0</v>
      </c>
      <c r="G137" s="1818">
        <f>+'Fauna Acompañante'!DH200</f>
        <v>0</v>
      </c>
      <c r="H137" s="1818">
        <f>+'Fauna Acompañante'!DI200</f>
        <v>0</v>
      </c>
      <c r="I137" s="1818">
        <f>+'Fauna Acompañante'!DJ200</f>
        <v>0</v>
      </c>
      <c r="J137" s="1818">
        <f>+'Fauna Acompañante'!DK200</f>
        <v>0</v>
      </c>
      <c r="K137" s="1818">
        <f>+'Fauna Acompañante'!DL200</f>
        <v>0</v>
      </c>
      <c r="L137" s="1818">
        <f>+'Fauna Acompañante'!DM200</f>
        <v>0</v>
      </c>
      <c r="M137" s="1818">
        <f>+'Fauna Acompañante'!DN200</f>
        <v>0</v>
      </c>
      <c r="N137" s="1818">
        <f>+'Fauna Acompañante'!DO200</f>
        <v>0</v>
      </c>
      <c r="O137" s="1818">
        <f>+'Fauna Acompañante'!DP200</f>
        <v>0</v>
      </c>
      <c r="P137" s="1818">
        <f>+'Fauna Acompañante'!DQ200</f>
        <v>0</v>
      </c>
      <c r="Q137" s="1818">
        <f>+'Fauna Acompañante'!DR200</f>
        <v>0</v>
      </c>
      <c r="R137" s="1818">
        <f>+'Fauna Acompañante'!DS200</f>
        <v>0</v>
      </c>
      <c r="S137" s="1818">
        <f>+'Fauna Acompañante'!DT200</f>
        <v>0</v>
      </c>
      <c r="T137" s="1818">
        <f>+'Fauna Acompañante'!DU200</f>
        <v>0</v>
      </c>
      <c r="U137" s="1818">
        <f>+'Fauna Acompañante'!DV200</f>
        <v>0</v>
      </c>
      <c r="V137" s="1818">
        <f>+'Fauna Acompañante'!DW200</f>
        <v>0</v>
      </c>
      <c r="W137" s="1818">
        <f>+'Fauna Acompañante'!DX200</f>
        <v>0</v>
      </c>
      <c r="X137" s="1818">
        <f>+'Fauna Acompañante'!DY200</f>
        <v>0</v>
      </c>
      <c r="Y137" s="1818">
        <f>+'Fauna Acompañante'!DZ200</f>
        <v>0</v>
      </c>
      <c r="Z137" s="1818">
        <f>+'Fauna Acompañante'!EA200</f>
        <v>0</v>
      </c>
      <c r="AA137" s="1818">
        <f>+'Fauna Acompañante'!EB200</f>
        <v>0</v>
      </c>
      <c r="AB137" s="1818">
        <f>+'Fauna Acompañante'!EC200</f>
        <v>0</v>
      </c>
      <c r="AC137" s="1818">
        <f>+'Fauna Acompañante'!ED200</f>
        <v>0</v>
      </c>
      <c r="AD137" s="1818">
        <f>+'Fauna Acompañante'!EE200</f>
        <v>0</v>
      </c>
      <c r="AE137" s="1818">
        <f>+'Fauna Acompañante'!EF200</f>
        <v>0</v>
      </c>
      <c r="AF137" s="1818">
        <f>+'Fauna Acompañante'!EG200</f>
        <v>0</v>
      </c>
      <c r="AG137" s="1818">
        <f>+'Fauna Acompañante'!EH200</f>
        <v>0</v>
      </c>
      <c r="AH137" s="1817">
        <f t="shared" si="22"/>
        <v>0</v>
      </c>
    </row>
    <row r="138" spans="1:34" ht="15">
      <c r="A138" s="1719" t="s">
        <v>77</v>
      </c>
      <c r="B138" s="1821">
        <f t="shared" si="21"/>
        <v>0</v>
      </c>
      <c r="C138" s="1818">
        <f>+'Fauna Acompañante'!DD201</f>
        <v>0</v>
      </c>
      <c r="D138" s="1818">
        <f>+'Fauna Acompañante'!DE201</f>
        <v>0</v>
      </c>
      <c r="E138" s="1818">
        <f>+'Fauna Acompañante'!DF201</f>
        <v>0</v>
      </c>
      <c r="F138" s="1818">
        <f>+'Fauna Acompañante'!DG201</f>
        <v>0</v>
      </c>
      <c r="G138" s="1818">
        <f>+'Fauna Acompañante'!DH201</f>
        <v>0</v>
      </c>
      <c r="H138" s="1818">
        <f>+'Fauna Acompañante'!DI201</f>
        <v>0</v>
      </c>
      <c r="I138" s="1818">
        <f>+'Fauna Acompañante'!DJ201</f>
        <v>0</v>
      </c>
      <c r="J138" s="1818">
        <f>+'Fauna Acompañante'!DK201</f>
        <v>0</v>
      </c>
      <c r="K138" s="1818">
        <f>+'Fauna Acompañante'!DL201</f>
        <v>0</v>
      </c>
      <c r="L138" s="1818">
        <f>+'Fauna Acompañante'!DM201</f>
        <v>0</v>
      </c>
      <c r="M138" s="1818">
        <f>+'Fauna Acompañante'!DN201</f>
        <v>0</v>
      </c>
      <c r="N138" s="1818">
        <f>+'Fauna Acompañante'!DO201</f>
        <v>0</v>
      </c>
      <c r="O138" s="1818">
        <f>+'Fauna Acompañante'!DP201</f>
        <v>0</v>
      </c>
      <c r="P138" s="1818">
        <f>+'Fauna Acompañante'!DQ201</f>
        <v>0</v>
      </c>
      <c r="Q138" s="1818">
        <f>+'Fauna Acompañante'!DR201</f>
        <v>0</v>
      </c>
      <c r="R138" s="1818">
        <f>+'Fauna Acompañante'!DS201</f>
        <v>0</v>
      </c>
      <c r="S138" s="1818">
        <f>+'Fauna Acompañante'!DT201</f>
        <v>0</v>
      </c>
      <c r="T138" s="1818">
        <f>+'Fauna Acompañante'!DU201</f>
        <v>0</v>
      </c>
      <c r="U138" s="1818">
        <f>+'Fauna Acompañante'!DV201</f>
        <v>0</v>
      </c>
      <c r="V138" s="1818">
        <f>+'Fauna Acompañante'!DW201</f>
        <v>0</v>
      </c>
      <c r="W138" s="1818">
        <f>+'Fauna Acompañante'!DX201</f>
        <v>0</v>
      </c>
      <c r="X138" s="1818">
        <f>+'Fauna Acompañante'!DY201</f>
        <v>0</v>
      </c>
      <c r="Y138" s="1818">
        <f>+'Fauna Acompañante'!DZ201</f>
        <v>0</v>
      </c>
      <c r="Z138" s="1818">
        <f>+'Fauna Acompañante'!EA201</f>
        <v>0</v>
      </c>
      <c r="AA138" s="1818">
        <f>+'Fauna Acompañante'!EB201</f>
        <v>0</v>
      </c>
      <c r="AB138" s="1818">
        <f>+'Fauna Acompañante'!EC201</f>
        <v>0</v>
      </c>
      <c r="AC138" s="1818">
        <f>+'Fauna Acompañante'!ED201</f>
        <v>0</v>
      </c>
      <c r="AD138" s="1818">
        <f>+'Fauna Acompañante'!EE201</f>
        <v>0</v>
      </c>
      <c r="AE138" s="1818">
        <f>+'Fauna Acompañante'!EF201</f>
        <v>0</v>
      </c>
      <c r="AF138" s="1818">
        <f>+'Fauna Acompañante'!EG201</f>
        <v>0</v>
      </c>
      <c r="AG138" s="1818">
        <f>+'Fauna Acompañante'!EH201</f>
        <v>0</v>
      </c>
      <c r="AH138" s="1817">
        <f t="shared" si="22"/>
        <v>0</v>
      </c>
    </row>
    <row r="139" spans="1:34" ht="15">
      <c r="A139" s="1719" t="s">
        <v>78</v>
      </c>
      <c r="B139" s="1821">
        <f t="shared" si="21"/>
        <v>0</v>
      </c>
      <c r="C139" s="1818">
        <f>+'Fauna Acompañante'!DD202</f>
        <v>0</v>
      </c>
      <c r="D139" s="1818">
        <f>+'Fauna Acompañante'!DE202</f>
        <v>0</v>
      </c>
      <c r="E139" s="1818">
        <f>+'Fauna Acompañante'!DF202</f>
        <v>0</v>
      </c>
      <c r="F139" s="1818">
        <f>+'Fauna Acompañante'!DG202</f>
        <v>0</v>
      </c>
      <c r="G139" s="1818">
        <f>+'Fauna Acompañante'!DH202</f>
        <v>0</v>
      </c>
      <c r="H139" s="1818">
        <f>+'Fauna Acompañante'!DI202</f>
        <v>0</v>
      </c>
      <c r="I139" s="1818">
        <f>+'Fauna Acompañante'!DJ202</f>
        <v>0</v>
      </c>
      <c r="J139" s="1818">
        <f>+'Fauna Acompañante'!DK202</f>
        <v>0</v>
      </c>
      <c r="K139" s="1818">
        <f>+'Fauna Acompañante'!DL202</f>
        <v>0</v>
      </c>
      <c r="L139" s="1818">
        <f>+'Fauna Acompañante'!DM202</f>
        <v>0</v>
      </c>
      <c r="M139" s="1818">
        <f>+'Fauna Acompañante'!DN202</f>
        <v>0</v>
      </c>
      <c r="N139" s="1818">
        <f>+'Fauna Acompañante'!DO202</f>
        <v>0</v>
      </c>
      <c r="O139" s="1818">
        <f>+'Fauna Acompañante'!DP202</f>
        <v>0</v>
      </c>
      <c r="P139" s="1818">
        <f>+'Fauna Acompañante'!DQ202</f>
        <v>0</v>
      </c>
      <c r="Q139" s="1818">
        <f>+'Fauna Acompañante'!DR202</f>
        <v>0</v>
      </c>
      <c r="R139" s="1818">
        <f>+'Fauna Acompañante'!DS202</f>
        <v>0</v>
      </c>
      <c r="S139" s="1818">
        <f>+'Fauna Acompañante'!DT202</f>
        <v>0</v>
      </c>
      <c r="T139" s="1818">
        <f>+'Fauna Acompañante'!DU202</f>
        <v>0</v>
      </c>
      <c r="U139" s="1818">
        <f>+'Fauna Acompañante'!DV202</f>
        <v>0</v>
      </c>
      <c r="V139" s="1818">
        <f>+'Fauna Acompañante'!DW202</f>
        <v>0</v>
      </c>
      <c r="W139" s="1818">
        <f>+'Fauna Acompañante'!DX202</f>
        <v>0</v>
      </c>
      <c r="X139" s="1818">
        <f>+'Fauna Acompañante'!DY202</f>
        <v>0</v>
      </c>
      <c r="Y139" s="1818">
        <f>+'Fauna Acompañante'!DZ202</f>
        <v>0</v>
      </c>
      <c r="Z139" s="1818">
        <f>+'Fauna Acompañante'!EA202</f>
        <v>0</v>
      </c>
      <c r="AA139" s="1818">
        <f>+'Fauna Acompañante'!EB202</f>
        <v>0</v>
      </c>
      <c r="AB139" s="1818">
        <f>+'Fauna Acompañante'!EC202</f>
        <v>0</v>
      </c>
      <c r="AC139" s="1818">
        <f>+'Fauna Acompañante'!ED202</f>
        <v>0</v>
      </c>
      <c r="AD139" s="1818">
        <f>+'Fauna Acompañante'!EE202</f>
        <v>0</v>
      </c>
      <c r="AE139" s="1818">
        <f>+'Fauna Acompañante'!EF202</f>
        <v>0</v>
      </c>
      <c r="AF139" s="1818">
        <f>+'Fauna Acompañante'!EG202</f>
        <v>0</v>
      </c>
      <c r="AG139" s="1818">
        <f>+'Fauna Acompañante'!EH202</f>
        <v>0</v>
      </c>
      <c r="AH139" s="1817">
        <f t="shared" si="22"/>
        <v>0</v>
      </c>
    </row>
    <row r="140" spans="1:34" ht="15">
      <c r="A140" s="1719" t="s">
        <v>79</v>
      </c>
      <c r="B140" s="1821">
        <f t="shared" si="21"/>
        <v>0</v>
      </c>
      <c r="C140" s="1818">
        <f>+'Fauna Acompañante'!DD203</f>
        <v>0</v>
      </c>
      <c r="D140" s="1818">
        <f>+'Fauna Acompañante'!DE203</f>
        <v>0</v>
      </c>
      <c r="E140" s="1818">
        <f>+'Fauna Acompañante'!DF203</f>
        <v>0</v>
      </c>
      <c r="F140" s="1818">
        <f>+'Fauna Acompañante'!DG203</f>
        <v>0</v>
      </c>
      <c r="G140" s="1818">
        <f>+'Fauna Acompañante'!DH203</f>
        <v>0</v>
      </c>
      <c r="H140" s="1818">
        <f>+'Fauna Acompañante'!DI203</f>
        <v>0</v>
      </c>
      <c r="I140" s="1818">
        <f>+'Fauna Acompañante'!DJ203</f>
        <v>0</v>
      </c>
      <c r="J140" s="1818">
        <f>+'Fauna Acompañante'!DK203</f>
        <v>0</v>
      </c>
      <c r="K140" s="1818">
        <f>+'Fauna Acompañante'!DL203</f>
        <v>0</v>
      </c>
      <c r="L140" s="1818">
        <f>+'Fauna Acompañante'!DM203</f>
        <v>0</v>
      </c>
      <c r="M140" s="1818">
        <f>+'Fauna Acompañante'!DN203</f>
        <v>0</v>
      </c>
      <c r="N140" s="1818">
        <f>+'Fauna Acompañante'!DO203</f>
        <v>0</v>
      </c>
      <c r="O140" s="1818">
        <f>+'Fauna Acompañante'!DP203</f>
        <v>0</v>
      </c>
      <c r="P140" s="1818">
        <f>+'Fauna Acompañante'!DQ203</f>
        <v>0</v>
      </c>
      <c r="Q140" s="1818">
        <f>+'Fauna Acompañante'!DR203</f>
        <v>0</v>
      </c>
      <c r="R140" s="1818">
        <f>+'Fauna Acompañante'!DS203</f>
        <v>0</v>
      </c>
      <c r="S140" s="1818">
        <f>+'Fauna Acompañante'!DT203</f>
        <v>0</v>
      </c>
      <c r="T140" s="1818">
        <f>+'Fauna Acompañante'!DU203</f>
        <v>0</v>
      </c>
      <c r="U140" s="1818">
        <f>+'Fauna Acompañante'!DV203</f>
        <v>0</v>
      </c>
      <c r="V140" s="1818">
        <f>+'Fauna Acompañante'!DW203</f>
        <v>0</v>
      </c>
      <c r="W140" s="1818">
        <f>+'Fauna Acompañante'!DX203</f>
        <v>0</v>
      </c>
      <c r="X140" s="1818">
        <f>+'Fauna Acompañante'!DY203</f>
        <v>0</v>
      </c>
      <c r="Y140" s="1818">
        <f>+'Fauna Acompañante'!DZ203</f>
        <v>0</v>
      </c>
      <c r="Z140" s="1818">
        <f>+'Fauna Acompañante'!EA203</f>
        <v>0</v>
      </c>
      <c r="AA140" s="1818">
        <f>+'Fauna Acompañante'!EB203</f>
        <v>0</v>
      </c>
      <c r="AB140" s="1818">
        <f>+'Fauna Acompañante'!EC203</f>
        <v>0</v>
      </c>
      <c r="AC140" s="1818">
        <f>+'Fauna Acompañante'!ED203</f>
        <v>0</v>
      </c>
      <c r="AD140" s="1818">
        <f>+'Fauna Acompañante'!EE203</f>
        <v>0</v>
      </c>
      <c r="AE140" s="1818">
        <f>+'Fauna Acompañante'!EF203</f>
        <v>0</v>
      </c>
      <c r="AF140" s="1818">
        <f>+'Fauna Acompañante'!EG203</f>
        <v>0</v>
      </c>
      <c r="AG140" s="1818">
        <f>+'Fauna Acompañante'!EH203</f>
        <v>0</v>
      </c>
      <c r="AH140" s="1817">
        <f t="shared" si="22"/>
        <v>0</v>
      </c>
    </row>
    <row r="141" spans="1:34" ht="15">
      <c r="A141" s="1719" t="s">
        <v>80</v>
      </c>
      <c r="B141" s="1821">
        <f t="shared" si="21"/>
        <v>0</v>
      </c>
      <c r="C141" s="1818">
        <f>+'Fauna Acompañante'!DD204</f>
        <v>0</v>
      </c>
      <c r="D141" s="1818">
        <f>+'Fauna Acompañante'!DE204</f>
        <v>0</v>
      </c>
      <c r="E141" s="1818">
        <f>+'Fauna Acompañante'!DF204</f>
        <v>0</v>
      </c>
      <c r="F141" s="1818">
        <f>+'Fauna Acompañante'!DG204</f>
        <v>0</v>
      </c>
      <c r="G141" s="1818">
        <f>+'Fauna Acompañante'!DH204</f>
        <v>0</v>
      </c>
      <c r="H141" s="1818">
        <f>+'Fauna Acompañante'!DI204</f>
        <v>0</v>
      </c>
      <c r="I141" s="1818">
        <f>+'Fauna Acompañante'!DJ204</f>
        <v>0</v>
      </c>
      <c r="J141" s="1818">
        <f>+'Fauna Acompañante'!DK204</f>
        <v>0</v>
      </c>
      <c r="K141" s="1818">
        <f>+'Fauna Acompañante'!DL204</f>
        <v>0</v>
      </c>
      <c r="L141" s="1818">
        <f>+'Fauna Acompañante'!DM204</f>
        <v>0</v>
      </c>
      <c r="M141" s="1818">
        <f>+'Fauna Acompañante'!DN204</f>
        <v>0</v>
      </c>
      <c r="N141" s="1818">
        <f>+'Fauna Acompañante'!DO204</f>
        <v>0</v>
      </c>
      <c r="O141" s="1818">
        <f>+'Fauna Acompañante'!DP204</f>
        <v>0</v>
      </c>
      <c r="P141" s="1818">
        <f>+'Fauna Acompañante'!DQ204</f>
        <v>0</v>
      </c>
      <c r="Q141" s="1818">
        <f>+'Fauna Acompañante'!DR204</f>
        <v>0</v>
      </c>
      <c r="R141" s="1818">
        <f>+'Fauna Acompañante'!DS204</f>
        <v>0</v>
      </c>
      <c r="S141" s="1818">
        <f>+'Fauna Acompañante'!DT204</f>
        <v>0</v>
      </c>
      <c r="T141" s="1818">
        <f>+'Fauna Acompañante'!DU204</f>
        <v>0</v>
      </c>
      <c r="U141" s="1818">
        <f>+'Fauna Acompañante'!DV204</f>
        <v>0</v>
      </c>
      <c r="V141" s="1818">
        <f>+'Fauna Acompañante'!DW204</f>
        <v>0</v>
      </c>
      <c r="W141" s="1818">
        <f>+'Fauna Acompañante'!DX204</f>
        <v>0</v>
      </c>
      <c r="X141" s="1818">
        <f>+'Fauna Acompañante'!DY204</f>
        <v>0</v>
      </c>
      <c r="Y141" s="1818">
        <f>+'Fauna Acompañante'!DZ204</f>
        <v>0</v>
      </c>
      <c r="Z141" s="1818">
        <f>+'Fauna Acompañante'!EA204</f>
        <v>0</v>
      </c>
      <c r="AA141" s="1818">
        <f>+'Fauna Acompañante'!EB204</f>
        <v>0</v>
      </c>
      <c r="AB141" s="1818">
        <f>+'Fauna Acompañante'!EC204</f>
        <v>0</v>
      </c>
      <c r="AC141" s="1818">
        <f>+'Fauna Acompañante'!ED204</f>
        <v>0</v>
      </c>
      <c r="AD141" s="1818">
        <f>+'Fauna Acompañante'!EE204</f>
        <v>0</v>
      </c>
      <c r="AE141" s="1818">
        <f>+'Fauna Acompañante'!EF204</f>
        <v>0</v>
      </c>
      <c r="AF141" s="1818">
        <f>+'Fauna Acompañante'!EG204</f>
        <v>0</v>
      </c>
      <c r="AG141" s="1818">
        <f>+'Fauna Acompañante'!EH204</f>
        <v>0</v>
      </c>
      <c r="AH141" s="1817">
        <f t="shared" si="22"/>
        <v>0</v>
      </c>
    </row>
    <row r="142" spans="1:34" ht="15">
      <c r="A142" s="1719" t="s">
        <v>81</v>
      </c>
      <c r="B142" s="1821">
        <f t="shared" si="21"/>
        <v>0</v>
      </c>
      <c r="C142" s="1818">
        <f>+'Fauna Acompañante'!DD205</f>
        <v>0</v>
      </c>
      <c r="D142" s="1818">
        <f>+'Fauna Acompañante'!DE205</f>
        <v>0</v>
      </c>
      <c r="E142" s="1818">
        <f>+'Fauna Acompañante'!DF205</f>
        <v>0</v>
      </c>
      <c r="F142" s="1818">
        <f>+'Fauna Acompañante'!DG205</f>
        <v>0</v>
      </c>
      <c r="G142" s="1818">
        <f>+'Fauna Acompañante'!DH205</f>
        <v>0</v>
      </c>
      <c r="H142" s="1818">
        <f>+'Fauna Acompañante'!DI205</f>
        <v>0</v>
      </c>
      <c r="I142" s="1818">
        <f>+'Fauna Acompañante'!DJ205</f>
        <v>0</v>
      </c>
      <c r="J142" s="1818">
        <f>+'Fauna Acompañante'!DK205</f>
        <v>0</v>
      </c>
      <c r="K142" s="1818">
        <f>+'Fauna Acompañante'!DL205</f>
        <v>0</v>
      </c>
      <c r="L142" s="1818">
        <f>+'Fauna Acompañante'!DM205</f>
        <v>0</v>
      </c>
      <c r="M142" s="1818">
        <f>+'Fauna Acompañante'!DN205</f>
        <v>0</v>
      </c>
      <c r="N142" s="1818">
        <f>+'Fauna Acompañante'!DO205</f>
        <v>0</v>
      </c>
      <c r="O142" s="1818">
        <f>+'Fauna Acompañante'!DP205</f>
        <v>0</v>
      </c>
      <c r="P142" s="1818">
        <f>+'Fauna Acompañante'!DQ205</f>
        <v>0</v>
      </c>
      <c r="Q142" s="1818">
        <f>+'Fauna Acompañante'!DR205</f>
        <v>0</v>
      </c>
      <c r="R142" s="1818">
        <f>+'Fauna Acompañante'!DS205</f>
        <v>0</v>
      </c>
      <c r="S142" s="1818">
        <f>+'Fauna Acompañante'!DT205</f>
        <v>0</v>
      </c>
      <c r="T142" s="1818">
        <f>+'Fauna Acompañante'!DU205</f>
        <v>0</v>
      </c>
      <c r="U142" s="1818">
        <f>+'Fauna Acompañante'!DV205</f>
        <v>0</v>
      </c>
      <c r="V142" s="1818">
        <f>+'Fauna Acompañante'!DW205</f>
        <v>0</v>
      </c>
      <c r="W142" s="1818">
        <f>+'Fauna Acompañante'!DX205</f>
        <v>0</v>
      </c>
      <c r="X142" s="1818">
        <f>+'Fauna Acompañante'!DY205</f>
        <v>0</v>
      </c>
      <c r="Y142" s="1818">
        <f>+'Fauna Acompañante'!DZ205</f>
        <v>0</v>
      </c>
      <c r="Z142" s="1818">
        <f>+'Fauna Acompañante'!EA205</f>
        <v>0</v>
      </c>
      <c r="AA142" s="1818">
        <f>+'Fauna Acompañante'!EB205</f>
        <v>0</v>
      </c>
      <c r="AB142" s="1818">
        <f>+'Fauna Acompañante'!EC205</f>
        <v>0</v>
      </c>
      <c r="AC142" s="1818">
        <f>+'Fauna Acompañante'!ED205</f>
        <v>0</v>
      </c>
      <c r="AD142" s="1818">
        <f>+'Fauna Acompañante'!EE205</f>
        <v>0</v>
      </c>
      <c r="AE142" s="1818">
        <f>+'Fauna Acompañante'!EF205</f>
        <v>0</v>
      </c>
      <c r="AF142" s="1818">
        <f>+'Fauna Acompañante'!EG205</f>
        <v>0</v>
      </c>
      <c r="AG142" s="1818">
        <f>+'Fauna Acompañante'!EH205</f>
        <v>0</v>
      </c>
      <c r="AH142" s="1817">
        <f t="shared" si="22"/>
        <v>0</v>
      </c>
    </row>
    <row r="143" spans="1:34" ht="15">
      <c r="A143" s="1719" t="s">
        <v>82</v>
      </c>
      <c r="B143" s="1821">
        <f t="shared" si="21"/>
        <v>0</v>
      </c>
      <c r="C143" s="1818">
        <f>+'Fauna Acompañante'!DD206</f>
        <v>0</v>
      </c>
      <c r="D143" s="1818">
        <f>+'Fauna Acompañante'!DE206</f>
        <v>0</v>
      </c>
      <c r="E143" s="1818">
        <f>+'Fauna Acompañante'!DF206</f>
        <v>0</v>
      </c>
      <c r="F143" s="1818">
        <f>+'Fauna Acompañante'!DG206</f>
        <v>0</v>
      </c>
      <c r="G143" s="1818">
        <f>+'Fauna Acompañante'!DH206</f>
        <v>0</v>
      </c>
      <c r="H143" s="1818">
        <f>+'Fauna Acompañante'!DI206</f>
        <v>0</v>
      </c>
      <c r="I143" s="1818">
        <f>+'Fauna Acompañante'!DJ206</f>
        <v>0</v>
      </c>
      <c r="J143" s="1818">
        <f>+'Fauna Acompañante'!DK206</f>
        <v>0</v>
      </c>
      <c r="K143" s="1818">
        <f>+'Fauna Acompañante'!DL206</f>
        <v>0</v>
      </c>
      <c r="L143" s="1818">
        <f>+'Fauna Acompañante'!DM206</f>
        <v>0</v>
      </c>
      <c r="M143" s="1818">
        <f>+'Fauna Acompañante'!DN206</f>
        <v>0</v>
      </c>
      <c r="N143" s="1818">
        <f>+'Fauna Acompañante'!DO206</f>
        <v>0</v>
      </c>
      <c r="O143" s="1818">
        <f>+'Fauna Acompañante'!DP206</f>
        <v>0</v>
      </c>
      <c r="P143" s="1818">
        <f>+'Fauna Acompañante'!DQ206</f>
        <v>0</v>
      </c>
      <c r="Q143" s="1818">
        <f>+'Fauna Acompañante'!DR206</f>
        <v>0</v>
      </c>
      <c r="R143" s="1818">
        <f>+'Fauna Acompañante'!DS206</f>
        <v>0</v>
      </c>
      <c r="S143" s="1818">
        <f>+'Fauna Acompañante'!DT206</f>
        <v>0</v>
      </c>
      <c r="T143" s="1818">
        <f>+'Fauna Acompañante'!DU206</f>
        <v>0</v>
      </c>
      <c r="U143" s="1818">
        <f>+'Fauna Acompañante'!DV206</f>
        <v>0</v>
      </c>
      <c r="V143" s="1818">
        <f>+'Fauna Acompañante'!DW206</f>
        <v>0</v>
      </c>
      <c r="W143" s="1818">
        <f>+'Fauna Acompañante'!DX206</f>
        <v>0</v>
      </c>
      <c r="X143" s="1818">
        <f>+'Fauna Acompañante'!DY206</f>
        <v>0</v>
      </c>
      <c r="Y143" s="1818">
        <f>+'Fauna Acompañante'!DZ206</f>
        <v>0</v>
      </c>
      <c r="Z143" s="1818">
        <f>+'Fauna Acompañante'!EA206</f>
        <v>0</v>
      </c>
      <c r="AA143" s="1818">
        <f>+'Fauna Acompañante'!EB206</f>
        <v>0</v>
      </c>
      <c r="AB143" s="1818">
        <f>+'Fauna Acompañante'!EC206</f>
        <v>0</v>
      </c>
      <c r="AC143" s="1818">
        <f>+'Fauna Acompañante'!ED206</f>
        <v>0</v>
      </c>
      <c r="AD143" s="1818">
        <f>+'Fauna Acompañante'!EE206</f>
        <v>0</v>
      </c>
      <c r="AE143" s="1818">
        <f>+'Fauna Acompañante'!EF206</f>
        <v>0</v>
      </c>
      <c r="AF143" s="1818">
        <f>+'Fauna Acompañante'!EG206</f>
        <v>0</v>
      </c>
      <c r="AG143" s="1818">
        <f>+'Fauna Acompañante'!EH206</f>
        <v>0</v>
      </c>
      <c r="AH143" s="1817">
        <f t="shared" si="22"/>
        <v>0</v>
      </c>
    </row>
    <row r="144" spans="1:34" ht="15">
      <c r="A144" s="1719" t="s">
        <v>83</v>
      </c>
      <c r="B144" s="1821">
        <f t="shared" si="21"/>
        <v>0</v>
      </c>
      <c r="C144" s="1818">
        <f>+'Fauna Acompañante'!DD207</f>
        <v>0</v>
      </c>
      <c r="D144" s="1818">
        <f>+'Fauna Acompañante'!DE207</f>
        <v>0</v>
      </c>
      <c r="E144" s="1818">
        <f>+'Fauna Acompañante'!DF207</f>
        <v>0</v>
      </c>
      <c r="F144" s="1818">
        <f>+'Fauna Acompañante'!DG207</f>
        <v>0</v>
      </c>
      <c r="G144" s="1818">
        <f>+'Fauna Acompañante'!DH207</f>
        <v>0</v>
      </c>
      <c r="H144" s="1818">
        <f>+'Fauna Acompañante'!DI207</f>
        <v>0</v>
      </c>
      <c r="I144" s="1818">
        <f>+'Fauna Acompañante'!DJ207</f>
        <v>0</v>
      </c>
      <c r="J144" s="1818">
        <f>+'Fauna Acompañante'!DK207</f>
        <v>0</v>
      </c>
      <c r="K144" s="1818">
        <f>+'Fauna Acompañante'!DL207</f>
        <v>0</v>
      </c>
      <c r="L144" s="1818">
        <f>+'Fauna Acompañante'!DM207</f>
        <v>0</v>
      </c>
      <c r="M144" s="1818">
        <f>+'Fauna Acompañante'!DN207</f>
        <v>0</v>
      </c>
      <c r="N144" s="1818">
        <f>+'Fauna Acompañante'!DO207</f>
        <v>0</v>
      </c>
      <c r="O144" s="1818">
        <f>+'Fauna Acompañante'!DP207</f>
        <v>0</v>
      </c>
      <c r="P144" s="1818">
        <f>+'Fauna Acompañante'!DQ207</f>
        <v>0</v>
      </c>
      <c r="Q144" s="1818">
        <f>+'Fauna Acompañante'!DR207</f>
        <v>0</v>
      </c>
      <c r="R144" s="1818">
        <f>+'Fauna Acompañante'!DS207</f>
        <v>0</v>
      </c>
      <c r="S144" s="1818">
        <f>+'Fauna Acompañante'!DT207</f>
        <v>0</v>
      </c>
      <c r="T144" s="1818">
        <f>+'Fauna Acompañante'!DU207</f>
        <v>0</v>
      </c>
      <c r="U144" s="1818">
        <f>+'Fauna Acompañante'!DV207</f>
        <v>0</v>
      </c>
      <c r="V144" s="1818">
        <f>+'Fauna Acompañante'!DW207</f>
        <v>0</v>
      </c>
      <c r="W144" s="1818">
        <f>+'Fauna Acompañante'!DX207</f>
        <v>0</v>
      </c>
      <c r="X144" s="1818">
        <f>+'Fauna Acompañante'!DY207</f>
        <v>0</v>
      </c>
      <c r="Y144" s="1818">
        <f>+'Fauna Acompañante'!DZ207</f>
        <v>0</v>
      </c>
      <c r="Z144" s="1818">
        <f>+'Fauna Acompañante'!EA207</f>
        <v>0</v>
      </c>
      <c r="AA144" s="1818">
        <f>+'Fauna Acompañante'!EB207</f>
        <v>0</v>
      </c>
      <c r="AB144" s="1818">
        <f>+'Fauna Acompañante'!EC207</f>
        <v>0</v>
      </c>
      <c r="AC144" s="1818">
        <f>+'Fauna Acompañante'!ED207</f>
        <v>0</v>
      </c>
      <c r="AD144" s="1818">
        <f>+'Fauna Acompañante'!EE207</f>
        <v>0</v>
      </c>
      <c r="AE144" s="1818">
        <f>+'Fauna Acompañante'!EF207</f>
        <v>0</v>
      </c>
      <c r="AF144" s="1818">
        <f>+'Fauna Acompañante'!EG207</f>
        <v>0</v>
      </c>
      <c r="AG144" s="1818">
        <f>+'Fauna Acompañante'!EH207</f>
        <v>0</v>
      </c>
      <c r="AH144" s="1817">
        <f t="shared" si="22"/>
        <v>0</v>
      </c>
    </row>
    <row r="145" spans="1:34" ht="15">
      <c r="A145" s="1719" t="s">
        <v>84</v>
      </c>
      <c r="B145" s="1821">
        <f t="shared" si="21"/>
        <v>0</v>
      </c>
      <c r="C145" s="1818">
        <f>+'Fauna Acompañante'!DD208</f>
        <v>0</v>
      </c>
      <c r="D145" s="1818">
        <f>+'Fauna Acompañante'!DE208</f>
        <v>0</v>
      </c>
      <c r="E145" s="1818">
        <f>+'Fauna Acompañante'!DF208</f>
        <v>0</v>
      </c>
      <c r="F145" s="1818">
        <f>+'Fauna Acompañante'!DG208</f>
        <v>0</v>
      </c>
      <c r="G145" s="1818">
        <f>+'Fauna Acompañante'!DH208</f>
        <v>0</v>
      </c>
      <c r="H145" s="1818">
        <f>+'Fauna Acompañante'!DI208</f>
        <v>0</v>
      </c>
      <c r="I145" s="1818">
        <f>+'Fauna Acompañante'!DJ208</f>
        <v>0</v>
      </c>
      <c r="J145" s="1818">
        <f>+'Fauna Acompañante'!DK208</f>
        <v>0</v>
      </c>
      <c r="K145" s="1818">
        <f>+'Fauna Acompañante'!DL208</f>
        <v>0</v>
      </c>
      <c r="L145" s="1818">
        <f>+'Fauna Acompañante'!DM208</f>
        <v>0</v>
      </c>
      <c r="M145" s="1818">
        <f>+'Fauna Acompañante'!DN208</f>
        <v>0</v>
      </c>
      <c r="N145" s="1818">
        <f>+'Fauna Acompañante'!DO208</f>
        <v>0</v>
      </c>
      <c r="O145" s="1818">
        <f>+'Fauna Acompañante'!DP208</f>
        <v>0</v>
      </c>
      <c r="P145" s="1818">
        <f>+'Fauna Acompañante'!DQ208</f>
        <v>0</v>
      </c>
      <c r="Q145" s="1818">
        <f>+'Fauna Acompañante'!DR208</f>
        <v>0</v>
      </c>
      <c r="R145" s="1818">
        <f>+'Fauna Acompañante'!DS208</f>
        <v>0</v>
      </c>
      <c r="S145" s="1818">
        <f>+'Fauna Acompañante'!DT208</f>
        <v>0</v>
      </c>
      <c r="T145" s="1818">
        <f>+'Fauna Acompañante'!DU208</f>
        <v>0</v>
      </c>
      <c r="U145" s="1818">
        <f>+'Fauna Acompañante'!DV208</f>
        <v>0</v>
      </c>
      <c r="V145" s="1818">
        <f>+'Fauna Acompañante'!DW208</f>
        <v>0</v>
      </c>
      <c r="W145" s="1818">
        <f>+'Fauna Acompañante'!DX208</f>
        <v>0</v>
      </c>
      <c r="X145" s="1818">
        <f>+'Fauna Acompañante'!DY208</f>
        <v>0</v>
      </c>
      <c r="Y145" s="1818">
        <f>+'Fauna Acompañante'!DZ208</f>
        <v>0</v>
      </c>
      <c r="Z145" s="1818">
        <f>+'Fauna Acompañante'!EA208</f>
        <v>0</v>
      </c>
      <c r="AA145" s="1818">
        <f>+'Fauna Acompañante'!EB208</f>
        <v>0</v>
      </c>
      <c r="AB145" s="1818">
        <f>+'Fauna Acompañante'!EC208</f>
        <v>0</v>
      </c>
      <c r="AC145" s="1818">
        <f>+'Fauna Acompañante'!ED208</f>
        <v>0</v>
      </c>
      <c r="AD145" s="1818">
        <f>+'Fauna Acompañante'!EE208</f>
        <v>0</v>
      </c>
      <c r="AE145" s="1818">
        <f>+'Fauna Acompañante'!EF208</f>
        <v>0</v>
      </c>
      <c r="AF145" s="1818">
        <f>+'Fauna Acompañante'!EG208</f>
        <v>0</v>
      </c>
      <c r="AG145" s="1818">
        <f>+'Fauna Acompañante'!EH208</f>
        <v>0</v>
      </c>
      <c r="AH145" s="1817">
        <f t="shared" si="22"/>
        <v>0</v>
      </c>
    </row>
    <row r="146" spans="1:34" ht="15">
      <c r="A146" s="1820" t="s">
        <v>72</v>
      </c>
      <c r="B146" s="1819">
        <f t="shared" ref="B146:AH146" si="23">SUM(B134:B145)</f>
        <v>0</v>
      </c>
      <c r="C146" s="1818">
        <f t="shared" si="23"/>
        <v>0</v>
      </c>
      <c r="D146" s="1818">
        <f t="shared" si="23"/>
        <v>0</v>
      </c>
      <c r="E146" s="1818">
        <f t="shared" si="23"/>
        <v>0</v>
      </c>
      <c r="F146" s="1818">
        <f t="shared" si="23"/>
        <v>0</v>
      </c>
      <c r="G146" s="1818">
        <f t="shared" si="23"/>
        <v>0</v>
      </c>
      <c r="H146" s="1818">
        <f t="shared" si="23"/>
        <v>0</v>
      </c>
      <c r="I146" s="1818">
        <f t="shared" si="23"/>
        <v>0</v>
      </c>
      <c r="J146" s="1818">
        <f t="shared" si="23"/>
        <v>0</v>
      </c>
      <c r="K146" s="1818">
        <f t="shared" si="23"/>
        <v>0</v>
      </c>
      <c r="L146" s="1818">
        <f t="shared" si="23"/>
        <v>0</v>
      </c>
      <c r="M146" s="1818">
        <f t="shared" si="23"/>
        <v>0</v>
      </c>
      <c r="N146" s="1818">
        <f t="shared" si="23"/>
        <v>0</v>
      </c>
      <c r="O146" s="1818">
        <f t="shared" si="23"/>
        <v>0</v>
      </c>
      <c r="P146" s="1818">
        <f t="shared" si="23"/>
        <v>0</v>
      </c>
      <c r="Q146" s="1818">
        <f t="shared" si="23"/>
        <v>0</v>
      </c>
      <c r="R146" s="1818">
        <f t="shared" si="23"/>
        <v>0</v>
      </c>
      <c r="S146" s="1818">
        <f t="shared" si="23"/>
        <v>0</v>
      </c>
      <c r="T146" s="1818">
        <f t="shared" si="23"/>
        <v>0</v>
      </c>
      <c r="U146" s="1818">
        <f t="shared" si="23"/>
        <v>0</v>
      </c>
      <c r="V146" s="1818">
        <f t="shared" si="23"/>
        <v>0</v>
      </c>
      <c r="W146" s="1818">
        <f t="shared" si="23"/>
        <v>0</v>
      </c>
      <c r="X146" s="1818">
        <f t="shared" si="23"/>
        <v>0</v>
      </c>
      <c r="Y146" s="1818">
        <f t="shared" si="23"/>
        <v>0</v>
      </c>
      <c r="Z146" s="1818">
        <f t="shared" si="23"/>
        <v>0</v>
      </c>
      <c r="AA146" s="1818">
        <f t="shared" si="23"/>
        <v>0</v>
      </c>
      <c r="AB146" s="1818">
        <f t="shared" si="23"/>
        <v>0</v>
      </c>
      <c r="AC146" s="1818">
        <f t="shared" si="23"/>
        <v>0</v>
      </c>
      <c r="AD146" s="1818">
        <f t="shared" si="23"/>
        <v>0</v>
      </c>
      <c r="AE146" s="1818">
        <f t="shared" si="23"/>
        <v>0</v>
      </c>
      <c r="AF146" s="1818">
        <f t="shared" si="23"/>
        <v>0</v>
      </c>
      <c r="AG146" s="1818">
        <f t="shared" si="23"/>
        <v>0</v>
      </c>
      <c r="AH146" s="1817">
        <f t="shared" si="23"/>
        <v>0</v>
      </c>
    </row>
    <row r="148" spans="1:34" ht="15">
      <c r="A148" s="4038" t="s">
        <v>750</v>
      </c>
      <c r="B148" s="4039"/>
      <c r="C148" s="4039"/>
      <c r="D148" s="4039"/>
      <c r="E148" s="4039"/>
      <c r="F148" s="4039"/>
      <c r="G148" s="4039"/>
      <c r="H148" s="4039"/>
      <c r="I148" s="4039"/>
      <c r="J148" s="4039"/>
      <c r="K148" s="4039"/>
      <c r="L148" s="4039"/>
      <c r="M148" s="4039"/>
      <c r="N148" s="4039"/>
      <c r="O148" s="4039"/>
      <c r="P148" s="4039"/>
      <c r="Q148" s="4039"/>
      <c r="R148" s="4039"/>
      <c r="S148" s="4039"/>
      <c r="T148" s="4040"/>
      <c r="U148" s="1825"/>
      <c r="V148" s="1825"/>
      <c r="W148" s="1825"/>
      <c r="X148" s="1825"/>
      <c r="Y148" s="1825"/>
      <c r="Z148" s="1825"/>
      <c r="AA148" s="1825"/>
      <c r="AB148" s="1825"/>
      <c r="AC148" s="1825"/>
      <c r="AD148" s="1825"/>
      <c r="AE148" s="1825"/>
      <c r="AF148" s="1825"/>
      <c r="AG148" s="1825"/>
      <c r="AH148" s="1825"/>
    </row>
    <row r="149" spans="1:34">
      <c r="A149" s="1825"/>
      <c r="B149" s="1825"/>
      <c r="C149" s="1825"/>
      <c r="D149" s="1825"/>
      <c r="E149" s="1825"/>
      <c r="F149" s="1825"/>
      <c r="G149" s="1825"/>
      <c r="H149" s="1825"/>
      <c r="I149" s="1825"/>
      <c r="J149" s="1825"/>
      <c r="K149" s="1825"/>
      <c r="L149" s="1825"/>
      <c r="M149" s="1825"/>
      <c r="N149" s="1825"/>
      <c r="O149" s="1825"/>
      <c r="P149" s="1825"/>
      <c r="Q149" s="1825"/>
      <c r="R149" s="1825"/>
      <c r="S149" s="1825"/>
      <c r="T149" s="1825"/>
      <c r="U149" s="1825"/>
      <c r="V149" s="1825"/>
      <c r="W149" s="1825"/>
      <c r="X149" s="1825"/>
      <c r="Y149" s="1825"/>
      <c r="Z149" s="1825"/>
      <c r="AA149" s="1825"/>
      <c r="AB149" s="1825"/>
      <c r="AC149" s="1825"/>
      <c r="AD149" s="1825"/>
      <c r="AE149" s="1825"/>
      <c r="AF149" s="1825"/>
      <c r="AG149" s="1825"/>
      <c r="AH149" s="1825"/>
    </row>
    <row r="150" spans="1:34">
      <c r="A150" s="1825"/>
      <c r="B150" s="1825"/>
      <c r="C150" s="1825"/>
      <c r="D150" s="1825"/>
      <c r="E150" s="1825"/>
      <c r="F150" s="1825"/>
      <c r="G150" s="1825"/>
      <c r="H150" s="1825"/>
      <c r="I150" s="1825"/>
      <c r="J150" s="1825"/>
      <c r="K150" s="1825"/>
      <c r="L150" s="1825"/>
      <c r="M150" s="1825"/>
      <c r="N150" s="1825"/>
      <c r="O150" s="1825"/>
      <c r="P150" s="1825"/>
      <c r="Q150" s="1825"/>
      <c r="R150" s="1825"/>
      <c r="S150" s="1825"/>
      <c r="T150" s="1825"/>
      <c r="U150" s="1825"/>
      <c r="V150" s="1825"/>
      <c r="W150" s="1825"/>
      <c r="X150" s="1825"/>
      <c r="Y150" s="1825"/>
      <c r="Z150" s="1825"/>
      <c r="AA150" s="1825"/>
      <c r="AB150" s="1825"/>
      <c r="AC150" s="1825"/>
      <c r="AD150" s="1825"/>
      <c r="AE150" s="1825"/>
      <c r="AF150" s="1825"/>
      <c r="AG150" s="1825"/>
      <c r="AH150" s="1825"/>
    </row>
    <row r="151" spans="1:34" ht="15">
      <c r="A151" s="4038" t="s">
        <v>602</v>
      </c>
      <c r="B151" s="4039"/>
      <c r="C151" s="4040"/>
      <c r="D151" s="1823"/>
      <c r="E151" s="1823"/>
      <c r="F151" s="1823"/>
      <c r="G151" s="1823"/>
      <c r="H151" s="1823"/>
      <c r="I151" s="1823"/>
      <c r="J151" s="1823"/>
      <c r="K151" s="1823"/>
      <c r="L151" s="1823"/>
      <c r="M151" s="1824"/>
      <c r="N151" s="1823"/>
      <c r="O151" s="1823"/>
      <c r="P151" s="1823"/>
      <c r="Q151" s="1823"/>
      <c r="R151" s="1823"/>
      <c r="S151" s="1823"/>
      <c r="T151" s="1823"/>
      <c r="U151" s="1823"/>
      <c r="V151" s="1823"/>
      <c r="W151" s="1823"/>
      <c r="X151" s="1823"/>
      <c r="Y151" s="1823"/>
      <c r="Z151" s="1823"/>
      <c r="AA151" s="1823"/>
      <c r="AB151" s="1823"/>
      <c r="AC151" s="1823"/>
      <c r="AD151" s="1823"/>
      <c r="AE151" s="1823"/>
      <c r="AF151" s="1823"/>
      <c r="AG151" s="1823"/>
      <c r="AH151" s="1823"/>
    </row>
    <row r="152" spans="1:34" ht="15">
      <c r="A152" s="1719" t="s">
        <v>70</v>
      </c>
      <c r="B152" s="1719" t="s">
        <v>71</v>
      </c>
      <c r="C152" s="1719">
        <v>1</v>
      </c>
      <c r="D152" s="1719">
        <v>2</v>
      </c>
      <c r="E152" s="1719">
        <v>3</v>
      </c>
      <c r="F152" s="1719">
        <v>4</v>
      </c>
      <c r="G152" s="1719">
        <v>5</v>
      </c>
      <c r="H152" s="1719">
        <v>6</v>
      </c>
      <c r="I152" s="1719">
        <v>7</v>
      </c>
      <c r="J152" s="1719">
        <v>8</v>
      </c>
      <c r="K152" s="1719">
        <v>9</v>
      </c>
      <c r="L152" s="1719">
        <v>10</v>
      </c>
      <c r="M152" s="1719">
        <v>11</v>
      </c>
      <c r="N152" s="1719">
        <v>12</v>
      </c>
      <c r="O152" s="1719">
        <v>13</v>
      </c>
      <c r="P152" s="1719">
        <v>14</v>
      </c>
      <c r="Q152" s="1719">
        <v>15</v>
      </c>
      <c r="R152" s="1719">
        <v>16</v>
      </c>
      <c r="S152" s="1719">
        <v>17</v>
      </c>
      <c r="T152" s="1719">
        <v>18</v>
      </c>
      <c r="U152" s="1719">
        <v>19</v>
      </c>
      <c r="V152" s="1719">
        <v>20</v>
      </c>
      <c r="W152" s="1719">
        <v>21</v>
      </c>
      <c r="X152" s="1719">
        <v>22</v>
      </c>
      <c r="Y152" s="1719">
        <v>23</v>
      </c>
      <c r="Z152" s="1719">
        <v>24</v>
      </c>
      <c r="AA152" s="1719">
        <v>25</v>
      </c>
      <c r="AB152" s="1719">
        <v>26</v>
      </c>
      <c r="AC152" s="1719">
        <v>27</v>
      </c>
      <c r="AD152" s="1719">
        <v>28</v>
      </c>
      <c r="AE152" s="1719">
        <v>29</v>
      </c>
      <c r="AF152" s="1719">
        <v>30</v>
      </c>
      <c r="AG152" s="1719">
        <v>31</v>
      </c>
      <c r="AH152" s="1822" t="s">
        <v>72</v>
      </c>
    </row>
    <row r="153" spans="1:34" ht="15">
      <c r="A153" s="1719" t="s">
        <v>73</v>
      </c>
      <c r="B153" s="1821">
        <f t="shared" ref="B153:B164" si="24">+AH153</f>
        <v>0</v>
      </c>
      <c r="C153" s="1818">
        <f>+('Fauna Acompañante'!DD213)</f>
        <v>0</v>
      </c>
      <c r="D153" s="1818">
        <f>+('Fauna Acompañante'!DE213)</f>
        <v>0</v>
      </c>
      <c r="E153" s="1818">
        <f>+('Fauna Acompañante'!DF213)</f>
        <v>0</v>
      </c>
      <c r="F153" s="1818">
        <f>+('Fauna Acompañante'!DG213)</f>
        <v>0</v>
      </c>
      <c r="G153" s="1818">
        <f>+('Fauna Acompañante'!DH213)</f>
        <v>0</v>
      </c>
      <c r="H153" s="1818">
        <f>+('Fauna Acompañante'!DI213)</f>
        <v>0</v>
      </c>
      <c r="I153" s="1818">
        <f>+('Fauna Acompañante'!DJ213)</f>
        <v>0</v>
      </c>
      <c r="J153" s="1818">
        <f>+('Fauna Acompañante'!DK213)</f>
        <v>0</v>
      </c>
      <c r="K153" s="1818">
        <f>+('Fauna Acompañante'!DL213)</f>
        <v>0</v>
      </c>
      <c r="L153" s="1818">
        <f>+('Fauna Acompañante'!DM213)</f>
        <v>0</v>
      </c>
      <c r="M153" s="1818">
        <f>+('Fauna Acompañante'!DN213)</f>
        <v>0</v>
      </c>
      <c r="N153" s="1818">
        <f>+('Fauna Acompañante'!DO213)</f>
        <v>0</v>
      </c>
      <c r="O153" s="1818">
        <f>+('Fauna Acompañante'!DP213)</f>
        <v>0</v>
      </c>
      <c r="P153" s="1818">
        <f>+('Fauna Acompañante'!DQ213)</f>
        <v>0</v>
      </c>
      <c r="Q153" s="1818">
        <f>+('Fauna Acompañante'!DR213)</f>
        <v>0</v>
      </c>
      <c r="R153" s="1818">
        <f>+('Fauna Acompañante'!DS213)</f>
        <v>0</v>
      </c>
      <c r="S153" s="1818">
        <f>+('Fauna Acompañante'!DT213)</f>
        <v>0</v>
      </c>
      <c r="T153" s="1818">
        <f>+('Fauna Acompañante'!DU213)</f>
        <v>0</v>
      </c>
      <c r="U153" s="1818">
        <f>+('Fauna Acompañante'!DV213)</f>
        <v>0</v>
      </c>
      <c r="V153" s="1818">
        <f>+('Fauna Acompañante'!DW213)</f>
        <v>0</v>
      </c>
      <c r="W153" s="1818">
        <f>+('Fauna Acompañante'!DX213)</f>
        <v>0</v>
      </c>
      <c r="X153" s="1818">
        <f>+('Fauna Acompañante'!DY213)</f>
        <v>0</v>
      </c>
      <c r="Y153" s="1818">
        <f>+('Fauna Acompañante'!DZ213)</f>
        <v>0</v>
      </c>
      <c r="Z153" s="1818">
        <f>+('Fauna Acompañante'!EA213)</f>
        <v>0</v>
      </c>
      <c r="AA153" s="1818">
        <f>+('Fauna Acompañante'!EB213)</f>
        <v>0</v>
      </c>
      <c r="AB153" s="1818">
        <f>+('Fauna Acompañante'!EC213)</f>
        <v>0</v>
      </c>
      <c r="AC153" s="1818">
        <f>+('Fauna Acompañante'!ED213)</f>
        <v>0</v>
      </c>
      <c r="AD153" s="1818">
        <f>+('Fauna Acompañante'!EE213)</f>
        <v>0</v>
      </c>
      <c r="AE153" s="1818">
        <f>+('Fauna Acompañante'!EF213)</f>
        <v>0</v>
      </c>
      <c r="AF153" s="1818">
        <f>+('Fauna Acompañante'!EG213)</f>
        <v>0</v>
      </c>
      <c r="AG153" s="1818">
        <f>+('Fauna Acompañante'!EH213)</f>
        <v>0</v>
      </c>
      <c r="AH153" s="1817">
        <f t="shared" ref="AH153:AH164" si="25">SUM(C153:AG153)</f>
        <v>0</v>
      </c>
    </row>
    <row r="154" spans="1:34" ht="15">
      <c r="A154" s="1719" t="s">
        <v>74</v>
      </c>
      <c r="B154" s="1821">
        <f t="shared" si="24"/>
        <v>0</v>
      </c>
      <c r="C154" s="1818">
        <f>+('Fauna Acompañante'!DD214)</f>
        <v>0</v>
      </c>
      <c r="D154" s="1818">
        <f>+('Fauna Acompañante'!DE214)</f>
        <v>0</v>
      </c>
      <c r="E154" s="1818">
        <f>+('Fauna Acompañante'!DF214)</f>
        <v>0</v>
      </c>
      <c r="F154" s="1818">
        <f>+('Fauna Acompañante'!DG214)</f>
        <v>0</v>
      </c>
      <c r="G154" s="1818">
        <f>+('Fauna Acompañante'!DH214)</f>
        <v>0</v>
      </c>
      <c r="H154" s="1818">
        <f>+('Fauna Acompañante'!DI214)</f>
        <v>0</v>
      </c>
      <c r="I154" s="1818">
        <f>+('Fauna Acompañante'!DJ214)</f>
        <v>0</v>
      </c>
      <c r="J154" s="1818">
        <f>+('Fauna Acompañante'!DK214)</f>
        <v>0</v>
      </c>
      <c r="K154" s="1818">
        <f>+('Fauna Acompañante'!DL214)</f>
        <v>0</v>
      </c>
      <c r="L154" s="1818">
        <f>+('Fauna Acompañante'!DM214)</f>
        <v>0</v>
      </c>
      <c r="M154" s="1818">
        <f>+('Fauna Acompañante'!DN214)</f>
        <v>0</v>
      </c>
      <c r="N154" s="1818">
        <f>+('Fauna Acompañante'!DO214)</f>
        <v>0</v>
      </c>
      <c r="O154" s="1818">
        <f>+('Fauna Acompañante'!DP214)</f>
        <v>0</v>
      </c>
      <c r="P154" s="1818">
        <f>+('Fauna Acompañante'!DQ214)</f>
        <v>0</v>
      </c>
      <c r="Q154" s="1818">
        <f>+('Fauna Acompañante'!DR214)</f>
        <v>0</v>
      </c>
      <c r="R154" s="1818">
        <f>+('Fauna Acompañante'!DS214)</f>
        <v>0</v>
      </c>
      <c r="S154" s="1818">
        <f>+('Fauna Acompañante'!DT214)</f>
        <v>0</v>
      </c>
      <c r="T154" s="1818">
        <f>+('Fauna Acompañante'!DU214)</f>
        <v>0</v>
      </c>
      <c r="U154" s="1818">
        <f>+('Fauna Acompañante'!DV214)</f>
        <v>0</v>
      </c>
      <c r="V154" s="1818">
        <f>+('Fauna Acompañante'!DW214)</f>
        <v>0</v>
      </c>
      <c r="W154" s="1818">
        <f>+('Fauna Acompañante'!DX214)</f>
        <v>0</v>
      </c>
      <c r="X154" s="1818">
        <f>+('Fauna Acompañante'!DY214)</f>
        <v>0</v>
      </c>
      <c r="Y154" s="1818">
        <f>+('Fauna Acompañante'!DZ214)</f>
        <v>0</v>
      </c>
      <c r="Z154" s="1818">
        <f>+('Fauna Acompañante'!EA214)</f>
        <v>0</v>
      </c>
      <c r="AA154" s="1818">
        <f>+('Fauna Acompañante'!EB214)</f>
        <v>0</v>
      </c>
      <c r="AB154" s="1818">
        <f>+('Fauna Acompañante'!EC214)</f>
        <v>0</v>
      </c>
      <c r="AC154" s="1818">
        <f>+('Fauna Acompañante'!ED214)</f>
        <v>0</v>
      </c>
      <c r="AD154" s="1818">
        <f>+('Fauna Acompañante'!EE214)</f>
        <v>0</v>
      </c>
      <c r="AE154" s="1818">
        <f>+('Fauna Acompañante'!EF214)</f>
        <v>0</v>
      </c>
      <c r="AF154" s="1818">
        <f>+('Fauna Acompañante'!EG214)</f>
        <v>0</v>
      </c>
      <c r="AG154" s="1818">
        <f>+('Fauna Acompañante'!EH214)</f>
        <v>0</v>
      </c>
      <c r="AH154" s="1817">
        <f t="shared" si="25"/>
        <v>0</v>
      </c>
    </row>
    <row r="155" spans="1:34" ht="15">
      <c r="A155" s="1719" t="s">
        <v>75</v>
      </c>
      <c r="B155" s="1821">
        <f t="shared" si="24"/>
        <v>0</v>
      </c>
      <c r="C155" s="1818">
        <f>+('Fauna Acompañante'!DD215)</f>
        <v>0</v>
      </c>
      <c r="D155" s="1818">
        <f>+('Fauna Acompañante'!DE215)</f>
        <v>0</v>
      </c>
      <c r="E155" s="1818">
        <f>+('Fauna Acompañante'!DF215)</f>
        <v>0</v>
      </c>
      <c r="F155" s="1818">
        <f>+('Fauna Acompañante'!DG215)</f>
        <v>0</v>
      </c>
      <c r="G155" s="1818">
        <f>+('Fauna Acompañante'!DH215)</f>
        <v>0</v>
      </c>
      <c r="H155" s="1818">
        <f>+('Fauna Acompañante'!DI215)</f>
        <v>0</v>
      </c>
      <c r="I155" s="1818">
        <f>+('Fauna Acompañante'!DJ215)</f>
        <v>0</v>
      </c>
      <c r="J155" s="1818">
        <f>+('Fauna Acompañante'!DK215)</f>
        <v>0</v>
      </c>
      <c r="K155" s="1818">
        <f>+('Fauna Acompañante'!DL215)</f>
        <v>0</v>
      </c>
      <c r="L155" s="1818">
        <f>+('Fauna Acompañante'!DM215)</f>
        <v>0</v>
      </c>
      <c r="M155" s="1818">
        <f>+('Fauna Acompañante'!DN215)</f>
        <v>0</v>
      </c>
      <c r="N155" s="1818">
        <f>+('Fauna Acompañante'!DO215)</f>
        <v>0</v>
      </c>
      <c r="O155" s="1818">
        <f>+('Fauna Acompañante'!DP215)</f>
        <v>0</v>
      </c>
      <c r="P155" s="1818">
        <f>+('Fauna Acompañante'!DQ215)</f>
        <v>0</v>
      </c>
      <c r="Q155" s="1818">
        <f>+('Fauna Acompañante'!DR215)</f>
        <v>0</v>
      </c>
      <c r="R155" s="1818">
        <f>+('Fauna Acompañante'!DS215)</f>
        <v>0</v>
      </c>
      <c r="S155" s="1818">
        <f>+('Fauna Acompañante'!DT215)</f>
        <v>0</v>
      </c>
      <c r="T155" s="1818">
        <f>+('Fauna Acompañante'!DU215)</f>
        <v>0</v>
      </c>
      <c r="U155" s="1818">
        <f>+('Fauna Acompañante'!DV215)</f>
        <v>0</v>
      </c>
      <c r="V155" s="1818">
        <f>+('Fauna Acompañante'!DW215)</f>
        <v>0</v>
      </c>
      <c r="W155" s="1818">
        <f>+('Fauna Acompañante'!DX215)</f>
        <v>0</v>
      </c>
      <c r="X155" s="1818">
        <f>+('Fauna Acompañante'!DY215)</f>
        <v>0</v>
      </c>
      <c r="Y155" s="1818">
        <f>+('Fauna Acompañante'!DZ215)</f>
        <v>0</v>
      </c>
      <c r="Z155" s="1818">
        <f>+('Fauna Acompañante'!EA215)</f>
        <v>0</v>
      </c>
      <c r="AA155" s="1818">
        <f>+('Fauna Acompañante'!EB215)</f>
        <v>0</v>
      </c>
      <c r="AB155" s="1818">
        <f>+('Fauna Acompañante'!EC215)</f>
        <v>0</v>
      </c>
      <c r="AC155" s="1818">
        <f>+('Fauna Acompañante'!ED215)</f>
        <v>0</v>
      </c>
      <c r="AD155" s="1818">
        <f>+('Fauna Acompañante'!EE215)</f>
        <v>0</v>
      </c>
      <c r="AE155" s="1818">
        <f>+('Fauna Acompañante'!EF215)</f>
        <v>0</v>
      </c>
      <c r="AF155" s="1818">
        <f>+('Fauna Acompañante'!EG215)</f>
        <v>0</v>
      </c>
      <c r="AG155" s="1818">
        <f>+('Fauna Acompañante'!EH215)</f>
        <v>0</v>
      </c>
      <c r="AH155" s="1817">
        <f t="shared" si="25"/>
        <v>0</v>
      </c>
    </row>
    <row r="156" spans="1:34" ht="15">
      <c r="A156" s="1719" t="s">
        <v>76</v>
      </c>
      <c r="B156" s="1821">
        <f t="shared" si="24"/>
        <v>0</v>
      </c>
      <c r="C156" s="1818">
        <f>+('Fauna Acompañante'!DD216)</f>
        <v>0</v>
      </c>
      <c r="D156" s="1818">
        <f>+('Fauna Acompañante'!DE216)</f>
        <v>0</v>
      </c>
      <c r="E156" s="1818">
        <f>+('Fauna Acompañante'!DF216)</f>
        <v>0</v>
      </c>
      <c r="F156" s="1818">
        <f>+('Fauna Acompañante'!DG216)</f>
        <v>0</v>
      </c>
      <c r="G156" s="1818">
        <f>+('Fauna Acompañante'!DH216)</f>
        <v>0</v>
      </c>
      <c r="H156" s="1818">
        <f>+('Fauna Acompañante'!DI216)</f>
        <v>0</v>
      </c>
      <c r="I156" s="1818">
        <f>+('Fauna Acompañante'!DJ216)</f>
        <v>0</v>
      </c>
      <c r="J156" s="1818">
        <f>+('Fauna Acompañante'!DK216)</f>
        <v>0</v>
      </c>
      <c r="K156" s="1818">
        <f>+('Fauna Acompañante'!DL216)</f>
        <v>0</v>
      </c>
      <c r="L156" s="1818">
        <f>+('Fauna Acompañante'!DM216)</f>
        <v>0</v>
      </c>
      <c r="M156" s="1818">
        <f>+('Fauna Acompañante'!DN216)</f>
        <v>0</v>
      </c>
      <c r="N156" s="1818">
        <f>+('Fauna Acompañante'!DO216)</f>
        <v>0</v>
      </c>
      <c r="O156" s="1818">
        <f>+('Fauna Acompañante'!DP216)</f>
        <v>0</v>
      </c>
      <c r="P156" s="1818">
        <f>+('Fauna Acompañante'!DQ216)</f>
        <v>0</v>
      </c>
      <c r="Q156" s="1818">
        <f>+('Fauna Acompañante'!DR216)</f>
        <v>0</v>
      </c>
      <c r="R156" s="1818">
        <f>+('Fauna Acompañante'!DS216)</f>
        <v>0</v>
      </c>
      <c r="S156" s="1818">
        <f>+('Fauna Acompañante'!DT216)</f>
        <v>0</v>
      </c>
      <c r="T156" s="1818">
        <f>+('Fauna Acompañante'!DU216)</f>
        <v>0</v>
      </c>
      <c r="U156" s="1818">
        <f>+('Fauna Acompañante'!DV216)</f>
        <v>0</v>
      </c>
      <c r="V156" s="1818">
        <f>+('Fauna Acompañante'!DW216)</f>
        <v>0</v>
      </c>
      <c r="W156" s="1818">
        <f>+('Fauna Acompañante'!DX216)</f>
        <v>0</v>
      </c>
      <c r="X156" s="1818">
        <f>+('Fauna Acompañante'!DY216)</f>
        <v>0</v>
      </c>
      <c r="Y156" s="1818">
        <f>+('Fauna Acompañante'!DZ216)</f>
        <v>0</v>
      </c>
      <c r="Z156" s="1818">
        <f>+('Fauna Acompañante'!EA216)</f>
        <v>0</v>
      </c>
      <c r="AA156" s="1818">
        <f>+('Fauna Acompañante'!EB216)</f>
        <v>0</v>
      </c>
      <c r="AB156" s="1818">
        <f>+('Fauna Acompañante'!EC216)</f>
        <v>0</v>
      </c>
      <c r="AC156" s="1818">
        <f>+('Fauna Acompañante'!ED216)</f>
        <v>0</v>
      </c>
      <c r="AD156" s="1818">
        <f>+('Fauna Acompañante'!EE216)</f>
        <v>0</v>
      </c>
      <c r="AE156" s="1818">
        <f>+('Fauna Acompañante'!EF216)</f>
        <v>0</v>
      </c>
      <c r="AF156" s="1818">
        <f>+('Fauna Acompañante'!EG216)</f>
        <v>0</v>
      </c>
      <c r="AG156" s="1818">
        <f>+('Fauna Acompañante'!EH216)</f>
        <v>0</v>
      </c>
      <c r="AH156" s="1817">
        <f t="shared" si="25"/>
        <v>0</v>
      </c>
    </row>
    <row r="157" spans="1:34" ht="15">
      <c r="A157" s="1719" t="s">
        <v>77</v>
      </c>
      <c r="B157" s="1821">
        <f t="shared" si="24"/>
        <v>0</v>
      </c>
      <c r="C157" s="1818">
        <f>+('Fauna Acompañante'!DD217)</f>
        <v>0</v>
      </c>
      <c r="D157" s="1818">
        <f>+('Fauna Acompañante'!DE217)</f>
        <v>0</v>
      </c>
      <c r="E157" s="1818">
        <f>+('Fauna Acompañante'!DF217)</f>
        <v>0</v>
      </c>
      <c r="F157" s="1818">
        <f>+('Fauna Acompañante'!DG217)</f>
        <v>0</v>
      </c>
      <c r="G157" s="1818">
        <f>+('Fauna Acompañante'!DH217)</f>
        <v>0</v>
      </c>
      <c r="H157" s="1818">
        <f>+('Fauna Acompañante'!DI217)</f>
        <v>0</v>
      </c>
      <c r="I157" s="1818">
        <f>+('Fauna Acompañante'!DJ217)</f>
        <v>0</v>
      </c>
      <c r="J157" s="1818">
        <f>+('Fauna Acompañante'!DK217)</f>
        <v>0</v>
      </c>
      <c r="K157" s="1818">
        <f>+('Fauna Acompañante'!DL217)</f>
        <v>0</v>
      </c>
      <c r="L157" s="1818">
        <f>+('Fauna Acompañante'!DM217)</f>
        <v>0</v>
      </c>
      <c r="M157" s="1818">
        <f>+('Fauna Acompañante'!DN217)</f>
        <v>0</v>
      </c>
      <c r="N157" s="1818">
        <f>+('Fauna Acompañante'!DO217)</f>
        <v>0</v>
      </c>
      <c r="O157" s="1818">
        <f>+('Fauna Acompañante'!DP217)</f>
        <v>0</v>
      </c>
      <c r="P157" s="1818">
        <f>+('Fauna Acompañante'!DQ217)</f>
        <v>0</v>
      </c>
      <c r="Q157" s="1818">
        <f>+('Fauna Acompañante'!DR217)</f>
        <v>0</v>
      </c>
      <c r="R157" s="1818">
        <f>+('Fauna Acompañante'!DS217)</f>
        <v>0</v>
      </c>
      <c r="S157" s="1818">
        <f>+('Fauna Acompañante'!DT217)</f>
        <v>0</v>
      </c>
      <c r="T157" s="1818">
        <f>+('Fauna Acompañante'!DU217)</f>
        <v>0</v>
      </c>
      <c r="U157" s="1818">
        <f>+('Fauna Acompañante'!DV217)</f>
        <v>0</v>
      </c>
      <c r="V157" s="1818">
        <f>+('Fauna Acompañante'!DW217)</f>
        <v>0</v>
      </c>
      <c r="W157" s="1818">
        <f>+('Fauna Acompañante'!DX217)</f>
        <v>0</v>
      </c>
      <c r="X157" s="1818">
        <f>+('Fauna Acompañante'!DY217)</f>
        <v>0</v>
      </c>
      <c r="Y157" s="1818">
        <f>+('Fauna Acompañante'!DZ217)</f>
        <v>0</v>
      </c>
      <c r="Z157" s="1818">
        <f>+('Fauna Acompañante'!EA217)</f>
        <v>0</v>
      </c>
      <c r="AA157" s="1818">
        <f>+('Fauna Acompañante'!EB217)</f>
        <v>0</v>
      </c>
      <c r="AB157" s="1818">
        <f>+('Fauna Acompañante'!EC217)</f>
        <v>0</v>
      </c>
      <c r="AC157" s="1818">
        <f>+('Fauna Acompañante'!ED217)</f>
        <v>0</v>
      </c>
      <c r="AD157" s="1818">
        <f>+('Fauna Acompañante'!EE217)</f>
        <v>0</v>
      </c>
      <c r="AE157" s="1818">
        <f>+('Fauna Acompañante'!EF217)</f>
        <v>0</v>
      </c>
      <c r="AF157" s="1818">
        <f>+('Fauna Acompañante'!EG217)</f>
        <v>0</v>
      </c>
      <c r="AG157" s="1818">
        <f>+('Fauna Acompañante'!EH217)</f>
        <v>0</v>
      </c>
      <c r="AH157" s="1817">
        <f t="shared" si="25"/>
        <v>0</v>
      </c>
    </row>
    <row r="158" spans="1:34" ht="15">
      <c r="A158" s="1719" t="s">
        <v>78</v>
      </c>
      <c r="B158" s="1821">
        <f t="shared" si="24"/>
        <v>0</v>
      </c>
      <c r="C158" s="1818">
        <f>+('Fauna Acompañante'!DD218)</f>
        <v>0</v>
      </c>
      <c r="D158" s="1818">
        <f>+('Fauna Acompañante'!DE218)</f>
        <v>0</v>
      </c>
      <c r="E158" s="1818">
        <f>+('Fauna Acompañante'!DF218)</f>
        <v>0</v>
      </c>
      <c r="F158" s="1818">
        <f>+('Fauna Acompañante'!DG218)</f>
        <v>0</v>
      </c>
      <c r="G158" s="1818">
        <f>+('Fauna Acompañante'!DH218)</f>
        <v>0</v>
      </c>
      <c r="H158" s="1818">
        <f>+('Fauna Acompañante'!DI218)</f>
        <v>0</v>
      </c>
      <c r="I158" s="1818">
        <f>+('Fauna Acompañante'!DJ218)</f>
        <v>0</v>
      </c>
      <c r="J158" s="1818">
        <f>+('Fauna Acompañante'!DK218)</f>
        <v>0</v>
      </c>
      <c r="K158" s="1818">
        <f>+('Fauna Acompañante'!DL218)</f>
        <v>0</v>
      </c>
      <c r="L158" s="1818">
        <f>+('Fauna Acompañante'!DM218)</f>
        <v>0</v>
      </c>
      <c r="M158" s="1818">
        <f>+('Fauna Acompañante'!DN218)</f>
        <v>0</v>
      </c>
      <c r="N158" s="1818">
        <f>+('Fauna Acompañante'!DO218)</f>
        <v>0</v>
      </c>
      <c r="O158" s="1818">
        <f>+('Fauna Acompañante'!DP218)</f>
        <v>0</v>
      </c>
      <c r="P158" s="1818">
        <f>+('Fauna Acompañante'!DQ218)</f>
        <v>0</v>
      </c>
      <c r="Q158" s="1818">
        <f>+('Fauna Acompañante'!DR218)</f>
        <v>0</v>
      </c>
      <c r="R158" s="1818">
        <f>+('Fauna Acompañante'!DS218)</f>
        <v>0</v>
      </c>
      <c r="S158" s="1818">
        <f>+('Fauna Acompañante'!DT218)</f>
        <v>0</v>
      </c>
      <c r="T158" s="1818">
        <f>+('Fauna Acompañante'!DU218)</f>
        <v>0</v>
      </c>
      <c r="U158" s="1818">
        <f>+('Fauna Acompañante'!DV218)</f>
        <v>0</v>
      </c>
      <c r="V158" s="1818">
        <f>+('Fauna Acompañante'!DW218)</f>
        <v>0</v>
      </c>
      <c r="W158" s="1818">
        <f>+('Fauna Acompañante'!DX218)</f>
        <v>0</v>
      </c>
      <c r="X158" s="1818">
        <f>+('Fauna Acompañante'!DY218)</f>
        <v>0</v>
      </c>
      <c r="Y158" s="1818">
        <f>+('Fauna Acompañante'!DZ218)</f>
        <v>0</v>
      </c>
      <c r="Z158" s="1818">
        <f>+('Fauna Acompañante'!EA218)</f>
        <v>0</v>
      </c>
      <c r="AA158" s="1818">
        <f>+('Fauna Acompañante'!EB218)</f>
        <v>0</v>
      </c>
      <c r="AB158" s="1818">
        <f>+('Fauna Acompañante'!EC218)</f>
        <v>0</v>
      </c>
      <c r="AC158" s="1818">
        <f>+('Fauna Acompañante'!ED218)</f>
        <v>0</v>
      </c>
      <c r="AD158" s="1818">
        <f>+('Fauna Acompañante'!EE218)</f>
        <v>0</v>
      </c>
      <c r="AE158" s="1818">
        <f>+('Fauna Acompañante'!EF218)</f>
        <v>0</v>
      </c>
      <c r="AF158" s="1818">
        <f>+('Fauna Acompañante'!EG218)</f>
        <v>0</v>
      </c>
      <c r="AG158" s="1818">
        <f>+('Fauna Acompañante'!EH218)</f>
        <v>0</v>
      </c>
      <c r="AH158" s="1817">
        <f t="shared" si="25"/>
        <v>0</v>
      </c>
    </row>
    <row r="159" spans="1:34" ht="15">
      <c r="A159" s="1719" t="s">
        <v>79</v>
      </c>
      <c r="B159" s="1821">
        <f t="shared" si="24"/>
        <v>0</v>
      </c>
      <c r="C159" s="1818">
        <f>+('Fauna Acompañante'!DD219)</f>
        <v>0</v>
      </c>
      <c r="D159" s="1818">
        <f>+('Fauna Acompañante'!DE219)</f>
        <v>0</v>
      </c>
      <c r="E159" s="1818">
        <f>+('Fauna Acompañante'!DF219)</f>
        <v>0</v>
      </c>
      <c r="F159" s="1818">
        <f>+('Fauna Acompañante'!DG219)</f>
        <v>0</v>
      </c>
      <c r="G159" s="1818">
        <f>+('Fauna Acompañante'!DH219)</f>
        <v>0</v>
      </c>
      <c r="H159" s="1818">
        <f>+('Fauna Acompañante'!DI219)</f>
        <v>0</v>
      </c>
      <c r="I159" s="1818">
        <f>+('Fauna Acompañante'!DJ219)</f>
        <v>0</v>
      </c>
      <c r="J159" s="1818">
        <f>+('Fauna Acompañante'!DK219)</f>
        <v>0</v>
      </c>
      <c r="K159" s="1818">
        <f>+('Fauna Acompañante'!DL219)</f>
        <v>0</v>
      </c>
      <c r="L159" s="1818">
        <f>+('Fauna Acompañante'!DM219)</f>
        <v>0</v>
      </c>
      <c r="M159" s="1818">
        <f>+('Fauna Acompañante'!DN219)</f>
        <v>0</v>
      </c>
      <c r="N159" s="1818">
        <f>+('Fauna Acompañante'!DO219)</f>
        <v>0</v>
      </c>
      <c r="O159" s="1818">
        <f>+('Fauna Acompañante'!DP219)</f>
        <v>0</v>
      </c>
      <c r="P159" s="1818">
        <f>+('Fauna Acompañante'!DQ219)</f>
        <v>0</v>
      </c>
      <c r="Q159" s="1818">
        <f>+('Fauna Acompañante'!DR219)</f>
        <v>0</v>
      </c>
      <c r="R159" s="1818">
        <f>+('Fauna Acompañante'!DS219)</f>
        <v>0</v>
      </c>
      <c r="S159" s="1818">
        <f>+('Fauna Acompañante'!DT219)</f>
        <v>0</v>
      </c>
      <c r="T159" s="1818">
        <f>+('Fauna Acompañante'!DU219)</f>
        <v>0</v>
      </c>
      <c r="U159" s="1818">
        <f>+('Fauna Acompañante'!DV219)</f>
        <v>0</v>
      </c>
      <c r="V159" s="1818">
        <f>+('Fauna Acompañante'!DW219)</f>
        <v>0</v>
      </c>
      <c r="W159" s="1818">
        <f>+('Fauna Acompañante'!DX219)</f>
        <v>0</v>
      </c>
      <c r="X159" s="1818">
        <f>+('Fauna Acompañante'!DY219)</f>
        <v>0</v>
      </c>
      <c r="Y159" s="1818">
        <f>+('Fauna Acompañante'!DZ219)</f>
        <v>0</v>
      </c>
      <c r="Z159" s="1818">
        <f>+('Fauna Acompañante'!EA219)</f>
        <v>0</v>
      </c>
      <c r="AA159" s="1818">
        <f>+('Fauna Acompañante'!EB219)</f>
        <v>0</v>
      </c>
      <c r="AB159" s="1818">
        <f>+('Fauna Acompañante'!EC219)</f>
        <v>0</v>
      </c>
      <c r="AC159" s="1818">
        <f>+('Fauna Acompañante'!ED219)</f>
        <v>0</v>
      </c>
      <c r="AD159" s="1818">
        <f>+('Fauna Acompañante'!EE219)</f>
        <v>0</v>
      </c>
      <c r="AE159" s="1818">
        <f>+('Fauna Acompañante'!EF219)</f>
        <v>0</v>
      </c>
      <c r="AF159" s="1818">
        <f>+('Fauna Acompañante'!EG219)</f>
        <v>0</v>
      </c>
      <c r="AG159" s="1818">
        <f>+('Fauna Acompañante'!EH219)</f>
        <v>0</v>
      </c>
      <c r="AH159" s="1817">
        <f t="shared" si="25"/>
        <v>0</v>
      </c>
    </row>
    <row r="160" spans="1:34" ht="15">
      <c r="A160" s="1719" t="s">
        <v>80</v>
      </c>
      <c r="B160" s="1821">
        <f t="shared" si="24"/>
        <v>0</v>
      </c>
      <c r="C160" s="1818">
        <f>+('Fauna Acompañante'!DD220)</f>
        <v>0</v>
      </c>
      <c r="D160" s="1818">
        <f>+('Fauna Acompañante'!DE220)</f>
        <v>0</v>
      </c>
      <c r="E160" s="1818">
        <f>+('Fauna Acompañante'!DF220)</f>
        <v>0</v>
      </c>
      <c r="F160" s="1818">
        <f>+('Fauna Acompañante'!DG220)</f>
        <v>0</v>
      </c>
      <c r="G160" s="1818">
        <f>+('Fauna Acompañante'!DH220)</f>
        <v>0</v>
      </c>
      <c r="H160" s="1818">
        <f>+('Fauna Acompañante'!DI220)</f>
        <v>0</v>
      </c>
      <c r="I160" s="1818">
        <f>+('Fauna Acompañante'!DJ220)</f>
        <v>0</v>
      </c>
      <c r="J160" s="1818">
        <f>+('Fauna Acompañante'!DK220)</f>
        <v>0</v>
      </c>
      <c r="K160" s="1818">
        <f>+('Fauna Acompañante'!DL220)</f>
        <v>0</v>
      </c>
      <c r="L160" s="1818">
        <f>+('Fauna Acompañante'!DM220)</f>
        <v>0</v>
      </c>
      <c r="M160" s="1818">
        <f>+('Fauna Acompañante'!DN220)</f>
        <v>0</v>
      </c>
      <c r="N160" s="1818">
        <f>+('Fauna Acompañante'!DO220)</f>
        <v>0</v>
      </c>
      <c r="O160" s="1818">
        <f>+('Fauna Acompañante'!DP220)</f>
        <v>0</v>
      </c>
      <c r="P160" s="1818">
        <f>+('Fauna Acompañante'!DQ220)</f>
        <v>0</v>
      </c>
      <c r="Q160" s="1818">
        <f>+('Fauna Acompañante'!DR220)</f>
        <v>0</v>
      </c>
      <c r="R160" s="1818">
        <f>+('Fauna Acompañante'!DS220)</f>
        <v>0</v>
      </c>
      <c r="S160" s="1818">
        <f>+('Fauna Acompañante'!DT220)</f>
        <v>0</v>
      </c>
      <c r="T160" s="1818">
        <f>+('Fauna Acompañante'!DU220)</f>
        <v>0</v>
      </c>
      <c r="U160" s="1818">
        <f>+('Fauna Acompañante'!DV220)</f>
        <v>0</v>
      </c>
      <c r="V160" s="1818">
        <f>+('Fauna Acompañante'!DW220)</f>
        <v>0</v>
      </c>
      <c r="W160" s="1818">
        <f>+('Fauna Acompañante'!DX220)</f>
        <v>0</v>
      </c>
      <c r="X160" s="1818">
        <f>+('Fauna Acompañante'!DY220)</f>
        <v>0</v>
      </c>
      <c r="Y160" s="1818">
        <f>+('Fauna Acompañante'!DZ220)</f>
        <v>0</v>
      </c>
      <c r="Z160" s="1818">
        <f>+('Fauna Acompañante'!EA220)</f>
        <v>0</v>
      </c>
      <c r="AA160" s="1818">
        <f>+('Fauna Acompañante'!EB220)</f>
        <v>0</v>
      </c>
      <c r="AB160" s="1818">
        <f>+('Fauna Acompañante'!EC220)</f>
        <v>0</v>
      </c>
      <c r="AC160" s="1818">
        <f>+('Fauna Acompañante'!ED220)</f>
        <v>0</v>
      </c>
      <c r="AD160" s="1818">
        <f>+('Fauna Acompañante'!EE220)</f>
        <v>0</v>
      </c>
      <c r="AE160" s="1818">
        <f>+('Fauna Acompañante'!EF220)</f>
        <v>0</v>
      </c>
      <c r="AF160" s="1818">
        <f>+('Fauna Acompañante'!EG220)</f>
        <v>0</v>
      </c>
      <c r="AG160" s="1818">
        <f>+('Fauna Acompañante'!EH220)</f>
        <v>0</v>
      </c>
      <c r="AH160" s="1817">
        <f t="shared" si="25"/>
        <v>0</v>
      </c>
    </row>
    <row r="161" spans="1:34" ht="15">
      <c r="A161" s="1719" t="s">
        <v>81</v>
      </c>
      <c r="B161" s="1821">
        <f t="shared" si="24"/>
        <v>0</v>
      </c>
      <c r="C161" s="1818">
        <f>+('Fauna Acompañante'!DD221)</f>
        <v>0</v>
      </c>
      <c r="D161" s="1818">
        <f>+('Fauna Acompañante'!DE221)</f>
        <v>0</v>
      </c>
      <c r="E161" s="1818">
        <f>+('Fauna Acompañante'!DF221)</f>
        <v>0</v>
      </c>
      <c r="F161" s="1818">
        <f>+('Fauna Acompañante'!DG221)</f>
        <v>0</v>
      </c>
      <c r="G161" s="1818">
        <f>+('Fauna Acompañante'!DH221)</f>
        <v>0</v>
      </c>
      <c r="H161" s="1818">
        <f>+('Fauna Acompañante'!DI221)</f>
        <v>0</v>
      </c>
      <c r="I161" s="1818">
        <f>+('Fauna Acompañante'!DJ221)</f>
        <v>0</v>
      </c>
      <c r="J161" s="1818">
        <f>+('Fauna Acompañante'!DK221)</f>
        <v>0</v>
      </c>
      <c r="K161" s="1818">
        <f>+('Fauna Acompañante'!DL221)</f>
        <v>0</v>
      </c>
      <c r="L161" s="1818">
        <f>+('Fauna Acompañante'!DM221)</f>
        <v>0</v>
      </c>
      <c r="M161" s="1818">
        <f>+('Fauna Acompañante'!DN221)</f>
        <v>0</v>
      </c>
      <c r="N161" s="1818">
        <f>+('Fauna Acompañante'!DO221)</f>
        <v>0</v>
      </c>
      <c r="O161" s="1818">
        <f>+('Fauna Acompañante'!DP221)</f>
        <v>0</v>
      </c>
      <c r="P161" s="1818">
        <f>+('Fauna Acompañante'!DQ221)</f>
        <v>0</v>
      </c>
      <c r="Q161" s="1818">
        <f>+('Fauna Acompañante'!DR221)</f>
        <v>0</v>
      </c>
      <c r="R161" s="1818">
        <f>+('Fauna Acompañante'!DS221)</f>
        <v>0</v>
      </c>
      <c r="S161" s="1818">
        <f>+('Fauna Acompañante'!DT221)</f>
        <v>0</v>
      </c>
      <c r="T161" s="1818">
        <f>+('Fauna Acompañante'!DU221)</f>
        <v>0</v>
      </c>
      <c r="U161" s="1818">
        <f>+('Fauna Acompañante'!DV221)</f>
        <v>0</v>
      </c>
      <c r="V161" s="1818">
        <f>+('Fauna Acompañante'!DW221)</f>
        <v>0</v>
      </c>
      <c r="W161" s="1818">
        <f>+('Fauna Acompañante'!DX221)</f>
        <v>0</v>
      </c>
      <c r="X161" s="1818">
        <f>+('Fauna Acompañante'!DY221)</f>
        <v>0</v>
      </c>
      <c r="Y161" s="1818">
        <f>+('Fauna Acompañante'!DZ221)</f>
        <v>0</v>
      </c>
      <c r="Z161" s="1818">
        <f>+('Fauna Acompañante'!EA221)</f>
        <v>0</v>
      </c>
      <c r="AA161" s="1818">
        <f>+('Fauna Acompañante'!EB221)</f>
        <v>0</v>
      </c>
      <c r="AB161" s="1818">
        <f>+('Fauna Acompañante'!EC221)</f>
        <v>0</v>
      </c>
      <c r="AC161" s="1818">
        <f>+('Fauna Acompañante'!ED221)</f>
        <v>0</v>
      </c>
      <c r="AD161" s="1818">
        <f>+('Fauna Acompañante'!EE221)</f>
        <v>0</v>
      </c>
      <c r="AE161" s="1818">
        <f>+('Fauna Acompañante'!EF221)</f>
        <v>0</v>
      </c>
      <c r="AF161" s="1818">
        <f>+('Fauna Acompañante'!EG221)</f>
        <v>0</v>
      </c>
      <c r="AG161" s="1818">
        <f>+('Fauna Acompañante'!EH221)</f>
        <v>0</v>
      </c>
      <c r="AH161" s="1817">
        <f t="shared" si="25"/>
        <v>0</v>
      </c>
    </row>
    <row r="162" spans="1:34" ht="15">
      <c r="A162" s="1719" t="s">
        <v>82</v>
      </c>
      <c r="B162" s="1821">
        <f t="shared" si="24"/>
        <v>0</v>
      </c>
      <c r="C162" s="1818">
        <f>+('Fauna Acompañante'!DD222)</f>
        <v>0</v>
      </c>
      <c r="D162" s="1818">
        <f>+('Fauna Acompañante'!DE222)</f>
        <v>0</v>
      </c>
      <c r="E162" s="1818">
        <f>+('Fauna Acompañante'!DF222)</f>
        <v>0</v>
      </c>
      <c r="F162" s="1818">
        <f>+('Fauna Acompañante'!DG222)</f>
        <v>0</v>
      </c>
      <c r="G162" s="1818">
        <f>+('Fauna Acompañante'!DH222)</f>
        <v>0</v>
      </c>
      <c r="H162" s="1818">
        <f>+('Fauna Acompañante'!DI222)</f>
        <v>0</v>
      </c>
      <c r="I162" s="1818">
        <f>+('Fauna Acompañante'!DJ222)</f>
        <v>0</v>
      </c>
      <c r="J162" s="1818">
        <f>+('Fauna Acompañante'!DK222)</f>
        <v>0</v>
      </c>
      <c r="K162" s="1818">
        <f>+('Fauna Acompañante'!DL222)</f>
        <v>0</v>
      </c>
      <c r="L162" s="1818">
        <f>+('Fauna Acompañante'!DM222)</f>
        <v>0</v>
      </c>
      <c r="M162" s="1818">
        <f>+('Fauna Acompañante'!DN222)</f>
        <v>0</v>
      </c>
      <c r="N162" s="1818">
        <f>+('Fauna Acompañante'!DO222)</f>
        <v>0</v>
      </c>
      <c r="O162" s="1818">
        <f>+('Fauna Acompañante'!DP222)</f>
        <v>0</v>
      </c>
      <c r="P162" s="1818">
        <f>+('Fauna Acompañante'!DQ222)</f>
        <v>0</v>
      </c>
      <c r="Q162" s="1818">
        <f>+('Fauna Acompañante'!DR222)</f>
        <v>0</v>
      </c>
      <c r="R162" s="1818">
        <f>+('Fauna Acompañante'!DS222)</f>
        <v>0</v>
      </c>
      <c r="S162" s="1818">
        <f>+('Fauna Acompañante'!DT222)</f>
        <v>0</v>
      </c>
      <c r="T162" s="1818">
        <f>+('Fauna Acompañante'!DU222)</f>
        <v>0</v>
      </c>
      <c r="U162" s="1818">
        <f>+('Fauna Acompañante'!DV222)</f>
        <v>0</v>
      </c>
      <c r="V162" s="1818">
        <f>+('Fauna Acompañante'!DW222)</f>
        <v>0</v>
      </c>
      <c r="W162" s="1818">
        <f>+('Fauna Acompañante'!DX222)</f>
        <v>0</v>
      </c>
      <c r="X162" s="1818">
        <f>+('Fauna Acompañante'!DY222)</f>
        <v>0</v>
      </c>
      <c r="Y162" s="1818">
        <f>+('Fauna Acompañante'!DZ222)</f>
        <v>0</v>
      </c>
      <c r="Z162" s="1818">
        <f>+('Fauna Acompañante'!EA222)</f>
        <v>0</v>
      </c>
      <c r="AA162" s="1818">
        <f>+('Fauna Acompañante'!EB222)</f>
        <v>0</v>
      </c>
      <c r="AB162" s="1818">
        <f>+('Fauna Acompañante'!EC222)</f>
        <v>0</v>
      </c>
      <c r="AC162" s="1818">
        <f>+('Fauna Acompañante'!ED222)</f>
        <v>0</v>
      </c>
      <c r="AD162" s="1818">
        <f>+('Fauna Acompañante'!EE222)</f>
        <v>0</v>
      </c>
      <c r="AE162" s="1818">
        <f>+('Fauna Acompañante'!EF222)</f>
        <v>0</v>
      </c>
      <c r="AF162" s="1818">
        <f>+('Fauna Acompañante'!EG222)</f>
        <v>0</v>
      </c>
      <c r="AG162" s="1818">
        <f>+('Fauna Acompañante'!EH222)</f>
        <v>0</v>
      </c>
      <c r="AH162" s="1817">
        <f t="shared" si="25"/>
        <v>0</v>
      </c>
    </row>
    <row r="163" spans="1:34" ht="15">
      <c r="A163" s="1719" t="s">
        <v>83</v>
      </c>
      <c r="B163" s="1821">
        <f t="shared" si="24"/>
        <v>0</v>
      </c>
      <c r="C163" s="1818">
        <f>+('Fauna Acompañante'!DD223)</f>
        <v>0</v>
      </c>
      <c r="D163" s="1818">
        <f>+('Fauna Acompañante'!DE223)</f>
        <v>0</v>
      </c>
      <c r="E163" s="1818">
        <f>+('Fauna Acompañante'!DF223)</f>
        <v>0</v>
      </c>
      <c r="F163" s="1818">
        <f>+('Fauna Acompañante'!DG223)</f>
        <v>0</v>
      </c>
      <c r="G163" s="1818">
        <f>+('Fauna Acompañante'!DH223)</f>
        <v>0</v>
      </c>
      <c r="H163" s="1818">
        <f>+('Fauna Acompañante'!DI223)</f>
        <v>0</v>
      </c>
      <c r="I163" s="1818">
        <f>+('Fauna Acompañante'!DJ223)</f>
        <v>0</v>
      </c>
      <c r="J163" s="1818">
        <f>+('Fauna Acompañante'!DK223)</f>
        <v>0</v>
      </c>
      <c r="K163" s="1818">
        <f>+('Fauna Acompañante'!DL223)</f>
        <v>0</v>
      </c>
      <c r="L163" s="1818">
        <f>+('Fauna Acompañante'!DM223)</f>
        <v>0</v>
      </c>
      <c r="M163" s="1818">
        <f>+('Fauna Acompañante'!DN223)</f>
        <v>0</v>
      </c>
      <c r="N163" s="1818">
        <f>+('Fauna Acompañante'!DO223)</f>
        <v>0</v>
      </c>
      <c r="O163" s="1818">
        <f>+('Fauna Acompañante'!DP223)</f>
        <v>0</v>
      </c>
      <c r="P163" s="1818">
        <f>+('Fauna Acompañante'!DQ223)</f>
        <v>0</v>
      </c>
      <c r="Q163" s="1818">
        <f>+('Fauna Acompañante'!DR223)</f>
        <v>0</v>
      </c>
      <c r="R163" s="1818">
        <f>+('Fauna Acompañante'!DS223)</f>
        <v>0</v>
      </c>
      <c r="S163" s="1818">
        <f>+('Fauna Acompañante'!DT223)</f>
        <v>0</v>
      </c>
      <c r="T163" s="1818">
        <f>+('Fauna Acompañante'!DU223)</f>
        <v>0</v>
      </c>
      <c r="U163" s="1818">
        <f>+('Fauna Acompañante'!DV223)</f>
        <v>0</v>
      </c>
      <c r="V163" s="1818">
        <f>+('Fauna Acompañante'!DW223)</f>
        <v>0</v>
      </c>
      <c r="W163" s="1818">
        <f>+('Fauna Acompañante'!DX223)</f>
        <v>0</v>
      </c>
      <c r="X163" s="1818">
        <f>+('Fauna Acompañante'!DY223)</f>
        <v>0</v>
      </c>
      <c r="Y163" s="1818">
        <f>+('Fauna Acompañante'!DZ223)</f>
        <v>0</v>
      </c>
      <c r="Z163" s="1818">
        <f>+('Fauna Acompañante'!EA223)</f>
        <v>0</v>
      </c>
      <c r="AA163" s="1818">
        <f>+('Fauna Acompañante'!EB223)</f>
        <v>0</v>
      </c>
      <c r="AB163" s="1818">
        <f>+('Fauna Acompañante'!EC223)</f>
        <v>0</v>
      </c>
      <c r="AC163" s="1818">
        <f>+('Fauna Acompañante'!ED223)</f>
        <v>0</v>
      </c>
      <c r="AD163" s="1818">
        <f>+('Fauna Acompañante'!EE223)</f>
        <v>0</v>
      </c>
      <c r="AE163" s="1818">
        <f>+('Fauna Acompañante'!EF223)</f>
        <v>0</v>
      </c>
      <c r="AF163" s="1818">
        <f>+('Fauna Acompañante'!EG223)</f>
        <v>0</v>
      </c>
      <c r="AG163" s="1818">
        <f>+('Fauna Acompañante'!EH223)</f>
        <v>0</v>
      </c>
      <c r="AH163" s="1817">
        <f t="shared" si="25"/>
        <v>0</v>
      </c>
    </row>
    <row r="164" spans="1:34" ht="15">
      <c r="A164" s="1719" t="s">
        <v>84</v>
      </c>
      <c r="B164" s="1821">
        <f t="shared" si="24"/>
        <v>0</v>
      </c>
      <c r="C164" s="1818">
        <f>+('Fauna Acompañante'!DD224)</f>
        <v>0</v>
      </c>
      <c r="D164" s="1818">
        <f>+('Fauna Acompañante'!DE224)</f>
        <v>0</v>
      </c>
      <c r="E164" s="1818">
        <f>+('Fauna Acompañante'!DF224)</f>
        <v>0</v>
      </c>
      <c r="F164" s="1818">
        <f>+('Fauna Acompañante'!DG224)</f>
        <v>0</v>
      </c>
      <c r="G164" s="1818">
        <f>+('Fauna Acompañante'!DH224)</f>
        <v>0</v>
      </c>
      <c r="H164" s="1818">
        <f>+('Fauna Acompañante'!DI224)</f>
        <v>0</v>
      </c>
      <c r="I164" s="1818">
        <f>+('Fauna Acompañante'!DJ224)</f>
        <v>0</v>
      </c>
      <c r="J164" s="1818">
        <f>+('Fauna Acompañante'!DK224)</f>
        <v>0</v>
      </c>
      <c r="K164" s="1818">
        <f>+('Fauna Acompañante'!DL224)</f>
        <v>0</v>
      </c>
      <c r="L164" s="1818">
        <f>+('Fauna Acompañante'!DM224)</f>
        <v>0</v>
      </c>
      <c r="M164" s="1818">
        <f>+('Fauna Acompañante'!DN224)</f>
        <v>0</v>
      </c>
      <c r="N164" s="1818">
        <f>+('Fauna Acompañante'!DO224)</f>
        <v>0</v>
      </c>
      <c r="O164" s="1818">
        <f>+('Fauna Acompañante'!DP224)</f>
        <v>0</v>
      </c>
      <c r="P164" s="1818">
        <f>+('Fauna Acompañante'!DQ224)</f>
        <v>0</v>
      </c>
      <c r="Q164" s="1818">
        <f>+('Fauna Acompañante'!DR224)</f>
        <v>0</v>
      </c>
      <c r="R164" s="1818">
        <f>+('Fauna Acompañante'!DS224)</f>
        <v>0</v>
      </c>
      <c r="S164" s="1818">
        <f>+('Fauna Acompañante'!DT224)</f>
        <v>0</v>
      </c>
      <c r="T164" s="1818">
        <f>+('Fauna Acompañante'!DU224)</f>
        <v>0</v>
      </c>
      <c r="U164" s="1818">
        <f>+('Fauna Acompañante'!DV224)</f>
        <v>0</v>
      </c>
      <c r="V164" s="1818">
        <f>+('Fauna Acompañante'!DW224)</f>
        <v>0</v>
      </c>
      <c r="W164" s="1818">
        <f>+('Fauna Acompañante'!DX224)</f>
        <v>0</v>
      </c>
      <c r="X164" s="1818">
        <f>+('Fauna Acompañante'!DY224)</f>
        <v>0</v>
      </c>
      <c r="Y164" s="1818">
        <f>+('Fauna Acompañante'!DZ224)</f>
        <v>0</v>
      </c>
      <c r="Z164" s="1818">
        <f>+('Fauna Acompañante'!EA224)</f>
        <v>0</v>
      </c>
      <c r="AA164" s="1818">
        <f>+('Fauna Acompañante'!EB224)</f>
        <v>0</v>
      </c>
      <c r="AB164" s="1818">
        <f>+('Fauna Acompañante'!EC224)</f>
        <v>0</v>
      </c>
      <c r="AC164" s="1818">
        <f>+('Fauna Acompañante'!ED224)</f>
        <v>0</v>
      </c>
      <c r="AD164" s="1818">
        <f>+('Fauna Acompañante'!EE224)</f>
        <v>0</v>
      </c>
      <c r="AE164" s="1818">
        <f>+('Fauna Acompañante'!EF224)</f>
        <v>0</v>
      </c>
      <c r="AF164" s="1818">
        <f>+('Fauna Acompañante'!EG224)</f>
        <v>0</v>
      </c>
      <c r="AG164" s="1818">
        <f>+('Fauna Acompañante'!EH224)</f>
        <v>0</v>
      </c>
      <c r="AH164" s="1817">
        <f t="shared" si="25"/>
        <v>0</v>
      </c>
    </row>
    <row r="165" spans="1:34" ht="15">
      <c r="A165" s="1820" t="s">
        <v>72</v>
      </c>
      <c r="B165" s="1819">
        <f t="shared" ref="B165:AH165" si="26">SUM(B153:B164)</f>
        <v>0</v>
      </c>
      <c r="C165" s="1818">
        <f t="shared" si="26"/>
        <v>0</v>
      </c>
      <c r="D165" s="1818">
        <f t="shared" si="26"/>
        <v>0</v>
      </c>
      <c r="E165" s="1818">
        <f t="shared" si="26"/>
        <v>0</v>
      </c>
      <c r="F165" s="1818">
        <f t="shared" si="26"/>
        <v>0</v>
      </c>
      <c r="G165" s="1818">
        <f t="shared" si="26"/>
        <v>0</v>
      </c>
      <c r="H165" s="1818">
        <f t="shared" si="26"/>
        <v>0</v>
      </c>
      <c r="I165" s="1818">
        <f t="shared" si="26"/>
        <v>0</v>
      </c>
      <c r="J165" s="1818">
        <f t="shared" si="26"/>
        <v>0</v>
      </c>
      <c r="K165" s="1818">
        <f t="shared" si="26"/>
        <v>0</v>
      </c>
      <c r="L165" s="1818">
        <f t="shared" si="26"/>
        <v>0</v>
      </c>
      <c r="M165" s="1818">
        <f t="shared" si="26"/>
        <v>0</v>
      </c>
      <c r="N165" s="1818">
        <f t="shared" si="26"/>
        <v>0</v>
      </c>
      <c r="O165" s="1818">
        <f t="shared" si="26"/>
        <v>0</v>
      </c>
      <c r="P165" s="1818">
        <f t="shared" si="26"/>
        <v>0</v>
      </c>
      <c r="Q165" s="1818">
        <f t="shared" si="26"/>
        <v>0</v>
      </c>
      <c r="R165" s="1818">
        <f t="shared" si="26"/>
        <v>0</v>
      </c>
      <c r="S165" s="1818">
        <f t="shared" si="26"/>
        <v>0</v>
      </c>
      <c r="T165" s="1818">
        <f t="shared" si="26"/>
        <v>0</v>
      </c>
      <c r="U165" s="1818">
        <f t="shared" si="26"/>
        <v>0</v>
      </c>
      <c r="V165" s="1818">
        <f t="shared" si="26"/>
        <v>0</v>
      </c>
      <c r="W165" s="1818">
        <f t="shared" si="26"/>
        <v>0</v>
      </c>
      <c r="X165" s="1818">
        <f t="shared" si="26"/>
        <v>0</v>
      </c>
      <c r="Y165" s="1818">
        <f t="shared" si="26"/>
        <v>0</v>
      </c>
      <c r="Z165" s="1818">
        <f t="shared" si="26"/>
        <v>0</v>
      </c>
      <c r="AA165" s="1818">
        <f t="shared" si="26"/>
        <v>0</v>
      </c>
      <c r="AB165" s="1818">
        <f t="shared" si="26"/>
        <v>0</v>
      </c>
      <c r="AC165" s="1818">
        <f t="shared" si="26"/>
        <v>0</v>
      </c>
      <c r="AD165" s="1818">
        <f t="shared" si="26"/>
        <v>0</v>
      </c>
      <c r="AE165" s="1818">
        <f t="shared" si="26"/>
        <v>0</v>
      </c>
      <c r="AF165" s="1818">
        <f t="shared" si="26"/>
        <v>0</v>
      </c>
      <c r="AG165" s="1818">
        <f t="shared" si="26"/>
        <v>0</v>
      </c>
      <c r="AH165" s="1817">
        <f t="shared" si="26"/>
        <v>0</v>
      </c>
    </row>
    <row r="167" spans="1:34" ht="15">
      <c r="A167" s="4038" t="s">
        <v>750</v>
      </c>
      <c r="B167" s="4039"/>
      <c r="C167" s="4039"/>
      <c r="D167" s="4039"/>
      <c r="E167" s="4039"/>
      <c r="F167" s="4039"/>
      <c r="G167" s="4039"/>
      <c r="H167" s="4039"/>
      <c r="I167" s="4039"/>
      <c r="J167" s="4039"/>
      <c r="K167" s="4039"/>
      <c r="L167" s="4039"/>
      <c r="M167" s="4039"/>
      <c r="N167" s="4039"/>
      <c r="O167" s="4039"/>
      <c r="P167" s="4039"/>
      <c r="Q167" s="4039"/>
      <c r="R167" s="4039"/>
      <c r="S167" s="4039"/>
      <c r="T167" s="4040"/>
      <c r="U167" s="1825"/>
      <c r="V167" s="1825"/>
      <c r="W167" s="1825"/>
      <c r="X167" s="1825"/>
      <c r="Y167" s="1825"/>
      <c r="Z167" s="1825"/>
      <c r="AA167" s="1825"/>
      <c r="AB167" s="1825"/>
      <c r="AC167" s="1825"/>
      <c r="AD167" s="1825"/>
      <c r="AE167" s="1825"/>
      <c r="AF167" s="1825"/>
      <c r="AG167" s="1825"/>
      <c r="AH167" s="1825"/>
    </row>
    <row r="168" spans="1:34">
      <c r="A168" s="1825"/>
      <c r="B168" s="1825"/>
      <c r="C168" s="1825"/>
      <c r="D168" s="1825"/>
      <c r="E168" s="1825"/>
      <c r="F168" s="1825"/>
      <c r="G168" s="1825"/>
      <c r="H168" s="1825"/>
      <c r="I168" s="1825"/>
      <c r="J168" s="1825"/>
      <c r="K168" s="1825"/>
      <c r="L168" s="1825"/>
      <c r="M168" s="1825"/>
      <c r="N168" s="1825"/>
      <c r="O168" s="1825"/>
      <c r="P168" s="1825"/>
      <c r="Q168" s="1825"/>
      <c r="R168" s="1825"/>
      <c r="S168" s="1825"/>
      <c r="T168" s="1825"/>
      <c r="U168" s="1825"/>
      <c r="V168" s="1825"/>
      <c r="W168" s="1825"/>
      <c r="X168" s="1825"/>
      <c r="Y168" s="1825"/>
      <c r="Z168" s="1825"/>
      <c r="AA168" s="1825"/>
      <c r="AB168" s="1825"/>
      <c r="AC168" s="1825"/>
      <c r="AD168" s="1825"/>
      <c r="AE168" s="1825"/>
      <c r="AF168" s="1825"/>
      <c r="AG168" s="1825"/>
      <c r="AH168" s="1825"/>
    </row>
    <row r="169" spans="1:34">
      <c r="A169" s="1825"/>
      <c r="B169" s="1825"/>
      <c r="C169" s="1825"/>
      <c r="D169" s="1825"/>
      <c r="E169" s="1825"/>
      <c r="F169" s="1825"/>
      <c r="G169" s="1825"/>
      <c r="H169" s="1825"/>
      <c r="I169" s="1825"/>
      <c r="J169" s="1825"/>
      <c r="K169" s="1825"/>
      <c r="L169" s="1825"/>
      <c r="M169" s="1825"/>
      <c r="N169" s="1825"/>
      <c r="O169" s="1825"/>
      <c r="P169" s="1825"/>
      <c r="Q169" s="1825"/>
      <c r="R169" s="1825"/>
      <c r="S169" s="1825"/>
      <c r="T169" s="1825"/>
      <c r="U169" s="1825"/>
      <c r="V169" s="1825"/>
      <c r="W169" s="1825"/>
      <c r="X169" s="1825"/>
      <c r="Y169" s="1825"/>
      <c r="Z169" s="1825"/>
      <c r="AA169" s="1825"/>
      <c r="AB169" s="1825"/>
      <c r="AC169" s="1825"/>
      <c r="AD169" s="1825"/>
      <c r="AE169" s="1825"/>
      <c r="AF169" s="1825"/>
      <c r="AG169" s="1825"/>
      <c r="AH169" s="1825"/>
    </row>
    <row r="170" spans="1:34" ht="15">
      <c r="A170" s="4038" t="s">
        <v>601</v>
      </c>
      <c r="B170" s="4039"/>
      <c r="C170" s="4040"/>
      <c r="D170" s="1823"/>
      <c r="E170" s="1823"/>
      <c r="F170" s="1823"/>
      <c r="G170" s="1823"/>
      <c r="H170" s="1823"/>
      <c r="I170" s="1823"/>
      <c r="J170" s="1823"/>
      <c r="K170" s="1823"/>
      <c r="L170" s="1823"/>
      <c r="M170" s="1824"/>
      <c r="N170" s="1823"/>
      <c r="O170" s="1823"/>
      <c r="P170" s="1823"/>
      <c r="Q170" s="1823"/>
      <c r="R170" s="1823"/>
      <c r="S170" s="1823"/>
      <c r="T170" s="1823"/>
      <c r="U170" s="1823"/>
      <c r="V170" s="1823"/>
      <c r="W170" s="1823"/>
      <c r="X170" s="1823"/>
      <c r="Y170" s="1823"/>
      <c r="Z170" s="1823"/>
      <c r="AA170" s="1823"/>
      <c r="AB170" s="1823"/>
      <c r="AC170" s="1823"/>
      <c r="AD170" s="1823"/>
      <c r="AE170" s="1823"/>
      <c r="AF170" s="1823"/>
      <c r="AG170" s="1823"/>
      <c r="AH170" s="1823"/>
    </row>
    <row r="171" spans="1:34" ht="15">
      <c r="A171" s="1719" t="s">
        <v>70</v>
      </c>
      <c r="B171" s="1719" t="s">
        <v>71</v>
      </c>
      <c r="C171" s="1719">
        <v>1</v>
      </c>
      <c r="D171" s="1719">
        <v>2</v>
      </c>
      <c r="E171" s="1719">
        <v>3</v>
      </c>
      <c r="F171" s="1719">
        <v>4</v>
      </c>
      <c r="G171" s="1719">
        <v>5</v>
      </c>
      <c r="H171" s="1719">
        <v>6</v>
      </c>
      <c r="I171" s="1719">
        <v>7</v>
      </c>
      <c r="J171" s="1719">
        <v>8</v>
      </c>
      <c r="K171" s="1719">
        <v>9</v>
      </c>
      <c r="L171" s="1719">
        <v>10</v>
      </c>
      <c r="M171" s="1719">
        <v>11</v>
      </c>
      <c r="N171" s="1719">
        <v>12</v>
      </c>
      <c r="O171" s="1719">
        <v>13</v>
      </c>
      <c r="P171" s="1719">
        <v>14</v>
      </c>
      <c r="Q171" s="1719">
        <v>15</v>
      </c>
      <c r="R171" s="1719">
        <v>16</v>
      </c>
      <c r="S171" s="1719">
        <v>17</v>
      </c>
      <c r="T171" s="1719">
        <v>18</v>
      </c>
      <c r="U171" s="1719">
        <v>19</v>
      </c>
      <c r="V171" s="1719">
        <v>20</v>
      </c>
      <c r="W171" s="1719">
        <v>21</v>
      </c>
      <c r="X171" s="1719">
        <v>22</v>
      </c>
      <c r="Y171" s="1719">
        <v>23</v>
      </c>
      <c r="Z171" s="1719">
        <v>24</v>
      </c>
      <c r="AA171" s="1719">
        <v>25</v>
      </c>
      <c r="AB171" s="1719">
        <v>26</v>
      </c>
      <c r="AC171" s="1719">
        <v>27</v>
      </c>
      <c r="AD171" s="1719">
        <v>28</v>
      </c>
      <c r="AE171" s="1719">
        <v>29</v>
      </c>
      <c r="AF171" s="1719">
        <v>30</v>
      </c>
      <c r="AG171" s="1719">
        <v>31</v>
      </c>
      <c r="AH171" s="1822" t="s">
        <v>72</v>
      </c>
    </row>
    <row r="172" spans="1:34" ht="15">
      <c r="A172" s="1719" t="s">
        <v>73</v>
      </c>
      <c r="B172" s="1821">
        <f t="shared" ref="B172:B183" si="27">+AH172</f>
        <v>0</v>
      </c>
      <c r="C172" s="1818">
        <f>+('Fauna Acompañante'!DD229)</f>
        <v>0</v>
      </c>
      <c r="D172" s="1818">
        <f>+('Fauna Acompañante'!DE229)</f>
        <v>0</v>
      </c>
      <c r="E172" s="1818">
        <f>+('Fauna Acompañante'!DF229)</f>
        <v>0</v>
      </c>
      <c r="F172" s="1818">
        <f>+('Fauna Acompañante'!DG229)</f>
        <v>0</v>
      </c>
      <c r="G172" s="1818">
        <f>+('Fauna Acompañante'!DH229)</f>
        <v>0</v>
      </c>
      <c r="H172" s="1818">
        <f>+('Fauna Acompañante'!DI229)</f>
        <v>0</v>
      </c>
      <c r="I172" s="1818">
        <f>+('Fauna Acompañante'!DJ229)</f>
        <v>0</v>
      </c>
      <c r="J172" s="1818">
        <f>+('Fauna Acompañante'!DK229)</f>
        <v>0</v>
      </c>
      <c r="K172" s="1818">
        <f>+('Fauna Acompañante'!DL229)</f>
        <v>0</v>
      </c>
      <c r="L172" s="1818">
        <f>+('Fauna Acompañante'!DM229)</f>
        <v>0</v>
      </c>
      <c r="M172" s="1818">
        <f>+('Fauna Acompañante'!DN229)</f>
        <v>0</v>
      </c>
      <c r="N172" s="1818">
        <f>+('Fauna Acompañante'!DO229)</f>
        <v>0</v>
      </c>
      <c r="O172" s="1818">
        <f>+('Fauna Acompañante'!DP229)</f>
        <v>0</v>
      </c>
      <c r="P172" s="1818">
        <f>+('Fauna Acompañante'!DQ229)</f>
        <v>0</v>
      </c>
      <c r="Q172" s="1818">
        <f>+('Fauna Acompañante'!DR229)</f>
        <v>0</v>
      </c>
      <c r="R172" s="1818">
        <f>+('Fauna Acompañante'!DS229)</f>
        <v>0</v>
      </c>
      <c r="S172" s="1818">
        <f>+('Fauna Acompañante'!DT229)</f>
        <v>0</v>
      </c>
      <c r="T172" s="1818">
        <f>+('Fauna Acompañante'!DU229)</f>
        <v>0</v>
      </c>
      <c r="U172" s="1818">
        <f>+('Fauna Acompañante'!DV229)</f>
        <v>0</v>
      </c>
      <c r="V172" s="1818">
        <f>+('Fauna Acompañante'!DW229)</f>
        <v>0</v>
      </c>
      <c r="W172" s="1818">
        <f>+('Fauna Acompañante'!DX229)</f>
        <v>0</v>
      </c>
      <c r="X172" s="1818">
        <f>+('Fauna Acompañante'!DY229)</f>
        <v>0</v>
      </c>
      <c r="Y172" s="1818">
        <f>+('Fauna Acompañante'!DZ229)</f>
        <v>0</v>
      </c>
      <c r="Z172" s="1818">
        <f>+('Fauna Acompañante'!EA229)</f>
        <v>0</v>
      </c>
      <c r="AA172" s="1818">
        <f>+('Fauna Acompañante'!EB229)</f>
        <v>0</v>
      </c>
      <c r="AB172" s="1818">
        <f>+('Fauna Acompañante'!EC229)</f>
        <v>0</v>
      </c>
      <c r="AC172" s="1818">
        <f>+('Fauna Acompañante'!ED229)</f>
        <v>0</v>
      </c>
      <c r="AD172" s="1818">
        <f>+('Fauna Acompañante'!EE229)</f>
        <v>0</v>
      </c>
      <c r="AE172" s="1818">
        <f>+('Fauna Acompañante'!EF229)</f>
        <v>0</v>
      </c>
      <c r="AF172" s="1818">
        <f>+('Fauna Acompañante'!EG229)</f>
        <v>0</v>
      </c>
      <c r="AG172" s="1818">
        <f>+('Fauna Acompañante'!EH229)</f>
        <v>0</v>
      </c>
      <c r="AH172" s="1817">
        <f t="shared" ref="AH172:AH183" si="28">SUM(C172:AG172)</f>
        <v>0</v>
      </c>
    </row>
    <row r="173" spans="1:34" ht="15">
      <c r="A173" s="1719" t="s">
        <v>74</v>
      </c>
      <c r="B173" s="1821">
        <f t="shared" si="27"/>
        <v>0</v>
      </c>
      <c r="C173" s="1818">
        <f>+('Fauna Acompañante'!DD230)</f>
        <v>0</v>
      </c>
      <c r="D173" s="1818">
        <f>+('Fauna Acompañante'!DE230)</f>
        <v>0</v>
      </c>
      <c r="E173" s="1818">
        <f>+('Fauna Acompañante'!DF230)</f>
        <v>0</v>
      </c>
      <c r="F173" s="1818">
        <f>+('Fauna Acompañante'!DG230)</f>
        <v>0</v>
      </c>
      <c r="G173" s="1818">
        <f>+('Fauna Acompañante'!DH230)</f>
        <v>0</v>
      </c>
      <c r="H173" s="1818">
        <f>+('Fauna Acompañante'!DI230)</f>
        <v>0</v>
      </c>
      <c r="I173" s="1818">
        <f>+('Fauna Acompañante'!DJ230)</f>
        <v>0</v>
      </c>
      <c r="J173" s="1818">
        <f>+('Fauna Acompañante'!DK230)</f>
        <v>0</v>
      </c>
      <c r="K173" s="1818">
        <f>+('Fauna Acompañante'!DL230)</f>
        <v>0</v>
      </c>
      <c r="L173" s="1818">
        <f>+('Fauna Acompañante'!DM230)</f>
        <v>0</v>
      </c>
      <c r="M173" s="1818">
        <f>+('Fauna Acompañante'!DN230)</f>
        <v>0</v>
      </c>
      <c r="N173" s="1818">
        <f>+('Fauna Acompañante'!DO230)</f>
        <v>0</v>
      </c>
      <c r="O173" s="1818">
        <f>+('Fauna Acompañante'!DP230)</f>
        <v>0</v>
      </c>
      <c r="P173" s="1818">
        <f>+('Fauna Acompañante'!DQ230)</f>
        <v>0</v>
      </c>
      <c r="Q173" s="1818">
        <f>+('Fauna Acompañante'!DR230)</f>
        <v>0</v>
      </c>
      <c r="R173" s="1818">
        <f>+('Fauna Acompañante'!DS230)</f>
        <v>0</v>
      </c>
      <c r="S173" s="1818">
        <f>+('Fauna Acompañante'!DT230)</f>
        <v>0</v>
      </c>
      <c r="T173" s="1818">
        <f>+('Fauna Acompañante'!DU230)</f>
        <v>0</v>
      </c>
      <c r="U173" s="1818">
        <f>+('Fauna Acompañante'!DV230)</f>
        <v>0</v>
      </c>
      <c r="V173" s="1818">
        <f>+('Fauna Acompañante'!DW230)</f>
        <v>0</v>
      </c>
      <c r="W173" s="1818">
        <f>+('Fauna Acompañante'!DX230)</f>
        <v>0</v>
      </c>
      <c r="X173" s="1818">
        <f>+('Fauna Acompañante'!DY230)</f>
        <v>0</v>
      </c>
      <c r="Y173" s="1818">
        <f>+('Fauna Acompañante'!DZ230)</f>
        <v>0</v>
      </c>
      <c r="Z173" s="1818">
        <f>+('Fauna Acompañante'!EA230)</f>
        <v>0</v>
      </c>
      <c r="AA173" s="1818">
        <f>+('Fauna Acompañante'!EB230)</f>
        <v>0</v>
      </c>
      <c r="AB173" s="1818">
        <f>+('Fauna Acompañante'!EC230)</f>
        <v>0</v>
      </c>
      <c r="AC173" s="1818">
        <f>+('Fauna Acompañante'!ED230)</f>
        <v>0</v>
      </c>
      <c r="AD173" s="1818">
        <f>+('Fauna Acompañante'!EE230)</f>
        <v>0</v>
      </c>
      <c r="AE173" s="1818">
        <f>+('Fauna Acompañante'!EF230)</f>
        <v>0</v>
      </c>
      <c r="AF173" s="1818">
        <f>+('Fauna Acompañante'!EG230)</f>
        <v>0</v>
      </c>
      <c r="AG173" s="1818">
        <f>+('Fauna Acompañante'!EH230)</f>
        <v>0</v>
      </c>
      <c r="AH173" s="1817">
        <f t="shared" si="28"/>
        <v>0</v>
      </c>
    </row>
    <row r="174" spans="1:34" ht="15">
      <c r="A174" s="1719" t="s">
        <v>75</v>
      </c>
      <c r="B174" s="1821">
        <f t="shared" si="27"/>
        <v>0</v>
      </c>
      <c r="C174" s="1818">
        <f>+('Fauna Acompañante'!DD231)</f>
        <v>0</v>
      </c>
      <c r="D174" s="1818">
        <f>+('Fauna Acompañante'!DE231)</f>
        <v>0</v>
      </c>
      <c r="E174" s="1818">
        <f>+('Fauna Acompañante'!DF231)</f>
        <v>0</v>
      </c>
      <c r="F174" s="1818">
        <f>+('Fauna Acompañante'!DG231)</f>
        <v>0</v>
      </c>
      <c r="G174" s="1818">
        <f>+('Fauna Acompañante'!DH231)</f>
        <v>0</v>
      </c>
      <c r="H174" s="1818">
        <f>+('Fauna Acompañante'!DI231)</f>
        <v>0</v>
      </c>
      <c r="I174" s="1818">
        <f>+('Fauna Acompañante'!DJ231)</f>
        <v>0</v>
      </c>
      <c r="J174" s="1818">
        <f>+('Fauna Acompañante'!DK231)</f>
        <v>0</v>
      </c>
      <c r="K174" s="1818">
        <f>+('Fauna Acompañante'!DL231)</f>
        <v>0</v>
      </c>
      <c r="L174" s="1818">
        <f>+('Fauna Acompañante'!DM231)</f>
        <v>0</v>
      </c>
      <c r="M174" s="1818">
        <f>+('Fauna Acompañante'!DN231)</f>
        <v>0</v>
      </c>
      <c r="N174" s="1818">
        <f>+('Fauna Acompañante'!DO231)</f>
        <v>0</v>
      </c>
      <c r="O174" s="1818">
        <f>+('Fauna Acompañante'!DP231)</f>
        <v>0</v>
      </c>
      <c r="P174" s="1818">
        <f>+('Fauna Acompañante'!DQ231)</f>
        <v>0</v>
      </c>
      <c r="Q174" s="1818">
        <f>+('Fauna Acompañante'!DR231)</f>
        <v>0</v>
      </c>
      <c r="R174" s="1818">
        <f>+('Fauna Acompañante'!DS231)</f>
        <v>0</v>
      </c>
      <c r="S174" s="1818">
        <f>+('Fauna Acompañante'!DT231)</f>
        <v>0</v>
      </c>
      <c r="T174" s="1818">
        <f>+('Fauna Acompañante'!DU231)</f>
        <v>0</v>
      </c>
      <c r="U174" s="1818">
        <f>+('Fauna Acompañante'!DV231)</f>
        <v>0</v>
      </c>
      <c r="V174" s="1818">
        <f>+('Fauna Acompañante'!DW231)</f>
        <v>0</v>
      </c>
      <c r="W174" s="1818">
        <f>+('Fauna Acompañante'!DX231)</f>
        <v>0</v>
      </c>
      <c r="X174" s="1818">
        <f>+('Fauna Acompañante'!DY231)</f>
        <v>0</v>
      </c>
      <c r="Y174" s="1818">
        <f>+('Fauna Acompañante'!DZ231)</f>
        <v>0</v>
      </c>
      <c r="Z174" s="1818">
        <f>+('Fauna Acompañante'!EA231)</f>
        <v>0</v>
      </c>
      <c r="AA174" s="1818">
        <f>+('Fauna Acompañante'!EB231)</f>
        <v>0</v>
      </c>
      <c r="AB174" s="1818">
        <f>+('Fauna Acompañante'!EC231)</f>
        <v>0</v>
      </c>
      <c r="AC174" s="1818">
        <f>+('Fauna Acompañante'!ED231)</f>
        <v>0</v>
      </c>
      <c r="AD174" s="1818">
        <f>+('Fauna Acompañante'!EE231)</f>
        <v>0</v>
      </c>
      <c r="AE174" s="1818">
        <f>+('Fauna Acompañante'!EF231)</f>
        <v>0</v>
      </c>
      <c r="AF174" s="1818">
        <f>+('Fauna Acompañante'!EG231)</f>
        <v>0</v>
      </c>
      <c r="AG174" s="1818">
        <f>+('Fauna Acompañante'!EH231)</f>
        <v>0</v>
      </c>
      <c r="AH174" s="1817">
        <f t="shared" si="28"/>
        <v>0</v>
      </c>
    </row>
    <row r="175" spans="1:34" ht="15">
      <c r="A175" s="1719" t="s">
        <v>76</v>
      </c>
      <c r="B175" s="1821">
        <f t="shared" si="27"/>
        <v>0</v>
      </c>
      <c r="C175" s="1818">
        <f>+('Fauna Acompañante'!DD232)</f>
        <v>0</v>
      </c>
      <c r="D175" s="1818">
        <f>+('Fauna Acompañante'!DE232)</f>
        <v>0</v>
      </c>
      <c r="E175" s="1818">
        <f>+('Fauna Acompañante'!DF232)</f>
        <v>0</v>
      </c>
      <c r="F175" s="1818">
        <f>+('Fauna Acompañante'!DG232)</f>
        <v>0</v>
      </c>
      <c r="G175" s="1818">
        <f>+('Fauna Acompañante'!DH232)</f>
        <v>0</v>
      </c>
      <c r="H175" s="1818">
        <f>+('Fauna Acompañante'!DI232)</f>
        <v>0</v>
      </c>
      <c r="I175" s="1818">
        <f>+('Fauna Acompañante'!DJ232)</f>
        <v>0</v>
      </c>
      <c r="J175" s="1818">
        <f>+('Fauna Acompañante'!DK232)</f>
        <v>0</v>
      </c>
      <c r="K175" s="1818">
        <f>+('Fauna Acompañante'!DL232)</f>
        <v>0</v>
      </c>
      <c r="L175" s="1818">
        <f>+('Fauna Acompañante'!DM232)</f>
        <v>0</v>
      </c>
      <c r="M175" s="1818">
        <f>+('Fauna Acompañante'!DN232)</f>
        <v>0</v>
      </c>
      <c r="N175" s="1818">
        <f>+('Fauna Acompañante'!DO232)</f>
        <v>0</v>
      </c>
      <c r="O175" s="1818">
        <f>+('Fauna Acompañante'!DP232)</f>
        <v>0</v>
      </c>
      <c r="P175" s="1818">
        <f>+('Fauna Acompañante'!DQ232)</f>
        <v>0</v>
      </c>
      <c r="Q175" s="1818">
        <f>+('Fauna Acompañante'!DR232)</f>
        <v>0</v>
      </c>
      <c r="R175" s="1818">
        <f>+('Fauna Acompañante'!DS232)</f>
        <v>0</v>
      </c>
      <c r="S175" s="1818">
        <f>+('Fauna Acompañante'!DT232)</f>
        <v>0</v>
      </c>
      <c r="T175" s="1818">
        <f>+('Fauna Acompañante'!DU232)</f>
        <v>0</v>
      </c>
      <c r="U175" s="1818">
        <f>+('Fauna Acompañante'!DV232)</f>
        <v>0</v>
      </c>
      <c r="V175" s="1818">
        <f>+('Fauna Acompañante'!DW232)</f>
        <v>0</v>
      </c>
      <c r="W175" s="1818">
        <f>+('Fauna Acompañante'!DX232)</f>
        <v>0</v>
      </c>
      <c r="X175" s="1818">
        <f>+('Fauna Acompañante'!DY232)</f>
        <v>0</v>
      </c>
      <c r="Y175" s="1818">
        <f>+('Fauna Acompañante'!DZ232)</f>
        <v>0</v>
      </c>
      <c r="Z175" s="1818">
        <f>+('Fauna Acompañante'!EA232)</f>
        <v>0</v>
      </c>
      <c r="AA175" s="1818">
        <f>+('Fauna Acompañante'!EB232)</f>
        <v>0</v>
      </c>
      <c r="AB175" s="1818">
        <f>+('Fauna Acompañante'!EC232)</f>
        <v>0</v>
      </c>
      <c r="AC175" s="1818">
        <f>+('Fauna Acompañante'!ED232)</f>
        <v>0</v>
      </c>
      <c r="AD175" s="1818">
        <f>+('Fauna Acompañante'!EE232)</f>
        <v>0</v>
      </c>
      <c r="AE175" s="1818">
        <f>+('Fauna Acompañante'!EF232)</f>
        <v>0</v>
      </c>
      <c r="AF175" s="1818">
        <f>+('Fauna Acompañante'!EG232)</f>
        <v>0</v>
      </c>
      <c r="AG175" s="1818">
        <f>+('Fauna Acompañante'!EH232)</f>
        <v>0</v>
      </c>
      <c r="AH175" s="1817">
        <f t="shared" si="28"/>
        <v>0</v>
      </c>
    </row>
    <row r="176" spans="1:34" ht="15">
      <c r="A176" s="1719" t="s">
        <v>77</v>
      </c>
      <c r="B176" s="1821">
        <f t="shared" si="27"/>
        <v>0</v>
      </c>
      <c r="C176" s="1818">
        <f>+('Fauna Acompañante'!DD233)</f>
        <v>0</v>
      </c>
      <c r="D176" s="1818">
        <f>+('Fauna Acompañante'!DE233)</f>
        <v>0</v>
      </c>
      <c r="E176" s="1818">
        <f>+('Fauna Acompañante'!DF233)</f>
        <v>0</v>
      </c>
      <c r="F176" s="1818">
        <f>+('Fauna Acompañante'!DG233)</f>
        <v>0</v>
      </c>
      <c r="G176" s="1818">
        <f>+('Fauna Acompañante'!DH233)</f>
        <v>0</v>
      </c>
      <c r="H176" s="1818">
        <f>+('Fauna Acompañante'!DI233)</f>
        <v>0</v>
      </c>
      <c r="I176" s="1818">
        <f>+('Fauna Acompañante'!DJ233)</f>
        <v>0</v>
      </c>
      <c r="J176" s="1818">
        <f>+('Fauna Acompañante'!DK233)</f>
        <v>0</v>
      </c>
      <c r="K176" s="1818">
        <f>+('Fauna Acompañante'!DL233)</f>
        <v>0</v>
      </c>
      <c r="L176" s="1818">
        <f>+('Fauna Acompañante'!DM233)</f>
        <v>0</v>
      </c>
      <c r="M176" s="1818">
        <f>+('Fauna Acompañante'!DN233)</f>
        <v>0</v>
      </c>
      <c r="N176" s="1818">
        <f>+('Fauna Acompañante'!DO233)</f>
        <v>0</v>
      </c>
      <c r="O176" s="1818">
        <f>+('Fauna Acompañante'!DP233)</f>
        <v>0</v>
      </c>
      <c r="P176" s="1818">
        <f>+('Fauna Acompañante'!DQ233)</f>
        <v>0</v>
      </c>
      <c r="Q176" s="1818">
        <f>+('Fauna Acompañante'!DR233)</f>
        <v>0</v>
      </c>
      <c r="R176" s="1818">
        <f>+('Fauna Acompañante'!DS233)</f>
        <v>0</v>
      </c>
      <c r="S176" s="1818">
        <f>+('Fauna Acompañante'!DT233)</f>
        <v>0</v>
      </c>
      <c r="T176" s="1818">
        <f>+('Fauna Acompañante'!DU233)</f>
        <v>0</v>
      </c>
      <c r="U176" s="1818">
        <f>+('Fauna Acompañante'!DV233)</f>
        <v>0</v>
      </c>
      <c r="V176" s="1818">
        <f>+('Fauna Acompañante'!DW233)</f>
        <v>0</v>
      </c>
      <c r="W176" s="1818">
        <f>+('Fauna Acompañante'!DX233)</f>
        <v>0</v>
      </c>
      <c r="X176" s="1818">
        <f>+('Fauna Acompañante'!DY233)</f>
        <v>0</v>
      </c>
      <c r="Y176" s="1818">
        <f>+('Fauna Acompañante'!DZ233)</f>
        <v>0</v>
      </c>
      <c r="Z176" s="1818">
        <f>+('Fauna Acompañante'!EA233)</f>
        <v>0</v>
      </c>
      <c r="AA176" s="1818">
        <f>+('Fauna Acompañante'!EB233)</f>
        <v>0</v>
      </c>
      <c r="AB176" s="1818">
        <f>+('Fauna Acompañante'!EC233)</f>
        <v>0</v>
      </c>
      <c r="AC176" s="1818">
        <f>+('Fauna Acompañante'!ED233)</f>
        <v>0</v>
      </c>
      <c r="AD176" s="1818">
        <f>+('Fauna Acompañante'!EE233)</f>
        <v>0</v>
      </c>
      <c r="AE176" s="1818">
        <f>+('Fauna Acompañante'!EF233)</f>
        <v>0</v>
      </c>
      <c r="AF176" s="1818">
        <f>+('Fauna Acompañante'!EG233)</f>
        <v>0</v>
      </c>
      <c r="AG176" s="1818">
        <f>+('Fauna Acompañante'!EH233)</f>
        <v>0</v>
      </c>
      <c r="AH176" s="1817">
        <f t="shared" si="28"/>
        <v>0</v>
      </c>
    </row>
    <row r="177" spans="1:34" ht="15">
      <c r="A177" s="1719" t="s">
        <v>78</v>
      </c>
      <c r="B177" s="1821">
        <f t="shared" si="27"/>
        <v>0</v>
      </c>
      <c r="C177" s="1818">
        <f>+('Fauna Acompañante'!DD234)</f>
        <v>0</v>
      </c>
      <c r="D177" s="1818">
        <f>+('Fauna Acompañante'!DE234)</f>
        <v>0</v>
      </c>
      <c r="E177" s="1818">
        <f>+('Fauna Acompañante'!DF234)</f>
        <v>0</v>
      </c>
      <c r="F177" s="1818">
        <f>+('Fauna Acompañante'!DG234)</f>
        <v>0</v>
      </c>
      <c r="G177" s="1818">
        <f>+('Fauna Acompañante'!DH234)</f>
        <v>0</v>
      </c>
      <c r="H177" s="1818">
        <f>+('Fauna Acompañante'!DI234)</f>
        <v>0</v>
      </c>
      <c r="I177" s="1818">
        <f>+('Fauna Acompañante'!DJ234)</f>
        <v>0</v>
      </c>
      <c r="J177" s="1818">
        <f>+('Fauna Acompañante'!DK234)</f>
        <v>0</v>
      </c>
      <c r="K177" s="1818">
        <f>+('Fauna Acompañante'!DL234)</f>
        <v>0</v>
      </c>
      <c r="L177" s="1818">
        <f>+('Fauna Acompañante'!DM234)</f>
        <v>0</v>
      </c>
      <c r="M177" s="1818">
        <f>+('Fauna Acompañante'!DN234)</f>
        <v>0</v>
      </c>
      <c r="N177" s="1818">
        <f>+('Fauna Acompañante'!DO234)</f>
        <v>0</v>
      </c>
      <c r="O177" s="1818">
        <f>+('Fauna Acompañante'!DP234)</f>
        <v>0</v>
      </c>
      <c r="P177" s="1818">
        <f>+('Fauna Acompañante'!DQ234)</f>
        <v>0</v>
      </c>
      <c r="Q177" s="1818">
        <f>+('Fauna Acompañante'!DR234)</f>
        <v>0</v>
      </c>
      <c r="R177" s="1818">
        <f>+('Fauna Acompañante'!DS234)</f>
        <v>0</v>
      </c>
      <c r="S177" s="1818">
        <f>+('Fauna Acompañante'!DT234)</f>
        <v>0</v>
      </c>
      <c r="T177" s="1818">
        <f>+('Fauna Acompañante'!DU234)</f>
        <v>0</v>
      </c>
      <c r="U177" s="1818">
        <f>+('Fauna Acompañante'!DV234)</f>
        <v>0</v>
      </c>
      <c r="V177" s="1818">
        <f>+('Fauna Acompañante'!DW234)</f>
        <v>0</v>
      </c>
      <c r="W177" s="1818">
        <f>+('Fauna Acompañante'!DX234)</f>
        <v>0</v>
      </c>
      <c r="X177" s="1818">
        <f>+('Fauna Acompañante'!DY234)</f>
        <v>0</v>
      </c>
      <c r="Y177" s="1818">
        <f>+('Fauna Acompañante'!DZ234)</f>
        <v>0</v>
      </c>
      <c r="Z177" s="1818">
        <f>+('Fauna Acompañante'!EA234)</f>
        <v>0</v>
      </c>
      <c r="AA177" s="1818">
        <f>+('Fauna Acompañante'!EB234)</f>
        <v>0</v>
      </c>
      <c r="AB177" s="1818">
        <f>+('Fauna Acompañante'!EC234)</f>
        <v>0</v>
      </c>
      <c r="AC177" s="1818">
        <f>+('Fauna Acompañante'!ED234)</f>
        <v>0</v>
      </c>
      <c r="AD177" s="1818">
        <f>+('Fauna Acompañante'!EE234)</f>
        <v>0</v>
      </c>
      <c r="AE177" s="1818">
        <f>+('Fauna Acompañante'!EF234)</f>
        <v>0</v>
      </c>
      <c r="AF177" s="1818">
        <f>+('Fauna Acompañante'!EG234)</f>
        <v>0</v>
      </c>
      <c r="AG177" s="1818">
        <f>+('Fauna Acompañante'!EH234)</f>
        <v>0</v>
      </c>
      <c r="AH177" s="1817">
        <f t="shared" si="28"/>
        <v>0</v>
      </c>
    </row>
    <row r="178" spans="1:34" ht="15">
      <c r="A178" s="1719" t="s">
        <v>79</v>
      </c>
      <c r="B178" s="1821">
        <f t="shared" si="27"/>
        <v>0</v>
      </c>
      <c r="C178" s="1818">
        <f>+('Fauna Acompañante'!DD235)</f>
        <v>0</v>
      </c>
      <c r="D178" s="1818">
        <f>+('Fauna Acompañante'!DE235)</f>
        <v>0</v>
      </c>
      <c r="E178" s="1818">
        <f>+('Fauna Acompañante'!DF235)</f>
        <v>0</v>
      </c>
      <c r="F178" s="1818">
        <f>+('Fauna Acompañante'!DG235)</f>
        <v>0</v>
      </c>
      <c r="G178" s="1818">
        <f>+('Fauna Acompañante'!DH235)</f>
        <v>0</v>
      </c>
      <c r="H178" s="1818">
        <f>+('Fauna Acompañante'!DI235)</f>
        <v>0</v>
      </c>
      <c r="I178" s="1818">
        <f>+('Fauna Acompañante'!DJ235)</f>
        <v>0</v>
      </c>
      <c r="J178" s="1818">
        <f>+('Fauna Acompañante'!DK235)</f>
        <v>0</v>
      </c>
      <c r="K178" s="1818">
        <f>+('Fauna Acompañante'!DL235)</f>
        <v>0</v>
      </c>
      <c r="L178" s="1818">
        <f>+('Fauna Acompañante'!DM235)</f>
        <v>0</v>
      </c>
      <c r="M178" s="1818">
        <f>+('Fauna Acompañante'!DN235)</f>
        <v>0</v>
      </c>
      <c r="N178" s="1818">
        <f>+('Fauna Acompañante'!DO235)</f>
        <v>0</v>
      </c>
      <c r="O178" s="1818">
        <f>+('Fauna Acompañante'!DP235)</f>
        <v>0</v>
      </c>
      <c r="P178" s="1818">
        <f>+('Fauna Acompañante'!DQ235)</f>
        <v>0</v>
      </c>
      <c r="Q178" s="1818">
        <f>+('Fauna Acompañante'!DR235)</f>
        <v>0</v>
      </c>
      <c r="R178" s="1818">
        <f>+('Fauna Acompañante'!DS235)</f>
        <v>0</v>
      </c>
      <c r="S178" s="1818">
        <f>+('Fauna Acompañante'!DT235)</f>
        <v>0</v>
      </c>
      <c r="T178" s="1818">
        <f>+('Fauna Acompañante'!DU235)</f>
        <v>0</v>
      </c>
      <c r="U178" s="1818">
        <f>+('Fauna Acompañante'!DV235)</f>
        <v>0</v>
      </c>
      <c r="V178" s="1818">
        <f>+('Fauna Acompañante'!DW235)</f>
        <v>0</v>
      </c>
      <c r="W178" s="1818">
        <f>+('Fauna Acompañante'!DX235)</f>
        <v>0</v>
      </c>
      <c r="X178" s="1818">
        <f>+('Fauna Acompañante'!DY235)</f>
        <v>0</v>
      </c>
      <c r="Y178" s="1818">
        <f>+('Fauna Acompañante'!DZ235)</f>
        <v>0</v>
      </c>
      <c r="Z178" s="1818">
        <f>+('Fauna Acompañante'!EA235)</f>
        <v>0</v>
      </c>
      <c r="AA178" s="1818">
        <f>+('Fauna Acompañante'!EB235)</f>
        <v>0</v>
      </c>
      <c r="AB178" s="1818">
        <f>+('Fauna Acompañante'!EC235)</f>
        <v>0</v>
      </c>
      <c r="AC178" s="1818">
        <f>+('Fauna Acompañante'!ED235)</f>
        <v>0</v>
      </c>
      <c r="AD178" s="1818">
        <f>+('Fauna Acompañante'!EE235)</f>
        <v>0</v>
      </c>
      <c r="AE178" s="1818">
        <f>+('Fauna Acompañante'!EF235)</f>
        <v>0</v>
      </c>
      <c r="AF178" s="1818">
        <f>+('Fauna Acompañante'!EG235)</f>
        <v>0</v>
      </c>
      <c r="AG178" s="1818">
        <f>+('Fauna Acompañante'!EH235)</f>
        <v>0</v>
      </c>
      <c r="AH178" s="1817">
        <f t="shared" si="28"/>
        <v>0</v>
      </c>
    </row>
    <row r="179" spans="1:34" ht="15">
      <c r="A179" s="1719" t="s">
        <v>80</v>
      </c>
      <c r="B179" s="1821">
        <f t="shared" si="27"/>
        <v>0</v>
      </c>
      <c r="C179" s="1818">
        <f>+('Fauna Acompañante'!DD236)</f>
        <v>0</v>
      </c>
      <c r="D179" s="1818">
        <f>+('Fauna Acompañante'!DE236)</f>
        <v>0</v>
      </c>
      <c r="E179" s="1818">
        <f>+('Fauna Acompañante'!DF236)</f>
        <v>0</v>
      </c>
      <c r="F179" s="1818">
        <f>+('Fauna Acompañante'!DG236)</f>
        <v>0</v>
      </c>
      <c r="G179" s="1818">
        <f>+('Fauna Acompañante'!DH236)</f>
        <v>0</v>
      </c>
      <c r="H179" s="1818">
        <f>+('Fauna Acompañante'!DI236)</f>
        <v>0</v>
      </c>
      <c r="I179" s="1818">
        <f>+('Fauna Acompañante'!DJ236)</f>
        <v>0</v>
      </c>
      <c r="J179" s="1818">
        <f>+('Fauna Acompañante'!DK236)</f>
        <v>0</v>
      </c>
      <c r="K179" s="1818">
        <f>+('Fauna Acompañante'!DL236)</f>
        <v>0</v>
      </c>
      <c r="L179" s="1818">
        <f>+('Fauna Acompañante'!DM236)</f>
        <v>0</v>
      </c>
      <c r="M179" s="1818">
        <f>+('Fauna Acompañante'!DN236)</f>
        <v>0</v>
      </c>
      <c r="N179" s="1818">
        <f>+('Fauna Acompañante'!DO236)</f>
        <v>0</v>
      </c>
      <c r="O179" s="1818">
        <f>+('Fauna Acompañante'!DP236)</f>
        <v>0</v>
      </c>
      <c r="P179" s="1818">
        <f>+('Fauna Acompañante'!DQ236)</f>
        <v>0</v>
      </c>
      <c r="Q179" s="1818">
        <f>+('Fauna Acompañante'!DR236)</f>
        <v>0</v>
      </c>
      <c r="R179" s="1818">
        <f>+('Fauna Acompañante'!DS236)</f>
        <v>0</v>
      </c>
      <c r="S179" s="1818">
        <f>+('Fauna Acompañante'!DT236)</f>
        <v>0</v>
      </c>
      <c r="T179" s="1818">
        <f>+('Fauna Acompañante'!DU236)</f>
        <v>0</v>
      </c>
      <c r="U179" s="1818">
        <f>+('Fauna Acompañante'!DV236)</f>
        <v>0</v>
      </c>
      <c r="V179" s="1818">
        <f>+('Fauna Acompañante'!DW236)</f>
        <v>0</v>
      </c>
      <c r="W179" s="1818">
        <f>+('Fauna Acompañante'!DX236)</f>
        <v>0</v>
      </c>
      <c r="X179" s="1818">
        <f>+('Fauna Acompañante'!DY236)</f>
        <v>0</v>
      </c>
      <c r="Y179" s="1818">
        <f>+('Fauna Acompañante'!DZ236)</f>
        <v>0</v>
      </c>
      <c r="Z179" s="1818">
        <f>+('Fauna Acompañante'!EA236)</f>
        <v>0</v>
      </c>
      <c r="AA179" s="1818">
        <f>+('Fauna Acompañante'!EB236)</f>
        <v>0</v>
      </c>
      <c r="AB179" s="1818">
        <f>+('Fauna Acompañante'!EC236)</f>
        <v>0</v>
      </c>
      <c r="AC179" s="1818">
        <f>+('Fauna Acompañante'!ED236)</f>
        <v>0</v>
      </c>
      <c r="AD179" s="1818">
        <f>+('Fauna Acompañante'!EE236)</f>
        <v>0</v>
      </c>
      <c r="AE179" s="1818">
        <f>+('Fauna Acompañante'!EF236)</f>
        <v>0</v>
      </c>
      <c r="AF179" s="1818">
        <f>+('Fauna Acompañante'!EG236)</f>
        <v>0</v>
      </c>
      <c r="AG179" s="1818">
        <f>+('Fauna Acompañante'!EH236)</f>
        <v>0</v>
      </c>
      <c r="AH179" s="1817">
        <f t="shared" si="28"/>
        <v>0</v>
      </c>
    </row>
    <row r="180" spans="1:34" ht="15">
      <c r="A180" s="1719" t="s">
        <v>81</v>
      </c>
      <c r="B180" s="1821">
        <f t="shared" si="27"/>
        <v>0</v>
      </c>
      <c r="C180" s="1818">
        <f>+('Fauna Acompañante'!DD237)</f>
        <v>0</v>
      </c>
      <c r="D180" s="1818">
        <f>+('Fauna Acompañante'!DE237)</f>
        <v>0</v>
      </c>
      <c r="E180" s="1818">
        <f>+('Fauna Acompañante'!DF237)</f>
        <v>0</v>
      </c>
      <c r="F180" s="1818">
        <f>+('Fauna Acompañante'!DG237)</f>
        <v>0</v>
      </c>
      <c r="G180" s="1818">
        <f>+('Fauna Acompañante'!DH237)</f>
        <v>0</v>
      </c>
      <c r="H180" s="1818">
        <f>+('Fauna Acompañante'!DI237)</f>
        <v>0</v>
      </c>
      <c r="I180" s="1818">
        <f>+('Fauna Acompañante'!DJ237)</f>
        <v>0</v>
      </c>
      <c r="J180" s="1818">
        <f>+('Fauna Acompañante'!DK237)</f>
        <v>0</v>
      </c>
      <c r="K180" s="1818">
        <f>+('Fauna Acompañante'!DL237)</f>
        <v>0</v>
      </c>
      <c r="L180" s="1818">
        <f>+('Fauna Acompañante'!DM237)</f>
        <v>0</v>
      </c>
      <c r="M180" s="1818">
        <f>+('Fauna Acompañante'!DN237)</f>
        <v>0</v>
      </c>
      <c r="N180" s="1818">
        <f>+('Fauna Acompañante'!DO237)</f>
        <v>0</v>
      </c>
      <c r="O180" s="1818">
        <f>+('Fauna Acompañante'!DP237)</f>
        <v>0</v>
      </c>
      <c r="P180" s="1818">
        <f>+('Fauna Acompañante'!DQ237)</f>
        <v>0</v>
      </c>
      <c r="Q180" s="1818">
        <f>+('Fauna Acompañante'!DR237)</f>
        <v>0</v>
      </c>
      <c r="R180" s="1818">
        <f>+('Fauna Acompañante'!DS237)</f>
        <v>0</v>
      </c>
      <c r="S180" s="1818">
        <f>+('Fauna Acompañante'!DT237)</f>
        <v>0</v>
      </c>
      <c r="T180" s="1818">
        <f>+('Fauna Acompañante'!DU237)</f>
        <v>0</v>
      </c>
      <c r="U180" s="1818">
        <f>+('Fauna Acompañante'!DV237)</f>
        <v>0</v>
      </c>
      <c r="V180" s="1818">
        <f>+('Fauna Acompañante'!DW237)</f>
        <v>0</v>
      </c>
      <c r="W180" s="1818">
        <f>+('Fauna Acompañante'!DX237)</f>
        <v>0</v>
      </c>
      <c r="X180" s="1818">
        <f>+('Fauna Acompañante'!DY237)</f>
        <v>0</v>
      </c>
      <c r="Y180" s="1818">
        <f>+('Fauna Acompañante'!DZ237)</f>
        <v>0</v>
      </c>
      <c r="Z180" s="1818">
        <f>+('Fauna Acompañante'!EA237)</f>
        <v>0</v>
      </c>
      <c r="AA180" s="1818">
        <f>+('Fauna Acompañante'!EB237)</f>
        <v>0</v>
      </c>
      <c r="AB180" s="1818">
        <f>+('Fauna Acompañante'!EC237)</f>
        <v>0</v>
      </c>
      <c r="AC180" s="1818">
        <f>+('Fauna Acompañante'!ED237)</f>
        <v>0</v>
      </c>
      <c r="AD180" s="1818">
        <f>+('Fauna Acompañante'!EE237)</f>
        <v>0</v>
      </c>
      <c r="AE180" s="1818">
        <f>+('Fauna Acompañante'!EF237)</f>
        <v>0</v>
      </c>
      <c r="AF180" s="1818">
        <f>+('Fauna Acompañante'!EG237)</f>
        <v>0</v>
      </c>
      <c r="AG180" s="1818">
        <f>+('Fauna Acompañante'!EH237)</f>
        <v>0</v>
      </c>
      <c r="AH180" s="1817">
        <f t="shared" si="28"/>
        <v>0</v>
      </c>
    </row>
    <row r="181" spans="1:34" ht="15">
      <c r="A181" s="1719" t="s">
        <v>82</v>
      </c>
      <c r="B181" s="1821">
        <f t="shared" si="27"/>
        <v>0</v>
      </c>
      <c r="C181" s="1818">
        <f>+('Fauna Acompañante'!DD238)</f>
        <v>0</v>
      </c>
      <c r="D181" s="1818">
        <f>+('Fauna Acompañante'!DE238)</f>
        <v>0</v>
      </c>
      <c r="E181" s="1818">
        <f>+('Fauna Acompañante'!DF238)</f>
        <v>0</v>
      </c>
      <c r="F181" s="1818">
        <f>+('Fauna Acompañante'!DG238)</f>
        <v>0</v>
      </c>
      <c r="G181" s="1818">
        <f>+('Fauna Acompañante'!DH238)</f>
        <v>0</v>
      </c>
      <c r="H181" s="1818">
        <f>+('Fauna Acompañante'!DI238)</f>
        <v>0</v>
      </c>
      <c r="I181" s="1818">
        <f>+('Fauna Acompañante'!DJ238)</f>
        <v>0</v>
      </c>
      <c r="J181" s="1818">
        <f>+('Fauna Acompañante'!DK238)</f>
        <v>0</v>
      </c>
      <c r="K181" s="1818">
        <f>+('Fauna Acompañante'!DL238)</f>
        <v>0</v>
      </c>
      <c r="L181" s="1818">
        <f>+('Fauna Acompañante'!DM238)</f>
        <v>0</v>
      </c>
      <c r="M181" s="1818">
        <f>+('Fauna Acompañante'!DN238)</f>
        <v>0</v>
      </c>
      <c r="N181" s="1818">
        <f>+('Fauna Acompañante'!DO238)</f>
        <v>0</v>
      </c>
      <c r="O181" s="1818">
        <f>+('Fauna Acompañante'!DP238)</f>
        <v>0</v>
      </c>
      <c r="P181" s="1818">
        <f>+('Fauna Acompañante'!DQ238)</f>
        <v>0</v>
      </c>
      <c r="Q181" s="1818">
        <f>+('Fauna Acompañante'!DR238)</f>
        <v>0</v>
      </c>
      <c r="R181" s="1818">
        <f>+('Fauna Acompañante'!DS238)</f>
        <v>0</v>
      </c>
      <c r="S181" s="1818">
        <f>+('Fauna Acompañante'!DT238)</f>
        <v>0</v>
      </c>
      <c r="T181" s="1818">
        <f>+('Fauna Acompañante'!DU238)</f>
        <v>0</v>
      </c>
      <c r="U181" s="1818">
        <f>+('Fauna Acompañante'!DV238)</f>
        <v>0</v>
      </c>
      <c r="V181" s="1818">
        <f>+('Fauna Acompañante'!DW238)</f>
        <v>0</v>
      </c>
      <c r="W181" s="1818">
        <f>+('Fauna Acompañante'!DX238)</f>
        <v>0</v>
      </c>
      <c r="X181" s="1818">
        <f>+('Fauna Acompañante'!DY238)</f>
        <v>0</v>
      </c>
      <c r="Y181" s="1818">
        <f>+('Fauna Acompañante'!DZ238)</f>
        <v>0</v>
      </c>
      <c r="Z181" s="1818">
        <f>+('Fauna Acompañante'!EA238)</f>
        <v>0</v>
      </c>
      <c r="AA181" s="1818">
        <f>+('Fauna Acompañante'!EB238)</f>
        <v>0</v>
      </c>
      <c r="AB181" s="1818">
        <f>+('Fauna Acompañante'!EC238)</f>
        <v>0</v>
      </c>
      <c r="AC181" s="1818">
        <f>+('Fauna Acompañante'!ED238)</f>
        <v>0</v>
      </c>
      <c r="AD181" s="1818">
        <f>+('Fauna Acompañante'!EE238)</f>
        <v>0</v>
      </c>
      <c r="AE181" s="1818">
        <f>+('Fauna Acompañante'!EF238)</f>
        <v>0</v>
      </c>
      <c r="AF181" s="1818">
        <f>+('Fauna Acompañante'!EG238)</f>
        <v>0</v>
      </c>
      <c r="AG181" s="1818">
        <f>+('Fauna Acompañante'!EH238)</f>
        <v>0</v>
      </c>
      <c r="AH181" s="1817">
        <f t="shared" si="28"/>
        <v>0</v>
      </c>
    </row>
    <row r="182" spans="1:34" ht="15">
      <c r="A182" s="1719" t="s">
        <v>83</v>
      </c>
      <c r="B182" s="1821">
        <f t="shared" si="27"/>
        <v>0</v>
      </c>
      <c r="C182" s="1818">
        <f>+('Fauna Acompañante'!DD239)</f>
        <v>0</v>
      </c>
      <c r="D182" s="1818">
        <f>+('Fauna Acompañante'!DE239)</f>
        <v>0</v>
      </c>
      <c r="E182" s="1818">
        <f>+('Fauna Acompañante'!DF239)</f>
        <v>0</v>
      </c>
      <c r="F182" s="1818">
        <f>+('Fauna Acompañante'!DG239)</f>
        <v>0</v>
      </c>
      <c r="G182" s="1818">
        <f>+('Fauna Acompañante'!DH239)</f>
        <v>0</v>
      </c>
      <c r="H182" s="1818">
        <f>+('Fauna Acompañante'!DI239)</f>
        <v>0</v>
      </c>
      <c r="I182" s="1818">
        <f>+('Fauna Acompañante'!DJ239)</f>
        <v>0</v>
      </c>
      <c r="J182" s="1818">
        <f>+('Fauna Acompañante'!DK239)</f>
        <v>0</v>
      </c>
      <c r="K182" s="1818">
        <f>+('Fauna Acompañante'!DL239)</f>
        <v>0</v>
      </c>
      <c r="L182" s="1818">
        <f>+('Fauna Acompañante'!DM239)</f>
        <v>0</v>
      </c>
      <c r="M182" s="1818">
        <f>+('Fauna Acompañante'!DN239)</f>
        <v>0</v>
      </c>
      <c r="N182" s="1818">
        <f>+('Fauna Acompañante'!DO239)</f>
        <v>0</v>
      </c>
      <c r="O182" s="1818">
        <f>+('Fauna Acompañante'!DP239)</f>
        <v>0</v>
      </c>
      <c r="P182" s="1818">
        <f>+('Fauna Acompañante'!DQ239)</f>
        <v>0</v>
      </c>
      <c r="Q182" s="1818">
        <f>+('Fauna Acompañante'!DR239)</f>
        <v>0</v>
      </c>
      <c r="R182" s="1818">
        <f>+('Fauna Acompañante'!DS239)</f>
        <v>0</v>
      </c>
      <c r="S182" s="1818">
        <f>+('Fauna Acompañante'!DT239)</f>
        <v>0</v>
      </c>
      <c r="T182" s="1818">
        <f>+('Fauna Acompañante'!DU239)</f>
        <v>0</v>
      </c>
      <c r="U182" s="1818">
        <f>+('Fauna Acompañante'!DV239)</f>
        <v>0</v>
      </c>
      <c r="V182" s="1818">
        <f>+('Fauna Acompañante'!DW239)</f>
        <v>0</v>
      </c>
      <c r="W182" s="1818">
        <f>+('Fauna Acompañante'!DX239)</f>
        <v>0</v>
      </c>
      <c r="X182" s="1818">
        <f>+('Fauna Acompañante'!DY239)</f>
        <v>0</v>
      </c>
      <c r="Y182" s="1818">
        <f>+('Fauna Acompañante'!DZ239)</f>
        <v>0</v>
      </c>
      <c r="Z182" s="1818">
        <f>+('Fauna Acompañante'!EA239)</f>
        <v>0</v>
      </c>
      <c r="AA182" s="1818">
        <f>+('Fauna Acompañante'!EB239)</f>
        <v>0</v>
      </c>
      <c r="AB182" s="1818">
        <f>+('Fauna Acompañante'!EC239)</f>
        <v>0</v>
      </c>
      <c r="AC182" s="1818">
        <f>+('Fauna Acompañante'!ED239)</f>
        <v>0</v>
      </c>
      <c r="AD182" s="1818">
        <f>+('Fauna Acompañante'!EE239)</f>
        <v>0</v>
      </c>
      <c r="AE182" s="1818">
        <f>+('Fauna Acompañante'!EF239)</f>
        <v>0</v>
      </c>
      <c r="AF182" s="1818">
        <f>+('Fauna Acompañante'!EG239)</f>
        <v>0</v>
      </c>
      <c r="AG182" s="1818">
        <f>+('Fauna Acompañante'!EH239)</f>
        <v>0</v>
      </c>
      <c r="AH182" s="1817">
        <f t="shared" si="28"/>
        <v>0</v>
      </c>
    </row>
    <row r="183" spans="1:34" ht="15">
      <c r="A183" s="1719" t="s">
        <v>84</v>
      </c>
      <c r="B183" s="1821">
        <f t="shared" si="27"/>
        <v>0</v>
      </c>
      <c r="C183" s="1818">
        <f>+('Fauna Acompañante'!DD240)</f>
        <v>0</v>
      </c>
      <c r="D183" s="1818">
        <f>+('Fauna Acompañante'!DE240)</f>
        <v>0</v>
      </c>
      <c r="E183" s="1818">
        <f>+('Fauna Acompañante'!DF240)</f>
        <v>0</v>
      </c>
      <c r="F183" s="1818">
        <f>+('Fauna Acompañante'!DG240)</f>
        <v>0</v>
      </c>
      <c r="G183" s="1818">
        <f>+('Fauna Acompañante'!DH240)</f>
        <v>0</v>
      </c>
      <c r="H183" s="1818">
        <f>+('Fauna Acompañante'!DI240)</f>
        <v>0</v>
      </c>
      <c r="I183" s="1818">
        <f>+('Fauna Acompañante'!DJ240)</f>
        <v>0</v>
      </c>
      <c r="J183" s="1818">
        <f>+('Fauna Acompañante'!DK240)</f>
        <v>0</v>
      </c>
      <c r="K183" s="1818">
        <f>+('Fauna Acompañante'!DL240)</f>
        <v>0</v>
      </c>
      <c r="L183" s="1818">
        <f>+('Fauna Acompañante'!DM240)</f>
        <v>0</v>
      </c>
      <c r="M183" s="1818">
        <f>+('Fauna Acompañante'!DN240)</f>
        <v>0</v>
      </c>
      <c r="N183" s="1818">
        <f>+('Fauna Acompañante'!DO240)</f>
        <v>0</v>
      </c>
      <c r="O183" s="1818">
        <f>+('Fauna Acompañante'!DP240)</f>
        <v>0</v>
      </c>
      <c r="P183" s="1818">
        <f>+('Fauna Acompañante'!DQ240)</f>
        <v>0</v>
      </c>
      <c r="Q183" s="1818">
        <f>+('Fauna Acompañante'!DR240)</f>
        <v>0</v>
      </c>
      <c r="R183" s="1818">
        <f>+('Fauna Acompañante'!DS240)</f>
        <v>0</v>
      </c>
      <c r="S183" s="1818">
        <f>+('Fauna Acompañante'!DT240)</f>
        <v>0</v>
      </c>
      <c r="T183" s="1818">
        <f>+('Fauna Acompañante'!DU240)</f>
        <v>0</v>
      </c>
      <c r="U183" s="1818">
        <f>+('Fauna Acompañante'!DV240)</f>
        <v>0</v>
      </c>
      <c r="V183" s="1818">
        <f>+('Fauna Acompañante'!DW240)</f>
        <v>0</v>
      </c>
      <c r="W183" s="1818">
        <f>+('Fauna Acompañante'!DX240)</f>
        <v>0</v>
      </c>
      <c r="X183" s="1818">
        <f>+('Fauna Acompañante'!DY240)</f>
        <v>0</v>
      </c>
      <c r="Y183" s="1818">
        <f>+('Fauna Acompañante'!DZ240)</f>
        <v>0</v>
      </c>
      <c r="Z183" s="1818">
        <f>+('Fauna Acompañante'!EA240)</f>
        <v>0</v>
      </c>
      <c r="AA183" s="1818">
        <f>+('Fauna Acompañante'!EB240)</f>
        <v>0</v>
      </c>
      <c r="AB183" s="1818">
        <f>+('Fauna Acompañante'!EC240)</f>
        <v>0</v>
      </c>
      <c r="AC183" s="1818">
        <f>+('Fauna Acompañante'!ED240)</f>
        <v>0</v>
      </c>
      <c r="AD183" s="1818">
        <f>+('Fauna Acompañante'!EE240)</f>
        <v>0</v>
      </c>
      <c r="AE183" s="1818">
        <f>+('Fauna Acompañante'!EF240)</f>
        <v>0</v>
      </c>
      <c r="AF183" s="1818">
        <f>+('Fauna Acompañante'!EG240)</f>
        <v>0</v>
      </c>
      <c r="AG183" s="1818">
        <f>+('Fauna Acompañante'!EH240)</f>
        <v>0</v>
      </c>
      <c r="AH183" s="1817">
        <f t="shared" si="28"/>
        <v>0</v>
      </c>
    </row>
    <row r="184" spans="1:34" ht="15">
      <c r="A184" s="1820" t="s">
        <v>72</v>
      </c>
      <c r="B184" s="1819">
        <f t="shared" ref="B184:AH184" si="29">SUM(B172:B183)</f>
        <v>0</v>
      </c>
      <c r="C184" s="1818">
        <f t="shared" si="29"/>
        <v>0</v>
      </c>
      <c r="D184" s="1818">
        <f t="shared" si="29"/>
        <v>0</v>
      </c>
      <c r="E184" s="1818">
        <f t="shared" si="29"/>
        <v>0</v>
      </c>
      <c r="F184" s="1818">
        <f t="shared" si="29"/>
        <v>0</v>
      </c>
      <c r="G184" s="1818">
        <f t="shared" si="29"/>
        <v>0</v>
      </c>
      <c r="H184" s="1818">
        <f t="shared" si="29"/>
        <v>0</v>
      </c>
      <c r="I184" s="1818">
        <f t="shared" si="29"/>
        <v>0</v>
      </c>
      <c r="J184" s="1818">
        <f t="shared" si="29"/>
        <v>0</v>
      </c>
      <c r="K184" s="1818">
        <f t="shared" si="29"/>
        <v>0</v>
      </c>
      <c r="L184" s="1818">
        <f t="shared" si="29"/>
        <v>0</v>
      </c>
      <c r="M184" s="1818">
        <f t="shared" si="29"/>
        <v>0</v>
      </c>
      <c r="N184" s="1818">
        <f t="shared" si="29"/>
        <v>0</v>
      </c>
      <c r="O184" s="1818">
        <f t="shared" si="29"/>
        <v>0</v>
      </c>
      <c r="P184" s="1818">
        <f t="shared" si="29"/>
        <v>0</v>
      </c>
      <c r="Q184" s="1818">
        <f t="shared" si="29"/>
        <v>0</v>
      </c>
      <c r="R184" s="1818">
        <f t="shared" si="29"/>
        <v>0</v>
      </c>
      <c r="S184" s="1818">
        <f t="shared" si="29"/>
        <v>0</v>
      </c>
      <c r="T184" s="1818">
        <f t="shared" si="29"/>
        <v>0</v>
      </c>
      <c r="U184" s="1818">
        <f t="shared" si="29"/>
        <v>0</v>
      </c>
      <c r="V184" s="1818">
        <f t="shared" si="29"/>
        <v>0</v>
      </c>
      <c r="W184" s="1818">
        <f t="shared" si="29"/>
        <v>0</v>
      </c>
      <c r="X184" s="1818">
        <f t="shared" si="29"/>
        <v>0</v>
      </c>
      <c r="Y184" s="1818">
        <f t="shared" si="29"/>
        <v>0</v>
      </c>
      <c r="Z184" s="1818">
        <f t="shared" si="29"/>
        <v>0</v>
      </c>
      <c r="AA184" s="1818">
        <f t="shared" si="29"/>
        <v>0</v>
      </c>
      <c r="AB184" s="1818">
        <f t="shared" si="29"/>
        <v>0</v>
      </c>
      <c r="AC184" s="1818">
        <f t="shared" si="29"/>
        <v>0</v>
      </c>
      <c r="AD184" s="1818">
        <f t="shared" si="29"/>
        <v>0</v>
      </c>
      <c r="AE184" s="1818">
        <f t="shared" si="29"/>
        <v>0</v>
      </c>
      <c r="AF184" s="1818">
        <f t="shared" si="29"/>
        <v>0</v>
      </c>
      <c r="AG184" s="1818">
        <f t="shared" si="29"/>
        <v>0</v>
      </c>
      <c r="AH184" s="1817">
        <f t="shared" si="29"/>
        <v>0</v>
      </c>
    </row>
    <row r="187" spans="1:34" ht="15">
      <c r="A187" s="4041" t="s">
        <v>746</v>
      </c>
      <c r="B187" s="4042"/>
      <c r="C187" s="4042"/>
      <c r="D187" s="4042"/>
      <c r="E187" s="4042"/>
      <c r="F187" s="4042"/>
      <c r="G187" s="4042"/>
      <c r="H187" s="4042"/>
      <c r="I187" s="4042"/>
      <c r="J187" s="4042"/>
      <c r="K187" s="4042"/>
      <c r="L187" s="4042"/>
      <c r="M187" s="4042"/>
      <c r="N187" s="4042"/>
      <c r="O187" s="4042"/>
      <c r="P187" s="4042"/>
      <c r="Q187" s="4042"/>
      <c r="R187" s="4042"/>
      <c r="S187" s="4042"/>
      <c r="T187" s="4043"/>
      <c r="U187" s="1813"/>
      <c r="V187" s="1813"/>
      <c r="W187" s="1813"/>
      <c r="X187" s="1813"/>
      <c r="Y187" s="1813"/>
      <c r="Z187" s="1813"/>
      <c r="AA187" s="1813"/>
      <c r="AB187" s="1813"/>
      <c r="AC187" s="1813"/>
      <c r="AD187" s="1813"/>
      <c r="AE187" s="1813"/>
      <c r="AF187" s="1813"/>
      <c r="AG187" s="1813"/>
      <c r="AH187" s="1813"/>
    </row>
    <row r="188" spans="1:34">
      <c r="A188" s="1813"/>
      <c r="B188" s="1813"/>
      <c r="C188" s="1813"/>
      <c r="D188" s="1813"/>
      <c r="E188" s="1813"/>
      <c r="F188" s="1813"/>
      <c r="G188" s="1813"/>
      <c r="H188" s="1813"/>
      <c r="I188" s="1813"/>
      <c r="J188" s="1813"/>
      <c r="K188" s="1813"/>
      <c r="L188" s="1813"/>
      <c r="M188" s="1813"/>
      <c r="N188" s="1813"/>
      <c r="O188" s="1813"/>
      <c r="P188" s="1813"/>
      <c r="Q188" s="1813"/>
      <c r="R188" s="1813"/>
      <c r="S188" s="1813"/>
      <c r="T188" s="1813"/>
      <c r="U188" s="1813"/>
      <c r="V188" s="1813"/>
      <c r="W188" s="1813"/>
      <c r="X188" s="1813"/>
      <c r="Y188" s="1813"/>
      <c r="Z188" s="1813"/>
      <c r="AA188" s="1813"/>
      <c r="AB188" s="1813"/>
      <c r="AC188" s="1813"/>
      <c r="AD188" s="1813"/>
      <c r="AE188" s="1813"/>
      <c r="AF188" s="1813"/>
      <c r="AG188" s="1813"/>
      <c r="AH188" s="1813"/>
    </row>
    <row r="189" spans="1:34">
      <c r="A189" s="1816"/>
      <c r="B189" s="1815" t="s">
        <v>600</v>
      </c>
      <c r="C189" s="1814"/>
      <c r="D189" s="1813"/>
      <c r="E189" s="1813"/>
      <c r="F189" s="1813"/>
      <c r="G189" s="1813"/>
      <c r="H189" s="1813"/>
      <c r="I189" s="1813"/>
      <c r="J189" s="1813"/>
      <c r="K189" s="1813"/>
      <c r="L189" s="1813"/>
      <c r="M189" s="1813"/>
      <c r="N189" s="1813"/>
      <c r="O189" s="1813"/>
      <c r="P189" s="1813"/>
      <c r="Q189" s="1813"/>
      <c r="R189" s="1813"/>
      <c r="S189" s="1813"/>
      <c r="T189" s="1813"/>
      <c r="U189" s="1813"/>
      <c r="V189" s="1813"/>
      <c r="W189" s="1813"/>
      <c r="X189" s="1813"/>
      <c r="Y189" s="1813"/>
      <c r="Z189" s="1813"/>
      <c r="AA189" s="1813"/>
      <c r="AB189" s="1813"/>
      <c r="AC189" s="1813"/>
      <c r="AD189" s="1813"/>
      <c r="AE189" s="1813"/>
      <c r="AF189" s="1813"/>
      <c r="AG189" s="1813"/>
      <c r="AH189" s="1813"/>
    </row>
    <row r="190" spans="1:34" ht="15">
      <c r="A190" s="4041" t="s">
        <v>599</v>
      </c>
      <c r="B190" s="4042"/>
      <c r="C190" s="4043"/>
      <c r="D190" s="1811"/>
      <c r="E190" s="1811"/>
      <c r="F190" s="1811"/>
      <c r="G190" s="1811"/>
      <c r="H190" s="1811"/>
      <c r="I190" s="1811"/>
      <c r="J190" s="1811"/>
      <c r="K190" s="1811"/>
      <c r="L190" s="1811"/>
      <c r="M190" s="1812"/>
      <c r="N190" s="1811"/>
      <c r="O190" s="1811"/>
      <c r="P190" s="1811"/>
      <c r="Q190" s="1811"/>
      <c r="R190" s="1811"/>
      <c r="S190" s="1811"/>
      <c r="T190" s="1811"/>
      <c r="U190" s="1811"/>
      <c r="V190" s="1811"/>
      <c r="W190" s="1811"/>
      <c r="X190" s="1811"/>
      <c r="Y190" s="1811"/>
      <c r="Z190" s="1811"/>
      <c r="AA190" s="1811"/>
      <c r="AB190" s="1811"/>
      <c r="AC190" s="1811"/>
      <c r="AD190" s="1811"/>
      <c r="AE190" s="1811"/>
      <c r="AF190" s="1811"/>
      <c r="AG190" s="1811"/>
      <c r="AH190" s="1811"/>
    </row>
    <row r="191" spans="1:34" ht="15">
      <c r="A191" s="1809" t="s">
        <v>70</v>
      </c>
      <c r="B191" s="1809" t="s">
        <v>71</v>
      </c>
      <c r="C191" s="1809">
        <v>1</v>
      </c>
      <c r="D191" s="1809">
        <v>2</v>
      </c>
      <c r="E191" s="1809">
        <v>3</v>
      </c>
      <c r="F191" s="1809">
        <v>4</v>
      </c>
      <c r="G191" s="1809">
        <v>5</v>
      </c>
      <c r="H191" s="1809">
        <v>6</v>
      </c>
      <c r="I191" s="1809">
        <v>7</v>
      </c>
      <c r="J191" s="1809">
        <v>8</v>
      </c>
      <c r="K191" s="1809">
        <v>9</v>
      </c>
      <c r="L191" s="1809">
        <v>10</v>
      </c>
      <c r="M191" s="1809">
        <v>11</v>
      </c>
      <c r="N191" s="1809">
        <v>12</v>
      </c>
      <c r="O191" s="1809">
        <v>13</v>
      </c>
      <c r="P191" s="1809">
        <v>14</v>
      </c>
      <c r="Q191" s="1809">
        <v>15</v>
      </c>
      <c r="R191" s="1809">
        <v>16</v>
      </c>
      <c r="S191" s="1809">
        <v>17</v>
      </c>
      <c r="T191" s="1809">
        <v>18</v>
      </c>
      <c r="U191" s="1809">
        <v>19</v>
      </c>
      <c r="V191" s="1809">
        <v>20</v>
      </c>
      <c r="W191" s="1809">
        <v>21</v>
      </c>
      <c r="X191" s="1809">
        <v>22</v>
      </c>
      <c r="Y191" s="1809">
        <v>23</v>
      </c>
      <c r="Z191" s="1809">
        <v>24</v>
      </c>
      <c r="AA191" s="1809">
        <v>25</v>
      </c>
      <c r="AB191" s="1809">
        <v>26</v>
      </c>
      <c r="AC191" s="1809">
        <v>27</v>
      </c>
      <c r="AD191" s="1809">
        <v>28</v>
      </c>
      <c r="AE191" s="1809">
        <v>29</v>
      </c>
      <c r="AF191" s="1809">
        <v>30</v>
      </c>
      <c r="AG191" s="1809">
        <v>31</v>
      </c>
      <c r="AH191" s="1810" t="s">
        <v>72</v>
      </c>
    </row>
    <row r="192" spans="1:34" ht="15">
      <c r="A192" s="1809" t="s">
        <v>73</v>
      </c>
      <c r="B192" s="2153">
        <f t="shared" ref="B192:B203" si="30">+AH192</f>
        <v>0.25</v>
      </c>
      <c r="C192" s="1805">
        <f>+'Fauna Acompañante'!EM21</f>
        <v>0</v>
      </c>
      <c r="D192" s="1805">
        <f>+'Fauna Acompañante'!EN21</f>
        <v>0</v>
      </c>
      <c r="E192" s="1805">
        <f>+'Fauna Acompañante'!EO21</f>
        <v>0</v>
      </c>
      <c r="F192" s="1805">
        <f>+'Fauna Acompañante'!EP21</f>
        <v>0</v>
      </c>
      <c r="G192" s="1805">
        <f>+'Fauna Acompañante'!EQ21</f>
        <v>0</v>
      </c>
      <c r="H192" s="1805">
        <f>+'Fauna Acompañante'!ER21</f>
        <v>0</v>
      </c>
      <c r="I192" s="1805">
        <f>+'Fauna Acompañante'!ES21</f>
        <v>0</v>
      </c>
      <c r="J192" s="1805">
        <f>+'Fauna Acompañante'!ET21</f>
        <v>0</v>
      </c>
      <c r="K192" s="1805">
        <f>+'Fauna Acompañante'!EU21</f>
        <v>0</v>
      </c>
      <c r="L192" s="1805">
        <f>+'Fauna Acompañante'!EV21</f>
        <v>0</v>
      </c>
      <c r="M192" s="1805">
        <f>+'Fauna Acompañante'!EW21</f>
        <v>0</v>
      </c>
      <c r="N192" s="1805">
        <f>+'Fauna Acompañante'!EX21</f>
        <v>0</v>
      </c>
      <c r="O192" s="1805">
        <f>+'Fauna Acompañante'!EY21</f>
        <v>0</v>
      </c>
      <c r="P192" s="1805">
        <f>+'Fauna Acompañante'!EZ21</f>
        <v>0</v>
      </c>
      <c r="Q192" s="1805">
        <f>+'Fauna Acompañante'!FA21</f>
        <v>0</v>
      </c>
      <c r="R192" s="1805">
        <f>+'Fauna Acompañante'!FB21</f>
        <v>0</v>
      </c>
      <c r="S192" s="1805">
        <f>+'Fauna Acompañante'!FC21</f>
        <v>0</v>
      </c>
      <c r="T192" s="1805">
        <f>+'Fauna Acompañante'!FD21</f>
        <v>0</v>
      </c>
      <c r="U192" s="1805">
        <f>+'Fauna Acompañante'!FE21</f>
        <v>0</v>
      </c>
      <c r="V192" s="1805">
        <f>+'Fauna Acompañante'!FF21</f>
        <v>0</v>
      </c>
      <c r="W192" s="1805">
        <f>+'Fauna Acompañante'!FG21</f>
        <v>0</v>
      </c>
      <c r="X192" s="1805">
        <f>+'Fauna Acompañante'!FH21</f>
        <v>0</v>
      </c>
      <c r="Y192" s="1805">
        <f>+'Fauna Acompañante'!FI21</f>
        <v>0</v>
      </c>
      <c r="Z192" s="1805">
        <f>+'Fauna Acompañante'!FJ21</f>
        <v>0</v>
      </c>
      <c r="AA192" s="1805">
        <f>+'Fauna Acompañante'!FK21</f>
        <v>0</v>
      </c>
      <c r="AB192" s="1805">
        <f>+'Fauna Acompañante'!FL21</f>
        <v>0</v>
      </c>
      <c r="AC192" s="1805">
        <f>+'Fauna Acompañante'!FM21</f>
        <v>0</v>
      </c>
      <c r="AD192" s="1805">
        <f>+'Fauna Acompañante'!FN21</f>
        <v>0</v>
      </c>
      <c r="AE192" s="1805">
        <f>+'Fauna Acompañante'!FO21</f>
        <v>0</v>
      </c>
      <c r="AF192" s="1805">
        <f>+'Fauna Acompañante'!FP21</f>
        <v>0</v>
      </c>
      <c r="AG192" s="1805">
        <f>+'Fauna Acompañante'!FQ21</f>
        <v>0.25</v>
      </c>
      <c r="AH192" s="1804">
        <f t="shared" ref="AH192:AH203" si="31">SUM(C192:AG192)</f>
        <v>0.25</v>
      </c>
    </row>
    <row r="193" spans="1:34" ht="15">
      <c r="A193" s="1809" t="s">
        <v>74</v>
      </c>
      <c r="B193" s="2153">
        <f t="shared" si="30"/>
        <v>0</v>
      </c>
      <c r="C193" s="1805">
        <f>+'Fauna Acompañante'!EM22</f>
        <v>0</v>
      </c>
      <c r="D193" s="1805">
        <f>+'Fauna Acompañante'!EN22</f>
        <v>0</v>
      </c>
      <c r="E193" s="1805">
        <f>+'Fauna Acompañante'!EO22</f>
        <v>0</v>
      </c>
      <c r="F193" s="1805">
        <f>+'Fauna Acompañante'!EP22</f>
        <v>0</v>
      </c>
      <c r="G193" s="1805">
        <f>+'Fauna Acompañante'!EQ22</f>
        <v>0</v>
      </c>
      <c r="H193" s="1805">
        <f>+'Fauna Acompañante'!ER22</f>
        <v>0</v>
      </c>
      <c r="I193" s="1805">
        <f>+'Fauna Acompañante'!ES22</f>
        <v>0</v>
      </c>
      <c r="J193" s="1805">
        <f>+'Fauna Acompañante'!ET22</f>
        <v>0</v>
      </c>
      <c r="K193" s="1805">
        <f>+'Fauna Acompañante'!EU22</f>
        <v>0</v>
      </c>
      <c r="L193" s="1805">
        <f>+'Fauna Acompañante'!EV22</f>
        <v>0</v>
      </c>
      <c r="M193" s="1805">
        <f>+'Fauna Acompañante'!EW22</f>
        <v>0</v>
      </c>
      <c r="N193" s="1805">
        <f>+'Fauna Acompañante'!EX22</f>
        <v>0</v>
      </c>
      <c r="O193" s="1805">
        <f>+'Fauna Acompañante'!EY22</f>
        <v>0</v>
      </c>
      <c r="P193" s="1805">
        <f>+'Fauna Acompañante'!EZ22</f>
        <v>0</v>
      </c>
      <c r="Q193" s="1805">
        <f>+'Fauna Acompañante'!FA22</f>
        <v>0</v>
      </c>
      <c r="R193" s="1805">
        <f>+'Fauna Acompañante'!FB22</f>
        <v>0</v>
      </c>
      <c r="S193" s="1805">
        <f>+'Fauna Acompañante'!FC22</f>
        <v>0</v>
      </c>
      <c r="T193" s="1805">
        <f>+'Fauna Acompañante'!FD22</f>
        <v>0</v>
      </c>
      <c r="U193" s="1805">
        <f>+'Fauna Acompañante'!FE22</f>
        <v>0</v>
      </c>
      <c r="V193" s="1805">
        <f>+'Fauna Acompañante'!FF22</f>
        <v>0</v>
      </c>
      <c r="W193" s="1805">
        <f>+'Fauna Acompañante'!FG22</f>
        <v>0</v>
      </c>
      <c r="X193" s="1805">
        <f>+'Fauna Acompañante'!FH22</f>
        <v>0</v>
      </c>
      <c r="Y193" s="1805">
        <f>+'Fauna Acompañante'!FI22</f>
        <v>0</v>
      </c>
      <c r="Z193" s="1805">
        <f>+'Fauna Acompañante'!FJ22</f>
        <v>0</v>
      </c>
      <c r="AA193" s="1805">
        <f>+'Fauna Acompañante'!FK22</f>
        <v>0</v>
      </c>
      <c r="AB193" s="1805">
        <f>+'Fauna Acompañante'!FL22</f>
        <v>0</v>
      </c>
      <c r="AC193" s="1805">
        <f>+'Fauna Acompañante'!FM22</f>
        <v>0</v>
      </c>
      <c r="AD193" s="1805">
        <f>+'Fauna Acompañante'!FN22</f>
        <v>0</v>
      </c>
      <c r="AE193" s="1805">
        <f>+'Fauna Acompañante'!FO22</f>
        <v>0</v>
      </c>
      <c r="AF193" s="1805">
        <f>+'Fauna Acompañante'!FP22</f>
        <v>0</v>
      </c>
      <c r="AG193" s="1805">
        <f>+'Fauna Acompañante'!FQ22</f>
        <v>0</v>
      </c>
      <c r="AH193" s="1804">
        <f>SUM(C193:AG193)</f>
        <v>0</v>
      </c>
    </row>
    <row r="194" spans="1:34" ht="15">
      <c r="A194" s="1809" t="s">
        <v>75</v>
      </c>
      <c r="B194" s="2153">
        <f t="shared" si="30"/>
        <v>0</v>
      </c>
      <c r="C194" s="1973">
        <f>+'Fauna Acompañante'!EM23</f>
        <v>0</v>
      </c>
      <c r="D194" s="1973">
        <f>+'Fauna Acompañante'!EN23</f>
        <v>0</v>
      </c>
      <c r="E194" s="1973">
        <f>+'Fauna Acompañante'!EO23</f>
        <v>0</v>
      </c>
      <c r="F194" s="1973">
        <f>+'Fauna Acompañante'!EP23</f>
        <v>0</v>
      </c>
      <c r="G194" s="1973">
        <f>+'Fauna Acompañante'!EQ23</f>
        <v>0</v>
      </c>
      <c r="H194" s="1973">
        <f>+'Fauna Acompañante'!ER23</f>
        <v>0</v>
      </c>
      <c r="I194" s="1973">
        <f>+'Fauna Acompañante'!ES23</f>
        <v>0</v>
      </c>
      <c r="J194" s="1973">
        <f>+'Fauna Acompañante'!ET23</f>
        <v>0</v>
      </c>
      <c r="K194" s="1973">
        <f>+'Fauna Acompañante'!EU23</f>
        <v>0</v>
      </c>
      <c r="L194" s="1973">
        <f>+'Fauna Acompañante'!EV23</f>
        <v>0</v>
      </c>
      <c r="M194" s="1973">
        <f>+'Fauna Acompañante'!EW23</f>
        <v>0</v>
      </c>
      <c r="N194" s="1973">
        <f>+'Fauna Acompañante'!EX23</f>
        <v>0</v>
      </c>
      <c r="O194" s="1973">
        <f>+'Fauna Acompañante'!EY23</f>
        <v>0</v>
      </c>
      <c r="P194" s="1973">
        <f>+'Fauna Acompañante'!EZ23</f>
        <v>0</v>
      </c>
      <c r="Q194" s="1973">
        <f>+'Fauna Acompañante'!FA23</f>
        <v>0</v>
      </c>
      <c r="R194" s="1973">
        <f>+'Fauna Acompañante'!FB23</f>
        <v>0</v>
      </c>
      <c r="S194" s="1973">
        <f>+'Fauna Acompañante'!FC23</f>
        <v>0</v>
      </c>
      <c r="T194" s="1973">
        <f>+'Fauna Acompañante'!FD23</f>
        <v>0</v>
      </c>
      <c r="U194" s="1973">
        <f>+'Fauna Acompañante'!FE23</f>
        <v>0</v>
      </c>
      <c r="V194" s="1973">
        <f>+'Fauna Acompañante'!FF23</f>
        <v>0</v>
      </c>
      <c r="W194" s="1973">
        <f>+'Fauna Acompañante'!FG23</f>
        <v>0</v>
      </c>
      <c r="X194" s="1973">
        <f>+'Fauna Acompañante'!FH23</f>
        <v>0</v>
      </c>
      <c r="Y194" s="1973">
        <f>+'Fauna Acompañante'!FI23</f>
        <v>0</v>
      </c>
      <c r="Z194" s="1973">
        <f>+'Fauna Acompañante'!FJ23</f>
        <v>0</v>
      </c>
      <c r="AA194" s="1973">
        <f>+'Fauna Acompañante'!FK23</f>
        <v>0</v>
      </c>
      <c r="AB194" s="1973">
        <f>+'Fauna Acompañante'!FL23</f>
        <v>0</v>
      </c>
      <c r="AC194" s="1973">
        <f>+'Fauna Acompañante'!FM23</f>
        <v>0</v>
      </c>
      <c r="AD194" s="1973">
        <f>+'Fauna Acompañante'!FN23</f>
        <v>0</v>
      </c>
      <c r="AE194" s="1973">
        <f>+'Fauna Acompañante'!FO23</f>
        <v>0</v>
      </c>
      <c r="AF194" s="1973">
        <f>+'Fauna Acompañante'!FP23</f>
        <v>0</v>
      </c>
      <c r="AG194" s="1973">
        <f>+'Fauna Acompañante'!FQ23</f>
        <v>0</v>
      </c>
      <c r="AH194" s="1804">
        <f t="shared" si="31"/>
        <v>0</v>
      </c>
    </row>
    <row r="195" spans="1:34" ht="15">
      <c r="A195" s="1809" t="s">
        <v>76</v>
      </c>
      <c r="B195" s="2153">
        <f t="shared" si="30"/>
        <v>0</v>
      </c>
      <c r="C195" s="1805">
        <f>+'Fauna Acompañante'!EM24</f>
        <v>0</v>
      </c>
      <c r="D195" s="1805">
        <f>+'Fauna Acompañante'!EN24</f>
        <v>0</v>
      </c>
      <c r="E195" s="1805">
        <f>+'Fauna Acompañante'!EO24</f>
        <v>0</v>
      </c>
      <c r="F195" s="1805">
        <f>+'Fauna Acompañante'!EP24</f>
        <v>0</v>
      </c>
      <c r="G195" s="1805">
        <f>+'Fauna Acompañante'!EQ24</f>
        <v>0</v>
      </c>
      <c r="H195" s="1805">
        <f>+'Fauna Acompañante'!ER24</f>
        <v>0</v>
      </c>
      <c r="I195" s="1805">
        <f>+'Fauna Acompañante'!ES24</f>
        <v>0</v>
      </c>
      <c r="J195" s="1805">
        <f>+'Fauna Acompañante'!ET24</f>
        <v>0</v>
      </c>
      <c r="K195" s="1805">
        <f>+'Fauna Acompañante'!EU24</f>
        <v>0</v>
      </c>
      <c r="L195" s="1805">
        <f>+'Fauna Acompañante'!EV24</f>
        <v>0</v>
      </c>
      <c r="M195" s="1805">
        <f>+'Fauna Acompañante'!EW24</f>
        <v>0</v>
      </c>
      <c r="N195" s="1805">
        <f>+'Fauna Acompañante'!EX24</f>
        <v>0</v>
      </c>
      <c r="O195" s="1805">
        <f>+'Fauna Acompañante'!EY24</f>
        <v>0</v>
      </c>
      <c r="P195" s="1805">
        <f>+'Fauna Acompañante'!EZ24</f>
        <v>0</v>
      </c>
      <c r="Q195" s="1805">
        <f>+'Fauna Acompañante'!FA24</f>
        <v>0</v>
      </c>
      <c r="R195" s="1805">
        <f>+'Fauna Acompañante'!FB24</f>
        <v>0</v>
      </c>
      <c r="S195" s="1805">
        <f>+'Fauna Acompañante'!FC24</f>
        <v>0</v>
      </c>
      <c r="T195" s="1805">
        <f>+'Fauna Acompañante'!FD24</f>
        <v>0</v>
      </c>
      <c r="U195" s="1805">
        <f>+'Fauna Acompañante'!FE24</f>
        <v>0</v>
      </c>
      <c r="V195" s="1805">
        <f>+'Fauna Acompañante'!FF24</f>
        <v>0</v>
      </c>
      <c r="W195" s="1805">
        <f>+'Fauna Acompañante'!FG24</f>
        <v>0</v>
      </c>
      <c r="X195" s="1805">
        <f>+'Fauna Acompañante'!FH24</f>
        <v>0</v>
      </c>
      <c r="Y195" s="1805">
        <f>+'Fauna Acompañante'!FI24</f>
        <v>0</v>
      </c>
      <c r="Z195" s="1805">
        <f>+'Fauna Acompañante'!FJ24</f>
        <v>0</v>
      </c>
      <c r="AA195" s="1805">
        <f>+'Fauna Acompañante'!FK24</f>
        <v>0</v>
      </c>
      <c r="AB195" s="1805">
        <f>+'Fauna Acompañante'!FL24</f>
        <v>0</v>
      </c>
      <c r="AC195" s="1805">
        <f>+'Fauna Acompañante'!FM24</f>
        <v>0</v>
      </c>
      <c r="AD195" s="1805">
        <f>+'Fauna Acompañante'!FN24</f>
        <v>0</v>
      </c>
      <c r="AE195" s="1805">
        <f>+'Fauna Acompañante'!FO24</f>
        <v>0</v>
      </c>
      <c r="AF195" s="1805">
        <f>+'Fauna Acompañante'!FP24</f>
        <v>0</v>
      </c>
      <c r="AG195" s="1805">
        <f>+'Fauna Acompañante'!FQ24</f>
        <v>0</v>
      </c>
      <c r="AH195" s="1804">
        <f t="shared" si="31"/>
        <v>0</v>
      </c>
    </row>
    <row r="196" spans="1:34" ht="15">
      <c r="A196" s="1809" t="s">
        <v>77</v>
      </c>
      <c r="B196" s="2153">
        <f t="shared" si="30"/>
        <v>0</v>
      </c>
      <c r="C196" s="1805">
        <f>+'Fauna Acompañante'!EM25</f>
        <v>0</v>
      </c>
      <c r="D196" s="1805">
        <f>+'Fauna Acompañante'!EN25</f>
        <v>0</v>
      </c>
      <c r="E196" s="1805">
        <f>+'Fauna Acompañante'!EO25</f>
        <v>0</v>
      </c>
      <c r="F196" s="1805">
        <f>+'Fauna Acompañante'!EP25</f>
        <v>0</v>
      </c>
      <c r="G196" s="1805">
        <f>+'Fauna Acompañante'!EQ25</f>
        <v>0</v>
      </c>
      <c r="H196" s="1805">
        <f>+'Fauna Acompañante'!ER25</f>
        <v>0</v>
      </c>
      <c r="I196" s="1805">
        <f>+'Fauna Acompañante'!ES25</f>
        <v>0</v>
      </c>
      <c r="J196" s="1805">
        <f>+'Fauna Acompañante'!ET25</f>
        <v>0</v>
      </c>
      <c r="K196" s="1805">
        <f>+'Fauna Acompañante'!EU25</f>
        <v>0</v>
      </c>
      <c r="L196" s="1805">
        <f>+'Fauna Acompañante'!EV25</f>
        <v>0</v>
      </c>
      <c r="M196" s="1805">
        <f>+'Fauna Acompañante'!EW25</f>
        <v>0</v>
      </c>
      <c r="N196" s="1805">
        <f>+'Fauna Acompañante'!EX25</f>
        <v>0</v>
      </c>
      <c r="O196" s="1805">
        <f>+'Fauna Acompañante'!EY25</f>
        <v>0</v>
      </c>
      <c r="P196" s="1805">
        <f>+'Fauna Acompañante'!EZ25</f>
        <v>0</v>
      </c>
      <c r="Q196" s="1805">
        <f>+'Fauna Acompañante'!FA25</f>
        <v>0</v>
      </c>
      <c r="R196" s="1805">
        <f>+'Fauna Acompañante'!FB25</f>
        <v>0</v>
      </c>
      <c r="S196" s="1805">
        <f>+'Fauna Acompañante'!FC25</f>
        <v>0</v>
      </c>
      <c r="T196" s="1805">
        <f>+'Fauna Acompañante'!FD25</f>
        <v>0</v>
      </c>
      <c r="U196" s="1805">
        <f>+'Fauna Acompañante'!FE25</f>
        <v>0</v>
      </c>
      <c r="V196" s="1805">
        <f>+'Fauna Acompañante'!FF25</f>
        <v>0</v>
      </c>
      <c r="W196" s="1805">
        <f>+'Fauna Acompañante'!FG25</f>
        <v>0</v>
      </c>
      <c r="X196" s="1805">
        <f>+'Fauna Acompañante'!FH25</f>
        <v>0</v>
      </c>
      <c r="Y196" s="1805">
        <f>+'Fauna Acompañante'!FI25</f>
        <v>0</v>
      </c>
      <c r="Z196" s="1805">
        <f>+'Fauna Acompañante'!FJ25</f>
        <v>0</v>
      </c>
      <c r="AA196" s="1805">
        <f>+'Fauna Acompañante'!FK25</f>
        <v>0</v>
      </c>
      <c r="AB196" s="1805">
        <f>+'Fauna Acompañante'!FL25</f>
        <v>0</v>
      </c>
      <c r="AC196" s="1805">
        <f>+'Fauna Acompañante'!FM25</f>
        <v>0</v>
      </c>
      <c r="AD196" s="1805">
        <f>+'Fauna Acompañante'!FN25</f>
        <v>0</v>
      </c>
      <c r="AE196" s="1805">
        <f>+'Fauna Acompañante'!FO25</f>
        <v>0</v>
      </c>
      <c r="AF196" s="1805">
        <f>+'Fauna Acompañante'!FP25</f>
        <v>0</v>
      </c>
      <c r="AG196" s="1805">
        <f>+'Fauna Acompañante'!FQ25</f>
        <v>0</v>
      </c>
      <c r="AH196" s="1804">
        <f t="shared" si="31"/>
        <v>0</v>
      </c>
    </row>
    <row r="197" spans="1:34" ht="15">
      <c r="A197" s="1809" t="s">
        <v>78</v>
      </c>
      <c r="B197" s="2153">
        <f t="shared" si="30"/>
        <v>0</v>
      </c>
      <c r="C197" s="1805">
        <f>+'Fauna Acompañante'!EM26</f>
        <v>0</v>
      </c>
      <c r="D197" s="1805">
        <f>+'Fauna Acompañante'!EN26</f>
        <v>0</v>
      </c>
      <c r="E197" s="1805">
        <f>+'Fauna Acompañante'!EO26</f>
        <v>0</v>
      </c>
      <c r="F197" s="1805">
        <f>+'Fauna Acompañante'!EP26</f>
        <v>0</v>
      </c>
      <c r="G197" s="1805">
        <f>+'Fauna Acompañante'!EQ26</f>
        <v>0</v>
      </c>
      <c r="H197" s="1805">
        <f>+'Fauna Acompañante'!ER26</f>
        <v>0</v>
      </c>
      <c r="I197" s="1805">
        <f>+'Fauna Acompañante'!ES26</f>
        <v>0</v>
      </c>
      <c r="J197" s="1805">
        <f>+'Fauna Acompañante'!ET26</f>
        <v>0</v>
      </c>
      <c r="K197" s="1805">
        <f>+'Fauna Acompañante'!EU26</f>
        <v>0</v>
      </c>
      <c r="L197" s="1805">
        <f>+'Fauna Acompañante'!EV26</f>
        <v>0</v>
      </c>
      <c r="M197" s="1805">
        <f>+'Fauna Acompañante'!EW26</f>
        <v>0</v>
      </c>
      <c r="N197" s="1805">
        <f>+'Fauna Acompañante'!EX26</f>
        <v>0</v>
      </c>
      <c r="O197" s="1805">
        <f>+'Fauna Acompañante'!EY26</f>
        <v>0</v>
      </c>
      <c r="P197" s="1805">
        <f>+'Fauna Acompañante'!EZ26</f>
        <v>0</v>
      </c>
      <c r="Q197" s="1805">
        <f>+'Fauna Acompañante'!FA26</f>
        <v>0</v>
      </c>
      <c r="R197" s="1805">
        <f>+'Fauna Acompañante'!FB26</f>
        <v>0</v>
      </c>
      <c r="S197" s="1805">
        <f>+'Fauna Acompañante'!FC26</f>
        <v>0</v>
      </c>
      <c r="T197" s="1805">
        <f>+'Fauna Acompañante'!FD26</f>
        <v>0</v>
      </c>
      <c r="U197" s="1805">
        <f>+'Fauna Acompañante'!FE26</f>
        <v>0</v>
      </c>
      <c r="V197" s="1805">
        <f>+'Fauna Acompañante'!FF26</f>
        <v>0</v>
      </c>
      <c r="W197" s="1805">
        <f>+'Fauna Acompañante'!FG26</f>
        <v>0</v>
      </c>
      <c r="X197" s="1805">
        <f>+'Fauna Acompañante'!FH26</f>
        <v>0</v>
      </c>
      <c r="Y197" s="1805">
        <f>+'Fauna Acompañante'!FI26</f>
        <v>0</v>
      </c>
      <c r="Z197" s="1805">
        <f>+'Fauna Acompañante'!FJ26</f>
        <v>0</v>
      </c>
      <c r="AA197" s="1805">
        <f>+'Fauna Acompañante'!FK26</f>
        <v>0</v>
      </c>
      <c r="AB197" s="1805">
        <f>+'Fauna Acompañante'!FL26</f>
        <v>0</v>
      </c>
      <c r="AC197" s="1805">
        <f>+'Fauna Acompañante'!FM26</f>
        <v>0</v>
      </c>
      <c r="AD197" s="1805">
        <f>+'Fauna Acompañante'!FN26</f>
        <v>0</v>
      </c>
      <c r="AE197" s="1805">
        <f>+'Fauna Acompañante'!FO26</f>
        <v>0</v>
      </c>
      <c r="AF197" s="1805">
        <f>+'Fauna Acompañante'!FP26</f>
        <v>0</v>
      </c>
      <c r="AG197" s="1805">
        <f>+'Fauna Acompañante'!FQ26</f>
        <v>0</v>
      </c>
      <c r="AH197" s="1804">
        <f t="shared" si="31"/>
        <v>0</v>
      </c>
    </row>
    <row r="198" spans="1:34" ht="15">
      <c r="A198" s="1809" t="s">
        <v>79</v>
      </c>
      <c r="B198" s="2153">
        <f t="shared" si="30"/>
        <v>5.8290000000000006</v>
      </c>
      <c r="C198" s="1805">
        <f>+'Fauna Acompañante'!EM27</f>
        <v>0</v>
      </c>
      <c r="D198" s="1805">
        <f>+'Fauna Acompañante'!EN27</f>
        <v>0</v>
      </c>
      <c r="E198" s="1805">
        <f>+'Fauna Acompañante'!EO27</f>
        <v>0</v>
      </c>
      <c r="F198" s="1805">
        <f>+'Fauna Acompañante'!EP27</f>
        <v>0</v>
      </c>
      <c r="G198" s="1805">
        <f>+'Fauna Acompañante'!EQ27</f>
        <v>0.3</v>
      </c>
      <c r="H198" s="1805">
        <f>+'Fauna Acompañante'!ER27</f>
        <v>0</v>
      </c>
      <c r="I198" s="1805">
        <f>+'Fauna Acompañante'!ES27</f>
        <v>0</v>
      </c>
      <c r="J198" s="1805">
        <f>+'Fauna Acompañante'!ET27</f>
        <v>0</v>
      </c>
      <c r="K198" s="1805">
        <f>+'Fauna Acompañante'!EU27</f>
        <v>0</v>
      </c>
      <c r="L198" s="1805">
        <f>+'Fauna Acompañante'!EV27</f>
        <v>0.75</v>
      </c>
      <c r="M198" s="1805">
        <f>+'Fauna Acompañante'!EW27</f>
        <v>0</v>
      </c>
      <c r="N198" s="1805">
        <f>+'Fauna Acompañante'!EX27</f>
        <v>0</v>
      </c>
      <c r="O198" s="1805">
        <f>+'Fauna Acompañante'!EY27</f>
        <v>0</v>
      </c>
      <c r="P198" s="1805">
        <f>+'Fauna Acompañante'!EZ27</f>
        <v>0</v>
      </c>
      <c r="Q198" s="1805">
        <f>+'Fauna Acompañante'!FA27</f>
        <v>0</v>
      </c>
      <c r="R198" s="1805">
        <f>+'Fauna Acompañante'!FB27</f>
        <v>1.3919999999999999</v>
      </c>
      <c r="S198" s="1805">
        <f>+'Fauna Acompañante'!FC27</f>
        <v>0.52700000000000002</v>
      </c>
      <c r="T198" s="1805">
        <f>+'Fauna Acompañante'!FD27</f>
        <v>0.55000000000000004</v>
      </c>
      <c r="U198" s="1805">
        <f>+'Fauna Acompañante'!FE27</f>
        <v>0.52500000000000002</v>
      </c>
      <c r="V198" s="1805">
        <f>+'Fauna Acompañante'!FF27</f>
        <v>0.61499999999999999</v>
      </c>
      <c r="W198" s="1805">
        <f>+'Fauna Acompañante'!FG27</f>
        <v>0</v>
      </c>
      <c r="X198" s="1805">
        <f>+'Fauna Acompañante'!FH27</f>
        <v>0</v>
      </c>
      <c r="Y198" s="1805">
        <f>+'Fauna Acompañante'!FI27</f>
        <v>0.48</v>
      </c>
      <c r="Z198" s="1805">
        <f>+'Fauna Acompañante'!FJ27</f>
        <v>0</v>
      </c>
      <c r="AA198" s="1805">
        <f>+'Fauna Acompañante'!FK27</f>
        <v>0.42</v>
      </c>
      <c r="AB198" s="1805">
        <f>+'Fauna Acompañante'!FL27</f>
        <v>0.27</v>
      </c>
      <c r="AC198" s="1805">
        <f>+'Fauna Acompañante'!FM27</f>
        <v>0</v>
      </c>
      <c r="AD198" s="1805">
        <f>+'Fauna Acompañante'!FN27</f>
        <v>0</v>
      </c>
      <c r="AE198" s="1805">
        <f>+'Fauna Acompañante'!FO27</f>
        <v>0</v>
      </c>
      <c r="AF198" s="1805">
        <f>+'Fauna Acompañante'!FP27</f>
        <v>0</v>
      </c>
      <c r="AG198" s="1805">
        <f>+'Fauna Acompañante'!FQ27</f>
        <v>0</v>
      </c>
      <c r="AH198" s="1804">
        <f t="shared" si="31"/>
        <v>5.8290000000000006</v>
      </c>
    </row>
    <row r="199" spans="1:34" ht="15">
      <c r="A199" s="1809" t="s">
        <v>80</v>
      </c>
      <c r="B199" s="2153">
        <f t="shared" si="30"/>
        <v>0.25800000000000001</v>
      </c>
      <c r="C199" s="1805">
        <f>+'Fauna Acompañante'!EM28</f>
        <v>0</v>
      </c>
      <c r="D199" s="1805">
        <f>+'Fauna Acompañante'!EN28</f>
        <v>0</v>
      </c>
      <c r="E199" s="1805">
        <f>+'Fauna Acompañante'!EO28</f>
        <v>0</v>
      </c>
      <c r="F199" s="1805">
        <f>+'Fauna Acompañante'!EP28</f>
        <v>0</v>
      </c>
      <c r="G199" s="1805">
        <f>+'Fauna Acompañante'!EQ28</f>
        <v>0</v>
      </c>
      <c r="H199" s="1805">
        <f>+'Fauna Acompañante'!ER28</f>
        <v>0.25800000000000001</v>
      </c>
      <c r="I199" s="1805">
        <f>+'Fauna Acompañante'!ES28</f>
        <v>0</v>
      </c>
      <c r="J199" s="1805">
        <f>+'Fauna Acompañante'!ET28</f>
        <v>0</v>
      </c>
      <c r="K199" s="1805">
        <f>+'Fauna Acompañante'!EU28</f>
        <v>0</v>
      </c>
      <c r="L199" s="1805">
        <f>+'Fauna Acompañante'!EV28</f>
        <v>0</v>
      </c>
      <c r="M199" s="1805">
        <f>+'Fauna Acompañante'!EW28</f>
        <v>0</v>
      </c>
      <c r="N199" s="1805">
        <f>+'Fauna Acompañante'!EX28</f>
        <v>0</v>
      </c>
      <c r="O199" s="1805">
        <f>+'Fauna Acompañante'!EY28</f>
        <v>0</v>
      </c>
      <c r="P199" s="1805">
        <f>+'Fauna Acompañante'!EZ28</f>
        <v>0</v>
      </c>
      <c r="Q199" s="1805">
        <f>+'Fauna Acompañante'!FA28</f>
        <v>0</v>
      </c>
      <c r="R199" s="1805">
        <f>+'Fauna Acompañante'!FB28</f>
        <v>0</v>
      </c>
      <c r="S199" s="1805">
        <f>+'Fauna Acompañante'!FC28</f>
        <v>0</v>
      </c>
      <c r="T199" s="1805">
        <f>+'Fauna Acompañante'!FD28</f>
        <v>0</v>
      </c>
      <c r="U199" s="1805">
        <f>+'Fauna Acompañante'!FE28</f>
        <v>0</v>
      </c>
      <c r="V199" s="1805">
        <f>+'Fauna Acompañante'!FF28</f>
        <v>0</v>
      </c>
      <c r="W199" s="1805">
        <f>+'Fauna Acompañante'!FG28</f>
        <v>0</v>
      </c>
      <c r="X199" s="1805">
        <f>+'Fauna Acompañante'!FH28</f>
        <v>0</v>
      </c>
      <c r="Y199" s="1805">
        <f>+'Fauna Acompañante'!FI28</f>
        <v>0</v>
      </c>
      <c r="Z199" s="1805">
        <f>+'Fauna Acompañante'!FJ28</f>
        <v>0</v>
      </c>
      <c r="AA199" s="1805">
        <f>+'Fauna Acompañante'!FK28</f>
        <v>0</v>
      </c>
      <c r="AB199" s="1805">
        <f>+'Fauna Acompañante'!FL28</f>
        <v>0</v>
      </c>
      <c r="AC199" s="1805">
        <f>+'Fauna Acompañante'!FM28</f>
        <v>0</v>
      </c>
      <c r="AD199" s="1805">
        <f>+'Fauna Acompañante'!FN28</f>
        <v>0</v>
      </c>
      <c r="AE199" s="1805">
        <f>+'Fauna Acompañante'!FO28</f>
        <v>0</v>
      </c>
      <c r="AF199" s="1805">
        <f>+'Fauna Acompañante'!FP28</f>
        <v>0</v>
      </c>
      <c r="AG199" s="1805">
        <f>+'Fauna Acompañante'!FQ28</f>
        <v>0</v>
      </c>
      <c r="AH199" s="1804">
        <f t="shared" si="31"/>
        <v>0.25800000000000001</v>
      </c>
    </row>
    <row r="200" spans="1:34" ht="15">
      <c r="A200" s="1809" t="s">
        <v>81</v>
      </c>
      <c r="B200" s="2153">
        <f t="shared" si="30"/>
        <v>0</v>
      </c>
      <c r="C200" s="1805">
        <f>+'Fauna Acompañante'!EM29</f>
        <v>0</v>
      </c>
      <c r="D200" s="1805">
        <f>+'Fauna Acompañante'!EN29</f>
        <v>0</v>
      </c>
      <c r="E200" s="1805">
        <f>+'Fauna Acompañante'!EO29</f>
        <v>0</v>
      </c>
      <c r="F200" s="1805">
        <f>+'Fauna Acompañante'!EP29</f>
        <v>0</v>
      </c>
      <c r="G200" s="1805">
        <f>+'Fauna Acompañante'!EQ29</f>
        <v>0</v>
      </c>
      <c r="H200" s="1805">
        <f>+'Fauna Acompañante'!ER29</f>
        <v>0</v>
      </c>
      <c r="I200" s="1805">
        <f>+'Fauna Acompañante'!ES29</f>
        <v>0</v>
      </c>
      <c r="J200" s="1805">
        <f>+'Fauna Acompañante'!ET29</f>
        <v>0</v>
      </c>
      <c r="K200" s="1805">
        <f>+'Fauna Acompañante'!EU29</f>
        <v>0</v>
      </c>
      <c r="L200" s="1805">
        <f>+'Fauna Acompañante'!EV29</f>
        <v>0</v>
      </c>
      <c r="M200" s="1805">
        <f>+'Fauna Acompañante'!EW29</f>
        <v>0</v>
      </c>
      <c r="N200" s="1805">
        <f>+'Fauna Acompañante'!EX29</f>
        <v>0</v>
      </c>
      <c r="O200" s="1805">
        <f>+'Fauna Acompañante'!EY29</f>
        <v>0</v>
      </c>
      <c r="P200" s="1805">
        <f>+'Fauna Acompañante'!EZ29</f>
        <v>0</v>
      </c>
      <c r="Q200" s="1805">
        <f>+'Fauna Acompañante'!FA29</f>
        <v>0</v>
      </c>
      <c r="R200" s="1805">
        <f>+'Fauna Acompañante'!FB29</f>
        <v>0</v>
      </c>
      <c r="S200" s="1805">
        <f>+'Fauna Acompañante'!FC29</f>
        <v>0</v>
      </c>
      <c r="T200" s="1805">
        <f>+'Fauna Acompañante'!FD29</f>
        <v>0</v>
      </c>
      <c r="U200" s="1805">
        <f>+'Fauna Acompañante'!FE29</f>
        <v>0</v>
      </c>
      <c r="V200" s="1805">
        <f>+'Fauna Acompañante'!FF29</f>
        <v>0</v>
      </c>
      <c r="W200" s="1805">
        <f>+'Fauna Acompañante'!FG29</f>
        <v>0</v>
      </c>
      <c r="X200" s="1805">
        <f>+'Fauna Acompañante'!FH29</f>
        <v>0</v>
      </c>
      <c r="Y200" s="1805">
        <f>+'Fauna Acompañante'!FI29</f>
        <v>0</v>
      </c>
      <c r="Z200" s="1805">
        <f>+'Fauna Acompañante'!FJ29</f>
        <v>0</v>
      </c>
      <c r="AA200" s="1805">
        <f>+'Fauna Acompañante'!FK29</f>
        <v>0</v>
      </c>
      <c r="AB200" s="1805">
        <f>+'Fauna Acompañante'!FL29</f>
        <v>0</v>
      </c>
      <c r="AC200" s="1805">
        <f>+'Fauna Acompañante'!FM29</f>
        <v>0</v>
      </c>
      <c r="AD200" s="1805">
        <f>+'Fauna Acompañante'!FN29</f>
        <v>0</v>
      </c>
      <c r="AE200" s="1805">
        <f>+'Fauna Acompañante'!FO29</f>
        <v>0</v>
      </c>
      <c r="AF200" s="1805">
        <f>+'Fauna Acompañante'!FP29</f>
        <v>0</v>
      </c>
      <c r="AG200" s="1805">
        <f>+'Fauna Acompañante'!FQ29</f>
        <v>0</v>
      </c>
      <c r="AH200" s="1804">
        <f t="shared" si="31"/>
        <v>0</v>
      </c>
    </row>
    <row r="201" spans="1:34" ht="15">
      <c r="A201" s="1809" t="s">
        <v>82</v>
      </c>
      <c r="B201" s="2153">
        <f t="shared" si="30"/>
        <v>0</v>
      </c>
      <c r="C201" s="1805">
        <f>+'Fauna Acompañante'!EM30</f>
        <v>0</v>
      </c>
      <c r="D201" s="1805">
        <f>+'Fauna Acompañante'!EN30</f>
        <v>0</v>
      </c>
      <c r="E201" s="1805">
        <f>+'Fauna Acompañante'!EO30</f>
        <v>0</v>
      </c>
      <c r="F201" s="1805">
        <f>+'Fauna Acompañante'!EP30</f>
        <v>0</v>
      </c>
      <c r="G201" s="1805">
        <f>+'Fauna Acompañante'!EQ30</f>
        <v>0</v>
      </c>
      <c r="H201" s="1805">
        <f>+'Fauna Acompañante'!ER30</f>
        <v>0</v>
      </c>
      <c r="I201" s="1805">
        <f>+'Fauna Acompañante'!ES30</f>
        <v>0</v>
      </c>
      <c r="J201" s="1805">
        <f>+'Fauna Acompañante'!ET30</f>
        <v>0</v>
      </c>
      <c r="K201" s="1805">
        <f>+'Fauna Acompañante'!EU30</f>
        <v>0</v>
      </c>
      <c r="L201" s="1805">
        <f>+'Fauna Acompañante'!EV30</f>
        <v>0</v>
      </c>
      <c r="M201" s="1805">
        <f>+'Fauna Acompañante'!EW30</f>
        <v>0</v>
      </c>
      <c r="N201" s="1805">
        <f>+'Fauna Acompañante'!EX30</f>
        <v>0</v>
      </c>
      <c r="O201" s="1805">
        <f>+'Fauna Acompañante'!EY30</f>
        <v>0</v>
      </c>
      <c r="P201" s="1805">
        <f>+'Fauna Acompañante'!EZ30</f>
        <v>0</v>
      </c>
      <c r="Q201" s="1805">
        <f>+'Fauna Acompañante'!FA30</f>
        <v>0</v>
      </c>
      <c r="R201" s="1805">
        <f>+'Fauna Acompañante'!FB30</f>
        <v>0</v>
      </c>
      <c r="S201" s="1805">
        <f>+'Fauna Acompañante'!FC30</f>
        <v>0</v>
      </c>
      <c r="T201" s="1805">
        <f>+'Fauna Acompañante'!FD30</f>
        <v>0</v>
      </c>
      <c r="U201" s="1805">
        <f>+'Fauna Acompañante'!FE30</f>
        <v>0</v>
      </c>
      <c r="V201" s="1805">
        <f>+'Fauna Acompañante'!FF30</f>
        <v>0</v>
      </c>
      <c r="W201" s="1805">
        <f>+'Fauna Acompañante'!FG30</f>
        <v>0</v>
      </c>
      <c r="X201" s="1805">
        <f>+'Fauna Acompañante'!FH30</f>
        <v>0</v>
      </c>
      <c r="Y201" s="1805">
        <f>+'Fauna Acompañante'!FI30</f>
        <v>0</v>
      </c>
      <c r="Z201" s="1805">
        <f>+'Fauna Acompañante'!FJ30</f>
        <v>0</v>
      </c>
      <c r="AA201" s="1805">
        <f>+'Fauna Acompañante'!FK30</f>
        <v>0</v>
      </c>
      <c r="AB201" s="1805">
        <f>+'Fauna Acompañante'!FL30</f>
        <v>0</v>
      </c>
      <c r="AC201" s="1805">
        <f>+'Fauna Acompañante'!FM30</f>
        <v>0</v>
      </c>
      <c r="AD201" s="1805">
        <f>+'Fauna Acompañante'!FN30</f>
        <v>0</v>
      </c>
      <c r="AE201" s="1805">
        <f>+'Fauna Acompañante'!FO30</f>
        <v>0</v>
      </c>
      <c r="AF201" s="1805">
        <f>+'Fauna Acompañante'!FP30</f>
        <v>0</v>
      </c>
      <c r="AG201" s="1805">
        <f>+'Fauna Acompañante'!FQ30</f>
        <v>0</v>
      </c>
      <c r="AH201" s="1804">
        <f t="shared" si="31"/>
        <v>0</v>
      </c>
    </row>
    <row r="202" spans="1:34" ht="15">
      <c r="A202" s="1809" t="s">
        <v>83</v>
      </c>
      <c r="B202" s="2153">
        <f t="shared" si="30"/>
        <v>0</v>
      </c>
      <c r="C202" s="1805">
        <f>+'Fauna Acompañante'!EM31</f>
        <v>0</v>
      </c>
      <c r="D202" s="1805">
        <f>+'Fauna Acompañante'!EN31</f>
        <v>0</v>
      </c>
      <c r="E202" s="1805">
        <f>+'Fauna Acompañante'!EO31</f>
        <v>0</v>
      </c>
      <c r="F202" s="1805">
        <f>+'Fauna Acompañante'!EP31</f>
        <v>0</v>
      </c>
      <c r="G202" s="1805">
        <f>+'Fauna Acompañante'!EQ31</f>
        <v>0</v>
      </c>
      <c r="H202" s="1805">
        <f>+'Fauna Acompañante'!ER31</f>
        <v>0</v>
      </c>
      <c r="I202" s="1805">
        <f>+'Fauna Acompañante'!ES31</f>
        <v>0</v>
      </c>
      <c r="J202" s="1805">
        <f>+'Fauna Acompañante'!ET31</f>
        <v>0</v>
      </c>
      <c r="K202" s="1805">
        <f>+'Fauna Acompañante'!EU31</f>
        <v>0</v>
      </c>
      <c r="L202" s="1805">
        <f>+'Fauna Acompañante'!EV31</f>
        <v>0</v>
      </c>
      <c r="M202" s="1805">
        <f>+'Fauna Acompañante'!EW31</f>
        <v>0</v>
      </c>
      <c r="N202" s="1805">
        <f>+'Fauna Acompañante'!EX31</f>
        <v>0</v>
      </c>
      <c r="O202" s="1805">
        <f>+'Fauna Acompañante'!EY31</f>
        <v>0</v>
      </c>
      <c r="P202" s="1805">
        <f>+'Fauna Acompañante'!EZ31</f>
        <v>0</v>
      </c>
      <c r="Q202" s="1805">
        <f>+'Fauna Acompañante'!FA31</f>
        <v>0</v>
      </c>
      <c r="R202" s="1805">
        <f>+'Fauna Acompañante'!FB31</f>
        <v>0</v>
      </c>
      <c r="S202" s="1805">
        <f>+'Fauna Acompañante'!FC31</f>
        <v>0</v>
      </c>
      <c r="T202" s="1805">
        <f>+'Fauna Acompañante'!FD31</f>
        <v>0</v>
      </c>
      <c r="U202" s="1805">
        <f>+'Fauna Acompañante'!FE31</f>
        <v>0</v>
      </c>
      <c r="V202" s="1805">
        <f>+'Fauna Acompañante'!FF31</f>
        <v>0</v>
      </c>
      <c r="W202" s="1805">
        <f>+'Fauna Acompañante'!FG31</f>
        <v>0</v>
      </c>
      <c r="X202" s="1805">
        <f>+'Fauna Acompañante'!FH31</f>
        <v>0</v>
      </c>
      <c r="Y202" s="1805">
        <f>+'Fauna Acompañante'!FI31</f>
        <v>0</v>
      </c>
      <c r="Z202" s="1805">
        <f>+'Fauna Acompañante'!FJ31</f>
        <v>0</v>
      </c>
      <c r="AA202" s="1805">
        <f>+'Fauna Acompañante'!FK31</f>
        <v>0</v>
      </c>
      <c r="AB202" s="1805">
        <f>+'Fauna Acompañante'!FL31</f>
        <v>0</v>
      </c>
      <c r="AC202" s="1805">
        <f>+'Fauna Acompañante'!FM31</f>
        <v>0</v>
      </c>
      <c r="AD202" s="1805">
        <f>+'Fauna Acompañante'!FN31</f>
        <v>0</v>
      </c>
      <c r="AE202" s="1805">
        <f>+'Fauna Acompañante'!FO31</f>
        <v>0</v>
      </c>
      <c r="AF202" s="1805">
        <f>+'Fauna Acompañante'!FP31</f>
        <v>0</v>
      </c>
      <c r="AG202" s="1805">
        <f>+'Fauna Acompañante'!FQ31</f>
        <v>0</v>
      </c>
      <c r="AH202" s="1804">
        <f t="shared" si="31"/>
        <v>0</v>
      </c>
    </row>
    <row r="203" spans="1:34" ht="15">
      <c r="A203" s="1809" t="s">
        <v>84</v>
      </c>
      <c r="B203" s="2153">
        <f t="shared" si="30"/>
        <v>0</v>
      </c>
      <c r="C203" s="1805">
        <f>+'Fauna Acompañante'!EM32</f>
        <v>0</v>
      </c>
      <c r="D203" s="1805">
        <f>+'Fauna Acompañante'!EN32</f>
        <v>0</v>
      </c>
      <c r="E203" s="1805">
        <f>+'Fauna Acompañante'!EO32</f>
        <v>0</v>
      </c>
      <c r="F203" s="1805">
        <f>+'Fauna Acompañante'!EP32</f>
        <v>0</v>
      </c>
      <c r="G203" s="1805">
        <f>+'Fauna Acompañante'!EQ32</f>
        <v>0</v>
      </c>
      <c r="H203" s="1805">
        <f>+'Fauna Acompañante'!ER32</f>
        <v>0</v>
      </c>
      <c r="I203" s="1805">
        <f>+'Fauna Acompañante'!ES32</f>
        <v>0</v>
      </c>
      <c r="J203" s="1805">
        <f>+'Fauna Acompañante'!ET32</f>
        <v>0</v>
      </c>
      <c r="K203" s="1805">
        <f>+'Fauna Acompañante'!EU32</f>
        <v>0</v>
      </c>
      <c r="L203" s="1805">
        <f>+'Fauna Acompañante'!EV32</f>
        <v>0</v>
      </c>
      <c r="M203" s="1805">
        <f>+'Fauna Acompañante'!EW32</f>
        <v>0</v>
      </c>
      <c r="N203" s="1805">
        <f>+'Fauna Acompañante'!EX32</f>
        <v>0</v>
      </c>
      <c r="O203" s="1805">
        <f>+'Fauna Acompañante'!EY32</f>
        <v>0</v>
      </c>
      <c r="P203" s="1805">
        <f>+'Fauna Acompañante'!EZ32</f>
        <v>0</v>
      </c>
      <c r="Q203" s="1805">
        <f>+'Fauna Acompañante'!FA32</f>
        <v>0</v>
      </c>
      <c r="R203" s="1805">
        <f>+'Fauna Acompañante'!FB32</f>
        <v>0</v>
      </c>
      <c r="S203" s="1805">
        <f>+'Fauna Acompañante'!FC32</f>
        <v>0</v>
      </c>
      <c r="T203" s="1805">
        <f>+'Fauna Acompañante'!FD32</f>
        <v>0</v>
      </c>
      <c r="U203" s="1805">
        <f>+'Fauna Acompañante'!FE32</f>
        <v>0</v>
      </c>
      <c r="V203" s="1805">
        <f>+'Fauna Acompañante'!FF32</f>
        <v>0</v>
      </c>
      <c r="W203" s="1805">
        <f>+'Fauna Acompañante'!FG32</f>
        <v>0</v>
      </c>
      <c r="X203" s="1805">
        <f>+'Fauna Acompañante'!FH32</f>
        <v>0</v>
      </c>
      <c r="Y203" s="1805">
        <f>+'Fauna Acompañante'!FI32</f>
        <v>0</v>
      </c>
      <c r="Z203" s="1805">
        <f>+'Fauna Acompañante'!FJ32</f>
        <v>0</v>
      </c>
      <c r="AA203" s="1805">
        <f>+'Fauna Acompañante'!FK32</f>
        <v>0</v>
      </c>
      <c r="AB203" s="1805">
        <f>+'Fauna Acompañante'!FL32</f>
        <v>0</v>
      </c>
      <c r="AC203" s="1805">
        <f>+'Fauna Acompañante'!FM32</f>
        <v>0</v>
      </c>
      <c r="AD203" s="1805">
        <f>+'Fauna Acompañante'!FN32</f>
        <v>0</v>
      </c>
      <c r="AE203" s="1805">
        <f>+'Fauna Acompañante'!FO32</f>
        <v>0</v>
      </c>
      <c r="AF203" s="1805">
        <f>+'Fauna Acompañante'!FP32</f>
        <v>0</v>
      </c>
      <c r="AG203" s="1805">
        <f>+'Fauna Acompañante'!FQ32</f>
        <v>0</v>
      </c>
      <c r="AH203" s="1804">
        <f t="shared" si="31"/>
        <v>0</v>
      </c>
    </row>
    <row r="204" spans="1:34" ht="15">
      <c r="A204" s="1807" t="s">
        <v>72</v>
      </c>
      <c r="B204" s="1806">
        <f>SUM(B192:B203)</f>
        <v>6.3370000000000006</v>
      </c>
      <c r="C204" s="1805">
        <f t="shared" ref="C204:AH204" si="32">SUM(C192:C203)</f>
        <v>0</v>
      </c>
      <c r="D204" s="1805">
        <f t="shared" si="32"/>
        <v>0</v>
      </c>
      <c r="E204" s="1805">
        <f t="shared" si="32"/>
        <v>0</v>
      </c>
      <c r="F204" s="1805">
        <f t="shared" si="32"/>
        <v>0</v>
      </c>
      <c r="G204" s="1805">
        <f t="shared" si="32"/>
        <v>0.3</v>
      </c>
      <c r="H204" s="1805">
        <f t="shared" si="32"/>
        <v>0.25800000000000001</v>
      </c>
      <c r="I204" s="1805">
        <f t="shared" si="32"/>
        <v>0</v>
      </c>
      <c r="J204" s="1805">
        <f t="shared" si="32"/>
        <v>0</v>
      </c>
      <c r="K204" s="1805">
        <f t="shared" si="32"/>
        <v>0</v>
      </c>
      <c r="L204" s="1805">
        <f t="shared" si="32"/>
        <v>0.75</v>
      </c>
      <c r="M204" s="1805">
        <f t="shared" si="32"/>
        <v>0</v>
      </c>
      <c r="N204" s="1805">
        <f t="shared" si="32"/>
        <v>0</v>
      </c>
      <c r="O204" s="1805">
        <f t="shared" si="32"/>
        <v>0</v>
      </c>
      <c r="P204" s="1805">
        <f t="shared" si="32"/>
        <v>0</v>
      </c>
      <c r="Q204" s="1805">
        <f t="shared" si="32"/>
        <v>0</v>
      </c>
      <c r="R204" s="1805">
        <f t="shared" si="32"/>
        <v>1.3919999999999999</v>
      </c>
      <c r="S204" s="1805">
        <f t="shared" si="32"/>
        <v>0.52700000000000002</v>
      </c>
      <c r="T204" s="1805">
        <f t="shared" si="32"/>
        <v>0.55000000000000004</v>
      </c>
      <c r="U204" s="1805">
        <f t="shared" si="32"/>
        <v>0.52500000000000002</v>
      </c>
      <c r="V204" s="1805">
        <f t="shared" si="32"/>
        <v>0.61499999999999999</v>
      </c>
      <c r="W204" s="1805">
        <f t="shared" si="32"/>
        <v>0</v>
      </c>
      <c r="X204" s="1805">
        <f t="shared" si="32"/>
        <v>0</v>
      </c>
      <c r="Y204" s="1805">
        <f t="shared" si="32"/>
        <v>0.48</v>
      </c>
      <c r="Z204" s="1805">
        <f t="shared" si="32"/>
        <v>0</v>
      </c>
      <c r="AA204" s="1805">
        <f t="shared" si="32"/>
        <v>0.42</v>
      </c>
      <c r="AB204" s="1805">
        <f t="shared" si="32"/>
        <v>0.27</v>
      </c>
      <c r="AC204" s="1805">
        <f t="shared" si="32"/>
        <v>0</v>
      </c>
      <c r="AD204" s="1805">
        <f t="shared" si="32"/>
        <v>0</v>
      </c>
      <c r="AE204" s="1805">
        <f t="shared" si="32"/>
        <v>0</v>
      </c>
      <c r="AF204" s="1805">
        <f t="shared" si="32"/>
        <v>0</v>
      </c>
      <c r="AG204" s="1805">
        <f t="shared" si="32"/>
        <v>0.25</v>
      </c>
      <c r="AH204" s="1804">
        <f t="shared" si="32"/>
        <v>6.3370000000000006</v>
      </c>
    </row>
  </sheetData>
  <mergeCells count="19">
    <mergeCell ref="A190:C190"/>
    <mergeCell ref="A148:T148"/>
    <mergeCell ref="A151:C151"/>
    <mergeCell ref="A167:T167"/>
    <mergeCell ref="A170:C170"/>
    <mergeCell ref="A1:T1"/>
    <mergeCell ref="A20:T20"/>
    <mergeCell ref="A88:T88"/>
    <mergeCell ref="A129:T129"/>
    <mergeCell ref="A187:T187"/>
    <mergeCell ref="A4:C4"/>
    <mergeCell ref="A23:C23"/>
    <mergeCell ref="A91:C91"/>
    <mergeCell ref="A132:C132"/>
    <mergeCell ref="A39:C39"/>
    <mergeCell ref="A55:C55"/>
    <mergeCell ref="A71:C71"/>
    <mergeCell ref="A107:T107"/>
    <mergeCell ref="A110:C11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sheetPr>
    <tabColor theme="7" tint="0.39997558519241921"/>
  </sheetPr>
  <dimension ref="A1:FR257"/>
  <sheetViews>
    <sheetView topLeftCell="CU1" zoomScale="70" zoomScaleNormal="70" workbookViewId="0">
      <selection activeCell="DJ8" sqref="DJ8"/>
    </sheetView>
  </sheetViews>
  <sheetFormatPr baseColWidth="10" defaultColWidth="11.44140625" defaultRowHeight="13.2"/>
  <cols>
    <col min="1" max="1" width="11.44140625" style="1766"/>
    <col min="2" max="2" width="13.33203125" style="1766" customWidth="1"/>
    <col min="3" max="3" width="7.33203125" style="1766" bestFit="1" customWidth="1"/>
    <col min="4" max="4" width="6.5546875" style="1766" bestFit="1" customWidth="1"/>
    <col min="5" max="5" width="5.5546875" style="1766" bestFit="1" customWidth="1"/>
    <col min="6" max="6" width="7.5546875" style="1766" bestFit="1" customWidth="1"/>
    <col min="7" max="10" width="5.5546875" style="1766" bestFit="1" customWidth="1"/>
    <col min="11" max="11" width="6.5546875" style="1766" bestFit="1" customWidth="1"/>
    <col min="12" max="13" width="5.5546875" style="1766" bestFit="1" customWidth="1"/>
    <col min="14" max="14" width="6.33203125" style="1766" bestFit="1" customWidth="1"/>
    <col min="15" max="15" width="6.88671875" style="1766" bestFit="1" customWidth="1"/>
    <col min="16" max="19" width="5.5546875" style="1766" bestFit="1" customWidth="1"/>
    <col min="20" max="20" width="6.109375" style="1766" bestFit="1" customWidth="1"/>
    <col min="21" max="30" width="5.5546875" style="1766" bestFit="1" customWidth="1"/>
    <col min="31" max="31" width="6.109375" style="1766" bestFit="1" customWidth="1"/>
    <col min="32" max="33" width="5.5546875" style="1766" bestFit="1" customWidth="1"/>
    <col min="34" max="34" width="7.109375" style="1766" bestFit="1" customWidth="1"/>
    <col min="35" max="35" width="5.33203125" style="1766" customWidth="1"/>
    <col min="36" max="37" width="11.44140625" style="1766"/>
    <col min="38" max="38" width="6.5546875" style="1766" customWidth="1"/>
    <col min="39" max="39" width="8.6640625" style="1766" bestFit="1" customWidth="1"/>
    <col min="40" max="69" width="6.5546875" style="1766" customWidth="1"/>
    <col min="70" max="70" width="4.44140625" style="1766" customWidth="1"/>
    <col min="71" max="72" width="11.44140625" style="1766"/>
    <col min="73" max="73" width="7" style="1766" customWidth="1"/>
    <col min="74" max="74" width="15.5546875" style="1766" customWidth="1"/>
    <col min="75" max="87" width="7" style="1766" customWidth="1"/>
    <col min="88" max="88" width="6.5546875" style="1766" customWidth="1"/>
    <col min="89" max="104" width="7" style="1766" customWidth="1"/>
    <col min="105" max="107" width="11.44140625" style="1766"/>
    <col min="108" max="108" width="7.5546875" style="1766" bestFit="1" customWidth="1"/>
    <col min="109" max="139" width="6.5546875" style="1766" customWidth="1"/>
    <col min="140" max="142" width="11.44140625" style="1766"/>
    <col min="143" max="143" width="14.33203125" style="1766" customWidth="1"/>
    <col min="144" max="144" width="6.5546875" style="1766" bestFit="1" customWidth="1"/>
    <col min="145" max="145" width="5.6640625" style="1766" customWidth="1"/>
    <col min="146" max="146" width="7.5546875" style="1766" bestFit="1" customWidth="1"/>
    <col min="147" max="147" width="6.5546875" style="1766" bestFit="1" customWidth="1"/>
    <col min="148" max="148" width="6.33203125" style="1766" bestFit="1" customWidth="1"/>
    <col min="149" max="150" width="5.6640625" style="1766" customWidth="1"/>
    <col min="151" max="151" width="6.5546875" style="1766" bestFit="1" customWidth="1"/>
    <col min="152" max="153" width="5.6640625" style="1766" customWidth="1"/>
    <col min="154" max="154" width="6.5546875" style="1766" bestFit="1" customWidth="1"/>
    <col min="155" max="155" width="6.88671875" style="1766" bestFit="1" customWidth="1"/>
    <col min="156" max="156" width="5.6640625" style="1766" customWidth="1"/>
    <col min="157" max="157" width="7.109375" style="1766" bestFit="1" customWidth="1"/>
    <col min="158" max="162" width="5.6640625" style="1766" customWidth="1"/>
    <col min="163" max="163" width="7.33203125" style="1766" bestFit="1" customWidth="1"/>
    <col min="164" max="173" width="5.6640625" style="1766" customWidth="1"/>
    <col min="174" max="174" width="8.44140625" style="1766" customWidth="1"/>
    <col min="175" max="16384" width="11.44140625" style="1766"/>
  </cols>
  <sheetData>
    <row r="1" spans="1:174" ht="15">
      <c r="A1" s="4032" t="s">
        <v>751</v>
      </c>
      <c r="B1" s="4033"/>
      <c r="C1" s="4033"/>
      <c r="D1" s="4033"/>
      <c r="E1" s="4033"/>
      <c r="F1" s="4033"/>
      <c r="G1" s="4033"/>
      <c r="H1" s="4033"/>
      <c r="I1" s="4033"/>
      <c r="J1" s="4033"/>
      <c r="K1" s="4033"/>
      <c r="L1" s="4033"/>
      <c r="M1" s="4033"/>
      <c r="N1" s="4033"/>
      <c r="O1" s="4033"/>
      <c r="P1" s="4033"/>
      <c r="Q1" s="4033"/>
      <c r="R1" s="4033"/>
      <c r="S1" s="4033"/>
      <c r="T1" s="4034"/>
      <c r="U1" s="1851"/>
      <c r="V1" s="1851"/>
      <c r="W1" s="1851"/>
      <c r="X1" s="1851"/>
      <c r="Y1" s="1851"/>
      <c r="Z1" s="1851"/>
      <c r="AA1" s="1851"/>
      <c r="AB1" s="1851"/>
      <c r="AC1" s="1851"/>
      <c r="AD1" s="1851"/>
      <c r="AE1" s="1851"/>
      <c r="AF1" s="1851"/>
      <c r="AG1" s="1851"/>
      <c r="AH1" s="1851"/>
      <c r="AJ1" s="3821" t="s">
        <v>737</v>
      </c>
      <c r="AK1" s="3822"/>
      <c r="AL1" s="3822"/>
      <c r="AM1" s="3822"/>
      <c r="AN1" s="3822"/>
      <c r="AO1" s="3822"/>
      <c r="AP1" s="3822"/>
      <c r="AQ1" s="3822"/>
      <c r="AR1" s="3822"/>
      <c r="AS1" s="3822"/>
      <c r="AT1" s="3822"/>
      <c r="AU1" s="3822"/>
      <c r="AV1" s="3822"/>
      <c r="AW1" s="3822"/>
      <c r="AX1" s="3822"/>
      <c r="AY1" s="3822"/>
      <c r="AZ1" s="3822"/>
      <c r="BA1" s="3822"/>
      <c r="BB1" s="3822"/>
      <c r="BC1" s="3823"/>
      <c r="BD1" s="1841"/>
      <c r="BE1" s="1841"/>
      <c r="BF1" s="1841"/>
      <c r="BG1" s="1841"/>
      <c r="BH1" s="1841"/>
      <c r="BI1" s="1841"/>
      <c r="BJ1" s="1841"/>
      <c r="BK1" s="1841"/>
      <c r="BL1" s="1841"/>
      <c r="BM1" s="1841"/>
      <c r="BN1" s="1841"/>
      <c r="BO1" s="1841"/>
      <c r="BP1" s="1841"/>
      <c r="BQ1" s="1841"/>
      <c r="BS1" s="4035" t="s">
        <v>743</v>
      </c>
      <c r="BT1" s="4036"/>
      <c r="BU1" s="4036"/>
      <c r="BV1" s="4036"/>
      <c r="BW1" s="4036"/>
      <c r="BX1" s="4036"/>
      <c r="BY1" s="4036"/>
      <c r="BZ1" s="4036"/>
      <c r="CA1" s="4036"/>
      <c r="CB1" s="4036"/>
      <c r="CC1" s="4036"/>
      <c r="CD1" s="4036"/>
      <c r="CE1" s="4036"/>
      <c r="CF1" s="4036"/>
      <c r="CG1" s="4036"/>
      <c r="CH1" s="4036"/>
      <c r="CI1" s="4036"/>
      <c r="CJ1" s="4036"/>
      <c r="CK1" s="4036"/>
      <c r="CL1" s="4037"/>
      <c r="CM1" s="1833"/>
      <c r="CN1" s="1833"/>
      <c r="CO1" s="1833"/>
      <c r="CP1" s="1833"/>
      <c r="CQ1" s="1833"/>
      <c r="CR1" s="1833"/>
      <c r="CS1" s="1833"/>
      <c r="CT1" s="1833"/>
      <c r="CU1" s="1833"/>
      <c r="CV1" s="1833"/>
      <c r="CW1" s="1833"/>
      <c r="CX1" s="1833"/>
      <c r="CY1" s="1833"/>
      <c r="CZ1" s="1833"/>
      <c r="DB1" s="4038" t="s">
        <v>750</v>
      </c>
      <c r="DC1" s="4039"/>
      <c r="DD1" s="4039"/>
      <c r="DE1" s="4039"/>
      <c r="DF1" s="4039"/>
      <c r="DG1" s="4039"/>
      <c r="DH1" s="4039"/>
      <c r="DI1" s="4039"/>
      <c r="DJ1" s="4039"/>
      <c r="DK1" s="4039"/>
      <c r="DL1" s="4039"/>
      <c r="DM1" s="4039"/>
      <c r="DN1" s="4039"/>
      <c r="DO1" s="4039"/>
      <c r="DP1" s="4039"/>
      <c r="DQ1" s="4039"/>
      <c r="DR1" s="4039"/>
      <c r="DS1" s="4039"/>
      <c r="DT1" s="4039"/>
      <c r="DU1" s="4040"/>
      <c r="DV1" s="1825"/>
      <c r="DW1" s="1825"/>
      <c r="DX1" s="1825"/>
      <c r="DY1" s="1825"/>
      <c r="DZ1" s="1825"/>
      <c r="EA1" s="1825"/>
      <c r="EB1" s="1825"/>
      <c r="EC1" s="1825"/>
      <c r="ED1" s="1825"/>
      <c r="EE1" s="1825"/>
      <c r="EF1" s="1825"/>
      <c r="EG1" s="1825"/>
      <c r="EH1" s="1825"/>
      <c r="EI1" s="1825"/>
      <c r="EK1" s="4041" t="s">
        <v>746</v>
      </c>
      <c r="EL1" s="4042"/>
      <c r="EM1" s="4042"/>
      <c r="EN1" s="4042"/>
      <c r="EO1" s="4042"/>
      <c r="EP1" s="4042"/>
      <c r="EQ1" s="4042"/>
      <c r="ER1" s="4042"/>
      <c r="ES1" s="4042"/>
      <c r="ET1" s="4042"/>
      <c r="EU1" s="4042"/>
      <c r="EV1" s="4042"/>
      <c r="EW1" s="4042"/>
      <c r="EX1" s="4042"/>
      <c r="EY1" s="4042"/>
      <c r="EZ1" s="4042"/>
      <c r="FA1" s="4042"/>
      <c r="FB1" s="4042"/>
      <c r="FC1" s="4042"/>
      <c r="FD1" s="4043"/>
      <c r="FE1" s="1813"/>
      <c r="FF1" s="1813"/>
      <c r="FG1" s="1813"/>
      <c r="FH1" s="1813"/>
      <c r="FI1" s="1813"/>
      <c r="FJ1" s="1813"/>
      <c r="FK1" s="1813"/>
      <c r="FL1" s="1813"/>
      <c r="FM1" s="1813"/>
      <c r="FN1" s="1813"/>
      <c r="FO1" s="1813"/>
      <c r="FP1" s="1813"/>
      <c r="FQ1" s="1813"/>
      <c r="FR1" s="1813"/>
    </row>
    <row r="2" spans="1:174" ht="15">
      <c r="A2" s="1851"/>
      <c r="B2" s="1851"/>
      <c r="C2" s="1851"/>
      <c r="D2" s="1851"/>
      <c r="E2" s="1851"/>
      <c r="F2" s="1851"/>
      <c r="G2" s="1851"/>
      <c r="H2" s="1851"/>
      <c r="I2" s="1851"/>
      <c r="J2" s="1851"/>
      <c r="K2" s="1851"/>
      <c r="L2" s="1851"/>
      <c r="M2" s="1851"/>
      <c r="N2" s="1851"/>
      <c r="O2" s="1851"/>
      <c r="P2" s="1851"/>
      <c r="Q2" s="1851"/>
      <c r="R2" s="1851"/>
      <c r="S2" s="1851"/>
      <c r="T2" s="1851"/>
      <c r="U2" s="1851"/>
      <c r="V2" s="1851"/>
      <c r="W2" s="1851"/>
      <c r="X2" s="1851"/>
      <c r="Y2" s="1851"/>
      <c r="Z2" s="1851"/>
      <c r="AA2" s="1851"/>
      <c r="AB2" s="1851"/>
      <c r="AC2" s="1851"/>
      <c r="AD2" s="1851"/>
      <c r="AE2" s="1851"/>
      <c r="AF2" s="1851"/>
      <c r="AG2" s="1851"/>
      <c r="AH2" s="1851"/>
      <c r="AJ2" s="1841"/>
      <c r="AK2" s="1841"/>
      <c r="AL2" s="1841"/>
      <c r="AM2" s="1841"/>
      <c r="AN2" s="1841"/>
      <c r="AO2" s="1841"/>
      <c r="AP2" s="1841"/>
      <c r="AQ2" s="1841"/>
      <c r="AR2" s="1841"/>
      <c r="AS2" s="1841"/>
      <c r="AT2" s="1841"/>
      <c r="AU2" s="1841"/>
      <c r="AV2" s="1841"/>
      <c r="AW2" s="1841"/>
      <c r="AX2" s="1841"/>
      <c r="AY2" s="1841"/>
      <c r="AZ2" s="1841"/>
      <c r="BA2" s="1841"/>
      <c r="BB2" s="1841"/>
      <c r="BC2" s="1841"/>
      <c r="BD2" s="1841"/>
      <c r="BE2" s="1841"/>
      <c r="BF2" s="1841"/>
      <c r="BG2" s="1841"/>
      <c r="BH2" s="1841"/>
      <c r="BI2" s="1841"/>
      <c r="BJ2" s="1841"/>
      <c r="BK2" s="1841"/>
      <c r="BL2" s="1841"/>
      <c r="BM2" s="1841"/>
      <c r="BN2" s="1841"/>
      <c r="BO2" s="1841"/>
      <c r="BP2" s="1841"/>
      <c r="BQ2" s="1841"/>
      <c r="BS2" s="1833"/>
      <c r="BT2" s="1833"/>
      <c r="BU2" s="1833"/>
      <c r="BV2" s="1833"/>
      <c r="BW2" s="1833"/>
      <c r="BX2" s="1833"/>
      <c r="BY2" s="1833"/>
      <c r="BZ2" s="1833"/>
      <c r="CA2" s="1833"/>
      <c r="CB2" s="1833"/>
      <c r="CC2" s="1833"/>
      <c r="CD2" s="1833"/>
      <c r="CE2" s="1833"/>
      <c r="CF2" s="1833"/>
      <c r="CG2" s="1833"/>
      <c r="CH2" s="1833"/>
      <c r="CI2" s="1833"/>
      <c r="CJ2" s="1833"/>
      <c r="CK2" s="1833"/>
      <c r="CL2" s="1833"/>
      <c r="CM2" s="1833"/>
      <c r="CN2" s="1833"/>
      <c r="CO2" s="1833"/>
      <c r="CP2" s="1833"/>
      <c r="CQ2" s="1833"/>
      <c r="CR2" s="1833"/>
      <c r="CS2" s="1833"/>
      <c r="CT2" s="1833"/>
      <c r="CU2" s="1833"/>
      <c r="CV2" s="1833"/>
      <c r="CW2" s="1833"/>
      <c r="CX2" s="1833"/>
      <c r="CY2" s="1833"/>
      <c r="CZ2" s="1833"/>
      <c r="DB2" s="1825"/>
      <c r="DC2" s="1825"/>
      <c r="DD2" s="1825"/>
      <c r="DE2" s="1825"/>
      <c r="DF2" s="1825"/>
      <c r="DG2" s="1825"/>
      <c r="DH2" s="1825"/>
      <c r="DI2" s="1825"/>
      <c r="DJ2" s="1825"/>
      <c r="DK2" s="1825"/>
      <c r="DL2" s="1825"/>
      <c r="DM2" s="1825"/>
      <c r="DN2" s="1825"/>
      <c r="DO2" s="1825"/>
      <c r="DP2" s="1825"/>
      <c r="DQ2" s="1825"/>
      <c r="DR2" s="1825"/>
      <c r="DS2" s="1825"/>
      <c r="DT2" s="1825"/>
      <c r="DU2" s="1825"/>
      <c r="DV2" s="1825"/>
      <c r="DW2" s="1825"/>
      <c r="DX2" s="1825"/>
      <c r="DY2" s="1825"/>
      <c r="DZ2" s="1825"/>
      <c r="EA2" s="1825"/>
      <c r="EB2" s="1825"/>
      <c r="EC2" s="1825"/>
      <c r="ED2" s="1825"/>
      <c r="EE2" s="1825"/>
      <c r="EF2" s="1825"/>
      <c r="EG2" s="1825"/>
      <c r="EH2" s="1825"/>
      <c r="EI2" s="1825"/>
      <c r="EK2" s="1959"/>
      <c r="EL2" s="1958"/>
      <c r="EM2" s="1957"/>
      <c r="EN2" s="1956"/>
      <c r="EO2" s="1956"/>
      <c r="EP2" s="1956"/>
      <c r="EQ2" s="1956"/>
      <c r="ER2" s="1956"/>
      <c r="ES2" s="1956"/>
      <c r="ET2" s="1956"/>
      <c r="EU2" s="1956"/>
      <c r="EV2" s="1956"/>
      <c r="EW2" s="1956"/>
      <c r="EX2" s="1956"/>
      <c r="EY2" s="1956"/>
      <c r="EZ2" s="1956"/>
      <c r="FA2" s="1956"/>
      <c r="FB2" s="1956"/>
      <c r="FC2" s="1956"/>
      <c r="FD2" s="1956"/>
      <c r="FE2" s="1956"/>
      <c r="FF2" s="1956"/>
      <c r="FG2" s="1956"/>
      <c r="FH2" s="1956"/>
      <c r="FI2" s="1956"/>
      <c r="FJ2" s="1956"/>
      <c r="FK2" s="1956"/>
      <c r="FL2" s="1956"/>
      <c r="FM2" s="1956"/>
      <c r="FN2" s="1956"/>
      <c r="FO2" s="1956"/>
      <c r="FP2" s="1956"/>
      <c r="FQ2" s="1956"/>
      <c r="FR2" s="1956"/>
    </row>
    <row r="3" spans="1:174" ht="15">
      <c r="A3" s="4044" t="s">
        <v>615</v>
      </c>
      <c r="B3" s="4045"/>
      <c r="C3" s="4046"/>
      <c r="D3" s="1921"/>
      <c r="E3" s="1229"/>
      <c r="F3" s="1229"/>
      <c r="G3" s="1229"/>
      <c r="H3" s="1229"/>
      <c r="I3" s="1229"/>
      <c r="J3" s="1229"/>
      <c r="K3" s="1229"/>
      <c r="L3" s="1229"/>
      <c r="M3" s="1920"/>
      <c r="N3" s="1919"/>
      <c r="O3" s="1229"/>
      <c r="P3" s="1229"/>
      <c r="Q3" s="1229"/>
      <c r="R3" s="1229"/>
      <c r="S3" s="1229"/>
      <c r="T3" s="1229"/>
      <c r="U3" s="1229"/>
      <c r="V3" s="1229"/>
      <c r="W3" s="1229"/>
      <c r="X3" s="1229"/>
      <c r="Y3" s="1229"/>
      <c r="Z3" s="1229"/>
      <c r="AA3" s="1229"/>
      <c r="AB3" s="1229"/>
      <c r="AC3" s="1229"/>
      <c r="AD3" s="1229"/>
      <c r="AE3" s="1229"/>
      <c r="AF3" s="1229"/>
      <c r="AG3" s="1229"/>
      <c r="AH3" s="1229"/>
      <c r="AJ3" s="3821" t="s">
        <v>615</v>
      </c>
      <c r="AK3" s="3822"/>
      <c r="AL3" s="3823"/>
      <c r="AM3" s="1915"/>
      <c r="AN3" s="1839"/>
      <c r="AO3" s="1839"/>
      <c r="AP3" s="1839"/>
      <c r="AQ3" s="1839"/>
      <c r="AR3" s="1839"/>
      <c r="AS3" s="1839"/>
      <c r="AT3" s="1839"/>
      <c r="AU3" s="1839"/>
      <c r="AV3" s="1840"/>
      <c r="AW3" s="1914"/>
      <c r="AX3" s="1839"/>
      <c r="AY3" s="1839"/>
      <c r="AZ3" s="1839"/>
      <c r="BA3" s="1839"/>
      <c r="BB3" s="1839"/>
      <c r="BC3" s="1839"/>
      <c r="BD3" s="1839"/>
      <c r="BE3" s="1839"/>
      <c r="BF3" s="1839"/>
      <c r="BG3" s="1839"/>
      <c r="BH3" s="1839"/>
      <c r="BI3" s="1839"/>
      <c r="BJ3" s="1839"/>
      <c r="BK3" s="1839"/>
      <c r="BL3" s="1839"/>
      <c r="BM3" s="1839"/>
      <c r="BN3" s="1839"/>
      <c r="BO3" s="1839"/>
      <c r="BP3" s="1839"/>
      <c r="BQ3" s="1839"/>
      <c r="BS3" s="4035" t="s">
        <v>615</v>
      </c>
      <c r="BT3" s="4036"/>
      <c r="BU3" s="4037"/>
      <c r="BV3" s="1913"/>
      <c r="BW3" s="1831"/>
      <c r="BX3" s="1831"/>
      <c r="BY3" s="1831"/>
      <c r="BZ3" s="1831"/>
      <c r="CA3" s="1831"/>
      <c r="CB3" s="1831"/>
      <c r="CC3" s="1831"/>
      <c r="CD3" s="1831"/>
      <c r="CE3" s="1832"/>
      <c r="CF3" s="1912"/>
      <c r="CG3" s="1831"/>
      <c r="CH3" s="1831"/>
      <c r="CI3" s="1831"/>
      <c r="CJ3" s="1831"/>
      <c r="CK3" s="1831"/>
      <c r="CL3" s="1831"/>
      <c r="CM3" s="1831"/>
      <c r="CN3" s="1831"/>
      <c r="CO3" s="1831"/>
      <c r="CP3" s="1831"/>
      <c r="CQ3" s="1831"/>
      <c r="CR3" s="1831"/>
      <c r="CS3" s="1831"/>
      <c r="CT3" s="1831"/>
      <c r="CU3" s="1831"/>
      <c r="CV3" s="1831"/>
      <c r="CW3" s="1831"/>
      <c r="CX3" s="1831"/>
      <c r="CY3" s="1831"/>
      <c r="CZ3" s="1831"/>
      <c r="DB3" s="4038" t="s">
        <v>615</v>
      </c>
      <c r="DC3" s="4039"/>
      <c r="DD3" s="4040"/>
      <c r="DE3" s="1911"/>
      <c r="DF3" s="1823"/>
      <c r="DG3" s="1823"/>
      <c r="DH3" s="1823"/>
      <c r="DI3" s="1823"/>
      <c r="DJ3" s="1823"/>
      <c r="DK3" s="1823"/>
      <c r="DL3" s="1823"/>
      <c r="DM3" s="1823"/>
      <c r="DN3" s="1824"/>
      <c r="DO3" s="1910"/>
      <c r="DP3" s="1823"/>
      <c r="DQ3" s="1823"/>
      <c r="DR3" s="1823"/>
      <c r="DS3" s="1823"/>
      <c r="DT3" s="1823"/>
      <c r="DU3" s="1823"/>
      <c r="DV3" s="1823"/>
      <c r="DW3" s="1823"/>
      <c r="DX3" s="1823"/>
      <c r="DY3" s="1823"/>
      <c r="DZ3" s="1823"/>
      <c r="EA3" s="1823"/>
      <c r="EB3" s="1823"/>
      <c r="EC3" s="1823"/>
      <c r="ED3" s="1823"/>
      <c r="EE3" s="1823"/>
      <c r="EF3" s="1823"/>
      <c r="EG3" s="1823"/>
      <c r="EH3" s="1823"/>
      <c r="EI3" s="1823"/>
      <c r="EK3" s="4041" t="s">
        <v>594</v>
      </c>
      <c r="EL3" s="4042"/>
      <c r="EM3" s="4043"/>
      <c r="EN3" s="1811"/>
      <c r="EO3" s="1811"/>
      <c r="EP3" s="1811"/>
      <c r="EQ3" s="1811"/>
      <c r="ER3" s="1811"/>
      <c r="ES3" s="1811"/>
      <c r="ET3" s="1811"/>
      <c r="EU3" s="1811"/>
      <c r="EV3" s="1811"/>
      <c r="EW3" s="1812"/>
      <c r="EX3" s="1811"/>
      <c r="EY3" s="1811"/>
      <c r="EZ3" s="1811"/>
      <c r="FA3" s="1811"/>
      <c r="FB3" s="1811"/>
      <c r="FC3" s="1811"/>
      <c r="FD3" s="1811"/>
      <c r="FE3" s="1811"/>
      <c r="FF3" s="1811"/>
      <c r="FG3" s="1811"/>
      <c r="FH3" s="1811"/>
      <c r="FI3" s="1811"/>
      <c r="FJ3" s="1811"/>
      <c r="FK3" s="1811"/>
      <c r="FL3" s="1811"/>
      <c r="FM3" s="1811"/>
      <c r="FN3" s="1811"/>
      <c r="FO3" s="1811"/>
      <c r="FP3" s="1811"/>
      <c r="FQ3" s="1811"/>
      <c r="FR3" s="1811"/>
    </row>
    <row r="4" spans="1:174" ht="15">
      <c r="A4" s="1054" t="s">
        <v>70</v>
      </c>
      <c r="B4" s="1054" t="s">
        <v>71</v>
      </c>
      <c r="C4" s="1054">
        <v>1</v>
      </c>
      <c r="D4" s="1054">
        <v>2</v>
      </c>
      <c r="E4" s="1054">
        <v>3</v>
      </c>
      <c r="F4" s="1054">
        <v>4</v>
      </c>
      <c r="G4" s="1054">
        <v>5</v>
      </c>
      <c r="H4" s="1054">
        <v>6</v>
      </c>
      <c r="I4" s="1054">
        <v>7</v>
      </c>
      <c r="J4" s="1054">
        <v>8</v>
      </c>
      <c r="K4" s="1054">
        <v>9</v>
      </c>
      <c r="L4" s="1054">
        <v>10</v>
      </c>
      <c r="M4" s="1054">
        <v>11</v>
      </c>
      <c r="N4" s="1054">
        <v>12</v>
      </c>
      <c r="O4" s="1054">
        <v>13</v>
      </c>
      <c r="P4" s="1054">
        <v>14</v>
      </c>
      <c r="Q4" s="1054">
        <v>15</v>
      </c>
      <c r="R4" s="1054">
        <v>16</v>
      </c>
      <c r="S4" s="1054">
        <v>17</v>
      </c>
      <c r="T4" s="1054">
        <v>18</v>
      </c>
      <c r="U4" s="1054">
        <v>19</v>
      </c>
      <c r="V4" s="1054">
        <v>20</v>
      </c>
      <c r="W4" s="1054">
        <v>21</v>
      </c>
      <c r="X4" s="1054">
        <v>22</v>
      </c>
      <c r="Y4" s="1054">
        <v>23</v>
      </c>
      <c r="Z4" s="1054">
        <v>24</v>
      </c>
      <c r="AA4" s="1054">
        <v>25</v>
      </c>
      <c r="AB4" s="1054">
        <v>26</v>
      </c>
      <c r="AC4" s="1054">
        <v>27</v>
      </c>
      <c r="AD4" s="1054">
        <v>28</v>
      </c>
      <c r="AE4" s="1054">
        <v>29</v>
      </c>
      <c r="AF4" s="1054">
        <v>30</v>
      </c>
      <c r="AG4" s="1054">
        <v>31</v>
      </c>
      <c r="AH4" s="1596" t="s">
        <v>72</v>
      </c>
      <c r="AJ4" s="1524" t="s">
        <v>70</v>
      </c>
      <c r="AK4" s="1524" t="s">
        <v>71</v>
      </c>
      <c r="AL4" s="1524">
        <v>1</v>
      </c>
      <c r="AM4" s="1524">
        <v>2</v>
      </c>
      <c r="AN4" s="1524">
        <v>3</v>
      </c>
      <c r="AO4" s="1524">
        <v>4</v>
      </c>
      <c r="AP4" s="1524">
        <v>5</v>
      </c>
      <c r="AQ4" s="1524">
        <v>6</v>
      </c>
      <c r="AR4" s="1524">
        <v>7</v>
      </c>
      <c r="AS4" s="1524">
        <v>8</v>
      </c>
      <c r="AT4" s="1524">
        <v>9</v>
      </c>
      <c r="AU4" s="1524">
        <v>10</v>
      </c>
      <c r="AV4" s="1524">
        <v>11</v>
      </c>
      <c r="AW4" s="1524">
        <v>12</v>
      </c>
      <c r="AX4" s="1524">
        <v>13</v>
      </c>
      <c r="AY4" s="1524">
        <v>14</v>
      </c>
      <c r="AZ4" s="1524">
        <v>15</v>
      </c>
      <c r="BA4" s="1524">
        <v>16</v>
      </c>
      <c r="BB4" s="1524">
        <v>17</v>
      </c>
      <c r="BC4" s="1524">
        <v>18</v>
      </c>
      <c r="BD4" s="1524">
        <v>19</v>
      </c>
      <c r="BE4" s="1524">
        <v>20</v>
      </c>
      <c r="BF4" s="1524">
        <v>21</v>
      </c>
      <c r="BG4" s="1524">
        <v>22</v>
      </c>
      <c r="BH4" s="1524">
        <v>23</v>
      </c>
      <c r="BI4" s="1524">
        <v>24</v>
      </c>
      <c r="BJ4" s="1524">
        <v>25</v>
      </c>
      <c r="BK4" s="1524">
        <v>26</v>
      </c>
      <c r="BL4" s="1524">
        <v>27</v>
      </c>
      <c r="BM4" s="1524">
        <v>28</v>
      </c>
      <c r="BN4" s="1524">
        <v>29</v>
      </c>
      <c r="BO4" s="1524">
        <v>30</v>
      </c>
      <c r="BP4" s="1524">
        <v>31</v>
      </c>
      <c r="BQ4" s="1838" t="s">
        <v>72</v>
      </c>
      <c r="BS4" s="1621" t="s">
        <v>70</v>
      </c>
      <c r="BT4" s="1621" t="s">
        <v>71</v>
      </c>
      <c r="BU4" s="1621">
        <v>1</v>
      </c>
      <c r="BV4" s="1621">
        <v>2</v>
      </c>
      <c r="BW4" s="1621">
        <v>3</v>
      </c>
      <c r="BX4" s="1621">
        <v>4</v>
      </c>
      <c r="BY4" s="1621">
        <v>5</v>
      </c>
      <c r="BZ4" s="1621">
        <v>6</v>
      </c>
      <c r="CA4" s="1621">
        <v>7</v>
      </c>
      <c r="CB4" s="1621">
        <v>8</v>
      </c>
      <c r="CC4" s="1621">
        <v>9</v>
      </c>
      <c r="CD4" s="1621">
        <v>10</v>
      </c>
      <c r="CE4" s="1621">
        <v>11</v>
      </c>
      <c r="CF4" s="1621">
        <v>12</v>
      </c>
      <c r="CG4" s="1621">
        <v>13</v>
      </c>
      <c r="CH4" s="1621">
        <v>14</v>
      </c>
      <c r="CI4" s="1621">
        <v>15</v>
      </c>
      <c r="CJ4" s="1621">
        <v>16</v>
      </c>
      <c r="CK4" s="1621">
        <v>17</v>
      </c>
      <c r="CL4" s="1621">
        <v>18</v>
      </c>
      <c r="CM4" s="1621">
        <v>19</v>
      </c>
      <c r="CN4" s="1621">
        <v>20</v>
      </c>
      <c r="CO4" s="1621">
        <v>21</v>
      </c>
      <c r="CP4" s="1621">
        <v>22</v>
      </c>
      <c r="CQ4" s="1621">
        <v>23</v>
      </c>
      <c r="CR4" s="1621">
        <v>24</v>
      </c>
      <c r="CS4" s="1621">
        <v>25</v>
      </c>
      <c r="CT4" s="1621">
        <v>26</v>
      </c>
      <c r="CU4" s="1621">
        <v>27</v>
      </c>
      <c r="CV4" s="1621">
        <v>28</v>
      </c>
      <c r="CW4" s="1621">
        <v>29</v>
      </c>
      <c r="CX4" s="1621">
        <v>30</v>
      </c>
      <c r="CY4" s="1621">
        <v>31</v>
      </c>
      <c r="CZ4" s="1830" t="s">
        <v>72</v>
      </c>
      <c r="DB4" s="1719" t="s">
        <v>70</v>
      </c>
      <c r="DC4" s="1719" t="s">
        <v>71</v>
      </c>
      <c r="DD4" s="1719">
        <v>1</v>
      </c>
      <c r="DE4" s="1719">
        <v>2</v>
      </c>
      <c r="DF4" s="1719">
        <v>3</v>
      </c>
      <c r="DG4" s="1719">
        <v>4</v>
      </c>
      <c r="DH4" s="1719">
        <v>5</v>
      </c>
      <c r="DI4" s="1719">
        <v>6</v>
      </c>
      <c r="DJ4" s="1719">
        <v>7</v>
      </c>
      <c r="DK4" s="1719">
        <v>8</v>
      </c>
      <c r="DL4" s="1719">
        <v>9</v>
      </c>
      <c r="DM4" s="1719">
        <v>10</v>
      </c>
      <c r="DN4" s="1719">
        <v>11</v>
      </c>
      <c r="DO4" s="1719">
        <v>12</v>
      </c>
      <c r="DP4" s="1719">
        <v>13</v>
      </c>
      <c r="DQ4" s="1719">
        <v>14</v>
      </c>
      <c r="DR4" s="1719">
        <v>15</v>
      </c>
      <c r="DS4" s="1719">
        <v>16</v>
      </c>
      <c r="DT4" s="1719">
        <v>17</v>
      </c>
      <c r="DU4" s="1719">
        <v>18</v>
      </c>
      <c r="DV4" s="1719">
        <v>19</v>
      </c>
      <c r="DW4" s="1719">
        <v>20</v>
      </c>
      <c r="DX4" s="1719">
        <v>21</v>
      </c>
      <c r="DY4" s="1719">
        <v>22</v>
      </c>
      <c r="DZ4" s="1719">
        <v>23</v>
      </c>
      <c r="EA4" s="1719">
        <v>24</v>
      </c>
      <c r="EB4" s="1719">
        <v>25</v>
      </c>
      <c r="EC4" s="1719">
        <v>26</v>
      </c>
      <c r="ED4" s="1719">
        <v>27</v>
      </c>
      <c r="EE4" s="1719">
        <v>28</v>
      </c>
      <c r="EF4" s="1719">
        <v>29</v>
      </c>
      <c r="EG4" s="1719">
        <v>30</v>
      </c>
      <c r="EH4" s="1719">
        <v>31</v>
      </c>
      <c r="EI4" s="1822" t="s">
        <v>72</v>
      </c>
      <c r="EK4" s="1809" t="s">
        <v>70</v>
      </c>
      <c r="EL4" s="1809" t="s">
        <v>71</v>
      </c>
      <c r="EM4" s="1809">
        <v>1</v>
      </c>
      <c r="EN4" s="1809">
        <v>2</v>
      </c>
      <c r="EO4" s="1809">
        <v>3</v>
      </c>
      <c r="EP4" s="1809">
        <v>4</v>
      </c>
      <c r="EQ4" s="1809">
        <v>5</v>
      </c>
      <c r="ER4" s="1809">
        <v>6</v>
      </c>
      <c r="ES4" s="1809">
        <v>7</v>
      </c>
      <c r="ET4" s="1809">
        <v>8</v>
      </c>
      <c r="EU4" s="1809">
        <v>9</v>
      </c>
      <c r="EV4" s="1809">
        <v>10</v>
      </c>
      <c r="EW4" s="1809">
        <v>11</v>
      </c>
      <c r="EX4" s="1809">
        <v>12</v>
      </c>
      <c r="EY4" s="1809">
        <v>13</v>
      </c>
      <c r="EZ4" s="1809">
        <v>14</v>
      </c>
      <c r="FA4" s="1809">
        <v>15</v>
      </c>
      <c r="FB4" s="1809">
        <v>16</v>
      </c>
      <c r="FC4" s="1809">
        <v>17</v>
      </c>
      <c r="FD4" s="1809">
        <v>18</v>
      </c>
      <c r="FE4" s="1809">
        <v>19</v>
      </c>
      <c r="FF4" s="1809">
        <v>20</v>
      </c>
      <c r="FG4" s="1809">
        <v>21</v>
      </c>
      <c r="FH4" s="1809">
        <v>22</v>
      </c>
      <c r="FI4" s="1809">
        <v>23</v>
      </c>
      <c r="FJ4" s="1809">
        <v>24</v>
      </c>
      <c r="FK4" s="1809">
        <v>25</v>
      </c>
      <c r="FL4" s="1809">
        <v>26</v>
      </c>
      <c r="FM4" s="1809">
        <v>27</v>
      </c>
      <c r="FN4" s="1809">
        <v>28</v>
      </c>
      <c r="FO4" s="1809">
        <v>29</v>
      </c>
      <c r="FP4" s="1809">
        <v>30</v>
      </c>
      <c r="FQ4" s="1809">
        <v>31</v>
      </c>
      <c r="FR4" s="1810" t="s">
        <v>72</v>
      </c>
    </row>
    <row r="5" spans="1:174" ht="15">
      <c r="A5" s="1054" t="s">
        <v>73</v>
      </c>
      <c r="B5" s="1091">
        <f t="shared" ref="B5:B16" si="0">+AH5</f>
        <v>0</v>
      </c>
      <c r="C5" s="1917"/>
      <c r="D5" s="1917"/>
      <c r="E5" s="1917"/>
      <c r="F5" s="1917"/>
      <c r="G5" s="1917"/>
      <c r="H5" s="1917"/>
      <c r="I5" s="1917"/>
      <c r="J5" s="1917"/>
      <c r="K5" s="1917"/>
      <c r="L5" s="1917"/>
      <c r="M5" s="1917"/>
      <c r="N5" s="1917"/>
      <c r="O5" s="1917"/>
      <c r="P5" s="1917"/>
      <c r="Q5" s="1917"/>
      <c r="R5" s="1917"/>
      <c r="S5" s="1917"/>
      <c r="T5" s="1917"/>
      <c r="U5" s="1917"/>
      <c r="V5" s="1917"/>
      <c r="W5" s="1917"/>
      <c r="X5" s="1917"/>
      <c r="Y5" s="1917"/>
      <c r="Z5" s="1917"/>
      <c r="AA5" s="1917"/>
      <c r="AB5" s="1917"/>
      <c r="AC5" s="1917"/>
      <c r="AD5" s="1917"/>
      <c r="AE5" s="1917"/>
      <c r="AF5" s="1917"/>
      <c r="AG5" s="1917"/>
      <c r="AH5" s="1268">
        <f t="shared" ref="AH5:AH16" si="1">SUM(C5:AG5)</f>
        <v>0</v>
      </c>
      <c r="AJ5" s="1524" t="s">
        <v>73</v>
      </c>
      <c r="AK5" s="1527">
        <f t="shared" ref="AK5:AK16" si="2">+BQ5</f>
        <v>0</v>
      </c>
      <c r="AL5" s="1872"/>
      <c r="AM5" s="1872"/>
      <c r="AN5" s="1872"/>
      <c r="AO5" s="1872"/>
      <c r="AP5" s="1872"/>
      <c r="AQ5" s="1872"/>
      <c r="AR5" s="1872"/>
      <c r="AS5" s="1872"/>
      <c r="AT5" s="1872"/>
      <c r="AU5" s="1872"/>
      <c r="AV5" s="1872"/>
      <c r="AW5" s="1872"/>
      <c r="AX5" s="1872"/>
      <c r="AY5" s="1872"/>
      <c r="AZ5" s="1872"/>
      <c r="BA5" s="1872"/>
      <c r="BB5" s="1872"/>
      <c r="BC5" s="1872"/>
      <c r="BD5" s="1872"/>
      <c r="BE5" s="1872"/>
      <c r="BF5" s="1872"/>
      <c r="BG5" s="1872"/>
      <c r="BH5" s="1872"/>
      <c r="BI5" s="1872"/>
      <c r="BJ5" s="1872"/>
      <c r="BK5" s="1872"/>
      <c r="BL5" s="1872"/>
      <c r="BM5" s="1872"/>
      <c r="BN5" s="1872"/>
      <c r="BO5" s="1872"/>
      <c r="BP5" s="1872"/>
      <c r="BQ5" s="1834">
        <f t="shared" ref="BQ5:BQ16" si="3">SUM(AL5:BP5)</f>
        <v>0</v>
      </c>
      <c r="BS5" s="1621" t="s">
        <v>73</v>
      </c>
      <c r="BT5" s="1622">
        <f t="shared" ref="BT5:BT16" si="4">+CZ5</f>
        <v>0.08</v>
      </c>
      <c r="BU5" s="1871">
        <v>0</v>
      </c>
      <c r="BV5" s="1871">
        <v>0</v>
      </c>
      <c r="BW5" s="1871">
        <v>0</v>
      </c>
      <c r="BX5" s="1871">
        <v>0</v>
      </c>
      <c r="BY5" s="1871">
        <v>0</v>
      </c>
      <c r="BZ5" s="1871">
        <v>0</v>
      </c>
      <c r="CA5" s="1871">
        <v>0</v>
      </c>
      <c r="CB5" s="1871">
        <v>0</v>
      </c>
      <c r="CC5" s="1871">
        <v>0</v>
      </c>
      <c r="CD5" s="1871">
        <v>0</v>
      </c>
      <c r="CE5" s="1871">
        <v>0</v>
      </c>
      <c r="CF5" s="1871">
        <v>0</v>
      </c>
      <c r="CG5" s="1871">
        <v>0</v>
      </c>
      <c r="CH5" s="1871">
        <v>0</v>
      </c>
      <c r="CI5" s="1871">
        <v>0.08</v>
      </c>
      <c r="CJ5" s="1871">
        <v>0</v>
      </c>
      <c r="CK5" s="1871">
        <v>0</v>
      </c>
      <c r="CL5" s="1871">
        <v>0</v>
      </c>
      <c r="CM5" s="1871">
        <v>0</v>
      </c>
      <c r="CN5" s="1871">
        <v>0</v>
      </c>
      <c r="CO5" s="1871">
        <v>0</v>
      </c>
      <c r="CP5" s="1871">
        <v>0</v>
      </c>
      <c r="CQ5" s="1871">
        <v>0</v>
      </c>
      <c r="CR5" s="1871">
        <v>0</v>
      </c>
      <c r="CS5" s="1871">
        <v>0</v>
      </c>
      <c r="CT5" s="1871">
        <v>0</v>
      </c>
      <c r="CU5" s="1871">
        <v>0</v>
      </c>
      <c r="CV5" s="1871">
        <v>0</v>
      </c>
      <c r="CW5" s="1871">
        <v>0</v>
      </c>
      <c r="CX5" s="1871">
        <v>0</v>
      </c>
      <c r="CY5" s="1871">
        <v>0</v>
      </c>
      <c r="CZ5" s="1826">
        <f t="shared" ref="CZ5:CZ16" si="5">SUM(BU5:CY5)</f>
        <v>0.08</v>
      </c>
      <c r="DB5" s="1719" t="s">
        <v>73</v>
      </c>
      <c r="DC5" s="1821">
        <f t="shared" ref="DC5:DC16" si="6">+EI5</f>
        <v>0</v>
      </c>
      <c r="DD5" s="1907"/>
      <c r="DE5" s="1907"/>
      <c r="DF5" s="1907"/>
      <c r="DG5" s="1907"/>
      <c r="DH5" s="1907"/>
      <c r="DI5" s="1907"/>
      <c r="DJ5" s="1907"/>
      <c r="DK5" s="1907"/>
      <c r="DL5" s="1907"/>
      <c r="DM5" s="1907"/>
      <c r="DN5" s="1907"/>
      <c r="DO5" s="1907"/>
      <c r="DP5" s="1907"/>
      <c r="DQ5" s="1907"/>
      <c r="DR5" s="1907"/>
      <c r="DS5" s="1907"/>
      <c r="DT5" s="1907"/>
      <c r="DU5" s="1907"/>
      <c r="DV5" s="1907"/>
      <c r="DW5" s="1907"/>
      <c r="DX5" s="1907"/>
      <c r="DY5" s="1907"/>
      <c r="DZ5" s="1907"/>
      <c r="EA5" s="1907"/>
      <c r="EB5" s="1907"/>
      <c r="EC5" s="1907"/>
      <c r="ED5" s="1907"/>
      <c r="EE5" s="1907"/>
      <c r="EF5" s="1907"/>
      <c r="EG5" s="1907"/>
      <c r="EH5" s="1907"/>
      <c r="EI5" s="1817">
        <f t="shared" ref="EI5:EI16" si="7">SUM(DD5:EH5)</f>
        <v>0</v>
      </c>
      <c r="EK5" s="1809" t="s">
        <v>73</v>
      </c>
      <c r="EL5" s="2153">
        <f t="shared" ref="EL5:EL16" si="8">+FR5</f>
        <v>0.25</v>
      </c>
      <c r="EM5" s="1805"/>
      <c r="EN5" s="1805"/>
      <c r="EO5" s="1805"/>
      <c r="EP5" s="1805"/>
      <c r="EQ5" s="1805"/>
      <c r="ER5" s="1805"/>
      <c r="ES5" s="1805"/>
      <c r="ET5" s="1805"/>
      <c r="EU5" s="1805"/>
      <c r="EV5" s="1805"/>
      <c r="EW5" s="1805"/>
      <c r="EX5" s="1805"/>
      <c r="EY5" s="1805"/>
      <c r="EZ5" s="1805"/>
      <c r="FA5" s="1805"/>
      <c r="FB5" s="1805"/>
      <c r="FC5" s="1805"/>
      <c r="FD5" s="1805"/>
      <c r="FE5" s="1805"/>
      <c r="FF5" s="1805"/>
      <c r="FG5" s="1805"/>
      <c r="FH5" s="1805"/>
      <c r="FI5" s="1805"/>
      <c r="FJ5" s="1805"/>
      <c r="FK5" s="1805"/>
      <c r="FL5" s="1805"/>
      <c r="FM5" s="1805"/>
      <c r="FN5" s="1805"/>
      <c r="FO5" s="1805"/>
      <c r="FP5" s="1805"/>
      <c r="FQ5" s="1805">
        <v>0.25</v>
      </c>
      <c r="FR5" s="1804">
        <f t="shared" ref="FR5:FR16" si="9">SUM(EM5:FQ5)</f>
        <v>0.25</v>
      </c>
    </row>
    <row r="6" spans="1:174" ht="15">
      <c r="A6" s="1054" t="s">
        <v>74</v>
      </c>
      <c r="B6" s="1091">
        <f t="shared" si="0"/>
        <v>0</v>
      </c>
      <c r="C6" s="1917"/>
      <c r="D6" s="1917"/>
      <c r="E6" s="1917"/>
      <c r="F6" s="1917"/>
      <c r="G6" s="1917"/>
      <c r="H6" s="1917"/>
      <c r="I6" s="1917"/>
      <c r="J6" s="1917"/>
      <c r="K6" s="1917"/>
      <c r="L6" s="1917"/>
      <c r="M6" s="1917"/>
      <c r="N6" s="1917"/>
      <c r="O6" s="1917"/>
      <c r="P6" s="1917"/>
      <c r="Q6" s="1917"/>
      <c r="R6" s="1917"/>
      <c r="S6" s="1917"/>
      <c r="T6" s="1917"/>
      <c r="U6" s="1917"/>
      <c r="V6" s="1917"/>
      <c r="W6" s="1917"/>
      <c r="X6" s="1917"/>
      <c r="Y6" s="1917"/>
      <c r="Z6" s="1917"/>
      <c r="AA6" s="1917"/>
      <c r="AB6" s="1917"/>
      <c r="AC6" s="1917"/>
      <c r="AD6" s="1917"/>
      <c r="AE6" s="1917"/>
      <c r="AF6" s="1917"/>
      <c r="AG6" s="1917"/>
      <c r="AH6" s="1268">
        <f t="shared" si="1"/>
        <v>0</v>
      </c>
      <c r="AJ6" s="1524" t="s">
        <v>74</v>
      </c>
      <c r="AK6" s="1527">
        <f t="shared" si="2"/>
        <v>0</v>
      </c>
      <c r="AL6" s="1872"/>
      <c r="AM6" s="1872"/>
      <c r="AN6" s="1872"/>
      <c r="AO6" s="1872"/>
      <c r="AP6" s="1872"/>
      <c r="AQ6" s="1872"/>
      <c r="AR6" s="1872"/>
      <c r="AS6" s="1872"/>
      <c r="AT6" s="1872"/>
      <c r="AU6" s="1872"/>
      <c r="AV6" s="1872"/>
      <c r="AW6" s="1872"/>
      <c r="AX6" s="1872"/>
      <c r="AY6" s="1872"/>
      <c r="AZ6" s="1872"/>
      <c r="BA6" s="1872"/>
      <c r="BB6" s="1872"/>
      <c r="BC6" s="1872"/>
      <c r="BD6" s="1872"/>
      <c r="BE6" s="1872"/>
      <c r="BF6" s="1872"/>
      <c r="BG6" s="1872"/>
      <c r="BH6" s="1872"/>
      <c r="BI6" s="1872"/>
      <c r="BJ6" s="1872"/>
      <c r="BK6" s="1872"/>
      <c r="BL6" s="1872"/>
      <c r="BM6" s="1872"/>
      <c r="BN6" s="1872"/>
      <c r="BO6" s="1872"/>
      <c r="BP6" s="1872"/>
      <c r="BQ6" s="1834">
        <f t="shared" si="3"/>
        <v>0</v>
      </c>
      <c r="BS6" s="1621" t="s">
        <v>74</v>
      </c>
      <c r="BT6" s="1622">
        <f t="shared" si="4"/>
        <v>0.60599999999999998</v>
      </c>
      <c r="BU6" s="1871">
        <v>0</v>
      </c>
      <c r="BV6" s="1871">
        <v>0</v>
      </c>
      <c r="BW6" s="1871">
        <v>0</v>
      </c>
      <c r="BX6" s="1871">
        <v>0</v>
      </c>
      <c r="BY6" s="1871">
        <v>0</v>
      </c>
      <c r="BZ6" s="1871">
        <v>0</v>
      </c>
      <c r="CA6" s="1871">
        <v>0</v>
      </c>
      <c r="CB6" s="1871">
        <v>0</v>
      </c>
      <c r="CC6" s="1871">
        <v>0</v>
      </c>
      <c r="CD6" s="1871">
        <v>0</v>
      </c>
      <c r="CE6" s="1871">
        <v>0</v>
      </c>
      <c r="CF6" s="1871">
        <v>0.60599999999999998</v>
      </c>
      <c r="CG6" s="1871">
        <v>0</v>
      </c>
      <c r="CH6" s="1871">
        <v>0</v>
      </c>
      <c r="CI6" s="1871">
        <v>0</v>
      </c>
      <c r="CJ6" s="1871">
        <v>0</v>
      </c>
      <c r="CK6" s="1871">
        <v>0</v>
      </c>
      <c r="CL6" s="1871">
        <v>0</v>
      </c>
      <c r="CM6" s="1871">
        <v>0</v>
      </c>
      <c r="CN6" s="1871">
        <v>0</v>
      </c>
      <c r="CO6" s="1871">
        <v>0</v>
      </c>
      <c r="CP6" s="1871">
        <v>0</v>
      </c>
      <c r="CQ6" s="1871">
        <v>0</v>
      </c>
      <c r="CR6" s="1871">
        <v>0</v>
      </c>
      <c r="CS6" s="1871">
        <v>0</v>
      </c>
      <c r="CT6" s="1871">
        <v>0</v>
      </c>
      <c r="CU6" s="1871">
        <v>0</v>
      </c>
      <c r="CV6" s="1871">
        <v>0</v>
      </c>
      <c r="CW6" s="1871"/>
      <c r="CX6" s="1871"/>
      <c r="CY6" s="1871"/>
      <c r="CZ6" s="1826">
        <f t="shared" si="5"/>
        <v>0.60599999999999998</v>
      </c>
      <c r="DB6" s="1719" t="s">
        <v>74</v>
      </c>
      <c r="DC6" s="1821">
        <f t="shared" si="6"/>
        <v>0</v>
      </c>
      <c r="DD6" s="1907"/>
      <c r="DE6" s="1907"/>
      <c r="DF6" s="1907"/>
      <c r="DG6" s="1907"/>
      <c r="DH6" s="1907"/>
      <c r="DI6" s="1907"/>
      <c r="DJ6" s="1907"/>
      <c r="DK6" s="1907"/>
      <c r="DL6" s="1907"/>
      <c r="DM6" s="1907"/>
      <c r="DN6" s="1907"/>
      <c r="DO6" s="1907"/>
      <c r="DP6" s="1907"/>
      <c r="DQ6" s="1907"/>
      <c r="DR6" s="1907"/>
      <c r="DS6" s="1907"/>
      <c r="DT6" s="1907"/>
      <c r="DU6" s="1907"/>
      <c r="DV6" s="1907"/>
      <c r="DW6" s="1907"/>
      <c r="DX6" s="1907"/>
      <c r="DY6" s="1907"/>
      <c r="DZ6" s="1907"/>
      <c r="EA6" s="1907"/>
      <c r="EB6" s="1907"/>
      <c r="EC6" s="1907"/>
      <c r="ED6" s="1907"/>
      <c r="EE6" s="1907"/>
      <c r="EF6" s="1907"/>
      <c r="EG6" s="1907"/>
      <c r="EH6" s="1907"/>
      <c r="EI6" s="1817">
        <f t="shared" si="7"/>
        <v>0</v>
      </c>
      <c r="EK6" s="1809" t="s">
        <v>74</v>
      </c>
      <c r="EL6" s="2153">
        <f t="shared" si="8"/>
        <v>0</v>
      </c>
      <c r="EM6" s="1805"/>
      <c r="EN6" s="1955"/>
      <c r="EO6" s="1955"/>
      <c r="EP6" s="1955"/>
      <c r="EQ6" s="1955"/>
      <c r="ER6" s="1955"/>
      <c r="ES6" s="1955"/>
      <c r="ET6" s="1955"/>
      <c r="EU6" s="1955"/>
      <c r="EV6" s="1955"/>
      <c r="EW6" s="1955"/>
      <c r="EX6" s="1955"/>
      <c r="EY6" s="1955"/>
      <c r="EZ6" s="1955"/>
      <c r="FA6" s="1955"/>
      <c r="FB6" s="1955"/>
      <c r="FC6" s="1955"/>
      <c r="FD6" s="1955"/>
      <c r="FE6" s="1955"/>
      <c r="FF6" s="1955"/>
      <c r="FG6" s="1955"/>
      <c r="FH6" s="1955"/>
      <c r="FI6" s="1805"/>
      <c r="FJ6" s="1805"/>
      <c r="FK6" s="1805"/>
      <c r="FL6" s="1805"/>
      <c r="FM6" s="1805"/>
      <c r="FN6" s="1805"/>
      <c r="FO6" s="1805"/>
      <c r="FP6" s="1805"/>
      <c r="FQ6" s="1805"/>
      <c r="FR6" s="1804">
        <f>SUM(EM6:FQ6)</f>
        <v>0</v>
      </c>
    </row>
    <row r="7" spans="1:174" ht="15">
      <c r="A7" s="1054" t="s">
        <v>75</v>
      </c>
      <c r="B7" s="1091">
        <f t="shared" si="0"/>
        <v>0</v>
      </c>
      <c r="C7" s="1917"/>
      <c r="D7" s="1917"/>
      <c r="E7" s="1917"/>
      <c r="F7" s="1917"/>
      <c r="G7" s="1917"/>
      <c r="H7" s="1917"/>
      <c r="I7" s="1917"/>
      <c r="J7" s="1917"/>
      <c r="K7" s="1917"/>
      <c r="L7" s="1917"/>
      <c r="M7" s="1917"/>
      <c r="N7" s="1917"/>
      <c r="O7" s="1917"/>
      <c r="P7" s="1917"/>
      <c r="Q7" s="1917"/>
      <c r="R7" s="1917"/>
      <c r="S7" s="1917"/>
      <c r="T7" s="1917"/>
      <c r="U7" s="1917"/>
      <c r="V7" s="1917"/>
      <c r="W7" s="1917"/>
      <c r="X7" s="1917"/>
      <c r="Y7" s="1917"/>
      <c r="Z7" s="1917"/>
      <c r="AA7" s="1917"/>
      <c r="AB7" s="1917"/>
      <c r="AC7" s="1917"/>
      <c r="AD7" s="1917"/>
      <c r="AE7" s="1917"/>
      <c r="AF7" s="1917"/>
      <c r="AG7" s="1917"/>
      <c r="AH7" s="1268">
        <f t="shared" si="1"/>
        <v>0</v>
      </c>
      <c r="AJ7" s="1524" t="s">
        <v>75</v>
      </c>
      <c r="AK7" s="1527">
        <f t="shared" si="2"/>
        <v>0</v>
      </c>
      <c r="AL7" s="1872"/>
      <c r="AM7" s="1872"/>
      <c r="AN7" s="1872"/>
      <c r="AO7" s="1872"/>
      <c r="AP7" s="1872"/>
      <c r="AQ7" s="1872"/>
      <c r="AR7" s="1872"/>
      <c r="AS7" s="1872"/>
      <c r="AT7" s="1872"/>
      <c r="AU7" s="1872"/>
      <c r="AV7" s="1872"/>
      <c r="AW7" s="1872"/>
      <c r="AX7" s="1872"/>
      <c r="AY7" s="1872"/>
      <c r="AZ7" s="1872"/>
      <c r="BA7" s="1872"/>
      <c r="BB7" s="1872"/>
      <c r="BC7" s="1872"/>
      <c r="BD7" s="1872"/>
      <c r="BE7" s="1872"/>
      <c r="BF7" s="1872"/>
      <c r="BG7" s="1872"/>
      <c r="BH7" s="1872"/>
      <c r="BI7" s="1872"/>
      <c r="BJ7" s="1872"/>
      <c r="BK7" s="1872"/>
      <c r="BL7" s="1872"/>
      <c r="BM7" s="1872"/>
      <c r="BN7" s="1872"/>
      <c r="BO7" s="1872"/>
      <c r="BP7" s="1872"/>
      <c r="BQ7" s="1834">
        <f t="shared" si="3"/>
        <v>0</v>
      </c>
      <c r="BS7" s="1621" t="s">
        <v>75</v>
      </c>
      <c r="BT7" s="1622">
        <f t="shared" si="4"/>
        <v>1.3140000000000001</v>
      </c>
      <c r="BU7" s="1871">
        <v>0</v>
      </c>
      <c r="BV7" s="1871">
        <v>0</v>
      </c>
      <c r="BW7" s="1871">
        <v>0</v>
      </c>
      <c r="BX7" s="2424">
        <v>1.3140000000000001</v>
      </c>
      <c r="BY7" s="1871">
        <v>0</v>
      </c>
      <c r="BZ7" s="1871"/>
      <c r="CA7" s="1871"/>
      <c r="CB7" s="1871"/>
      <c r="CC7" s="1871"/>
      <c r="CD7" s="1871"/>
      <c r="CE7" s="1871"/>
      <c r="CF7" s="1871"/>
      <c r="CG7" s="1871"/>
      <c r="CH7" s="1871"/>
      <c r="CI7" s="1871"/>
      <c r="CJ7" s="1871"/>
      <c r="CK7" s="1871"/>
      <c r="CL7" s="1871"/>
      <c r="CM7" s="1871"/>
      <c r="CN7" s="1871"/>
      <c r="CO7" s="1871"/>
      <c r="CP7" s="1871"/>
      <c r="CQ7" s="1871"/>
      <c r="CR7" s="1871"/>
      <c r="CS7" s="1871"/>
      <c r="CT7" s="1871"/>
      <c r="CU7" s="1871"/>
      <c r="CV7" s="1871"/>
      <c r="CW7" s="1871"/>
      <c r="CX7" s="1871"/>
      <c r="CY7" s="1871"/>
      <c r="CZ7" s="1826">
        <f t="shared" si="5"/>
        <v>1.3140000000000001</v>
      </c>
      <c r="DB7" s="1719" t="s">
        <v>75</v>
      </c>
      <c r="DC7" s="1821">
        <f t="shared" si="6"/>
        <v>0</v>
      </c>
      <c r="DD7" s="1907"/>
      <c r="DE7" s="1907"/>
      <c r="DF7" s="1907"/>
      <c r="DG7" s="1907"/>
      <c r="DH7" s="1907"/>
      <c r="DI7" s="1907"/>
      <c r="DJ7" s="1907"/>
      <c r="DK7" s="1907"/>
      <c r="DL7" s="1907"/>
      <c r="DM7" s="1907"/>
      <c r="DN7" s="1907"/>
      <c r="DO7" s="1907"/>
      <c r="DP7" s="1907"/>
      <c r="DQ7" s="1907"/>
      <c r="DR7" s="1907"/>
      <c r="DS7" s="1907"/>
      <c r="DT7" s="1907"/>
      <c r="DU7" s="1907"/>
      <c r="DV7" s="1907"/>
      <c r="DW7" s="1907"/>
      <c r="DX7" s="1907"/>
      <c r="DY7" s="1907"/>
      <c r="DZ7" s="1907"/>
      <c r="EA7" s="1907"/>
      <c r="EB7" s="1907"/>
      <c r="EC7" s="1907"/>
      <c r="ED7" s="1907"/>
      <c r="EE7" s="1907"/>
      <c r="EF7" s="1907"/>
      <c r="EG7" s="1907"/>
      <c r="EH7" s="1907"/>
      <c r="EI7" s="1817">
        <f t="shared" si="7"/>
        <v>0</v>
      </c>
      <c r="EK7" s="1809" t="s">
        <v>75</v>
      </c>
      <c r="EL7" s="2153">
        <f t="shared" si="8"/>
        <v>0</v>
      </c>
      <c r="EM7" s="1943"/>
      <c r="EN7" s="1943"/>
      <c r="EO7" s="1954"/>
      <c r="EP7" s="1953"/>
      <c r="EQ7" s="1952"/>
      <c r="ER7" s="1944"/>
      <c r="ES7" s="1944"/>
      <c r="ET7" s="1943"/>
      <c r="EU7" s="1943"/>
      <c r="EV7" s="1943"/>
      <c r="EW7" s="1943"/>
      <c r="EX7" s="1943"/>
      <c r="EY7" s="1943"/>
      <c r="EZ7" s="1944"/>
      <c r="FA7" s="1944"/>
      <c r="FB7" s="1944"/>
      <c r="FC7" s="1944"/>
      <c r="FD7" s="1944"/>
      <c r="FE7" s="1944"/>
      <c r="FF7" s="1944"/>
      <c r="FG7" s="1944"/>
      <c r="FH7" s="1944"/>
      <c r="FI7" s="1944"/>
      <c r="FJ7" s="1944"/>
      <c r="FK7" s="1944"/>
      <c r="FL7" s="1944"/>
      <c r="FM7" s="1944"/>
      <c r="FN7" s="1944"/>
      <c r="FO7" s="1951"/>
      <c r="FP7" s="1943"/>
      <c r="FQ7" s="1943"/>
      <c r="FR7" s="1804">
        <f t="shared" si="9"/>
        <v>0</v>
      </c>
    </row>
    <row r="8" spans="1:174" ht="15">
      <c r="A8" s="1054" t="s">
        <v>76</v>
      </c>
      <c r="B8" s="1091">
        <f t="shared" si="0"/>
        <v>0</v>
      </c>
      <c r="C8" s="1538"/>
      <c r="D8" s="1538"/>
      <c r="E8" s="1538"/>
      <c r="F8" s="1538"/>
      <c r="G8" s="1538"/>
      <c r="H8" s="1538"/>
      <c r="I8" s="1538"/>
      <c r="J8" s="1538"/>
      <c r="K8" s="1538"/>
      <c r="L8" s="1538"/>
      <c r="M8" s="1917"/>
      <c r="N8" s="1917"/>
      <c r="O8" s="1917"/>
      <c r="P8" s="1917"/>
      <c r="Q8" s="1917"/>
      <c r="R8" s="1917"/>
      <c r="S8" s="1917"/>
      <c r="T8" s="1917"/>
      <c r="U8" s="1917"/>
      <c r="V8" s="1917"/>
      <c r="W8" s="1917"/>
      <c r="X8" s="1917"/>
      <c r="Y8" s="1917"/>
      <c r="Z8" s="1917"/>
      <c r="AA8" s="1917"/>
      <c r="AB8" s="1917"/>
      <c r="AC8" s="1917"/>
      <c r="AD8" s="1917"/>
      <c r="AE8" s="1917"/>
      <c r="AF8" s="1917"/>
      <c r="AG8" s="1538"/>
      <c r="AH8" s="1268">
        <f t="shared" si="1"/>
        <v>0</v>
      </c>
      <c r="AJ8" s="1524" t="s">
        <v>76</v>
      </c>
      <c r="AK8" s="1527">
        <f t="shared" si="2"/>
        <v>0</v>
      </c>
      <c r="AL8" s="1877"/>
      <c r="AM8" s="1877"/>
      <c r="AN8" s="1877"/>
      <c r="AO8" s="1877"/>
      <c r="AP8" s="1877"/>
      <c r="AQ8" s="1877"/>
      <c r="AR8" s="1877"/>
      <c r="AS8" s="1877"/>
      <c r="AT8" s="1877"/>
      <c r="AU8" s="1877"/>
      <c r="AV8" s="1872"/>
      <c r="AW8" s="1872"/>
      <c r="AX8" s="1872"/>
      <c r="AY8" s="1872"/>
      <c r="AZ8" s="1872"/>
      <c r="BA8" s="1872"/>
      <c r="BB8" s="1872"/>
      <c r="BC8" s="1872"/>
      <c r="BD8" s="1872"/>
      <c r="BE8" s="1872"/>
      <c r="BF8" s="1872"/>
      <c r="BG8" s="1872"/>
      <c r="BH8" s="1872"/>
      <c r="BI8" s="1872"/>
      <c r="BJ8" s="1872"/>
      <c r="BK8" s="1872"/>
      <c r="BL8" s="1872"/>
      <c r="BM8" s="1872"/>
      <c r="BN8" s="1872"/>
      <c r="BO8" s="1872"/>
      <c r="BP8" s="1877"/>
      <c r="BQ8" s="1834">
        <f t="shared" si="3"/>
        <v>0</v>
      </c>
      <c r="BS8" s="1621" t="s">
        <v>76</v>
      </c>
      <c r="BT8" s="1622">
        <f t="shared" si="4"/>
        <v>0</v>
      </c>
      <c r="BU8" s="1876"/>
      <c r="BV8" s="1876"/>
      <c r="BW8" s="1876"/>
      <c r="BX8" s="1876"/>
      <c r="BY8" s="1876"/>
      <c r="BZ8" s="1876"/>
      <c r="CA8" s="1876"/>
      <c r="CB8" s="1876"/>
      <c r="CC8" s="1876"/>
      <c r="CD8" s="1876"/>
      <c r="CE8" s="1871"/>
      <c r="CF8" s="1871"/>
      <c r="CG8" s="1871"/>
      <c r="CH8" s="1871"/>
      <c r="CI8" s="1871"/>
      <c r="CJ8" s="1871"/>
      <c r="CK8" s="1871"/>
      <c r="CL8" s="1871"/>
      <c r="CM8" s="1871"/>
      <c r="CN8" s="1871"/>
      <c r="CO8" s="1871"/>
      <c r="CP8" s="1871"/>
      <c r="CQ8" s="1871"/>
      <c r="CR8" s="1871"/>
      <c r="CS8" s="1871"/>
      <c r="CT8" s="1871"/>
      <c r="CU8" s="1871"/>
      <c r="CV8" s="1871"/>
      <c r="CW8" s="1871"/>
      <c r="CX8" s="1871"/>
      <c r="CY8" s="1876"/>
      <c r="CZ8" s="1826">
        <f t="shared" si="5"/>
        <v>0</v>
      </c>
      <c r="DB8" s="1719" t="s">
        <v>76</v>
      </c>
      <c r="DC8" s="1821">
        <f t="shared" si="6"/>
        <v>0</v>
      </c>
      <c r="DD8" s="1908"/>
      <c r="DE8" s="1908"/>
      <c r="DF8" s="1908"/>
      <c r="DG8" s="1908"/>
      <c r="DH8" s="1908"/>
      <c r="DI8" s="1908"/>
      <c r="DJ8" s="1908"/>
      <c r="DK8" s="1908"/>
      <c r="DL8" s="1908"/>
      <c r="DM8" s="1908"/>
      <c r="DN8" s="1907"/>
      <c r="DO8" s="1907"/>
      <c r="DP8" s="1907"/>
      <c r="DQ8" s="1907"/>
      <c r="DR8" s="1907"/>
      <c r="DS8" s="1907"/>
      <c r="DT8" s="1907"/>
      <c r="DU8" s="1907"/>
      <c r="DV8" s="1907"/>
      <c r="DW8" s="1907"/>
      <c r="DX8" s="1907"/>
      <c r="DY8" s="1907"/>
      <c r="DZ8" s="1907"/>
      <c r="EA8" s="1907"/>
      <c r="EB8" s="1907"/>
      <c r="EC8" s="1907"/>
      <c r="ED8" s="1907"/>
      <c r="EE8" s="1907"/>
      <c r="EF8" s="1907"/>
      <c r="EG8" s="1907"/>
      <c r="EH8" s="1908"/>
      <c r="EI8" s="1817">
        <f t="shared" si="7"/>
        <v>0</v>
      </c>
      <c r="EK8" s="1809" t="s">
        <v>76</v>
      </c>
      <c r="EL8" s="2153">
        <f t="shared" si="8"/>
        <v>0</v>
      </c>
      <c r="EM8" s="1950"/>
      <c r="EN8" s="1949"/>
      <c r="EO8" s="1948"/>
      <c r="EP8" s="1947"/>
      <c r="EQ8" s="1946"/>
      <c r="ER8" s="1945"/>
      <c r="ES8" s="1944"/>
      <c r="ET8" s="1944"/>
      <c r="EU8" s="1944"/>
      <c r="EV8" s="1944"/>
      <c r="EW8" s="1943"/>
      <c r="EX8" s="1943"/>
      <c r="EY8" s="1943"/>
      <c r="EZ8" s="1943"/>
      <c r="FA8" s="1944"/>
      <c r="FB8" s="1944"/>
      <c r="FC8" s="1944"/>
      <c r="FD8" s="1944"/>
      <c r="FE8" s="1943"/>
      <c r="FF8" s="1944"/>
      <c r="FG8" s="1944"/>
      <c r="FH8" s="1944"/>
      <c r="FI8" s="1944"/>
      <c r="FJ8" s="1944"/>
      <c r="FK8" s="1944"/>
      <c r="FL8" s="1944"/>
      <c r="FM8" s="1943"/>
      <c r="FN8" s="1944"/>
      <c r="FO8" s="1944"/>
      <c r="FP8" s="1943"/>
      <c r="FQ8" s="1943"/>
      <c r="FR8" s="1804">
        <f t="shared" si="9"/>
        <v>0</v>
      </c>
    </row>
    <row r="9" spans="1:174" ht="15">
      <c r="A9" s="1054" t="s">
        <v>77</v>
      </c>
      <c r="B9" s="1091">
        <f t="shared" si="0"/>
        <v>0</v>
      </c>
      <c r="C9" s="1538"/>
      <c r="D9" s="1538"/>
      <c r="E9" s="1538"/>
      <c r="F9" s="1917"/>
      <c r="G9" s="1538"/>
      <c r="H9" s="1917"/>
      <c r="I9" s="1538"/>
      <c r="J9" s="1917"/>
      <c r="K9" s="1538"/>
      <c r="L9" s="1538"/>
      <c r="M9" s="1538"/>
      <c r="N9" s="1538"/>
      <c r="O9" s="1538"/>
      <c r="P9" s="1538"/>
      <c r="Q9" s="1538"/>
      <c r="R9" s="1538"/>
      <c r="S9" s="1917"/>
      <c r="T9" s="1538"/>
      <c r="U9" s="1538"/>
      <c r="V9" s="1917"/>
      <c r="W9" s="1538"/>
      <c r="X9" s="1538"/>
      <c r="Y9" s="1917"/>
      <c r="Z9" s="1538"/>
      <c r="AA9" s="1538"/>
      <c r="AB9" s="1917"/>
      <c r="AC9" s="1538"/>
      <c r="AD9" s="1538"/>
      <c r="AE9" s="1917"/>
      <c r="AF9" s="1538"/>
      <c r="AG9" s="1538"/>
      <c r="AH9" s="1268">
        <f t="shared" si="1"/>
        <v>0</v>
      </c>
      <c r="AJ9" s="1524" t="s">
        <v>77</v>
      </c>
      <c r="AK9" s="1527">
        <f t="shared" si="2"/>
        <v>0</v>
      </c>
      <c r="AL9" s="1877"/>
      <c r="AM9" s="1877"/>
      <c r="AN9" s="1877"/>
      <c r="AO9" s="1872"/>
      <c r="AP9" s="1877"/>
      <c r="AQ9" s="1872"/>
      <c r="AR9" s="1877"/>
      <c r="AS9" s="1872"/>
      <c r="AT9" s="1877"/>
      <c r="AU9" s="1877"/>
      <c r="AV9" s="1877"/>
      <c r="AW9" s="1877"/>
      <c r="AX9" s="1877"/>
      <c r="AY9" s="1877"/>
      <c r="AZ9" s="1877"/>
      <c r="BA9" s="1877"/>
      <c r="BB9" s="1872"/>
      <c r="BC9" s="1877"/>
      <c r="BD9" s="1877"/>
      <c r="BE9" s="1872"/>
      <c r="BF9" s="1877"/>
      <c r="BG9" s="1877"/>
      <c r="BH9" s="1872"/>
      <c r="BI9" s="1877"/>
      <c r="BJ9" s="1877"/>
      <c r="BK9" s="1872"/>
      <c r="BL9" s="1877"/>
      <c r="BM9" s="1877"/>
      <c r="BN9" s="1872"/>
      <c r="BO9" s="1877"/>
      <c r="BP9" s="1877"/>
      <c r="BQ9" s="1834">
        <f t="shared" si="3"/>
        <v>0</v>
      </c>
      <c r="BS9" s="1621" t="s">
        <v>77</v>
      </c>
      <c r="BT9" s="1622">
        <f t="shared" si="4"/>
        <v>0</v>
      </c>
      <c r="BU9" s="1876"/>
      <c r="BV9" s="1876"/>
      <c r="BW9" s="1876"/>
      <c r="BX9" s="1871"/>
      <c r="BY9" s="1876"/>
      <c r="BZ9" s="1871"/>
      <c r="CA9" s="1876"/>
      <c r="CB9" s="1871"/>
      <c r="CC9" s="1876"/>
      <c r="CD9" s="1876"/>
      <c r="CE9" s="1876"/>
      <c r="CF9" s="1876"/>
      <c r="CG9" s="1876"/>
      <c r="CH9" s="1876"/>
      <c r="CI9" s="1876"/>
      <c r="CJ9" s="1876"/>
      <c r="CK9" s="1871"/>
      <c r="CL9" s="1876"/>
      <c r="CM9" s="1876"/>
      <c r="CN9" s="1871"/>
      <c r="CO9" s="1876"/>
      <c r="CP9" s="1876"/>
      <c r="CQ9" s="1871"/>
      <c r="CR9" s="1876"/>
      <c r="CS9" s="1876"/>
      <c r="CT9" s="1871"/>
      <c r="CU9" s="1876"/>
      <c r="CV9" s="1876"/>
      <c r="CW9" s="1871"/>
      <c r="CX9" s="1876"/>
      <c r="CY9" s="1876"/>
      <c r="CZ9" s="1826">
        <f t="shared" si="5"/>
        <v>0</v>
      </c>
      <c r="DB9" s="1719" t="s">
        <v>77</v>
      </c>
      <c r="DC9" s="1821">
        <f t="shared" si="6"/>
        <v>0</v>
      </c>
      <c r="DD9" s="1908"/>
      <c r="DE9" s="1908"/>
      <c r="DF9" s="1908"/>
      <c r="DG9" s="1907"/>
      <c r="DH9" s="1908"/>
      <c r="DI9" s="1907"/>
      <c r="DJ9" s="1908"/>
      <c r="DK9" s="1907"/>
      <c r="DL9" s="1908"/>
      <c r="DM9" s="1908"/>
      <c r="DN9" s="1908"/>
      <c r="DO9" s="1908"/>
      <c r="DP9" s="1908"/>
      <c r="DQ9" s="1908"/>
      <c r="DR9" s="1908"/>
      <c r="DS9" s="1908"/>
      <c r="DT9" s="1907"/>
      <c r="DU9" s="1908"/>
      <c r="DV9" s="1908"/>
      <c r="DW9" s="1907"/>
      <c r="DX9" s="1908"/>
      <c r="DY9" s="1908"/>
      <c r="DZ9" s="1907"/>
      <c r="EA9" s="1908"/>
      <c r="EB9" s="1908"/>
      <c r="EC9" s="1907"/>
      <c r="ED9" s="1908"/>
      <c r="EE9" s="1908"/>
      <c r="EF9" s="1907"/>
      <c r="EG9" s="1908"/>
      <c r="EH9" s="1908"/>
      <c r="EI9" s="1817">
        <f t="shared" si="7"/>
        <v>0</v>
      </c>
      <c r="EK9" s="1809" t="s">
        <v>77</v>
      </c>
      <c r="EL9" s="2153">
        <f t="shared" si="8"/>
        <v>0</v>
      </c>
      <c r="EM9" s="1805"/>
      <c r="EN9" s="1805"/>
      <c r="EO9" s="1805"/>
      <c r="EP9" s="1805"/>
      <c r="EQ9" s="1805"/>
      <c r="ER9" s="1805"/>
      <c r="ES9" s="1805"/>
      <c r="ET9" s="1805"/>
      <c r="EU9" s="1805"/>
      <c r="EV9" s="1805"/>
      <c r="EW9" s="1805"/>
      <c r="EX9" s="1805"/>
      <c r="EY9" s="1805"/>
      <c r="EZ9" s="1805"/>
      <c r="FA9" s="1805"/>
      <c r="FB9" s="1805"/>
      <c r="FC9" s="1805"/>
      <c r="FD9" s="1805"/>
      <c r="FE9" s="1805"/>
      <c r="FF9" s="1805"/>
      <c r="FG9" s="1805"/>
      <c r="FH9" s="1805"/>
      <c r="FI9" s="1805"/>
      <c r="FJ9" s="1805"/>
      <c r="FK9" s="1805"/>
      <c r="FL9" s="1805"/>
      <c r="FM9" s="1805"/>
      <c r="FN9" s="1805"/>
      <c r="FO9" s="1805"/>
      <c r="FP9" s="1805"/>
      <c r="FQ9" s="1805"/>
      <c r="FR9" s="1804">
        <f t="shared" si="9"/>
        <v>0</v>
      </c>
    </row>
    <row r="10" spans="1:174" ht="15">
      <c r="A10" s="1054" t="s">
        <v>78</v>
      </c>
      <c r="B10" s="1091">
        <f t="shared" si="0"/>
        <v>0</v>
      </c>
      <c r="C10" s="1538"/>
      <c r="D10" s="1538"/>
      <c r="E10" s="1538"/>
      <c r="F10" s="1538"/>
      <c r="G10" s="1538"/>
      <c r="H10" s="1538"/>
      <c r="I10" s="1538"/>
      <c r="J10" s="1538"/>
      <c r="K10" s="1538"/>
      <c r="L10" s="1538"/>
      <c r="M10" s="1538"/>
      <c r="N10" s="1917"/>
      <c r="O10" s="1538"/>
      <c r="P10" s="1917"/>
      <c r="Q10" s="1538"/>
      <c r="R10" s="1917"/>
      <c r="S10" s="1538"/>
      <c r="T10" s="1917"/>
      <c r="U10" s="1538"/>
      <c r="V10" s="1917"/>
      <c r="W10" s="1538"/>
      <c r="X10" s="1917"/>
      <c r="Y10" s="1538"/>
      <c r="Z10" s="1917"/>
      <c r="AA10" s="1538"/>
      <c r="AB10" s="1917"/>
      <c r="AC10" s="1538"/>
      <c r="AD10" s="1917"/>
      <c r="AE10" s="1538"/>
      <c r="AF10" s="1917"/>
      <c r="AG10" s="1538"/>
      <c r="AH10" s="1268">
        <f t="shared" si="1"/>
        <v>0</v>
      </c>
      <c r="AJ10" s="1524" t="s">
        <v>78</v>
      </c>
      <c r="AK10" s="1527">
        <f t="shared" si="2"/>
        <v>0</v>
      </c>
      <c r="AL10" s="1877"/>
      <c r="AM10" s="1877"/>
      <c r="AN10" s="1877"/>
      <c r="AO10" s="1877"/>
      <c r="AP10" s="1877"/>
      <c r="AQ10" s="1877"/>
      <c r="AR10" s="1877"/>
      <c r="AS10" s="1877"/>
      <c r="AT10" s="1877"/>
      <c r="AU10" s="1877"/>
      <c r="AV10" s="1877"/>
      <c r="AW10" s="1872"/>
      <c r="AX10" s="1877"/>
      <c r="AY10" s="1872"/>
      <c r="AZ10" s="1877"/>
      <c r="BA10" s="1872"/>
      <c r="BB10" s="1877"/>
      <c r="BC10" s="1872"/>
      <c r="BD10" s="1877"/>
      <c r="BE10" s="1872"/>
      <c r="BF10" s="1877"/>
      <c r="BG10" s="1872"/>
      <c r="BH10" s="1877"/>
      <c r="BI10" s="1872"/>
      <c r="BJ10" s="1877"/>
      <c r="BK10" s="1872"/>
      <c r="BL10" s="1877"/>
      <c r="BM10" s="1872"/>
      <c r="BN10" s="1877"/>
      <c r="BO10" s="1872"/>
      <c r="BP10" s="1877"/>
      <c r="BQ10" s="1834">
        <f t="shared" si="3"/>
        <v>0</v>
      </c>
      <c r="BS10" s="1621" t="s">
        <v>78</v>
      </c>
      <c r="BT10" s="1622">
        <f t="shared" si="4"/>
        <v>0</v>
      </c>
      <c r="BU10" s="1876"/>
      <c r="BV10" s="1876"/>
      <c r="BW10" s="1876"/>
      <c r="BX10" s="1876"/>
      <c r="BY10" s="1876"/>
      <c r="BZ10" s="1876"/>
      <c r="CA10" s="1876"/>
      <c r="CB10" s="1876"/>
      <c r="CC10" s="1876"/>
      <c r="CD10" s="1876"/>
      <c r="CE10" s="1876"/>
      <c r="CF10" s="1871"/>
      <c r="CG10" s="1876"/>
      <c r="CH10" s="1871"/>
      <c r="CI10" s="1876"/>
      <c r="CJ10" s="1871"/>
      <c r="CK10" s="1876"/>
      <c r="CL10" s="1871"/>
      <c r="CM10" s="1876"/>
      <c r="CN10" s="1871"/>
      <c r="CO10" s="1876"/>
      <c r="CP10" s="1871"/>
      <c r="CQ10" s="1876"/>
      <c r="CR10" s="1871"/>
      <c r="CS10" s="1876"/>
      <c r="CT10" s="1871"/>
      <c r="CU10" s="1876"/>
      <c r="CV10" s="1871"/>
      <c r="CW10" s="1876"/>
      <c r="CX10" s="1871"/>
      <c r="CY10" s="1876"/>
      <c r="CZ10" s="1826">
        <f t="shared" si="5"/>
        <v>0</v>
      </c>
      <c r="DB10" s="1719" t="s">
        <v>78</v>
      </c>
      <c r="DC10" s="1821">
        <f t="shared" si="6"/>
        <v>0</v>
      </c>
      <c r="DD10" s="1908"/>
      <c r="DE10" s="1908"/>
      <c r="DF10" s="1908"/>
      <c r="DG10" s="1908"/>
      <c r="DH10" s="1908"/>
      <c r="DI10" s="1908"/>
      <c r="DJ10" s="1908"/>
      <c r="DK10" s="1908"/>
      <c r="DL10" s="1908"/>
      <c r="DM10" s="1908"/>
      <c r="DN10" s="1908"/>
      <c r="DO10" s="1907"/>
      <c r="DP10" s="1908"/>
      <c r="DQ10" s="1907"/>
      <c r="DR10" s="1908"/>
      <c r="DS10" s="1907"/>
      <c r="DT10" s="1908"/>
      <c r="DU10" s="1907"/>
      <c r="DV10" s="1908"/>
      <c r="DW10" s="1907"/>
      <c r="DX10" s="1908"/>
      <c r="DY10" s="1907"/>
      <c r="DZ10" s="1908"/>
      <c r="EA10" s="1907"/>
      <c r="EB10" s="1908"/>
      <c r="EC10" s="1907"/>
      <c r="ED10" s="1908"/>
      <c r="EE10" s="1907"/>
      <c r="EF10" s="1908"/>
      <c r="EG10" s="1907"/>
      <c r="EH10" s="1908"/>
      <c r="EI10" s="1817">
        <f t="shared" si="7"/>
        <v>0</v>
      </c>
      <c r="EK10" s="1809" t="s">
        <v>78</v>
      </c>
      <c r="EL10" s="2153">
        <f t="shared" si="8"/>
        <v>0</v>
      </c>
      <c r="EM10" s="1805"/>
      <c r="EN10" s="1805"/>
      <c r="EO10" s="1805"/>
      <c r="EP10" s="1805"/>
      <c r="EQ10" s="1805"/>
      <c r="ER10" s="1805"/>
      <c r="ES10" s="1805"/>
      <c r="ET10" s="1805"/>
      <c r="EU10" s="1805"/>
      <c r="EV10" s="1805"/>
      <c r="EW10" s="1805"/>
      <c r="EX10" s="1805"/>
      <c r="EY10" s="1805"/>
      <c r="EZ10" s="1805"/>
      <c r="FA10" s="1805"/>
      <c r="FB10" s="1805"/>
      <c r="FC10" s="1805"/>
      <c r="FD10" s="1805"/>
      <c r="FE10" s="1805"/>
      <c r="FF10" s="1805"/>
      <c r="FG10" s="1805"/>
      <c r="FH10" s="1805"/>
      <c r="FI10" s="1805"/>
      <c r="FJ10" s="1805"/>
      <c r="FK10" s="1805"/>
      <c r="FL10" s="1805"/>
      <c r="FM10" s="1805"/>
      <c r="FN10" s="1805"/>
      <c r="FO10" s="1805"/>
      <c r="FP10" s="1805"/>
      <c r="FQ10" s="1805"/>
      <c r="FR10" s="1804">
        <f t="shared" si="9"/>
        <v>0</v>
      </c>
    </row>
    <row r="11" spans="1:174" ht="15">
      <c r="A11" s="1054" t="s">
        <v>79</v>
      </c>
      <c r="B11" s="1091">
        <f t="shared" si="0"/>
        <v>0</v>
      </c>
      <c r="C11" s="1538"/>
      <c r="D11" s="1538"/>
      <c r="E11" s="1538"/>
      <c r="F11" s="1538"/>
      <c r="G11" s="1538"/>
      <c r="H11" s="1538"/>
      <c r="I11" s="1538"/>
      <c r="J11" s="1538"/>
      <c r="K11" s="1538"/>
      <c r="L11" s="1538"/>
      <c r="M11" s="1538"/>
      <c r="N11" s="1538"/>
      <c r="O11" s="1538"/>
      <c r="P11" s="1538"/>
      <c r="Q11" s="1538"/>
      <c r="R11" s="1538"/>
      <c r="S11" s="1538"/>
      <c r="T11" s="1538"/>
      <c r="U11" s="1538"/>
      <c r="V11" s="1538"/>
      <c r="W11" s="1538"/>
      <c r="X11" s="1538"/>
      <c r="Y11" s="1538"/>
      <c r="Z11" s="1538"/>
      <c r="AA11" s="1538"/>
      <c r="AB11" s="1538"/>
      <c r="AC11" s="1538"/>
      <c r="AD11" s="1538"/>
      <c r="AE11" s="1538"/>
      <c r="AF11" s="1538"/>
      <c r="AG11" s="1538"/>
      <c r="AH11" s="1268">
        <f t="shared" si="1"/>
        <v>0</v>
      </c>
      <c r="AJ11" s="1524" t="s">
        <v>79</v>
      </c>
      <c r="AK11" s="1527">
        <f t="shared" si="2"/>
        <v>0</v>
      </c>
      <c r="AL11" s="1877"/>
      <c r="AM11" s="1877"/>
      <c r="AN11" s="1877"/>
      <c r="AO11" s="1877"/>
      <c r="AP11" s="1877"/>
      <c r="AQ11" s="1877"/>
      <c r="AR11" s="1877"/>
      <c r="AS11" s="1877"/>
      <c r="AT11" s="1877"/>
      <c r="AU11" s="1877"/>
      <c r="AV11" s="1877"/>
      <c r="AW11" s="1877"/>
      <c r="AX11" s="1877"/>
      <c r="AY11" s="1877"/>
      <c r="AZ11" s="1877"/>
      <c r="BA11" s="1877"/>
      <c r="BB11" s="1877"/>
      <c r="BC11" s="1877"/>
      <c r="BD11" s="1877"/>
      <c r="BE11" s="1877"/>
      <c r="BF11" s="1877"/>
      <c r="BG11" s="1877"/>
      <c r="BH11" s="1877"/>
      <c r="BI11" s="1877"/>
      <c r="BJ11" s="1877"/>
      <c r="BK11" s="1877"/>
      <c r="BL11" s="1877"/>
      <c r="BM11" s="1877"/>
      <c r="BN11" s="1877"/>
      <c r="BO11" s="1877"/>
      <c r="BP11" s="1877"/>
      <c r="BQ11" s="1834">
        <f t="shared" si="3"/>
        <v>0</v>
      </c>
      <c r="BS11" s="1621" t="s">
        <v>79</v>
      </c>
      <c r="BT11" s="1622">
        <f t="shared" si="4"/>
        <v>0</v>
      </c>
      <c r="BU11" s="1876"/>
      <c r="BV11" s="1876"/>
      <c r="BW11" s="1876"/>
      <c r="BX11" s="1876"/>
      <c r="BY11" s="1876"/>
      <c r="BZ11" s="1876"/>
      <c r="CA11" s="1876"/>
      <c r="CB11" s="1876"/>
      <c r="CC11" s="1876"/>
      <c r="CD11" s="1876"/>
      <c r="CE11" s="1876"/>
      <c r="CF11" s="1876"/>
      <c r="CG11" s="1876"/>
      <c r="CH11" s="1876"/>
      <c r="CI11" s="1876"/>
      <c r="CJ11" s="1876"/>
      <c r="CK11" s="1876"/>
      <c r="CL11" s="1876"/>
      <c r="CM11" s="1876"/>
      <c r="CN11" s="1876"/>
      <c r="CO11" s="1876"/>
      <c r="CP11" s="1876"/>
      <c r="CQ11" s="1876"/>
      <c r="CR11" s="1876"/>
      <c r="CS11" s="1876"/>
      <c r="CT11" s="1876"/>
      <c r="CU11" s="1876"/>
      <c r="CV11" s="1876"/>
      <c r="CW11" s="1876"/>
      <c r="CX11" s="1876"/>
      <c r="CY11" s="1876"/>
      <c r="CZ11" s="1826">
        <f t="shared" si="5"/>
        <v>0</v>
      </c>
      <c r="DB11" s="1719" t="s">
        <v>79</v>
      </c>
      <c r="DC11" s="1821">
        <f t="shared" si="6"/>
        <v>0</v>
      </c>
      <c r="DD11" s="1908"/>
      <c r="DE11" s="1908"/>
      <c r="DF11" s="1908"/>
      <c r="DG11" s="1908"/>
      <c r="DH11" s="1908"/>
      <c r="DI11" s="1908"/>
      <c r="DJ11" s="1908"/>
      <c r="DK11" s="1908"/>
      <c r="DL11" s="1908"/>
      <c r="DM11" s="1908"/>
      <c r="DN11" s="1908"/>
      <c r="DO11" s="1908"/>
      <c r="DP11" s="1908"/>
      <c r="DQ11" s="1908"/>
      <c r="DR11" s="1908"/>
      <c r="DS11" s="1908"/>
      <c r="DT11" s="1908"/>
      <c r="DU11" s="1908"/>
      <c r="DV11" s="1908"/>
      <c r="DW11" s="1908"/>
      <c r="DX11" s="1908"/>
      <c r="DY11" s="1908"/>
      <c r="DZ11" s="1908"/>
      <c r="EA11" s="1908"/>
      <c r="EB11" s="1908"/>
      <c r="EC11" s="1908"/>
      <c r="ED11" s="1908"/>
      <c r="EE11" s="1908"/>
      <c r="EF11" s="1908"/>
      <c r="EG11" s="1908"/>
      <c r="EH11" s="1908"/>
      <c r="EI11" s="1817">
        <f t="shared" si="7"/>
        <v>0</v>
      </c>
      <c r="EK11" s="1809" t="s">
        <v>79</v>
      </c>
      <c r="EL11" s="2153">
        <f t="shared" si="8"/>
        <v>5.8290000000000006</v>
      </c>
      <c r="EM11" s="1805"/>
      <c r="EN11" s="1805"/>
      <c r="EO11" s="1805"/>
      <c r="EP11" s="1805"/>
      <c r="EQ11" s="1805">
        <v>0.3</v>
      </c>
      <c r="ER11" s="1805"/>
      <c r="ES11" s="1805"/>
      <c r="ET11" s="1805"/>
      <c r="EU11" s="1805"/>
      <c r="EV11" s="1805">
        <v>0.75</v>
      </c>
      <c r="EW11" s="1805"/>
      <c r="EX11" s="1805"/>
      <c r="EY11" s="1805"/>
      <c r="EZ11" s="1805"/>
      <c r="FA11" s="1805"/>
      <c r="FB11" s="1805">
        <v>1.3919999999999999</v>
      </c>
      <c r="FC11" s="1805">
        <v>0.52700000000000002</v>
      </c>
      <c r="FD11" s="1805">
        <v>0.55000000000000004</v>
      </c>
      <c r="FE11" s="1805">
        <v>0.52500000000000002</v>
      </c>
      <c r="FF11" s="1805">
        <v>0.61499999999999999</v>
      </c>
      <c r="FG11" s="1805"/>
      <c r="FH11" s="1805"/>
      <c r="FI11" s="1805">
        <v>0.48</v>
      </c>
      <c r="FJ11" s="1805"/>
      <c r="FK11" s="1805">
        <v>0.42</v>
      </c>
      <c r="FL11" s="1805">
        <v>0.27</v>
      </c>
      <c r="FM11" s="1805"/>
      <c r="FN11" s="1805"/>
      <c r="FO11" s="1805"/>
      <c r="FP11" s="1805"/>
      <c r="FQ11" s="1805"/>
      <c r="FR11" s="1804">
        <f t="shared" si="9"/>
        <v>5.8290000000000006</v>
      </c>
    </row>
    <row r="12" spans="1:174" ht="15">
      <c r="A12" s="1054" t="s">
        <v>80</v>
      </c>
      <c r="B12" s="1091">
        <f t="shared" si="0"/>
        <v>0</v>
      </c>
      <c r="C12" s="1917"/>
      <c r="D12" s="1918"/>
      <c r="E12" s="1917"/>
      <c r="F12" s="1917"/>
      <c r="G12" s="1917"/>
      <c r="H12" s="1917"/>
      <c r="I12" s="1917"/>
      <c r="J12" s="1917"/>
      <c r="K12" s="1917"/>
      <c r="L12" s="1917"/>
      <c r="M12" s="1917"/>
      <c r="N12" s="1917"/>
      <c r="O12" s="1917"/>
      <c r="P12" s="1917"/>
      <c r="Q12" s="1917"/>
      <c r="R12" s="1917"/>
      <c r="S12" s="1917"/>
      <c r="T12" s="1917"/>
      <c r="U12" s="1917"/>
      <c r="V12" s="1917"/>
      <c r="W12" s="1917"/>
      <c r="X12" s="1917"/>
      <c r="Y12" s="1917"/>
      <c r="Z12" s="1917"/>
      <c r="AA12" s="1917"/>
      <c r="AB12" s="1917"/>
      <c r="AC12" s="1917"/>
      <c r="AD12" s="1917"/>
      <c r="AE12" s="1917"/>
      <c r="AF12" s="1917"/>
      <c r="AG12" s="1917"/>
      <c r="AH12" s="1268">
        <f t="shared" si="1"/>
        <v>0</v>
      </c>
      <c r="AJ12" s="1524" t="s">
        <v>80</v>
      </c>
      <c r="AK12" s="1527">
        <f t="shared" si="2"/>
        <v>0</v>
      </c>
      <c r="AL12" s="1872"/>
      <c r="AM12" s="1875"/>
      <c r="AN12" s="1872"/>
      <c r="AO12" s="1872"/>
      <c r="AP12" s="1872"/>
      <c r="AQ12" s="1872"/>
      <c r="AR12" s="1872"/>
      <c r="AS12" s="1872"/>
      <c r="AT12" s="1872"/>
      <c r="AU12" s="1872"/>
      <c r="AV12" s="1872"/>
      <c r="AW12" s="1872"/>
      <c r="AX12" s="1872"/>
      <c r="AY12" s="1872"/>
      <c r="AZ12" s="1872"/>
      <c r="BA12" s="1872"/>
      <c r="BB12" s="1872"/>
      <c r="BC12" s="1872"/>
      <c r="BD12" s="1872"/>
      <c r="BE12" s="1872"/>
      <c r="BF12" s="1872"/>
      <c r="BG12" s="1872"/>
      <c r="BH12" s="1872"/>
      <c r="BI12" s="1872"/>
      <c r="BJ12" s="1872"/>
      <c r="BK12" s="1872"/>
      <c r="BL12" s="1872"/>
      <c r="BM12" s="1872"/>
      <c r="BN12" s="1872"/>
      <c r="BO12" s="1872"/>
      <c r="BP12" s="1872"/>
      <c r="BQ12" s="1834">
        <f t="shared" si="3"/>
        <v>0</v>
      </c>
      <c r="BS12" s="1621" t="s">
        <v>80</v>
      </c>
      <c r="BT12" s="1622">
        <f t="shared" si="4"/>
        <v>0</v>
      </c>
      <c r="BU12" s="1871"/>
      <c r="BV12" s="1874"/>
      <c r="BW12" s="1871"/>
      <c r="BX12" s="1871"/>
      <c r="BY12" s="1871"/>
      <c r="BZ12" s="1871"/>
      <c r="CA12" s="1871"/>
      <c r="CB12" s="1871"/>
      <c r="CC12" s="1871"/>
      <c r="CD12" s="1871"/>
      <c r="CE12" s="1871"/>
      <c r="CF12" s="1871"/>
      <c r="CG12" s="1871"/>
      <c r="CH12" s="1871"/>
      <c r="CI12" s="1871"/>
      <c r="CJ12" s="1871"/>
      <c r="CK12" s="1871"/>
      <c r="CL12" s="1871"/>
      <c r="CM12" s="1871"/>
      <c r="CN12" s="1871"/>
      <c r="CO12" s="1871"/>
      <c r="CP12" s="1871"/>
      <c r="CQ12" s="1871"/>
      <c r="CR12" s="1871"/>
      <c r="CS12" s="1871"/>
      <c r="CT12" s="1871"/>
      <c r="CU12" s="1871"/>
      <c r="CV12" s="1871"/>
      <c r="CW12" s="1871"/>
      <c r="CX12" s="1871"/>
      <c r="CY12" s="1871"/>
      <c r="CZ12" s="1826">
        <f t="shared" si="5"/>
        <v>0</v>
      </c>
      <c r="DB12" s="1719" t="s">
        <v>80</v>
      </c>
      <c r="DC12" s="1821">
        <f t="shared" si="6"/>
        <v>0</v>
      </c>
      <c r="DD12" s="1907"/>
      <c r="DE12" s="1909"/>
      <c r="DF12" s="1907"/>
      <c r="DG12" s="1907"/>
      <c r="DH12" s="1907"/>
      <c r="DI12" s="1907"/>
      <c r="DJ12" s="1907"/>
      <c r="DK12" s="1907"/>
      <c r="DL12" s="1907"/>
      <c r="DM12" s="1907"/>
      <c r="DN12" s="1907"/>
      <c r="DO12" s="1907"/>
      <c r="DP12" s="1907"/>
      <c r="DQ12" s="1907"/>
      <c r="DR12" s="1907"/>
      <c r="DS12" s="1907"/>
      <c r="DT12" s="1907"/>
      <c r="DU12" s="1907"/>
      <c r="DV12" s="1907"/>
      <c r="DW12" s="1907"/>
      <c r="DX12" s="1907"/>
      <c r="DY12" s="1907"/>
      <c r="DZ12" s="1907"/>
      <c r="EA12" s="1907"/>
      <c r="EB12" s="1907"/>
      <c r="EC12" s="1907"/>
      <c r="ED12" s="1907"/>
      <c r="EE12" s="1907"/>
      <c r="EF12" s="1907"/>
      <c r="EG12" s="1907"/>
      <c r="EH12" s="1907"/>
      <c r="EI12" s="1817">
        <f t="shared" si="7"/>
        <v>0</v>
      </c>
      <c r="EK12" s="1809" t="s">
        <v>80</v>
      </c>
      <c r="EL12" s="2153">
        <f t="shared" si="8"/>
        <v>0.25800000000000001</v>
      </c>
      <c r="EM12" s="1805"/>
      <c r="EN12" s="1805"/>
      <c r="EO12" s="1805"/>
      <c r="EP12" s="1805"/>
      <c r="EQ12" s="1805"/>
      <c r="ER12" s="1805">
        <v>0.25800000000000001</v>
      </c>
      <c r="ES12" s="1805"/>
      <c r="ET12" s="1805"/>
      <c r="EU12" s="1805"/>
      <c r="EV12" s="1805"/>
      <c r="EW12" s="1805"/>
      <c r="EX12" s="1805"/>
      <c r="EY12" s="1805"/>
      <c r="EZ12" s="1805"/>
      <c r="FA12" s="1805"/>
      <c r="FB12" s="1805"/>
      <c r="FC12" s="1805"/>
      <c r="FD12" s="1805"/>
      <c r="FE12" s="1805"/>
      <c r="FF12" s="1805"/>
      <c r="FG12" s="1805"/>
      <c r="FH12" s="1805"/>
      <c r="FI12" s="1805"/>
      <c r="FJ12" s="1805"/>
      <c r="FK12" s="1805"/>
      <c r="FL12" s="1805"/>
      <c r="FM12" s="1805"/>
      <c r="FN12" s="1805"/>
      <c r="FO12" s="1805"/>
      <c r="FP12" s="1805"/>
      <c r="FQ12" s="1805"/>
      <c r="FR12" s="1804">
        <f t="shared" si="9"/>
        <v>0.25800000000000001</v>
      </c>
    </row>
    <row r="13" spans="1:174" ht="15">
      <c r="A13" s="1054" t="s">
        <v>81</v>
      </c>
      <c r="B13" s="1091">
        <f t="shared" si="0"/>
        <v>0</v>
      </c>
      <c r="C13" s="1917"/>
      <c r="D13" s="1917"/>
      <c r="E13" s="1917"/>
      <c r="F13" s="1917"/>
      <c r="G13" s="1917"/>
      <c r="H13" s="1917"/>
      <c r="I13" s="1917"/>
      <c r="J13" s="1917"/>
      <c r="K13" s="1917"/>
      <c r="L13" s="1917"/>
      <c r="M13" s="1917"/>
      <c r="N13" s="1917"/>
      <c r="O13" s="1917"/>
      <c r="P13" s="1917"/>
      <c r="Q13" s="1917"/>
      <c r="R13" s="1917"/>
      <c r="S13" s="1917"/>
      <c r="T13" s="1917"/>
      <c r="U13" s="1917"/>
      <c r="V13" s="1917"/>
      <c r="W13" s="1917"/>
      <c r="X13" s="1917"/>
      <c r="Y13" s="1917"/>
      <c r="Z13" s="1917"/>
      <c r="AA13" s="1917"/>
      <c r="AB13" s="1917"/>
      <c r="AC13" s="1917"/>
      <c r="AD13" s="1917"/>
      <c r="AE13" s="1917"/>
      <c r="AF13" s="1917"/>
      <c r="AG13" s="1917"/>
      <c r="AH13" s="1268">
        <f t="shared" si="1"/>
        <v>0</v>
      </c>
      <c r="AJ13" s="1524" t="s">
        <v>81</v>
      </c>
      <c r="AK13" s="1527">
        <f t="shared" si="2"/>
        <v>0</v>
      </c>
      <c r="AL13" s="1872"/>
      <c r="AM13" s="1872"/>
      <c r="AN13" s="1872"/>
      <c r="AO13" s="1872"/>
      <c r="AP13" s="1872"/>
      <c r="AQ13" s="1872"/>
      <c r="AR13" s="1872"/>
      <c r="AS13" s="1872"/>
      <c r="AT13" s="1872"/>
      <c r="AU13" s="1872"/>
      <c r="AV13" s="1872"/>
      <c r="AW13" s="1872"/>
      <c r="AX13" s="1872"/>
      <c r="AY13" s="1872"/>
      <c r="AZ13" s="1872"/>
      <c r="BA13" s="1872"/>
      <c r="BB13" s="1872"/>
      <c r="BC13" s="1872"/>
      <c r="BD13" s="1872"/>
      <c r="BE13" s="1872"/>
      <c r="BF13" s="1872"/>
      <c r="BG13" s="1872"/>
      <c r="BH13" s="1872"/>
      <c r="BI13" s="1872"/>
      <c r="BJ13" s="1872"/>
      <c r="BK13" s="1872"/>
      <c r="BL13" s="1872"/>
      <c r="BM13" s="1872"/>
      <c r="BN13" s="1872"/>
      <c r="BO13" s="1872"/>
      <c r="BP13" s="1872"/>
      <c r="BQ13" s="1834">
        <f t="shared" si="3"/>
        <v>0</v>
      </c>
      <c r="BS13" s="1621" t="s">
        <v>81</v>
      </c>
      <c r="BT13" s="1622">
        <f t="shared" si="4"/>
        <v>2.8000000000000001E-2</v>
      </c>
      <c r="BU13" s="1871">
        <v>0</v>
      </c>
      <c r="BV13" s="1871">
        <v>0</v>
      </c>
      <c r="BW13" s="1871">
        <v>1.2E-2</v>
      </c>
      <c r="BX13" s="1871">
        <v>0</v>
      </c>
      <c r="BY13" s="1871">
        <v>0</v>
      </c>
      <c r="BZ13" s="1871">
        <v>0</v>
      </c>
      <c r="CA13" s="1871">
        <v>0</v>
      </c>
      <c r="CB13" s="1871">
        <v>0</v>
      </c>
      <c r="CC13" s="1871">
        <v>0</v>
      </c>
      <c r="CD13" s="1871">
        <v>0</v>
      </c>
      <c r="CE13" s="1871">
        <v>0</v>
      </c>
      <c r="CF13" s="1871">
        <v>0</v>
      </c>
      <c r="CG13" s="1871">
        <v>0</v>
      </c>
      <c r="CH13" s="1871">
        <v>0</v>
      </c>
      <c r="CI13" s="1871">
        <v>0</v>
      </c>
      <c r="CJ13" s="1871">
        <v>0</v>
      </c>
      <c r="CK13" s="1871">
        <v>1.6E-2</v>
      </c>
      <c r="CL13" s="1871">
        <v>0</v>
      </c>
      <c r="CM13" s="1871">
        <v>0</v>
      </c>
      <c r="CN13" s="1871">
        <v>0</v>
      </c>
      <c r="CO13" s="1871">
        <v>0</v>
      </c>
      <c r="CP13" s="1871">
        <v>0</v>
      </c>
      <c r="CQ13" s="1871">
        <v>0</v>
      </c>
      <c r="CR13" s="1871">
        <v>0</v>
      </c>
      <c r="CS13" s="1871">
        <v>0</v>
      </c>
      <c r="CT13" s="1871">
        <v>0</v>
      </c>
      <c r="CU13" s="1871">
        <v>0</v>
      </c>
      <c r="CV13" s="1871">
        <v>0</v>
      </c>
      <c r="CW13" s="1871">
        <v>0</v>
      </c>
      <c r="CX13" s="1871">
        <v>0</v>
      </c>
      <c r="CY13" s="1871"/>
      <c r="CZ13" s="1826">
        <f t="shared" si="5"/>
        <v>2.8000000000000001E-2</v>
      </c>
      <c r="DB13" s="1719" t="s">
        <v>81</v>
      </c>
      <c r="DC13" s="1821">
        <f t="shared" si="6"/>
        <v>0</v>
      </c>
      <c r="DD13" s="1907"/>
      <c r="DE13" s="1907"/>
      <c r="DF13" s="1907"/>
      <c r="DG13" s="1907"/>
      <c r="DH13" s="1907"/>
      <c r="DI13" s="1907"/>
      <c r="DJ13" s="1907"/>
      <c r="DK13" s="1907"/>
      <c r="DL13" s="1907"/>
      <c r="DM13" s="1907"/>
      <c r="DN13" s="1907"/>
      <c r="DO13" s="1907"/>
      <c r="DP13" s="1907"/>
      <c r="DQ13" s="1907"/>
      <c r="DR13" s="1907"/>
      <c r="DS13" s="1907"/>
      <c r="DT13" s="1907"/>
      <c r="DU13" s="1907"/>
      <c r="DV13" s="1907"/>
      <c r="DW13" s="1907"/>
      <c r="DX13" s="1907"/>
      <c r="DY13" s="1907"/>
      <c r="DZ13" s="1907"/>
      <c r="EA13" s="1907"/>
      <c r="EB13" s="1907"/>
      <c r="EC13" s="1907"/>
      <c r="ED13" s="1907"/>
      <c r="EE13" s="1907"/>
      <c r="EF13" s="1907"/>
      <c r="EG13" s="1907"/>
      <c r="EH13" s="1907"/>
      <c r="EI13" s="1817">
        <f t="shared" si="7"/>
        <v>0</v>
      </c>
      <c r="EK13" s="1809" t="s">
        <v>81</v>
      </c>
      <c r="EL13" s="2153">
        <f t="shared" si="8"/>
        <v>0</v>
      </c>
      <c r="EM13" s="1942"/>
      <c r="EN13" s="1805"/>
      <c r="EO13" s="1805"/>
      <c r="EP13" s="1805"/>
      <c r="EQ13" s="1805"/>
      <c r="ER13" s="1805"/>
      <c r="ES13" s="1805"/>
      <c r="ET13" s="1805"/>
      <c r="EU13" s="1805"/>
      <c r="EV13" s="1805"/>
      <c r="EW13" s="1805"/>
      <c r="EX13" s="1805"/>
      <c r="EY13" s="1805"/>
      <c r="EZ13" s="1805"/>
      <c r="FA13" s="1805"/>
      <c r="FB13" s="1805"/>
      <c r="FC13" s="1805"/>
      <c r="FD13" s="1805"/>
      <c r="FE13" s="1805"/>
      <c r="FF13" s="1805"/>
      <c r="FG13" s="1805"/>
      <c r="FH13" s="1805"/>
      <c r="FI13" s="1805"/>
      <c r="FJ13" s="1805"/>
      <c r="FK13" s="1805"/>
      <c r="FL13" s="1805"/>
      <c r="FM13" s="1805"/>
      <c r="FN13" s="1805"/>
      <c r="FO13" s="1805"/>
      <c r="FP13" s="1805"/>
      <c r="FQ13" s="1805"/>
      <c r="FR13" s="1804">
        <f t="shared" si="9"/>
        <v>0</v>
      </c>
    </row>
    <row r="14" spans="1:174" ht="15">
      <c r="A14" s="1054" t="s">
        <v>82</v>
      </c>
      <c r="B14" s="1091">
        <f t="shared" si="0"/>
        <v>0</v>
      </c>
      <c r="C14" s="1917"/>
      <c r="D14" s="1917"/>
      <c r="E14" s="1917"/>
      <c r="F14" s="1917"/>
      <c r="G14" s="1917"/>
      <c r="H14" s="1917"/>
      <c r="I14" s="1917"/>
      <c r="J14" s="1917"/>
      <c r="K14" s="1917"/>
      <c r="L14" s="1917"/>
      <c r="M14" s="1917"/>
      <c r="N14" s="1917"/>
      <c r="O14" s="1917"/>
      <c r="P14" s="1917"/>
      <c r="Q14" s="1917"/>
      <c r="R14" s="1917"/>
      <c r="S14" s="1917"/>
      <c r="T14" s="1917"/>
      <c r="U14" s="1917"/>
      <c r="V14" s="1917"/>
      <c r="W14" s="1917"/>
      <c r="X14" s="1917"/>
      <c r="Y14" s="1917"/>
      <c r="Z14" s="1917"/>
      <c r="AA14" s="1917"/>
      <c r="AB14" s="1917"/>
      <c r="AC14" s="1917"/>
      <c r="AD14" s="1917"/>
      <c r="AE14" s="1917"/>
      <c r="AF14" s="1917"/>
      <c r="AG14" s="1917"/>
      <c r="AH14" s="1268">
        <f t="shared" si="1"/>
        <v>0</v>
      </c>
      <c r="AJ14" s="1524" t="s">
        <v>82</v>
      </c>
      <c r="AK14" s="1527">
        <f t="shared" si="2"/>
        <v>0</v>
      </c>
      <c r="AL14" s="1872"/>
      <c r="AM14" s="1872"/>
      <c r="AN14" s="1872"/>
      <c r="AO14" s="1872"/>
      <c r="AP14" s="1872"/>
      <c r="AQ14" s="1872"/>
      <c r="AR14" s="1872"/>
      <c r="AS14" s="1872"/>
      <c r="AT14" s="1872"/>
      <c r="AU14" s="1872"/>
      <c r="AV14" s="1872"/>
      <c r="AW14" s="1872"/>
      <c r="AX14" s="1872"/>
      <c r="AY14" s="1872"/>
      <c r="AZ14" s="1872"/>
      <c r="BA14" s="1872"/>
      <c r="BB14" s="1872"/>
      <c r="BC14" s="1872"/>
      <c r="BD14" s="1872"/>
      <c r="BE14" s="1872"/>
      <c r="BF14" s="1872"/>
      <c r="BG14" s="1872"/>
      <c r="BH14" s="1872"/>
      <c r="BI14" s="1872"/>
      <c r="BJ14" s="1872"/>
      <c r="BK14" s="1872"/>
      <c r="BL14" s="1872"/>
      <c r="BM14" s="1872"/>
      <c r="BN14" s="1872"/>
      <c r="BO14" s="1872"/>
      <c r="BP14" s="1872"/>
      <c r="BQ14" s="1834">
        <f t="shared" si="3"/>
        <v>0</v>
      </c>
      <c r="BS14" s="1621" t="s">
        <v>82</v>
      </c>
      <c r="BT14" s="1622">
        <f t="shared" si="4"/>
        <v>0</v>
      </c>
      <c r="BU14" s="1871"/>
      <c r="BV14" s="1871"/>
      <c r="BW14" s="1871"/>
      <c r="BX14" s="1871"/>
      <c r="BY14" s="1871"/>
      <c r="BZ14" s="1871"/>
      <c r="CA14" s="1871"/>
      <c r="CB14" s="1871"/>
      <c r="CC14" s="1871"/>
      <c r="CD14" s="1871"/>
      <c r="CE14" s="1871"/>
      <c r="CF14" s="1871"/>
      <c r="CG14" s="1871"/>
      <c r="CH14" s="1871"/>
      <c r="CI14" s="1871"/>
      <c r="CJ14" s="1871"/>
      <c r="CK14" s="1871"/>
      <c r="CL14" s="1871"/>
      <c r="CM14" s="1871"/>
      <c r="CN14" s="1871"/>
      <c r="CO14" s="1871"/>
      <c r="CP14" s="1871"/>
      <c r="CQ14" s="1871"/>
      <c r="CR14" s="1871"/>
      <c r="CS14" s="1871"/>
      <c r="CT14" s="1871"/>
      <c r="CU14" s="1871"/>
      <c r="CV14" s="1871"/>
      <c r="CW14" s="1871"/>
      <c r="CX14" s="1871"/>
      <c r="CY14" s="1871"/>
      <c r="CZ14" s="1826">
        <f t="shared" si="5"/>
        <v>0</v>
      </c>
      <c r="DB14" s="1719" t="s">
        <v>82</v>
      </c>
      <c r="DC14" s="1821">
        <f t="shared" si="6"/>
        <v>0</v>
      </c>
      <c r="DD14" s="1907"/>
      <c r="DE14" s="1907"/>
      <c r="DF14" s="1907"/>
      <c r="DG14" s="1907"/>
      <c r="DH14" s="1907"/>
      <c r="DI14" s="1907"/>
      <c r="DJ14" s="1907"/>
      <c r="DK14" s="1907"/>
      <c r="DL14" s="1907"/>
      <c r="DM14" s="1907"/>
      <c r="DN14" s="1907"/>
      <c r="DO14" s="1907"/>
      <c r="DP14" s="1907"/>
      <c r="DQ14" s="1907"/>
      <c r="DR14" s="1907"/>
      <c r="DS14" s="1907"/>
      <c r="DT14" s="1907"/>
      <c r="DU14" s="1907"/>
      <c r="DV14" s="1907"/>
      <c r="DW14" s="1907"/>
      <c r="DX14" s="1907"/>
      <c r="DY14" s="1907"/>
      <c r="DZ14" s="1907"/>
      <c r="EA14" s="1907"/>
      <c r="EB14" s="1907"/>
      <c r="EC14" s="1907"/>
      <c r="ED14" s="1907"/>
      <c r="EE14" s="1907"/>
      <c r="EF14" s="1907"/>
      <c r="EG14" s="1907"/>
      <c r="EH14" s="1907"/>
      <c r="EI14" s="1817">
        <f t="shared" si="7"/>
        <v>0</v>
      </c>
      <c r="EK14" s="1809" t="s">
        <v>82</v>
      </c>
      <c r="EL14" s="2153">
        <f t="shared" si="8"/>
        <v>0</v>
      </c>
      <c r="EM14" s="1805"/>
      <c r="EN14" s="1805"/>
      <c r="EO14" s="1805"/>
      <c r="EP14" s="1805"/>
      <c r="EQ14" s="1805"/>
      <c r="ER14" s="1805"/>
      <c r="ES14" s="1805"/>
      <c r="ET14" s="1805"/>
      <c r="EU14" s="1805"/>
      <c r="EV14" s="1805"/>
      <c r="EW14" s="1805"/>
      <c r="EX14" s="1805"/>
      <c r="EY14" s="1805"/>
      <c r="EZ14" s="1805"/>
      <c r="FA14" s="1805"/>
      <c r="FB14" s="1810"/>
      <c r="FC14" s="1810"/>
      <c r="FD14" s="1810"/>
      <c r="FE14" s="1810"/>
      <c r="FF14" s="1810"/>
      <c r="FG14" s="1810"/>
      <c r="FH14" s="1810"/>
      <c r="FI14" s="1810"/>
      <c r="FJ14" s="1810"/>
      <c r="FK14" s="1810"/>
      <c r="FL14" s="1810"/>
      <c r="FM14" s="1810"/>
      <c r="FN14" s="1810"/>
      <c r="FO14" s="1810"/>
      <c r="FP14" s="1810"/>
      <c r="FQ14" s="1810"/>
      <c r="FR14" s="1804">
        <f t="shared" si="9"/>
        <v>0</v>
      </c>
    </row>
    <row r="15" spans="1:174" ht="15">
      <c r="A15" s="1054" t="s">
        <v>83</v>
      </c>
      <c r="B15" s="1091">
        <f t="shared" si="0"/>
        <v>0</v>
      </c>
      <c r="C15" s="1917"/>
      <c r="D15" s="1917"/>
      <c r="E15" s="1917"/>
      <c r="F15" s="1917"/>
      <c r="G15" s="1917"/>
      <c r="H15" s="1917"/>
      <c r="I15" s="1917"/>
      <c r="J15" s="1917"/>
      <c r="K15" s="1917"/>
      <c r="L15" s="1917"/>
      <c r="M15" s="1917"/>
      <c r="N15" s="1917"/>
      <c r="O15" s="1917"/>
      <c r="P15" s="1917"/>
      <c r="Q15" s="1917"/>
      <c r="R15" s="1917"/>
      <c r="S15" s="1917"/>
      <c r="T15" s="1917"/>
      <c r="U15" s="1917"/>
      <c r="V15" s="1917"/>
      <c r="W15" s="1917"/>
      <c r="X15" s="1917"/>
      <c r="Y15" s="1917"/>
      <c r="Z15" s="1917"/>
      <c r="AA15" s="1917"/>
      <c r="AB15" s="1917"/>
      <c r="AC15" s="1917"/>
      <c r="AD15" s="1917"/>
      <c r="AE15" s="1917"/>
      <c r="AF15" s="1917"/>
      <c r="AG15" s="1538"/>
      <c r="AH15" s="1268">
        <f t="shared" si="1"/>
        <v>0</v>
      </c>
      <c r="AJ15" s="1524" t="s">
        <v>83</v>
      </c>
      <c r="AK15" s="1527">
        <f t="shared" si="2"/>
        <v>0</v>
      </c>
      <c r="AL15" s="1872"/>
      <c r="AM15" s="1872"/>
      <c r="AN15" s="1872"/>
      <c r="AO15" s="1872"/>
      <c r="AP15" s="1872"/>
      <c r="AQ15" s="1872"/>
      <c r="AR15" s="1872"/>
      <c r="AS15" s="1872"/>
      <c r="AT15" s="1872"/>
      <c r="AU15" s="1872"/>
      <c r="AV15" s="1872"/>
      <c r="AW15" s="1872"/>
      <c r="AX15" s="1872"/>
      <c r="AY15" s="1872"/>
      <c r="AZ15" s="1872"/>
      <c r="BA15" s="1872"/>
      <c r="BB15" s="1872"/>
      <c r="BC15" s="1872"/>
      <c r="BD15" s="1872"/>
      <c r="BE15" s="1872"/>
      <c r="BF15" s="1872"/>
      <c r="BG15" s="1872"/>
      <c r="BH15" s="1872"/>
      <c r="BI15" s="1872"/>
      <c r="BJ15" s="1872"/>
      <c r="BK15" s="1872"/>
      <c r="BL15" s="1872"/>
      <c r="BM15" s="1872"/>
      <c r="BN15" s="1872"/>
      <c r="BO15" s="1872"/>
      <c r="BP15" s="1877"/>
      <c r="BQ15" s="1834">
        <f t="shared" si="3"/>
        <v>0</v>
      </c>
      <c r="BS15" s="1621" t="s">
        <v>83</v>
      </c>
      <c r="BT15" s="1622">
        <f t="shared" si="4"/>
        <v>0</v>
      </c>
      <c r="BU15" s="1871"/>
      <c r="BV15" s="1871"/>
      <c r="BW15" s="1871"/>
      <c r="BX15" s="1871"/>
      <c r="BY15" s="1871"/>
      <c r="BZ15" s="1871"/>
      <c r="CA15" s="1871"/>
      <c r="CB15" s="1871"/>
      <c r="CC15" s="1871"/>
      <c r="CD15" s="1871"/>
      <c r="CE15" s="1871"/>
      <c r="CF15" s="1871"/>
      <c r="CG15" s="1871"/>
      <c r="CH15" s="1871"/>
      <c r="CI15" s="1871"/>
      <c r="CJ15" s="1871"/>
      <c r="CK15" s="1871"/>
      <c r="CL15" s="1871"/>
      <c r="CM15" s="1871"/>
      <c r="CN15" s="1871"/>
      <c r="CO15" s="1871"/>
      <c r="CP15" s="1871"/>
      <c r="CQ15" s="1871"/>
      <c r="CR15" s="1871"/>
      <c r="CS15" s="1871"/>
      <c r="CT15" s="1871"/>
      <c r="CU15" s="1871"/>
      <c r="CV15" s="1871"/>
      <c r="CW15" s="1871"/>
      <c r="CX15" s="1871"/>
      <c r="CY15" s="1876"/>
      <c r="CZ15" s="1826">
        <f t="shared" si="5"/>
        <v>0</v>
      </c>
      <c r="DB15" s="1719" t="s">
        <v>83</v>
      </c>
      <c r="DC15" s="1821">
        <f t="shared" si="6"/>
        <v>0</v>
      </c>
      <c r="DD15" s="1907"/>
      <c r="DE15" s="1907"/>
      <c r="DF15" s="1907"/>
      <c r="DG15" s="1907"/>
      <c r="DH15" s="1907"/>
      <c r="DI15" s="1907"/>
      <c r="DJ15" s="1907"/>
      <c r="DK15" s="1907"/>
      <c r="DL15" s="1907"/>
      <c r="DM15" s="1907"/>
      <c r="DN15" s="1907"/>
      <c r="DO15" s="1907"/>
      <c r="DP15" s="1907"/>
      <c r="DQ15" s="1907"/>
      <c r="DR15" s="1907"/>
      <c r="DS15" s="1907"/>
      <c r="DT15" s="1907"/>
      <c r="DU15" s="1907"/>
      <c r="DV15" s="1907"/>
      <c r="DW15" s="1907"/>
      <c r="DX15" s="1907"/>
      <c r="DY15" s="1907"/>
      <c r="DZ15" s="1907"/>
      <c r="EA15" s="1907"/>
      <c r="EB15" s="1907"/>
      <c r="EC15" s="1907"/>
      <c r="ED15" s="1907"/>
      <c r="EE15" s="1907"/>
      <c r="EF15" s="1907"/>
      <c r="EG15" s="1907"/>
      <c r="EH15" s="1908"/>
      <c r="EI15" s="1817">
        <f t="shared" si="7"/>
        <v>0</v>
      </c>
      <c r="EK15" s="1809" t="s">
        <v>83</v>
      </c>
      <c r="EL15" s="2153">
        <f t="shared" si="8"/>
        <v>0</v>
      </c>
      <c r="EM15" s="1805"/>
      <c r="EN15" s="1810"/>
      <c r="EO15" s="1810"/>
      <c r="EP15" s="1810"/>
      <c r="EQ15" s="1810"/>
      <c r="ER15" s="1810"/>
      <c r="ES15" s="1810"/>
      <c r="ET15" s="1810"/>
      <c r="EU15" s="1810"/>
      <c r="EV15" s="1810"/>
      <c r="EW15" s="1810"/>
      <c r="EX15" s="1810"/>
      <c r="EY15" s="1810"/>
      <c r="EZ15" s="1810"/>
      <c r="FA15" s="1810"/>
      <c r="FB15" s="1942"/>
      <c r="FC15" s="1942"/>
      <c r="FD15" s="1942"/>
      <c r="FE15" s="1942"/>
      <c r="FF15" s="1942"/>
      <c r="FG15" s="1942"/>
      <c r="FH15" s="1942"/>
      <c r="FI15" s="1942"/>
      <c r="FJ15" s="1942"/>
      <c r="FK15" s="1942"/>
      <c r="FL15" s="1942"/>
      <c r="FM15" s="1942"/>
      <c r="FN15" s="1942"/>
      <c r="FO15" s="1942"/>
      <c r="FP15" s="1942"/>
      <c r="FQ15" s="1805"/>
      <c r="FR15" s="1804">
        <f t="shared" si="9"/>
        <v>0</v>
      </c>
    </row>
    <row r="16" spans="1:174" ht="15">
      <c r="A16" s="1054" t="s">
        <v>84</v>
      </c>
      <c r="B16" s="1091">
        <f t="shared" si="0"/>
        <v>0</v>
      </c>
      <c r="C16" s="1917"/>
      <c r="D16" s="1917"/>
      <c r="E16" s="1917"/>
      <c r="F16" s="1917"/>
      <c r="G16" s="1917"/>
      <c r="H16" s="1917"/>
      <c r="I16" s="1917"/>
      <c r="J16" s="1917"/>
      <c r="K16" s="1917"/>
      <c r="L16" s="1917"/>
      <c r="M16" s="1917"/>
      <c r="N16" s="1917"/>
      <c r="O16" s="1917"/>
      <c r="P16" s="1917"/>
      <c r="Q16" s="1917"/>
      <c r="R16" s="1917"/>
      <c r="S16" s="1917"/>
      <c r="T16" s="1917"/>
      <c r="U16" s="1917"/>
      <c r="V16" s="1917"/>
      <c r="W16" s="1917"/>
      <c r="X16" s="1917"/>
      <c r="Y16" s="1917"/>
      <c r="Z16" s="1917"/>
      <c r="AA16" s="1917"/>
      <c r="AB16" s="1917"/>
      <c r="AC16" s="1917"/>
      <c r="AD16" s="1917"/>
      <c r="AE16" s="1917"/>
      <c r="AF16" s="1917"/>
      <c r="AG16" s="1917"/>
      <c r="AH16" s="1268">
        <f t="shared" si="1"/>
        <v>0</v>
      </c>
      <c r="AJ16" s="1524" t="s">
        <v>84</v>
      </c>
      <c r="AK16" s="1527">
        <f t="shared" si="2"/>
        <v>0</v>
      </c>
      <c r="AL16" s="1872"/>
      <c r="AM16" s="1872"/>
      <c r="AN16" s="1872"/>
      <c r="AO16" s="1872"/>
      <c r="AP16" s="1872"/>
      <c r="AQ16" s="1872"/>
      <c r="AR16" s="1872"/>
      <c r="AS16" s="1872"/>
      <c r="AT16" s="1872"/>
      <c r="AU16" s="1872"/>
      <c r="AV16" s="1872"/>
      <c r="AW16" s="1872"/>
      <c r="AX16" s="1872"/>
      <c r="AY16" s="1872"/>
      <c r="AZ16" s="1872"/>
      <c r="BA16" s="1872"/>
      <c r="BB16" s="1872"/>
      <c r="BC16" s="1872"/>
      <c r="BD16" s="1872"/>
      <c r="BE16" s="1872"/>
      <c r="BF16" s="1872"/>
      <c r="BG16" s="1872"/>
      <c r="BH16" s="1872"/>
      <c r="BI16" s="1872"/>
      <c r="BJ16" s="1872"/>
      <c r="BK16" s="1872"/>
      <c r="BL16" s="1872"/>
      <c r="BM16" s="1872"/>
      <c r="BN16" s="1872"/>
      <c r="BO16" s="1872"/>
      <c r="BP16" s="1872"/>
      <c r="BQ16" s="1834">
        <f t="shared" si="3"/>
        <v>0</v>
      </c>
      <c r="BS16" s="1621" t="s">
        <v>84</v>
      </c>
      <c r="BT16" s="1622">
        <f t="shared" si="4"/>
        <v>0</v>
      </c>
      <c r="BU16" s="1871"/>
      <c r="BV16" s="1871"/>
      <c r="BW16" s="1871"/>
      <c r="BX16" s="1871"/>
      <c r="BY16" s="1871"/>
      <c r="BZ16" s="1871"/>
      <c r="CA16" s="1871"/>
      <c r="CB16" s="1871"/>
      <c r="CC16" s="1871"/>
      <c r="CD16" s="1871"/>
      <c r="CE16" s="1871"/>
      <c r="CF16" s="1871"/>
      <c r="CG16" s="1871"/>
      <c r="CH16" s="1871"/>
      <c r="CI16" s="1871"/>
      <c r="CJ16" s="1871"/>
      <c r="CK16" s="1871"/>
      <c r="CL16" s="1871"/>
      <c r="CM16" s="1871"/>
      <c r="CN16" s="1871"/>
      <c r="CO16" s="1871"/>
      <c r="CP16" s="1871"/>
      <c r="CQ16" s="1871"/>
      <c r="CR16" s="1871"/>
      <c r="CS16" s="1871"/>
      <c r="CT16" s="1871"/>
      <c r="CU16" s="1871"/>
      <c r="CV16" s="1871"/>
      <c r="CW16" s="1871"/>
      <c r="CX16" s="1871"/>
      <c r="CY16" s="1871"/>
      <c r="CZ16" s="1826">
        <f t="shared" si="5"/>
        <v>0</v>
      </c>
      <c r="DB16" s="1719" t="s">
        <v>84</v>
      </c>
      <c r="DC16" s="1821">
        <f t="shared" si="6"/>
        <v>0</v>
      </c>
      <c r="DD16" s="1907"/>
      <c r="DE16" s="1907"/>
      <c r="DF16" s="1907"/>
      <c r="DG16" s="1907"/>
      <c r="DH16" s="1907"/>
      <c r="DI16" s="1907"/>
      <c r="DJ16" s="1907"/>
      <c r="DK16" s="1907"/>
      <c r="DL16" s="1907"/>
      <c r="DM16" s="1907"/>
      <c r="DN16" s="1907"/>
      <c r="DO16" s="1907"/>
      <c r="DP16" s="1907"/>
      <c r="DQ16" s="1907"/>
      <c r="DR16" s="1907"/>
      <c r="DS16" s="1907"/>
      <c r="DT16" s="1907"/>
      <c r="DU16" s="1907"/>
      <c r="DV16" s="1907"/>
      <c r="DW16" s="1907"/>
      <c r="DX16" s="1907"/>
      <c r="DY16" s="1907"/>
      <c r="DZ16" s="1907"/>
      <c r="EA16" s="1907"/>
      <c r="EB16" s="1907"/>
      <c r="EC16" s="1907"/>
      <c r="ED16" s="1907"/>
      <c r="EE16" s="1907"/>
      <c r="EF16" s="1907"/>
      <c r="EG16" s="1907"/>
      <c r="EH16" s="1907"/>
      <c r="EI16" s="1817">
        <f t="shared" si="7"/>
        <v>0</v>
      </c>
      <c r="EK16" s="1809" t="s">
        <v>84</v>
      </c>
      <c r="EL16" s="2153">
        <f t="shared" si="8"/>
        <v>0</v>
      </c>
      <c r="EM16" s="1805"/>
      <c r="EN16" s="1942"/>
      <c r="EO16" s="1942"/>
      <c r="EP16" s="1942"/>
      <c r="EQ16" s="1805"/>
      <c r="ER16" s="1805"/>
      <c r="ES16" s="1805"/>
      <c r="ET16" s="1805"/>
      <c r="EU16" s="1805"/>
      <c r="EV16" s="1805"/>
      <c r="EW16" s="1805"/>
      <c r="EX16" s="1805"/>
      <c r="EY16" s="1805"/>
      <c r="EZ16" s="1805"/>
      <c r="FA16" s="1805"/>
      <c r="FB16" s="1805"/>
      <c r="FC16" s="1805"/>
      <c r="FD16" s="1805"/>
      <c r="FE16" s="1805"/>
      <c r="FF16" s="1805"/>
      <c r="FG16" s="1805"/>
      <c r="FH16" s="1805"/>
      <c r="FI16" s="1805"/>
      <c r="FJ16" s="1805"/>
      <c r="FK16" s="1805"/>
      <c r="FL16" s="1805"/>
      <c r="FM16" s="1805"/>
      <c r="FN16" s="1805"/>
      <c r="FO16" s="1805"/>
      <c r="FP16" s="1805"/>
      <c r="FQ16" s="1805"/>
      <c r="FR16" s="1804">
        <f t="shared" si="9"/>
        <v>0</v>
      </c>
    </row>
    <row r="17" spans="1:174" ht="15">
      <c r="A17" s="1259" t="s">
        <v>72</v>
      </c>
      <c r="B17" s="1916">
        <f t="shared" ref="B17:AH17" si="10">SUM(B5:B16)</f>
        <v>0</v>
      </c>
      <c r="C17" s="1268">
        <f t="shared" si="10"/>
        <v>0</v>
      </c>
      <c r="D17" s="1268">
        <f t="shared" si="10"/>
        <v>0</v>
      </c>
      <c r="E17" s="1268">
        <f t="shared" si="10"/>
        <v>0</v>
      </c>
      <c r="F17" s="1268">
        <f t="shared" si="10"/>
        <v>0</v>
      </c>
      <c r="G17" s="1268">
        <f t="shared" si="10"/>
        <v>0</v>
      </c>
      <c r="H17" s="1268">
        <f t="shared" si="10"/>
        <v>0</v>
      </c>
      <c r="I17" s="1268">
        <f t="shared" si="10"/>
        <v>0</v>
      </c>
      <c r="J17" s="1268">
        <f t="shared" si="10"/>
        <v>0</v>
      </c>
      <c r="K17" s="1268">
        <f t="shared" si="10"/>
        <v>0</v>
      </c>
      <c r="L17" s="1268">
        <f t="shared" si="10"/>
        <v>0</v>
      </c>
      <c r="M17" s="1268">
        <f t="shared" si="10"/>
        <v>0</v>
      </c>
      <c r="N17" s="1268">
        <f t="shared" si="10"/>
        <v>0</v>
      </c>
      <c r="O17" s="1268">
        <f t="shared" si="10"/>
        <v>0</v>
      </c>
      <c r="P17" s="1268">
        <f t="shared" si="10"/>
        <v>0</v>
      </c>
      <c r="Q17" s="1268">
        <f t="shared" si="10"/>
        <v>0</v>
      </c>
      <c r="R17" s="1268">
        <f t="shared" si="10"/>
        <v>0</v>
      </c>
      <c r="S17" s="1268">
        <f t="shared" si="10"/>
        <v>0</v>
      </c>
      <c r="T17" s="1268">
        <f t="shared" si="10"/>
        <v>0</v>
      </c>
      <c r="U17" s="1268">
        <f t="shared" si="10"/>
        <v>0</v>
      </c>
      <c r="V17" s="1268">
        <f t="shared" si="10"/>
        <v>0</v>
      </c>
      <c r="W17" s="1268">
        <f t="shared" si="10"/>
        <v>0</v>
      </c>
      <c r="X17" s="1268">
        <f t="shared" si="10"/>
        <v>0</v>
      </c>
      <c r="Y17" s="1268">
        <f t="shared" si="10"/>
        <v>0</v>
      </c>
      <c r="Z17" s="1268">
        <f t="shared" si="10"/>
        <v>0</v>
      </c>
      <c r="AA17" s="1268">
        <f t="shared" si="10"/>
        <v>0</v>
      </c>
      <c r="AB17" s="1268">
        <f t="shared" si="10"/>
        <v>0</v>
      </c>
      <c r="AC17" s="1268">
        <f t="shared" si="10"/>
        <v>0</v>
      </c>
      <c r="AD17" s="1268">
        <f t="shared" si="10"/>
        <v>0</v>
      </c>
      <c r="AE17" s="1268">
        <f t="shared" si="10"/>
        <v>0</v>
      </c>
      <c r="AF17" s="1268">
        <f t="shared" si="10"/>
        <v>0</v>
      </c>
      <c r="AG17" s="1268">
        <f t="shared" si="10"/>
        <v>0</v>
      </c>
      <c r="AH17" s="1268">
        <f t="shared" si="10"/>
        <v>0</v>
      </c>
      <c r="AJ17" s="1837" t="s">
        <v>72</v>
      </c>
      <c r="AK17" s="1906">
        <f t="shared" ref="AK17:BQ17" si="11">SUM(AK5:AK16)</f>
        <v>0</v>
      </c>
      <c r="AL17" s="1834">
        <f t="shared" si="11"/>
        <v>0</v>
      </c>
      <c r="AM17" s="1834">
        <f t="shared" si="11"/>
        <v>0</v>
      </c>
      <c r="AN17" s="1834">
        <f t="shared" si="11"/>
        <v>0</v>
      </c>
      <c r="AO17" s="1834">
        <f t="shared" si="11"/>
        <v>0</v>
      </c>
      <c r="AP17" s="1834">
        <f t="shared" si="11"/>
        <v>0</v>
      </c>
      <c r="AQ17" s="1834">
        <f t="shared" si="11"/>
        <v>0</v>
      </c>
      <c r="AR17" s="1834">
        <f t="shared" si="11"/>
        <v>0</v>
      </c>
      <c r="AS17" s="1834">
        <f t="shared" si="11"/>
        <v>0</v>
      </c>
      <c r="AT17" s="1834">
        <f t="shared" si="11"/>
        <v>0</v>
      </c>
      <c r="AU17" s="1834">
        <f t="shared" si="11"/>
        <v>0</v>
      </c>
      <c r="AV17" s="1834">
        <f t="shared" si="11"/>
        <v>0</v>
      </c>
      <c r="AW17" s="1834">
        <f t="shared" si="11"/>
        <v>0</v>
      </c>
      <c r="AX17" s="1834">
        <f t="shared" si="11"/>
        <v>0</v>
      </c>
      <c r="AY17" s="1834">
        <f t="shared" si="11"/>
        <v>0</v>
      </c>
      <c r="AZ17" s="1834">
        <f t="shared" si="11"/>
        <v>0</v>
      </c>
      <c r="BA17" s="1834">
        <f t="shared" si="11"/>
        <v>0</v>
      </c>
      <c r="BB17" s="1834">
        <f t="shared" si="11"/>
        <v>0</v>
      </c>
      <c r="BC17" s="1834">
        <f t="shared" si="11"/>
        <v>0</v>
      </c>
      <c r="BD17" s="1834">
        <f t="shared" si="11"/>
        <v>0</v>
      </c>
      <c r="BE17" s="1834">
        <f t="shared" si="11"/>
        <v>0</v>
      </c>
      <c r="BF17" s="1834">
        <f t="shared" si="11"/>
        <v>0</v>
      </c>
      <c r="BG17" s="1834">
        <f t="shared" si="11"/>
        <v>0</v>
      </c>
      <c r="BH17" s="1834">
        <f t="shared" si="11"/>
        <v>0</v>
      </c>
      <c r="BI17" s="1834">
        <f t="shared" si="11"/>
        <v>0</v>
      </c>
      <c r="BJ17" s="1834">
        <f t="shared" si="11"/>
        <v>0</v>
      </c>
      <c r="BK17" s="1834">
        <f t="shared" si="11"/>
        <v>0</v>
      </c>
      <c r="BL17" s="1834">
        <f t="shared" si="11"/>
        <v>0</v>
      </c>
      <c r="BM17" s="1834">
        <f t="shared" si="11"/>
        <v>0</v>
      </c>
      <c r="BN17" s="1834">
        <f t="shared" si="11"/>
        <v>0</v>
      </c>
      <c r="BO17" s="1834">
        <f t="shared" si="11"/>
        <v>0</v>
      </c>
      <c r="BP17" s="1834">
        <f t="shared" si="11"/>
        <v>0</v>
      </c>
      <c r="BQ17" s="1834">
        <f t="shared" si="11"/>
        <v>0</v>
      </c>
      <c r="BS17" s="1829" t="s">
        <v>72</v>
      </c>
      <c r="BT17" s="1905">
        <f t="shared" ref="BT17:CZ17" si="12">SUM(BT5:BT16)</f>
        <v>2.028</v>
      </c>
      <c r="BU17" s="1826">
        <f t="shared" si="12"/>
        <v>0</v>
      </c>
      <c r="BV17" s="1826">
        <f t="shared" si="12"/>
        <v>0</v>
      </c>
      <c r="BW17" s="1826">
        <f t="shared" si="12"/>
        <v>1.2E-2</v>
      </c>
      <c r="BX17" s="1826">
        <f t="shared" si="12"/>
        <v>1.3140000000000001</v>
      </c>
      <c r="BY17" s="1826">
        <f t="shared" si="12"/>
        <v>0</v>
      </c>
      <c r="BZ17" s="1826">
        <f t="shared" si="12"/>
        <v>0</v>
      </c>
      <c r="CA17" s="1826">
        <f t="shared" si="12"/>
        <v>0</v>
      </c>
      <c r="CB17" s="1826">
        <f t="shared" si="12"/>
        <v>0</v>
      </c>
      <c r="CC17" s="1826">
        <f t="shared" si="12"/>
        <v>0</v>
      </c>
      <c r="CD17" s="1826">
        <f t="shared" si="12"/>
        <v>0</v>
      </c>
      <c r="CE17" s="1826">
        <f t="shared" si="12"/>
        <v>0</v>
      </c>
      <c r="CF17" s="1826">
        <f t="shared" si="12"/>
        <v>0.60599999999999998</v>
      </c>
      <c r="CG17" s="1826">
        <f t="shared" si="12"/>
        <v>0</v>
      </c>
      <c r="CH17" s="1826">
        <f t="shared" si="12"/>
        <v>0</v>
      </c>
      <c r="CI17" s="1826">
        <f t="shared" si="12"/>
        <v>0.08</v>
      </c>
      <c r="CJ17" s="1826">
        <f t="shared" si="12"/>
        <v>0</v>
      </c>
      <c r="CK17" s="1826">
        <f t="shared" si="12"/>
        <v>1.6E-2</v>
      </c>
      <c r="CL17" s="1826">
        <f t="shared" si="12"/>
        <v>0</v>
      </c>
      <c r="CM17" s="1826">
        <f t="shared" si="12"/>
        <v>0</v>
      </c>
      <c r="CN17" s="1826">
        <f t="shared" si="12"/>
        <v>0</v>
      </c>
      <c r="CO17" s="1826">
        <f t="shared" si="12"/>
        <v>0</v>
      </c>
      <c r="CP17" s="1826">
        <f t="shared" si="12"/>
        <v>0</v>
      </c>
      <c r="CQ17" s="1826">
        <f t="shared" si="12"/>
        <v>0</v>
      </c>
      <c r="CR17" s="1826">
        <f t="shared" si="12"/>
        <v>0</v>
      </c>
      <c r="CS17" s="1826">
        <f t="shared" si="12"/>
        <v>0</v>
      </c>
      <c r="CT17" s="1826">
        <f t="shared" si="12"/>
        <v>0</v>
      </c>
      <c r="CU17" s="1826">
        <f t="shared" si="12"/>
        <v>0</v>
      </c>
      <c r="CV17" s="1826">
        <f t="shared" si="12"/>
        <v>0</v>
      </c>
      <c r="CW17" s="1826">
        <f t="shared" si="12"/>
        <v>0</v>
      </c>
      <c r="CX17" s="1826">
        <f t="shared" si="12"/>
        <v>0</v>
      </c>
      <c r="CY17" s="1826">
        <f t="shared" si="12"/>
        <v>0</v>
      </c>
      <c r="CZ17" s="1826">
        <f t="shared" si="12"/>
        <v>2.028</v>
      </c>
      <c r="DB17" s="1820" t="s">
        <v>72</v>
      </c>
      <c r="DC17" s="1904">
        <f t="shared" ref="DC17:EI17" si="13">SUM(DC5:DC16)</f>
        <v>0</v>
      </c>
      <c r="DD17" s="1817">
        <f t="shared" si="13"/>
        <v>0</v>
      </c>
      <c r="DE17" s="1817">
        <f t="shared" si="13"/>
        <v>0</v>
      </c>
      <c r="DF17" s="1817">
        <f t="shared" si="13"/>
        <v>0</v>
      </c>
      <c r="DG17" s="1817">
        <f t="shared" si="13"/>
        <v>0</v>
      </c>
      <c r="DH17" s="1817">
        <f t="shared" si="13"/>
        <v>0</v>
      </c>
      <c r="DI17" s="1817">
        <f t="shared" si="13"/>
        <v>0</v>
      </c>
      <c r="DJ17" s="1817">
        <f t="shared" si="13"/>
        <v>0</v>
      </c>
      <c r="DK17" s="1817">
        <f t="shared" si="13"/>
        <v>0</v>
      </c>
      <c r="DL17" s="1817">
        <f t="shared" si="13"/>
        <v>0</v>
      </c>
      <c r="DM17" s="1817">
        <f t="shared" si="13"/>
        <v>0</v>
      </c>
      <c r="DN17" s="1817">
        <f t="shared" si="13"/>
        <v>0</v>
      </c>
      <c r="DO17" s="1817">
        <f t="shared" si="13"/>
        <v>0</v>
      </c>
      <c r="DP17" s="1817">
        <f t="shared" si="13"/>
        <v>0</v>
      </c>
      <c r="DQ17" s="1817">
        <f t="shared" si="13"/>
        <v>0</v>
      </c>
      <c r="DR17" s="1817">
        <f t="shared" si="13"/>
        <v>0</v>
      </c>
      <c r="DS17" s="1817">
        <f t="shared" si="13"/>
        <v>0</v>
      </c>
      <c r="DT17" s="1817">
        <f t="shared" si="13"/>
        <v>0</v>
      </c>
      <c r="DU17" s="1817">
        <f t="shared" si="13"/>
        <v>0</v>
      </c>
      <c r="DV17" s="1817">
        <f t="shared" si="13"/>
        <v>0</v>
      </c>
      <c r="DW17" s="1817">
        <f t="shared" si="13"/>
        <v>0</v>
      </c>
      <c r="DX17" s="1817">
        <f t="shared" si="13"/>
        <v>0</v>
      </c>
      <c r="DY17" s="1817">
        <f t="shared" si="13"/>
        <v>0</v>
      </c>
      <c r="DZ17" s="1817">
        <f t="shared" si="13"/>
        <v>0</v>
      </c>
      <c r="EA17" s="1817">
        <f t="shared" si="13"/>
        <v>0</v>
      </c>
      <c r="EB17" s="1817">
        <f t="shared" si="13"/>
        <v>0</v>
      </c>
      <c r="EC17" s="1817">
        <f t="shared" si="13"/>
        <v>0</v>
      </c>
      <c r="ED17" s="1817">
        <f t="shared" si="13"/>
        <v>0</v>
      </c>
      <c r="EE17" s="1817">
        <f t="shared" si="13"/>
        <v>0</v>
      </c>
      <c r="EF17" s="1817">
        <f t="shared" si="13"/>
        <v>0</v>
      </c>
      <c r="EG17" s="1817">
        <f t="shared" si="13"/>
        <v>0</v>
      </c>
      <c r="EH17" s="1817">
        <f t="shared" si="13"/>
        <v>0</v>
      </c>
      <c r="EI17" s="1817">
        <f t="shared" si="13"/>
        <v>0</v>
      </c>
      <c r="EK17" s="1807" t="s">
        <v>72</v>
      </c>
      <c r="EL17" s="2154">
        <f>SUM(EL5:EL16)</f>
        <v>6.3370000000000006</v>
      </c>
      <c r="EM17" s="1804">
        <f t="shared" ref="EM17:FR17" si="14">SUM(EM5:EM16)</f>
        <v>0</v>
      </c>
      <c r="EN17" s="1804">
        <f t="shared" si="14"/>
        <v>0</v>
      </c>
      <c r="EO17" s="1804">
        <f t="shared" si="14"/>
        <v>0</v>
      </c>
      <c r="EP17" s="1804">
        <f t="shared" si="14"/>
        <v>0</v>
      </c>
      <c r="EQ17" s="1804">
        <f t="shared" si="14"/>
        <v>0.3</v>
      </c>
      <c r="ER17" s="1804">
        <f t="shared" si="14"/>
        <v>0.25800000000000001</v>
      </c>
      <c r="ES17" s="1804">
        <f t="shared" si="14"/>
        <v>0</v>
      </c>
      <c r="ET17" s="1804">
        <f t="shared" si="14"/>
        <v>0</v>
      </c>
      <c r="EU17" s="1804">
        <f t="shared" si="14"/>
        <v>0</v>
      </c>
      <c r="EV17" s="1804">
        <f t="shared" si="14"/>
        <v>0.75</v>
      </c>
      <c r="EW17" s="1804">
        <f t="shared" si="14"/>
        <v>0</v>
      </c>
      <c r="EX17" s="1804">
        <f t="shared" si="14"/>
        <v>0</v>
      </c>
      <c r="EY17" s="1804">
        <f t="shared" si="14"/>
        <v>0</v>
      </c>
      <c r="EZ17" s="1804">
        <f t="shared" si="14"/>
        <v>0</v>
      </c>
      <c r="FA17" s="1804">
        <f t="shared" si="14"/>
        <v>0</v>
      </c>
      <c r="FB17" s="1804">
        <f t="shared" si="14"/>
        <v>1.3919999999999999</v>
      </c>
      <c r="FC17" s="1804">
        <f t="shared" si="14"/>
        <v>0.52700000000000002</v>
      </c>
      <c r="FD17" s="1804">
        <f t="shared" si="14"/>
        <v>0.55000000000000004</v>
      </c>
      <c r="FE17" s="1804">
        <f t="shared" si="14"/>
        <v>0.52500000000000002</v>
      </c>
      <c r="FF17" s="1804">
        <f t="shared" si="14"/>
        <v>0.61499999999999999</v>
      </c>
      <c r="FG17" s="1804">
        <f t="shared" si="14"/>
        <v>0</v>
      </c>
      <c r="FH17" s="1804">
        <f t="shared" si="14"/>
        <v>0</v>
      </c>
      <c r="FI17" s="1804">
        <f t="shared" si="14"/>
        <v>0.48</v>
      </c>
      <c r="FJ17" s="1804">
        <f t="shared" si="14"/>
        <v>0</v>
      </c>
      <c r="FK17" s="1804">
        <f t="shared" si="14"/>
        <v>0.42</v>
      </c>
      <c r="FL17" s="1804">
        <f t="shared" si="14"/>
        <v>0.27</v>
      </c>
      <c r="FM17" s="1804">
        <f t="shared" si="14"/>
        <v>0</v>
      </c>
      <c r="FN17" s="1804">
        <f t="shared" si="14"/>
        <v>0</v>
      </c>
      <c r="FO17" s="1804">
        <f t="shared" si="14"/>
        <v>0</v>
      </c>
      <c r="FP17" s="1804">
        <f t="shared" si="14"/>
        <v>0</v>
      </c>
      <c r="FQ17" s="1804">
        <f t="shared" si="14"/>
        <v>0.25</v>
      </c>
      <c r="FR17" s="1804">
        <f t="shared" si="14"/>
        <v>6.3370000000000006</v>
      </c>
    </row>
    <row r="18" spans="1:174" ht="15">
      <c r="A18" s="1770"/>
      <c r="B18" s="1770"/>
      <c r="C18" s="1770"/>
      <c r="D18" s="1770"/>
      <c r="E18" s="1770"/>
      <c r="F18" s="1770"/>
      <c r="G18" s="1770"/>
      <c r="H18" s="1770"/>
      <c r="I18" s="1770"/>
      <c r="J18" s="1770"/>
      <c r="K18" s="1770"/>
      <c r="L18" s="1770"/>
      <c r="M18" s="1770"/>
      <c r="N18" s="1770"/>
      <c r="O18" s="1770"/>
      <c r="P18" s="1770"/>
      <c r="Q18" s="1770"/>
      <c r="R18" s="1770"/>
      <c r="S18" s="1770"/>
      <c r="T18" s="1770"/>
      <c r="U18" s="1770"/>
      <c r="V18" s="1770"/>
      <c r="W18" s="1770"/>
      <c r="X18" s="1770"/>
      <c r="Y18" s="1770"/>
      <c r="Z18" s="1770"/>
      <c r="AA18" s="1770"/>
      <c r="AB18" s="1770"/>
      <c r="AC18" s="1770"/>
      <c r="AD18" s="1770"/>
      <c r="AE18" s="1770"/>
      <c r="AF18" s="1770"/>
      <c r="AG18" s="1770"/>
      <c r="AH18" s="1770"/>
      <c r="AJ18" s="1903"/>
      <c r="AK18" s="1902"/>
      <c r="AL18" s="1895"/>
      <c r="AM18" s="1895"/>
      <c r="AN18" s="1895"/>
      <c r="AO18" s="1895"/>
      <c r="AP18" s="1895"/>
      <c r="AQ18" s="1895"/>
      <c r="AR18" s="1895"/>
      <c r="AS18" s="1895"/>
      <c r="AT18" s="1895"/>
      <c r="AU18" s="1895"/>
      <c r="AV18" s="1895"/>
      <c r="AW18" s="1895"/>
      <c r="AX18" s="1895"/>
      <c r="AY18" s="1895"/>
      <c r="AZ18" s="1895"/>
      <c r="BA18" s="1895"/>
      <c r="BB18" s="1895"/>
      <c r="BC18" s="1895"/>
      <c r="BD18" s="1895"/>
      <c r="BE18" s="1895"/>
      <c r="BF18" s="1895"/>
      <c r="BG18" s="1895"/>
      <c r="BH18" s="1895"/>
      <c r="BI18" s="1895"/>
      <c r="BJ18" s="1895"/>
      <c r="BK18" s="1895"/>
      <c r="BL18" s="1895"/>
      <c r="BM18" s="1895"/>
      <c r="BN18" s="1895"/>
      <c r="BO18" s="1895"/>
      <c r="BP18" s="1895"/>
      <c r="BQ18" s="1895"/>
      <c r="BS18" s="1901"/>
      <c r="BT18" s="1900"/>
      <c r="BU18" s="1891"/>
      <c r="BV18" s="1891"/>
      <c r="BW18" s="1891"/>
      <c r="BX18" s="1891"/>
      <c r="BY18" s="1891"/>
      <c r="BZ18" s="1891"/>
      <c r="CA18" s="1891"/>
      <c r="CB18" s="1891"/>
      <c r="CC18" s="1891"/>
      <c r="CD18" s="1891"/>
      <c r="CE18" s="1891"/>
      <c r="CF18" s="1891"/>
      <c r="CG18" s="1891"/>
      <c r="CH18" s="1891"/>
      <c r="CI18" s="1891"/>
      <c r="CJ18" s="1891"/>
      <c r="CK18" s="1891"/>
      <c r="CL18" s="1891"/>
      <c r="CM18" s="1891"/>
      <c r="CN18" s="1891"/>
      <c r="CO18" s="1891"/>
      <c r="CP18" s="1891"/>
      <c r="CQ18" s="1891"/>
      <c r="CR18" s="1891"/>
      <c r="CS18" s="1891"/>
      <c r="CT18" s="1891"/>
      <c r="CU18" s="1891"/>
      <c r="CV18" s="1891"/>
      <c r="CW18" s="1891"/>
      <c r="CX18" s="1891"/>
      <c r="CY18" s="1891"/>
      <c r="CZ18" s="1891"/>
      <c r="DB18" s="1899"/>
      <c r="DC18" s="1898"/>
      <c r="DD18" s="1890"/>
      <c r="DE18" s="1890"/>
      <c r="DF18" s="1890"/>
      <c r="DG18" s="1890"/>
      <c r="DH18" s="1890"/>
      <c r="DI18" s="1890"/>
      <c r="DJ18" s="1890"/>
      <c r="DK18" s="1890"/>
      <c r="DL18" s="1890"/>
      <c r="DM18" s="1890"/>
      <c r="DN18" s="1890"/>
      <c r="DO18" s="1890"/>
      <c r="DP18" s="1890"/>
      <c r="DQ18" s="1890"/>
      <c r="DR18" s="1890"/>
      <c r="DS18" s="1890"/>
      <c r="DT18" s="1890"/>
      <c r="DU18" s="1890"/>
      <c r="DV18" s="1890"/>
      <c r="DW18" s="1890"/>
      <c r="DX18" s="1890"/>
      <c r="DY18" s="1890"/>
      <c r="DZ18" s="1890"/>
      <c r="EA18" s="1890"/>
      <c r="EB18" s="1890"/>
      <c r="EC18" s="1890"/>
      <c r="ED18" s="1890"/>
      <c r="EE18" s="1890"/>
      <c r="EF18" s="1890"/>
      <c r="EG18" s="1890"/>
      <c r="EH18" s="1890"/>
      <c r="EI18" s="1890"/>
      <c r="EK18" s="1813"/>
      <c r="EL18" s="1813"/>
      <c r="EM18" s="1813"/>
      <c r="EN18" s="1813"/>
      <c r="EO18" s="1813"/>
      <c r="EP18" s="1813"/>
      <c r="EQ18" s="1813"/>
      <c r="ER18" s="1813"/>
      <c r="ES18" s="1813"/>
      <c r="ET18" s="1813"/>
      <c r="EU18" s="1813"/>
      <c r="EV18" s="1813"/>
      <c r="EW18" s="1813"/>
      <c r="EX18" s="1813"/>
      <c r="EY18" s="1813"/>
      <c r="EZ18" s="1813"/>
      <c r="FA18" s="1813"/>
      <c r="FB18" s="1813"/>
      <c r="FC18" s="1813"/>
      <c r="FD18" s="1813"/>
      <c r="FE18" s="1813"/>
      <c r="FF18" s="1813"/>
      <c r="FG18" s="1813"/>
      <c r="FH18" s="1813"/>
      <c r="FI18" s="1813"/>
      <c r="FJ18" s="1813"/>
      <c r="FK18" s="1813"/>
      <c r="FL18" s="1813"/>
      <c r="FM18" s="1813"/>
      <c r="FN18" s="1813"/>
      <c r="FO18" s="1813"/>
      <c r="FP18" s="1813"/>
      <c r="FQ18" s="1813"/>
      <c r="FR18" s="1813"/>
    </row>
    <row r="19" spans="1:174" ht="15">
      <c r="A19" s="4044" t="s">
        <v>614</v>
      </c>
      <c r="B19" s="4045"/>
      <c r="C19" s="4046"/>
      <c r="D19" s="1229"/>
      <c r="E19" s="1229"/>
      <c r="F19" s="1229"/>
      <c r="G19" s="1229"/>
      <c r="H19" s="1229"/>
      <c r="I19" s="1229"/>
      <c r="J19" s="1229"/>
      <c r="K19" s="1229"/>
      <c r="L19" s="1229"/>
      <c r="M19" s="1920"/>
      <c r="N19" s="1229"/>
      <c r="O19" s="1229"/>
      <c r="P19" s="1229"/>
      <c r="Q19" s="1229"/>
      <c r="R19" s="1229"/>
      <c r="S19" s="1229"/>
      <c r="T19" s="1229"/>
      <c r="U19" s="1229"/>
      <c r="V19" s="1229"/>
      <c r="W19" s="1229"/>
      <c r="X19" s="1229"/>
      <c r="Y19" s="1229"/>
      <c r="Z19" s="1229"/>
      <c r="AA19" s="1229"/>
      <c r="AB19" s="1229"/>
      <c r="AC19" s="1229"/>
      <c r="AD19" s="1229"/>
      <c r="AE19" s="1229"/>
      <c r="AF19" s="1229"/>
      <c r="AG19" s="1229"/>
      <c r="AH19" s="1229"/>
      <c r="AJ19" s="3821" t="s">
        <v>614</v>
      </c>
      <c r="AK19" s="3822"/>
      <c r="AL19" s="3823"/>
      <c r="AM19" s="1839"/>
      <c r="AN19" s="1839"/>
      <c r="AO19" s="1839"/>
      <c r="AP19" s="1839"/>
      <c r="AQ19" s="1839"/>
      <c r="AR19" s="1839"/>
      <c r="AS19" s="1839"/>
      <c r="AT19" s="1839"/>
      <c r="AU19" s="1839"/>
      <c r="AV19" s="1840"/>
      <c r="AW19" s="1839"/>
      <c r="AX19" s="1839"/>
      <c r="AY19" s="1839"/>
      <c r="AZ19" s="1839"/>
      <c r="BA19" s="1839"/>
      <c r="BB19" s="1839"/>
      <c r="BC19" s="1839"/>
      <c r="BD19" s="1839"/>
      <c r="BE19" s="1839"/>
      <c r="BF19" s="1839"/>
      <c r="BG19" s="1839"/>
      <c r="BH19" s="1839"/>
      <c r="BI19" s="1839"/>
      <c r="BJ19" s="1839"/>
      <c r="BK19" s="1839"/>
      <c r="BL19" s="1839"/>
      <c r="BM19" s="1839"/>
      <c r="BN19" s="1839"/>
      <c r="BO19" s="1839"/>
      <c r="BP19" s="1839"/>
      <c r="BQ19" s="1839"/>
      <c r="BS19" s="4035" t="s">
        <v>614</v>
      </c>
      <c r="BT19" s="4036"/>
      <c r="BU19" s="4037"/>
      <c r="BV19" s="1831"/>
      <c r="BW19" s="1831"/>
      <c r="BX19" s="1831"/>
      <c r="BY19" s="1831"/>
      <c r="BZ19" s="1831"/>
      <c r="CA19" s="1831"/>
      <c r="CB19" s="1831"/>
      <c r="CC19" s="1831"/>
      <c r="CD19" s="1831"/>
      <c r="CE19" s="1832"/>
      <c r="CF19" s="1831"/>
      <c r="CG19" s="1831"/>
      <c r="CH19" s="1831"/>
      <c r="CI19" s="1831"/>
      <c r="CJ19" s="1831"/>
      <c r="CK19" s="1831"/>
      <c r="CL19" s="1831"/>
      <c r="CM19" s="1831"/>
      <c r="CN19" s="1831"/>
      <c r="CO19" s="1831"/>
      <c r="CP19" s="1831"/>
      <c r="CQ19" s="1831"/>
      <c r="CR19" s="1831"/>
      <c r="CS19" s="1831"/>
      <c r="CT19" s="1831"/>
      <c r="CU19" s="1831"/>
      <c r="CV19" s="1831"/>
      <c r="CW19" s="1831"/>
      <c r="CX19" s="1831"/>
      <c r="CY19" s="1831"/>
      <c r="CZ19" s="1831"/>
      <c r="DB19" s="4038" t="s">
        <v>614</v>
      </c>
      <c r="DC19" s="4039"/>
      <c r="DD19" s="4040"/>
      <c r="DE19" s="1823"/>
      <c r="DF19" s="1823"/>
      <c r="DG19" s="1823"/>
      <c r="DH19" s="1823"/>
      <c r="DI19" s="1823"/>
      <c r="DJ19" s="1823"/>
      <c r="DK19" s="1823"/>
      <c r="DL19" s="1823"/>
      <c r="DM19" s="1823"/>
      <c r="DN19" s="1824"/>
      <c r="DO19" s="1823"/>
      <c r="DP19" s="1823"/>
      <c r="DQ19" s="1823"/>
      <c r="DR19" s="1823"/>
      <c r="DS19" s="1823"/>
      <c r="DT19" s="1823"/>
      <c r="DU19" s="1823"/>
      <c r="DV19" s="1823"/>
      <c r="DW19" s="1823"/>
      <c r="DX19" s="1823"/>
      <c r="DY19" s="1823"/>
      <c r="DZ19" s="1823"/>
      <c r="EA19" s="1823"/>
      <c r="EB19" s="1823"/>
      <c r="EC19" s="1823"/>
      <c r="ED19" s="1823"/>
      <c r="EE19" s="1823"/>
      <c r="EF19" s="1823"/>
      <c r="EG19" s="1823"/>
      <c r="EH19" s="1823"/>
      <c r="EI19" s="1823"/>
      <c r="EK19" s="4041" t="s">
        <v>599</v>
      </c>
      <c r="EL19" s="4042"/>
      <c r="EM19" s="4043"/>
      <c r="EN19" s="1811"/>
      <c r="EO19" s="1811"/>
      <c r="EP19" s="1811"/>
      <c r="EQ19" s="1811"/>
      <c r="ER19" s="1811"/>
      <c r="ES19" s="1811"/>
      <c r="ET19" s="1811"/>
      <c r="EU19" s="1811"/>
      <c r="EV19" s="1811"/>
      <c r="EW19" s="1812"/>
      <c r="EX19" s="1811"/>
      <c r="EY19" s="1811"/>
      <c r="EZ19" s="1811"/>
      <c r="FA19" s="1811"/>
      <c r="FB19" s="1811"/>
      <c r="FC19" s="1811"/>
      <c r="FD19" s="1811"/>
      <c r="FE19" s="1811"/>
      <c r="FF19" s="1811"/>
      <c r="FG19" s="1811"/>
      <c r="FH19" s="1811"/>
      <c r="FI19" s="1811"/>
      <c r="FJ19" s="1811"/>
      <c r="FK19" s="1811"/>
      <c r="FL19" s="1811"/>
      <c r="FM19" s="1811"/>
      <c r="FN19" s="1811"/>
      <c r="FO19" s="1811"/>
      <c r="FP19" s="1811"/>
      <c r="FQ19" s="1811"/>
      <c r="FR19" s="1811"/>
    </row>
    <row r="20" spans="1:174" ht="15">
      <c r="A20" s="1054" t="s">
        <v>70</v>
      </c>
      <c r="B20" s="1054" t="s">
        <v>71</v>
      </c>
      <c r="C20" s="1054">
        <v>1</v>
      </c>
      <c r="D20" s="1054">
        <v>2</v>
      </c>
      <c r="E20" s="1054">
        <v>3</v>
      </c>
      <c r="F20" s="1054">
        <v>4</v>
      </c>
      <c r="G20" s="1054">
        <v>5</v>
      </c>
      <c r="H20" s="1054">
        <v>6</v>
      </c>
      <c r="I20" s="1054">
        <v>7</v>
      </c>
      <c r="J20" s="1054">
        <v>8</v>
      </c>
      <c r="K20" s="1054">
        <v>9</v>
      </c>
      <c r="L20" s="1054">
        <v>10</v>
      </c>
      <c r="M20" s="1054">
        <v>11</v>
      </c>
      <c r="N20" s="1054">
        <v>12</v>
      </c>
      <c r="O20" s="1054">
        <v>13</v>
      </c>
      <c r="P20" s="1054">
        <v>14</v>
      </c>
      <c r="Q20" s="1054">
        <v>15</v>
      </c>
      <c r="R20" s="1054">
        <v>16</v>
      </c>
      <c r="S20" s="1054">
        <v>17</v>
      </c>
      <c r="T20" s="1054">
        <v>18</v>
      </c>
      <c r="U20" s="1054">
        <v>19</v>
      </c>
      <c r="V20" s="1054">
        <v>20</v>
      </c>
      <c r="W20" s="1054">
        <v>21</v>
      </c>
      <c r="X20" s="1054">
        <v>22</v>
      </c>
      <c r="Y20" s="1054">
        <v>23</v>
      </c>
      <c r="Z20" s="1054">
        <v>24</v>
      </c>
      <c r="AA20" s="1054">
        <v>25</v>
      </c>
      <c r="AB20" s="1054">
        <v>26</v>
      </c>
      <c r="AC20" s="1054">
        <v>27</v>
      </c>
      <c r="AD20" s="1054">
        <v>28</v>
      </c>
      <c r="AE20" s="1054">
        <v>29</v>
      </c>
      <c r="AF20" s="1054">
        <v>30</v>
      </c>
      <c r="AG20" s="1054">
        <v>31</v>
      </c>
      <c r="AH20" s="1596" t="s">
        <v>72</v>
      </c>
      <c r="AJ20" s="1524" t="s">
        <v>70</v>
      </c>
      <c r="AK20" s="1524" t="s">
        <v>71</v>
      </c>
      <c r="AL20" s="1524">
        <v>1</v>
      </c>
      <c r="AM20" s="1524">
        <v>2</v>
      </c>
      <c r="AN20" s="1524">
        <v>3</v>
      </c>
      <c r="AO20" s="1524">
        <v>4</v>
      </c>
      <c r="AP20" s="1524">
        <v>5</v>
      </c>
      <c r="AQ20" s="1524">
        <v>6</v>
      </c>
      <c r="AR20" s="1524">
        <v>7</v>
      </c>
      <c r="AS20" s="1524">
        <v>8</v>
      </c>
      <c r="AT20" s="1524">
        <v>9</v>
      </c>
      <c r="AU20" s="1524">
        <v>10</v>
      </c>
      <c r="AV20" s="1524">
        <v>11</v>
      </c>
      <c r="AW20" s="1524">
        <v>12</v>
      </c>
      <c r="AX20" s="1524">
        <v>13</v>
      </c>
      <c r="AY20" s="1524">
        <v>14</v>
      </c>
      <c r="AZ20" s="1524">
        <v>15</v>
      </c>
      <c r="BA20" s="1524">
        <v>16</v>
      </c>
      <c r="BB20" s="1524">
        <v>17</v>
      </c>
      <c r="BC20" s="1524">
        <v>18</v>
      </c>
      <c r="BD20" s="1524">
        <v>19</v>
      </c>
      <c r="BE20" s="1524">
        <v>20</v>
      </c>
      <c r="BF20" s="1524">
        <v>21</v>
      </c>
      <c r="BG20" s="1524">
        <v>22</v>
      </c>
      <c r="BH20" s="1524">
        <v>23</v>
      </c>
      <c r="BI20" s="1524">
        <v>24</v>
      </c>
      <c r="BJ20" s="1524">
        <v>25</v>
      </c>
      <c r="BK20" s="1524">
        <v>26</v>
      </c>
      <c r="BL20" s="1524">
        <v>27</v>
      </c>
      <c r="BM20" s="1524">
        <v>28</v>
      </c>
      <c r="BN20" s="1524">
        <v>29</v>
      </c>
      <c r="BO20" s="1524">
        <v>30</v>
      </c>
      <c r="BP20" s="1524">
        <v>31</v>
      </c>
      <c r="BQ20" s="1838" t="s">
        <v>72</v>
      </c>
      <c r="BS20" s="1621" t="s">
        <v>70</v>
      </c>
      <c r="BT20" s="1621" t="s">
        <v>71</v>
      </c>
      <c r="BU20" s="1621">
        <v>1</v>
      </c>
      <c r="BV20" s="1621">
        <v>2</v>
      </c>
      <c r="BW20" s="1621">
        <v>3</v>
      </c>
      <c r="BX20" s="1621">
        <v>4</v>
      </c>
      <c r="BY20" s="1621">
        <v>5</v>
      </c>
      <c r="BZ20" s="1621">
        <v>6</v>
      </c>
      <c r="CA20" s="1621">
        <v>7</v>
      </c>
      <c r="CB20" s="1621">
        <v>8</v>
      </c>
      <c r="CC20" s="1621">
        <v>9</v>
      </c>
      <c r="CD20" s="1621">
        <v>10</v>
      </c>
      <c r="CE20" s="1621">
        <v>11</v>
      </c>
      <c r="CF20" s="1621">
        <v>12</v>
      </c>
      <c r="CG20" s="1621">
        <v>13</v>
      </c>
      <c r="CH20" s="1621">
        <v>14</v>
      </c>
      <c r="CI20" s="1621">
        <v>15</v>
      </c>
      <c r="CJ20" s="1621">
        <v>16</v>
      </c>
      <c r="CK20" s="1621">
        <v>17</v>
      </c>
      <c r="CL20" s="1621">
        <v>18</v>
      </c>
      <c r="CM20" s="1621">
        <v>19</v>
      </c>
      <c r="CN20" s="1621">
        <v>20</v>
      </c>
      <c r="CO20" s="1621">
        <v>21</v>
      </c>
      <c r="CP20" s="1621">
        <v>22</v>
      </c>
      <c r="CQ20" s="1621">
        <v>23</v>
      </c>
      <c r="CR20" s="1621">
        <v>24</v>
      </c>
      <c r="CS20" s="1621">
        <v>25</v>
      </c>
      <c r="CT20" s="1621">
        <v>26</v>
      </c>
      <c r="CU20" s="1621">
        <v>27</v>
      </c>
      <c r="CV20" s="1621">
        <v>28</v>
      </c>
      <c r="CW20" s="1621">
        <v>29</v>
      </c>
      <c r="CX20" s="1621">
        <v>30</v>
      </c>
      <c r="CY20" s="1621">
        <v>31</v>
      </c>
      <c r="CZ20" s="1830" t="s">
        <v>72</v>
      </c>
      <c r="DB20" s="1719" t="s">
        <v>70</v>
      </c>
      <c r="DC20" s="1719" t="s">
        <v>71</v>
      </c>
      <c r="DD20" s="1719">
        <v>1</v>
      </c>
      <c r="DE20" s="1719">
        <v>2</v>
      </c>
      <c r="DF20" s="1719">
        <v>3</v>
      </c>
      <c r="DG20" s="1719">
        <v>4</v>
      </c>
      <c r="DH20" s="1719">
        <v>5</v>
      </c>
      <c r="DI20" s="1719">
        <v>6</v>
      </c>
      <c r="DJ20" s="1719">
        <v>7</v>
      </c>
      <c r="DK20" s="1719">
        <v>8</v>
      </c>
      <c r="DL20" s="1719">
        <v>9</v>
      </c>
      <c r="DM20" s="1719">
        <v>10</v>
      </c>
      <c r="DN20" s="1719">
        <v>11</v>
      </c>
      <c r="DO20" s="1719">
        <v>12</v>
      </c>
      <c r="DP20" s="1719">
        <v>13</v>
      </c>
      <c r="DQ20" s="1719">
        <v>14</v>
      </c>
      <c r="DR20" s="1719">
        <v>15</v>
      </c>
      <c r="DS20" s="1719">
        <v>16</v>
      </c>
      <c r="DT20" s="1719">
        <v>17</v>
      </c>
      <c r="DU20" s="1719">
        <v>18</v>
      </c>
      <c r="DV20" s="1719">
        <v>19</v>
      </c>
      <c r="DW20" s="1719">
        <v>20</v>
      </c>
      <c r="DX20" s="1719">
        <v>21</v>
      </c>
      <c r="DY20" s="1719">
        <v>22</v>
      </c>
      <c r="DZ20" s="1719">
        <v>23</v>
      </c>
      <c r="EA20" s="1719">
        <v>24</v>
      </c>
      <c r="EB20" s="1719">
        <v>25</v>
      </c>
      <c r="EC20" s="1719">
        <v>26</v>
      </c>
      <c r="ED20" s="1719">
        <v>27</v>
      </c>
      <c r="EE20" s="1719">
        <v>28</v>
      </c>
      <c r="EF20" s="1719">
        <v>29</v>
      </c>
      <c r="EG20" s="1719">
        <v>30</v>
      </c>
      <c r="EH20" s="1719">
        <v>31</v>
      </c>
      <c r="EI20" s="1822" t="s">
        <v>72</v>
      </c>
      <c r="EK20" s="1809" t="s">
        <v>70</v>
      </c>
      <c r="EL20" s="1809" t="s">
        <v>71</v>
      </c>
      <c r="EM20" s="1809">
        <v>1</v>
      </c>
      <c r="EN20" s="1809">
        <v>2</v>
      </c>
      <c r="EO20" s="1809">
        <v>3</v>
      </c>
      <c r="EP20" s="1809">
        <v>4</v>
      </c>
      <c r="EQ20" s="1809">
        <v>5</v>
      </c>
      <c r="ER20" s="1809">
        <v>6</v>
      </c>
      <c r="ES20" s="1809">
        <v>7</v>
      </c>
      <c r="ET20" s="1809">
        <v>8</v>
      </c>
      <c r="EU20" s="1809">
        <v>9</v>
      </c>
      <c r="EV20" s="1809">
        <v>10</v>
      </c>
      <c r="EW20" s="1809">
        <v>11</v>
      </c>
      <c r="EX20" s="1809">
        <v>12</v>
      </c>
      <c r="EY20" s="1809">
        <v>13</v>
      </c>
      <c r="EZ20" s="1809">
        <v>14</v>
      </c>
      <c r="FA20" s="1809">
        <v>15</v>
      </c>
      <c r="FB20" s="1809">
        <v>16</v>
      </c>
      <c r="FC20" s="1809">
        <v>17</v>
      </c>
      <c r="FD20" s="1809">
        <v>18</v>
      </c>
      <c r="FE20" s="1809">
        <v>19</v>
      </c>
      <c r="FF20" s="1809">
        <v>20</v>
      </c>
      <c r="FG20" s="1809">
        <v>21</v>
      </c>
      <c r="FH20" s="1809">
        <v>22</v>
      </c>
      <c r="FI20" s="1809">
        <v>23</v>
      </c>
      <c r="FJ20" s="1809">
        <v>24</v>
      </c>
      <c r="FK20" s="1809">
        <v>25</v>
      </c>
      <c r="FL20" s="1809">
        <v>26</v>
      </c>
      <c r="FM20" s="1809">
        <v>27</v>
      </c>
      <c r="FN20" s="1809">
        <v>28</v>
      </c>
      <c r="FO20" s="1809">
        <v>29</v>
      </c>
      <c r="FP20" s="1809">
        <v>30</v>
      </c>
      <c r="FQ20" s="1809">
        <v>31</v>
      </c>
      <c r="FR20" s="1810" t="s">
        <v>72</v>
      </c>
    </row>
    <row r="21" spans="1:174" ht="15">
      <c r="A21" s="1054" t="s">
        <v>73</v>
      </c>
      <c r="B21" s="1091">
        <f t="shared" ref="B21:B32" si="15">+AH21</f>
        <v>0</v>
      </c>
      <c r="C21" s="1539"/>
      <c r="D21" s="1539"/>
      <c r="E21" s="1539"/>
      <c r="F21" s="1539"/>
      <c r="G21" s="1539"/>
      <c r="H21" s="1539"/>
      <c r="I21" s="1539"/>
      <c r="J21" s="1539"/>
      <c r="K21" s="1539"/>
      <c r="L21" s="1539"/>
      <c r="M21" s="1539"/>
      <c r="N21" s="1539"/>
      <c r="O21" s="1539"/>
      <c r="P21" s="1539"/>
      <c r="Q21" s="1539"/>
      <c r="R21" s="1539"/>
      <c r="S21" s="1539"/>
      <c r="T21" s="1539"/>
      <c r="U21" s="1539"/>
      <c r="V21" s="1539"/>
      <c r="W21" s="1539"/>
      <c r="X21" s="1539"/>
      <c r="Y21" s="1539"/>
      <c r="Z21" s="1539"/>
      <c r="AA21" s="1539"/>
      <c r="AB21" s="1539"/>
      <c r="AC21" s="1539"/>
      <c r="AD21" s="1539"/>
      <c r="AE21" s="1539"/>
      <c r="AF21" s="1539"/>
      <c r="AG21" s="1539"/>
      <c r="AH21" s="1268">
        <f t="shared" ref="AH21:AH32" si="16">SUM(C21:AG21)</f>
        <v>0</v>
      </c>
      <c r="AJ21" s="1524" t="s">
        <v>73</v>
      </c>
      <c r="AK21" s="1527">
        <f t="shared" ref="AK21:AK32" si="17">+BQ21</f>
        <v>0</v>
      </c>
      <c r="AL21" s="1872"/>
      <c r="AM21" s="1872"/>
      <c r="AN21" s="1872"/>
      <c r="AO21" s="1872"/>
      <c r="AP21" s="1872"/>
      <c r="AQ21" s="1872"/>
      <c r="AR21" s="1872"/>
      <c r="AS21" s="1872"/>
      <c r="AT21" s="1872"/>
      <c r="AU21" s="1872"/>
      <c r="AV21" s="1872"/>
      <c r="AW21" s="1872"/>
      <c r="AX21" s="1835"/>
      <c r="AY21" s="1835"/>
      <c r="AZ21" s="1835"/>
      <c r="BA21" s="1835"/>
      <c r="BB21" s="1835"/>
      <c r="BC21" s="1835"/>
      <c r="BD21" s="1835"/>
      <c r="BE21" s="1835"/>
      <c r="BF21" s="1835"/>
      <c r="BG21" s="1835"/>
      <c r="BH21" s="1835"/>
      <c r="BI21" s="1835"/>
      <c r="BJ21" s="1835"/>
      <c r="BK21" s="1835"/>
      <c r="BL21" s="1835"/>
      <c r="BM21" s="1835"/>
      <c r="BN21" s="1835"/>
      <c r="BO21" s="1835"/>
      <c r="BP21" s="1835"/>
      <c r="BQ21" s="1834">
        <f t="shared" ref="BQ21:BQ32" si="18">SUM(AL21:BP21)</f>
        <v>0</v>
      </c>
      <c r="BS21" s="1621" t="s">
        <v>73</v>
      </c>
      <c r="BT21" s="1622">
        <f t="shared" ref="BT21:BT32" si="19">+CZ21</f>
        <v>0</v>
      </c>
      <c r="BU21" s="1871"/>
      <c r="BV21" s="1871"/>
      <c r="BW21" s="1871"/>
      <c r="BX21" s="1871"/>
      <c r="BY21" s="1871"/>
      <c r="BZ21" s="1871"/>
      <c r="CA21" s="1871"/>
      <c r="CB21" s="1871"/>
      <c r="CC21" s="1871"/>
      <c r="CD21" s="1871"/>
      <c r="CE21" s="1871"/>
      <c r="CF21" s="1871"/>
      <c r="CG21" s="1827"/>
      <c r="CH21" s="1827"/>
      <c r="CI21" s="1827"/>
      <c r="CJ21" s="1827"/>
      <c r="CK21" s="1827"/>
      <c r="CL21" s="1827"/>
      <c r="CM21" s="1827"/>
      <c r="CN21" s="1827"/>
      <c r="CO21" s="1827"/>
      <c r="CP21" s="1827"/>
      <c r="CQ21" s="1827"/>
      <c r="CR21" s="1827"/>
      <c r="CS21" s="1827"/>
      <c r="CT21" s="1827"/>
      <c r="CU21" s="1827"/>
      <c r="CV21" s="1827"/>
      <c r="CW21" s="1827"/>
      <c r="CX21" s="1827"/>
      <c r="CY21" s="1827"/>
      <c r="CZ21" s="1826">
        <f t="shared" ref="CZ21:CZ32" si="20">SUM(BU21:CY21)</f>
        <v>0</v>
      </c>
      <c r="DB21" s="1719" t="s">
        <v>73</v>
      </c>
      <c r="DC21" s="1821">
        <f t="shared" ref="DC21:DC32" si="21">+EI21</f>
        <v>0</v>
      </c>
      <c r="DD21" s="1818"/>
      <c r="DE21" s="1818"/>
      <c r="DF21" s="1818"/>
      <c r="DG21" s="1818"/>
      <c r="DH21" s="1818"/>
      <c r="DI21" s="1818"/>
      <c r="DJ21" s="1818"/>
      <c r="DK21" s="1818"/>
      <c r="DL21" s="1818"/>
      <c r="DM21" s="1818"/>
      <c r="DN21" s="1818"/>
      <c r="DO21" s="1818"/>
      <c r="DP21" s="1818"/>
      <c r="DQ21" s="1818"/>
      <c r="DR21" s="1818"/>
      <c r="DS21" s="1818"/>
      <c r="DT21" s="1818"/>
      <c r="DU21" s="1818"/>
      <c r="DV21" s="1818"/>
      <c r="DW21" s="1818"/>
      <c r="DX21" s="1818"/>
      <c r="DY21" s="1818"/>
      <c r="DZ21" s="1818"/>
      <c r="EA21" s="1818"/>
      <c r="EB21" s="1818"/>
      <c r="EC21" s="1818"/>
      <c r="ED21" s="1818"/>
      <c r="EE21" s="1818"/>
      <c r="EF21" s="1818"/>
      <c r="EG21" s="1818"/>
      <c r="EH21" s="1818"/>
      <c r="EI21" s="1817">
        <f t="shared" ref="EI21:EI32" si="22">SUM(DD21:EH21)</f>
        <v>0</v>
      </c>
      <c r="EK21" s="1809" t="s">
        <v>73</v>
      </c>
      <c r="EL21" s="1808">
        <f t="shared" ref="EL21:EL32" si="23">+FR21</f>
        <v>0.25</v>
      </c>
      <c r="EM21" s="1805">
        <f t="shared" ref="EM21:FQ21" si="24">+EM5</f>
        <v>0</v>
      </c>
      <c r="EN21" s="1805">
        <f t="shared" si="24"/>
        <v>0</v>
      </c>
      <c r="EO21" s="1805">
        <f t="shared" si="24"/>
        <v>0</v>
      </c>
      <c r="EP21" s="1805">
        <f t="shared" si="24"/>
        <v>0</v>
      </c>
      <c r="EQ21" s="1805">
        <f t="shared" si="24"/>
        <v>0</v>
      </c>
      <c r="ER21" s="1805">
        <f t="shared" si="24"/>
        <v>0</v>
      </c>
      <c r="ES21" s="1805">
        <f t="shared" si="24"/>
        <v>0</v>
      </c>
      <c r="ET21" s="1805">
        <f t="shared" si="24"/>
        <v>0</v>
      </c>
      <c r="EU21" s="1805">
        <f t="shared" si="24"/>
        <v>0</v>
      </c>
      <c r="EV21" s="1805">
        <f t="shared" si="24"/>
        <v>0</v>
      </c>
      <c r="EW21" s="1805">
        <f t="shared" si="24"/>
        <v>0</v>
      </c>
      <c r="EX21" s="1805">
        <f t="shared" si="24"/>
        <v>0</v>
      </c>
      <c r="EY21" s="1805">
        <f t="shared" si="24"/>
        <v>0</v>
      </c>
      <c r="EZ21" s="1805">
        <f t="shared" si="24"/>
        <v>0</v>
      </c>
      <c r="FA21" s="1805">
        <f t="shared" si="24"/>
        <v>0</v>
      </c>
      <c r="FB21" s="1805">
        <f t="shared" si="24"/>
        <v>0</v>
      </c>
      <c r="FC21" s="1805">
        <f t="shared" si="24"/>
        <v>0</v>
      </c>
      <c r="FD21" s="1805">
        <f t="shared" si="24"/>
        <v>0</v>
      </c>
      <c r="FE21" s="1805">
        <f t="shared" si="24"/>
        <v>0</v>
      </c>
      <c r="FF21" s="1805">
        <f t="shared" si="24"/>
        <v>0</v>
      </c>
      <c r="FG21" s="1805">
        <f t="shared" si="24"/>
        <v>0</v>
      </c>
      <c r="FH21" s="1805">
        <f t="shared" si="24"/>
        <v>0</v>
      </c>
      <c r="FI21" s="1805">
        <f t="shared" si="24"/>
        <v>0</v>
      </c>
      <c r="FJ21" s="1805">
        <f t="shared" si="24"/>
        <v>0</v>
      </c>
      <c r="FK21" s="1805">
        <f t="shared" si="24"/>
        <v>0</v>
      </c>
      <c r="FL21" s="1805">
        <f t="shared" si="24"/>
        <v>0</v>
      </c>
      <c r="FM21" s="1805">
        <f t="shared" si="24"/>
        <v>0</v>
      </c>
      <c r="FN21" s="1805">
        <f t="shared" si="24"/>
        <v>0</v>
      </c>
      <c r="FO21" s="1805">
        <f t="shared" si="24"/>
        <v>0</v>
      </c>
      <c r="FP21" s="1805">
        <f t="shared" si="24"/>
        <v>0</v>
      </c>
      <c r="FQ21" s="1805">
        <f t="shared" si="24"/>
        <v>0.25</v>
      </c>
      <c r="FR21" s="1804">
        <f t="shared" ref="FR21:FR32" si="25">SUM(EM21:FQ21)</f>
        <v>0.25</v>
      </c>
    </row>
    <row r="22" spans="1:174" ht="15">
      <c r="A22" s="1054" t="s">
        <v>74</v>
      </c>
      <c r="B22" s="1091">
        <f t="shared" si="15"/>
        <v>0</v>
      </c>
      <c r="C22" s="1539"/>
      <c r="D22" s="1540"/>
      <c r="E22" s="1540"/>
      <c r="F22" s="1540"/>
      <c r="G22" s="1540"/>
      <c r="H22" s="1540"/>
      <c r="I22" s="1540"/>
      <c r="J22" s="1540"/>
      <c r="K22" s="1540"/>
      <c r="L22" s="1540"/>
      <c r="M22" s="1540"/>
      <c r="N22" s="1540"/>
      <c r="O22" s="1540"/>
      <c r="P22" s="1540"/>
      <c r="Q22" s="1540"/>
      <c r="R22" s="1540"/>
      <c r="S22" s="1540"/>
      <c r="T22" s="1540"/>
      <c r="U22" s="1540"/>
      <c r="V22" s="1540"/>
      <c r="W22" s="1540"/>
      <c r="X22" s="1540"/>
      <c r="Y22" s="1539"/>
      <c r="Z22" s="1539"/>
      <c r="AA22" s="1539"/>
      <c r="AB22" s="1539"/>
      <c r="AC22" s="1539"/>
      <c r="AD22" s="1539"/>
      <c r="AE22" s="1539"/>
      <c r="AF22" s="1539"/>
      <c r="AG22" s="1539"/>
      <c r="AH22" s="1268">
        <f t="shared" si="16"/>
        <v>0</v>
      </c>
      <c r="AJ22" s="1524" t="s">
        <v>74</v>
      </c>
      <c r="AK22" s="1527">
        <f t="shared" si="17"/>
        <v>0</v>
      </c>
      <c r="AL22" s="1872"/>
      <c r="AM22" s="1872"/>
      <c r="AN22" s="1872"/>
      <c r="AO22" s="1872"/>
      <c r="AP22" s="1872"/>
      <c r="AQ22" s="1872"/>
      <c r="AR22" s="1872"/>
      <c r="AS22" s="1872"/>
      <c r="AT22" s="1872"/>
      <c r="AU22" s="1872"/>
      <c r="AV22" s="1872"/>
      <c r="AW22" s="1872"/>
      <c r="AX22" s="1889"/>
      <c r="AY22" s="1889"/>
      <c r="AZ22" s="1889"/>
      <c r="BA22" s="1889"/>
      <c r="BB22" s="1889"/>
      <c r="BC22" s="1889"/>
      <c r="BD22" s="1889"/>
      <c r="BE22" s="1889"/>
      <c r="BF22" s="1889"/>
      <c r="BG22" s="1889"/>
      <c r="BH22" s="1835"/>
      <c r="BI22" s="1835"/>
      <c r="BJ22" s="1835"/>
      <c r="BK22" s="1835"/>
      <c r="BL22" s="1835"/>
      <c r="BM22" s="1835"/>
      <c r="BN22" s="1835"/>
      <c r="BO22" s="1835"/>
      <c r="BP22" s="1835"/>
      <c r="BQ22" s="1834">
        <f t="shared" si="18"/>
        <v>0</v>
      </c>
      <c r="BS22" s="1621" t="s">
        <v>74</v>
      </c>
      <c r="BT22" s="1622">
        <f t="shared" si="19"/>
        <v>0</v>
      </c>
      <c r="BU22" s="1871"/>
      <c r="BV22" s="1871"/>
      <c r="BW22" s="1871"/>
      <c r="BX22" s="1871"/>
      <c r="BY22" s="1871"/>
      <c r="BZ22" s="1871"/>
      <c r="CA22" s="1871"/>
      <c r="CB22" s="1871"/>
      <c r="CC22" s="1871"/>
      <c r="CD22" s="1871"/>
      <c r="CE22" s="1871"/>
      <c r="CF22" s="1871"/>
      <c r="CG22" s="1870"/>
      <c r="CH22" s="1870"/>
      <c r="CI22" s="1870"/>
      <c r="CJ22" s="1870"/>
      <c r="CK22" s="1870"/>
      <c r="CL22" s="1870"/>
      <c r="CM22" s="1870"/>
      <c r="CN22" s="1870"/>
      <c r="CO22" s="1870"/>
      <c r="CP22" s="1870"/>
      <c r="CQ22" s="1827"/>
      <c r="CR22" s="1827"/>
      <c r="CS22" s="1827"/>
      <c r="CT22" s="1827"/>
      <c r="CU22" s="1827"/>
      <c r="CV22" s="1827"/>
      <c r="CW22" s="1827"/>
      <c r="CX22" s="1827"/>
      <c r="CY22" s="1827"/>
      <c r="CZ22" s="1826">
        <f t="shared" si="20"/>
        <v>0</v>
      </c>
      <c r="DB22" s="1719" t="s">
        <v>74</v>
      </c>
      <c r="DC22" s="1821">
        <f t="shared" si="21"/>
        <v>0</v>
      </c>
      <c r="DD22" s="1818"/>
      <c r="DE22" s="1869"/>
      <c r="DF22" s="1869"/>
      <c r="DG22" s="1869"/>
      <c r="DH22" s="1869"/>
      <c r="DI22" s="1869"/>
      <c r="DJ22" s="1869"/>
      <c r="DK22" s="1869"/>
      <c r="DL22" s="1869"/>
      <c r="DM22" s="1869"/>
      <c r="DN22" s="1869"/>
      <c r="DO22" s="1869"/>
      <c r="DP22" s="1869"/>
      <c r="DQ22" s="1869"/>
      <c r="DR22" s="1869"/>
      <c r="DS22" s="1869"/>
      <c r="DT22" s="1869"/>
      <c r="DU22" s="1869"/>
      <c r="DV22" s="1869"/>
      <c r="DW22" s="1869"/>
      <c r="DX22" s="1869"/>
      <c r="DY22" s="1869"/>
      <c r="DZ22" s="1818"/>
      <c r="EA22" s="1818"/>
      <c r="EB22" s="1818"/>
      <c r="EC22" s="1818"/>
      <c r="ED22" s="1818"/>
      <c r="EE22" s="1818"/>
      <c r="EF22" s="1818"/>
      <c r="EG22" s="1818"/>
      <c r="EH22" s="1818"/>
      <c r="EI22" s="1817">
        <f t="shared" si="22"/>
        <v>0</v>
      </c>
      <c r="EK22" s="1809" t="s">
        <v>74</v>
      </c>
      <c r="EL22" s="1808">
        <f t="shared" si="23"/>
        <v>0</v>
      </c>
      <c r="EM22" s="1805">
        <f t="shared" ref="EM22:FQ22" si="26">+EM6</f>
        <v>0</v>
      </c>
      <c r="EN22" s="1805">
        <f t="shared" si="26"/>
        <v>0</v>
      </c>
      <c r="EO22" s="1805">
        <f t="shared" si="26"/>
        <v>0</v>
      </c>
      <c r="EP22" s="1805">
        <f t="shared" si="26"/>
        <v>0</v>
      </c>
      <c r="EQ22" s="1805">
        <f t="shared" si="26"/>
        <v>0</v>
      </c>
      <c r="ER22" s="1805">
        <f t="shared" si="26"/>
        <v>0</v>
      </c>
      <c r="ES22" s="1805">
        <f t="shared" si="26"/>
        <v>0</v>
      </c>
      <c r="ET22" s="1805">
        <f t="shared" si="26"/>
        <v>0</v>
      </c>
      <c r="EU22" s="1805">
        <f t="shared" si="26"/>
        <v>0</v>
      </c>
      <c r="EV22" s="1805">
        <f t="shared" si="26"/>
        <v>0</v>
      </c>
      <c r="EW22" s="1805">
        <f t="shared" si="26"/>
        <v>0</v>
      </c>
      <c r="EX22" s="1805">
        <f t="shared" si="26"/>
        <v>0</v>
      </c>
      <c r="EY22" s="1805">
        <f t="shared" si="26"/>
        <v>0</v>
      </c>
      <c r="EZ22" s="1805">
        <f t="shared" si="26"/>
        <v>0</v>
      </c>
      <c r="FA22" s="1805">
        <f t="shared" si="26"/>
        <v>0</v>
      </c>
      <c r="FB22" s="1805">
        <f t="shared" si="26"/>
        <v>0</v>
      </c>
      <c r="FC22" s="1805">
        <f t="shared" si="26"/>
        <v>0</v>
      </c>
      <c r="FD22" s="1805">
        <f t="shared" si="26"/>
        <v>0</v>
      </c>
      <c r="FE22" s="1805">
        <f t="shared" si="26"/>
        <v>0</v>
      </c>
      <c r="FF22" s="1805">
        <f t="shared" si="26"/>
        <v>0</v>
      </c>
      <c r="FG22" s="1805">
        <f t="shared" si="26"/>
        <v>0</v>
      </c>
      <c r="FH22" s="1805">
        <f t="shared" si="26"/>
        <v>0</v>
      </c>
      <c r="FI22" s="1805">
        <f t="shared" si="26"/>
        <v>0</v>
      </c>
      <c r="FJ22" s="1805">
        <f t="shared" si="26"/>
        <v>0</v>
      </c>
      <c r="FK22" s="1805">
        <f t="shared" si="26"/>
        <v>0</v>
      </c>
      <c r="FL22" s="1805">
        <f t="shared" si="26"/>
        <v>0</v>
      </c>
      <c r="FM22" s="1805">
        <f t="shared" si="26"/>
        <v>0</v>
      </c>
      <c r="FN22" s="1805">
        <f t="shared" si="26"/>
        <v>0</v>
      </c>
      <c r="FO22" s="1805">
        <f t="shared" si="26"/>
        <v>0</v>
      </c>
      <c r="FP22" s="1805">
        <f t="shared" si="26"/>
        <v>0</v>
      </c>
      <c r="FQ22" s="1805">
        <f t="shared" si="26"/>
        <v>0</v>
      </c>
      <c r="FR22" s="1804">
        <f t="shared" si="25"/>
        <v>0</v>
      </c>
    </row>
    <row r="23" spans="1:174" ht="15">
      <c r="A23" s="1054" t="s">
        <v>75</v>
      </c>
      <c r="B23" s="1091">
        <f t="shared" si="15"/>
        <v>0</v>
      </c>
      <c r="C23" s="1925"/>
      <c r="D23" s="1925"/>
      <c r="E23" s="1936"/>
      <c r="F23" s="1935"/>
      <c r="G23" s="1934"/>
      <c r="H23" s="1926"/>
      <c r="I23" s="1926"/>
      <c r="J23" s="1925"/>
      <c r="K23" s="1925"/>
      <c r="L23" s="1925"/>
      <c r="M23" s="1925"/>
      <c r="N23" s="1925"/>
      <c r="O23" s="1925"/>
      <c r="P23" s="1926"/>
      <c r="Q23" s="1926"/>
      <c r="R23" s="1926"/>
      <c r="S23" s="1926"/>
      <c r="T23" s="1926"/>
      <c r="U23" s="1926"/>
      <c r="V23" s="1926"/>
      <c r="W23" s="1926"/>
      <c r="X23" s="1926"/>
      <c r="Y23" s="1926"/>
      <c r="Z23" s="1926"/>
      <c r="AA23" s="1926"/>
      <c r="AB23" s="1926"/>
      <c r="AC23" s="1926"/>
      <c r="AD23" s="1926"/>
      <c r="AE23" s="1933"/>
      <c r="AF23" s="1925"/>
      <c r="AG23" s="1925"/>
      <c r="AH23" s="1268">
        <f t="shared" si="16"/>
        <v>0</v>
      </c>
      <c r="AJ23" s="1524" t="s">
        <v>75</v>
      </c>
      <c r="AK23" s="1527">
        <f t="shared" si="17"/>
        <v>0</v>
      </c>
      <c r="AL23" s="1872"/>
      <c r="AM23" s="1872"/>
      <c r="AN23" s="1872"/>
      <c r="AO23" s="1872"/>
      <c r="AP23" s="1872"/>
      <c r="AQ23" s="1872"/>
      <c r="AR23" s="1872"/>
      <c r="AS23" s="1872"/>
      <c r="AT23" s="1872"/>
      <c r="AU23" s="1872"/>
      <c r="AV23" s="1872"/>
      <c r="AW23" s="1872"/>
      <c r="AX23" s="1878"/>
      <c r="AY23" s="1879"/>
      <c r="AZ23" s="1879"/>
      <c r="BA23" s="1879"/>
      <c r="BB23" s="1879"/>
      <c r="BC23" s="1879"/>
      <c r="BD23" s="1879"/>
      <c r="BE23" s="1879"/>
      <c r="BF23" s="1879"/>
      <c r="BG23" s="1879"/>
      <c r="BH23" s="1879"/>
      <c r="BI23" s="1879"/>
      <c r="BJ23" s="1879"/>
      <c r="BK23" s="1879"/>
      <c r="BL23" s="1879"/>
      <c r="BM23" s="1879"/>
      <c r="BN23" s="1932"/>
      <c r="BO23" s="1878"/>
      <c r="BP23" s="1878"/>
      <c r="BQ23" s="1834">
        <f t="shared" si="18"/>
        <v>0</v>
      </c>
      <c r="BS23" s="1621" t="s">
        <v>75</v>
      </c>
      <c r="BT23" s="1622">
        <f t="shared" si="19"/>
        <v>0</v>
      </c>
      <c r="BU23" s="1871"/>
      <c r="BV23" s="1871"/>
      <c r="BW23" s="1871"/>
      <c r="BX23" s="1871"/>
      <c r="BY23" s="1871"/>
      <c r="BZ23" s="1871"/>
      <c r="CA23" s="1871"/>
      <c r="CB23" s="1871"/>
      <c r="CC23" s="1871"/>
      <c r="CD23" s="1871"/>
      <c r="CE23" s="1871"/>
      <c r="CF23" s="1871"/>
      <c r="CG23" s="1862"/>
      <c r="CH23" s="1863"/>
      <c r="CI23" s="1863"/>
      <c r="CJ23" s="1863"/>
      <c r="CK23" s="1863"/>
      <c r="CL23" s="1863"/>
      <c r="CM23" s="1863"/>
      <c r="CN23" s="1863"/>
      <c r="CO23" s="1863"/>
      <c r="CP23" s="1863"/>
      <c r="CQ23" s="1863"/>
      <c r="CR23" s="1863"/>
      <c r="CS23" s="1863"/>
      <c r="CT23" s="1863"/>
      <c r="CU23" s="1863"/>
      <c r="CV23" s="1863"/>
      <c r="CW23" s="1868"/>
      <c r="CX23" s="1862"/>
      <c r="CY23" s="1862"/>
      <c r="CZ23" s="1826">
        <f t="shared" si="20"/>
        <v>0</v>
      </c>
      <c r="DB23" s="1719" t="s">
        <v>75</v>
      </c>
      <c r="DC23" s="1821">
        <f t="shared" si="21"/>
        <v>0</v>
      </c>
      <c r="DD23" s="1854"/>
      <c r="DE23" s="1854"/>
      <c r="DF23" s="1867"/>
      <c r="DG23" s="1866"/>
      <c r="DH23" s="1865"/>
      <c r="DI23" s="1855"/>
      <c r="DJ23" s="1855"/>
      <c r="DK23" s="1854"/>
      <c r="DL23" s="1854"/>
      <c r="DM23" s="1854"/>
      <c r="DN23" s="1854"/>
      <c r="DO23" s="1854"/>
      <c r="DP23" s="1854"/>
      <c r="DQ23" s="1855"/>
      <c r="DR23" s="1855"/>
      <c r="DS23" s="1855"/>
      <c r="DT23" s="1855"/>
      <c r="DU23" s="1855"/>
      <c r="DV23" s="1855"/>
      <c r="DW23" s="1855"/>
      <c r="DX23" s="1855"/>
      <c r="DY23" s="1855"/>
      <c r="DZ23" s="1855"/>
      <c r="EA23" s="1855"/>
      <c r="EB23" s="1855"/>
      <c r="EC23" s="1855"/>
      <c r="ED23" s="1855"/>
      <c r="EE23" s="1855"/>
      <c r="EF23" s="1864"/>
      <c r="EG23" s="1854"/>
      <c r="EH23" s="1854"/>
      <c r="EI23" s="1817">
        <f t="shared" si="22"/>
        <v>0</v>
      </c>
      <c r="EK23" s="1809" t="s">
        <v>75</v>
      </c>
      <c r="EL23" s="1808">
        <f t="shared" si="23"/>
        <v>0</v>
      </c>
      <c r="EM23" s="1805">
        <f t="shared" ref="EM23:FQ23" si="27">+EM7</f>
        <v>0</v>
      </c>
      <c r="EN23" s="1805">
        <f t="shared" si="27"/>
        <v>0</v>
      </c>
      <c r="EO23" s="1805">
        <f t="shared" si="27"/>
        <v>0</v>
      </c>
      <c r="EP23" s="1805">
        <f t="shared" si="27"/>
        <v>0</v>
      </c>
      <c r="EQ23" s="1805">
        <f t="shared" si="27"/>
        <v>0</v>
      </c>
      <c r="ER23" s="1805">
        <f t="shared" si="27"/>
        <v>0</v>
      </c>
      <c r="ES23" s="1805">
        <f t="shared" si="27"/>
        <v>0</v>
      </c>
      <c r="ET23" s="1805">
        <f t="shared" si="27"/>
        <v>0</v>
      </c>
      <c r="EU23" s="1805">
        <f t="shared" si="27"/>
        <v>0</v>
      </c>
      <c r="EV23" s="1805">
        <f t="shared" si="27"/>
        <v>0</v>
      </c>
      <c r="EW23" s="1805">
        <f t="shared" si="27"/>
        <v>0</v>
      </c>
      <c r="EX23" s="1805">
        <f t="shared" si="27"/>
        <v>0</v>
      </c>
      <c r="EY23" s="1805">
        <f t="shared" si="27"/>
        <v>0</v>
      </c>
      <c r="EZ23" s="1805">
        <f t="shared" si="27"/>
        <v>0</v>
      </c>
      <c r="FA23" s="1805">
        <f t="shared" si="27"/>
        <v>0</v>
      </c>
      <c r="FB23" s="1805">
        <f t="shared" si="27"/>
        <v>0</v>
      </c>
      <c r="FC23" s="1805">
        <f t="shared" si="27"/>
        <v>0</v>
      </c>
      <c r="FD23" s="1805">
        <f t="shared" si="27"/>
        <v>0</v>
      </c>
      <c r="FE23" s="1805">
        <f t="shared" si="27"/>
        <v>0</v>
      </c>
      <c r="FF23" s="1805">
        <f t="shared" si="27"/>
        <v>0</v>
      </c>
      <c r="FG23" s="1805">
        <f t="shared" si="27"/>
        <v>0</v>
      </c>
      <c r="FH23" s="1805">
        <f t="shared" si="27"/>
        <v>0</v>
      </c>
      <c r="FI23" s="1805">
        <f t="shared" si="27"/>
        <v>0</v>
      </c>
      <c r="FJ23" s="1805">
        <f t="shared" si="27"/>
        <v>0</v>
      </c>
      <c r="FK23" s="1805">
        <f t="shared" si="27"/>
        <v>0</v>
      </c>
      <c r="FL23" s="1805">
        <f t="shared" si="27"/>
        <v>0</v>
      </c>
      <c r="FM23" s="1805">
        <f t="shared" si="27"/>
        <v>0</v>
      </c>
      <c r="FN23" s="1805">
        <f t="shared" si="27"/>
        <v>0</v>
      </c>
      <c r="FO23" s="1805">
        <f t="shared" si="27"/>
        <v>0</v>
      </c>
      <c r="FP23" s="1805">
        <f t="shared" si="27"/>
        <v>0</v>
      </c>
      <c r="FQ23" s="1805">
        <f t="shared" si="27"/>
        <v>0</v>
      </c>
      <c r="FR23" s="1804">
        <f t="shared" si="25"/>
        <v>0</v>
      </c>
    </row>
    <row r="24" spans="1:174" ht="15">
      <c r="A24" s="1054" t="s">
        <v>76</v>
      </c>
      <c r="B24" s="1091">
        <f t="shared" si="15"/>
        <v>0</v>
      </c>
      <c r="C24" s="1931"/>
      <c r="D24" s="1190"/>
      <c r="E24" s="1930"/>
      <c r="F24" s="1929"/>
      <c r="G24" s="1928"/>
      <c r="H24" s="1927"/>
      <c r="I24" s="1926"/>
      <c r="J24" s="1926"/>
      <c r="K24" s="1926"/>
      <c r="L24" s="1926"/>
      <c r="M24" s="1925"/>
      <c r="N24" s="1925"/>
      <c r="O24" s="1925"/>
      <c r="P24" s="1925"/>
      <c r="Q24" s="1926"/>
      <c r="R24" s="1926"/>
      <c r="S24" s="1926"/>
      <c r="T24" s="1926"/>
      <c r="U24" s="1925"/>
      <c r="V24" s="1926"/>
      <c r="W24" s="1926"/>
      <c r="X24" s="1926"/>
      <c r="Y24" s="1926"/>
      <c r="Z24" s="1926"/>
      <c r="AA24" s="1926"/>
      <c r="AB24" s="1926"/>
      <c r="AC24" s="1925"/>
      <c r="AD24" s="1926"/>
      <c r="AE24" s="1926"/>
      <c r="AF24" s="1925"/>
      <c r="AG24" s="1925"/>
      <c r="AH24" s="1268">
        <f t="shared" si="16"/>
        <v>0</v>
      </c>
      <c r="AJ24" s="1524" t="s">
        <v>76</v>
      </c>
      <c r="AK24" s="1527">
        <f t="shared" si="17"/>
        <v>0</v>
      </c>
      <c r="AL24" s="1877"/>
      <c r="AM24" s="1877"/>
      <c r="AN24" s="1877"/>
      <c r="AO24" s="1877"/>
      <c r="AP24" s="1877"/>
      <c r="AQ24" s="1877"/>
      <c r="AR24" s="1877"/>
      <c r="AS24" s="1877"/>
      <c r="AT24" s="1877"/>
      <c r="AU24" s="1877"/>
      <c r="AV24" s="1872"/>
      <c r="AW24" s="1872"/>
      <c r="AX24" s="1878"/>
      <c r="AY24" s="1878"/>
      <c r="AZ24" s="1879"/>
      <c r="BA24" s="1879"/>
      <c r="BB24" s="1879"/>
      <c r="BC24" s="1879"/>
      <c r="BD24" s="1878"/>
      <c r="BE24" s="1879"/>
      <c r="BF24" s="1879"/>
      <c r="BG24" s="1879"/>
      <c r="BH24" s="1879"/>
      <c r="BI24" s="1879"/>
      <c r="BJ24" s="1879"/>
      <c r="BK24" s="1879"/>
      <c r="BL24" s="1878"/>
      <c r="BM24" s="1879"/>
      <c r="BN24" s="1879"/>
      <c r="BO24" s="1878"/>
      <c r="BP24" s="1878"/>
      <c r="BQ24" s="1834">
        <f t="shared" si="18"/>
        <v>0</v>
      </c>
      <c r="BS24" s="1621" t="s">
        <v>76</v>
      </c>
      <c r="BT24" s="1622">
        <f t="shared" si="19"/>
        <v>0</v>
      </c>
      <c r="BU24" s="1876"/>
      <c r="BV24" s="1876"/>
      <c r="BW24" s="1876"/>
      <c r="BX24" s="1876"/>
      <c r="BY24" s="1876"/>
      <c r="BZ24" s="1876"/>
      <c r="CA24" s="1876"/>
      <c r="CB24" s="1876"/>
      <c r="CC24" s="1876"/>
      <c r="CD24" s="1876"/>
      <c r="CE24" s="1871"/>
      <c r="CF24" s="1871"/>
      <c r="CG24" s="1862"/>
      <c r="CH24" s="1862"/>
      <c r="CI24" s="1863"/>
      <c r="CJ24" s="1863"/>
      <c r="CK24" s="1863"/>
      <c r="CL24" s="1863"/>
      <c r="CM24" s="1862"/>
      <c r="CN24" s="1863"/>
      <c r="CO24" s="1863"/>
      <c r="CP24" s="1863"/>
      <c r="CQ24" s="1863"/>
      <c r="CR24" s="1863"/>
      <c r="CS24" s="1863"/>
      <c r="CT24" s="1863"/>
      <c r="CU24" s="1862"/>
      <c r="CV24" s="1863"/>
      <c r="CW24" s="1863"/>
      <c r="CX24" s="1862"/>
      <c r="CY24" s="1862"/>
      <c r="CZ24" s="1826">
        <f t="shared" si="20"/>
        <v>0</v>
      </c>
      <c r="DB24" s="1719" t="s">
        <v>76</v>
      </c>
      <c r="DC24" s="1821">
        <f t="shared" si="21"/>
        <v>0</v>
      </c>
      <c r="DD24" s="1861"/>
      <c r="DE24" s="1860"/>
      <c r="DF24" s="1859"/>
      <c r="DG24" s="1858"/>
      <c r="DH24" s="1857"/>
      <c r="DI24" s="1856"/>
      <c r="DJ24" s="1855"/>
      <c r="DK24" s="1855"/>
      <c r="DL24" s="1855"/>
      <c r="DM24" s="1855"/>
      <c r="DN24" s="1854"/>
      <c r="DO24" s="1854"/>
      <c r="DP24" s="1854"/>
      <c r="DQ24" s="1854"/>
      <c r="DR24" s="1855"/>
      <c r="DS24" s="1855"/>
      <c r="DT24" s="1855"/>
      <c r="DU24" s="1855"/>
      <c r="DV24" s="1854"/>
      <c r="DW24" s="1855"/>
      <c r="DX24" s="1855"/>
      <c r="DY24" s="1855"/>
      <c r="DZ24" s="1855"/>
      <c r="EA24" s="1855"/>
      <c r="EB24" s="1855"/>
      <c r="EC24" s="1855"/>
      <c r="ED24" s="1854"/>
      <c r="EE24" s="1855"/>
      <c r="EF24" s="1855"/>
      <c r="EG24" s="1854"/>
      <c r="EH24" s="1854"/>
      <c r="EI24" s="1817">
        <f t="shared" si="22"/>
        <v>0</v>
      </c>
      <c r="EK24" s="1809" t="s">
        <v>76</v>
      </c>
      <c r="EL24" s="1808">
        <f t="shared" si="23"/>
        <v>0</v>
      </c>
      <c r="EM24" s="1805">
        <f t="shared" ref="EM24:FQ24" si="28">+EM8</f>
        <v>0</v>
      </c>
      <c r="EN24" s="1805">
        <f t="shared" si="28"/>
        <v>0</v>
      </c>
      <c r="EO24" s="1805">
        <f t="shared" si="28"/>
        <v>0</v>
      </c>
      <c r="EP24" s="1805">
        <f t="shared" si="28"/>
        <v>0</v>
      </c>
      <c r="EQ24" s="1805">
        <f t="shared" si="28"/>
        <v>0</v>
      </c>
      <c r="ER24" s="1805">
        <f t="shared" si="28"/>
        <v>0</v>
      </c>
      <c r="ES24" s="1805">
        <f t="shared" si="28"/>
        <v>0</v>
      </c>
      <c r="ET24" s="1805">
        <f t="shared" si="28"/>
        <v>0</v>
      </c>
      <c r="EU24" s="1805">
        <f t="shared" si="28"/>
        <v>0</v>
      </c>
      <c r="EV24" s="1805">
        <f t="shared" si="28"/>
        <v>0</v>
      </c>
      <c r="EW24" s="1805">
        <f t="shared" si="28"/>
        <v>0</v>
      </c>
      <c r="EX24" s="1805">
        <f t="shared" si="28"/>
        <v>0</v>
      </c>
      <c r="EY24" s="1805">
        <f t="shared" si="28"/>
        <v>0</v>
      </c>
      <c r="EZ24" s="1805">
        <f t="shared" si="28"/>
        <v>0</v>
      </c>
      <c r="FA24" s="1805">
        <f t="shared" si="28"/>
        <v>0</v>
      </c>
      <c r="FB24" s="1805">
        <f t="shared" si="28"/>
        <v>0</v>
      </c>
      <c r="FC24" s="1805">
        <f t="shared" si="28"/>
        <v>0</v>
      </c>
      <c r="FD24" s="1805">
        <f t="shared" si="28"/>
        <v>0</v>
      </c>
      <c r="FE24" s="1805">
        <f t="shared" si="28"/>
        <v>0</v>
      </c>
      <c r="FF24" s="1805">
        <f t="shared" si="28"/>
        <v>0</v>
      </c>
      <c r="FG24" s="1805">
        <f t="shared" si="28"/>
        <v>0</v>
      </c>
      <c r="FH24" s="1805">
        <f t="shared" si="28"/>
        <v>0</v>
      </c>
      <c r="FI24" s="1805">
        <f t="shared" si="28"/>
        <v>0</v>
      </c>
      <c r="FJ24" s="1805">
        <f t="shared" si="28"/>
        <v>0</v>
      </c>
      <c r="FK24" s="1805">
        <f t="shared" si="28"/>
        <v>0</v>
      </c>
      <c r="FL24" s="1805">
        <f t="shared" si="28"/>
        <v>0</v>
      </c>
      <c r="FM24" s="1805">
        <f t="shared" si="28"/>
        <v>0</v>
      </c>
      <c r="FN24" s="1805">
        <f t="shared" si="28"/>
        <v>0</v>
      </c>
      <c r="FO24" s="1805">
        <f t="shared" si="28"/>
        <v>0</v>
      </c>
      <c r="FP24" s="1805">
        <f t="shared" si="28"/>
        <v>0</v>
      </c>
      <c r="FQ24" s="1805">
        <f t="shared" si="28"/>
        <v>0</v>
      </c>
      <c r="FR24" s="1804">
        <f t="shared" si="25"/>
        <v>0</v>
      </c>
    </row>
    <row r="25" spans="1:174" ht="15">
      <c r="A25" s="1054" t="s">
        <v>77</v>
      </c>
      <c r="B25" s="1091">
        <f t="shared" si="15"/>
        <v>0</v>
      </c>
      <c r="C25" s="1539"/>
      <c r="D25" s="1539"/>
      <c r="E25" s="1539"/>
      <c r="F25" s="1539"/>
      <c r="G25" s="1539"/>
      <c r="H25" s="1539"/>
      <c r="I25" s="1539"/>
      <c r="J25" s="1539"/>
      <c r="K25" s="1539"/>
      <c r="L25" s="1539"/>
      <c r="M25" s="1539"/>
      <c r="N25" s="1539"/>
      <c r="O25" s="1539"/>
      <c r="P25" s="1539"/>
      <c r="Q25" s="1539"/>
      <c r="R25" s="1539"/>
      <c r="S25" s="1539"/>
      <c r="T25" s="1539"/>
      <c r="U25" s="1539"/>
      <c r="V25" s="1539"/>
      <c r="W25" s="1539"/>
      <c r="X25" s="1539"/>
      <c r="Y25" s="1539"/>
      <c r="Z25" s="1539"/>
      <c r="AA25" s="1539"/>
      <c r="AB25" s="1539"/>
      <c r="AC25" s="1539"/>
      <c r="AD25" s="1539"/>
      <c r="AE25" s="1539"/>
      <c r="AF25" s="1539"/>
      <c r="AG25" s="1539"/>
      <c r="AH25" s="1268">
        <f t="shared" si="16"/>
        <v>0</v>
      </c>
      <c r="AJ25" s="1524" t="s">
        <v>77</v>
      </c>
      <c r="AK25" s="1527">
        <f t="shared" si="17"/>
        <v>0</v>
      </c>
      <c r="AL25" s="1877"/>
      <c r="AM25" s="1877"/>
      <c r="AN25" s="1877"/>
      <c r="AO25" s="1872"/>
      <c r="AP25" s="1877"/>
      <c r="AQ25" s="1872"/>
      <c r="AR25" s="1877"/>
      <c r="AS25" s="1872"/>
      <c r="AT25" s="1877"/>
      <c r="AU25" s="1877"/>
      <c r="AV25" s="1877"/>
      <c r="AW25" s="1877"/>
      <c r="AX25" s="1835"/>
      <c r="AY25" s="1835"/>
      <c r="AZ25" s="1835"/>
      <c r="BA25" s="1835"/>
      <c r="BB25" s="1835"/>
      <c r="BC25" s="1835"/>
      <c r="BD25" s="1835"/>
      <c r="BE25" s="1835"/>
      <c r="BF25" s="1835"/>
      <c r="BG25" s="1835"/>
      <c r="BH25" s="1835"/>
      <c r="BI25" s="1835"/>
      <c r="BJ25" s="1835"/>
      <c r="BK25" s="1835"/>
      <c r="BL25" s="1835"/>
      <c r="BM25" s="1835"/>
      <c r="BN25" s="1835"/>
      <c r="BO25" s="1835"/>
      <c r="BP25" s="1835"/>
      <c r="BQ25" s="1834">
        <f t="shared" si="18"/>
        <v>0</v>
      </c>
      <c r="BS25" s="1621" t="s">
        <v>77</v>
      </c>
      <c r="BT25" s="1622">
        <f t="shared" si="19"/>
        <v>0</v>
      </c>
      <c r="BU25" s="1876"/>
      <c r="BV25" s="1876"/>
      <c r="BW25" s="1876"/>
      <c r="BX25" s="1871"/>
      <c r="BY25" s="1876"/>
      <c r="BZ25" s="1871"/>
      <c r="CA25" s="1876"/>
      <c r="CB25" s="1871"/>
      <c r="CC25" s="1876"/>
      <c r="CD25" s="1876"/>
      <c r="CE25" s="1876"/>
      <c r="CF25" s="1876"/>
      <c r="CG25" s="1827"/>
      <c r="CH25" s="1827"/>
      <c r="CI25" s="1827"/>
      <c r="CJ25" s="1827"/>
      <c r="CK25" s="1827"/>
      <c r="CL25" s="1827"/>
      <c r="CM25" s="1827"/>
      <c r="CN25" s="1827"/>
      <c r="CO25" s="1827"/>
      <c r="CP25" s="1827"/>
      <c r="CQ25" s="1827"/>
      <c r="CR25" s="1827"/>
      <c r="CS25" s="1827"/>
      <c r="CT25" s="1827"/>
      <c r="CU25" s="1827"/>
      <c r="CV25" s="1827"/>
      <c r="CW25" s="1827"/>
      <c r="CX25" s="1827"/>
      <c r="CY25" s="1827"/>
      <c r="CZ25" s="1826">
        <f t="shared" si="20"/>
        <v>0</v>
      </c>
      <c r="DB25" s="1719" t="s">
        <v>77</v>
      </c>
      <c r="DC25" s="1821">
        <f t="shared" si="21"/>
        <v>0</v>
      </c>
      <c r="DD25" s="1818"/>
      <c r="DE25" s="1818"/>
      <c r="DF25" s="1818"/>
      <c r="DG25" s="1818"/>
      <c r="DH25" s="1818"/>
      <c r="DI25" s="1818"/>
      <c r="DJ25" s="1818"/>
      <c r="DK25" s="1818"/>
      <c r="DL25" s="1818"/>
      <c r="DM25" s="1818"/>
      <c r="DN25" s="1818"/>
      <c r="DO25" s="1818"/>
      <c r="DP25" s="1818"/>
      <c r="DQ25" s="1818"/>
      <c r="DR25" s="1818"/>
      <c r="DS25" s="1818"/>
      <c r="DT25" s="1818"/>
      <c r="DU25" s="1818"/>
      <c r="DV25" s="1818"/>
      <c r="DW25" s="1818"/>
      <c r="DX25" s="1818"/>
      <c r="DY25" s="1818"/>
      <c r="DZ25" s="1818"/>
      <c r="EA25" s="1818"/>
      <c r="EB25" s="1818"/>
      <c r="EC25" s="1818"/>
      <c r="ED25" s="1818"/>
      <c r="EE25" s="1818"/>
      <c r="EF25" s="1818"/>
      <c r="EG25" s="1818"/>
      <c r="EH25" s="1818"/>
      <c r="EI25" s="1817">
        <f t="shared" si="22"/>
        <v>0</v>
      </c>
      <c r="EK25" s="1809" t="s">
        <v>77</v>
      </c>
      <c r="EL25" s="1808">
        <f t="shared" si="23"/>
        <v>0</v>
      </c>
      <c r="EM25" s="1805">
        <f t="shared" ref="EM25:FQ25" si="29">+EM9</f>
        <v>0</v>
      </c>
      <c r="EN25" s="1805">
        <f t="shared" si="29"/>
        <v>0</v>
      </c>
      <c r="EO25" s="1805">
        <f t="shared" si="29"/>
        <v>0</v>
      </c>
      <c r="EP25" s="1805">
        <f t="shared" si="29"/>
        <v>0</v>
      </c>
      <c r="EQ25" s="1805">
        <f t="shared" si="29"/>
        <v>0</v>
      </c>
      <c r="ER25" s="1805">
        <f t="shared" si="29"/>
        <v>0</v>
      </c>
      <c r="ES25" s="1805">
        <f t="shared" si="29"/>
        <v>0</v>
      </c>
      <c r="ET25" s="1805">
        <f t="shared" si="29"/>
        <v>0</v>
      </c>
      <c r="EU25" s="1805">
        <f t="shared" si="29"/>
        <v>0</v>
      </c>
      <c r="EV25" s="1805">
        <f t="shared" si="29"/>
        <v>0</v>
      </c>
      <c r="EW25" s="1805">
        <f t="shared" si="29"/>
        <v>0</v>
      </c>
      <c r="EX25" s="1805">
        <f t="shared" si="29"/>
        <v>0</v>
      </c>
      <c r="EY25" s="1805">
        <f t="shared" si="29"/>
        <v>0</v>
      </c>
      <c r="EZ25" s="1805">
        <f t="shared" si="29"/>
        <v>0</v>
      </c>
      <c r="FA25" s="1805">
        <f t="shared" si="29"/>
        <v>0</v>
      </c>
      <c r="FB25" s="1805">
        <f t="shared" si="29"/>
        <v>0</v>
      </c>
      <c r="FC25" s="1805">
        <f t="shared" si="29"/>
        <v>0</v>
      </c>
      <c r="FD25" s="1805">
        <f t="shared" si="29"/>
        <v>0</v>
      </c>
      <c r="FE25" s="1805">
        <f t="shared" si="29"/>
        <v>0</v>
      </c>
      <c r="FF25" s="1805">
        <f t="shared" si="29"/>
        <v>0</v>
      </c>
      <c r="FG25" s="1805">
        <f t="shared" si="29"/>
        <v>0</v>
      </c>
      <c r="FH25" s="1805">
        <f t="shared" si="29"/>
        <v>0</v>
      </c>
      <c r="FI25" s="1805">
        <f t="shared" si="29"/>
        <v>0</v>
      </c>
      <c r="FJ25" s="1805">
        <f t="shared" si="29"/>
        <v>0</v>
      </c>
      <c r="FK25" s="1805">
        <f t="shared" si="29"/>
        <v>0</v>
      </c>
      <c r="FL25" s="1805">
        <f t="shared" si="29"/>
        <v>0</v>
      </c>
      <c r="FM25" s="1805">
        <f t="shared" si="29"/>
        <v>0</v>
      </c>
      <c r="FN25" s="1805">
        <f t="shared" si="29"/>
        <v>0</v>
      </c>
      <c r="FO25" s="1805">
        <f t="shared" si="29"/>
        <v>0</v>
      </c>
      <c r="FP25" s="1805">
        <f t="shared" si="29"/>
        <v>0</v>
      </c>
      <c r="FQ25" s="1805">
        <f t="shared" si="29"/>
        <v>0</v>
      </c>
      <c r="FR25" s="1804">
        <f t="shared" si="25"/>
        <v>0</v>
      </c>
    </row>
    <row r="26" spans="1:174" ht="15">
      <c r="A26" s="1054" t="s">
        <v>78</v>
      </c>
      <c r="B26" s="1091">
        <f t="shared" si="15"/>
        <v>0</v>
      </c>
      <c r="C26" s="1539"/>
      <c r="D26" s="1539"/>
      <c r="E26" s="1539"/>
      <c r="F26" s="1539"/>
      <c r="G26" s="1539"/>
      <c r="H26" s="1539"/>
      <c r="I26" s="1539"/>
      <c r="J26" s="1539"/>
      <c r="K26" s="1539"/>
      <c r="L26" s="1539"/>
      <c r="M26" s="1539"/>
      <c r="N26" s="1539"/>
      <c r="O26" s="1539"/>
      <c r="P26" s="1539"/>
      <c r="Q26" s="1539"/>
      <c r="R26" s="1539"/>
      <c r="S26" s="1539"/>
      <c r="T26" s="1539"/>
      <c r="U26" s="1539"/>
      <c r="V26" s="1539"/>
      <c r="W26" s="1539"/>
      <c r="X26" s="1539"/>
      <c r="Y26" s="1539"/>
      <c r="Z26" s="1539"/>
      <c r="AA26" s="1539"/>
      <c r="AB26" s="1539"/>
      <c r="AC26" s="1539"/>
      <c r="AD26" s="1539"/>
      <c r="AE26" s="1539"/>
      <c r="AF26" s="1539"/>
      <c r="AG26" s="1539"/>
      <c r="AH26" s="1268">
        <f t="shared" si="16"/>
        <v>0</v>
      </c>
      <c r="AJ26" s="1524" t="s">
        <v>78</v>
      </c>
      <c r="AK26" s="1527">
        <f t="shared" si="17"/>
        <v>0</v>
      </c>
      <c r="AL26" s="1877"/>
      <c r="AM26" s="1877"/>
      <c r="AN26" s="1877"/>
      <c r="AO26" s="1877"/>
      <c r="AP26" s="1877"/>
      <c r="AQ26" s="1877"/>
      <c r="AR26" s="1877"/>
      <c r="AS26" s="1877"/>
      <c r="AT26" s="1877"/>
      <c r="AU26" s="1877"/>
      <c r="AV26" s="1877"/>
      <c r="AW26" s="1872"/>
      <c r="AX26" s="1835"/>
      <c r="AY26" s="1835"/>
      <c r="AZ26" s="1835"/>
      <c r="BA26" s="1835"/>
      <c r="BB26" s="1835"/>
      <c r="BC26" s="1835"/>
      <c r="BD26" s="1835"/>
      <c r="BE26" s="1835"/>
      <c r="BF26" s="1835"/>
      <c r="BG26" s="1835"/>
      <c r="BH26" s="1835"/>
      <c r="BI26" s="1835"/>
      <c r="BJ26" s="1835"/>
      <c r="BK26" s="1835"/>
      <c r="BL26" s="1835"/>
      <c r="BM26" s="1835"/>
      <c r="BN26" s="1835"/>
      <c r="BO26" s="1835"/>
      <c r="BP26" s="1835"/>
      <c r="BQ26" s="1834">
        <f t="shared" si="18"/>
        <v>0</v>
      </c>
      <c r="BS26" s="1621" t="s">
        <v>78</v>
      </c>
      <c r="BT26" s="1622">
        <f t="shared" si="19"/>
        <v>0</v>
      </c>
      <c r="BU26" s="1876"/>
      <c r="BV26" s="1876"/>
      <c r="BW26" s="1876"/>
      <c r="BX26" s="1876"/>
      <c r="BY26" s="1876"/>
      <c r="BZ26" s="1876"/>
      <c r="CA26" s="1876"/>
      <c r="CB26" s="1876"/>
      <c r="CC26" s="1876"/>
      <c r="CD26" s="1876"/>
      <c r="CE26" s="1876"/>
      <c r="CF26" s="1871"/>
      <c r="CG26" s="1827"/>
      <c r="CH26" s="1827"/>
      <c r="CI26" s="1827"/>
      <c r="CJ26" s="1827"/>
      <c r="CK26" s="1827"/>
      <c r="CL26" s="1827"/>
      <c r="CM26" s="1827"/>
      <c r="CN26" s="1827"/>
      <c r="CO26" s="1827"/>
      <c r="CP26" s="1827"/>
      <c r="CQ26" s="1827"/>
      <c r="CR26" s="1827"/>
      <c r="CS26" s="1827"/>
      <c r="CT26" s="1827"/>
      <c r="CU26" s="1827"/>
      <c r="CV26" s="1827"/>
      <c r="CW26" s="1827"/>
      <c r="CX26" s="1827"/>
      <c r="CY26" s="1827"/>
      <c r="CZ26" s="1826">
        <f t="shared" si="20"/>
        <v>0</v>
      </c>
      <c r="DB26" s="1719" t="s">
        <v>78</v>
      </c>
      <c r="DC26" s="1821">
        <f t="shared" si="21"/>
        <v>0</v>
      </c>
      <c r="DD26" s="1818"/>
      <c r="DE26" s="1818"/>
      <c r="DF26" s="1818"/>
      <c r="DG26" s="1818"/>
      <c r="DH26" s="1818"/>
      <c r="DI26" s="1818"/>
      <c r="DJ26" s="1818"/>
      <c r="DK26" s="1818"/>
      <c r="DL26" s="1818"/>
      <c r="DM26" s="1818"/>
      <c r="DN26" s="1818"/>
      <c r="DO26" s="1818"/>
      <c r="DP26" s="1818"/>
      <c r="DQ26" s="1818"/>
      <c r="DR26" s="1818"/>
      <c r="DS26" s="1818"/>
      <c r="DT26" s="1818"/>
      <c r="DU26" s="1818"/>
      <c r="DV26" s="1818"/>
      <c r="DW26" s="1818"/>
      <c r="DX26" s="1818"/>
      <c r="DY26" s="1818"/>
      <c r="DZ26" s="1818"/>
      <c r="EA26" s="1818"/>
      <c r="EB26" s="1818"/>
      <c r="EC26" s="1818"/>
      <c r="ED26" s="1818"/>
      <c r="EE26" s="1818"/>
      <c r="EF26" s="1818"/>
      <c r="EG26" s="1818"/>
      <c r="EH26" s="1818"/>
      <c r="EI26" s="1817">
        <f t="shared" si="22"/>
        <v>0</v>
      </c>
      <c r="EK26" s="1809" t="s">
        <v>78</v>
      </c>
      <c r="EL26" s="1808">
        <f t="shared" si="23"/>
        <v>0</v>
      </c>
      <c r="EM26" s="1805">
        <f t="shared" ref="EM26:FQ26" si="30">+EM10</f>
        <v>0</v>
      </c>
      <c r="EN26" s="1805">
        <f t="shared" si="30"/>
        <v>0</v>
      </c>
      <c r="EO26" s="1805">
        <f t="shared" si="30"/>
        <v>0</v>
      </c>
      <c r="EP26" s="1805">
        <f t="shared" si="30"/>
        <v>0</v>
      </c>
      <c r="EQ26" s="1805">
        <f t="shared" si="30"/>
        <v>0</v>
      </c>
      <c r="ER26" s="1805">
        <f t="shared" si="30"/>
        <v>0</v>
      </c>
      <c r="ES26" s="1805">
        <f t="shared" si="30"/>
        <v>0</v>
      </c>
      <c r="ET26" s="1805">
        <f t="shared" si="30"/>
        <v>0</v>
      </c>
      <c r="EU26" s="1805">
        <f t="shared" si="30"/>
        <v>0</v>
      </c>
      <c r="EV26" s="1805">
        <f t="shared" si="30"/>
        <v>0</v>
      </c>
      <c r="EW26" s="1805">
        <f t="shared" si="30"/>
        <v>0</v>
      </c>
      <c r="EX26" s="1805">
        <f t="shared" si="30"/>
        <v>0</v>
      </c>
      <c r="EY26" s="1805">
        <f t="shared" si="30"/>
        <v>0</v>
      </c>
      <c r="EZ26" s="1805">
        <f t="shared" si="30"/>
        <v>0</v>
      </c>
      <c r="FA26" s="1805">
        <f t="shared" si="30"/>
        <v>0</v>
      </c>
      <c r="FB26" s="1805">
        <f t="shared" si="30"/>
        <v>0</v>
      </c>
      <c r="FC26" s="1805">
        <f t="shared" si="30"/>
        <v>0</v>
      </c>
      <c r="FD26" s="1805">
        <f t="shared" si="30"/>
        <v>0</v>
      </c>
      <c r="FE26" s="1805">
        <f t="shared" si="30"/>
        <v>0</v>
      </c>
      <c r="FF26" s="1805">
        <f t="shared" si="30"/>
        <v>0</v>
      </c>
      <c r="FG26" s="1805">
        <f t="shared" si="30"/>
        <v>0</v>
      </c>
      <c r="FH26" s="1805">
        <f t="shared" si="30"/>
        <v>0</v>
      </c>
      <c r="FI26" s="1805">
        <f t="shared" si="30"/>
        <v>0</v>
      </c>
      <c r="FJ26" s="1805">
        <f t="shared" si="30"/>
        <v>0</v>
      </c>
      <c r="FK26" s="1805">
        <f t="shared" si="30"/>
        <v>0</v>
      </c>
      <c r="FL26" s="1805">
        <f t="shared" si="30"/>
        <v>0</v>
      </c>
      <c r="FM26" s="1805">
        <f t="shared" si="30"/>
        <v>0</v>
      </c>
      <c r="FN26" s="1805">
        <f t="shared" si="30"/>
        <v>0</v>
      </c>
      <c r="FO26" s="1805">
        <f t="shared" si="30"/>
        <v>0</v>
      </c>
      <c r="FP26" s="1805">
        <f t="shared" si="30"/>
        <v>0</v>
      </c>
      <c r="FQ26" s="1805">
        <f t="shared" si="30"/>
        <v>0</v>
      </c>
      <c r="FR26" s="1804">
        <f t="shared" si="25"/>
        <v>0</v>
      </c>
    </row>
    <row r="27" spans="1:174" ht="15">
      <c r="A27" s="1054" t="s">
        <v>79</v>
      </c>
      <c r="B27" s="1091">
        <f t="shared" si="15"/>
        <v>0</v>
      </c>
      <c r="C27" s="1539"/>
      <c r="D27" s="1539"/>
      <c r="E27" s="1539"/>
      <c r="F27" s="1539"/>
      <c r="G27" s="1539"/>
      <c r="H27" s="1539"/>
      <c r="I27" s="1539"/>
      <c r="J27" s="1539"/>
      <c r="K27" s="1539"/>
      <c r="L27" s="1539"/>
      <c r="M27" s="1539"/>
      <c r="N27" s="1539"/>
      <c r="O27" s="1539"/>
      <c r="P27" s="1539"/>
      <c r="Q27" s="1539"/>
      <c r="R27" s="1539"/>
      <c r="S27" s="1539"/>
      <c r="T27" s="1539"/>
      <c r="U27" s="1539"/>
      <c r="V27" s="1539"/>
      <c r="W27" s="1539"/>
      <c r="X27" s="1539"/>
      <c r="Y27" s="1539"/>
      <c r="Z27" s="1539"/>
      <c r="AA27" s="1539"/>
      <c r="AB27" s="1539"/>
      <c r="AC27" s="1539"/>
      <c r="AD27" s="1539"/>
      <c r="AE27" s="1539"/>
      <c r="AF27" s="1539"/>
      <c r="AG27" s="1539"/>
      <c r="AH27" s="1268">
        <f t="shared" si="16"/>
        <v>0</v>
      </c>
      <c r="AJ27" s="1524" t="s">
        <v>79</v>
      </c>
      <c r="AK27" s="1527">
        <f t="shared" si="17"/>
        <v>0</v>
      </c>
      <c r="AL27" s="1877"/>
      <c r="AM27" s="1877"/>
      <c r="AN27" s="1877"/>
      <c r="AO27" s="1877"/>
      <c r="AP27" s="1877"/>
      <c r="AQ27" s="1877"/>
      <c r="AR27" s="1877"/>
      <c r="AS27" s="1877"/>
      <c r="AT27" s="1877"/>
      <c r="AU27" s="1877"/>
      <c r="AV27" s="1877"/>
      <c r="AW27" s="1877"/>
      <c r="AX27" s="1835"/>
      <c r="AY27" s="1835"/>
      <c r="AZ27" s="1835"/>
      <c r="BA27" s="1835"/>
      <c r="BB27" s="1835"/>
      <c r="BC27" s="1835"/>
      <c r="BD27" s="1835"/>
      <c r="BE27" s="1835"/>
      <c r="BF27" s="1835"/>
      <c r="BG27" s="1835"/>
      <c r="BH27" s="1835"/>
      <c r="BI27" s="1835"/>
      <c r="BJ27" s="1835"/>
      <c r="BK27" s="1835"/>
      <c r="BL27" s="1835"/>
      <c r="BM27" s="1835"/>
      <c r="BN27" s="1835"/>
      <c r="BO27" s="1835"/>
      <c r="BP27" s="1835"/>
      <c r="BQ27" s="1834">
        <f t="shared" si="18"/>
        <v>0</v>
      </c>
      <c r="BS27" s="1621" t="s">
        <v>79</v>
      </c>
      <c r="BT27" s="1622">
        <f t="shared" si="19"/>
        <v>0.78500000000000014</v>
      </c>
      <c r="BU27" s="1876"/>
      <c r="BV27" s="1876"/>
      <c r="BW27" s="1876"/>
      <c r="BX27" s="1876"/>
      <c r="BY27" s="1876">
        <v>8.5000000000000006E-2</v>
      </c>
      <c r="BZ27" s="1876"/>
      <c r="CA27" s="1876"/>
      <c r="CB27" s="1876"/>
      <c r="CC27" s="1876"/>
      <c r="CD27" s="1876"/>
      <c r="CE27" s="1876"/>
      <c r="CF27" s="1876"/>
      <c r="CG27" s="1827"/>
      <c r="CH27" s="1827"/>
      <c r="CI27" s="1827"/>
      <c r="CJ27" s="1827"/>
      <c r="CK27" s="1827"/>
      <c r="CL27" s="1827"/>
      <c r="CM27" s="1827"/>
      <c r="CN27" s="1827"/>
      <c r="CO27" s="1827"/>
      <c r="CP27" s="1827"/>
      <c r="CQ27" s="1827"/>
      <c r="CR27" s="1827"/>
      <c r="CS27" s="1827"/>
      <c r="CT27" s="1827">
        <v>0.4</v>
      </c>
      <c r="CU27" s="1827"/>
      <c r="CV27" s="1827"/>
      <c r="CW27" s="1827"/>
      <c r="CX27" s="1827">
        <v>0.1</v>
      </c>
      <c r="CY27" s="1827">
        <v>0.2</v>
      </c>
      <c r="CZ27" s="1826">
        <f t="shared" si="20"/>
        <v>0.78500000000000014</v>
      </c>
      <c r="DB27" s="1719" t="s">
        <v>79</v>
      </c>
      <c r="DC27" s="1821">
        <f t="shared" si="21"/>
        <v>0</v>
      </c>
      <c r="DD27" s="1818"/>
      <c r="DE27" s="1818"/>
      <c r="DF27" s="1818"/>
      <c r="DG27" s="1818"/>
      <c r="DH27" s="1818"/>
      <c r="DI27" s="1818"/>
      <c r="DJ27" s="1818"/>
      <c r="DK27" s="1818"/>
      <c r="DL27" s="1818"/>
      <c r="DM27" s="1818"/>
      <c r="DN27" s="1818"/>
      <c r="DO27" s="1818"/>
      <c r="DP27" s="1818"/>
      <c r="DQ27" s="1818"/>
      <c r="DR27" s="1818"/>
      <c r="DS27" s="1818"/>
      <c r="DT27" s="1818"/>
      <c r="DU27" s="1818"/>
      <c r="DV27" s="1818"/>
      <c r="DW27" s="1818"/>
      <c r="DX27" s="1818"/>
      <c r="DY27" s="1818"/>
      <c r="DZ27" s="1818"/>
      <c r="EA27" s="1818"/>
      <c r="EB27" s="1818"/>
      <c r="EC27" s="1818"/>
      <c r="ED27" s="1818"/>
      <c r="EE27" s="1818"/>
      <c r="EF27" s="1818"/>
      <c r="EG27" s="1818"/>
      <c r="EH27" s="1818"/>
      <c r="EI27" s="1817">
        <f t="shared" si="22"/>
        <v>0</v>
      </c>
      <c r="EK27" s="1809" t="s">
        <v>79</v>
      </c>
      <c r="EL27" s="1808">
        <f t="shared" si="23"/>
        <v>5.8290000000000006</v>
      </c>
      <c r="EM27" s="1805">
        <f t="shared" ref="EM27:FQ27" si="31">+EM11</f>
        <v>0</v>
      </c>
      <c r="EN27" s="1805">
        <f t="shared" si="31"/>
        <v>0</v>
      </c>
      <c r="EO27" s="1805">
        <f t="shared" si="31"/>
        <v>0</v>
      </c>
      <c r="EP27" s="1805">
        <f t="shared" si="31"/>
        <v>0</v>
      </c>
      <c r="EQ27" s="1805">
        <f t="shared" si="31"/>
        <v>0.3</v>
      </c>
      <c r="ER27" s="1805">
        <f t="shared" si="31"/>
        <v>0</v>
      </c>
      <c r="ES27" s="1805">
        <f t="shared" si="31"/>
        <v>0</v>
      </c>
      <c r="ET27" s="1805">
        <f t="shared" si="31"/>
        <v>0</v>
      </c>
      <c r="EU27" s="1805">
        <f t="shared" si="31"/>
        <v>0</v>
      </c>
      <c r="EV27" s="1805">
        <f t="shared" si="31"/>
        <v>0.75</v>
      </c>
      <c r="EW27" s="1805">
        <f t="shared" si="31"/>
        <v>0</v>
      </c>
      <c r="EX27" s="1805">
        <f t="shared" si="31"/>
        <v>0</v>
      </c>
      <c r="EY27" s="1805">
        <f t="shared" si="31"/>
        <v>0</v>
      </c>
      <c r="EZ27" s="1805">
        <f t="shared" si="31"/>
        <v>0</v>
      </c>
      <c r="FA27" s="1805">
        <f t="shared" si="31"/>
        <v>0</v>
      </c>
      <c r="FB27" s="1805">
        <f t="shared" si="31"/>
        <v>1.3919999999999999</v>
      </c>
      <c r="FC27" s="1805">
        <f t="shared" si="31"/>
        <v>0.52700000000000002</v>
      </c>
      <c r="FD27" s="1805">
        <f t="shared" si="31"/>
        <v>0.55000000000000004</v>
      </c>
      <c r="FE27" s="1805">
        <f t="shared" si="31"/>
        <v>0.52500000000000002</v>
      </c>
      <c r="FF27" s="1805">
        <f t="shared" si="31"/>
        <v>0.61499999999999999</v>
      </c>
      <c r="FG27" s="1805">
        <f t="shared" si="31"/>
        <v>0</v>
      </c>
      <c r="FH27" s="1805">
        <f t="shared" si="31"/>
        <v>0</v>
      </c>
      <c r="FI27" s="1805">
        <f t="shared" si="31"/>
        <v>0.48</v>
      </c>
      <c r="FJ27" s="1805">
        <f t="shared" si="31"/>
        <v>0</v>
      </c>
      <c r="FK27" s="1805">
        <f t="shared" si="31"/>
        <v>0.42</v>
      </c>
      <c r="FL27" s="1805">
        <f t="shared" si="31"/>
        <v>0.27</v>
      </c>
      <c r="FM27" s="1805">
        <f t="shared" si="31"/>
        <v>0</v>
      </c>
      <c r="FN27" s="1805">
        <f t="shared" si="31"/>
        <v>0</v>
      </c>
      <c r="FO27" s="1805">
        <f t="shared" si="31"/>
        <v>0</v>
      </c>
      <c r="FP27" s="1805">
        <f t="shared" si="31"/>
        <v>0</v>
      </c>
      <c r="FQ27" s="1805">
        <f t="shared" si="31"/>
        <v>0</v>
      </c>
      <c r="FR27" s="1804">
        <f t="shared" si="25"/>
        <v>5.8290000000000006</v>
      </c>
    </row>
    <row r="28" spans="1:174" ht="15">
      <c r="A28" s="1054" t="s">
        <v>80</v>
      </c>
      <c r="B28" s="1091">
        <f t="shared" si="15"/>
        <v>0</v>
      </c>
      <c r="C28" s="1539"/>
      <c r="D28" s="1539"/>
      <c r="E28" s="1539"/>
      <c r="F28" s="1539"/>
      <c r="G28" s="1539"/>
      <c r="H28" s="1539"/>
      <c r="I28" s="1539"/>
      <c r="J28" s="1539"/>
      <c r="K28" s="1539"/>
      <c r="L28" s="1539"/>
      <c r="M28" s="1539"/>
      <c r="N28" s="1539"/>
      <c r="O28" s="1539"/>
      <c r="P28" s="1539"/>
      <c r="Q28" s="1539"/>
      <c r="R28" s="1539"/>
      <c r="S28" s="1539"/>
      <c r="T28" s="1539"/>
      <c r="U28" s="1539"/>
      <c r="V28" s="1539"/>
      <c r="W28" s="1539"/>
      <c r="X28" s="1539"/>
      <c r="Y28" s="1539"/>
      <c r="Z28" s="1539"/>
      <c r="AA28" s="1539"/>
      <c r="AB28" s="1539"/>
      <c r="AC28" s="1539"/>
      <c r="AD28" s="1539"/>
      <c r="AE28" s="1539"/>
      <c r="AF28" s="1539"/>
      <c r="AG28" s="1539"/>
      <c r="AH28" s="1268">
        <f t="shared" si="16"/>
        <v>0</v>
      </c>
      <c r="AJ28" s="1524" t="s">
        <v>80</v>
      </c>
      <c r="AK28" s="1527">
        <f t="shared" si="17"/>
        <v>0</v>
      </c>
      <c r="AL28" s="1872"/>
      <c r="AM28" s="1875"/>
      <c r="AN28" s="1872"/>
      <c r="AO28" s="1872"/>
      <c r="AP28" s="1872"/>
      <c r="AQ28" s="1872"/>
      <c r="AR28" s="1872"/>
      <c r="AS28" s="1872"/>
      <c r="AT28" s="1872"/>
      <c r="AU28" s="1872"/>
      <c r="AV28" s="1872"/>
      <c r="AW28" s="1872"/>
      <c r="AX28" s="1835"/>
      <c r="AY28" s="1835"/>
      <c r="AZ28" s="1835"/>
      <c r="BA28" s="1835"/>
      <c r="BB28" s="1835"/>
      <c r="BC28" s="1835"/>
      <c r="BD28" s="1835"/>
      <c r="BE28" s="1835"/>
      <c r="BF28" s="1835"/>
      <c r="BG28" s="1835"/>
      <c r="BH28" s="1835"/>
      <c r="BI28" s="1835"/>
      <c r="BJ28" s="1835"/>
      <c r="BK28" s="1835"/>
      <c r="BL28" s="1835"/>
      <c r="BM28" s="1835"/>
      <c r="BN28" s="1835"/>
      <c r="BO28" s="1835"/>
      <c r="BP28" s="1835"/>
      <c r="BQ28" s="1834">
        <f t="shared" si="18"/>
        <v>0</v>
      </c>
      <c r="BS28" s="1621" t="s">
        <v>80</v>
      </c>
      <c r="BT28" s="1622">
        <f t="shared" si="19"/>
        <v>0</v>
      </c>
      <c r="BU28" s="1871"/>
      <c r="BV28" s="1874"/>
      <c r="BW28" s="1871"/>
      <c r="BX28" s="1871"/>
      <c r="BY28" s="1871"/>
      <c r="BZ28" s="1871"/>
      <c r="CA28" s="1871"/>
      <c r="CB28" s="1871"/>
      <c r="CC28" s="1871"/>
      <c r="CD28" s="1871"/>
      <c r="CE28" s="1871"/>
      <c r="CF28" s="1871"/>
      <c r="CG28" s="1827"/>
      <c r="CH28" s="1827"/>
      <c r="CI28" s="1827"/>
      <c r="CJ28" s="1827"/>
      <c r="CK28" s="1827"/>
      <c r="CL28" s="1827"/>
      <c r="CM28" s="1827"/>
      <c r="CN28" s="1827"/>
      <c r="CO28" s="1827"/>
      <c r="CP28" s="1827"/>
      <c r="CQ28" s="1827"/>
      <c r="CR28" s="1827"/>
      <c r="CS28" s="1827"/>
      <c r="CT28" s="1827"/>
      <c r="CU28" s="1827"/>
      <c r="CV28" s="1827"/>
      <c r="CW28" s="1827"/>
      <c r="CX28" s="1827"/>
      <c r="CY28" s="1827"/>
      <c r="CZ28" s="1826">
        <f t="shared" si="20"/>
        <v>0</v>
      </c>
      <c r="DB28" s="1719" t="s">
        <v>80</v>
      </c>
      <c r="DC28" s="1821">
        <f t="shared" si="21"/>
        <v>0</v>
      </c>
      <c r="DD28" s="1818"/>
      <c r="DE28" s="1818"/>
      <c r="DF28" s="1818"/>
      <c r="DG28" s="1818"/>
      <c r="DH28" s="1818"/>
      <c r="DI28" s="1818"/>
      <c r="DJ28" s="1818"/>
      <c r="DK28" s="1818"/>
      <c r="DL28" s="1818"/>
      <c r="DM28" s="1818"/>
      <c r="DN28" s="1818"/>
      <c r="DO28" s="1818"/>
      <c r="DP28" s="1818"/>
      <c r="DQ28" s="1818"/>
      <c r="DR28" s="1818"/>
      <c r="DS28" s="1818"/>
      <c r="DT28" s="1818"/>
      <c r="DU28" s="1818"/>
      <c r="DV28" s="1818"/>
      <c r="DW28" s="1818"/>
      <c r="DX28" s="1818"/>
      <c r="DY28" s="1818"/>
      <c r="DZ28" s="1818"/>
      <c r="EA28" s="1818"/>
      <c r="EB28" s="1818"/>
      <c r="EC28" s="1818"/>
      <c r="ED28" s="1818"/>
      <c r="EE28" s="1818"/>
      <c r="EF28" s="1818"/>
      <c r="EG28" s="1818"/>
      <c r="EH28" s="1818"/>
      <c r="EI28" s="1817">
        <f t="shared" si="22"/>
        <v>0</v>
      </c>
      <c r="EK28" s="1809" t="s">
        <v>80</v>
      </c>
      <c r="EL28" s="1808">
        <f t="shared" si="23"/>
        <v>0.25800000000000001</v>
      </c>
      <c r="EM28" s="1805">
        <f t="shared" ref="EM28:FQ28" si="32">+EM12</f>
        <v>0</v>
      </c>
      <c r="EN28" s="1805">
        <f t="shared" si="32"/>
        <v>0</v>
      </c>
      <c r="EO28" s="1805">
        <f t="shared" si="32"/>
        <v>0</v>
      </c>
      <c r="EP28" s="1805">
        <f t="shared" si="32"/>
        <v>0</v>
      </c>
      <c r="EQ28" s="1805">
        <f t="shared" si="32"/>
        <v>0</v>
      </c>
      <c r="ER28" s="1805">
        <f t="shared" si="32"/>
        <v>0.25800000000000001</v>
      </c>
      <c r="ES28" s="1805">
        <f t="shared" si="32"/>
        <v>0</v>
      </c>
      <c r="ET28" s="1805">
        <f t="shared" si="32"/>
        <v>0</v>
      </c>
      <c r="EU28" s="1805">
        <f t="shared" si="32"/>
        <v>0</v>
      </c>
      <c r="EV28" s="1805">
        <f t="shared" si="32"/>
        <v>0</v>
      </c>
      <c r="EW28" s="1805">
        <f t="shared" si="32"/>
        <v>0</v>
      </c>
      <c r="EX28" s="1805">
        <f t="shared" si="32"/>
        <v>0</v>
      </c>
      <c r="EY28" s="1805">
        <f t="shared" si="32"/>
        <v>0</v>
      </c>
      <c r="EZ28" s="1805">
        <f t="shared" si="32"/>
        <v>0</v>
      </c>
      <c r="FA28" s="1805">
        <f t="shared" si="32"/>
        <v>0</v>
      </c>
      <c r="FB28" s="1805">
        <f t="shared" si="32"/>
        <v>0</v>
      </c>
      <c r="FC28" s="1805">
        <f t="shared" si="32"/>
        <v>0</v>
      </c>
      <c r="FD28" s="1805">
        <f t="shared" si="32"/>
        <v>0</v>
      </c>
      <c r="FE28" s="1805">
        <f t="shared" si="32"/>
        <v>0</v>
      </c>
      <c r="FF28" s="1805">
        <f t="shared" si="32"/>
        <v>0</v>
      </c>
      <c r="FG28" s="1805">
        <f t="shared" si="32"/>
        <v>0</v>
      </c>
      <c r="FH28" s="1805">
        <f t="shared" si="32"/>
        <v>0</v>
      </c>
      <c r="FI28" s="1805">
        <f t="shared" si="32"/>
        <v>0</v>
      </c>
      <c r="FJ28" s="1805">
        <f t="shared" si="32"/>
        <v>0</v>
      </c>
      <c r="FK28" s="1805">
        <f t="shared" si="32"/>
        <v>0</v>
      </c>
      <c r="FL28" s="1805">
        <f t="shared" si="32"/>
        <v>0</v>
      </c>
      <c r="FM28" s="1805">
        <f t="shared" si="32"/>
        <v>0</v>
      </c>
      <c r="FN28" s="1805">
        <f t="shared" si="32"/>
        <v>0</v>
      </c>
      <c r="FO28" s="1805">
        <f t="shared" si="32"/>
        <v>0</v>
      </c>
      <c r="FP28" s="1805">
        <f t="shared" si="32"/>
        <v>0</v>
      </c>
      <c r="FQ28" s="1805">
        <f t="shared" si="32"/>
        <v>0</v>
      </c>
      <c r="FR28" s="1804">
        <f t="shared" si="25"/>
        <v>0.25800000000000001</v>
      </c>
    </row>
    <row r="29" spans="1:174" ht="15">
      <c r="A29" s="1054" t="s">
        <v>81</v>
      </c>
      <c r="B29" s="1091">
        <f t="shared" si="15"/>
        <v>0</v>
      </c>
      <c r="C29" s="1539"/>
      <c r="D29" s="1539"/>
      <c r="E29" s="1539"/>
      <c r="F29" s="1539"/>
      <c r="G29" s="1539"/>
      <c r="H29" s="1539"/>
      <c r="I29" s="1539"/>
      <c r="J29" s="1539"/>
      <c r="K29" s="1539"/>
      <c r="L29" s="1539"/>
      <c r="M29" s="1539"/>
      <c r="N29" s="1539"/>
      <c r="O29" s="1539"/>
      <c r="P29" s="1539"/>
      <c r="Q29" s="1539"/>
      <c r="R29" s="1539"/>
      <c r="S29" s="1539"/>
      <c r="T29" s="1539"/>
      <c r="U29" s="1539"/>
      <c r="V29" s="1539"/>
      <c r="W29" s="1539"/>
      <c r="X29" s="1539"/>
      <c r="Y29" s="1539"/>
      <c r="Z29" s="1539"/>
      <c r="AA29" s="1539"/>
      <c r="AB29" s="1539"/>
      <c r="AC29" s="1539"/>
      <c r="AD29" s="1539"/>
      <c r="AE29" s="1539"/>
      <c r="AF29" s="1539"/>
      <c r="AG29" s="1539"/>
      <c r="AH29" s="1268">
        <f t="shared" si="16"/>
        <v>0</v>
      </c>
      <c r="AJ29" s="1524" t="s">
        <v>81</v>
      </c>
      <c r="AK29" s="1527">
        <f t="shared" si="17"/>
        <v>0</v>
      </c>
      <c r="AL29" s="1872"/>
      <c r="AM29" s="1872"/>
      <c r="AN29" s="1872"/>
      <c r="AO29" s="1872"/>
      <c r="AP29" s="1872"/>
      <c r="AQ29" s="1872"/>
      <c r="AR29" s="1872"/>
      <c r="AS29" s="1872"/>
      <c r="AT29" s="1872"/>
      <c r="AU29" s="1872"/>
      <c r="AV29" s="1872"/>
      <c r="AW29" s="1872"/>
      <c r="AX29" s="1835"/>
      <c r="AY29" s="1835"/>
      <c r="AZ29" s="1835"/>
      <c r="BA29" s="1835"/>
      <c r="BB29" s="1835"/>
      <c r="BC29" s="1835"/>
      <c r="BD29" s="1835"/>
      <c r="BE29" s="1835"/>
      <c r="BF29" s="1835"/>
      <c r="BG29" s="1835"/>
      <c r="BH29" s="1835"/>
      <c r="BI29" s="1835"/>
      <c r="BJ29" s="1835"/>
      <c r="BK29" s="1835"/>
      <c r="BL29" s="1835"/>
      <c r="BM29" s="1835"/>
      <c r="BN29" s="1835"/>
      <c r="BO29" s="1835"/>
      <c r="BP29" s="1835"/>
      <c r="BQ29" s="1834">
        <f t="shared" si="18"/>
        <v>0</v>
      </c>
      <c r="BS29" s="1621" t="s">
        <v>81</v>
      </c>
      <c r="BT29" s="1622">
        <f t="shared" si="19"/>
        <v>0</v>
      </c>
      <c r="BU29" s="1871"/>
      <c r="BV29" s="1871"/>
      <c r="BW29" s="1871"/>
      <c r="BX29" s="1871"/>
      <c r="BY29" s="1871"/>
      <c r="BZ29" s="1871"/>
      <c r="CA29" s="1871"/>
      <c r="CB29" s="1871"/>
      <c r="CC29" s="1871"/>
      <c r="CD29" s="1871"/>
      <c r="CE29" s="1871"/>
      <c r="CF29" s="1871"/>
      <c r="CG29" s="1827"/>
      <c r="CH29" s="1827"/>
      <c r="CI29" s="1827"/>
      <c r="CJ29" s="1827"/>
      <c r="CK29" s="1827"/>
      <c r="CL29" s="1827"/>
      <c r="CM29" s="1827"/>
      <c r="CN29" s="1827"/>
      <c r="CO29" s="1827"/>
      <c r="CP29" s="1827"/>
      <c r="CQ29" s="1827"/>
      <c r="CR29" s="1827"/>
      <c r="CS29" s="1827"/>
      <c r="CT29" s="1827"/>
      <c r="CU29" s="1827"/>
      <c r="CV29" s="1827"/>
      <c r="CW29" s="1827"/>
      <c r="CX29" s="1827"/>
      <c r="CY29" s="1827"/>
      <c r="CZ29" s="1826">
        <f t="shared" si="20"/>
        <v>0</v>
      </c>
      <c r="DB29" s="1719" t="s">
        <v>81</v>
      </c>
      <c r="DC29" s="1821">
        <f t="shared" si="21"/>
        <v>0</v>
      </c>
      <c r="DD29" s="1818"/>
      <c r="DE29" s="1818"/>
      <c r="DF29" s="1818"/>
      <c r="DG29" s="1818"/>
      <c r="DH29" s="1818"/>
      <c r="DI29" s="1818"/>
      <c r="DJ29" s="1818"/>
      <c r="DK29" s="1818"/>
      <c r="DL29" s="1818"/>
      <c r="DM29" s="1818"/>
      <c r="DN29" s="1818"/>
      <c r="DO29" s="1818"/>
      <c r="DP29" s="1818"/>
      <c r="DQ29" s="1818"/>
      <c r="DR29" s="1818"/>
      <c r="DS29" s="1818"/>
      <c r="DT29" s="1818"/>
      <c r="DU29" s="1818"/>
      <c r="DV29" s="1818"/>
      <c r="DW29" s="1818"/>
      <c r="DX29" s="1818"/>
      <c r="DY29" s="1818"/>
      <c r="DZ29" s="1818"/>
      <c r="EA29" s="1818"/>
      <c r="EB29" s="1818"/>
      <c r="EC29" s="1818"/>
      <c r="ED29" s="1818"/>
      <c r="EE29" s="1818"/>
      <c r="EF29" s="1818"/>
      <c r="EG29" s="1818"/>
      <c r="EH29" s="1818"/>
      <c r="EI29" s="1817">
        <f t="shared" si="22"/>
        <v>0</v>
      </c>
      <c r="EK29" s="1809" t="s">
        <v>81</v>
      </c>
      <c r="EL29" s="1808">
        <f t="shared" si="23"/>
        <v>0</v>
      </c>
      <c r="EM29" s="1805">
        <f t="shared" ref="EM29:FQ29" si="33">+EM13</f>
        <v>0</v>
      </c>
      <c r="EN29" s="1805">
        <f t="shared" si="33"/>
        <v>0</v>
      </c>
      <c r="EO29" s="1805">
        <f t="shared" si="33"/>
        <v>0</v>
      </c>
      <c r="EP29" s="1805">
        <f t="shared" si="33"/>
        <v>0</v>
      </c>
      <c r="EQ29" s="1805">
        <f t="shared" si="33"/>
        <v>0</v>
      </c>
      <c r="ER29" s="1805">
        <f t="shared" si="33"/>
        <v>0</v>
      </c>
      <c r="ES29" s="1805">
        <f t="shared" si="33"/>
        <v>0</v>
      </c>
      <c r="ET29" s="1805">
        <f t="shared" si="33"/>
        <v>0</v>
      </c>
      <c r="EU29" s="1805">
        <f t="shared" si="33"/>
        <v>0</v>
      </c>
      <c r="EV29" s="1805">
        <f t="shared" si="33"/>
        <v>0</v>
      </c>
      <c r="EW29" s="1805">
        <f t="shared" si="33"/>
        <v>0</v>
      </c>
      <c r="EX29" s="1805">
        <f t="shared" si="33"/>
        <v>0</v>
      </c>
      <c r="EY29" s="1805">
        <f t="shared" si="33"/>
        <v>0</v>
      </c>
      <c r="EZ29" s="1805">
        <f t="shared" si="33"/>
        <v>0</v>
      </c>
      <c r="FA29" s="1805">
        <f t="shared" si="33"/>
        <v>0</v>
      </c>
      <c r="FB29" s="1805">
        <f t="shared" si="33"/>
        <v>0</v>
      </c>
      <c r="FC29" s="1805">
        <f t="shared" si="33"/>
        <v>0</v>
      </c>
      <c r="FD29" s="1805">
        <f t="shared" si="33"/>
        <v>0</v>
      </c>
      <c r="FE29" s="1805">
        <f t="shared" si="33"/>
        <v>0</v>
      </c>
      <c r="FF29" s="1805">
        <f t="shared" si="33"/>
        <v>0</v>
      </c>
      <c r="FG29" s="1805">
        <f t="shared" si="33"/>
        <v>0</v>
      </c>
      <c r="FH29" s="1805">
        <f t="shared" si="33"/>
        <v>0</v>
      </c>
      <c r="FI29" s="1805">
        <f t="shared" si="33"/>
        <v>0</v>
      </c>
      <c r="FJ29" s="1805">
        <f t="shared" si="33"/>
        <v>0</v>
      </c>
      <c r="FK29" s="1805">
        <f t="shared" si="33"/>
        <v>0</v>
      </c>
      <c r="FL29" s="1805">
        <f t="shared" si="33"/>
        <v>0</v>
      </c>
      <c r="FM29" s="1805">
        <f t="shared" si="33"/>
        <v>0</v>
      </c>
      <c r="FN29" s="1805">
        <f t="shared" si="33"/>
        <v>0</v>
      </c>
      <c r="FO29" s="1805">
        <f t="shared" si="33"/>
        <v>0</v>
      </c>
      <c r="FP29" s="1805">
        <f t="shared" si="33"/>
        <v>0</v>
      </c>
      <c r="FQ29" s="1805">
        <f t="shared" si="33"/>
        <v>0</v>
      </c>
      <c r="FR29" s="1804">
        <f t="shared" si="25"/>
        <v>0</v>
      </c>
    </row>
    <row r="30" spans="1:174" ht="15">
      <c r="A30" s="1054" t="s">
        <v>82</v>
      </c>
      <c r="B30" s="1091">
        <f t="shared" si="15"/>
        <v>0</v>
      </c>
      <c r="C30" s="1539"/>
      <c r="D30" s="1539"/>
      <c r="E30" s="1539"/>
      <c r="F30" s="1539"/>
      <c r="G30" s="1539"/>
      <c r="H30" s="1539"/>
      <c r="I30" s="1539"/>
      <c r="J30" s="1539"/>
      <c r="K30" s="1539"/>
      <c r="L30" s="1539"/>
      <c r="M30" s="1539"/>
      <c r="N30" s="1539"/>
      <c r="O30" s="1539"/>
      <c r="P30" s="1539"/>
      <c r="Q30" s="1539"/>
      <c r="R30" s="1596"/>
      <c r="S30" s="1596"/>
      <c r="T30" s="1596"/>
      <c r="U30" s="1596"/>
      <c r="V30" s="1596"/>
      <c r="W30" s="1596"/>
      <c r="X30" s="1596"/>
      <c r="Y30" s="1596"/>
      <c r="Z30" s="1596"/>
      <c r="AA30" s="1596"/>
      <c r="AB30" s="1596"/>
      <c r="AC30" s="1596"/>
      <c r="AD30" s="1596"/>
      <c r="AE30" s="1596"/>
      <c r="AF30" s="1596"/>
      <c r="AG30" s="1596"/>
      <c r="AH30" s="1268">
        <f t="shared" si="16"/>
        <v>0</v>
      </c>
      <c r="AJ30" s="1524" t="s">
        <v>82</v>
      </c>
      <c r="AK30" s="1527">
        <f t="shared" si="17"/>
        <v>0</v>
      </c>
      <c r="AL30" s="1872"/>
      <c r="AM30" s="1872"/>
      <c r="AN30" s="1872"/>
      <c r="AO30" s="1872"/>
      <c r="AP30" s="1872"/>
      <c r="AQ30" s="1872"/>
      <c r="AR30" s="1872"/>
      <c r="AS30" s="1872"/>
      <c r="AT30" s="1872"/>
      <c r="AU30" s="1872"/>
      <c r="AV30" s="1872"/>
      <c r="AW30" s="1872"/>
      <c r="AX30" s="1835"/>
      <c r="AY30" s="1835"/>
      <c r="AZ30" s="1835"/>
      <c r="BA30" s="1838"/>
      <c r="BB30" s="1838"/>
      <c r="BC30" s="1838"/>
      <c r="BD30" s="1838"/>
      <c r="BE30" s="1838"/>
      <c r="BF30" s="1838"/>
      <c r="BG30" s="1838"/>
      <c r="BH30" s="1838"/>
      <c r="BI30" s="1838"/>
      <c r="BJ30" s="1838"/>
      <c r="BK30" s="1838"/>
      <c r="BL30" s="1838"/>
      <c r="BM30" s="1838"/>
      <c r="BN30" s="1838"/>
      <c r="BO30" s="1838"/>
      <c r="BP30" s="1838"/>
      <c r="BQ30" s="1834">
        <f t="shared" si="18"/>
        <v>0</v>
      </c>
      <c r="BS30" s="1621" t="s">
        <v>82</v>
      </c>
      <c r="BT30" s="1622">
        <f t="shared" si="19"/>
        <v>0</v>
      </c>
      <c r="BU30" s="1871"/>
      <c r="BV30" s="1871"/>
      <c r="BW30" s="1871"/>
      <c r="BX30" s="1871"/>
      <c r="BY30" s="1871"/>
      <c r="BZ30" s="1871"/>
      <c r="CA30" s="1871"/>
      <c r="CB30" s="1871"/>
      <c r="CC30" s="1871"/>
      <c r="CD30" s="1871"/>
      <c r="CE30" s="1871"/>
      <c r="CF30" s="1871"/>
      <c r="CG30" s="1827"/>
      <c r="CH30" s="1827"/>
      <c r="CI30" s="1827"/>
      <c r="CJ30" s="1830"/>
      <c r="CK30" s="1830"/>
      <c r="CL30" s="1830"/>
      <c r="CM30" s="1830"/>
      <c r="CN30" s="1830"/>
      <c r="CO30" s="1830"/>
      <c r="CP30" s="1830"/>
      <c r="CQ30" s="1830"/>
      <c r="CR30" s="1830"/>
      <c r="CS30" s="1830"/>
      <c r="CT30" s="1830"/>
      <c r="CU30" s="1830"/>
      <c r="CV30" s="1830"/>
      <c r="CW30" s="1830"/>
      <c r="CX30" s="1830"/>
      <c r="CY30" s="1830"/>
      <c r="CZ30" s="1826">
        <f t="shared" si="20"/>
        <v>0</v>
      </c>
      <c r="DB30" s="1719" t="s">
        <v>82</v>
      </c>
      <c r="DC30" s="1821">
        <f t="shared" si="21"/>
        <v>0</v>
      </c>
      <c r="DD30" s="1818"/>
      <c r="DE30" s="1818"/>
      <c r="DF30" s="1818"/>
      <c r="DG30" s="1818"/>
      <c r="DH30" s="1818"/>
      <c r="DI30" s="1818"/>
      <c r="DJ30" s="1818"/>
      <c r="DK30" s="1818"/>
      <c r="DL30" s="1818"/>
      <c r="DM30" s="1818"/>
      <c r="DN30" s="1818"/>
      <c r="DO30" s="1818"/>
      <c r="DP30" s="1818"/>
      <c r="DQ30" s="1818"/>
      <c r="DR30" s="1818"/>
      <c r="DS30" s="1822"/>
      <c r="DT30" s="1822"/>
      <c r="DU30" s="1822"/>
      <c r="DV30" s="1822"/>
      <c r="DW30" s="1822"/>
      <c r="DX30" s="1822"/>
      <c r="DY30" s="1822"/>
      <c r="DZ30" s="1822"/>
      <c r="EA30" s="1822"/>
      <c r="EB30" s="1822"/>
      <c r="EC30" s="1822"/>
      <c r="ED30" s="1822"/>
      <c r="EE30" s="1822"/>
      <c r="EF30" s="1822"/>
      <c r="EG30" s="1822"/>
      <c r="EH30" s="1822"/>
      <c r="EI30" s="1817">
        <f t="shared" si="22"/>
        <v>0</v>
      </c>
      <c r="EK30" s="1809" t="s">
        <v>82</v>
      </c>
      <c r="EL30" s="1808">
        <f t="shared" si="23"/>
        <v>0</v>
      </c>
      <c r="EM30" s="1805">
        <f t="shared" ref="EM30:FQ30" si="34">+EM14</f>
        <v>0</v>
      </c>
      <c r="EN30" s="1805">
        <f t="shared" si="34"/>
        <v>0</v>
      </c>
      <c r="EO30" s="1805">
        <f t="shared" si="34"/>
        <v>0</v>
      </c>
      <c r="EP30" s="1805">
        <f t="shared" si="34"/>
        <v>0</v>
      </c>
      <c r="EQ30" s="1805">
        <f t="shared" si="34"/>
        <v>0</v>
      </c>
      <c r="ER30" s="1805">
        <f t="shared" si="34"/>
        <v>0</v>
      </c>
      <c r="ES30" s="1805">
        <f t="shared" si="34"/>
        <v>0</v>
      </c>
      <c r="ET30" s="1805">
        <f t="shared" si="34"/>
        <v>0</v>
      </c>
      <c r="EU30" s="1805">
        <f t="shared" si="34"/>
        <v>0</v>
      </c>
      <c r="EV30" s="1805">
        <f t="shared" si="34"/>
        <v>0</v>
      </c>
      <c r="EW30" s="1805">
        <f t="shared" si="34"/>
        <v>0</v>
      </c>
      <c r="EX30" s="1805">
        <f t="shared" si="34"/>
        <v>0</v>
      </c>
      <c r="EY30" s="1805">
        <f t="shared" si="34"/>
        <v>0</v>
      </c>
      <c r="EZ30" s="1805">
        <f t="shared" si="34"/>
        <v>0</v>
      </c>
      <c r="FA30" s="1805">
        <f t="shared" si="34"/>
        <v>0</v>
      </c>
      <c r="FB30" s="1805">
        <f t="shared" si="34"/>
        <v>0</v>
      </c>
      <c r="FC30" s="1805">
        <f t="shared" si="34"/>
        <v>0</v>
      </c>
      <c r="FD30" s="1805">
        <f t="shared" si="34"/>
        <v>0</v>
      </c>
      <c r="FE30" s="1805">
        <f t="shared" si="34"/>
        <v>0</v>
      </c>
      <c r="FF30" s="1805">
        <f t="shared" si="34"/>
        <v>0</v>
      </c>
      <c r="FG30" s="1805">
        <f t="shared" si="34"/>
        <v>0</v>
      </c>
      <c r="FH30" s="1805">
        <f t="shared" si="34"/>
        <v>0</v>
      </c>
      <c r="FI30" s="1805">
        <f t="shared" si="34"/>
        <v>0</v>
      </c>
      <c r="FJ30" s="1805">
        <f t="shared" si="34"/>
        <v>0</v>
      </c>
      <c r="FK30" s="1805">
        <f t="shared" si="34"/>
        <v>0</v>
      </c>
      <c r="FL30" s="1805">
        <f t="shared" si="34"/>
        <v>0</v>
      </c>
      <c r="FM30" s="1805">
        <f t="shared" si="34"/>
        <v>0</v>
      </c>
      <c r="FN30" s="1805">
        <f t="shared" si="34"/>
        <v>0</v>
      </c>
      <c r="FO30" s="1805">
        <f t="shared" si="34"/>
        <v>0</v>
      </c>
      <c r="FP30" s="1805">
        <f t="shared" si="34"/>
        <v>0</v>
      </c>
      <c r="FQ30" s="1805">
        <f t="shared" si="34"/>
        <v>0</v>
      </c>
      <c r="FR30" s="1804">
        <f t="shared" si="25"/>
        <v>0</v>
      </c>
    </row>
    <row r="31" spans="1:174" ht="15">
      <c r="A31" s="1054" t="s">
        <v>83</v>
      </c>
      <c r="B31" s="1091">
        <f t="shared" si="15"/>
        <v>0</v>
      </c>
      <c r="C31" s="1539"/>
      <c r="D31" s="1596"/>
      <c r="E31" s="1596"/>
      <c r="F31" s="1596"/>
      <c r="G31" s="1596"/>
      <c r="H31" s="1596"/>
      <c r="I31" s="1596"/>
      <c r="J31" s="1596"/>
      <c r="K31" s="1596"/>
      <c r="L31" s="1596"/>
      <c r="M31" s="1596"/>
      <c r="N31" s="1596"/>
      <c r="O31" s="1596"/>
      <c r="P31" s="1596"/>
      <c r="Q31" s="1596"/>
      <c r="R31" s="1924"/>
      <c r="S31" s="1924"/>
      <c r="T31" s="1924"/>
      <c r="U31" s="1924"/>
      <c r="V31" s="1924"/>
      <c r="W31" s="1924"/>
      <c r="X31" s="1924"/>
      <c r="Y31" s="1924"/>
      <c r="Z31" s="1924"/>
      <c r="AA31" s="1924"/>
      <c r="AB31" s="1924"/>
      <c r="AC31" s="1924"/>
      <c r="AD31" s="1924"/>
      <c r="AE31" s="1924"/>
      <c r="AF31" s="1924"/>
      <c r="AG31" s="1539"/>
      <c r="AH31" s="1268">
        <f t="shared" si="16"/>
        <v>0</v>
      </c>
      <c r="AJ31" s="1524" t="s">
        <v>83</v>
      </c>
      <c r="AK31" s="1527">
        <f t="shared" si="17"/>
        <v>0</v>
      </c>
      <c r="AL31" s="1872"/>
      <c r="AM31" s="1872"/>
      <c r="AN31" s="1872"/>
      <c r="AO31" s="1872"/>
      <c r="AP31" s="1872"/>
      <c r="AQ31" s="1872"/>
      <c r="AR31" s="1872"/>
      <c r="AS31" s="1872"/>
      <c r="AT31" s="1872"/>
      <c r="AU31" s="1872"/>
      <c r="AV31" s="1872"/>
      <c r="AW31" s="1872"/>
      <c r="AX31" s="1838"/>
      <c r="AY31" s="1838"/>
      <c r="AZ31" s="1838"/>
      <c r="BA31" s="1873"/>
      <c r="BB31" s="1873"/>
      <c r="BC31" s="1873"/>
      <c r="BD31" s="1873"/>
      <c r="BE31" s="1873"/>
      <c r="BF31" s="1873"/>
      <c r="BG31" s="1873"/>
      <c r="BH31" s="1873"/>
      <c r="BI31" s="1873"/>
      <c r="BJ31" s="1873"/>
      <c r="BK31" s="1873"/>
      <c r="BL31" s="1873"/>
      <c r="BM31" s="1873"/>
      <c r="BN31" s="1873"/>
      <c r="BO31" s="1873"/>
      <c r="BP31" s="1835"/>
      <c r="BQ31" s="1834">
        <f t="shared" si="18"/>
        <v>0</v>
      </c>
      <c r="BS31" s="1621" t="s">
        <v>83</v>
      </c>
      <c r="BT31" s="1622">
        <f t="shared" si="19"/>
        <v>0</v>
      </c>
      <c r="BU31" s="1871"/>
      <c r="BV31" s="1871"/>
      <c r="BW31" s="1871"/>
      <c r="BX31" s="1871"/>
      <c r="BY31" s="1871"/>
      <c r="BZ31" s="1871"/>
      <c r="CA31" s="1871"/>
      <c r="CB31" s="1871"/>
      <c r="CC31" s="1871"/>
      <c r="CD31" s="1871"/>
      <c r="CE31" s="1871"/>
      <c r="CF31" s="1871"/>
      <c r="CG31" s="1830"/>
      <c r="CH31" s="1830"/>
      <c r="CI31" s="1830"/>
      <c r="CJ31" s="1853"/>
      <c r="CK31" s="1853"/>
      <c r="CL31" s="1853"/>
      <c r="CM31" s="1853"/>
      <c r="CN31" s="1853"/>
      <c r="CO31" s="1853"/>
      <c r="CP31" s="1853"/>
      <c r="CQ31" s="1853"/>
      <c r="CR31" s="1853"/>
      <c r="CS31" s="1853"/>
      <c r="CT31" s="1853"/>
      <c r="CU31" s="1853"/>
      <c r="CV31" s="1853"/>
      <c r="CW31" s="1853"/>
      <c r="CX31" s="1853"/>
      <c r="CY31" s="1827"/>
      <c r="CZ31" s="1826">
        <f t="shared" si="20"/>
        <v>0</v>
      </c>
      <c r="DB31" s="1719" t="s">
        <v>83</v>
      </c>
      <c r="DC31" s="1821">
        <f t="shared" si="21"/>
        <v>0</v>
      </c>
      <c r="DD31" s="1818"/>
      <c r="DE31" s="1822"/>
      <c r="DF31" s="1822"/>
      <c r="DG31" s="1822"/>
      <c r="DH31" s="1822"/>
      <c r="DI31" s="1822"/>
      <c r="DJ31" s="1822"/>
      <c r="DK31" s="1822"/>
      <c r="DL31" s="1822"/>
      <c r="DM31" s="1822"/>
      <c r="DN31" s="1822"/>
      <c r="DO31" s="1822"/>
      <c r="DP31" s="1822"/>
      <c r="DQ31" s="1822"/>
      <c r="DR31" s="1822"/>
      <c r="DS31" s="1852"/>
      <c r="DT31" s="1852"/>
      <c r="DU31" s="1852"/>
      <c r="DV31" s="1852"/>
      <c r="DW31" s="1852"/>
      <c r="DX31" s="1852"/>
      <c r="DY31" s="1852"/>
      <c r="DZ31" s="1852"/>
      <c r="EA31" s="1852"/>
      <c r="EB31" s="1852"/>
      <c r="EC31" s="1852"/>
      <c r="ED31" s="1852"/>
      <c r="EE31" s="1852"/>
      <c r="EF31" s="1852"/>
      <c r="EG31" s="1852"/>
      <c r="EH31" s="1818"/>
      <c r="EI31" s="1817">
        <f t="shared" si="22"/>
        <v>0</v>
      </c>
      <c r="EK31" s="1809" t="s">
        <v>83</v>
      </c>
      <c r="EL31" s="1808">
        <f t="shared" si="23"/>
        <v>0</v>
      </c>
      <c r="EM31" s="1805">
        <f t="shared" ref="EM31:FQ31" si="35">+EM15</f>
        <v>0</v>
      </c>
      <c r="EN31" s="1805">
        <f t="shared" si="35"/>
        <v>0</v>
      </c>
      <c r="EO31" s="1805">
        <f t="shared" si="35"/>
        <v>0</v>
      </c>
      <c r="EP31" s="1805">
        <f t="shared" si="35"/>
        <v>0</v>
      </c>
      <c r="EQ31" s="1805">
        <f t="shared" si="35"/>
        <v>0</v>
      </c>
      <c r="ER31" s="1805">
        <f t="shared" si="35"/>
        <v>0</v>
      </c>
      <c r="ES31" s="1805">
        <f t="shared" si="35"/>
        <v>0</v>
      </c>
      <c r="ET31" s="1805">
        <f t="shared" si="35"/>
        <v>0</v>
      </c>
      <c r="EU31" s="1805">
        <f t="shared" si="35"/>
        <v>0</v>
      </c>
      <c r="EV31" s="1805">
        <f t="shared" si="35"/>
        <v>0</v>
      </c>
      <c r="EW31" s="1805">
        <f t="shared" si="35"/>
        <v>0</v>
      </c>
      <c r="EX31" s="1805">
        <f t="shared" si="35"/>
        <v>0</v>
      </c>
      <c r="EY31" s="1805">
        <f t="shared" si="35"/>
        <v>0</v>
      </c>
      <c r="EZ31" s="1805">
        <f t="shared" si="35"/>
        <v>0</v>
      </c>
      <c r="FA31" s="1805">
        <f t="shared" si="35"/>
        <v>0</v>
      </c>
      <c r="FB31" s="1805">
        <f t="shared" si="35"/>
        <v>0</v>
      </c>
      <c r="FC31" s="1805">
        <f t="shared" si="35"/>
        <v>0</v>
      </c>
      <c r="FD31" s="1805">
        <f t="shared" si="35"/>
        <v>0</v>
      </c>
      <c r="FE31" s="1805">
        <f t="shared" si="35"/>
        <v>0</v>
      </c>
      <c r="FF31" s="1805">
        <f t="shared" si="35"/>
        <v>0</v>
      </c>
      <c r="FG31" s="1805">
        <f t="shared" si="35"/>
        <v>0</v>
      </c>
      <c r="FH31" s="1805">
        <f t="shared" si="35"/>
        <v>0</v>
      </c>
      <c r="FI31" s="1805">
        <f t="shared" si="35"/>
        <v>0</v>
      </c>
      <c r="FJ31" s="1805">
        <f t="shared" si="35"/>
        <v>0</v>
      </c>
      <c r="FK31" s="1805">
        <f t="shared" si="35"/>
        <v>0</v>
      </c>
      <c r="FL31" s="1805">
        <f t="shared" si="35"/>
        <v>0</v>
      </c>
      <c r="FM31" s="1805">
        <f t="shared" si="35"/>
        <v>0</v>
      </c>
      <c r="FN31" s="1805">
        <f t="shared" si="35"/>
        <v>0</v>
      </c>
      <c r="FO31" s="1805">
        <f t="shared" si="35"/>
        <v>0</v>
      </c>
      <c r="FP31" s="1805">
        <f t="shared" si="35"/>
        <v>0</v>
      </c>
      <c r="FQ31" s="1805">
        <f t="shared" si="35"/>
        <v>0</v>
      </c>
      <c r="FR31" s="1804">
        <f t="shared" si="25"/>
        <v>0</v>
      </c>
    </row>
    <row r="32" spans="1:174" ht="15.6" thickBot="1">
      <c r="A32" s="1054" t="s">
        <v>84</v>
      </c>
      <c r="B32" s="1091">
        <f t="shared" si="15"/>
        <v>0</v>
      </c>
      <c r="C32" s="1539"/>
      <c r="D32" s="1924"/>
      <c r="E32" s="1924"/>
      <c r="F32" s="1924"/>
      <c r="G32" s="1539"/>
      <c r="H32" s="1539"/>
      <c r="I32" s="1539"/>
      <c r="J32" s="1539"/>
      <c r="K32" s="1539"/>
      <c r="L32" s="1539"/>
      <c r="M32" s="1539"/>
      <c r="N32" s="1539"/>
      <c r="O32" s="1539"/>
      <c r="P32" s="1539"/>
      <c r="Q32" s="1539"/>
      <c r="R32" s="1539"/>
      <c r="S32" s="1539"/>
      <c r="T32" s="1539"/>
      <c r="U32" s="1539"/>
      <c r="V32" s="1539"/>
      <c r="W32" s="1539"/>
      <c r="X32" s="1539"/>
      <c r="Y32" s="1539"/>
      <c r="Z32" s="1539"/>
      <c r="AA32" s="1539"/>
      <c r="AB32" s="1539"/>
      <c r="AC32" s="1539"/>
      <c r="AD32" s="1539"/>
      <c r="AE32" s="1539"/>
      <c r="AF32" s="1539"/>
      <c r="AG32" s="1539"/>
      <c r="AH32" s="1268">
        <f t="shared" si="16"/>
        <v>0</v>
      </c>
      <c r="AJ32" s="1524" t="s">
        <v>84</v>
      </c>
      <c r="AK32" s="1527">
        <f t="shared" si="17"/>
        <v>0</v>
      </c>
      <c r="AL32" s="1872"/>
      <c r="AM32" s="1872"/>
      <c r="AN32" s="1872"/>
      <c r="AO32" s="1872"/>
      <c r="AP32" s="1872"/>
      <c r="AQ32" s="1872"/>
      <c r="AR32" s="1872"/>
      <c r="AS32" s="1872"/>
      <c r="AT32" s="1872"/>
      <c r="AU32" s="1872"/>
      <c r="AV32" s="1872"/>
      <c r="AW32" s="1872"/>
      <c r="AX32" s="1835"/>
      <c r="AY32" s="1835"/>
      <c r="AZ32" s="1835"/>
      <c r="BA32" s="1835"/>
      <c r="BB32" s="1835"/>
      <c r="BC32" s="1835"/>
      <c r="BD32" s="1835"/>
      <c r="BE32" s="1835"/>
      <c r="BF32" s="1835"/>
      <c r="BG32" s="1835"/>
      <c r="BH32" s="1835"/>
      <c r="BI32" s="1835"/>
      <c r="BJ32" s="1835"/>
      <c r="BK32" s="1835"/>
      <c r="BL32" s="1835"/>
      <c r="BM32" s="1835"/>
      <c r="BN32" s="1835"/>
      <c r="BO32" s="1835"/>
      <c r="BP32" s="1835"/>
      <c r="BQ32" s="1834">
        <f t="shared" si="18"/>
        <v>0</v>
      </c>
      <c r="BS32" s="1621" t="s">
        <v>84</v>
      </c>
      <c r="BT32" s="1622">
        <f t="shared" si="19"/>
        <v>0</v>
      </c>
      <c r="BU32" s="1871"/>
      <c r="BV32" s="1871"/>
      <c r="BW32" s="1871"/>
      <c r="BX32" s="1871"/>
      <c r="BY32" s="1871"/>
      <c r="BZ32" s="1871"/>
      <c r="CA32" s="1871"/>
      <c r="CB32" s="1871"/>
      <c r="CC32" s="1871"/>
      <c r="CD32" s="1871"/>
      <c r="CE32" s="1871"/>
      <c r="CF32" s="1871"/>
      <c r="CG32" s="1827"/>
      <c r="CH32" s="1827"/>
      <c r="CI32" s="1827"/>
      <c r="CJ32" s="1827"/>
      <c r="CK32" s="1827"/>
      <c r="CL32" s="1827"/>
      <c r="CM32" s="1827"/>
      <c r="CN32" s="1827"/>
      <c r="CO32" s="1827"/>
      <c r="CP32" s="1827"/>
      <c r="CQ32" s="1827"/>
      <c r="CR32" s="1827"/>
      <c r="CS32" s="1827"/>
      <c r="CT32" s="1827"/>
      <c r="CU32" s="1827"/>
      <c r="CV32" s="1827"/>
      <c r="CW32" s="1827"/>
      <c r="CX32" s="1827"/>
      <c r="CY32" s="1827"/>
      <c r="CZ32" s="1826">
        <f t="shared" si="20"/>
        <v>0</v>
      </c>
      <c r="DB32" s="1719" t="s">
        <v>84</v>
      </c>
      <c r="DC32" s="1821">
        <f t="shared" si="21"/>
        <v>0</v>
      </c>
      <c r="DD32" s="1818"/>
      <c r="DE32" s="1852"/>
      <c r="DF32" s="1852"/>
      <c r="DG32" s="1852"/>
      <c r="DH32" s="1818"/>
      <c r="DI32" s="1818"/>
      <c r="DJ32" s="1818"/>
      <c r="DK32" s="1818"/>
      <c r="DL32" s="1818"/>
      <c r="DM32" s="1818"/>
      <c r="DN32" s="1818"/>
      <c r="DO32" s="1818"/>
      <c r="DP32" s="1818"/>
      <c r="DQ32" s="1818"/>
      <c r="DR32" s="1818"/>
      <c r="DS32" s="1818"/>
      <c r="DT32" s="1818"/>
      <c r="DU32" s="1818"/>
      <c r="DV32" s="1818"/>
      <c r="DW32" s="1818"/>
      <c r="DX32" s="1818"/>
      <c r="DY32" s="1818"/>
      <c r="DZ32" s="1818"/>
      <c r="EA32" s="1818"/>
      <c r="EB32" s="1818"/>
      <c r="EC32" s="1818"/>
      <c r="ED32" s="1818"/>
      <c r="EE32" s="1818"/>
      <c r="EF32" s="1818"/>
      <c r="EG32" s="1818"/>
      <c r="EH32" s="1818"/>
      <c r="EI32" s="1817">
        <f t="shared" si="22"/>
        <v>0</v>
      </c>
      <c r="EK32" s="1809" t="s">
        <v>84</v>
      </c>
      <c r="EL32" s="1808">
        <f t="shared" si="23"/>
        <v>0</v>
      </c>
      <c r="EM32" s="1805">
        <f t="shared" ref="EM32:FQ32" si="36">+EM16</f>
        <v>0</v>
      </c>
      <c r="EN32" s="1805">
        <f t="shared" si="36"/>
        <v>0</v>
      </c>
      <c r="EO32" s="1805">
        <f t="shared" si="36"/>
        <v>0</v>
      </c>
      <c r="EP32" s="1805">
        <f t="shared" si="36"/>
        <v>0</v>
      </c>
      <c r="EQ32" s="1805">
        <f t="shared" si="36"/>
        <v>0</v>
      </c>
      <c r="ER32" s="1805">
        <f t="shared" si="36"/>
        <v>0</v>
      </c>
      <c r="ES32" s="1805">
        <f t="shared" si="36"/>
        <v>0</v>
      </c>
      <c r="ET32" s="1805">
        <f t="shared" si="36"/>
        <v>0</v>
      </c>
      <c r="EU32" s="1805">
        <f t="shared" si="36"/>
        <v>0</v>
      </c>
      <c r="EV32" s="1805">
        <f t="shared" si="36"/>
        <v>0</v>
      </c>
      <c r="EW32" s="1805">
        <f t="shared" si="36"/>
        <v>0</v>
      </c>
      <c r="EX32" s="1805">
        <f t="shared" si="36"/>
        <v>0</v>
      </c>
      <c r="EY32" s="1805">
        <f t="shared" si="36"/>
        <v>0</v>
      </c>
      <c r="EZ32" s="1805">
        <f t="shared" si="36"/>
        <v>0</v>
      </c>
      <c r="FA32" s="1805">
        <f t="shared" si="36"/>
        <v>0</v>
      </c>
      <c r="FB32" s="1805">
        <f t="shared" si="36"/>
        <v>0</v>
      </c>
      <c r="FC32" s="1805">
        <f t="shared" si="36"/>
        <v>0</v>
      </c>
      <c r="FD32" s="1805">
        <f t="shared" si="36"/>
        <v>0</v>
      </c>
      <c r="FE32" s="1805">
        <f t="shared" si="36"/>
        <v>0</v>
      </c>
      <c r="FF32" s="1805">
        <f t="shared" si="36"/>
        <v>0</v>
      </c>
      <c r="FG32" s="1805">
        <f t="shared" si="36"/>
        <v>0</v>
      </c>
      <c r="FH32" s="1805">
        <f t="shared" si="36"/>
        <v>0</v>
      </c>
      <c r="FI32" s="1805">
        <f t="shared" si="36"/>
        <v>0</v>
      </c>
      <c r="FJ32" s="1805">
        <f t="shared" si="36"/>
        <v>0</v>
      </c>
      <c r="FK32" s="1805">
        <f t="shared" si="36"/>
        <v>0</v>
      </c>
      <c r="FL32" s="1805">
        <f t="shared" si="36"/>
        <v>0</v>
      </c>
      <c r="FM32" s="1805">
        <f t="shared" si="36"/>
        <v>0</v>
      </c>
      <c r="FN32" s="1805">
        <f t="shared" si="36"/>
        <v>0</v>
      </c>
      <c r="FO32" s="1805">
        <f t="shared" si="36"/>
        <v>0</v>
      </c>
      <c r="FP32" s="1805">
        <f t="shared" si="36"/>
        <v>0</v>
      </c>
      <c r="FQ32" s="1805">
        <f t="shared" si="36"/>
        <v>0</v>
      </c>
      <c r="FR32" s="1941">
        <f t="shared" si="25"/>
        <v>0</v>
      </c>
    </row>
    <row r="33" spans="1:174" ht="15.6" thickBot="1">
      <c r="A33" s="1259" t="s">
        <v>72</v>
      </c>
      <c r="B33" s="1923">
        <f t="shared" ref="B33:AH33" si="37">SUM(B21:B32)</f>
        <v>0</v>
      </c>
      <c r="C33" s="1268">
        <f t="shared" si="37"/>
        <v>0</v>
      </c>
      <c r="D33" s="1268">
        <f t="shared" si="37"/>
        <v>0</v>
      </c>
      <c r="E33" s="1268">
        <f t="shared" si="37"/>
        <v>0</v>
      </c>
      <c r="F33" s="1268">
        <f t="shared" si="37"/>
        <v>0</v>
      </c>
      <c r="G33" s="1268">
        <f t="shared" si="37"/>
        <v>0</v>
      </c>
      <c r="H33" s="1268">
        <f t="shared" si="37"/>
        <v>0</v>
      </c>
      <c r="I33" s="1268">
        <f t="shared" si="37"/>
        <v>0</v>
      </c>
      <c r="J33" s="1268">
        <f t="shared" si="37"/>
        <v>0</v>
      </c>
      <c r="K33" s="1268">
        <f t="shared" si="37"/>
        <v>0</v>
      </c>
      <c r="L33" s="1268">
        <f t="shared" si="37"/>
        <v>0</v>
      </c>
      <c r="M33" s="1268">
        <f t="shared" si="37"/>
        <v>0</v>
      </c>
      <c r="N33" s="1268">
        <f t="shared" si="37"/>
        <v>0</v>
      </c>
      <c r="O33" s="1268">
        <f t="shared" si="37"/>
        <v>0</v>
      </c>
      <c r="P33" s="1268">
        <f t="shared" si="37"/>
        <v>0</v>
      </c>
      <c r="Q33" s="1268">
        <f t="shared" si="37"/>
        <v>0</v>
      </c>
      <c r="R33" s="1268">
        <f t="shared" si="37"/>
        <v>0</v>
      </c>
      <c r="S33" s="1268">
        <f t="shared" si="37"/>
        <v>0</v>
      </c>
      <c r="T33" s="1268">
        <f t="shared" si="37"/>
        <v>0</v>
      </c>
      <c r="U33" s="1268">
        <f t="shared" si="37"/>
        <v>0</v>
      </c>
      <c r="V33" s="1268">
        <f t="shared" si="37"/>
        <v>0</v>
      </c>
      <c r="W33" s="1268">
        <f t="shared" si="37"/>
        <v>0</v>
      </c>
      <c r="X33" s="1268">
        <f t="shared" si="37"/>
        <v>0</v>
      </c>
      <c r="Y33" s="1268">
        <f t="shared" si="37"/>
        <v>0</v>
      </c>
      <c r="Z33" s="1268">
        <f t="shared" si="37"/>
        <v>0</v>
      </c>
      <c r="AA33" s="1268">
        <f t="shared" si="37"/>
        <v>0</v>
      </c>
      <c r="AB33" s="1268">
        <f t="shared" si="37"/>
        <v>0</v>
      </c>
      <c r="AC33" s="1268">
        <f t="shared" si="37"/>
        <v>0</v>
      </c>
      <c r="AD33" s="1268">
        <f t="shared" si="37"/>
        <v>0</v>
      </c>
      <c r="AE33" s="1268">
        <f t="shared" si="37"/>
        <v>0</v>
      </c>
      <c r="AF33" s="1268">
        <f t="shared" si="37"/>
        <v>0</v>
      </c>
      <c r="AG33" s="1268">
        <f t="shared" si="37"/>
        <v>0</v>
      </c>
      <c r="AH33" s="1268">
        <f t="shared" si="37"/>
        <v>0</v>
      </c>
      <c r="AJ33" s="1837" t="s">
        <v>72</v>
      </c>
      <c r="AK33" s="1836">
        <f t="shared" ref="AK33:BQ33" si="38">SUM(AK21:AK32)</f>
        <v>0</v>
      </c>
      <c r="AL33" s="1834">
        <f t="shared" si="38"/>
        <v>0</v>
      </c>
      <c r="AM33" s="1834">
        <f t="shared" si="38"/>
        <v>0</v>
      </c>
      <c r="AN33" s="1834">
        <f t="shared" si="38"/>
        <v>0</v>
      </c>
      <c r="AO33" s="1834">
        <f t="shared" si="38"/>
        <v>0</v>
      </c>
      <c r="AP33" s="1834">
        <f t="shared" si="38"/>
        <v>0</v>
      </c>
      <c r="AQ33" s="1834">
        <f t="shared" si="38"/>
        <v>0</v>
      </c>
      <c r="AR33" s="1834">
        <f t="shared" si="38"/>
        <v>0</v>
      </c>
      <c r="AS33" s="1834">
        <f t="shared" si="38"/>
        <v>0</v>
      </c>
      <c r="AT33" s="1834">
        <f t="shared" si="38"/>
        <v>0</v>
      </c>
      <c r="AU33" s="1834">
        <f t="shared" si="38"/>
        <v>0</v>
      </c>
      <c r="AV33" s="1834">
        <f t="shared" si="38"/>
        <v>0</v>
      </c>
      <c r="AW33" s="1834">
        <f t="shared" si="38"/>
        <v>0</v>
      </c>
      <c r="AX33" s="1834">
        <f t="shared" si="38"/>
        <v>0</v>
      </c>
      <c r="AY33" s="1834">
        <f t="shared" si="38"/>
        <v>0</v>
      </c>
      <c r="AZ33" s="1834">
        <f t="shared" si="38"/>
        <v>0</v>
      </c>
      <c r="BA33" s="1834">
        <f t="shared" si="38"/>
        <v>0</v>
      </c>
      <c r="BB33" s="1834">
        <f t="shared" si="38"/>
        <v>0</v>
      </c>
      <c r="BC33" s="1834">
        <f t="shared" si="38"/>
        <v>0</v>
      </c>
      <c r="BD33" s="1834">
        <f t="shared" si="38"/>
        <v>0</v>
      </c>
      <c r="BE33" s="1834">
        <f t="shared" si="38"/>
        <v>0</v>
      </c>
      <c r="BF33" s="1834">
        <f t="shared" si="38"/>
        <v>0</v>
      </c>
      <c r="BG33" s="1834">
        <f t="shared" si="38"/>
        <v>0</v>
      </c>
      <c r="BH33" s="1834">
        <f t="shared" si="38"/>
        <v>0</v>
      </c>
      <c r="BI33" s="1834">
        <f t="shared" si="38"/>
        <v>0</v>
      </c>
      <c r="BJ33" s="1834">
        <f t="shared" si="38"/>
        <v>0</v>
      </c>
      <c r="BK33" s="1834">
        <f t="shared" si="38"/>
        <v>0</v>
      </c>
      <c r="BL33" s="1834">
        <f t="shared" si="38"/>
        <v>0</v>
      </c>
      <c r="BM33" s="1834">
        <f t="shared" si="38"/>
        <v>0</v>
      </c>
      <c r="BN33" s="1834">
        <f t="shared" si="38"/>
        <v>0</v>
      </c>
      <c r="BO33" s="1834">
        <f t="shared" si="38"/>
        <v>0</v>
      </c>
      <c r="BP33" s="1834">
        <f t="shared" si="38"/>
        <v>0</v>
      </c>
      <c r="BQ33" s="1834">
        <f t="shared" si="38"/>
        <v>0</v>
      </c>
      <c r="BS33" s="1829" t="s">
        <v>72</v>
      </c>
      <c r="BT33" s="1828">
        <f t="shared" ref="BT33:CZ33" si="39">SUM(BT21:BT32)</f>
        <v>0.78500000000000014</v>
      </c>
      <c r="BU33" s="1826">
        <f t="shared" si="39"/>
        <v>0</v>
      </c>
      <c r="BV33" s="1826">
        <f t="shared" si="39"/>
        <v>0</v>
      </c>
      <c r="BW33" s="1826">
        <f t="shared" si="39"/>
        <v>0</v>
      </c>
      <c r="BX33" s="1826">
        <f t="shared" si="39"/>
        <v>0</v>
      </c>
      <c r="BY33" s="1826">
        <f t="shared" si="39"/>
        <v>8.5000000000000006E-2</v>
      </c>
      <c r="BZ33" s="1826">
        <f t="shared" si="39"/>
        <v>0</v>
      </c>
      <c r="CA33" s="1826">
        <f t="shared" si="39"/>
        <v>0</v>
      </c>
      <c r="CB33" s="1826">
        <f t="shared" si="39"/>
        <v>0</v>
      </c>
      <c r="CC33" s="1826">
        <f t="shared" si="39"/>
        <v>0</v>
      </c>
      <c r="CD33" s="1826">
        <f t="shared" si="39"/>
        <v>0</v>
      </c>
      <c r="CE33" s="1826">
        <f t="shared" si="39"/>
        <v>0</v>
      </c>
      <c r="CF33" s="1826">
        <f t="shared" si="39"/>
        <v>0</v>
      </c>
      <c r="CG33" s="1826">
        <f t="shared" si="39"/>
        <v>0</v>
      </c>
      <c r="CH33" s="1826">
        <f t="shared" si="39"/>
        <v>0</v>
      </c>
      <c r="CI33" s="1826">
        <f t="shared" si="39"/>
        <v>0</v>
      </c>
      <c r="CJ33" s="1826">
        <f t="shared" si="39"/>
        <v>0</v>
      </c>
      <c r="CK33" s="1826">
        <f t="shared" si="39"/>
        <v>0</v>
      </c>
      <c r="CL33" s="1826">
        <f t="shared" si="39"/>
        <v>0</v>
      </c>
      <c r="CM33" s="1826">
        <f t="shared" si="39"/>
        <v>0</v>
      </c>
      <c r="CN33" s="1826">
        <f t="shared" si="39"/>
        <v>0</v>
      </c>
      <c r="CO33" s="1826">
        <f t="shared" si="39"/>
        <v>0</v>
      </c>
      <c r="CP33" s="1826">
        <f t="shared" si="39"/>
        <v>0</v>
      </c>
      <c r="CQ33" s="1826">
        <f t="shared" si="39"/>
        <v>0</v>
      </c>
      <c r="CR33" s="1826">
        <f t="shared" si="39"/>
        <v>0</v>
      </c>
      <c r="CS33" s="1826">
        <f t="shared" si="39"/>
        <v>0</v>
      </c>
      <c r="CT33" s="1826">
        <f t="shared" si="39"/>
        <v>0.4</v>
      </c>
      <c r="CU33" s="1826">
        <f t="shared" si="39"/>
        <v>0</v>
      </c>
      <c r="CV33" s="1826">
        <f t="shared" si="39"/>
        <v>0</v>
      </c>
      <c r="CW33" s="1826">
        <f t="shared" si="39"/>
        <v>0</v>
      </c>
      <c r="CX33" s="1826">
        <f t="shared" si="39"/>
        <v>0.1</v>
      </c>
      <c r="CY33" s="1826">
        <f t="shared" si="39"/>
        <v>0.2</v>
      </c>
      <c r="CZ33" s="1826">
        <f t="shared" si="39"/>
        <v>0.78500000000000014</v>
      </c>
      <c r="DB33" s="1820" t="s">
        <v>72</v>
      </c>
      <c r="DC33" s="1819">
        <f t="shared" ref="DC33:EI33" si="40">SUM(DC21:DC32)</f>
        <v>0</v>
      </c>
      <c r="DD33" s="1817">
        <f t="shared" si="40"/>
        <v>0</v>
      </c>
      <c r="DE33" s="1817">
        <f t="shared" si="40"/>
        <v>0</v>
      </c>
      <c r="DF33" s="1817">
        <f t="shared" si="40"/>
        <v>0</v>
      </c>
      <c r="DG33" s="1817">
        <f t="shared" si="40"/>
        <v>0</v>
      </c>
      <c r="DH33" s="1817">
        <f t="shared" si="40"/>
        <v>0</v>
      </c>
      <c r="DI33" s="1817">
        <f t="shared" si="40"/>
        <v>0</v>
      </c>
      <c r="DJ33" s="1817">
        <f t="shared" si="40"/>
        <v>0</v>
      </c>
      <c r="DK33" s="1817">
        <f t="shared" si="40"/>
        <v>0</v>
      </c>
      <c r="DL33" s="1817">
        <f t="shared" si="40"/>
        <v>0</v>
      </c>
      <c r="DM33" s="1817">
        <f t="shared" si="40"/>
        <v>0</v>
      </c>
      <c r="DN33" s="1817">
        <f t="shared" si="40"/>
        <v>0</v>
      </c>
      <c r="DO33" s="1817">
        <f t="shared" si="40"/>
        <v>0</v>
      </c>
      <c r="DP33" s="1817">
        <f t="shared" si="40"/>
        <v>0</v>
      </c>
      <c r="DQ33" s="1817">
        <f t="shared" si="40"/>
        <v>0</v>
      </c>
      <c r="DR33" s="1817">
        <f t="shared" si="40"/>
        <v>0</v>
      </c>
      <c r="DS33" s="1817">
        <f t="shared" si="40"/>
        <v>0</v>
      </c>
      <c r="DT33" s="1817">
        <f t="shared" si="40"/>
        <v>0</v>
      </c>
      <c r="DU33" s="1817">
        <f t="shared" si="40"/>
        <v>0</v>
      </c>
      <c r="DV33" s="1817">
        <f t="shared" si="40"/>
        <v>0</v>
      </c>
      <c r="DW33" s="1817">
        <f t="shared" si="40"/>
        <v>0</v>
      </c>
      <c r="DX33" s="1817">
        <f t="shared" si="40"/>
        <v>0</v>
      </c>
      <c r="DY33" s="1817">
        <f t="shared" si="40"/>
        <v>0</v>
      </c>
      <c r="DZ33" s="1817">
        <f t="shared" si="40"/>
        <v>0</v>
      </c>
      <c r="EA33" s="1817">
        <f t="shared" si="40"/>
        <v>0</v>
      </c>
      <c r="EB33" s="1817">
        <f t="shared" si="40"/>
        <v>0</v>
      </c>
      <c r="EC33" s="1817">
        <f t="shared" si="40"/>
        <v>0</v>
      </c>
      <c r="ED33" s="1817">
        <f t="shared" si="40"/>
        <v>0</v>
      </c>
      <c r="EE33" s="1817">
        <f t="shared" si="40"/>
        <v>0</v>
      </c>
      <c r="EF33" s="1817">
        <f t="shared" si="40"/>
        <v>0</v>
      </c>
      <c r="EG33" s="1817">
        <f t="shared" si="40"/>
        <v>0</v>
      </c>
      <c r="EH33" s="1817">
        <f t="shared" si="40"/>
        <v>0</v>
      </c>
      <c r="EI33" s="1817">
        <f t="shared" si="40"/>
        <v>0</v>
      </c>
      <c r="EK33" s="1807" t="s">
        <v>72</v>
      </c>
      <c r="EL33" s="1940">
        <f t="shared" ref="EL33:FR33" si="41">SUM(EL21:EL32)</f>
        <v>6.3370000000000006</v>
      </c>
      <c r="EM33" s="1939">
        <f t="shared" si="41"/>
        <v>0</v>
      </c>
      <c r="EN33" s="1938">
        <f t="shared" si="41"/>
        <v>0</v>
      </c>
      <c r="EO33" s="1938">
        <f t="shared" si="41"/>
        <v>0</v>
      </c>
      <c r="EP33" s="1938">
        <f t="shared" si="41"/>
        <v>0</v>
      </c>
      <c r="EQ33" s="1938">
        <f t="shared" si="41"/>
        <v>0.3</v>
      </c>
      <c r="ER33" s="1938">
        <f t="shared" si="41"/>
        <v>0.25800000000000001</v>
      </c>
      <c r="ES33" s="1938">
        <f t="shared" si="41"/>
        <v>0</v>
      </c>
      <c r="ET33" s="1938">
        <f t="shared" si="41"/>
        <v>0</v>
      </c>
      <c r="EU33" s="1938">
        <f t="shared" si="41"/>
        <v>0</v>
      </c>
      <c r="EV33" s="1938">
        <f t="shared" si="41"/>
        <v>0.75</v>
      </c>
      <c r="EW33" s="1938">
        <f t="shared" si="41"/>
        <v>0</v>
      </c>
      <c r="EX33" s="1938">
        <f t="shared" si="41"/>
        <v>0</v>
      </c>
      <c r="EY33" s="1938">
        <f t="shared" si="41"/>
        <v>0</v>
      </c>
      <c r="EZ33" s="1938">
        <f t="shared" si="41"/>
        <v>0</v>
      </c>
      <c r="FA33" s="1938">
        <f t="shared" si="41"/>
        <v>0</v>
      </c>
      <c r="FB33" s="1938">
        <f t="shared" si="41"/>
        <v>1.3919999999999999</v>
      </c>
      <c r="FC33" s="1938">
        <f t="shared" si="41"/>
        <v>0.52700000000000002</v>
      </c>
      <c r="FD33" s="1938">
        <f t="shared" si="41"/>
        <v>0.55000000000000004</v>
      </c>
      <c r="FE33" s="1938">
        <f t="shared" si="41"/>
        <v>0.52500000000000002</v>
      </c>
      <c r="FF33" s="1938">
        <f t="shared" si="41"/>
        <v>0.61499999999999999</v>
      </c>
      <c r="FG33" s="1938">
        <f t="shared" si="41"/>
        <v>0</v>
      </c>
      <c r="FH33" s="1938">
        <f t="shared" si="41"/>
        <v>0</v>
      </c>
      <c r="FI33" s="1938">
        <f t="shared" si="41"/>
        <v>0.48</v>
      </c>
      <c r="FJ33" s="1938">
        <f t="shared" si="41"/>
        <v>0</v>
      </c>
      <c r="FK33" s="1938">
        <f t="shared" si="41"/>
        <v>0.42</v>
      </c>
      <c r="FL33" s="1938">
        <f t="shared" si="41"/>
        <v>0.27</v>
      </c>
      <c r="FM33" s="1938">
        <f t="shared" si="41"/>
        <v>0</v>
      </c>
      <c r="FN33" s="1938">
        <f t="shared" si="41"/>
        <v>0</v>
      </c>
      <c r="FO33" s="1938">
        <f t="shared" si="41"/>
        <v>0</v>
      </c>
      <c r="FP33" s="1938">
        <f t="shared" si="41"/>
        <v>0</v>
      </c>
      <c r="FQ33" s="1938">
        <f t="shared" si="41"/>
        <v>0.25</v>
      </c>
      <c r="FR33" s="1937">
        <f t="shared" si="41"/>
        <v>6.3370000000000006</v>
      </c>
    </row>
    <row r="34" spans="1:174">
      <c r="A34" s="1770"/>
      <c r="B34" s="1770"/>
      <c r="C34" s="1770"/>
      <c r="D34" s="1770"/>
      <c r="E34" s="1770"/>
      <c r="F34" s="1770"/>
      <c r="G34" s="1770"/>
      <c r="H34" s="1770"/>
      <c r="I34" s="1770"/>
      <c r="J34" s="1770"/>
      <c r="K34" s="1770"/>
      <c r="L34" s="1770"/>
      <c r="M34" s="1770"/>
      <c r="N34" s="1770"/>
      <c r="O34" s="1770"/>
      <c r="P34" s="1770"/>
      <c r="Q34" s="1770"/>
      <c r="R34" s="1770"/>
      <c r="S34" s="1770"/>
      <c r="T34" s="1770"/>
      <c r="U34" s="1770"/>
      <c r="V34" s="1770"/>
      <c r="W34" s="1770"/>
      <c r="X34" s="1770"/>
      <c r="Y34" s="1770"/>
      <c r="Z34" s="1770"/>
      <c r="AA34" s="1770"/>
      <c r="AB34" s="1770"/>
      <c r="AC34" s="1770"/>
      <c r="AD34" s="1770"/>
      <c r="AE34" s="1770"/>
      <c r="AF34" s="1770"/>
      <c r="AG34" s="1770"/>
      <c r="AH34" s="1770"/>
      <c r="AJ34" s="1841"/>
      <c r="AK34" s="1841"/>
      <c r="AL34" s="1841"/>
      <c r="AM34" s="1841"/>
      <c r="AN34" s="1841"/>
      <c r="AO34" s="1841"/>
      <c r="AP34" s="1841"/>
      <c r="AQ34" s="1841"/>
      <c r="AR34" s="1841"/>
      <c r="AS34" s="1841"/>
      <c r="AT34" s="1841"/>
      <c r="AU34" s="1841"/>
      <c r="AV34" s="1841"/>
      <c r="AW34" s="1841"/>
      <c r="AX34" s="1841"/>
      <c r="AY34" s="1841"/>
      <c r="AZ34" s="1841"/>
      <c r="BA34" s="1841"/>
      <c r="BB34" s="1841"/>
      <c r="BC34" s="1841"/>
      <c r="BD34" s="1841"/>
      <c r="BE34" s="1841"/>
      <c r="BF34" s="1841"/>
      <c r="BG34" s="1841"/>
      <c r="BH34" s="1841"/>
      <c r="BI34" s="1841"/>
      <c r="BJ34" s="1841"/>
      <c r="BK34" s="1841"/>
      <c r="BL34" s="1841"/>
      <c r="BM34" s="1841"/>
      <c r="BN34" s="1841"/>
      <c r="BO34" s="1841"/>
      <c r="BP34" s="1841"/>
      <c r="BQ34" s="1841"/>
      <c r="BS34" s="1833"/>
      <c r="BT34" s="1833"/>
      <c r="BU34" s="1833"/>
      <c r="BV34" s="1833"/>
      <c r="BW34" s="1833"/>
      <c r="BX34" s="1833"/>
      <c r="BY34" s="1833"/>
      <c r="BZ34" s="1833"/>
      <c r="CA34" s="1833"/>
      <c r="CB34" s="1833"/>
      <c r="CC34" s="1833"/>
      <c r="CD34" s="1833"/>
      <c r="CE34" s="1833"/>
      <c r="CF34" s="1833"/>
      <c r="CG34" s="1833"/>
      <c r="CH34" s="1833"/>
      <c r="CI34" s="1833"/>
      <c r="CJ34" s="1833"/>
      <c r="CK34" s="1833"/>
      <c r="CL34" s="1833"/>
      <c r="CM34" s="1833"/>
      <c r="CN34" s="1833"/>
      <c r="CO34" s="1833"/>
      <c r="CP34" s="1833"/>
      <c r="CQ34" s="1833"/>
      <c r="CR34" s="1833"/>
      <c r="CS34" s="1833"/>
      <c r="CT34" s="1833"/>
      <c r="CU34" s="1833"/>
      <c r="CV34" s="1833"/>
      <c r="CW34" s="1833"/>
      <c r="CX34" s="1833"/>
      <c r="CY34" s="1833"/>
      <c r="CZ34" s="1833"/>
      <c r="DB34" s="1825"/>
      <c r="DC34" s="1825"/>
      <c r="DD34" s="1825"/>
      <c r="DE34" s="1825"/>
      <c r="DF34" s="1825"/>
      <c r="DG34" s="1825"/>
      <c r="DH34" s="1825"/>
      <c r="DI34" s="1825"/>
      <c r="DJ34" s="1825"/>
      <c r="DK34" s="1825"/>
      <c r="DL34" s="1825"/>
      <c r="DM34" s="1825"/>
      <c r="DN34" s="1825"/>
      <c r="DO34" s="1825"/>
      <c r="DP34" s="1825"/>
      <c r="DQ34" s="1825"/>
      <c r="DR34" s="1825"/>
      <c r="DS34" s="1825"/>
      <c r="DT34" s="1825"/>
      <c r="DU34" s="1825"/>
      <c r="DV34" s="1825"/>
      <c r="DW34" s="1825"/>
      <c r="DX34" s="1825"/>
      <c r="DY34" s="1825"/>
      <c r="DZ34" s="1825"/>
      <c r="EA34" s="1825"/>
      <c r="EB34" s="1825"/>
      <c r="EC34" s="1825"/>
      <c r="ED34" s="1825"/>
      <c r="EE34" s="1825"/>
      <c r="EF34" s="1825"/>
      <c r="EG34" s="1825"/>
      <c r="EH34" s="1825"/>
      <c r="EI34" s="1825"/>
    </row>
    <row r="35" spans="1:174" ht="15">
      <c r="A35" s="4044" t="s">
        <v>613</v>
      </c>
      <c r="B35" s="4045"/>
      <c r="C35" s="4046"/>
      <c r="D35" s="1921"/>
      <c r="E35" s="1229"/>
      <c r="F35" s="1229"/>
      <c r="G35" s="1229"/>
      <c r="H35" s="1229"/>
      <c r="I35" s="1229"/>
      <c r="J35" s="1229"/>
      <c r="K35" s="1229"/>
      <c r="L35" s="1229"/>
      <c r="M35" s="1920"/>
      <c r="N35" s="1919"/>
      <c r="O35" s="1229"/>
      <c r="P35" s="1229"/>
      <c r="Q35" s="1229"/>
      <c r="R35" s="1229"/>
      <c r="S35" s="1229"/>
      <c r="T35" s="1229"/>
      <c r="U35" s="1229"/>
      <c r="V35" s="1229"/>
      <c r="W35" s="1229"/>
      <c r="X35" s="1229"/>
      <c r="Y35" s="1229"/>
      <c r="Z35" s="1229"/>
      <c r="AA35" s="1229"/>
      <c r="AB35" s="1229"/>
      <c r="AC35" s="1229"/>
      <c r="AD35" s="1229"/>
      <c r="AE35" s="1229"/>
      <c r="AF35" s="1229"/>
      <c r="AG35" s="1229"/>
      <c r="AH35" s="1229"/>
      <c r="AJ35" s="3821" t="s">
        <v>613</v>
      </c>
      <c r="AK35" s="3822"/>
      <c r="AL35" s="3823"/>
      <c r="AM35" s="1915"/>
      <c r="AN35" s="1839"/>
      <c r="AO35" s="1839"/>
      <c r="AP35" s="1839"/>
      <c r="AQ35" s="1839"/>
      <c r="AR35" s="1839"/>
      <c r="AS35" s="1839"/>
      <c r="AT35" s="1839"/>
      <c r="AU35" s="1839"/>
      <c r="AV35" s="1840"/>
      <c r="AW35" s="1914"/>
      <c r="AX35" s="1839"/>
      <c r="AY35" s="1839"/>
      <c r="AZ35" s="1839"/>
      <c r="BA35" s="1839"/>
      <c r="BB35" s="1839"/>
      <c r="BC35" s="1839"/>
      <c r="BD35" s="1839"/>
      <c r="BE35" s="1839"/>
      <c r="BF35" s="1839"/>
      <c r="BG35" s="1839"/>
      <c r="BH35" s="1839"/>
      <c r="BI35" s="1839"/>
      <c r="BJ35" s="1839"/>
      <c r="BK35" s="1839"/>
      <c r="BL35" s="1839"/>
      <c r="BM35" s="1839"/>
      <c r="BN35" s="1839"/>
      <c r="BO35" s="1839"/>
      <c r="BP35" s="1839"/>
      <c r="BQ35" s="1839"/>
      <c r="BS35" s="4035" t="s">
        <v>613</v>
      </c>
      <c r="BT35" s="4036"/>
      <c r="BU35" s="4037"/>
      <c r="BV35" s="2627">
        <v>41995</v>
      </c>
      <c r="BW35" s="1831"/>
      <c r="BX35" s="1831"/>
      <c r="BY35" s="1831"/>
      <c r="BZ35" s="1831"/>
      <c r="CA35" s="1831"/>
      <c r="CB35" s="1831"/>
      <c r="CC35" s="1831"/>
      <c r="CD35" s="1831"/>
      <c r="CE35" s="1832"/>
      <c r="CF35" s="1912"/>
      <c r="CG35" s="1831"/>
      <c r="CH35" s="1831"/>
      <c r="CI35" s="1831"/>
      <c r="CJ35" s="1831"/>
      <c r="CK35" s="1831"/>
      <c r="CL35" s="1831"/>
      <c r="CM35" s="1831"/>
      <c r="CN35" s="1831"/>
      <c r="CO35" s="1831"/>
      <c r="CP35" s="1831"/>
      <c r="CQ35" s="1831"/>
      <c r="CR35" s="1831"/>
      <c r="CS35" s="1831"/>
      <c r="CT35" s="1831"/>
      <c r="CU35" s="1831"/>
      <c r="CV35" s="1831"/>
      <c r="CW35" s="1831"/>
      <c r="CX35" s="1831"/>
      <c r="CY35" s="1831"/>
      <c r="CZ35" s="1831"/>
      <c r="DB35" s="4038" t="s">
        <v>613</v>
      </c>
      <c r="DC35" s="4039"/>
      <c r="DD35" s="4040"/>
      <c r="DE35" s="1911"/>
      <c r="DF35" s="1823"/>
      <c r="DG35" s="1823"/>
      <c r="DH35" s="1823"/>
      <c r="DI35" s="1823"/>
      <c r="DJ35" s="1823"/>
      <c r="DK35" s="1823"/>
      <c r="DL35" s="1823"/>
      <c r="DM35" s="1823"/>
      <c r="DN35" s="1824"/>
      <c r="DO35" s="1910"/>
      <c r="DP35" s="1823"/>
      <c r="DQ35" s="1823"/>
      <c r="DR35" s="1823"/>
      <c r="DS35" s="1823"/>
      <c r="DT35" s="1823"/>
      <c r="DU35" s="1823"/>
      <c r="DV35" s="1823"/>
      <c r="DW35" s="1823"/>
      <c r="DX35" s="1823"/>
      <c r="DY35" s="1823"/>
      <c r="DZ35" s="1823"/>
      <c r="EA35" s="1823"/>
      <c r="EB35" s="1823"/>
      <c r="EC35" s="1823"/>
      <c r="ED35" s="1823"/>
      <c r="EE35" s="1823"/>
      <c r="EF35" s="1823"/>
      <c r="EG35" s="1823"/>
      <c r="EH35" s="1823"/>
      <c r="EI35" s="1823"/>
    </row>
    <row r="36" spans="1:174" ht="15">
      <c r="A36" s="1054" t="s">
        <v>70</v>
      </c>
      <c r="B36" s="1054" t="s">
        <v>71</v>
      </c>
      <c r="C36" s="1054">
        <v>1</v>
      </c>
      <c r="D36" s="1054">
        <v>2</v>
      </c>
      <c r="E36" s="1054">
        <v>3</v>
      </c>
      <c r="F36" s="1054">
        <v>4</v>
      </c>
      <c r="G36" s="1054">
        <v>5</v>
      </c>
      <c r="H36" s="1054">
        <v>6</v>
      </c>
      <c r="I36" s="1054">
        <v>7</v>
      </c>
      <c r="J36" s="1054">
        <v>8</v>
      </c>
      <c r="K36" s="1054">
        <v>9</v>
      </c>
      <c r="L36" s="1054">
        <v>10</v>
      </c>
      <c r="M36" s="1054">
        <v>11</v>
      </c>
      <c r="N36" s="1054">
        <v>12</v>
      </c>
      <c r="O36" s="1054">
        <v>13</v>
      </c>
      <c r="P36" s="1054">
        <v>14</v>
      </c>
      <c r="Q36" s="1054">
        <v>15</v>
      </c>
      <c r="R36" s="1054">
        <v>16</v>
      </c>
      <c r="S36" s="1054">
        <v>17</v>
      </c>
      <c r="T36" s="1054">
        <v>18</v>
      </c>
      <c r="U36" s="1054">
        <v>19</v>
      </c>
      <c r="V36" s="1054">
        <v>20</v>
      </c>
      <c r="W36" s="1054">
        <v>21</v>
      </c>
      <c r="X36" s="1054">
        <v>22</v>
      </c>
      <c r="Y36" s="1054">
        <v>23</v>
      </c>
      <c r="Z36" s="1054">
        <v>24</v>
      </c>
      <c r="AA36" s="1054">
        <v>25</v>
      </c>
      <c r="AB36" s="1054">
        <v>26</v>
      </c>
      <c r="AC36" s="1054">
        <v>27</v>
      </c>
      <c r="AD36" s="1054">
        <v>28</v>
      </c>
      <c r="AE36" s="1054">
        <v>29</v>
      </c>
      <c r="AF36" s="1054">
        <v>30</v>
      </c>
      <c r="AG36" s="1054">
        <v>31</v>
      </c>
      <c r="AH36" s="1596" t="s">
        <v>72</v>
      </c>
      <c r="AJ36" s="1524" t="s">
        <v>70</v>
      </c>
      <c r="AK36" s="1524" t="s">
        <v>71</v>
      </c>
      <c r="AL36" s="1524">
        <v>1</v>
      </c>
      <c r="AM36" s="1524">
        <v>2</v>
      </c>
      <c r="AN36" s="1524">
        <v>3</v>
      </c>
      <c r="AO36" s="1524">
        <v>4</v>
      </c>
      <c r="AP36" s="1524">
        <v>5</v>
      </c>
      <c r="AQ36" s="1524">
        <v>6</v>
      </c>
      <c r="AR36" s="1524">
        <v>7</v>
      </c>
      <c r="AS36" s="1524">
        <v>8</v>
      </c>
      <c r="AT36" s="1524">
        <v>9</v>
      </c>
      <c r="AU36" s="1524">
        <v>10</v>
      </c>
      <c r="AV36" s="1524">
        <v>11</v>
      </c>
      <c r="AW36" s="1524">
        <v>12</v>
      </c>
      <c r="AX36" s="1524">
        <v>13</v>
      </c>
      <c r="AY36" s="1524">
        <v>14</v>
      </c>
      <c r="AZ36" s="1524">
        <v>15</v>
      </c>
      <c r="BA36" s="1524">
        <v>16</v>
      </c>
      <c r="BB36" s="1524">
        <v>17</v>
      </c>
      <c r="BC36" s="1524">
        <v>18</v>
      </c>
      <c r="BD36" s="1524">
        <v>19</v>
      </c>
      <c r="BE36" s="1524">
        <v>20</v>
      </c>
      <c r="BF36" s="1524">
        <v>21</v>
      </c>
      <c r="BG36" s="1524">
        <v>22</v>
      </c>
      <c r="BH36" s="1524">
        <v>23</v>
      </c>
      <c r="BI36" s="1524">
        <v>24</v>
      </c>
      <c r="BJ36" s="1524">
        <v>25</v>
      </c>
      <c r="BK36" s="1524">
        <v>26</v>
      </c>
      <c r="BL36" s="1524">
        <v>27</v>
      </c>
      <c r="BM36" s="1524">
        <v>28</v>
      </c>
      <c r="BN36" s="1524">
        <v>29</v>
      </c>
      <c r="BO36" s="1524">
        <v>30</v>
      </c>
      <c r="BP36" s="1524">
        <v>31</v>
      </c>
      <c r="BQ36" s="1838" t="s">
        <v>72</v>
      </c>
      <c r="BS36" s="1621" t="s">
        <v>70</v>
      </c>
      <c r="BT36" s="1621" t="s">
        <v>71</v>
      </c>
      <c r="BU36" s="1621">
        <v>1</v>
      </c>
      <c r="BV36" s="1621">
        <v>2</v>
      </c>
      <c r="BW36" s="1621">
        <v>3</v>
      </c>
      <c r="BX36" s="1621">
        <v>4</v>
      </c>
      <c r="BY36" s="1621">
        <v>5</v>
      </c>
      <c r="BZ36" s="1621">
        <v>6</v>
      </c>
      <c r="CA36" s="1621">
        <v>7</v>
      </c>
      <c r="CB36" s="1621">
        <v>8</v>
      </c>
      <c r="CC36" s="1621">
        <v>9</v>
      </c>
      <c r="CD36" s="1621">
        <v>10</v>
      </c>
      <c r="CE36" s="1621">
        <v>11</v>
      </c>
      <c r="CF36" s="1621">
        <v>12</v>
      </c>
      <c r="CG36" s="1621">
        <v>13</v>
      </c>
      <c r="CH36" s="1621">
        <v>14</v>
      </c>
      <c r="CI36" s="1621">
        <v>15</v>
      </c>
      <c r="CJ36" s="1621">
        <v>16</v>
      </c>
      <c r="CK36" s="1621">
        <v>17</v>
      </c>
      <c r="CL36" s="1621">
        <v>18</v>
      </c>
      <c r="CM36" s="1621">
        <v>19</v>
      </c>
      <c r="CN36" s="1621">
        <v>20</v>
      </c>
      <c r="CO36" s="1621">
        <v>21</v>
      </c>
      <c r="CP36" s="1621">
        <v>22</v>
      </c>
      <c r="CQ36" s="1621">
        <v>23</v>
      </c>
      <c r="CR36" s="1621">
        <v>24</v>
      </c>
      <c r="CS36" s="1621">
        <v>25</v>
      </c>
      <c r="CT36" s="1621">
        <v>26</v>
      </c>
      <c r="CU36" s="1621">
        <v>27</v>
      </c>
      <c r="CV36" s="1621">
        <v>28</v>
      </c>
      <c r="CW36" s="1621">
        <v>29</v>
      </c>
      <c r="CX36" s="1621">
        <v>30</v>
      </c>
      <c r="CY36" s="1621">
        <v>31</v>
      </c>
      <c r="CZ36" s="1830" t="s">
        <v>72</v>
      </c>
      <c r="DB36" s="1719" t="s">
        <v>70</v>
      </c>
      <c r="DC36" s="1719" t="s">
        <v>71</v>
      </c>
      <c r="DD36" s="1719">
        <v>1</v>
      </c>
      <c r="DE36" s="1719">
        <v>2</v>
      </c>
      <c r="DF36" s="1719">
        <v>3</v>
      </c>
      <c r="DG36" s="1719">
        <v>4</v>
      </c>
      <c r="DH36" s="1719">
        <v>5</v>
      </c>
      <c r="DI36" s="1719">
        <v>6</v>
      </c>
      <c r="DJ36" s="1719">
        <v>7</v>
      </c>
      <c r="DK36" s="1719">
        <v>8</v>
      </c>
      <c r="DL36" s="1719">
        <v>9</v>
      </c>
      <c r="DM36" s="1719">
        <v>10</v>
      </c>
      <c r="DN36" s="1719">
        <v>11</v>
      </c>
      <c r="DO36" s="1719">
        <v>12</v>
      </c>
      <c r="DP36" s="1719">
        <v>13</v>
      </c>
      <c r="DQ36" s="1719">
        <v>14</v>
      </c>
      <c r="DR36" s="1719">
        <v>15</v>
      </c>
      <c r="DS36" s="1719">
        <v>16</v>
      </c>
      <c r="DT36" s="1719">
        <v>17</v>
      </c>
      <c r="DU36" s="1719">
        <v>18</v>
      </c>
      <c r="DV36" s="1719">
        <v>19</v>
      </c>
      <c r="DW36" s="1719">
        <v>20</v>
      </c>
      <c r="DX36" s="1719">
        <v>21</v>
      </c>
      <c r="DY36" s="1719">
        <v>22</v>
      </c>
      <c r="DZ36" s="1719">
        <v>23</v>
      </c>
      <c r="EA36" s="1719">
        <v>24</v>
      </c>
      <c r="EB36" s="1719">
        <v>25</v>
      </c>
      <c r="EC36" s="1719">
        <v>26</v>
      </c>
      <c r="ED36" s="1719">
        <v>27</v>
      </c>
      <c r="EE36" s="1719">
        <v>28</v>
      </c>
      <c r="EF36" s="1719">
        <v>29</v>
      </c>
      <c r="EG36" s="1719">
        <v>30</v>
      </c>
      <c r="EH36" s="1719">
        <v>31</v>
      </c>
      <c r="EI36" s="1822" t="s">
        <v>72</v>
      </c>
    </row>
    <row r="37" spans="1:174" ht="15">
      <c r="A37" s="1054" t="s">
        <v>73</v>
      </c>
      <c r="B37" s="1091">
        <f t="shared" ref="B37:B48" si="42">+AH37</f>
        <v>0</v>
      </c>
      <c r="C37" s="1917"/>
      <c r="D37" s="1917"/>
      <c r="E37" s="1917"/>
      <c r="F37" s="1917"/>
      <c r="G37" s="1917"/>
      <c r="H37" s="1917"/>
      <c r="I37" s="1917"/>
      <c r="J37" s="1917"/>
      <c r="K37" s="1917"/>
      <c r="L37" s="1917"/>
      <c r="M37" s="1917"/>
      <c r="N37" s="1917"/>
      <c r="O37" s="1917"/>
      <c r="P37" s="1917"/>
      <c r="Q37" s="1917"/>
      <c r="R37" s="1917"/>
      <c r="S37" s="1917"/>
      <c r="T37" s="1917"/>
      <c r="U37" s="1917"/>
      <c r="V37" s="1917"/>
      <c r="W37" s="1917"/>
      <c r="X37" s="1917"/>
      <c r="Y37" s="1917"/>
      <c r="Z37" s="1917"/>
      <c r="AA37" s="1917"/>
      <c r="AB37" s="1917"/>
      <c r="AC37" s="1917"/>
      <c r="AD37" s="1917"/>
      <c r="AE37" s="1917"/>
      <c r="AF37" s="1917"/>
      <c r="AG37" s="1917"/>
      <c r="AH37" s="1268">
        <f t="shared" ref="AH37:AH48" si="43">SUM(C37:AG37)</f>
        <v>0</v>
      </c>
      <c r="AJ37" s="1524" t="s">
        <v>73</v>
      </c>
      <c r="AK37" s="1527">
        <f t="shared" ref="AK37:AK48" si="44">+BQ37</f>
        <v>0</v>
      </c>
      <c r="AL37" s="1872"/>
      <c r="AM37" s="1872"/>
      <c r="AN37" s="1872"/>
      <c r="AO37" s="1872"/>
      <c r="AP37" s="1872"/>
      <c r="AQ37" s="1872"/>
      <c r="AR37" s="1872"/>
      <c r="AS37" s="1872"/>
      <c r="AT37" s="1872"/>
      <c r="AU37" s="1872"/>
      <c r="AV37" s="1872"/>
      <c r="AW37" s="1872"/>
      <c r="AX37" s="1872"/>
      <c r="AY37" s="1872"/>
      <c r="AZ37" s="1872"/>
      <c r="BA37" s="1872"/>
      <c r="BB37" s="1872"/>
      <c r="BC37" s="1872"/>
      <c r="BD37" s="1872"/>
      <c r="BE37" s="1872"/>
      <c r="BF37" s="1872"/>
      <c r="BG37" s="1872"/>
      <c r="BH37" s="1872"/>
      <c r="BI37" s="1872"/>
      <c r="BJ37" s="1872"/>
      <c r="BK37" s="1872"/>
      <c r="BL37" s="1872"/>
      <c r="BM37" s="1872"/>
      <c r="BN37" s="1872"/>
      <c r="BO37" s="1872"/>
      <c r="BP37" s="1872"/>
      <c r="BQ37" s="1834">
        <f t="shared" ref="BQ37:BQ48" si="45">SUM(AL37:BP37)</f>
        <v>0</v>
      </c>
      <c r="BS37" s="1621" t="s">
        <v>73</v>
      </c>
      <c r="BT37" s="1622">
        <f t="shared" ref="BT37:BT48" si="46">+CZ37</f>
        <v>0</v>
      </c>
      <c r="BU37" s="1871"/>
      <c r="BV37" s="1871"/>
      <c r="BW37" s="1871"/>
      <c r="BX37" s="1871"/>
      <c r="BY37" s="1871"/>
      <c r="BZ37" s="1871"/>
      <c r="CA37" s="1871"/>
      <c r="CB37" s="1871"/>
      <c r="CC37" s="1871"/>
      <c r="CD37" s="1871"/>
      <c r="CE37" s="1871"/>
      <c r="CF37" s="1871"/>
      <c r="CG37" s="1871"/>
      <c r="CH37" s="1871"/>
      <c r="CI37" s="1871"/>
      <c r="CJ37" s="1871"/>
      <c r="CK37" s="1871"/>
      <c r="CL37" s="1871"/>
      <c r="CM37" s="1871"/>
      <c r="CN37" s="1871"/>
      <c r="CO37" s="1871"/>
      <c r="CP37" s="1871"/>
      <c r="CQ37" s="1871"/>
      <c r="CR37" s="1871"/>
      <c r="CS37" s="1871"/>
      <c r="CT37" s="1871"/>
      <c r="CU37" s="1871"/>
      <c r="CV37" s="1871"/>
      <c r="CW37" s="1871"/>
      <c r="CX37" s="1871"/>
      <c r="CY37" s="1871"/>
      <c r="CZ37" s="1826">
        <f t="shared" ref="CZ37:CZ48" si="47">SUM(BU37:CY37)</f>
        <v>0</v>
      </c>
      <c r="DB37" s="1719" t="s">
        <v>73</v>
      </c>
      <c r="DC37" s="1821">
        <f t="shared" ref="DC37:DC48" si="48">+EI37</f>
        <v>0</v>
      </c>
      <c r="DD37" s="1907"/>
      <c r="DE37" s="1907"/>
      <c r="DF37" s="1907"/>
      <c r="DG37" s="1907"/>
      <c r="DH37" s="1907"/>
      <c r="DI37" s="1907"/>
      <c r="DJ37" s="1907"/>
      <c r="DK37" s="1907"/>
      <c r="DL37" s="1907"/>
      <c r="DM37" s="1907"/>
      <c r="DN37" s="1907"/>
      <c r="DO37" s="1907"/>
      <c r="DP37" s="1907"/>
      <c r="DQ37" s="1907"/>
      <c r="DR37" s="1907"/>
      <c r="DS37" s="1907"/>
      <c r="DT37" s="1907"/>
      <c r="DU37" s="1907"/>
      <c r="DV37" s="1907"/>
      <c r="DW37" s="1907"/>
      <c r="DX37" s="1907"/>
      <c r="DY37" s="1907"/>
      <c r="DZ37" s="1907"/>
      <c r="EA37" s="1907"/>
      <c r="EB37" s="1907"/>
      <c r="EC37" s="1907"/>
      <c r="ED37" s="1907"/>
      <c r="EE37" s="1907"/>
      <c r="EF37" s="1907"/>
      <c r="EG37" s="1907"/>
      <c r="EH37" s="1907"/>
      <c r="EI37" s="1817">
        <f t="shared" ref="EI37:EI48" si="49">SUM(DD37:EH37)</f>
        <v>0</v>
      </c>
    </row>
    <row r="38" spans="1:174" ht="15">
      <c r="A38" s="1054" t="s">
        <v>74</v>
      </c>
      <c r="B38" s="1091">
        <f t="shared" si="42"/>
        <v>0</v>
      </c>
      <c r="C38" s="1917"/>
      <c r="D38" s="1917"/>
      <c r="E38" s="1917"/>
      <c r="F38" s="1917"/>
      <c r="G38" s="1917"/>
      <c r="H38" s="1917"/>
      <c r="I38" s="1917"/>
      <c r="J38" s="1917"/>
      <c r="K38" s="1917"/>
      <c r="L38" s="1917"/>
      <c r="M38" s="1917"/>
      <c r="N38" s="1917"/>
      <c r="O38" s="1917"/>
      <c r="P38" s="1917"/>
      <c r="Q38" s="1917"/>
      <c r="R38" s="1917"/>
      <c r="S38" s="1917"/>
      <c r="T38" s="1917"/>
      <c r="U38" s="1917"/>
      <c r="V38" s="1917"/>
      <c r="W38" s="1917"/>
      <c r="X38" s="1917"/>
      <c r="Y38" s="1917"/>
      <c r="Z38" s="1917"/>
      <c r="AA38" s="1917"/>
      <c r="AB38" s="1917"/>
      <c r="AC38" s="1917"/>
      <c r="AD38" s="1917"/>
      <c r="AE38" s="1917"/>
      <c r="AF38" s="1917"/>
      <c r="AG38" s="1917"/>
      <c r="AH38" s="1268">
        <f t="shared" si="43"/>
        <v>0</v>
      </c>
      <c r="AJ38" s="1524" t="s">
        <v>74</v>
      </c>
      <c r="AK38" s="1527">
        <f t="shared" si="44"/>
        <v>0</v>
      </c>
      <c r="AL38" s="1872"/>
      <c r="AM38" s="1872"/>
      <c r="AN38" s="1872"/>
      <c r="AO38" s="1872"/>
      <c r="AP38" s="1872"/>
      <c r="AQ38" s="1872"/>
      <c r="AR38" s="1872"/>
      <c r="AS38" s="1872"/>
      <c r="AT38" s="1872"/>
      <c r="AU38" s="1872"/>
      <c r="AV38" s="1872"/>
      <c r="AW38" s="1872"/>
      <c r="AX38" s="1872"/>
      <c r="AY38" s="1872"/>
      <c r="AZ38" s="1872"/>
      <c r="BA38" s="1872"/>
      <c r="BB38" s="1872"/>
      <c r="BC38" s="1872"/>
      <c r="BD38" s="1872"/>
      <c r="BE38" s="1872"/>
      <c r="BF38" s="1872"/>
      <c r="BG38" s="1872"/>
      <c r="BH38" s="1872"/>
      <c r="BI38" s="1872"/>
      <c r="BJ38" s="1872"/>
      <c r="BK38" s="1872"/>
      <c r="BL38" s="1872"/>
      <c r="BM38" s="1872"/>
      <c r="BN38" s="1872"/>
      <c r="BO38" s="1872"/>
      <c r="BP38" s="1872"/>
      <c r="BQ38" s="1834">
        <f t="shared" si="45"/>
        <v>0</v>
      </c>
      <c r="BS38" s="1621" t="s">
        <v>74</v>
      </c>
      <c r="BT38" s="1622">
        <f t="shared" si="46"/>
        <v>0</v>
      </c>
      <c r="BU38" s="1871"/>
      <c r="BV38" s="1871"/>
      <c r="BW38" s="1871"/>
      <c r="BX38" s="1871"/>
      <c r="BY38" s="1871"/>
      <c r="BZ38" s="1871"/>
      <c r="CA38" s="1871"/>
      <c r="CB38" s="1871"/>
      <c r="CC38" s="1871"/>
      <c r="CD38" s="1871"/>
      <c r="CE38" s="1871"/>
      <c r="CF38" s="1871"/>
      <c r="CG38" s="1871"/>
      <c r="CH38" s="1871"/>
      <c r="CI38" s="1871"/>
      <c r="CJ38" s="1871"/>
      <c r="CK38" s="1871"/>
      <c r="CL38" s="1871"/>
      <c r="CM38" s="1871"/>
      <c r="CN38" s="1871"/>
      <c r="CO38" s="1871"/>
      <c r="CP38" s="1871"/>
      <c r="CQ38" s="1871"/>
      <c r="CR38" s="1871"/>
      <c r="CS38" s="1871"/>
      <c r="CT38" s="1871"/>
      <c r="CU38" s="1871"/>
      <c r="CV38" s="1871"/>
      <c r="CW38" s="1871"/>
      <c r="CX38" s="1871"/>
      <c r="CY38" s="1871"/>
      <c r="CZ38" s="1826">
        <f t="shared" si="47"/>
        <v>0</v>
      </c>
      <c r="DB38" s="1719" t="s">
        <v>74</v>
      </c>
      <c r="DC38" s="1821">
        <f t="shared" si="48"/>
        <v>0</v>
      </c>
      <c r="DD38" s="1907"/>
      <c r="DE38" s="1907"/>
      <c r="DF38" s="1907"/>
      <c r="DG38" s="1907"/>
      <c r="DH38" s="1907"/>
      <c r="DI38" s="1907"/>
      <c r="DJ38" s="1907"/>
      <c r="DK38" s="1907"/>
      <c r="DL38" s="1907"/>
      <c r="DM38" s="1907"/>
      <c r="DN38" s="1907"/>
      <c r="DO38" s="1907"/>
      <c r="DP38" s="1907"/>
      <c r="DQ38" s="1907"/>
      <c r="DR38" s="1907"/>
      <c r="DS38" s="1907"/>
      <c r="DT38" s="1907"/>
      <c r="DU38" s="1907"/>
      <c r="DV38" s="1907"/>
      <c r="DW38" s="1907"/>
      <c r="DX38" s="1907"/>
      <c r="DY38" s="1907"/>
      <c r="DZ38" s="1907"/>
      <c r="EA38" s="1907"/>
      <c r="EB38" s="1907"/>
      <c r="EC38" s="1907"/>
      <c r="ED38" s="1907"/>
      <c r="EE38" s="1907"/>
      <c r="EF38" s="1907"/>
      <c r="EG38" s="1907"/>
      <c r="EH38" s="1907"/>
      <c r="EI38" s="1817">
        <f t="shared" si="49"/>
        <v>0</v>
      </c>
    </row>
    <row r="39" spans="1:174" ht="15">
      <c r="A39" s="1054" t="s">
        <v>75</v>
      </c>
      <c r="B39" s="1091">
        <f t="shared" si="42"/>
        <v>0</v>
      </c>
      <c r="C39" s="1917"/>
      <c r="D39" s="1917"/>
      <c r="E39" s="1917"/>
      <c r="F39" s="1917"/>
      <c r="G39" s="1917"/>
      <c r="H39" s="1917"/>
      <c r="I39" s="1917"/>
      <c r="J39" s="1917"/>
      <c r="K39" s="1917"/>
      <c r="L39" s="1917"/>
      <c r="M39" s="1917"/>
      <c r="N39" s="1917"/>
      <c r="O39" s="1917"/>
      <c r="P39" s="1917"/>
      <c r="Q39" s="1917"/>
      <c r="R39" s="1917"/>
      <c r="S39" s="1917"/>
      <c r="T39" s="1917"/>
      <c r="U39" s="1917"/>
      <c r="V39" s="1917"/>
      <c r="W39" s="1917"/>
      <c r="X39" s="1917"/>
      <c r="Y39" s="1917"/>
      <c r="Z39" s="1917"/>
      <c r="AA39" s="1917"/>
      <c r="AB39" s="1917"/>
      <c r="AC39" s="1917"/>
      <c r="AD39" s="1917"/>
      <c r="AE39" s="1917"/>
      <c r="AF39" s="1917"/>
      <c r="AG39" s="1917"/>
      <c r="AH39" s="1268">
        <f t="shared" si="43"/>
        <v>0</v>
      </c>
      <c r="AJ39" s="1524" t="s">
        <v>75</v>
      </c>
      <c r="AK39" s="1527">
        <f t="shared" si="44"/>
        <v>0</v>
      </c>
      <c r="AL39" s="1872"/>
      <c r="AM39" s="1872"/>
      <c r="AN39" s="1872"/>
      <c r="AO39" s="1872"/>
      <c r="AP39" s="1872"/>
      <c r="AQ39" s="1872"/>
      <c r="AR39" s="1872"/>
      <c r="AS39" s="1872"/>
      <c r="AT39" s="1872"/>
      <c r="AU39" s="1872"/>
      <c r="AV39" s="1872"/>
      <c r="AW39" s="1872"/>
      <c r="AX39" s="1872"/>
      <c r="AY39" s="1872"/>
      <c r="AZ39" s="1872"/>
      <c r="BA39" s="1872"/>
      <c r="BB39" s="1872"/>
      <c r="BC39" s="1872"/>
      <c r="BD39" s="1872"/>
      <c r="BE39" s="1872"/>
      <c r="BF39" s="1872"/>
      <c r="BG39" s="1872"/>
      <c r="BH39" s="1872"/>
      <c r="BI39" s="1872"/>
      <c r="BJ39" s="1872"/>
      <c r="BK39" s="1872"/>
      <c r="BL39" s="1872"/>
      <c r="BM39" s="1872"/>
      <c r="BN39" s="1872"/>
      <c r="BO39" s="1872"/>
      <c r="BP39" s="1872"/>
      <c r="BQ39" s="1834">
        <f t="shared" si="45"/>
        <v>0</v>
      </c>
      <c r="BS39" s="1621" t="s">
        <v>75</v>
      </c>
      <c r="BT39" s="1622">
        <f t="shared" si="46"/>
        <v>0</v>
      </c>
      <c r="BU39" s="1871"/>
      <c r="BV39" s="1871"/>
      <c r="BW39" s="1871"/>
      <c r="BX39" s="1871"/>
      <c r="BY39" s="1871"/>
      <c r="BZ39" s="1871"/>
      <c r="CA39" s="1871"/>
      <c r="CB39" s="1871"/>
      <c r="CC39" s="1871"/>
      <c r="CD39" s="1871"/>
      <c r="CE39" s="1871"/>
      <c r="CF39" s="1871"/>
      <c r="CG39" s="1871"/>
      <c r="CH39" s="1871"/>
      <c r="CI39" s="1871"/>
      <c r="CJ39" s="1871"/>
      <c r="CK39" s="1871"/>
      <c r="CL39" s="1871"/>
      <c r="CM39" s="1871"/>
      <c r="CN39" s="1871"/>
      <c r="CO39" s="1871"/>
      <c r="CP39" s="1871"/>
      <c r="CQ39" s="1871"/>
      <c r="CR39" s="1871"/>
      <c r="CS39" s="1871"/>
      <c r="CT39" s="1871"/>
      <c r="CU39" s="1871"/>
      <c r="CV39" s="1871"/>
      <c r="CW39" s="1871"/>
      <c r="CX39" s="1871"/>
      <c r="CY39" s="1871"/>
      <c r="CZ39" s="1826">
        <f t="shared" si="47"/>
        <v>0</v>
      </c>
      <c r="DB39" s="1719" t="s">
        <v>75</v>
      </c>
      <c r="DC39" s="1821">
        <f t="shared" si="48"/>
        <v>0</v>
      </c>
      <c r="DD39" s="1907"/>
      <c r="DE39" s="1907"/>
      <c r="DF39" s="1907"/>
      <c r="DG39" s="1907"/>
      <c r="DH39" s="1907"/>
      <c r="DI39" s="1907"/>
      <c r="DJ39" s="1907"/>
      <c r="DK39" s="1907"/>
      <c r="DL39" s="1907"/>
      <c r="DM39" s="1907"/>
      <c r="DN39" s="1907"/>
      <c r="DO39" s="1907"/>
      <c r="DP39" s="1907"/>
      <c r="DQ39" s="1907"/>
      <c r="DR39" s="1907"/>
      <c r="DS39" s="1907"/>
      <c r="DT39" s="1907"/>
      <c r="DU39" s="1907"/>
      <c r="DV39" s="1907"/>
      <c r="DW39" s="1907"/>
      <c r="DX39" s="1907"/>
      <c r="DY39" s="1907"/>
      <c r="DZ39" s="1907"/>
      <c r="EA39" s="1907"/>
      <c r="EB39" s="1907"/>
      <c r="EC39" s="1907"/>
      <c r="ED39" s="1907"/>
      <c r="EE39" s="1907"/>
      <c r="EF39" s="1907"/>
      <c r="EG39" s="1907"/>
      <c r="EH39" s="1907"/>
      <c r="EI39" s="1817">
        <f t="shared" si="49"/>
        <v>0</v>
      </c>
    </row>
    <row r="40" spans="1:174" ht="15">
      <c r="A40" s="1054" t="s">
        <v>76</v>
      </c>
      <c r="B40" s="1091">
        <f t="shared" si="42"/>
        <v>0</v>
      </c>
      <c r="C40" s="1538"/>
      <c r="D40" s="1538"/>
      <c r="E40" s="1538"/>
      <c r="F40" s="1538"/>
      <c r="G40" s="1538"/>
      <c r="H40" s="1538"/>
      <c r="I40" s="1538"/>
      <c r="J40" s="1538"/>
      <c r="K40" s="1538"/>
      <c r="L40" s="1538"/>
      <c r="M40" s="1917"/>
      <c r="N40" s="1917"/>
      <c r="O40" s="1917"/>
      <c r="P40" s="1917"/>
      <c r="Q40" s="1917"/>
      <c r="R40" s="1917"/>
      <c r="S40" s="1917"/>
      <c r="T40" s="1917"/>
      <c r="U40" s="1917"/>
      <c r="V40" s="1917"/>
      <c r="W40" s="1917"/>
      <c r="X40" s="1917"/>
      <c r="Y40" s="1917"/>
      <c r="Z40" s="1917"/>
      <c r="AA40" s="1917"/>
      <c r="AB40" s="1917"/>
      <c r="AC40" s="1917"/>
      <c r="AD40" s="1917"/>
      <c r="AE40" s="1917"/>
      <c r="AF40" s="1917"/>
      <c r="AG40" s="1538"/>
      <c r="AH40" s="1268">
        <f t="shared" si="43"/>
        <v>0</v>
      </c>
      <c r="AJ40" s="1524" t="s">
        <v>76</v>
      </c>
      <c r="AK40" s="1527">
        <f t="shared" si="44"/>
        <v>0</v>
      </c>
      <c r="AL40" s="1877"/>
      <c r="AM40" s="1877"/>
      <c r="AN40" s="1877"/>
      <c r="AO40" s="1877"/>
      <c r="AP40" s="1877"/>
      <c r="AQ40" s="1877"/>
      <c r="AR40" s="1877"/>
      <c r="AS40" s="1877"/>
      <c r="AT40" s="1877"/>
      <c r="AU40" s="1877"/>
      <c r="AV40" s="1872"/>
      <c r="AW40" s="1872"/>
      <c r="AX40" s="1872"/>
      <c r="AY40" s="1872"/>
      <c r="AZ40" s="1872"/>
      <c r="BA40" s="1872"/>
      <c r="BB40" s="1872"/>
      <c r="BC40" s="1872"/>
      <c r="BD40" s="1872"/>
      <c r="BE40" s="1872"/>
      <c r="BF40" s="1872"/>
      <c r="BG40" s="1872"/>
      <c r="BH40" s="1872"/>
      <c r="BI40" s="1872"/>
      <c r="BJ40" s="1872"/>
      <c r="BK40" s="1872"/>
      <c r="BL40" s="1872"/>
      <c r="BM40" s="1872"/>
      <c r="BN40" s="1872"/>
      <c r="BO40" s="1872"/>
      <c r="BP40" s="1877"/>
      <c r="BQ40" s="1834">
        <f t="shared" si="45"/>
        <v>0</v>
      </c>
      <c r="BS40" s="1621" t="s">
        <v>76</v>
      </c>
      <c r="BT40" s="1622">
        <f t="shared" si="46"/>
        <v>0</v>
      </c>
      <c r="BU40" s="1876"/>
      <c r="BV40" s="1876"/>
      <c r="BW40" s="1876"/>
      <c r="BX40" s="1876"/>
      <c r="BY40" s="1876"/>
      <c r="BZ40" s="1876"/>
      <c r="CA40" s="1876"/>
      <c r="CB40" s="1876"/>
      <c r="CC40" s="1876"/>
      <c r="CD40" s="1876"/>
      <c r="CE40" s="1871"/>
      <c r="CF40" s="1871"/>
      <c r="CG40" s="1871"/>
      <c r="CH40" s="1871"/>
      <c r="CI40" s="1871"/>
      <c r="CJ40" s="1871"/>
      <c r="CK40" s="1871"/>
      <c r="CL40" s="1871"/>
      <c r="CM40" s="1871"/>
      <c r="CN40" s="1871"/>
      <c r="CO40" s="1871"/>
      <c r="CP40" s="1871"/>
      <c r="CQ40" s="1871"/>
      <c r="CR40" s="1871"/>
      <c r="CS40" s="1871"/>
      <c r="CT40" s="1871"/>
      <c r="CU40" s="1871"/>
      <c r="CV40" s="1871"/>
      <c r="CW40" s="1871"/>
      <c r="CX40" s="1871"/>
      <c r="CY40" s="1876"/>
      <c r="CZ40" s="1826">
        <f t="shared" si="47"/>
        <v>0</v>
      </c>
      <c r="DB40" s="1719" t="s">
        <v>76</v>
      </c>
      <c r="DC40" s="1821">
        <f t="shared" si="48"/>
        <v>0</v>
      </c>
      <c r="DD40" s="1908"/>
      <c r="DE40" s="1908"/>
      <c r="DF40" s="1908"/>
      <c r="DG40" s="1908"/>
      <c r="DH40" s="1908"/>
      <c r="DI40" s="1908"/>
      <c r="DJ40" s="1908"/>
      <c r="DK40" s="1908"/>
      <c r="DL40" s="1908"/>
      <c r="DM40" s="1908"/>
      <c r="DN40" s="1907"/>
      <c r="DO40" s="1907"/>
      <c r="DP40" s="1907"/>
      <c r="DQ40" s="1907"/>
      <c r="DR40" s="1907"/>
      <c r="DS40" s="1907"/>
      <c r="DT40" s="1907"/>
      <c r="DU40" s="1907"/>
      <c r="DV40" s="1907"/>
      <c r="DW40" s="1907"/>
      <c r="DX40" s="1907"/>
      <c r="DY40" s="1907"/>
      <c r="DZ40" s="1907"/>
      <c r="EA40" s="1907"/>
      <c r="EB40" s="1907"/>
      <c r="EC40" s="1907"/>
      <c r="ED40" s="1907"/>
      <c r="EE40" s="1907"/>
      <c r="EF40" s="1907"/>
      <c r="EG40" s="1907"/>
      <c r="EH40" s="1908"/>
      <c r="EI40" s="1817">
        <f t="shared" si="49"/>
        <v>0</v>
      </c>
    </row>
    <row r="41" spans="1:174" ht="15">
      <c r="A41" s="1054" t="s">
        <v>77</v>
      </c>
      <c r="B41" s="1091">
        <f t="shared" si="42"/>
        <v>0</v>
      </c>
      <c r="C41" s="1538"/>
      <c r="D41" s="1538"/>
      <c r="E41" s="1538"/>
      <c r="F41" s="1917"/>
      <c r="G41" s="1538"/>
      <c r="H41" s="1917"/>
      <c r="I41" s="1538"/>
      <c r="J41" s="1917"/>
      <c r="K41" s="1538"/>
      <c r="L41" s="1538"/>
      <c r="M41" s="1538"/>
      <c r="N41" s="1538"/>
      <c r="O41" s="1538"/>
      <c r="P41" s="1538"/>
      <c r="Q41" s="1538"/>
      <c r="R41" s="1538"/>
      <c r="S41" s="1917"/>
      <c r="T41" s="1538"/>
      <c r="U41" s="1538"/>
      <c r="V41" s="1917"/>
      <c r="W41" s="1538"/>
      <c r="X41" s="1538"/>
      <c r="Y41" s="1917"/>
      <c r="Z41" s="1538"/>
      <c r="AA41" s="1538"/>
      <c r="AB41" s="1917"/>
      <c r="AC41" s="1538"/>
      <c r="AD41" s="1538"/>
      <c r="AE41" s="1917"/>
      <c r="AF41" s="1538"/>
      <c r="AG41" s="1538"/>
      <c r="AH41" s="1268">
        <f t="shared" si="43"/>
        <v>0</v>
      </c>
      <c r="AJ41" s="1524" t="s">
        <v>77</v>
      </c>
      <c r="AK41" s="1527">
        <f t="shared" si="44"/>
        <v>0</v>
      </c>
      <c r="AL41" s="1877"/>
      <c r="AM41" s="1877"/>
      <c r="AN41" s="1877"/>
      <c r="AO41" s="1872"/>
      <c r="AP41" s="1877"/>
      <c r="AQ41" s="1872"/>
      <c r="AR41" s="1877"/>
      <c r="AS41" s="1872"/>
      <c r="AT41" s="1877"/>
      <c r="AU41" s="1877"/>
      <c r="AV41" s="1877"/>
      <c r="AW41" s="1877"/>
      <c r="AX41" s="1877"/>
      <c r="AY41" s="1877"/>
      <c r="AZ41" s="1877"/>
      <c r="BA41" s="1877"/>
      <c r="BB41" s="1872"/>
      <c r="BC41" s="1877"/>
      <c r="BD41" s="1877"/>
      <c r="BE41" s="1872"/>
      <c r="BF41" s="1877"/>
      <c r="BG41" s="1877"/>
      <c r="BH41" s="1872"/>
      <c r="BI41" s="1877"/>
      <c r="BJ41" s="1877"/>
      <c r="BK41" s="1872"/>
      <c r="BL41" s="1877"/>
      <c r="BM41" s="1877"/>
      <c r="BN41" s="1872"/>
      <c r="BO41" s="1877"/>
      <c r="BP41" s="1877"/>
      <c r="BQ41" s="1834">
        <f t="shared" si="45"/>
        <v>0</v>
      </c>
      <c r="BS41" s="1621" t="s">
        <v>77</v>
      </c>
      <c r="BT41" s="1622">
        <f t="shared" si="46"/>
        <v>0</v>
      </c>
      <c r="BU41" s="1876"/>
      <c r="BV41" s="1876"/>
      <c r="BW41" s="1876"/>
      <c r="BX41" s="1871"/>
      <c r="BY41" s="1876"/>
      <c r="BZ41" s="1871"/>
      <c r="CA41" s="1876"/>
      <c r="CB41" s="1871"/>
      <c r="CC41" s="1876"/>
      <c r="CD41" s="1876"/>
      <c r="CE41" s="1876"/>
      <c r="CF41" s="1876"/>
      <c r="CG41" s="1876"/>
      <c r="CH41" s="1876"/>
      <c r="CI41" s="1876"/>
      <c r="CJ41" s="1876"/>
      <c r="CK41" s="1871"/>
      <c r="CL41" s="1876"/>
      <c r="CM41" s="1876"/>
      <c r="CN41" s="1871"/>
      <c r="CO41" s="1876"/>
      <c r="CP41" s="1876"/>
      <c r="CQ41" s="1871"/>
      <c r="CR41" s="1876"/>
      <c r="CS41" s="1876"/>
      <c r="CT41" s="1871"/>
      <c r="CU41" s="1876"/>
      <c r="CV41" s="1876"/>
      <c r="CW41" s="1871"/>
      <c r="CX41" s="1876"/>
      <c r="CY41" s="1876"/>
      <c r="CZ41" s="1826">
        <f t="shared" si="47"/>
        <v>0</v>
      </c>
      <c r="DB41" s="1719" t="s">
        <v>77</v>
      </c>
      <c r="DC41" s="1821">
        <f t="shared" si="48"/>
        <v>0</v>
      </c>
      <c r="DD41" s="1908"/>
      <c r="DE41" s="1908"/>
      <c r="DF41" s="1908"/>
      <c r="DG41" s="1907"/>
      <c r="DH41" s="1908"/>
      <c r="DI41" s="1907"/>
      <c r="DJ41" s="1908"/>
      <c r="DK41" s="1907"/>
      <c r="DL41" s="1908"/>
      <c r="DM41" s="1908"/>
      <c r="DN41" s="1908"/>
      <c r="DO41" s="1908"/>
      <c r="DP41" s="1908"/>
      <c r="DQ41" s="1908"/>
      <c r="DR41" s="1908"/>
      <c r="DS41" s="1908"/>
      <c r="DT41" s="1907"/>
      <c r="DU41" s="1908"/>
      <c r="DV41" s="1908"/>
      <c r="DW41" s="1907"/>
      <c r="DX41" s="1908"/>
      <c r="DY41" s="1908"/>
      <c r="DZ41" s="1907"/>
      <c r="EA41" s="1908"/>
      <c r="EB41" s="1908"/>
      <c r="EC41" s="1907"/>
      <c r="ED41" s="1908"/>
      <c r="EE41" s="1908"/>
      <c r="EF41" s="1907"/>
      <c r="EG41" s="1908"/>
      <c r="EH41" s="1908"/>
      <c r="EI41" s="1817">
        <f t="shared" si="49"/>
        <v>0</v>
      </c>
    </row>
    <row r="42" spans="1:174" ht="15">
      <c r="A42" s="1054" t="s">
        <v>78</v>
      </c>
      <c r="B42" s="1091">
        <f t="shared" si="42"/>
        <v>0</v>
      </c>
      <c r="C42" s="1538"/>
      <c r="D42" s="1538"/>
      <c r="E42" s="1538"/>
      <c r="F42" s="1538"/>
      <c r="G42" s="1538"/>
      <c r="H42" s="1538"/>
      <c r="I42" s="1538"/>
      <c r="J42" s="1538"/>
      <c r="K42" s="1538"/>
      <c r="L42" s="1538"/>
      <c r="M42" s="1538"/>
      <c r="N42" s="1917"/>
      <c r="O42" s="1538"/>
      <c r="P42" s="1917"/>
      <c r="Q42" s="1538"/>
      <c r="R42" s="1917"/>
      <c r="S42" s="1538"/>
      <c r="T42" s="1917"/>
      <c r="U42" s="1538"/>
      <c r="V42" s="1917"/>
      <c r="W42" s="1538"/>
      <c r="X42" s="1917"/>
      <c r="Y42" s="1538"/>
      <c r="Z42" s="1917"/>
      <c r="AA42" s="1538"/>
      <c r="AB42" s="1917"/>
      <c r="AC42" s="1538"/>
      <c r="AD42" s="1917"/>
      <c r="AE42" s="1538"/>
      <c r="AF42" s="1917"/>
      <c r="AG42" s="1538"/>
      <c r="AH42" s="1268">
        <f t="shared" si="43"/>
        <v>0</v>
      </c>
      <c r="AJ42" s="1524" t="s">
        <v>78</v>
      </c>
      <c r="AK42" s="1527">
        <f t="shared" si="44"/>
        <v>0</v>
      </c>
      <c r="AL42" s="1877"/>
      <c r="AM42" s="1877"/>
      <c r="AN42" s="1877"/>
      <c r="AO42" s="1877"/>
      <c r="AP42" s="1877"/>
      <c r="AQ42" s="1877"/>
      <c r="AR42" s="1877"/>
      <c r="AS42" s="1877"/>
      <c r="AT42" s="1877"/>
      <c r="AU42" s="1877"/>
      <c r="AV42" s="1877"/>
      <c r="AW42" s="1872"/>
      <c r="AX42" s="1877"/>
      <c r="AY42" s="1872"/>
      <c r="AZ42" s="1877"/>
      <c r="BA42" s="1872"/>
      <c r="BB42" s="1877"/>
      <c r="BC42" s="1872"/>
      <c r="BD42" s="1877"/>
      <c r="BE42" s="1872"/>
      <c r="BF42" s="1877"/>
      <c r="BG42" s="1872"/>
      <c r="BH42" s="1877"/>
      <c r="BI42" s="1872"/>
      <c r="BJ42" s="1877"/>
      <c r="BK42" s="1872"/>
      <c r="BL42" s="1877"/>
      <c r="BM42" s="1872"/>
      <c r="BN42" s="1877"/>
      <c r="BO42" s="1872"/>
      <c r="BP42" s="1877"/>
      <c r="BQ42" s="1834">
        <f t="shared" si="45"/>
        <v>0</v>
      </c>
      <c r="BS42" s="1621" t="s">
        <v>78</v>
      </c>
      <c r="BT42" s="1622">
        <f t="shared" si="46"/>
        <v>0</v>
      </c>
      <c r="BU42" s="1876"/>
      <c r="BV42" s="1876"/>
      <c r="BW42" s="1876"/>
      <c r="BX42" s="1876"/>
      <c r="BY42" s="1876"/>
      <c r="BZ42" s="1876"/>
      <c r="CA42" s="1876"/>
      <c r="CB42" s="1876"/>
      <c r="CC42" s="1876"/>
      <c r="CD42" s="1876"/>
      <c r="CE42" s="1876"/>
      <c r="CF42" s="1871"/>
      <c r="CG42" s="1876"/>
      <c r="CH42" s="1871"/>
      <c r="CI42" s="1876"/>
      <c r="CJ42" s="1871"/>
      <c r="CK42" s="1876"/>
      <c r="CL42" s="1871"/>
      <c r="CM42" s="1876"/>
      <c r="CN42" s="1871"/>
      <c r="CO42" s="1876"/>
      <c r="CP42" s="1871"/>
      <c r="CQ42" s="1876"/>
      <c r="CR42" s="1871"/>
      <c r="CS42" s="1876"/>
      <c r="CT42" s="1871"/>
      <c r="CU42" s="1876"/>
      <c r="CV42" s="1871"/>
      <c r="CW42" s="1876"/>
      <c r="CX42" s="1871"/>
      <c r="CY42" s="1876"/>
      <c r="CZ42" s="1826">
        <f t="shared" si="47"/>
        <v>0</v>
      </c>
      <c r="DB42" s="1719" t="s">
        <v>78</v>
      </c>
      <c r="DC42" s="1821">
        <f t="shared" si="48"/>
        <v>0</v>
      </c>
      <c r="DD42" s="1908"/>
      <c r="DE42" s="1908"/>
      <c r="DF42" s="1908"/>
      <c r="DG42" s="1908"/>
      <c r="DH42" s="1908"/>
      <c r="DI42" s="1908"/>
      <c r="DJ42" s="1908"/>
      <c r="DK42" s="1908"/>
      <c r="DL42" s="1908"/>
      <c r="DM42" s="1908"/>
      <c r="DN42" s="1908"/>
      <c r="DO42" s="1907"/>
      <c r="DP42" s="1908"/>
      <c r="DQ42" s="1907"/>
      <c r="DR42" s="1908"/>
      <c r="DS42" s="1907"/>
      <c r="DT42" s="1908"/>
      <c r="DU42" s="1907"/>
      <c r="DV42" s="1908"/>
      <c r="DW42" s="1907"/>
      <c r="DX42" s="1908"/>
      <c r="DY42" s="1907"/>
      <c r="DZ42" s="1908"/>
      <c r="EA42" s="1907"/>
      <c r="EB42" s="1908"/>
      <c r="EC42" s="1907"/>
      <c r="ED42" s="1908"/>
      <c r="EE42" s="1907"/>
      <c r="EF42" s="1908"/>
      <c r="EG42" s="1907"/>
      <c r="EH42" s="1908"/>
      <c r="EI42" s="1817">
        <f t="shared" si="49"/>
        <v>0</v>
      </c>
    </row>
    <row r="43" spans="1:174" ht="15">
      <c r="A43" s="1054" t="s">
        <v>79</v>
      </c>
      <c r="B43" s="1091">
        <f t="shared" si="42"/>
        <v>0</v>
      </c>
      <c r="C43" s="1538"/>
      <c r="D43" s="1538"/>
      <c r="E43" s="1538"/>
      <c r="F43" s="1538"/>
      <c r="G43" s="1538"/>
      <c r="H43" s="1538"/>
      <c r="I43" s="1538"/>
      <c r="J43" s="1538"/>
      <c r="K43" s="1538"/>
      <c r="L43" s="1538"/>
      <c r="M43" s="1538"/>
      <c r="N43" s="1538"/>
      <c r="O43" s="1538"/>
      <c r="P43" s="1538"/>
      <c r="Q43" s="1538"/>
      <c r="R43" s="1538"/>
      <c r="S43" s="1538"/>
      <c r="T43" s="1538"/>
      <c r="U43" s="1538"/>
      <c r="V43" s="1538"/>
      <c r="W43" s="1538"/>
      <c r="X43" s="1538"/>
      <c r="Y43" s="1538"/>
      <c r="Z43" s="1538"/>
      <c r="AA43" s="1538"/>
      <c r="AB43" s="1538"/>
      <c r="AC43" s="1538"/>
      <c r="AD43" s="1538"/>
      <c r="AE43" s="1538"/>
      <c r="AF43" s="1538"/>
      <c r="AG43" s="1538"/>
      <c r="AH43" s="1268">
        <f t="shared" si="43"/>
        <v>0</v>
      </c>
      <c r="AJ43" s="1524" t="s">
        <v>79</v>
      </c>
      <c r="AK43" s="1527">
        <f t="shared" si="44"/>
        <v>0</v>
      </c>
      <c r="AL43" s="1877"/>
      <c r="AM43" s="1877"/>
      <c r="AN43" s="1877"/>
      <c r="AO43" s="1877"/>
      <c r="AP43" s="1877"/>
      <c r="AQ43" s="1877"/>
      <c r="AR43" s="1877"/>
      <c r="AS43" s="1877"/>
      <c r="AT43" s="1877"/>
      <c r="AU43" s="1877"/>
      <c r="AV43" s="1877"/>
      <c r="AW43" s="1877"/>
      <c r="AX43" s="1877"/>
      <c r="AY43" s="1877"/>
      <c r="AZ43" s="1877"/>
      <c r="BA43" s="1877"/>
      <c r="BB43" s="1877"/>
      <c r="BC43" s="1877"/>
      <c r="BD43" s="1877"/>
      <c r="BE43" s="1877"/>
      <c r="BF43" s="1877"/>
      <c r="BG43" s="1877"/>
      <c r="BH43" s="1877"/>
      <c r="BI43" s="1877"/>
      <c r="BJ43" s="1877"/>
      <c r="BK43" s="1877"/>
      <c r="BL43" s="1877"/>
      <c r="BM43" s="1877"/>
      <c r="BN43" s="1877"/>
      <c r="BO43" s="1877"/>
      <c r="BP43" s="1877"/>
      <c r="BQ43" s="1834">
        <f t="shared" si="45"/>
        <v>0</v>
      </c>
      <c r="BS43" s="1621" t="s">
        <v>79</v>
      </c>
      <c r="BT43" s="1622">
        <f t="shared" si="46"/>
        <v>8.7889999999999979</v>
      </c>
      <c r="BU43" s="1876"/>
      <c r="BV43" s="1876"/>
      <c r="BW43" s="1876"/>
      <c r="BX43" s="1876"/>
      <c r="BY43" s="1876"/>
      <c r="BZ43" s="1876"/>
      <c r="CA43" s="1876"/>
      <c r="CB43" s="1876"/>
      <c r="CC43" s="1876"/>
      <c r="CD43" s="1876"/>
      <c r="CE43" s="1876"/>
      <c r="CF43" s="1876"/>
      <c r="CG43" s="1876"/>
      <c r="CH43" s="1876">
        <v>0.15</v>
      </c>
      <c r="CI43" s="1876"/>
      <c r="CJ43" s="1876"/>
      <c r="CK43" s="1876"/>
      <c r="CL43" s="1876"/>
      <c r="CM43" s="1876">
        <v>0.3</v>
      </c>
      <c r="CN43" s="1876"/>
      <c r="CO43" s="1876"/>
      <c r="CP43" s="1876"/>
      <c r="CQ43" s="1876"/>
      <c r="CR43" s="1876"/>
      <c r="CS43" s="1876"/>
      <c r="CT43" s="1876">
        <v>0.4</v>
      </c>
      <c r="CU43" s="1876">
        <v>7.9000000000000001E-2</v>
      </c>
      <c r="CV43" s="1876"/>
      <c r="CW43" s="1876"/>
      <c r="CX43" s="1876">
        <v>7.6599999999999993</v>
      </c>
      <c r="CY43" s="1876">
        <v>0.2</v>
      </c>
      <c r="CZ43" s="1826">
        <f t="shared" si="47"/>
        <v>8.7889999999999979</v>
      </c>
      <c r="DB43" s="1719" t="s">
        <v>79</v>
      </c>
      <c r="DC43" s="1821">
        <f t="shared" si="48"/>
        <v>0</v>
      </c>
      <c r="DD43" s="1908"/>
      <c r="DE43" s="1908"/>
      <c r="DF43" s="1908"/>
      <c r="DG43" s="1908"/>
      <c r="DH43" s="1908"/>
      <c r="DI43" s="1908"/>
      <c r="DJ43" s="1908"/>
      <c r="DK43" s="1908"/>
      <c r="DL43" s="1908"/>
      <c r="DM43" s="1908"/>
      <c r="DN43" s="1908"/>
      <c r="DO43" s="1908"/>
      <c r="DP43" s="1908"/>
      <c r="DQ43" s="1908"/>
      <c r="DR43" s="1908"/>
      <c r="DS43" s="1908"/>
      <c r="DT43" s="1908"/>
      <c r="DU43" s="1908"/>
      <c r="DV43" s="1908"/>
      <c r="DW43" s="1908"/>
      <c r="DX43" s="1908"/>
      <c r="DY43" s="1908"/>
      <c r="DZ43" s="1908"/>
      <c r="EA43" s="1908"/>
      <c r="EB43" s="1908"/>
      <c r="EC43" s="1908"/>
      <c r="ED43" s="1908"/>
      <c r="EE43" s="1908"/>
      <c r="EF43" s="1908"/>
      <c r="EG43" s="1908"/>
      <c r="EH43" s="1908"/>
      <c r="EI43" s="1817">
        <f t="shared" si="49"/>
        <v>0</v>
      </c>
    </row>
    <row r="44" spans="1:174" ht="15">
      <c r="A44" s="1054" t="s">
        <v>80</v>
      </c>
      <c r="B44" s="1091">
        <f t="shared" si="42"/>
        <v>0</v>
      </c>
      <c r="C44" s="1917"/>
      <c r="D44" s="1918"/>
      <c r="E44" s="1917"/>
      <c r="F44" s="1917"/>
      <c r="G44" s="1917"/>
      <c r="H44" s="1917"/>
      <c r="I44" s="1917"/>
      <c r="J44" s="1917"/>
      <c r="K44" s="1917"/>
      <c r="L44" s="1917"/>
      <c r="M44" s="1917"/>
      <c r="N44" s="1917"/>
      <c r="O44" s="1917"/>
      <c r="P44" s="1917"/>
      <c r="Q44" s="1917"/>
      <c r="R44" s="1917"/>
      <c r="S44" s="1917"/>
      <c r="T44" s="1917"/>
      <c r="U44" s="1917"/>
      <c r="V44" s="1917"/>
      <c r="W44" s="1917"/>
      <c r="X44" s="1917"/>
      <c r="Y44" s="1917"/>
      <c r="Z44" s="1917"/>
      <c r="AA44" s="1917"/>
      <c r="AB44" s="1917"/>
      <c r="AC44" s="1917"/>
      <c r="AD44" s="1917"/>
      <c r="AE44" s="1917"/>
      <c r="AF44" s="1917"/>
      <c r="AG44" s="1917"/>
      <c r="AH44" s="1268">
        <f t="shared" si="43"/>
        <v>0</v>
      </c>
      <c r="AJ44" s="1524" t="s">
        <v>80</v>
      </c>
      <c r="AK44" s="1527">
        <f t="shared" si="44"/>
        <v>0</v>
      </c>
      <c r="AL44" s="1872"/>
      <c r="AM44" s="1875"/>
      <c r="AN44" s="1872"/>
      <c r="AO44" s="1872"/>
      <c r="AP44" s="1872"/>
      <c r="AQ44" s="1872"/>
      <c r="AR44" s="1872"/>
      <c r="AS44" s="1872"/>
      <c r="AT44" s="1872"/>
      <c r="AU44" s="1872"/>
      <c r="AV44" s="1872"/>
      <c r="AW44" s="1872"/>
      <c r="AX44" s="1872"/>
      <c r="AY44" s="1872"/>
      <c r="AZ44" s="1872"/>
      <c r="BA44" s="1872"/>
      <c r="BB44" s="1872"/>
      <c r="BC44" s="1872"/>
      <c r="BD44" s="1872"/>
      <c r="BE44" s="1872"/>
      <c r="BF44" s="1872"/>
      <c r="BG44" s="1872"/>
      <c r="BH44" s="1872"/>
      <c r="BI44" s="1872"/>
      <c r="BJ44" s="1872"/>
      <c r="BK44" s="1872"/>
      <c r="BL44" s="1872"/>
      <c r="BM44" s="1872"/>
      <c r="BN44" s="1872"/>
      <c r="BO44" s="1872"/>
      <c r="BP44" s="1872"/>
      <c r="BQ44" s="1834">
        <f t="shared" si="45"/>
        <v>0</v>
      </c>
      <c r="BS44" s="1621" t="s">
        <v>80</v>
      </c>
      <c r="BT44" s="1622">
        <f t="shared" si="46"/>
        <v>1.41</v>
      </c>
      <c r="BU44" s="1871"/>
      <c r="BV44" s="1874">
        <v>0.8</v>
      </c>
      <c r="BW44" s="1871"/>
      <c r="BX44" s="1871"/>
      <c r="BY44" s="1871">
        <v>0.6</v>
      </c>
      <c r="BZ44" s="1871"/>
      <c r="CA44" s="1871"/>
      <c r="CB44" s="1871"/>
      <c r="CC44" s="1871"/>
      <c r="CD44" s="1871"/>
      <c r="CE44" s="1871"/>
      <c r="CF44" s="1871"/>
      <c r="CG44" s="1871"/>
      <c r="CH44" s="1871"/>
      <c r="CI44" s="1871"/>
      <c r="CJ44" s="1871"/>
      <c r="CK44" s="1871"/>
      <c r="CL44" s="1871"/>
      <c r="CM44" s="1871"/>
      <c r="CN44" s="1871"/>
      <c r="CO44" s="1871"/>
      <c r="CP44" s="1871"/>
      <c r="CQ44" s="1871"/>
      <c r="CR44" s="1871"/>
      <c r="CS44" s="1871"/>
      <c r="CT44" s="1871"/>
      <c r="CU44" s="1871"/>
      <c r="CV44" s="1871"/>
      <c r="CW44" s="1871"/>
      <c r="CX44" s="1871">
        <v>0.01</v>
      </c>
      <c r="CY44" s="1871"/>
      <c r="CZ44" s="1826">
        <f t="shared" si="47"/>
        <v>1.41</v>
      </c>
      <c r="DB44" s="1719" t="s">
        <v>80</v>
      </c>
      <c r="DC44" s="1821">
        <f t="shared" si="48"/>
        <v>0</v>
      </c>
      <c r="DD44" s="1907"/>
      <c r="DE44" s="1909"/>
      <c r="DF44" s="1907"/>
      <c r="DG44" s="1907"/>
      <c r="DH44" s="1907"/>
      <c r="DI44" s="1907"/>
      <c r="DJ44" s="1907"/>
      <c r="DK44" s="1907"/>
      <c r="DL44" s="1907"/>
      <c r="DM44" s="1907"/>
      <c r="DN44" s="1907"/>
      <c r="DO44" s="1907"/>
      <c r="DP44" s="1907"/>
      <c r="DQ44" s="1907"/>
      <c r="DR44" s="1907"/>
      <c r="DS44" s="1907"/>
      <c r="DT44" s="1907"/>
      <c r="DU44" s="1907"/>
      <c r="DV44" s="1907"/>
      <c r="DW44" s="1907"/>
      <c r="DX44" s="1907"/>
      <c r="DY44" s="1907"/>
      <c r="DZ44" s="1907"/>
      <c r="EA44" s="1907"/>
      <c r="EB44" s="1907"/>
      <c r="EC44" s="1907"/>
      <c r="ED44" s="1907"/>
      <c r="EE44" s="1907"/>
      <c r="EF44" s="1907"/>
      <c r="EG44" s="1907"/>
      <c r="EH44" s="1907"/>
      <c r="EI44" s="1817">
        <f t="shared" si="49"/>
        <v>0</v>
      </c>
    </row>
    <row r="45" spans="1:174" ht="15">
      <c r="A45" s="1054" t="s">
        <v>81</v>
      </c>
      <c r="B45" s="1091">
        <f t="shared" si="42"/>
        <v>0</v>
      </c>
      <c r="C45" s="1917"/>
      <c r="D45" s="1917"/>
      <c r="E45" s="1917"/>
      <c r="F45" s="1917"/>
      <c r="G45" s="1917"/>
      <c r="H45" s="1917"/>
      <c r="I45" s="1917"/>
      <c r="J45" s="1917"/>
      <c r="K45" s="1917"/>
      <c r="L45" s="1917"/>
      <c r="M45" s="1917"/>
      <c r="N45" s="1917"/>
      <c r="O45" s="1917"/>
      <c r="P45" s="1917"/>
      <c r="Q45" s="1917"/>
      <c r="R45" s="1917"/>
      <c r="S45" s="1917"/>
      <c r="T45" s="1917"/>
      <c r="U45" s="1917"/>
      <c r="V45" s="1917"/>
      <c r="W45" s="1917"/>
      <c r="X45" s="1917"/>
      <c r="Y45" s="1917"/>
      <c r="Z45" s="1917"/>
      <c r="AA45" s="1917"/>
      <c r="AB45" s="1917"/>
      <c r="AC45" s="1917"/>
      <c r="AD45" s="1917"/>
      <c r="AE45" s="1917"/>
      <c r="AF45" s="1917"/>
      <c r="AG45" s="1917"/>
      <c r="AH45" s="1268">
        <f t="shared" si="43"/>
        <v>0</v>
      </c>
      <c r="AJ45" s="1524" t="s">
        <v>81</v>
      </c>
      <c r="AK45" s="1527">
        <f t="shared" si="44"/>
        <v>0</v>
      </c>
      <c r="AL45" s="1872"/>
      <c r="AM45" s="1872"/>
      <c r="AN45" s="1872"/>
      <c r="AO45" s="1872"/>
      <c r="AP45" s="1872"/>
      <c r="AQ45" s="1872"/>
      <c r="AR45" s="1872"/>
      <c r="AS45" s="1872"/>
      <c r="AT45" s="1872"/>
      <c r="AU45" s="1872"/>
      <c r="AV45" s="1872"/>
      <c r="AW45" s="1872"/>
      <c r="AX45" s="1872"/>
      <c r="AY45" s="1872"/>
      <c r="AZ45" s="1872"/>
      <c r="BA45" s="1872"/>
      <c r="BB45" s="1872"/>
      <c r="BC45" s="1872"/>
      <c r="BD45" s="1872"/>
      <c r="BE45" s="1872"/>
      <c r="BF45" s="1872"/>
      <c r="BG45" s="1872"/>
      <c r="BH45" s="1872"/>
      <c r="BI45" s="1872"/>
      <c r="BJ45" s="1872"/>
      <c r="BK45" s="1872"/>
      <c r="BL45" s="1872"/>
      <c r="BM45" s="1872"/>
      <c r="BN45" s="1872"/>
      <c r="BO45" s="1872"/>
      <c r="BP45" s="1872"/>
      <c r="BQ45" s="1834">
        <f t="shared" si="45"/>
        <v>0</v>
      </c>
      <c r="BS45" s="1621" t="s">
        <v>81</v>
      </c>
      <c r="BT45" s="1622">
        <f t="shared" si="46"/>
        <v>2.9930000000000003</v>
      </c>
      <c r="BU45" s="1871"/>
      <c r="BV45" s="1871"/>
      <c r="BW45" s="1871"/>
      <c r="BX45" s="1871">
        <v>1.5</v>
      </c>
      <c r="BY45" s="1871">
        <v>0.02</v>
      </c>
      <c r="BZ45" s="1871"/>
      <c r="CA45" s="1871"/>
      <c r="CB45" s="1871"/>
      <c r="CC45" s="1871">
        <v>0.1</v>
      </c>
      <c r="CD45" s="1871">
        <v>1.2</v>
      </c>
      <c r="CE45" s="1871"/>
      <c r="CF45" s="1871"/>
      <c r="CG45" s="1871">
        <v>0.15</v>
      </c>
      <c r="CH45" s="1871"/>
      <c r="CI45" s="1871"/>
      <c r="CJ45" s="1871">
        <v>4.0000000000000001E-3</v>
      </c>
      <c r="CK45" s="1871"/>
      <c r="CL45" s="1871"/>
      <c r="CM45" s="1871"/>
      <c r="CN45" s="1871"/>
      <c r="CO45" s="1871"/>
      <c r="CP45" s="1871"/>
      <c r="CQ45" s="1871"/>
      <c r="CR45" s="1871"/>
      <c r="CS45" s="1871"/>
      <c r="CT45" s="1871"/>
      <c r="CU45" s="1871"/>
      <c r="CV45" s="1871"/>
      <c r="CW45" s="1871"/>
      <c r="CX45" s="1871">
        <v>1.9E-2</v>
      </c>
      <c r="CY45" s="1871"/>
      <c r="CZ45" s="1826">
        <f t="shared" si="47"/>
        <v>2.9930000000000003</v>
      </c>
      <c r="DB45" s="1719" t="s">
        <v>81</v>
      </c>
      <c r="DC45" s="1821">
        <f t="shared" si="48"/>
        <v>0</v>
      </c>
      <c r="DD45" s="1907"/>
      <c r="DE45" s="1907"/>
      <c r="DF45" s="1907"/>
      <c r="DG45" s="1907"/>
      <c r="DH45" s="1907"/>
      <c r="DI45" s="1907"/>
      <c r="DJ45" s="1907"/>
      <c r="DK45" s="1907"/>
      <c r="DL45" s="1907"/>
      <c r="DM45" s="1907"/>
      <c r="DN45" s="1907"/>
      <c r="DO45" s="1907"/>
      <c r="DP45" s="1907"/>
      <c r="DQ45" s="1907"/>
      <c r="DR45" s="1907"/>
      <c r="DS45" s="1907"/>
      <c r="DT45" s="1907"/>
      <c r="DU45" s="1907"/>
      <c r="DV45" s="1907"/>
      <c r="DW45" s="1907"/>
      <c r="DX45" s="1907"/>
      <c r="DY45" s="1907"/>
      <c r="DZ45" s="1907"/>
      <c r="EA45" s="1907"/>
      <c r="EB45" s="1907"/>
      <c r="EC45" s="1907"/>
      <c r="ED45" s="1907"/>
      <c r="EE45" s="1907"/>
      <c r="EF45" s="1907"/>
      <c r="EG45" s="1907"/>
      <c r="EH45" s="1907"/>
      <c r="EI45" s="1817">
        <f t="shared" si="49"/>
        <v>0</v>
      </c>
    </row>
    <row r="46" spans="1:174" ht="15">
      <c r="A46" s="1054" t="s">
        <v>82</v>
      </c>
      <c r="B46" s="1091">
        <f t="shared" si="42"/>
        <v>0</v>
      </c>
      <c r="C46" s="1917"/>
      <c r="D46" s="1917"/>
      <c r="E46" s="1917"/>
      <c r="F46" s="1917"/>
      <c r="G46" s="1917"/>
      <c r="H46" s="1917"/>
      <c r="I46" s="1917"/>
      <c r="J46" s="1917"/>
      <c r="K46" s="1917"/>
      <c r="L46" s="1917"/>
      <c r="M46" s="1917"/>
      <c r="N46" s="1917"/>
      <c r="O46" s="1917"/>
      <c r="P46" s="1917"/>
      <c r="Q46" s="1917"/>
      <c r="R46" s="1917"/>
      <c r="S46" s="1917"/>
      <c r="T46" s="1917"/>
      <c r="U46" s="1917"/>
      <c r="V46" s="1917"/>
      <c r="W46" s="1917"/>
      <c r="X46" s="1917"/>
      <c r="Y46" s="1917"/>
      <c r="Z46" s="1917"/>
      <c r="AA46" s="1917"/>
      <c r="AB46" s="1917"/>
      <c r="AC46" s="1917"/>
      <c r="AD46" s="1917"/>
      <c r="AE46" s="1917"/>
      <c r="AF46" s="1917"/>
      <c r="AG46" s="1917"/>
      <c r="AH46" s="1268">
        <f t="shared" si="43"/>
        <v>0</v>
      </c>
      <c r="AJ46" s="1524" t="s">
        <v>82</v>
      </c>
      <c r="AK46" s="1527">
        <f t="shared" si="44"/>
        <v>0</v>
      </c>
      <c r="AL46" s="1872"/>
      <c r="AM46" s="1872"/>
      <c r="AN46" s="1872"/>
      <c r="AO46" s="1872"/>
      <c r="AP46" s="1872"/>
      <c r="AQ46" s="1872"/>
      <c r="AR46" s="1872"/>
      <c r="AS46" s="1872"/>
      <c r="AT46" s="1872"/>
      <c r="AU46" s="1872"/>
      <c r="AV46" s="1872"/>
      <c r="AW46" s="1872"/>
      <c r="AX46" s="1872"/>
      <c r="AY46" s="1872"/>
      <c r="AZ46" s="1872"/>
      <c r="BA46" s="1872"/>
      <c r="BB46" s="1872"/>
      <c r="BC46" s="1872"/>
      <c r="BD46" s="1872"/>
      <c r="BE46" s="1872"/>
      <c r="BF46" s="1872"/>
      <c r="BG46" s="1872"/>
      <c r="BH46" s="1872"/>
      <c r="BI46" s="1872"/>
      <c r="BJ46" s="1872"/>
      <c r="BK46" s="1872"/>
      <c r="BL46" s="1872"/>
      <c r="BM46" s="1872"/>
      <c r="BN46" s="1872"/>
      <c r="BO46" s="1872"/>
      <c r="BP46" s="1872"/>
      <c r="BQ46" s="1834">
        <f t="shared" si="45"/>
        <v>0</v>
      </c>
      <c r="BS46" s="1621" t="s">
        <v>82</v>
      </c>
      <c r="BT46" s="1622">
        <f t="shared" si="46"/>
        <v>0.17599999999999999</v>
      </c>
      <c r="BU46" s="1871"/>
      <c r="BV46" s="1871"/>
      <c r="BW46" s="1871"/>
      <c r="BX46" s="1871"/>
      <c r="BY46" s="1871"/>
      <c r="BZ46" s="1871"/>
      <c r="CA46" s="1871"/>
      <c r="CB46" s="1871"/>
      <c r="CC46" s="1871"/>
      <c r="CD46" s="1871"/>
      <c r="CE46" s="1871"/>
      <c r="CF46" s="1871"/>
      <c r="CG46" s="1871"/>
      <c r="CH46" s="1871"/>
      <c r="CI46" s="1871"/>
      <c r="CJ46" s="1871"/>
      <c r="CK46" s="1871"/>
      <c r="CL46" s="1871"/>
      <c r="CM46" s="1871">
        <v>1.2E-2</v>
      </c>
      <c r="CN46" s="1871">
        <v>0.02</v>
      </c>
      <c r="CO46" s="1871"/>
      <c r="CP46" s="1871"/>
      <c r="CQ46" s="1871"/>
      <c r="CR46" s="1871"/>
      <c r="CS46" s="1871">
        <v>0.03</v>
      </c>
      <c r="CT46" s="1871"/>
      <c r="CU46" s="1871"/>
      <c r="CV46" s="1871">
        <v>8.0000000000000002E-3</v>
      </c>
      <c r="CW46" s="1871"/>
      <c r="CX46" s="1871">
        <v>8.6999999999999994E-2</v>
      </c>
      <c r="CY46" s="1871">
        <v>1.9E-2</v>
      </c>
      <c r="CZ46" s="1826">
        <f t="shared" si="47"/>
        <v>0.17599999999999999</v>
      </c>
      <c r="DB46" s="1719" t="s">
        <v>82</v>
      </c>
      <c r="DC46" s="1821">
        <f t="shared" si="48"/>
        <v>0</v>
      </c>
      <c r="DD46" s="1907"/>
      <c r="DE46" s="1907"/>
      <c r="DF46" s="1907"/>
      <c r="DG46" s="1907"/>
      <c r="DH46" s="1907"/>
      <c r="DI46" s="1907"/>
      <c r="DJ46" s="1907"/>
      <c r="DK46" s="1907"/>
      <c r="DL46" s="1907"/>
      <c r="DM46" s="1907"/>
      <c r="DN46" s="1907"/>
      <c r="DO46" s="1907"/>
      <c r="DP46" s="1907"/>
      <c r="DQ46" s="1907"/>
      <c r="DR46" s="1907"/>
      <c r="DS46" s="1907"/>
      <c r="DT46" s="1907"/>
      <c r="DU46" s="1907"/>
      <c r="DV46" s="1907"/>
      <c r="DW46" s="1907"/>
      <c r="DX46" s="1907"/>
      <c r="DY46" s="1907"/>
      <c r="DZ46" s="1907"/>
      <c r="EA46" s="1907"/>
      <c r="EB46" s="1907"/>
      <c r="EC46" s="1907"/>
      <c r="ED46" s="1907"/>
      <c r="EE46" s="1907"/>
      <c r="EF46" s="1907"/>
      <c r="EG46" s="1907"/>
      <c r="EH46" s="1907"/>
      <c r="EI46" s="1817">
        <f t="shared" si="49"/>
        <v>0</v>
      </c>
    </row>
    <row r="47" spans="1:174" ht="15">
      <c r="A47" s="1054" t="s">
        <v>83</v>
      </c>
      <c r="B47" s="1091">
        <f t="shared" si="42"/>
        <v>0</v>
      </c>
      <c r="C47" s="1917"/>
      <c r="D47" s="1917"/>
      <c r="E47" s="1917"/>
      <c r="F47" s="1917"/>
      <c r="G47" s="1917"/>
      <c r="H47" s="1917"/>
      <c r="I47" s="1917"/>
      <c r="J47" s="1917"/>
      <c r="K47" s="1917"/>
      <c r="L47" s="1917"/>
      <c r="M47" s="1917"/>
      <c r="N47" s="1917"/>
      <c r="O47" s="1917"/>
      <c r="P47" s="1917"/>
      <c r="Q47" s="1917"/>
      <c r="R47" s="1917"/>
      <c r="S47" s="1917"/>
      <c r="T47" s="1917"/>
      <c r="U47" s="1917"/>
      <c r="V47" s="1917"/>
      <c r="W47" s="1917"/>
      <c r="X47" s="1917"/>
      <c r="Y47" s="1917"/>
      <c r="Z47" s="1917"/>
      <c r="AA47" s="1917"/>
      <c r="AB47" s="1917"/>
      <c r="AC47" s="1917"/>
      <c r="AD47" s="1917"/>
      <c r="AE47" s="1917"/>
      <c r="AF47" s="1917"/>
      <c r="AG47" s="1538"/>
      <c r="AH47" s="1268">
        <f t="shared" si="43"/>
        <v>0</v>
      </c>
      <c r="AJ47" s="1524" t="s">
        <v>83</v>
      </c>
      <c r="AK47" s="1527">
        <f t="shared" si="44"/>
        <v>0</v>
      </c>
      <c r="AL47" s="1872"/>
      <c r="AM47" s="1872"/>
      <c r="AN47" s="1872"/>
      <c r="AO47" s="1872"/>
      <c r="AP47" s="1872"/>
      <c r="AQ47" s="1872"/>
      <c r="AR47" s="1872"/>
      <c r="AS47" s="1872"/>
      <c r="AT47" s="1872"/>
      <c r="AU47" s="1872"/>
      <c r="AV47" s="1872"/>
      <c r="AW47" s="1872"/>
      <c r="AX47" s="1872"/>
      <c r="AY47" s="1872"/>
      <c r="AZ47" s="1872"/>
      <c r="BA47" s="1872"/>
      <c r="BB47" s="1872"/>
      <c r="BC47" s="1872"/>
      <c r="BD47" s="1872"/>
      <c r="BE47" s="1872"/>
      <c r="BF47" s="1872"/>
      <c r="BG47" s="1872"/>
      <c r="BH47" s="1872"/>
      <c r="BI47" s="1872"/>
      <c r="BJ47" s="1872"/>
      <c r="BK47" s="1872"/>
      <c r="BL47" s="1872"/>
      <c r="BM47" s="1872"/>
      <c r="BN47" s="1872"/>
      <c r="BO47" s="1872"/>
      <c r="BP47" s="1877"/>
      <c r="BQ47" s="1834">
        <f t="shared" si="45"/>
        <v>0</v>
      </c>
      <c r="BS47" s="1621" t="s">
        <v>83</v>
      </c>
      <c r="BT47" s="1622">
        <f t="shared" si="46"/>
        <v>0.11</v>
      </c>
      <c r="BU47" s="1871"/>
      <c r="BV47" s="1871"/>
      <c r="BW47" s="1871"/>
      <c r="BX47" s="1871"/>
      <c r="BY47" s="1871"/>
      <c r="BZ47" s="1871"/>
      <c r="CA47" s="1871"/>
      <c r="CB47" s="1871"/>
      <c r="CC47" s="1871"/>
      <c r="CD47" s="1871"/>
      <c r="CE47" s="1871"/>
      <c r="CF47" s="1871"/>
      <c r="CG47" s="1871"/>
      <c r="CH47" s="1871"/>
      <c r="CI47" s="1871"/>
      <c r="CJ47" s="1871"/>
      <c r="CK47" s="1871"/>
      <c r="CL47" s="1871"/>
      <c r="CM47" s="1871"/>
      <c r="CN47" s="1871"/>
      <c r="CO47" s="1871"/>
      <c r="CP47" s="1871"/>
      <c r="CQ47" s="1871">
        <v>0.03</v>
      </c>
      <c r="CR47" s="1871"/>
      <c r="CS47" s="1871"/>
      <c r="CT47" s="1871">
        <v>0.06</v>
      </c>
      <c r="CU47" s="1871"/>
      <c r="CV47" s="1871">
        <v>0.02</v>
      </c>
      <c r="CW47" s="1871"/>
      <c r="CX47" s="1871"/>
      <c r="CY47" s="1876"/>
      <c r="CZ47" s="1826">
        <f t="shared" si="47"/>
        <v>0.11</v>
      </c>
      <c r="DB47" s="1719" t="s">
        <v>83</v>
      </c>
      <c r="DC47" s="1821">
        <f t="shared" si="48"/>
        <v>0</v>
      </c>
      <c r="DD47" s="1907"/>
      <c r="DE47" s="1907"/>
      <c r="DF47" s="1907"/>
      <c r="DG47" s="1907"/>
      <c r="DH47" s="1907"/>
      <c r="DI47" s="1907"/>
      <c r="DJ47" s="1907"/>
      <c r="DK47" s="1907"/>
      <c r="DL47" s="1907"/>
      <c r="DM47" s="1907"/>
      <c r="DN47" s="1907"/>
      <c r="DO47" s="1907"/>
      <c r="DP47" s="1907"/>
      <c r="DQ47" s="1907"/>
      <c r="DR47" s="1907"/>
      <c r="DS47" s="1907"/>
      <c r="DT47" s="1907"/>
      <c r="DU47" s="1907"/>
      <c r="DV47" s="1907"/>
      <c r="DW47" s="1907"/>
      <c r="DX47" s="1907"/>
      <c r="DY47" s="1907"/>
      <c r="DZ47" s="1907"/>
      <c r="EA47" s="1907"/>
      <c r="EB47" s="1907"/>
      <c r="EC47" s="1907"/>
      <c r="ED47" s="1907"/>
      <c r="EE47" s="1907"/>
      <c r="EF47" s="1907"/>
      <c r="EG47" s="1907"/>
      <c r="EH47" s="1908"/>
      <c r="EI47" s="1817">
        <f t="shared" si="49"/>
        <v>0</v>
      </c>
    </row>
    <row r="48" spans="1:174" ht="15">
      <c r="A48" s="1054" t="s">
        <v>84</v>
      </c>
      <c r="B48" s="1091">
        <f t="shared" si="42"/>
        <v>0</v>
      </c>
      <c r="C48" s="1917"/>
      <c r="D48" s="1917"/>
      <c r="E48" s="1917"/>
      <c r="F48" s="1917"/>
      <c r="G48" s="1917"/>
      <c r="H48" s="1917"/>
      <c r="I48" s="1917"/>
      <c r="J48" s="1917"/>
      <c r="K48" s="1917"/>
      <c r="L48" s="1917"/>
      <c r="M48" s="1917"/>
      <c r="N48" s="1917"/>
      <c r="O48" s="1917"/>
      <c r="P48" s="1917"/>
      <c r="Q48" s="1917"/>
      <c r="R48" s="1917"/>
      <c r="S48" s="1917"/>
      <c r="T48" s="1917"/>
      <c r="U48" s="1917"/>
      <c r="V48" s="1917"/>
      <c r="W48" s="1917"/>
      <c r="X48" s="1917"/>
      <c r="Y48" s="1917"/>
      <c r="Z48" s="1917"/>
      <c r="AA48" s="1917"/>
      <c r="AB48" s="1917"/>
      <c r="AC48" s="1917"/>
      <c r="AD48" s="1917"/>
      <c r="AE48" s="1917"/>
      <c r="AF48" s="1917"/>
      <c r="AG48" s="1917"/>
      <c r="AH48" s="1268">
        <f t="shared" si="43"/>
        <v>0</v>
      </c>
      <c r="AJ48" s="1524" t="s">
        <v>84</v>
      </c>
      <c r="AK48" s="1527">
        <f t="shared" si="44"/>
        <v>0</v>
      </c>
      <c r="AL48" s="1872"/>
      <c r="AM48" s="1872"/>
      <c r="AN48" s="1872"/>
      <c r="AO48" s="1872"/>
      <c r="AP48" s="1872"/>
      <c r="AQ48" s="1872"/>
      <c r="AR48" s="1872"/>
      <c r="AS48" s="1872"/>
      <c r="AT48" s="1872"/>
      <c r="AU48" s="1872"/>
      <c r="AV48" s="1872"/>
      <c r="AW48" s="1872"/>
      <c r="AX48" s="1872"/>
      <c r="AY48" s="1872"/>
      <c r="AZ48" s="1872"/>
      <c r="BA48" s="1872"/>
      <c r="BB48" s="1872"/>
      <c r="BC48" s="1872"/>
      <c r="BD48" s="1872"/>
      <c r="BE48" s="1872"/>
      <c r="BF48" s="1872"/>
      <c r="BG48" s="1872"/>
      <c r="BH48" s="1872"/>
      <c r="BI48" s="1872"/>
      <c r="BJ48" s="1872"/>
      <c r="BK48" s="1872"/>
      <c r="BL48" s="1872"/>
      <c r="BM48" s="1872"/>
      <c r="BN48" s="1872"/>
      <c r="BO48" s="1872"/>
      <c r="BP48" s="1872"/>
      <c r="BQ48" s="1834">
        <f t="shared" si="45"/>
        <v>0</v>
      </c>
      <c r="BS48" s="1621" t="s">
        <v>84</v>
      </c>
      <c r="BT48" s="1622">
        <f t="shared" si="46"/>
        <v>2.8999999999999998E-2</v>
      </c>
      <c r="BU48" s="1871"/>
      <c r="BV48" s="1871"/>
      <c r="BW48" s="1871"/>
      <c r="BX48" s="1871">
        <v>1.2E-2</v>
      </c>
      <c r="BY48" s="1871">
        <v>3.0000000000000001E-3</v>
      </c>
      <c r="BZ48" s="1871"/>
      <c r="CA48" s="1871"/>
      <c r="CB48" s="1871">
        <v>4.0000000000000001E-3</v>
      </c>
      <c r="CC48" s="1871"/>
      <c r="CD48" s="1871"/>
      <c r="CE48" s="1871">
        <v>0.01</v>
      </c>
      <c r="CF48" s="1871"/>
      <c r="CG48" s="1871"/>
      <c r="CH48" s="1871"/>
      <c r="CI48" s="1871"/>
      <c r="CJ48" s="1871"/>
      <c r="CK48" s="1871"/>
      <c r="CL48" s="1871"/>
      <c r="CM48" s="1871"/>
      <c r="CN48" s="1871"/>
      <c r="CO48" s="1871"/>
      <c r="CP48" s="1871"/>
      <c r="CQ48" s="1871"/>
      <c r="CR48" s="1871"/>
      <c r="CS48" s="1871"/>
      <c r="CT48" s="1871"/>
      <c r="CU48" s="1871"/>
      <c r="CV48" s="1871"/>
      <c r="CW48" s="1871"/>
      <c r="CX48" s="1871"/>
      <c r="CY48" s="1871"/>
      <c r="CZ48" s="1826">
        <f t="shared" si="47"/>
        <v>2.8999999999999998E-2</v>
      </c>
      <c r="DB48" s="1719" t="s">
        <v>84</v>
      </c>
      <c r="DC48" s="1821">
        <f t="shared" si="48"/>
        <v>0</v>
      </c>
      <c r="DD48" s="1907"/>
      <c r="DE48" s="1907"/>
      <c r="DF48" s="1907"/>
      <c r="DG48" s="1907"/>
      <c r="DH48" s="1907"/>
      <c r="DI48" s="1907"/>
      <c r="DJ48" s="1907"/>
      <c r="DK48" s="1907"/>
      <c r="DL48" s="1907"/>
      <c r="DM48" s="1907"/>
      <c r="DN48" s="1907"/>
      <c r="DO48" s="1907"/>
      <c r="DP48" s="1907"/>
      <c r="DQ48" s="1907"/>
      <c r="DR48" s="1907"/>
      <c r="DS48" s="1907"/>
      <c r="DT48" s="1907"/>
      <c r="DU48" s="1907"/>
      <c r="DV48" s="1907"/>
      <c r="DW48" s="1907"/>
      <c r="DX48" s="1907"/>
      <c r="DY48" s="1907"/>
      <c r="DZ48" s="1907"/>
      <c r="EA48" s="1907"/>
      <c r="EB48" s="1907"/>
      <c r="EC48" s="1907"/>
      <c r="ED48" s="1907"/>
      <c r="EE48" s="1907"/>
      <c r="EF48" s="1907"/>
      <c r="EG48" s="1907"/>
      <c r="EH48" s="1907"/>
      <c r="EI48" s="1817">
        <f t="shared" si="49"/>
        <v>0</v>
      </c>
    </row>
    <row r="49" spans="1:139" ht="15">
      <c r="A49" s="1259" t="s">
        <v>72</v>
      </c>
      <c r="B49" s="1916">
        <f t="shared" ref="B49:AH49" si="50">SUM(B37:B48)</f>
        <v>0</v>
      </c>
      <c r="C49" s="1268">
        <f t="shared" si="50"/>
        <v>0</v>
      </c>
      <c r="D49" s="1268">
        <f t="shared" si="50"/>
        <v>0</v>
      </c>
      <c r="E49" s="1268">
        <f t="shared" si="50"/>
        <v>0</v>
      </c>
      <c r="F49" s="1268">
        <f t="shared" si="50"/>
        <v>0</v>
      </c>
      <c r="G49" s="1268">
        <f t="shared" si="50"/>
        <v>0</v>
      </c>
      <c r="H49" s="1268">
        <f t="shared" si="50"/>
        <v>0</v>
      </c>
      <c r="I49" s="1268">
        <f t="shared" si="50"/>
        <v>0</v>
      </c>
      <c r="J49" s="1268">
        <f t="shared" si="50"/>
        <v>0</v>
      </c>
      <c r="K49" s="1268">
        <f t="shared" si="50"/>
        <v>0</v>
      </c>
      <c r="L49" s="1268">
        <f t="shared" si="50"/>
        <v>0</v>
      </c>
      <c r="M49" s="1268">
        <f t="shared" si="50"/>
        <v>0</v>
      </c>
      <c r="N49" s="1268">
        <f t="shared" si="50"/>
        <v>0</v>
      </c>
      <c r="O49" s="1268">
        <f t="shared" si="50"/>
        <v>0</v>
      </c>
      <c r="P49" s="1268">
        <f t="shared" si="50"/>
        <v>0</v>
      </c>
      <c r="Q49" s="1268">
        <f t="shared" si="50"/>
        <v>0</v>
      </c>
      <c r="R49" s="1268">
        <f t="shared" si="50"/>
        <v>0</v>
      </c>
      <c r="S49" s="1268">
        <f t="shared" si="50"/>
        <v>0</v>
      </c>
      <c r="T49" s="1268">
        <f t="shared" si="50"/>
        <v>0</v>
      </c>
      <c r="U49" s="1268">
        <f t="shared" si="50"/>
        <v>0</v>
      </c>
      <c r="V49" s="1268">
        <f t="shared" si="50"/>
        <v>0</v>
      </c>
      <c r="W49" s="1268">
        <f t="shared" si="50"/>
        <v>0</v>
      </c>
      <c r="X49" s="1268">
        <f t="shared" si="50"/>
        <v>0</v>
      </c>
      <c r="Y49" s="1268">
        <f t="shared" si="50"/>
        <v>0</v>
      </c>
      <c r="Z49" s="1268">
        <f t="shared" si="50"/>
        <v>0</v>
      </c>
      <c r="AA49" s="1268">
        <f t="shared" si="50"/>
        <v>0</v>
      </c>
      <c r="AB49" s="1268">
        <f t="shared" si="50"/>
        <v>0</v>
      </c>
      <c r="AC49" s="1268">
        <f t="shared" si="50"/>
        <v>0</v>
      </c>
      <c r="AD49" s="1268">
        <f t="shared" si="50"/>
        <v>0</v>
      </c>
      <c r="AE49" s="1268">
        <f t="shared" si="50"/>
        <v>0</v>
      </c>
      <c r="AF49" s="1268">
        <f t="shared" si="50"/>
        <v>0</v>
      </c>
      <c r="AG49" s="1268">
        <f t="shared" si="50"/>
        <v>0</v>
      </c>
      <c r="AH49" s="1268">
        <f t="shared" si="50"/>
        <v>0</v>
      </c>
      <c r="AJ49" s="1837" t="s">
        <v>72</v>
      </c>
      <c r="AK49" s="1906">
        <f t="shared" ref="AK49:BQ49" si="51">SUM(AK37:AK48)</f>
        <v>0</v>
      </c>
      <c r="AL49" s="1834">
        <f t="shared" si="51"/>
        <v>0</v>
      </c>
      <c r="AM49" s="1834">
        <f t="shared" si="51"/>
        <v>0</v>
      </c>
      <c r="AN49" s="1834">
        <f t="shared" si="51"/>
        <v>0</v>
      </c>
      <c r="AO49" s="1834">
        <f t="shared" si="51"/>
        <v>0</v>
      </c>
      <c r="AP49" s="1834">
        <f t="shared" si="51"/>
        <v>0</v>
      </c>
      <c r="AQ49" s="1834">
        <f t="shared" si="51"/>
        <v>0</v>
      </c>
      <c r="AR49" s="1834">
        <f t="shared" si="51"/>
        <v>0</v>
      </c>
      <c r="AS49" s="1834">
        <f t="shared" si="51"/>
        <v>0</v>
      </c>
      <c r="AT49" s="1834">
        <f t="shared" si="51"/>
        <v>0</v>
      </c>
      <c r="AU49" s="1834">
        <f t="shared" si="51"/>
        <v>0</v>
      </c>
      <c r="AV49" s="1834">
        <f t="shared" si="51"/>
        <v>0</v>
      </c>
      <c r="AW49" s="1834">
        <f t="shared" si="51"/>
        <v>0</v>
      </c>
      <c r="AX49" s="1834">
        <f t="shared" si="51"/>
        <v>0</v>
      </c>
      <c r="AY49" s="1834">
        <f t="shared" si="51"/>
        <v>0</v>
      </c>
      <c r="AZ49" s="1834">
        <f t="shared" si="51"/>
        <v>0</v>
      </c>
      <c r="BA49" s="1834">
        <f t="shared" si="51"/>
        <v>0</v>
      </c>
      <c r="BB49" s="1834">
        <f t="shared" si="51"/>
        <v>0</v>
      </c>
      <c r="BC49" s="1834">
        <f t="shared" si="51"/>
        <v>0</v>
      </c>
      <c r="BD49" s="1834">
        <f t="shared" si="51"/>
        <v>0</v>
      </c>
      <c r="BE49" s="1834">
        <f t="shared" si="51"/>
        <v>0</v>
      </c>
      <c r="BF49" s="1834">
        <f t="shared" si="51"/>
        <v>0</v>
      </c>
      <c r="BG49" s="1834">
        <f t="shared" si="51"/>
        <v>0</v>
      </c>
      <c r="BH49" s="1834">
        <f t="shared" si="51"/>
        <v>0</v>
      </c>
      <c r="BI49" s="1834">
        <f t="shared" si="51"/>
        <v>0</v>
      </c>
      <c r="BJ49" s="1834">
        <f t="shared" si="51"/>
        <v>0</v>
      </c>
      <c r="BK49" s="1834">
        <f t="shared" si="51"/>
        <v>0</v>
      </c>
      <c r="BL49" s="1834">
        <f t="shared" si="51"/>
        <v>0</v>
      </c>
      <c r="BM49" s="1834">
        <f t="shared" si="51"/>
        <v>0</v>
      </c>
      <c r="BN49" s="1834">
        <f t="shared" si="51"/>
        <v>0</v>
      </c>
      <c r="BO49" s="1834">
        <f t="shared" si="51"/>
        <v>0</v>
      </c>
      <c r="BP49" s="1834">
        <f t="shared" si="51"/>
        <v>0</v>
      </c>
      <c r="BQ49" s="1834">
        <f t="shared" si="51"/>
        <v>0</v>
      </c>
      <c r="BS49" s="1829" t="s">
        <v>72</v>
      </c>
      <c r="BT49" s="1905">
        <f t="shared" ref="BT49:CZ49" si="52">SUM(BT37:BT48)</f>
        <v>13.506999999999998</v>
      </c>
      <c r="BU49" s="1826">
        <f t="shared" si="52"/>
        <v>0</v>
      </c>
      <c r="BV49" s="1826">
        <f t="shared" si="52"/>
        <v>0.8</v>
      </c>
      <c r="BW49" s="1826">
        <f t="shared" si="52"/>
        <v>0</v>
      </c>
      <c r="BX49" s="1826">
        <f t="shared" si="52"/>
        <v>1.512</v>
      </c>
      <c r="BY49" s="1826">
        <f t="shared" si="52"/>
        <v>0.623</v>
      </c>
      <c r="BZ49" s="1826">
        <f t="shared" si="52"/>
        <v>0</v>
      </c>
      <c r="CA49" s="1826">
        <f t="shared" si="52"/>
        <v>0</v>
      </c>
      <c r="CB49" s="1826">
        <f t="shared" si="52"/>
        <v>4.0000000000000001E-3</v>
      </c>
      <c r="CC49" s="1826">
        <f t="shared" si="52"/>
        <v>0.1</v>
      </c>
      <c r="CD49" s="1826">
        <f t="shared" si="52"/>
        <v>1.2</v>
      </c>
      <c r="CE49" s="1826">
        <f t="shared" si="52"/>
        <v>0.01</v>
      </c>
      <c r="CF49" s="1826">
        <f t="shared" si="52"/>
        <v>0</v>
      </c>
      <c r="CG49" s="1826">
        <f t="shared" si="52"/>
        <v>0.15</v>
      </c>
      <c r="CH49" s="1826">
        <f t="shared" si="52"/>
        <v>0.15</v>
      </c>
      <c r="CI49" s="1826">
        <f t="shared" si="52"/>
        <v>0</v>
      </c>
      <c r="CJ49" s="1826">
        <f t="shared" si="52"/>
        <v>4.0000000000000001E-3</v>
      </c>
      <c r="CK49" s="1826">
        <f t="shared" si="52"/>
        <v>0</v>
      </c>
      <c r="CL49" s="1826">
        <f t="shared" si="52"/>
        <v>0</v>
      </c>
      <c r="CM49" s="1826">
        <f t="shared" si="52"/>
        <v>0.312</v>
      </c>
      <c r="CN49" s="1826">
        <f t="shared" si="52"/>
        <v>0.02</v>
      </c>
      <c r="CO49" s="1826">
        <f t="shared" si="52"/>
        <v>0</v>
      </c>
      <c r="CP49" s="1826">
        <f t="shared" si="52"/>
        <v>0</v>
      </c>
      <c r="CQ49" s="1826">
        <f t="shared" si="52"/>
        <v>0.03</v>
      </c>
      <c r="CR49" s="1826">
        <f t="shared" si="52"/>
        <v>0</v>
      </c>
      <c r="CS49" s="1826">
        <f t="shared" si="52"/>
        <v>0.03</v>
      </c>
      <c r="CT49" s="1826">
        <f t="shared" si="52"/>
        <v>0.46</v>
      </c>
      <c r="CU49" s="1826">
        <f t="shared" si="52"/>
        <v>7.9000000000000001E-2</v>
      </c>
      <c r="CV49" s="1826">
        <f t="shared" si="52"/>
        <v>2.8000000000000001E-2</v>
      </c>
      <c r="CW49" s="1826">
        <f t="shared" si="52"/>
        <v>0</v>
      </c>
      <c r="CX49" s="1826">
        <f t="shared" si="52"/>
        <v>7.7759999999999989</v>
      </c>
      <c r="CY49" s="1826">
        <f t="shared" si="52"/>
        <v>0.219</v>
      </c>
      <c r="CZ49" s="1826">
        <f t="shared" si="52"/>
        <v>13.506999999999998</v>
      </c>
      <c r="DB49" s="1820" t="s">
        <v>72</v>
      </c>
      <c r="DC49" s="1904">
        <f t="shared" ref="DC49:EI49" si="53">SUM(DC37:DC48)</f>
        <v>0</v>
      </c>
      <c r="DD49" s="1817">
        <f t="shared" si="53"/>
        <v>0</v>
      </c>
      <c r="DE49" s="1817">
        <f t="shared" si="53"/>
        <v>0</v>
      </c>
      <c r="DF49" s="1817">
        <f t="shared" si="53"/>
        <v>0</v>
      </c>
      <c r="DG49" s="1817">
        <f t="shared" si="53"/>
        <v>0</v>
      </c>
      <c r="DH49" s="1817">
        <f t="shared" si="53"/>
        <v>0</v>
      </c>
      <c r="DI49" s="1817">
        <f t="shared" si="53"/>
        <v>0</v>
      </c>
      <c r="DJ49" s="1817">
        <f t="shared" si="53"/>
        <v>0</v>
      </c>
      <c r="DK49" s="1817">
        <f t="shared" si="53"/>
        <v>0</v>
      </c>
      <c r="DL49" s="1817">
        <f t="shared" si="53"/>
        <v>0</v>
      </c>
      <c r="DM49" s="1817">
        <f t="shared" si="53"/>
        <v>0</v>
      </c>
      <c r="DN49" s="1817">
        <f t="shared" si="53"/>
        <v>0</v>
      </c>
      <c r="DO49" s="1817">
        <f t="shared" si="53"/>
        <v>0</v>
      </c>
      <c r="DP49" s="1817">
        <f t="shared" si="53"/>
        <v>0</v>
      </c>
      <c r="DQ49" s="1817">
        <f t="shared" si="53"/>
        <v>0</v>
      </c>
      <c r="DR49" s="1817">
        <f t="shared" si="53"/>
        <v>0</v>
      </c>
      <c r="DS49" s="1817">
        <f t="shared" si="53"/>
        <v>0</v>
      </c>
      <c r="DT49" s="1817">
        <f t="shared" si="53"/>
        <v>0</v>
      </c>
      <c r="DU49" s="1817">
        <f t="shared" si="53"/>
        <v>0</v>
      </c>
      <c r="DV49" s="1817">
        <f t="shared" si="53"/>
        <v>0</v>
      </c>
      <c r="DW49" s="1817">
        <f t="shared" si="53"/>
        <v>0</v>
      </c>
      <c r="DX49" s="1817">
        <f t="shared" si="53"/>
        <v>0</v>
      </c>
      <c r="DY49" s="1817">
        <f t="shared" si="53"/>
        <v>0</v>
      </c>
      <c r="DZ49" s="1817">
        <f t="shared" si="53"/>
        <v>0</v>
      </c>
      <c r="EA49" s="1817">
        <f t="shared" si="53"/>
        <v>0</v>
      </c>
      <c r="EB49" s="1817">
        <f t="shared" si="53"/>
        <v>0</v>
      </c>
      <c r="EC49" s="1817">
        <f t="shared" si="53"/>
        <v>0</v>
      </c>
      <c r="ED49" s="1817">
        <f t="shared" si="53"/>
        <v>0</v>
      </c>
      <c r="EE49" s="1817">
        <f t="shared" si="53"/>
        <v>0</v>
      </c>
      <c r="EF49" s="1817">
        <f t="shared" si="53"/>
        <v>0</v>
      </c>
      <c r="EG49" s="1817">
        <f t="shared" si="53"/>
        <v>0</v>
      </c>
      <c r="EH49" s="1817">
        <f t="shared" si="53"/>
        <v>0</v>
      </c>
      <c r="EI49" s="1817">
        <f t="shared" si="53"/>
        <v>0</v>
      </c>
    </row>
    <row r="50" spans="1:139" ht="15">
      <c r="A50" s="1770"/>
      <c r="B50" s="1770"/>
      <c r="C50" s="1770"/>
      <c r="D50" s="1770"/>
      <c r="E50" s="1770"/>
      <c r="F50" s="1770"/>
      <c r="G50" s="1770"/>
      <c r="H50" s="1770"/>
      <c r="I50" s="1770"/>
      <c r="J50" s="1770"/>
      <c r="K50" s="1770"/>
      <c r="L50" s="1770"/>
      <c r="M50" s="1770"/>
      <c r="N50" s="1770"/>
      <c r="O50" s="1770"/>
      <c r="P50" s="1770"/>
      <c r="Q50" s="1770"/>
      <c r="R50" s="1770"/>
      <c r="S50" s="1770"/>
      <c r="T50" s="1770"/>
      <c r="U50" s="1770"/>
      <c r="V50" s="1770"/>
      <c r="W50" s="1770"/>
      <c r="X50" s="1770"/>
      <c r="Y50" s="1770"/>
      <c r="Z50" s="1770"/>
      <c r="AA50" s="1770"/>
      <c r="AB50" s="1770"/>
      <c r="AC50" s="1770"/>
      <c r="AD50" s="1770"/>
      <c r="AE50" s="1770"/>
      <c r="AF50" s="1770"/>
      <c r="AG50" s="1770"/>
      <c r="AH50" s="1770"/>
      <c r="AJ50" s="1903"/>
      <c r="AK50" s="1902"/>
      <c r="AL50" s="1895"/>
      <c r="AM50" s="1895"/>
      <c r="AN50" s="1895"/>
      <c r="AO50" s="1895"/>
      <c r="AP50" s="1895"/>
      <c r="AQ50" s="1895"/>
      <c r="AR50" s="1895"/>
      <c r="AS50" s="1895"/>
      <c r="AT50" s="1895"/>
      <c r="AU50" s="1895"/>
      <c r="AV50" s="1895"/>
      <c r="AW50" s="1895"/>
      <c r="AX50" s="1895"/>
      <c r="AY50" s="1895"/>
      <c r="AZ50" s="1895"/>
      <c r="BA50" s="1895"/>
      <c r="BB50" s="1895"/>
      <c r="BC50" s="1895"/>
      <c r="BD50" s="1895"/>
      <c r="BE50" s="1895"/>
      <c r="BF50" s="1895"/>
      <c r="BG50" s="1895"/>
      <c r="BH50" s="1895"/>
      <c r="BI50" s="1895"/>
      <c r="BJ50" s="1895"/>
      <c r="BK50" s="1895"/>
      <c r="BL50" s="1895"/>
      <c r="BM50" s="1895"/>
      <c r="BN50" s="1895"/>
      <c r="BO50" s="1895"/>
      <c r="BP50" s="1895"/>
      <c r="BQ50" s="1895"/>
      <c r="BS50" s="1901"/>
      <c r="BT50" s="1900"/>
      <c r="BU50" s="1891"/>
      <c r="BV50" s="1891"/>
      <c r="BW50" s="1891"/>
      <c r="BX50" s="1891"/>
      <c r="BY50" s="1891"/>
      <c r="BZ50" s="1891"/>
      <c r="CA50" s="1891"/>
      <c r="CB50" s="1891"/>
      <c r="CC50" s="1891"/>
      <c r="CD50" s="1891"/>
      <c r="CE50" s="1891"/>
      <c r="CF50" s="1891"/>
      <c r="CG50" s="1891"/>
      <c r="CH50" s="1891"/>
      <c r="CI50" s="1891"/>
      <c r="CJ50" s="1891"/>
      <c r="CK50" s="1891"/>
      <c r="CL50" s="1891"/>
      <c r="CM50" s="1891"/>
      <c r="CN50" s="1891"/>
      <c r="CO50" s="1891"/>
      <c r="CP50" s="1891"/>
      <c r="CQ50" s="1891"/>
      <c r="CR50" s="1891"/>
      <c r="CS50" s="1891"/>
      <c r="CT50" s="1891"/>
      <c r="CU50" s="1891"/>
      <c r="CV50" s="1891"/>
      <c r="CW50" s="1891"/>
      <c r="CX50" s="1891"/>
      <c r="CY50" s="1891"/>
      <c r="CZ50" s="1891"/>
      <c r="DB50" s="1899"/>
      <c r="DC50" s="1898"/>
      <c r="DD50" s="1890"/>
      <c r="DE50" s="1890"/>
      <c r="DF50" s="1890"/>
      <c r="DG50" s="1890"/>
      <c r="DH50" s="1890"/>
      <c r="DI50" s="1890"/>
      <c r="DJ50" s="1890"/>
      <c r="DK50" s="1890"/>
      <c r="DL50" s="1890"/>
      <c r="DM50" s="1890"/>
      <c r="DN50" s="1890"/>
      <c r="DO50" s="1890"/>
      <c r="DP50" s="1890"/>
      <c r="DQ50" s="1890"/>
      <c r="DR50" s="1890"/>
      <c r="DS50" s="1890"/>
      <c r="DT50" s="1890"/>
      <c r="DU50" s="1890"/>
      <c r="DV50" s="1890"/>
      <c r="DW50" s="1890"/>
      <c r="DX50" s="1890"/>
      <c r="DY50" s="1890"/>
      <c r="DZ50" s="1890"/>
      <c r="EA50" s="1890"/>
      <c r="EB50" s="1890"/>
      <c r="EC50" s="1890"/>
      <c r="ED50" s="1890"/>
      <c r="EE50" s="1890"/>
      <c r="EF50" s="1890"/>
      <c r="EG50" s="1890"/>
      <c r="EH50" s="1890"/>
      <c r="EI50" s="1890"/>
    </row>
    <row r="51" spans="1:139" ht="15">
      <c r="A51" s="4044" t="s">
        <v>612</v>
      </c>
      <c r="B51" s="4045"/>
      <c r="C51" s="4046"/>
      <c r="D51" s="1229"/>
      <c r="E51" s="1229"/>
      <c r="F51" s="1229"/>
      <c r="G51" s="1229"/>
      <c r="H51" s="1229"/>
      <c r="I51" s="1229"/>
      <c r="J51" s="1229"/>
      <c r="K51" s="1229"/>
      <c r="L51" s="1229"/>
      <c r="M51" s="1920"/>
      <c r="N51" s="1229"/>
      <c r="O51" s="1229"/>
      <c r="P51" s="1229"/>
      <c r="Q51" s="1229"/>
      <c r="R51" s="1229"/>
      <c r="S51" s="1229"/>
      <c r="T51" s="1229"/>
      <c r="U51" s="1229"/>
      <c r="V51" s="1229"/>
      <c r="W51" s="1229"/>
      <c r="X51" s="1229"/>
      <c r="Y51" s="1229"/>
      <c r="Z51" s="1229"/>
      <c r="AA51" s="1229"/>
      <c r="AB51" s="1229"/>
      <c r="AC51" s="1229"/>
      <c r="AD51" s="1229"/>
      <c r="AE51" s="1229"/>
      <c r="AF51" s="1229"/>
      <c r="AG51" s="1229"/>
      <c r="AH51" s="1229"/>
      <c r="AJ51" s="3821" t="s">
        <v>612</v>
      </c>
      <c r="AK51" s="3822"/>
      <c r="AL51" s="3823"/>
      <c r="AM51" s="1839"/>
      <c r="AN51" s="1839"/>
      <c r="AO51" s="1839"/>
      <c r="AP51" s="1839"/>
      <c r="AQ51" s="1839"/>
      <c r="AR51" s="1839"/>
      <c r="AS51" s="1839"/>
      <c r="AT51" s="1839"/>
      <c r="AU51" s="1839"/>
      <c r="AV51" s="1840"/>
      <c r="AW51" s="1839"/>
      <c r="AX51" s="1839"/>
      <c r="AY51" s="1839"/>
      <c r="AZ51" s="1839"/>
      <c r="BA51" s="1839"/>
      <c r="BB51" s="1839"/>
      <c r="BC51" s="1839"/>
      <c r="BD51" s="1839"/>
      <c r="BE51" s="1839"/>
      <c r="BF51" s="1839"/>
      <c r="BG51" s="1839"/>
      <c r="BH51" s="1839"/>
      <c r="BI51" s="1839"/>
      <c r="BJ51" s="1839"/>
      <c r="BK51" s="1839"/>
      <c r="BL51" s="1839"/>
      <c r="BM51" s="1839"/>
      <c r="BN51" s="1839"/>
      <c r="BO51" s="1839"/>
      <c r="BP51" s="1839"/>
      <c r="BQ51" s="1839"/>
      <c r="BS51" s="4035" t="s">
        <v>612</v>
      </c>
      <c r="BT51" s="4036"/>
      <c r="BU51" s="4037"/>
      <c r="BV51" s="1831"/>
      <c r="BW51" s="1831"/>
      <c r="BX51" s="1831"/>
      <c r="BY51" s="1831"/>
      <c r="BZ51" s="1831"/>
      <c r="CA51" s="1831"/>
      <c r="CB51" s="1831"/>
      <c r="CC51" s="1831"/>
      <c r="CD51" s="1831"/>
      <c r="CE51" s="1832"/>
      <c r="CF51" s="1831"/>
      <c r="CG51" s="1831"/>
      <c r="CH51" s="1831"/>
      <c r="CI51" s="1831"/>
      <c r="CJ51" s="1831"/>
      <c r="CK51" s="1831"/>
      <c r="CL51" s="1831"/>
      <c r="CM51" s="1831"/>
      <c r="CN51" s="1831"/>
      <c r="CO51" s="1831"/>
      <c r="CP51" s="1831"/>
      <c r="CQ51" s="1831"/>
      <c r="CR51" s="1831"/>
      <c r="CS51" s="1831"/>
      <c r="CT51" s="1831"/>
      <c r="CU51" s="1831"/>
      <c r="CV51" s="1831"/>
      <c r="CW51" s="1831"/>
      <c r="CX51" s="1831"/>
      <c r="CY51" s="1831"/>
      <c r="CZ51" s="1831"/>
      <c r="DB51" s="4038" t="s">
        <v>612</v>
      </c>
      <c r="DC51" s="4039"/>
      <c r="DD51" s="4040"/>
      <c r="DE51" s="1823"/>
      <c r="DF51" s="1823"/>
      <c r="DG51" s="1823"/>
      <c r="DH51" s="1823"/>
      <c r="DI51" s="1823"/>
      <c r="DJ51" s="1823"/>
      <c r="DK51" s="1823"/>
      <c r="DL51" s="1823"/>
      <c r="DM51" s="1823"/>
      <c r="DN51" s="1824"/>
      <c r="DO51" s="1823"/>
      <c r="DP51" s="1823"/>
      <c r="DQ51" s="1823"/>
      <c r="DR51" s="1823"/>
      <c r="DS51" s="1823"/>
      <c r="DT51" s="1823"/>
      <c r="DU51" s="1823"/>
      <c r="DV51" s="1823"/>
      <c r="DW51" s="1823"/>
      <c r="DX51" s="1823"/>
      <c r="DY51" s="1823"/>
      <c r="DZ51" s="1823"/>
      <c r="EA51" s="1823"/>
      <c r="EB51" s="1823"/>
      <c r="EC51" s="1823"/>
      <c r="ED51" s="1823"/>
      <c r="EE51" s="1823"/>
      <c r="EF51" s="1823"/>
      <c r="EG51" s="1823"/>
      <c r="EH51" s="1823"/>
      <c r="EI51" s="1823"/>
    </row>
    <row r="52" spans="1:139" ht="15">
      <c r="A52" s="1054" t="s">
        <v>70</v>
      </c>
      <c r="B52" s="1054" t="s">
        <v>71</v>
      </c>
      <c r="C52" s="1054">
        <v>1</v>
      </c>
      <c r="D52" s="1054">
        <v>2</v>
      </c>
      <c r="E52" s="1054">
        <v>3</v>
      </c>
      <c r="F52" s="1054">
        <v>4</v>
      </c>
      <c r="G52" s="1054">
        <v>5</v>
      </c>
      <c r="H52" s="1054">
        <v>6</v>
      </c>
      <c r="I52" s="1054">
        <v>7</v>
      </c>
      <c r="J52" s="1054">
        <v>8</v>
      </c>
      <c r="K52" s="1054">
        <v>9</v>
      </c>
      <c r="L52" s="1054">
        <v>10</v>
      </c>
      <c r="M52" s="1054">
        <v>11</v>
      </c>
      <c r="N52" s="1054">
        <v>12</v>
      </c>
      <c r="O52" s="1054">
        <v>13</v>
      </c>
      <c r="P52" s="1054">
        <v>14</v>
      </c>
      <c r="Q52" s="1054">
        <v>15</v>
      </c>
      <c r="R52" s="1054">
        <v>16</v>
      </c>
      <c r="S52" s="1054">
        <v>17</v>
      </c>
      <c r="T52" s="1054">
        <v>18</v>
      </c>
      <c r="U52" s="1054">
        <v>19</v>
      </c>
      <c r="V52" s="1054">
        <v>20</v>
      </c>
      <c r="W52" s="1054">
        <v>21</v>
      </c>
      <c r="X52" s="1054">
        <v>22</v>
      </c>
      <c r="Y52" s="1054">
        <v>23</v>
      </c>
      <c r="Z52" s="1054">
        <v>24</v>
      </c>
      <c r="AA52" s="1054">
        <v>25</v>
      </c>
      <c r="AB52" s="1054">
        <v>26</v>
      </c>
      <c r="AC52" s="1054">
        <v>27</v>
      </c>
      <c r="AD52" s="1054">
        <v>28</v>
      </c>
      <c r="AE52" s="1054">
        <v>29</v>
      </c>
      <c r="AF52" s="1054">
        <v>30</v>
      </c>
      <c r="AG52" s="1054">
        <v>31</v>
      </c>
      <c r="AH52" s="1596" t="s">
        <v>72</v>
      </c>
      <c r="AJ52" s="1524" t="s">
        <v>70</v>
      </c>
      <c r="AK52" s="1524" t="s">
        <v>71</v>
      </c>
      <c r="AL52" s="1524">
        <v>1</v>
      </c>
      <c r="AM52" s="1524">
        <v>2</v>
      </c>
      <c r="AN52" s="1524">
        <v>3</v>
      </c>
      <c r="AO52" s="1524">
        <v>4</v>
      </c>
      <c r="AP52" s="1524">
        <v>5</v>
      </c>
      <c r="AQ52" s="1524">
        <v>6</v>
      </c>
      <c r="AR52" s="1524">
        <v>7</v>
      </c>
      <c r="AS52" s="1524">
        <v>8</v>
      </c>
      <c r="AT52" s="1524">
        <v>9</v>
      </c>
      <c r="AU52" s="1524">
        <v>10</v>
      </c>
      <c r="AV52" s="1524">
        <v>11</v>
      </c>
      <c r="AW52" s="1524">
        <v>12</v>
      </c>
      <c r="AX52" s="1524">
        <v>13</v>
      </c>
      <c r="AY52" s="1524">
        <v>14</v>
      </c>
      <c r="AZ52" s="1524">
        <v>15</v>
      </c>
      <c r="BA52" s="1524">
        <v>16</v>
      </c>
      <c r="BB52" s="1524">
        <v>17</v>
      </c>
      <c r="BC52" s="1524">
        <v>18</v>
      </c>
      <c r="BD52" s="1524">
        <v>19</v>
      </c>
      <c r="BE52" s="1524">
        <v>20</v>
      </c>
      <c r="BF52" s="1524">
        <v>21</v>
      </c>
      <c r="BG52" s="1524">
        <v>22</v>
      </c>
      <c r="BH52" s="1524">
        <v>23</v>
      </c>
      <c r="BI52" s="1524">
        <v>24</v>
      </c>
      <c r="BJ52" s="1524">
        <v>25</v>
      </c>
      <c r="BK52" s="1524">
        <v>26</v>
      </c>
      <c r="BL52" s="1524">
        <v>27</v>
      </c>
      <c r="BM52" s="1524">
        <v>28</v>
      </c>
      <c r="BN52" s="1524">
        <v>29</v>
      </c>
      <c r="BO52" s="1524">
        <v>30</v>
      </c>
      <c r="BP52" s="1524">
        <v>31</v>
      </c>
      <c r="BQ52" s="1838" t="s">
        <v>72</v>
      </c>
      <c r="BS52" s="1621" t="s">
        <v>70</v>
      </c>
      <c r="BT52" s="1621" t="s">
        <v>71</v>
      </c>
      <c r="BU52" s="1621">
        <v>1</v>
      </c>
      <c r="BV52" s="1621">
        <v>2</v>
      </c>
      <c r="BW52" s="1621">
        <v>3</v>
      </c>
      <c r="BX52" s="1621">
        <v>4</v>
      </c>
      <c r="BY52" s="1621">
        <v>5</v>
      </c>
      <c r="BZ52" s="1621">
        <v>6</v>
      </c>
      <c r="CA52" s="1621">
        <v>7</v>
      </c>
      <c r="CB52" s="1621">
        <v>8</v>
      </c>
      <c r="CC52" s="1621">
        <v>9</v>
      </c>
      <c r="CD52" s="1621">
        <v>10</v>
      </c>
      <c r="CE52" s="1621">
        <v>11</v>
      </c>
      <c r="CF52" s="1621">
        <v>12</v>
      </c>
      <c r="CG52" s="1621">
        <v>13</v>
      </c>
      <c r="CH52" s="1621">
        <v>14</v>
      </c>
      <c r="CI52" s="1621">
        <v>15</v>
      </c>
      <c r="CJ52" s="1621">
        <v>16</v>
      </c>
      <c r="CK52" s="1621">
        <v>17</v>
      </c>
      <c r="CL52" s="1621">
        <v>18</v>
      </c>
      <c r="CM52" s="1621">
        <v>19</v>
      </c>
      <c r="CN52" s="1621">
        <v>20</v>
      </c>
      <c r="CO52" s="1621">
        <v>21</v>
      </c>
      <c r="CP52" s="1621">
        <v>22</v>
      </c>
      <c r="CQ52" s="1621">
        <v>23</v>
      </c>
      <c r="CR52" s="1621">
        <v>24</v>
      </c>
      <c r="CS52" s="1621">
        <v>25</v>
      </c>
      <c r="CT52" s="1621">
        <v>26</v>
      </c>
      <c r="CU52" s="1621">
        <v>27</v>
      </c>
      <c r="CV52" s="1621">
        <v>28</v>
      </c>
      <c r="CW52" s="1621">
        <v>29</v>
      </c>
      <c r="CX52" s="1621">
        <v>30</v>
      </c>
      <c r="CY52" s="1621">
        <v>31</v>
      </c>
      <c r="CZ52" s="1830" t="s">
        <v>72</v>
      </c>
      <c r="DB52" s="1719" t="s">
        <v>70</v>
      </c>
      <c r="DC52" s="1719" t="s">
        <v>71</v>
      </c>
      <c r="DD52" s="1719">
        <v>1</v>
      </c>
      <c r="DE52" s="1719">
        <v>2</v>
      </c>
      <c r="DF52" s="1719">
        <v>3</v>
      </c>
      <c r="DG52" s="1719">
        <v>4</v>
      </c>
      <c r="DH52" s="1719">
        <v>5</v>
      </c>
      <c r="DI52" s="1719">
        <v>6</v>
      </c>
      <c r="DJ52" s="1719">
        <v>7</v>
      </c>
      <c r="DK52" s="1719">
        <v>8</v>
      </c>
      <c r="DL52" s="1719">
        <v>9</v>
      </c>
      <c r="DM52" s="1719">
        <v>10</v>
      </c>
      <c r="DN52" s="1719">
        <v>11</v>
      </c>
      <c r="DO52" s="1719">
        <v>12</v>
      </c>
      <c r="DP52" s="1719">
        <v>13</v>
      </c>
      <c r="DQ52" s="1719">
        <v>14</v>
      </c>
      <c r="DR52" s="1719">
        <v>15</v>
      </c>
      <c r="DS52" s="1719">
        <v>16</v>
      </c>
      <c r="DT52" s="1719">
        <v>17</v>
      </c>
      <c r="DU52" s="1719">
        <v>18</v>
      </c>
      <c r="DV52" s="1719">
        <v>19</v>
      </c>
      <c r="DW52" s="1719">
        <v>20</v>
      </c>
      <c r="DX52" s="1719">
        <v>21</v>
      </c>
      <c r="DY52" s="1719">
        <v>22</v>
      </c>
      <c r="DZ52" s="1719">
        <v>23</v>
      </c>
      <c r="EA52" s="1719">
        <v>24</v>
      </c>
      <c r="EB52" s="1719">
        <v>25</v>
      </c>
      <c r="EC52" s="1719">
        <v>26</v>
      </c>
      <c r="ED52" s="1719">
        <v>27</v>
      </c>
      <c r="EE52" s="1719">
        <v>28</v>
      </c>
      <c r="EF52" s="1719">
        <v>29</v>
      </c>
      <c r="EG52" s="1719">
        <v>30</v>
      </c>
      <c r="EH52" s="1719">
        <v>31</v>
      </c>
      <c r="EI52" s="1822" t="s">
        <v>72</v>
      </c>
    </row>
    <row r="53" spans="1:139" ht="15">
      <c r="A53" s="1054" t="s">
        <v>73</v>
      </c>
      <c r="B53" s="1091">
        <f t="shared" ref="B53:B64" si="54">+AH53</f>
        <v>0</v>
      </c>
      <c r="C53" s="1539"/>
      <c r="D53" s="1539"/>
      <c r="E53" s="1539"/>
      <c r="F53" s="1539"/>
      <c r="G53" s="1539"/>
      <c r="H53" s="1539"/>
      <c r="I53" s="1539"/>
      <c r="J53" s="1539"/>
      <c r="K53" s="1539"/>
      <c r="L53" s="1539"/>
      <c r="M53" s="1539"/>
      <c r="N53" s="1539"/>
      <c r="O53" s="1539"/>
      <c r="P53" s="1539"/>
      <c r="Q53" s="1539"/>
      <c r="R53" s="1539"/>
      <c r="S53" s="1539"/>
      <c r="T53" s="1539"/>
      <c r="U53" s="1539"/>
      <c r="V53" s="1539"/>
      <c r="W53" s="1539"/>
      <c r="X53" s="1539"/>
      <c r="Y53" s="1539"/>
      <c r="Z53" s="1539"/>
      <c r="AA53" s="1539"/>
      <c r="AB53" s="1539"/>
      <c r="AC53" s="1539"/>
      <c r="AD53" s="1539"/>
      <c r="AE53" s="1539"/>
      <c r="AF53" s="1539"/>
      <c r="AG53" s="1539"/>
      <c r="AH53" s="1268">
        <f t="shared" ref="AH53:AH64" si="55">SUM(C53:AG53)</f>
        <v>0</v>
      </c>
      <c r="AJ53" s="1524" t="s">
        <v>73</v>
      </c>
      <c r="AK53" s="1527">
        <f t="shared" ref="AK53:AK64" si="56">+BQ53</f>
        <v>0</v>
      </c>
      <c r="AL53" s="1835"/>
      <c r="AM53" s="1835"/>
      <c r="AN53" s="1835"/>
      <c r="AO53" s="1835"/>
      <c r="AP53" s="1835"/>
      <c r="AQ53" s="1835"/>
      <c r="AR53" s="1835"/>
      <c r="AS53" s="1835"/>
      <c r="AT53" s="1835"/>
      <c r="AU53" s="1835"/>
      <c r="AV53" s="1835"/>
      <c r="AW53" s="1835"/>
      <c r="AX53" s="1872"/>
      <c r="AY53" s="1872"/>
      <c r="AZ53" s="1872"/>
      <c r="BA53" s="1872"/>
      <c r="BB53" s="1872"/>
      <c r="BC53" s="1872"/>
      <c r="BD53" s="1872"/>
      <c r="BE53" s="1872"/>
      <c r="BF53" s="1872"/>
      <c r="BG53" s="1872"/>
      <c r="BH53" s="1872"/>
      <c r="BI53" s="1872"/>
      <c r="BJ53" s="1835"/>
      <c r="BK53" s="1835"/>
      <c r="BL53" s="1835"/>
      <c r="BM53" s="1835"/>
      <c r="BN53" s="1835"/>
      <c r="BO53" s="1835"/>
      <c r="BP53" s="1835"/>
      <c r="BQ53" s="1834">
        <f t="shared" ref="BQ53:BQ64" si="57">SUM(AL53:BP53)</f>
        <v>0</v>
      </c>
      <c r="BS53" s="1621" t="s">
        <v>73</v>
      </c>
      <c r="BT53" s="1622">
        <f t="shared" ref="BT53:BT64" si="58">+CZ53</f>
        <v>0</v>
      </c>
      <c r="BU53" s="1871"/>
      <c r="BV53" s="1871"/>
      <c r="BW53" s="1871"/>
      <c r="BX53" s="1871"/>
      <c r="BY53" s="1871"/>
      <c r="BZ53" s="1871"/>
      <c r="CA53" s="1871"/>
      <c r="CB53" s="1871"/>
      <c r="CC53" s="1871"/>
      <c r="CD53" s="1871"/>
      <c r="CE53" s="1871"/>
      <c r="CF53" s="1871"/>
      <c r="CG53" s="1827"/>
      <c r="CH53" s="1827"/>
      <c r="CI53" s="1827"/>
      <c r="CJ53" s="1827"/>
      <c r="CK53" s="1827"/>
      <c r="CL53" s="1827"/>
      <c r="CM53" s="1827"/>
      <c r="CN53" s="1827"/>
      <c r="CO53" s="1827"/>
      <c r="CP53" s="1827"/>
      <c r="CQ53" s="1827"/>
      <c r="CR53" s="1827"/>
      <c r="CS53" s="1827"/>
      <c r="CT53" s="1827"/>
      <c r="CU53" s="1827"/>
      <c r="CV53" s="1827"/>
      <c r="CW53" s="1827"/>
      <c r="CX53" s="1827"/>
      <c r="CY53" s="1827"/>
      <c r="CZ53" s="1826">
        <f t="shared" ref="CZ53:CZ64" si="59">SUM(BU53:CY53)</f>
        <v>0</v>
      </c>
      <c r="DB53" s="1719" t="s">
        <v>73</v>
      </c>
      <c r="DC53" s="1821">
        <f t="shared" ref="DC53:DC64" si="60">+EI53</f>
        <v>0</v>
      </c>
      <c r="DD53" s="1818"/>
      <c r="DE53" s="1818"/>
      <c r="DF53" s="1818"/>
      <c r="DG53" s="1818"/>
      <c r="DH53" s="1818"/>
      <c r="DI53" s="1818"/>
      <c r="DJ53" s="1818"/>
      <c r="DK53" s="1818"/>
      <c r="DL53" s="1818"/>
      <c r="DM53" s="1818"/>
      <c r="DN53" s="1818"/>
      <c r="DO53" s="1818"/>
      <c r="DP53" s="1818"/>
      <c r="DQ53" s="1818"/>
      <c r="DR53" s="1818"/>
      <c r="DS53" s="1818"/>
      <c r="DT53" s="1818"/>
      <c r="DU53" s="1818"/>
      <c r="DV53" s="1818"/>
      <c r="DW53" s="1818"/>
      <c r="DX53" s="1818"/>
      <c r="DY53" s="1818"/>
      <c r="DZ53" s="1818"/>
      <c r="EA53" s="1818"/>
      <c r="EB53" s="1818"/>
      <c r="EC53" s="1818"/>
      <c r="ED53" s="1818"/>
      <c r="EE53" s="1818"/>
      <c r="EF53" s="1818"/>
      <c r="EG53" s="1818"/>
      <c r="EH53" s="1818"/>
      <c r="EI53" s="1817">
        <f t="shared" ref="EI53:EI64" si="61">SUM(DD53:EH53)</f>
        <v>0</v>
      </c>
    </row>
    <row r="54" spans="1:139" ht="15">
      <c r="A54" s="1054" t="s">
        <v>74</v>
      </c>
      <c r="B54" s="1091">
        <f t="shared" si="54"/>
        <v>0</v>
      </c>
      <c r="C54" s="1539"/>
      <c r="D54" s="1540"/>
      <c r="E54" s="1540"/>
      <c r="F54" s="1540"/>
      <c r="G54" s="1540"/>
      <c r="H54" s="1540"/>
      <c r="I54" s="1540"/>
      <c r="J54" s="1540"/>
      <c r="K54" s="1540"/>
      <c r="L54" s="1540"/>
      <c r="M54" s="1540"/>
      <c r="N54" s="1540"/>
      <c r="O54" s="1540"/>
      <c r="P54" s="1540"/>
      <c r="Q54" s="1540"/>
      <c r="R54" s="1540"/>
      <c r="S54" s="1540"/>
      <c r="T54" s="1540"/>
      <c r="U54" s="1540"/>
      <c r="V54" s="1540"/>
      <c r="W54" s="1540"/>
      <c r="X54" s="1540"/>
      <c r="Y54" s="1539"/>
      <c r="Z54" s="1539"/>
      <c r="AA54" s="1539"/>
      <c r="AB54" s="1539"/>
      <c r="AC54" s="1539"/>
      <c r="AD54" s="1539"/>
      <c r="AE54" s="1539"/>
      <c r="AF54" s="1539"/>
      <c r="AG54" s="1539"/>
      <c r="AH54" s="1268">
        <f t="shared" si="55"/>
        <v>0</v>
      </c>
      <c r="AJ54" s="1524" t="s">
        <v>74</v>
      </c>
      <c r="AK54" s="1527">
        <f t="shared" si="56"/>
        <v>0</v>
      </c>
      <c r="AL54" s="1835"/>
      <c r="AM54" s="1889"/>
      <c r="AN54" s="1889"/>
      <c r="AO54" s="1889"/>
      <c r="AP54" s="1889"/>
      <c r="AQ54" s="1889"/>
      <c r="AR54" s="1889"/>
      <c r="AS54" s="1889"/>
      <c r="AT54" s="1889"/>
      <c r="AU54" s="1889"/>
      <c r="AV54" s="1889"/>
      <c r="AW54" s="1889"/>
      <c r="AX54" s="1872"/>
      <c r="AY54" s="1872"/>
      <c r="AZ54" s="1872"/>
      <c r="BA54" s="1872"/>
      <c r="BB54" s="1872"/>
      <c r="BC54" s="1872"/>
      <c r="BD54" s="1872"/>
      <c r="BE54" s="1872"/>
      <c r="BF54" s="1872"/>
      <c r="BG54" s="1872"/>
      <c r="BH54" s="1872"/>
      <c r="BI54" s="1872"/>
      <c r="BJ54" s="1835"/>
      <c r="BK54" s="1835"/>
      <c r="BL54" s="1835"/>
      <c r="BM54" s="1835"/>
      <c r="BN54" s="1835"/>
      <c r="BO54" s="1835"/>
      <c r="BP54" s="1835"/>
      <c r="BQ54" s="1834">
        <f t="shared" si="57"/>
        <v>0</v>
      </c>
      <c r="BS54" s="1621" t="s">
        <v>74</v>
      </c>
      <c r="BT54" s="1622">
        <f t="shared" si="58"/>
        <v>0</v>
      </c>
      <c r="BU54" s="1871"/>
      <c r="BV54" s="1871"/>
      <c r="BW54" s="1871"/>
      <c r="BX54" s="1871"/>
      <c r="BY54" s="1871"/>
      <c r="BZ54" s="1871"/>
      <c r="CA54" s="1871"/>
      <c r="CB54" s="1871"/>
      <c r="CC54" s="1871"/>
      <c r="CD54" s="1871"/>
      <c r="CE54" s="1871"/>
      <c r="CF54" s="1871"/>
      <c r="CG54" s="1870"/>
      <c r="CH54" s="1870"/>
      <c r="CI54" s="1870"/>
      <c r="CJ54" s="1870"/>
      <c r="CK54" s="1870"/>
      <c r="CL54" s="1870"/>
      <c r="CM54" s="1870"/>
      <c r="CN54" s="1870"/>
      <c r="CO54" s="1870"/>
      <c r="CP54" s="1870"/>
      <c r="CQ54" s="1827"/>
      <c r="CR54" s="1827"/>
      <c r="CS54" s="1827"/>
      <c r="CT54" s="1827"/>
      <c r="CU54" s="1827"/>
      <c r="CV54" s="1827"/>
      <c r="CW54" s="1827"/>
      <c r="CX54" s="1827"/>
      <c r="CY54" s="1827"/>
      <c r="CZ54" s="1826">
        <f t="shared" si="59"/>
        <v>0</v>
      </c>
      <c r="DB54" s="1719" t="s">
        <v>74</v>
      </c>
      <c r="DC54" s="1821">
        <f t="shared" si="60"/>
        <v>0</v>
      </c>
      <c r="DD54" s="1818"/>
      <c r="DE54" s="1869"/>
      <c r="DF54" s="1869"/>
      <c r="DG54" s="1869"/>
      <c r="DH54" s="1869"/>
      <c r="DI54" s="1869"/>
      <c r="DJ54" s="1869"/>
      <c r="DK54" s="1869"/>
      <c r="DL54" s="1869"/>
      <c r="DM54" s="1869"/>
      <c r="DN54" s="1869"/>
      <c r="DO54" s="1869"/>
      <c r="DP54" s="1869"/>
      <c r="DQ54" s="1869"/>
      <c r="DR54" s="1869"/>
      <c r="DS54" s="1869"/>
      <c r="DT54" s="1869"/>
      <c r="DU54" s="1869"/>
      <c r="DV54" s="1869"/>
      <c r="DW54" s="1869"/>
      <c r="DX54" s="1869"/>
      <c r="DY54" s="1869"/>
      <c r="DZ54" s="1818"/>
      <c r="EA54" s="1818"/>
      <c r="EB54" s="1818"/>
      <c r="EC54" s="1818"/>
      <c r="ED54" s="1818"/>
      <c r="EE54" s="1818"/>
      <c r="EF54" s="1818"/>
      <c r="EG54" s="1818"/>
      <c r="EH54" s="1818"/>
      <c r="EI54" s="1817">
        <f t="shared" si="61"/>
        <v>0</v>
      </c>
    </row>
    <row r="55" spans="1:139" ht="15">
      <c r="A55" s="1054" t="s">
        <v>75</v>
      </c>
      <c r="B55" s="1091">
        <f t="shared" si="54"/>
        <v>0</v>
      </c>
      <c r="C55" s="1925"/>
      <c r="D55" s="1925"/>
      <c r="E55" s="1936"/>
      <c r="F55" s="1935"/>
      <c r="G55" s="1934"/>
      <c r="H55" s="1926"/>
      <c r="I55" s="1926"/>
      <c r="J55" s="1925"/>
      <c r="K55" s="1925"/>
      <c r="L55" s="1925"/>
      <c r="M55" s="1925"/>
      <c r="N55" s="1925"/>
      <c r="O55" s="1925"/>
      <c r="P55" s="1926"/>
      <c r="Q55" s="1926"/>
      <c r="R55" s="1926"/>
      <c r="S55" s="1926"/>
      <c r="T55" s="1926"/>
      <c r="U55" s="1926"/>
      <c r="V55" s="1926"/>
      <c r="W55" s="1926"/>
      <c r="X55" s="1926"/>
      <c r="Y55" s="1926"/>
      <c r="Z55" s="1926"/>
      <c r="AA55" s="1926"/>
      <c r="AB55" s="1926"/>
      <c r="AC55" s="1926"/>
      <c r="AD55" s="1926"/>
      <c r="AE55" s="1933"/>
      <c r="AF55" s="1925"/>
      <c r="AG55" s="1925"/>
      <c r="AH55" s="1268">
        <f t="shared" si="55"/>
        <v>0</v>
      </c>
      <c r="AJ55" s="1524" t="s">
        <v>75</v>
      </c>
      <c r="AK55" s="1527">
        <f t="shared" si="56"/>
        <v>0</v>
      </c>
      <c r="AL55" s="1878"/>
      <c r="AM55" s="1878"/>
      <c r="AN55" s="1888"/>
      <c r="AO55" s="1887"/>
      <c r="AP55" s="1886"/>
      <c r="AQ55" s="1879"/>
      <c r="AR55" s="1879"/>
      <c r="AS55" s="1878"/>
      <c r="AT55" s="1878"/>
      <c r="AU55" s="1878"/>
      <c r="AV55" s="1878"/>
      <c r="AW55" s="1878"/>
      <c r="AX55" s="1872"/>
      <c r="AY55" s="1872"/>
      <c r="AZ55" s="1872"/>
      <c r="BA55" s="1872"/>
      <c r="BB55" s="1872"/>
      <c r="BC55" s="1872"/>
      <c r="BD55" s="1872"/>
      <c r="BE55" s="1872"/>
      <c r="BF55" s="1872"/>
      <c r="BG55" s="1872"/>
      <c r="BH55" s="1872"/>
      <c r="BI55" s="1872"/>
      <c r="BJ55" s="1879"/>
      <c r="BK55" s="1879"/>
      <c r="BL55" s="1879"/>
      <c r="BM55" s="1879"/>
      <c r="BN55" s="1932"/>
      <c r="BO55" s="1878"/>
      <c r="BP55" s="1878"/>
      <c r="BQ55" s="1834">
        <f t="shared" si="57"/>
        <v>0</v>
      </c>
      <c r="BS55" s="1621" t="s">
        <v>75</v>
      </c>
      <c r="BT55" s="1622">
        <f t="shared" si="58"/>
        <v>0</v>
      </c>
      <c r="BU55" s="1871"/>
      <c r="BV55" s="1871"/>
      <c r="BW55" s="1871"/>
      <c r="BX55" s="1871"/>
      <c r="BY55" s="1871"/>
      <c r="BZ55" s="1871"/>
      <c r="CA55" s="1871"/>
      <c r="CB55" s="1871"/>
      <c r="CC55" s="1871"/>
      <c r="CD55" s="1871"/>
      <c r="CE55" s="1871"/>
      <c r="CF55" s="1871"/>
      <c r="CG55" s="1862"/>
      <c r="CH55" s="1863"/>
      <c r="CI55" s="1863"/>
      <c r="CJ55" s="1863"/>
      <c r="CK55" s="1863"/>
      <c r="CL55" s="1863"/>
      <c r="CM55" s="1863"/>
      <c r="CN55" s="1863"/>
      <c r="CO55" s="1863"/>
      <c r="CP55" s="1863"/>
      <c r="CQ55" s="1863"/>
      <c r="CR55" s="1863"/>
      <c r="CS55" s="1863"/>
      <c r="CT55" s="1863"/>
      <c r="CU55" s="1863"/>
      <c r="CV55" s="1863"/>
      <c r="CW55" s="1868"/>
      <c r="CX55" s="1862"/>
      <c r="CY55" s="1862"/>
      <c r="CZ55" s="1826">
        <f t="shared" si="59"/>
        <v>0</v>
      </c>
      <c r="DB55" s="1719" t="s">
        <v>75</v>
      </c>
      <c r="DC55" s="1821">
        <f t="shared" si="60"/>
        <v>0</v>
      </c>
      <c r="DD55" s="1854"/>
      <c r="DE55" s="1854"/>
      <c r="DF55" s="1867"/>
      <c r="DG55" s="1866"/>
      <c r="DH55" s="1865"/>
      <c r="DI55" s="1855"/>
      <c r="DJ55" s="1855"/>
      <c r="DK55" s="1854"/>
      <c r="DL55" s="1854"/>
      <c r="DM55" s="1854"/>
      <c r="DN55" s="1854"/>
      <c r="DO55" s="1854"/>
      <c r="DP55" s="1854"/>
      <c r="DQ55" s="1855"/>
      <c r="DR55" s="1855"/>
      <c r="DS55" s="1855"/>
      <c r="DT55" s="1855"/>
      <c r="DU55" s="1855"/>
      <c r="DV55" s="1855"/>
      <c r="DW55" s="1855"/>
      <c r="DX55" s="1855"/>
      <c r="DY55" s="1855"/>
      <c r="DZ55" s="1855"/>
      <c r="EA55" s="1855"/>
      <c r="EB55" s="1855"/>
      <c r="EC55" s="1855"/>
      <c r="ED55" s="1855"/>
      <c r="EE55" s="1855"/>
      <c r="EF55" s="1864"/>
      <c r="EG55" s="1854"/>
      <c r="EH55" s="1854"/>
      <c r="EI55" s="1817">
        <f t="shared" si="61"/>
        <v>0</v>
      </c>
    </row>
    <row r="56" spans="1:139" ht="15">
      <c r="A56" s="1054" t="s">
        <v>76</v>
      </c>
      <c r="B56" s="1091">
        <f t="shared" si="54"/>
        <v>0</v>
      </c>
      <c r="C56" s="1931"/>
      <c r="D56" s="1190"/>
      <c r="E56" s="1930"/>
      <c r="F56" s="1929"/>
      <c r="G56" s="1928"/>
      <c r="H56" s="1927"/>
      <c r="I56" s="1926"/>
      <c r="J56" s="1926"/>
      <c r="K56" s="1926"/>
      <c r="L56" s="1926"/>
      <c r="M56" s="1925"/>
      <c r="N56" s="1925"/>
      <c r="O56" s="1925"/>
      <c r="P56" s="1925"/>
      <c r="Q56" s="1926"/>
      <c r="R56" s="1926"/>
      <c r="S56" s="1926"/>
      <c r="T56" s="1926"/>
      <c r="U56" s="1925"/>
      <c r="V56" s="1926"/>
      <c r="W56" s="1926"/>
      <c r="X56" s="1926"/>
      <c r="Y56" s="1926"/>
      <c r="Z56" s="1926"/>
      <c r="AA56" s="1926"/>
      <c r="AB56" s="1926"/>
      <c r="AC56" s="1925"/>
      <c r="AD56" s="1926"/>
      <c r="AE56" s="1926"/>
      <c r="AF56" s="1925"/>
      <c r="AG56" s="1925"/>
      <c r="AH56" s="1268">
        <f t="shared" si="55"/>
        <v>0</v>
      </c>
      <c r="AJ56" s="1524" t="s">
        <v>76</v>
      </c>
      <c r="AK56" s="1527">
        <f t="shared" si="56"/>
        <v>0</v>
      </c>
      <c r="AL56" s="1885"/>
      <c r="AM56" s="1884"/>
      <c r="AN56" s="1883"/>
      <c r="AO56" s="1882"/>
      <c r="AP56" s="1881"/>
      <c r="AQ56" s="1880"/>
      <c r="AR56" s="1879"/>
      <c r="AS56" s="1879"/>
      <c r="AT56" s="1879"/>
      <c r="AU56" s="1879"/>
      <c r="AV56" s="1878"/>
      <c r="AW56" s="1878"/>
      <c r="AX56" s="1877"/>
      <c r="AY56" s="1877"/>
      <c r="AZ56" s="1877"/>
      <c r="BA56" s="1877"/>
      <c r="BB56" s="1877"/>
      <c r="BC56" s="1877"/>
      <c r="BD56" s="1877"/>
      <c r="BE56" s="1877"/>
      <c r="BF56" s="1877"/>
      <c r="BG56" s="1877"/>
      <c r="BH56" s="1872"/>
      <c r="BI56" s="1872"/>
      <c r="BJ56" s="1879"/>
      <c r="BK56" s="1879"/>
      <c r="BL56" s="1878"/>
      <c r="BM56" s="1879"/>
      <c r="BN56" s="1879"/>
      <c r="BO56" s="1878"/>
      <c r="BP56" s="1878"/>
      <c r="BQ56" s="1834">
        <f t="shared" si="57"/>
        <v>0</v>
      </c>
      <c r="BS56" s="1621" t="s">
        <v>76</v>
      </c>
      <c r="BT56" s="1622">
        <f t="shared" si="58"/>
        <v>0</v>
      </c>
      <c r="BU56" s="1876"/>
      <c r="BV56" s="1876"/>
      <c r="BW56" s="1876"/>
      <c r="BX56" s="1876"/>
      <c r="BY56" s="1876"/>
      <c r="BZ56" s="1876"/>
      <c r="CA56" s="1876"/>
      <c r="CB56" s="1876"/>
      <c r="CC56" s="1876"/>
      <c r="CD56" s="1876"/>
      <c r="CE56" s="1871"/>
      <c r="CF56" s="1871"/>
      <c r="CG56" s="1862"/>
      <c r="CH56" s="1862"/>
      <c r="CI56" s="1863"/>
      <c r="CJ56" s="1863"/>
      <c r="CK56" s="1863"/>
      <c r="CL56" s="1863"/>
      <c r="CM56" s="1862"/>
      <c r="CN56" s="1863"/>
      <c r="CO56" s="1863"/>
      <c r="CP56" s="1863"/>
      <c r="CQ56" s="1863"/>
      <c r="CR56" s="1863"/>
      <c r="CS56" s="1863"/>
      <c r="CT56" s="1863"/>
      <c r="CU56" s="1862"/>
      <c r="CV56" s="1863"/>
      <c r="CW56" s="1863"/>
      <c r="CX56" s="1862"/>
      <c r="CY56" s="1862"/>
      <c r="CZ56" s="1826">
        <f t="shared" si="59"/>
        <v>0</v>
      </c>
      <c r="DB56" s="1719" t="s">
        <v>76</v>
      </c>
      <c r="DC56" s="1821">
        <f t="shared" si="60"/>
        <v>0</v>
      </c>
      <c r="DD56" s="1861"/>
      <c r="DE56" s="1860"/>
      <c r="DF56" s="1859"/>
      <c r="DG56" s="1858"/>
      <c r="DH56" s="1857"/>
      <c r="DI56" s="1856"/>
      <c r="DJ56" s="1855"/>
      <c r="DK56" s="1855"/>
      <c r="DL56" s="1855"/>
      <c r="DM56" s="1855"/>
      <c r="DN56" s="1854"/>
      <c r="DO56" s="1854"/>
      <c r="DP56" s="1854"/>
      <c r="DQ56" s="1854"/>
      <c r="DR56" s="1855"/>
      <c r="DS56" s="1855"/>
      <c r="DT56" s="1855"/>
      <c r="DU56" s="1855"/>
      <c r="DV56" s="1854"/>
      <c r="DW56" s="1855"/>
      <c r="DX56" s="1855"/>
      <c r="DY56" s="1855"/>
      <c r="DZ56" s="1855"/>
      <c r="EA56" s="1855"/>
      <c r="EB56" s="1855"/>
      <c r="EC56" s="1855"/>
      <c r="ED56" s="1854"/>
      <c r="EE56" s="1855"/>
      <c r="EF56" s="1855"/>
      <c r="EG56" s="1854"/>
      <c r="EH56" s="1854"/>
      <c r="EI56" s="1817">
        <f t="shared" si="61"/>
        <v>0</v>
      </c>
    </row>
    <row r="57" spans="1:139" ht="15">
      <c r="A57" s="1054" t="s">
        <v>77</v>
      </c>
      <c r="B57" s="1091">
        <f t="shared" si="54"/>
        <v>0</v>
      </c>
      <c r="C57" s="1539"/>
      <c r="D57" s="1539"/>
      <c r="E57" s="1539"/>
      <c r="F57" s="1539"/>
      <c r="G57" s="1539"/>
      <c r="H57" s="1539"/>
      <c r="I57" s="1539"/>
      <c r="J57" s="1539"/>
      <c r="K57" s="1539"/>
      <c r="L57" s="1539"/>
      <c r="M57" s="1539"/>
      <c r="N57" s="1539"/>
      <c r="O57" s="1539"/>
      <c r="P57" s="1539"/>
      <c r="Q57" s="1539"/>
      <c r="R57" s="1539"/>
      <c r="S57" s="1539"/>
      <c r="T57" s="1539"/>
      <c r="U57" s="1539"/>
      <c r="V57" s="1539"/>
      <c r="W57" s="1539"/>
      <c r="X57" s="1539"/>
      <c r="Y57" s="1539"/>
      <c r="Z57" s="1539"/>
      <c r="AA57" s="1539"/>
      <c r="AB57" s="1539"/>
      <c r="AC57" s="1539"/>
      <c r="AD57" s="1539"/>
      <c r="AE57" s="1539"/>
      <c r="AF57" s="1539"/>
      <c r="AG57" s="1539"/>
      <c r="AH57" s="1268">
        <f t="shared" si="55"/>
        <v>0</v>
      </c>
      <c r="AJ57" s="1524" t="s">
        <v>77</v>
      </c>
      <c r="AK57" s="1527">
        <f t="shared" si="56"/>
        <v>0</v>
      </c>
      <c r="AL57" s="1835"/>
      <c r="AM57" s="1835"/>
      <c r="AN57" s="1835"/>
      <c r="AO57" s="1835"/>
      <c r="AP57" s="1835"/>
      <c r="AQ57" s="1835"/>
      <c r="AR57" s="1835"/>
      <c r="AS57" s="1835"/>
      <c r="AT57" s="1835"/>
      <c r="AU57" s="1835"/>
      <c r="AV57" s="1835"/>
      <c r="AW57" s="1835"/>
      <c r="AX57" s="1877"/>
      <c r="AY57" s="1877"/>
      <c r="AZ57" s="1877"/>
      <c r="BA57" s="1872"/>
      <c r="BB57" s="1877"/>
      <c r="BC57" s="1872"/>
      <c r="BD57" s="1877"/>
      <c r="BE57" s="1872"/>
      <c r="BF57" s="1877"/>
      <c r="BG57" s="1877"/>
      <c r="BH57" s="1877"/>
      <c r="BI57" s="1877"/>
      <c r="BJ57" s="1835"/>
      <c r="BK57" s="1835"/>
      <c r="BL57" s="1835"/>
      <c r="BM57" s="1835"/>
      <c r="BN57" s="1835"/>
      <c r="BO57" s="1835"/>
      <c r="BP57" s="1835"/>
      <c r="BQ57" s="1834">
        <f t="shared" si="57"/>
        <v>0</v>
      </c>
      <c r="BS57" s="1621" t="s">
        <v>77</v>
      </c>
      <c r="BT57" s="1622">
        <f t="shared" si="58"/>
        <v>0</v>
      </c>
      <c r="BU57" s="1876"/>
      <c r="BV57" s="1876"/>
      <c r="BW57" s="1876"/>
      <c r="BX57" s="1871"/>
      <c r="BY57" s="1876"/>
      <c r="BZ57" s="1871"/>
      <c r="CA57" s="1876"/>
      <c r="CB57" s="1871"/>
      <c r="CC57" s="1876"/>
      <c r="CD57" s="1876"/>
      <c r="CE57" s="1876"/>
      <c r="CF57" s="1876"/>
      <c r="CG57" s="1827"/>
      <c r="CH57" s="1827"/>
      <c r="CI57" s="1827"/>
      <c r="CJ57" s="1827"/>
      <c r="CK57" s="1827"/>
      <c r="CL57" s="1827"/>
      <c r="CM57" s="1827"/>
      <c r="CN57" s="1827"/>
      <c r="CO57" s="1827"/>
      <c r="CP57" s="1827"/>
      <c r="CQ57" s="1827"/>
      <c r="CR57" s="1827"/>
      <c r="CS57" s="1827"/>
      <c r="CT57" s="1827"/>
      <c r="CU57" s="1827"/>
      <c r="CV57" s="1827"/>
      <c r="CW57" s="1827"/>
      <c r="CX57" s="1827"/>
      <c r="CY57" s="1827"/>
      <c r="CZ57" s="1826">
        <f t="shared" si="59"/>
        <v>0</v>
      </c>
      <c r="DB57" s="1719" t="s">
        <v>77</v>
      </c>
      <c r="DC57" s="1821">
        <f t="shared" si="60"/>
        <v>0</v>
      </c>
      <c r="DD57" s="1818"/>
      <c r="DE57" s="1818"/>
      <c r="DF57" s="1818"/>
      <c r="DG57" s="1818"/>
      <c r="DH57" s="1818"/>
      <c r="DI57" s="1818"/>
      <c r="DJ57" s="1818"/>
      <c r="DK57" s="1818"/>
      <c r="DL57" s="1818"/>
      <c r="DM57" s="1818"/>
      <c r="DN57" s="1818"/>
      <c r="DO57" s="1818"/>
      <c r="DP57" s="1818"/>
      <c r="DQ57" s="1818"/>
      <c r="DR57" s="1818"/>
      <c r="DS57" s="1818"/>
      <c r="DT57" s="1818"/>
      <c r="DU57" s="1818"/>
      <c r="DV57" s="1818"/>
      <c r="DW57" s="1818"/>
      <c r="DX57" s="1818"/>
      <c r="DY57" s="1818"/>
      <c r="DZ57" s="1818"/>
      <c r="EA57" s="1818"/>
      <c r="EB57" s="1818"/>
      <c r="EC57" s="1818"/>
      <c r="ED57" s="1818"/>
      <c r="EE57" s="1818"/>
      <c r="EF57" s="1818"/>
      <c r="EG57" s="1818"/>
      <c r="EH57" s="1818"/>
      <c r="EI57" s="1817">
        <f t="shared" si="61"/>
        <v>0</v>
      </c>
    </row>
    <row r="58" spans="1:139" ht="15">
      <c r="A58" s="1054" t="s">
        <v>78</v>
      </c>
      <c r="B58" s="1091">
        <f t="shared" si="54"/>
        <v>0</v>
      </c>
      <c r="C58" s="1539"/>
      <c r="D58" s="1539"/>
      <c r="E58" s="1539"/>
      <c r="F58" s="1539"/>
      <c r="G58" s="1539"/>
      <c r="H58" s="1539"/>
      <c r="I58" s="1539"/>
      <c r="J58" s="1539"/>
      <c r="K58" s="1539"/>
      <c r="L58" s="1539"/>
      <c r="M58" s="1539"/>
      <c r="N58" s="1539"/>
      <c r="O58" s="1539"/>
      <c r="P58" s="1539"/>
      <c r="Q58" s="1539"/>
      <c r="R58" s="1539"/>
      <c r="S58" s="1539"/>
      <c r="T58" s="1539"/>
      <c r="U58" s="1539"/>
      <c r="V58" s="1539"/>
      <c r="W58" s="1539"/>
      <c r="X58" s="1539"/>
      <c r="Y58" s="1539"/>
      <c r="Z58" s="1539"/>
      <c r="AA58" s="1539"/>
      <c r="AB58" s="1539"/>
      <c r="AC58" s="1539"/>
      <c r="AD58" s="1539"/>
      <c r="AE58" s="1539"/>
      <c r="AF58" s="1539"/>
      <c r="AG58" s="1539"/>
      <c r="AH58" s="1268">
        <f t="shared" si="55"/>
        <v>0</v>
      </c>
      <c r="AJ58" s="1524" t="s">
        <v>78</v>
      </c>
      <c r="AK58" s="1527">
        <f t="shared" si="56"/>
        <v>0</v>
      </c>
      <c r="AL58" s="1835"/>
      <c r="AM58" s="1835"/>
      <c r="AN58" s="1835"/>
      <c r="AO58" s="1835"/>
      <c r="AP58" s="1835"/>
      <c r="AQ58" s="1835"/>
      <c r="AR58" s="1835"/>
      <c r="AS58" s="1835"/>
      <c r="AT58" s="1835"/>
      <c r="AU58" s="1835"/>
      <c r="AV58" s="1835"/>
      <c r="AW58" s="1835"/>
      <c r="AX58" s="1877"/>
      <c r="AY58" s="1877"/>
      <c r="AZ58" s="1877"/>
      <c r="BA58" s="1877"/>
      <c r="BB58" s="1877"/>
      <c r="BC58" s="1877"/>
      <c r="BD58" s="1877"/>
      <c r="BE58" s="1877"/>
      <c r="BF58" s="1877"/>
      <c r="BG58" s="1877"/>
      <c r="BH58" s="1877"/>
      <c r="BI58" s="1872"/>
      <c r="BJ58" s="1835"/>
      <c r="BK58" s="1835"/>
      <c r="BL58" s="1835"/>
      <c r="BM58" s="1835"/>
      <c r="BN58" s="1835"/>
      <c r="BO58" s="1835"/>
      <c r="BP58" s="1835"/>
      <c r="BQ58" s="1834">
        <f t="shared" si="57"/>
        <v>0</v>
      </c>
      <c r="BS58" s="1621" t="s">
        <v>78</v>
      </c>
      <c r="BT58" s="1622">
        <f t="shared" si="58"/>
        <v>0</v>
      </c>
      <c r="BU58" s="1876"/>
      <c r="BV58" s="1876"/>
      <c r="BW58" s="1876"/>
      <c r="BX58" s="1876"/>
      <c r="BY58" s="1876"/>
      <c r="BZ58" s="1876"/>
      <c r="CA58" s="1876"/>
      <c r="CB58" s="1876"/>
      <c r="CC58" s="1876"/>
      <c r="CD58" s="1876"/>
      <c r="CE58" s="1876"/>
      <c r="CF58" s="1871"/>
      <c r="CG58" s="1827"/>
      <c r="CH58" s="1827"/>
      <c r="CI58" s="1827"/>
      <c r="CJ58" s="1827"/>
      <c r="CK58" s="1827"/>
      <c r="CL58" s="1827"/>
      <c r="CM58" s="1827"/>
      <c r="CN58" s="1827"/>
      <c r="CO58" s="1827"/>
      <c r="CP58" s="1827"/>
      <c r="CQ58" s="1827"/>
      <c r="CR58" s="1827"/>
      <c r="CS58" s="1827"/>
      <c r="CT58" s="1827"/>
      <c r="CU58" s="1827"/>
      <c r="CV58" s="1827"/>
      <c r="CW58" s="1827"/>
      <c r="CX58" s="1827"/>
      <c r="CY58" s="1827"/>
      <c r="CZ58" s="1826">
        <f t="shared" si="59"/>
        <v>0</v>
      </c>
      <c r="DB58" s="1719" t="s">
        <v>78</v>
      </c>
      <c r="DC58" s="1821">
        <f t="shared" si="60"/>
        <v>0</v>
      </c>
      <c r="DD58" s="1818"/>
      <c r="DE58" s="1818"/>
      <c r="DF58" s="1818"/>
      <c r="DG58" s="1818"/>
      <c r="DH58" s="1818"/>
      <c r="DI58" s="1818"/>
      <c r="DJ58" s="1818"/>
      <c r="DK58" s="1818"/>
      <c r="DL58" s="1818"/>
      <c r="DM58" s="1818"/>
      <c r="DN58" s="1818"/>
      <c r="DO58" s="1818"/>
      <c r="DP58" s="1818"/>
      <c r="DQ58" s="1818"/>
      <c r="DR58" s="1818"/>
      <c r="DS58" s="1818"/>
      <c r="DT58" s="1818"/>
      <c r="DU58" s="1818"/>
      <c r="DV58" s="1818"/>
      <c r="DW58" s="1818"/>
      <c r="DX58" s="1818"/>
      <c r="DY58" s="1818"/>
      <c r="DZ58" s="1818"/>
      <c r="EA58" s="1818"/>
      <c r="EB58" s="1818"/>
      <c r="EC58" s="1818"/>
      <c r="ED58" s="1818"/>
      <c r="EE58" s="1818"/>
      <c r="EF58" s="1818"/>
      <c r="EG58" s="1818"/>
      <c r="EH58" s="1818"/>
      <c r="EI58" s="1817">
        <f t="shared" si="61"/>
        <v>0</v>
      </c>
    </row>
    <row r="59" spans="1:139" ht="15">
      <c r="A59" s="1054" t="s">
        <v>79</v>
      </c>
      <c r="B59" s="1091">
        <f t="shared" si="54"/>
        <v>0</v>
      </c>
      <c r="C59" s="1539"/>
      <c r="D59" s="1539"/>
      <c r="E59" s="1539"/>
      <c r="F59" s="1539"/>
      <c r="G59" s="1539"/>
      <c r="H59" s="1539"/>
      <c r="I59" s="1539"/>
      <c r="J59" s="1539"/>
      <c r="K59" s="1539"/>
      <c r="L59" s="1539"/>
      <c r="M59" s="1539"/>
      <c r="N59" s="1539"/>
      <c r="O59" s="1539"/>
      <c r="P59" s="1539"/>
      <c r="Q59" s="1539"/>
      <c r="R59" s="1539"/>
      <c r="S59" s="1539"/>
      <c r="T59" s="1539"/>
      <c r="U59" s="1539"/>
      <c r="V59" s="1539"/>
      <c r="W59" s="1539"/>
      <c r="X59" s="1539"/>
      <c r="Y59" s="1539"/>
      <c r="Z59" s="1539"/>
      <c r="AA59" s="1539"/>
      <c r="AB59" s="1539"/>
      <c r="AC59" s="1539"/>
      <c r="AD59" s="1539"/>
      <c r="AE59" s="1539"/>
      <c r="AF59" s="1539"/>
      <c r="AG59" s="1539"/>
      <c r="AH59" s="1268">
        <f t="shared" si="55"/>
        <v>0</v>
      </c>
      <c r="AJ59" s="1524" t="s">
        <v>79</v>
      </c>
      <c r="AK59" s="1527">
        <f t="shared" si="56"/>
        <v>0</v>
      </c>
      <c r="AL59" s="1835"/>
      <c r="AM59" s="1835"/>
      <c r="AN59" s="1835"/>
      <c r="AO59" s="1835"/>
      <c r="AP59" s="1835"/>
      <c r="AQ59" s="1835"/>
      <c r="AR59" s="1835"/>
      <c r="AS59" s="1835"/>
      <c r="AT59" s="1835"/>
      <c r="AU59" s="1835"/>
      <c r="AV59" s="1835"/>
      <c r="AW59" s="1835"/>
      <c r="AX59" s="1877"/>
      <c r="AY59" s="1877"/>
      <c r="AZ59" s="1877"/>
      <c r="BA59" s="1877"/>
      <c r="BB59" s="1877"/>
      <c r="BC59" s="1877"/>
      <c r="BD59" s="1877"/>
      <c r="BE59" s="1877"/>
      <c r="BF59" s="1877"/>
      <c r="BG59" s="1877"/>
      <c r="BH59" s="1877"/>
      <c r="BI59" s="1877"/>
      <c r="BJ59" s="1835"/>
      <c r="BK59" s="1835"/>
      <c r="BL59" s="1835"/>
      <c r="BM59" s="1835"/>
      <c r="BN59" s="1835"/>
      <c r="BO59" s="1835"/>
      <c r="BP59" s="1835"/>
      <c r="BQ59" s="1834">
        <f t="shared" si="57"/>
        <v>0</v>
      </c>
      <c r="BS59" s="1621" t="s">
        <v>79</v>
      </c>
      <c r="BT59" s="1622">
        <f t="shared" si="58"/>
        <v>0</v>
      </c>
      <c r="BU59" s="1876"/>
      <c r="BV59" s="1876"/>
      <c r="BW59" s="1876"/>
      <c r="BX59" s="1876"/>
      <c r="BY59" s="1876"/>
      <c r="BZ59" s="1876"/>
      <c r="CA59" s="1876"/>
      <c r="CB59" s="1876"/>
      <c r="CC59" s="1876"/>
      <c r="CD59" s="1876"/>
      <c r="CE59" s="1876"/>
      <c r="CF59" s="1876"/>
      <c r="CG59" s="1827"/>
      <c r="CH59" s="1827"/>
      <c r="CI59" s="1827"/>
      <c r="CJ59" s="1827"/>
      <c r="CK59" s="1827"/>
      <c r="CL59" s="1827"/>
      <c r="CM59" s="1827"/>
      <c r="CN59" s="1827"/>
      <c r="CO59" s="1827"/>
      <c r="CP59" s="1827"/>
      <c r="CQ59" s="1827"/>
      <c r="CR59" s="1827"/>
      <c r="CS59" s="1827"/>
      <c r="CT59" s="1827"/>
      <c r="CU59" s="1827"/>
      <c r="CV59" s="1827"/>
      <c r="CW59" s="1827"/>
      <c r="CX59" s="1827"/>
      <c r="CY59" s="1827"/>
      <c r="CZ59" s="1826">
        <f t="shared" si="59"/>
        <v>0</v>
      </c>
      <c r="DB59" s="1719" t="s">
        <v>79</v>
      </c>
      <c r="DC59" s="1821">
        <f t="shared" si="60"/>
        <v>0</v>
      </c>
      <c r="DD59" s="1818"/>
      <c r="DE59" s="1818"/>
      <c r="DF59" s="1818"/>
      <c r="DG59" s="1818"/>
      <c r="DH59" s="1818"/>
      <c r="DI59" s="1818"/>
      <c r="DJ59" s="1818"/>
      <c r="DK59" s="1818"/>
      <c r="DL59" s="1818"/>
      <c r="DM59" s="1818"/>
      <c r="DN59" s="1818"/>
      <c r="DO59" s="1818"/>
      <c r="DP59" s="1818"/>
      <c r="DQ59" s="1818"/>
      <c r="DR59" s="1818"/>
      <c r="DS59" s="1818"/>
      <c r="DT59" s="1818"/>
      <c r="DU59" s="1818"/>
      <c r="DV59" s="1818"/>
      <c r="DW59" s="1818"/>
      <c r="DX59" s="1818"/>
      <c r="DY59" s="1818"/>
      <c r="DZ59" s="1818"/>
      <c r="EA59" s="1818"/>
      <c r="EB59" s="1818"/>
      <c r="EC59" s="1818"/>
      <c r="ED59" s="1818"/>
      <c r="EE59" s="1818"/>
      <c r="EF59" s="1818"/>
      <c r="EG59" s="1818"/>
      <c r="EH59" s="1818"/>
      <c r="EI59" s="1817">
        <f t="shared" si="61"/>
        <v>0</v>
      </c>
    </row>
    <row r="60" spans="1:139" ht="15">
      <c r="A60" s="1054" t="s">
        <v>80</v>
      </c>
      <c r="B60" s="1091">
        <f t="shared" si="54"/>
        <v>0</v>
      </c>
      <c r="C60" s="1539"/>
      <c r="D60" s="1539"/>
      <c r="E60" s="1539"/>
      <c r="F60" s="1539"/>
      <c r="G60" s="1539"/>
      <c r="H60" s="1539"/>
      <c r="I60" s="1539"/>
      <c r="J60" s="1539"/>
      <c r="K60" s="1539"/>
      <c r="L60" s="1539"/>
      <c r="M60" s="1539"/>
      <c r="N60" s="1539"/>
      <c r="O60" s="1539"/>
      <c r="P60" s="1539"/>
      <c r="Q60" s="1539"/>
      <c r="R60" s="1539"/>
      <c r="S60" s="1539"/>
      <c r="T60" s="1539"/>
      <c r="U60" s="1539"/>
      <c r="V60" s="1539"/>
      <c r="W60" s="1539"/>
      <c r="X60" s="1539"/>
      <c r="Y60" s="1539"/>
      <c r="Z60" s="1539"/>
      <c r="AA60" s="1539"/>
      <c r="AB60" s="1539"/>
      <c r="AC60" s="1539"/>
      <c r="AD60" s="1539"/>
      <c r="AE60" s="1539"/>
      <c r="AF60" s="1539"/>
      <c r="AG60" s="1539"/>
      <c r="AH60" s="1268">
        <f t="shared" si="55"/>
        <v>0</v>
      </c>
      <c r="AJ60" s="1524" t="s">
        <v>80</v>
      </c>
      <c r="AK60" s="1527">
        <f t="shared" si="56"/>
        <v>2.258</v>
      </c>
      <c r="AL60" s="1835"/>
      <c r="AM60" s="1835"/>
      <c r="AN60" s="1835"/>
      <c r="AO60" s="1835"/>
      <c r="AP60" s="1835"/>
      <c r="AQ60" s="1835"/>
      <c r="AR60" s="1835"/>
      <c r="AS60" s="1835"/>
      <c r="AT60" s="1835"/>
      <c r="AU60" s="1835"/>
      <c r="AV60" s="1835">
        <v>2.258</v>
      </c>
      <c r="AW60" s="1835"/>
      <c r="AX60" s="1872"/>
      <c r="AY60" s="1875"/>
      <c r="AZ60" s="1872"/>
      <c r="BA60" s="1872"/>
      <c r="BB60" s="1872"/>
      <c r="BC60" s="1872"/>
      <c r="BD60" s="1872"/>
      <c r="BE60" s="1872"/>
      <c r="BF60" s="1872"/>
      <c r="BG60" s="1872"/>
      <c r="BH60" s="1872"/>
      <c r="BI60" s="1872"/>
      <c r="BJ60" s="1835"/>
      <c r="BK60" s="1835"/>
      <c r="BL60" s="1835"/>
      <c r="BM60" s="1835"/>
      <c r="BN60" s="1835"/>
      <c r="BO60" s="1835"/>
      <c r="BP60" s="1835"/>
      <c r="BQ60" s="1834">
        <f t="shared" si="57"/>
        <v>2.258</v>
      </c>
      <c r="BS60" s="1621" t="s">
        <v>80</v>
      </c>
      <c r="BT60" s="1622">
        <f t="shared" si="58"/>
        <v>0</v>
      </c>
      <c r="BU60" s="1871"/>
      <c r="BV60" s="1874"/>
      <c r="BW60" s="1871"/>
      <c r="BX60" s="1871"/>
      <c r="BY60" s="1871"/>
      <c r="BZ60" s="1871"/>
      <c r="CA60" s="1871"/>
      <c r="CB60" s="1871"/>
      <c r="CC60" s="1871"/>
      <c r="CD60" s="1871"/>
      <c r="CE60" s="1871"/>
      <c r="CF60" s="1871"/>
      <c r="CG60" s="1827"/>
      <c r="CH60" s="1827"/>
      <c r="CI60" s="1827"/>
      <c r="CJ60" s="1827"/>
      <c r="CK60" s="1827"/>
      <c r="CL60" s="1827"/>
      <c r="CM60" s="1827"/>
      <c r="CN60" s="1827"/>
      <c r="CO60" s="1827"/>
      <c r="CP60" s="1827"/>
      <c r="CQ60" s="1827"/>
      <c r="CR60" s="1827"/>
      <c r="CS60" s="1827"/>
      <c r="CT60" s="1827"/>
      <c r="CU60" s="1827"/>
      <c r="CV60" s="1827"/>
      <c r="CW60" s="1827"/>
      <c r="CX60" s="1827"/>
      <c r="CY60" s="1827"/>
      <c r="CZ60" s="1826">
        <f t="shared" si="59"/>
        <v>0</v>
      </c>
      <c r="DB60" s="1719" t="s">
        <v>80</v>
      </c>
      <c r="DC60" s="1821">
        <f t="shared" si="60"/>
        <v>0</v>
      </c>
      <c r="DD60" s="1818"/>
      <c r="DE60" s="1818"/>
      <c r="DF60" s="1818"/>
      <c r="DG60" s="1818"/>
      <c r="DH60" s="1818"/>
      <c r="DI60" s="1818"/>
      <c r="DJ60" s="1818"/>
      <c r="DK60" s="1818"/>
      <c r="DL60" s="1818"/>
      <c r="DM60" s="1818"/>
      <c r="DN60" s="1818"/>
      <c r="DO60" s="1818"/>
      <c r="DP60" s="1818"/>
      <c r="DQ60" s="1818"/>
      <c r="DR60" s="1818"/>
      <c r="DS60" s="1818"/>
      <c r="DT60" s="1818"/>
      <c r="DU60" s="1818"/>
      <c r="DV60" s="1818"/>
      <c r="DW60" s="1818"/>
      <c r="DX60" s="1818"/>
      <c r="DY60" s="1818"/>
      <c r="DZ60" s="1818"/>
      <c r="EA60" s="1818"/>
      <c r="EB60" s="1818"/>
      <c r="EC60" s="1818"/>
      <c r="ED60" s="1818"/>
      <c r="EE60" s="1818"/>
      <c r="EF60" s="1818"/>
      <c r="EG60" s="1818"/>
      <c r="EH60" s="1818"/>
      <c r="EI60" s="1817">
        <f t="shared" si="61"/>
        <v>0</v>
      </c>
    </row>
    <row r="61" spans="1:139" ht="15">
      <c r="A61" s="1054" t="s">
        <v>81</v>
      </c>
      <c r="B61" s="1091">
        <f t="shared" si="54"/>
        <v>0</v>
      </c>
      <c r="C61" s="1539"/>
      <c r="D61" s="1539"/>
      <c r="E61" s="1539"/>
      <c r="F61" s="1539"/>
      <c r="G61" s="1539"/>
      <c r="H61" s="1539"/>
      <c r="I61" s="1539"/>
      <c r="J61" s="1539"/>
      <c r="K61" s="1539"/>
      <c r="L61" s="1539"/>
      <c r="M61" s="1539"/>
      <c r="N61" s="1539"/>
      <c r="O61" s="1539"/>
      <c r="P61" s="1539"/>
      <c r="Q61" s="1539"/>
      <c r="R61" s="1539"/>
      <c r="S61" s="1539"/>
      <c r="T61" s="1539"/>
      <c r="U61" s="1539"/>
      <c r="V61" s="1539"/>
      <c r="W61" s="1539"/>
      <c r="X61" s="1539"/>
      <c r="Y61" s="1539"/>
      <c r="Z61" s="1539"/>
      <c r="AA61" s="1539"/>
      <c r="AB61" s="1539"/>
      <c r="AC61" s="1539"/>
      <c r="AD61" s="1539"/>
      <c r="AE61" s="1539"/>
      <c r="AF61" s="1539"/>
      <c r="AG61" s="1539"/>
      <c r="AH61" s="1268">
        <f t="shared" si="55"/>
        <v>0</v>
      </c>
      <c r="AJ61" s="1524" t="s">
        <v>81</v>
      </c>
      <c r="AK61" s="1527">
        <f t="shared" si="56"/>
        <v>0</v>
      </c>
      <c r="AL61" s="1835"/>
      <c r="AM61" s="1835"/>
      <c r="AN61" s="1835"/>
      <c r="AO61" s="1835"/>
      <c r="AP61" s="1835"/>
      <c r="AQ61" s="1835"/>
      <c r="AR61" s="1835"/>
      <c r="AS61" s="1835"/>
      <c r="AT61" s="1835"/>
      <c r="AU61" s="1835"/>
      <c r="AV61" s="1835"/>
      <c r="AW61" s="1835"/>
      <c r="AX61" s="1872"/>
      <c r="AY61" s="1872"/>
      <c r="AZ61" s="1872"/>
      <c r="BA61" s="1872"/>
      <c r="BB61" s="1872"/>
      <c r="BC61" s="1872"/>
      <c r="BD61" s="1872"/>
      <c r="BE61" s="1872"/>
      <c r="BF61" s="1872"/>
      <c r="BG61" s="1872"/>
      <c r="BH61" s="1872"/>
      <c r="BI61" s="1872"/>
      <c r="BJ61" s="1835"/>
      <c r="BK61" s="1835"/>
      <c r="BL61" s="1835"/>
      <c r="BM61" s="1835"/>
      <c r="BN61" s="1835"/>
      <c r="BO61" s="1835"/>
      <c r="BP61" s="1835"/>
      <c r="BQ61" s="1834">
        <f t="shared" si="57"/>
        <v>0</v>
      </c>
      <c r="BS61" s="1621" t="s">
        <v>81</v>
      </c>
      <c r="BT61" s="1622">
        <f t="shared" si="58"/>
        <v>0</v>
      </c>
      <c r="BU61" s="1871"/>
      <c r="BV61" s="1871"/>
      <c r="BW61" s="1871"/>
      <c r="BX61" s="1871"/>
      <c r="BY61" s="1871"/>
      <c r="BZ61" s="1871"/>
      <c r="CA61" s="1871"/>
      <c r="CB61" s="1871"/>
      <c r="CC61" s="1871"/>
      <c r="CD61" s="1871"/>
      <c r="CE61" s="1871"/>
      <c r="CF61" s="1871"/>
      <c r="CG61" s="1827"/>
      <c r="CH61" s="1827"/>
      <c r="CI61" s="1827"/>
      <c r="CJ61" s="1827"/>
      <c r="CK61" s="1827"/>
      <c r="CL61" s="1827"/>
      <c r="CM61" s="1827"/>
      <c r="CN61" s="1827"/>
      <c r="CO61" s="1827"/>
      <c r="CP61" s="1827"/>
      <c r="CQ61" s="1827"/>
      <c r="CR61" s="1827"/>
      <c r="CS61" s="1827"/>
      <c r="CT61" s="1827"/>
      <c r="CU61" s="1827"/>
      <c r="CV61" s="1827"/>
      <c r="CW61" s="1827"/>
      <c r="CX61" s="1827"/>
      <c r="CY61" s="1827"/>
      <c r="CZ61" s="1826">
        <f t="shared" si="59"/>
        <v>0</v>
      </c>
      <c r="DB61" s="1719" t="s">
        <v>81</v>
      </c>
      <c r="DC61" s="1821">
        <f t="shared" si="60"/>
        <v>0</v>
      </c>
      <c r="DD61" s="1818"/>
      <c r="DE61" s="1818"/>
      <c r="DF61" s="1818"/>
      <c r="DG61" s="1818"/>
      <c r="DH61" s="1818"/>
      <c r="DI61" s="1818"/>
      <c r="DJ61" s="1818"/>
      <c r="DK61" s="1818"/>
      <c r="DL61" s="1818"/>
      <c r="DM61" s="1818"/>
      <c r="DN61" s="1818"/>
      <c r="DO61" s="1818"/>
      <c r="DP61" s="1818"/>
      <c r="DQ61" s="1818"/>
      <c r="DR61" s="1818"/>
      <c r="DS61" s="1818"/>
      <c r="DT61" s="1818"/>
      <c r="DU61" s="1818"/>
      <c r="DV61" s="1818"/>
      <c r="DW61" s="1818"/>
      <c r="DX61" s="1818"/>
      <c r="DY61" s="1818"/>
      <c r="DZ61" s="1818"/>
      <c r="EA61" s="1818"/>
      <c r="EB61" s="1818"/>
      <c r="EC61" s="1818"/>
      <c r="ED61" s="1818"/>
      <c r="EE61" s="1818"/>
      <c r="EF61" s="1818"/>
      <c r="EG61" s="1818"/>
      <c r="EH61" s="1818"/>
      <c r="EI61" s="1817">
        <f t="shared" si="61"/>
        <v>0</v>
      </c>
    </row>
    <row r="62" spans="1:139" ht="15">
      <c r="A62" s="1054" t="s">
        <v>82</v>
      </c>
      <c r="B62" s="1091">
        <f t="shared" si="54"/>
        <v>0</v>
      </c>
      <c r="C62" s="1539"/>
      <c r="D62" s="1539"/>
      <c r="E62" s="1539"/>
      <c r="F62" s="1539"/>
      <c r="G62" s="1539"/>
      <c r="H62" s="1539"/>
      <c r="I62" s="1539"/>
      <c r="J62" s="1539"/>
      <c r="K62" s="1539"/>
      <c r="L62" s="1539"/>
      <c r="M62" s="1539"/>
      <c r="N62" s="1539"/>
      <c r="O62" s="1539"/>
      <c r="P62" s="1539"/>
      <c r="Q62" s="1539"/>
      <c r="R62" s="1596"/>
      <c r="S62" s="1596"/>
      <c r="T62" s="1596"/>
      <c r="U62" s="1596"/>
      <c r="V62" s="1596"/>
      <c r="W62" s="1596"/>
      <c r="X62" s="1596"/>
      <c r="Y62" s="1596"/>
      <c r="Z62" s="1596"/>
      <c r="AA62" s="1596"/>
      <c r="AB62" s="1596"/>
      <c r="AC62" s="1596"/>
      <c r="AD62" s="1596"/>
      <c r="AE62" s="1596"/>
      <c r="AF62" s="1596"/>
      <c r="AG62" s="1596"/>
      <c r="AH62" s="1268">
        <f t="shared" si="55"/>
        <v>0</v>
      </c>
      <c r="AJ62" s="1524" t="s">
        <v>82</v>
      </c>
      <c r="AK62" s="1527">
        <f t="shared" si="56"/>
        <v>0</v>
      </c>
      <c r="AL62" s="1835"/>
      <c r="AM62" s="1835"/>
      <c r="AN62" s="1835"/>
      <c r="AO62" s="1835"/>
      <c r="AP62" s="1835"/>
      <c r="AQ62" s="1835"/>
      <c r="AR62" s="1835"/>
      <c r="AS62" s="1835"/>
      <c r="AT62" s="1835"/>
      <c r="AU62" s="1835"/>
      <c r="AV62" s="1835"/>
      <c r="AW62" s="1835"/>
      <c r="AX62" s="1872"/>
      <c r="AY62" s="1872"/>
      <c r="AZ62" s="1872"/>
      <c r="BA62" s="1872"/>
      <c r="BB62" s="1872"/>
      <c r="BC62" s="1872"/>
      <c r="BD62" s="1872"/>
      <c r="BE62" s="1872"/>
      <c r="BF62" s="1872"/>
      <c r="BG62" s="1872"/>
      <c r="BH62" s="1872"/>
      <c r="BI62" s="1872"/>
      <c r="BJ62" s="1838"/>
      <c r="BK62" s="1838"/>
      <c r="BL62" s="1838"/>
      <c r="BM62" s="1838"/>
      <c r="BN62" s="1838"/>
      <c r="BO62" s="1838"/>
      <c r="BP62" s="1838"/>
      <c r="BQ62" s="1834">
        <f t="shared" si="57"/>
        <v>0</v>
      </c>
      <c r="BS62" s="1621" t="s">
        <v>82</v>
      </c>
      <c r="BT62" s="1622">
        <f t="shared" si="58"/>
        <v>0</v>
      </c>
      <c r="BU62" s="1871"/>
      <c r="BV62" s="1871"/>
      <c r="BW62" s="1871"/>
      <c r="BX62" s="1871"/>
      <c r="BY62" s="1871"/>
      <c r="BZ62" s="1871"/>
      <c r="CA62" s="1871"/>
      <c r="CB62" s="1871"/>
      <c r="CC62" s="1871"/>
      <c r="CD62" s="1871"/>
      <c r="CE62" s="1871"/>
      <c r="CF62" s="1871"/>
      <c r="CG62" s="1827"/>
      <c r="CH62" s="1827"/>
      <c r="CI62" s="1827"/>
      <c r="CJ62" s="1830"/>
      <c r="CK62" s="1830"/>
      <c r="CL62" s="1830"/>
      <c r="CM62" s="1830"/>
      <c r="CN62" s="1830"/>
      <c r="CO62" s="1830"/>
      <c r="CP62" s="1830"/>
      <c r="CQ62" s="1830"/>
      <c r="CR62" s="1830"/>
      <c r="CS62" s="1830"/>
      <c r="CT62" s="1830"/>
      <c r="CU62" s="1830"/>
      <c r="CV62" s="1830"/>
      <c r="CW62" s="1830"/>
      <c r="CX62" s="1830"/>
      <c r="CY62" s="1830"/>
      <c r="CZ62" s="1826">
        <f t="shared" si="59"/>
        <v>0</v>
      </c>
      <c r="DB62" s="1719" t="s">
        <v>82</v>
      </c>
      <c r="DC62" s="1821">
        <f t="shared" si="60"/>
        <v>0</v>
      </c>
      <c r="DD62" s="1818"/>
      <c r="DE62" s="1818"/>
      <c r="DF62" s="1818"/>
      <c r="DG62" s="1818"/>
      <c r="DH62" s="1818"/>
      <c r="DI62" s="1818"/>
      <c r="DJ62" s="1818"/>
      <c r="DK62" s="1818"/>
      <c r="DL62" s="1818"/>
      <c r="DM62" s="1818"/>
      <c r="DN62" s="1818"/>
      <c r="DO62" s="1818"/>
      <c r="DP62" s="1818"/>
      <c r="DQ62" s="1818"/>
      <c r="DR62" s="1818"/>
      <c r="DS62" s="1822"/>
      <c r="DT62" s="1822"/>
      <c r="DU62" s="1822"/>
      <c r="DV62" s="1822"/>
      <c r="DW62" s="1822"/>
      <c r="DX62" s="1822"/>
      <c r="DY62" s="1822"/>
      <c r="DZ62" s="1822"/>
      <c r="EA62" s="1822"/>
      <c r="EB62" s="1822"/>
      <c r="EC62" s="1822"/>
      <c r="ED62" s="1822"/>
      <c r="EE62" s="1822"/>
      <c r="EF62" s="1822"/>
      <c r="EG62" s="1822"/>
      <c r="EH62" s="1822"/>
      <c r="EI62" s="1817">
        <f t="shared" si="61"/>
        <v>0</v>
      </c>
    </row>
    <row r="63" spans="1:139" ht="15">
      <c r="A63" s="1054" t="s">
        <v>83</v>
      </c>
      <c r="B63" s="1091">
        <f t="shared" si="54"/>
        <v>0</v>
      </c>
      <c r="C63" s="1539"/>
      <c r="D63" s="1596"/>
      <c r="E63" s="1596"/>
      <c r="F63" s="1596"/>
      <c r="G63" s="1596"/>
      <c r="H63" s="1596"/>
      <c r="I63" s="1596"/>
      <c r="J63" s="1596"/>
      <c r="K63" s="1596"/>
      <c r="L63" s="1596"/>
      <c r="M63" s="1596"/>
      <c r="N63" s="1596"/>
      <c r="O63" s="1596"/>
      <c r="P63" s="1596"/>
      <c r="Q63" s="1596"/>
      <c r="R63" s="1924"/>
      <c r="S63" s="1924"/>
      <c r="T63" s="1924"/>
      <c r="U63" s="1924"/>
      <c r="V63" s="1924"/>
      <c r="W63" s="1924"/>
      <c r="X63" s="1924"/>
      <c r="Y63" s="1924"/>
      <c r="Z63" s="1924"/>
      <c r="AA63" s="1924"/>
      <c r="AB63" s="1924"/>
      <c r="AC63" s="1924"/>
      <c r="AD63" s="1924"/>
      <c r="AE63" s="1924"/>
      <c r="AF63" s="1924"/>
      <c r="AG63" s="1539"/>
      <c r="AH63" s="1268">
        <f t="shared" si="55"/>
        <v>0</v>
      </c>
      <c r="AJ63" s="1524" t="s">
        <v>83</v>
      </c>
      <c r="AK63" s="1527">
        <f t="shared" si="56"/>
        <v>0</v>
      </c>
      <c r="AL63" s="1835"/>
      <c r="AM63" s="1838"/>
      <c r="AN63" s="1838"/>
      <c r="AO63" s="1838"/>
      <c r="AP63" s="1838"/>
      <c r="AQ63" s="1838"/>
      <c r="AR63" s="1838"/>
      <c r="AS63" s="1838"/>
      <c r="AT63" s="1838"/>
      <c r="AU63" s="1838"/>
      <c r="AV63" s="1838"/>
      <c r="AW63" s="1838"/>
      <c r="AX63" s="1872"/>
      <c r="AY63" s="1872"/>
      <c r="AZ63" s="1872"/>
      <c r="BA63" s="1872"/>
      <c r="BB63" s="1872"/>
      <c r="BC63" s="1872"/>
      <c r="BD63" s="1872"/>
      <c r="BE63" s="1872"/>
      <c r="BF63" s="1872"/>
      <c r="BG63" s="1872"/>
      <c r="BH63" s="1872"/>
      <c r="BI63" s="1872"/>
      <c r="BJ63" s="1873"/>
      <c r="BK63" s="1873"/>
      <c r="BL63" s="1873"/>
      <c r="BM63" s="1873"/>
      <c r="BN63" s="1873"/>
      <c r="BO63" s="1873"/>
      <c r="BP63" s="1835"/>
      <c r="BQ63" s="1834">
        <f t="shared" si="57"/>
        <v>0</v>
      </c>
      <c r="BS63" s="1621" t="s">
        <v>83</v>
      </c>
      <c r="BT63" s="1622">
        <f t="shared" si="58"/>
        <v>0</v>
      </c>
      <c r="BU63" s="1871"/>
      <c r="BV63" s="1871"/>
      <c r="BW63" s="1871"/>
      <c r="BX63" s="1871"/>
      <c r="BY63" s="1871"/>
      <c r="BZ63" s="1871"/>
      <c r="CA63" s="1871"/>
      <c r="CB63" s="1871"/>
      <c r="CC63" s="1871"/>
      <c r="CD63" s="1871"/>
      <c r="CE63" s="1871"/>
      <c r="CF63" s="1871"/>
      <c r="CG63" s="1830"/>
      <c r="CH63" s="1830"/>
      <c r="CI63" s="1830"/>
      <c r="CJ63" s="1853"/>
      <c r="CK63" s="1853"/>
      <c r="CL63" s="1853"/>
      <c r="CM63" s="1853"/>
      <c r="CN63" s="1853"/>
      <c r="CO63" s="1853"/>
      <c r="CP63" s="1853"/>
      <c r="CQ63" s="1853"/>
      <c r="CR63" s="1853"/>
      <c r="CS63" s="1853"/>
      <c r="CT63" s="1853"/>
      <c r="CU63" s="1853"/>
      <c r="CV63" s="1853"/>
      <c r="CW63" s="1853"/>
      <c r="CX63" s="1853"/>
      <c r="CY63" s="1827"/>
      <c r="CZ63" s="1826">
        <f t="shared" si="59"/>
        <v>0</v>
      </c>
      <c r="DB63" s="1719" t="s">
        <v>83</v>
      </c>
      <c r="DC63" s="1821">
        <f t="shared" si="60"/>
        <v>0</v>
      </c>
      <c r="DD63" s="1818"/>
      <c r="DE63" s="1822"/>
      <c r="DF63" s="1822"/>
      <c r="DG63" s="1822"/>
      <c r="DH63" s="1822"/>
      <c r="DI63" s="1822"/>
      <c r="DJ63" s="1822"/>
      <c r="DK63" s="1822"/>
      <c r="DL63" s="1822"/>
      <c r="DM63" s="1822"/>
      <c r="DN63" s="1822"/>
      <c r="DO63" s="1822"/>
      <c r="DP63" s="1822"/>
      <c r="DQ63" s="1822"/>
      <c r="DR63" s="1822"/>
      <c r="DS63" s="1852"/>
      <c r="DT63" s="1852"/>
      <c r="DU63" s="1852"/>
      <c r="DV63" s="1852"/>
      <c r="DW63" s="1852"/>
      <c r="DX63" s="1852"/>
      <c r="DY63" s="1852"/>
      <c r="DZ63" s="1852"/>
      <c r="EA63" s="1852"/>
      <c r="EB63" s="1852"/>
      <c r="EC63" s="1852"/>
      <c r="ED63" s="1852"/>
      <c r="EE63" s="1852"/>
      <c r="EF63" s="1852"/>
      <c r="EG63" s="1852"/>
      <c r="EH63" s="1818"/>
      <c r="EI63" s="1817">
        <f t="shared" si="61"/>
        <v>0</v>
      </c>
    </row>
    <row r="64" spans="1:139" ht="15">
      <c r="A64" s="1054" t="s">
        <v>84</v>
      </c>
      <c r="B64" s="1091">
        <f t="shared" si="54"/>
        <v>0</v>
      </c>
      <c r="C64" s="1539"/>
      <c r="D64" s="1924"/>
      <c r="E64" s="1924"/>
      <c r="F64" s="1924"/>
      <c r="G64" s="1539"/>
      <c r="H64" s="1539"/>
      <c r="I64" s="1539"/>
      <c r="J64" s="1539"/>
      <c r="K64" s="1539"/>
      <c r="L64" s="1539"/>
      <c r="M64" s="1539"/>
      <c r="N64" s="1539"/>
      <c r="O64" s="1539"/>
      <c r="P64" s="1539"/>
      <c r="Q64" s="1539"/>
      <c r="R64" s="1539"/>
      <c r="S64" s="1539"/>
      <c r="T64" s="1539"/>
      <c r="U64" s="1539"/>
      <c r="V64" s="1539"/>
      <c r="W64" s="1539"/>
      <c r="X64" s="1539"/>
      <c r="Y64" s="1539"/>
      <c r="Z64" s="1539"/>
      <c r="AA64" s="1539"/>
      <c r="AB64" s="1539"/>
      <c r="AC64" s="1539"/>
      <c r="AD64" s="1539"/>
      <c r="AE64" s="1539"/>
      <c r="AF64" s="1539"/>
      <c r="AG64" s="1539"/>
      <c r="AH64" s="1268">
        <f t="shared" si="55"/>
        <v>0</v>
      </c>
      <c r="AJ64" s="1524" t="s">
        <v>84</v>
      </c>
      <c r="AK64" s="1527">
        <f t="shared" si="56"/>
        <v>0</v>
      </c>
      <c r="AL64" s="1835"/>
      <c r="AM64" s="1873"/>
      <c r="AN64" s="1873"/>
      <c r="AO64" s="1873"/>
      <c r="AP64" s="1835"/>
      <c r="AQ64" s="1835"/>
      <c r="AR64" s="1835"/>
      <c r="AS64" s="1835"/>
      <c r="AT64" s="1835"/>
      <c r="AU64" s="1835"/>
      <c r="AV64" s="1835"/>
      <c r="AW64" s="1835"/>
      <c r="AX64" s="1872"/>
      <c r="AY64" s="1872"/>
      <c r="AZ64" s="1872"/>
      <c r="BA64" s="1872"/>
      <c r="BB64" s="1872"/>
      <c r="BC64" s="1872"/>
      <c r="BD64" s="1872"/>
      <c r="BE64" s="1872"/>
      <c r="BF64" s="1872"/>
      <c r="BG64" s="1872"/>
      <c r="BH64" s="1872"/>
      <c r="BI64" s="1872"/>
      <c r="BJ64" s="1835"/>
      <c r="BK64" s="1835"/>
      <c r="BL64" s="1835"/>
      <c r="BM64" s="1835"/>
      <c r="BN64" s="1835"/>
      <c r="BO64" s="1835"/>
      <c r="BP64" s="1835"/>
      <c r="BQ64" s="1834">
        <f t="shared" si="57"/>
        <v>0</v>
      </c>
      <c r="BS64" s="1621" t="s">
        <v>84</v>
      </c>
      <c r="BT64" s="1622">
        <f t="shared" si="58"/>
        <v>0</v>
      </c>
      <c r="BU64" s="1871"/>
      <c r="BV64" s="1871"/>
      <c r="BW64" s="1871"/>
      <c r="BX64" s="1871"/>
      <c r="BY64" s="1871"/>
      <c r="BZ64" s="1871"/>
      <c r="CA64" s="1871"/>
      <c r="CB64" s="1871"/>
      <c r="CC64" s="1871"/>
      <c r="CD64" s="1871"/>
      <c r="CE64" s="1871"/>
      <c r="CF64" s="1871"/>
      <c r="CG64" s="1827"/>
      <c r="CH64" s="1827"/>
      <c r="CI64" s="1827"/>
      <c r="CJ64" s="1827"/>
      <c r="CK64" s="1827"/>
      <c r="CL64" s="1827"/>
      <c r="CM64" s="1827"/>
      <c r="CN64" s="1827"/>
      <c r="CO64" s="1827"/>
      <c r="CP64" s="1827"/>
      <c r="CQ64" s="1827"/>
      <c r="CR64" s="1827"/>
      <c r="CS64" s="1827"/>
      <c r="CT64" s="1827"/>
      <c r="CU64" s="1827"/>
      <c r="CV64" s="1827"/>
      <c r="CW64" s="1827"/>
      <c r="CX64" s="1827"/>
      <c r="CY64" s="1827"/>
      <c r="CZ64" s="1826">
        <f t="shared" si="59"/>
        <v>0</v>
      </c>
      <c r="DB64" s="1719" t="s">
        <v>84</v>
      </c>
      <c r="DC64" s="1821">
        <f t="shared" si="60"/>
        <v>0</v>
      </c>
      <c r="DD64" s="1818"/>
      <c r="DE64" s="1852"/>
      <c r="DF64" s="1852"/>
      <c r="DG64" s="1852"/>
      <c r="DH64" s="1818"/>
      <c r="DI64" s="1818"/>
      <c r="DJ64" s="1818"/>
      <c r="DK64" s="1818"/>
      <c r="DL64" s="1818"/>
      <c r="DM64" s="1818"/>
      <c r="DN64" s="1818"/>
      <c r="DO64" s="1818"/>
      <c r="DP64" s="1818"/>
      <c r="DQ64" s="1818"/>
      <c r="DR64" s="1818"/>
      <c r="DS64" s="1818"/>
      <c r="DT64" s="1818"/>
      <c r="DU64" s="1818"/>
      <c r="DV64" s="1818"/>
      <c r="DW64" s="1818"/>
      <c r="DX64" s="1818"/>
      <c r="DY64" s="1818"/>
      <c r="DZ64" s="1818"/>
      <c r="EA64" s="1818"/>
      <c r="EB64" s="1818"/>
      <c r="EC64" s="1818"/>
      <c r="ED64" s="1818"/>
      <c r="EE64" s="1818"/>
      <c r="EF64" s="1818"/>
      <c r="EG64" s="1818"/>
      <c r="EH64" s="1818"/>
      <c r="EI64" s="1817">
        <f t="shared" si="61"/>
        <v>0</v>
      </c>
    </row>
    <row r="65" spans="1:139" ht="15">
      <c r="A65" s="1259" t="s">
        <v>72</v>
      </c>
      <c r="B65" s="1923">
        <f t="shared" ref="B65:AH65" si="62">SUM(B53:B64)</f>
        <v>0</v>
      </c>
      <c r="C65" s="1268">
        <f t="shared" si="62"/>
        <v>0</v>
      </c>
      <c r="D65" s="1268">
        <f t="shared" si="62"/>
        <v>0</v>
      </c>
      <c r="E65" s="1268">
        <f t="shared" si="62"/>
        <v>0</v>
      </c>
      <c r="F65" s="1268">
        <f t="shared" si="62"/>
        <v>0</v>
      </c>
      <c r="G65" s="1268">
        <f t="shared" si="62"/>
        <v>0</v>
      </c>
      <c r="H65" s="1268">
        <f t="shared" si="62"/>
        <v>0</v>
      </c>
      <c r="I65" s="1268">
        <f t="shared" si="62"/>
        <v>0</v>
      </c>
      <c r="J65" s="1268">
        <f t="shared" si="62"/>
        <v>0</v>
      </c>
      <c r="K65" s="1268">
        <f t="shared" si="62"/>
        <v>0</v>
      </c>
      <c r="L65" s="1268">
        <f t="shared" si="62"/>
        <v>0</v>
      </c>
      <c r="M65" s="1268">
        <f t="shared" si="62"/>
        <v>0</v>
      </c>
      <c r="N65" s="1268">
        <f t="shared" si="62"/>
        <v>0</v>
      </c>
      <c r="O65" s="1268">
        <f t="shared" si="62"/>
        <v>0</v>
      </c>
      <c r="P65" s="1268">
        <f t="shared" si="62"/>
        <v>0</v>
      </c>
      <c r="Q65" s="1268">
        <f t="shared" si="62"/>
        <v>0</v>
      </c>
      <c r="R65" s="1268">
        <f t="shared" si="62"/>
        <v>0</v>
      </c>
      <c r="S65" s="1268">
        <f t="shared" si="62"/>
        <v>0</v>
      </c>
      <c r="T65" s="1268">
        <f t="shared" si="62"/>
        <v>0</v>
      </c>
      <c r="U65" s="1268">
        <f t="shared" si="62"/>
        <v>0</v>
      </c>
      <c r="V65" s="1268">
        <f t="shared" si="62"/>
        <v>0</v>
      </c>
      <c r="W65" s="1268">
        <f t="shared" si="62"/>
        <v>0</v>
      </c>
      <c r="X65" s="1268">
        <f t="shared" si="62"/>
        <v>0</v>
      </c>
      <c r="Y65" s="1268">
        <f t="shared" si="62"/>
        <v>0</v>
      </c>
      <c r="Z65" s="1268">
        <f t="shared" si="62"/>
        <v>0</v>
      </c>
      <c r="AA65" s="1268">
        <f t="shared" si="62"/>
        <v>0</v>
      </c>
      <c r="AB65" s="1268">
        <f t="shared" si="62"/>
        <v>0</v>
      </c>
      <c r="AC65" s="1268">
        <f t="shared" si="62"/>
        <v>0</v>
      </c>
      <c r="AD65" s="1268">
        <f t="shared" si="62"/>
        <v>0</v>
      </c>
      <c r="AE65" s="1268">
        <f t="shared" si="62"/>
        <v>0</v>
      </c>
      <c r="AF65" s="1268">
        <f t="shared" si="62"/>
        <v>0</v>
      </c>
      <c r="AG65" s="1268">
        <f t="shared" si="62"/>
        <v>0</v>
      </c>
      <c r="AH65" s="1268">
        <f t="shared" si="62"/>
        <v>0</v>
      </c>
      <c r="AJ65" s="1837" t="s">
        <v>72</v>
      </c>
      <c r="AK65" s="1836">
        <f t="shared" ref="AK65:BQ65" si="63">SUM(AK53:AK64)</f>
        <v>2.258</v>
      </c>
      <c r="AL65" s="1834">
        <f t="shared" si="63"/>
        <v>0</v>
      </c>
      <c r="AM65" s="1834">
        <f t="shared" si="63"/>
        <v>0</v>
      </c>
      <c r="AN65" s="1834">
        <f t="shared" si="63"/>
        <v>0</v>
      </c>
      <c r="AO65" s="1834">
        <f t="shared" si="63"/>
        <v>0</v>
      </c>
      <c r="AP65" s="1834">
        <f t="shared" si="63"/>
        <v>0</v>
      </c>
      <c r="AQ65" s="1834">
        <f t="shared" si="63"/>
        <v>0</v>
      </c>
      <c r="AR65" s="1834">
        <f t="shared" si="63"/>
        <v>0</v>
      </c>
      <c r="AS65" s="1834">
        <f t="shared" si="63"/>
        <v>0</v>
      </c>
      <c r="AT65" s="1834">
        <f t="shared" si="63"/>
        <v>0</v>
      </c>
      <c r="AU65" s="1834">
        <f t="shared" si="63"/>
        <v>0</v>
      </c>
      <c r="AV65" s="1834">
        <f t="shared" si="63"/>
        <v>2.258</v>
      </c>
      <c r="AW65" s="1834">
        <f t="shared" si="63"/>
        <v>0</v>
      </c>
      <c r="AX65" s="1834">
        <f t="shared" si="63"/>
        <v>0</v>
      </c>
      <c r="AY65" s="1834">
        <f t="shared" si="63"/>
        <v>0</v>
      </c>
      <c r="AZ65" s="1834">
        <f t="shared" si="63"/>
        <v>0</v>
      </c>
      <c r="BA65" s="1834">
        <f t="shared" si="63"/>
        <v>0</v>
      </c>
      <c r="BB65" s="1834">
        <f t="shared" si="63"/>
        <v>0</v>
      </c>
      <c r="BC65" s="1834">
        <f t="shared" si="63"/>
        <v>0</v>
      </c>
      <c r="BD65" s="1834">
        <f t="shared" si="63"/>
        <v>0</v>
      </c>
      <c r="BE65" s="1834">
        <f t="shared" si="63"/>
        <v>0</v>
      </c>
      <c r="BF65" s="1834">
        <f t="shared" si="63"/>
        <v>0</v>
      </c>
      <c r="BG65" s="1834">
        <f t="shared" si="63"/>
        <v>0</v>
      </c>
      <c r="BH65" s="1834">
        <f t="shared" si="63"/>
        <v>0</v>
      </c>
      <c r="BI65" s="1834">
        <f t="shared" si="63"/>
        <v>0</v>
      </c>
      <c r="BJ65" s="1834">
        <f t="shared" si="63"/>
        <v>0</v>
      </c>
      <c r="BK65" s="1834">
        <f t="shared" si="63"/>
        <v>0</v>
      </c>
      <c r="BL65" s="1834">
        <f t="shared" si="63"/>
        <v>0</v>
      </c>
      <c r="BM65" s="1834">
        <f t="shared" si="63"/>
        <v>0</v>
      </c>
      <c r="BN65" s="1834">
        <f t="shared" si="63"/>
        <v>0</v>
      </c>
      <c r="BO65" s="1834">
        <f t="shared" si="63"/>
        <v>0</v>
      </c>
      <c r="BP65" s="1834">
        <f t="shared" si="63"/>
        <v>0</v>
      </c>
      <c r="BQ65" s="1834">
        <f t="shared" si="63"/>
        <v>2.258</v>
      </c>
      <c r="BS65" s="1829" t="s">
        <v>72</v>
      </c>
      <c r="BT65" s="1828">
        <f t="shared" ref="BT65:CZ65" si="64">SUM(BT53:BT64)</f>
        <v>0</v>
      </c>
      <c r="BU65" s="1826">
        <f t="shared" si="64"/>
        <v>0</v>
      </c>
      <c r="BV65" s="1826">
        <f t="shared" si="64"/>
        <v>0</v>
      </c>
      <c r="BW65" s="1826">
        <f t="shared" si="64"/>
        <v>0</v>
      </c>
      <c r="BX65" s="1826">
        <f t="shared" si="64"/>
        <v>0</v>
      </c>
      <c r="BY65" s="1826">
        <f t="shared" si="64"/>
        <v>0</v>
      </c>
      <c r="BZ65" s="1826">
        <f t="shared" si="64"/>
        <v>0</v>
      </c>
      <c r="CA65" s="1826">
        <f t="shared" si="64"/>
        <v>0</v>
      </c>
      <c r="CB65" s="1826">
        <f t="shared" si="64"/>
        <v>0</v>
      </c>
      <c r="CC65" s="1826">
        <f t="shared" si="64"/>
        <v>0</v>
      </c>
      <c r="CD65" s="1826">
        <f t="shared" si="64"/>
        <v>0</v>
      </c>
      <c r="CE65" s="1826">
        <f t="shared" si="64"/>
        <v>0</v>
      </c>
      <c r="CF65" s="1826">
        <f t="shared" si="64"/>
        <v>0</v>
      </c>
      <c r="CG65" s="1826">
        <f t="shared" si="64"/>
        <v>0</v>
      </c>
      <c r="CH65" s="1826">
        <f t="shared" si="64"/>
        <v>0</v>
      </c>
      <c r="CI65" s="1826">
        <f t="shared" si="64"/>
        <v>0</v>
      </c>
      <c r="CJ65" s="1826">
        <f t="shared" si="64"/>
        <v>0</v>
      </c>
      <c r="CK65" s="1826">
        <f t="shared" si="64"/>
        <v>0</v>
      </c>
      <c r="CL65" s="1826">
        <f t="shared" si="64"/>
        <v>0</v>
      </c>
      <c r="CM65" s="1826">
        <f t="shared" si="64"/>
        <v>0</v>
      </c>
      <c r="CN65" s="1826">
        <f t="shared" si="64"/>
        <v>0</v>
      </c>
      <c r="CO65" s="1826">
        <f t="shared" si="64"/>
        <v>0</v>
      </c>
      <c r="CP65" s="1826">
        <f t="shared" si="64"/>
        <v>0</v>
      </c>
      <c r="CQ65" s="1826">
        <f t="shared" si="64"/>
        <v>0</v>
      </c>
      <c r="CR65" s="1826">
        <f t="shared" si="64"/>
        <v>0</v>
      </c>
      <c r="CS65" s="1826">
        <f t="shared" si="64"/>
        <v>0</v>
      </c>
      <c r="CT65" s="1826">
        <f t="shared" si="64"/>
        <v>0</v>
      </c>
      <c r="CU65" s="1826">
        <f t="shared" si="64"/>
        <v>0</v>
      </c>
      <c r="CV65" s="1826">
        <f t="shared" si="64"/>
        <v>0</v>
      </c>
      <c r="CW65" s="1826">
        <f t="shared" si="64"/>
        <v>0</v>
      </c>
      <c r="CX65" s="1826">
        <f t="shared" si="64"/>
        <v>0</v>
      </c>
      <c r="CY65" s="1826">
        <f t="shared" si="64"/>
        <v>0</v>
      </c>
      <c r="CZ65" s="1826">
        <f t="shared" si="64"/>
        <v>0</v>
      </c>
      <c r="DB65" s="1820" t="s">
        <v>72</v>
      </c>
      <c r="DC65" s="1819">
        <f t="shared" ref="DC65:EI65" si="65">SUM(DC53:DC64)</f>
        <v>0</v>
      </c>
      <c r="DD65" s="1817">
        <f t="shared" si="65"/>
        <v>0</v>
      </c>
      <c r="DE65" s="1817">
        <f t="shared" si="65"/>
        <v>0</v>
      </c>
      <c r="DF65" s="1817">
        <f t="shared" si="65"/>
        <v>0</v>
      </c>
      <c r="DG65" s="1817">
        <f t="shared" si="65"/>
        <v>0</v>
      </c>
      <c r="DH65" s="1817">
        <f t="shared" si="65"/>
        <v>0</v>
      </c>
      <c r="DI65" s="1817">
        <f t="shared" si="65"/>
        <v>0</v>
      </c>
      <c r="DJ65" s="1817">
        <f t="shared" si="65"/>
        <v>0</v>
      </c>
      <c r="DK65" s="1817">
        <f t="shared" si="65"/>
        <v>0</v>
      </c>
      <c r="DL65" s="1817">
        <f t="shared" si="65"/>
        <v>0</v>
      </c>
      <c r="DM65" s="1817">
        <f t="shared" si="65"/>
        <v>0</v>
      </c>
      <c r="DN65" s="1817">
        <f t="shared" si="65"/>
        <v>0</v>
      </c>
      <c r="DO65" s="1817">
        <f t="shared" si="65"/>
        <v>0</v>
      </c>
      <c r="DP65" s="1817">
        <f t="shared" si="65"/>
        <v>0</v>
      </c>
      <c r="DQ65" s="1817">
        <f t="shared" si="65"/>
        <v>0</v>
      </c>
      <c r="DR65" s="1817">
        <f t="shared" si="65"/>
        <v>0</v>
      </c>
      <c r="DS65" s="1817">
        <f t="shared" si="65"/>
        <v>0</v>
      </c>
      <c r="DT65" s="1817">
        <f t="shared" si="65"/>
        <v>0</v>
      </c>
      <c r="DU65" s="1817">
        <f t="shared" si="65"/>
        <v>0</v>
      </c>
      <c r="DV65" s="1817">
        <f t="shared" si="65"/>
        <v>0</v>
      </c>
      <c r="DW65" s="1817">
        <f t="shared" si="65"/>
        <v>0</v>
      </c>
      <c r="DX65" s="1817">
        <f t="shared" si="65"/>
        <v>0</v>
      </c>
      <c r="DY65" s="1817">
        <f t="shared" si="65"/>
        <v>0</v>
      </c>
      <c r="DZ65" s="1817">
        <f t="shared" si="65"/>
        <v>0</v>
      </c>
      <c r="EA65" s="1817">
        <f t="shared" si="65"/>
        <v>0</v>
      </c>
      <c r="EB65" s="1817">
        <f t="shared" si="65"/>
        <v>0</v>
      </c>
      <c r="EC65" s="1817">
        <f t="shared" si="65"/>
        <v>0</v>
      </c>
      <c r="ED65" s="1817">
        <f t="shared" si="65"/>
        <v>0</v>
      </c>
      <c r="EE65" s="1817">
        <f t="shared" si="65"/>
        <v>0</v>
      </c>
      <c r="EF65" s="1817">
        <f t="shared" si="65"/>
        <v>0</v>
      </c>
      <c r="EG65" s="1817">
        <f t="shared" si="65"/>
        <v>0</v>
      </c>
      <c r="EH65" s="1817">
        <f t="shared" si="65"/>
        <v>0</v>
      </c>
      <c r="EI65" s="1817">
        <f t="shared" si="65"/>
        <v>0</v>
      </c>
    </row>
    <row r="66" spans="1:139">
      <c r="A66" s="1770"/>
      <c r="B66" s="1770"/>
      <c r="C66" s="1770"/>
      <c r="D66" s="1770"/>
      <c r="E66" s="1770"/>
      <c r="F66" s="1770"/>
      <c r="G66" s="1770"/>
      <c r="H66" s="1770"/>
      <c r="I66" s="1770"/>
      <c r="J66" s="1770"/>
      <c r="K66" s="1770"/>
      <c r="L66" s="1770"/>
      <c r="M66" s="1770"/>
      <c r="N66" s="1770"/>
      <c r="O66" s="1770"/>
      <c r="P66" s="1770"/>
      <c r="Q66" s="1770"/>
      <c r="R66" s="1770"/>
      <c r="S66" s="1770"/>
      <c r="T66" s="1770"/>
      <c r="U66" s="1770"/>
      <c r="V66" s="1770"/>
      <c r="W66" s="1770"/>
      <c r="X66" s="1770"/>
      <c r="Y66" s="1770"/>
      <c r="Z66" s="1770"/>
      <c r="AA66" s="1770"/>
      <c r="AB66" s="1770"/>
      <c r="AC66" s="1770"/>
      <c r="AD66" s="1770"/>
      <c r="AE66" s="1770"/>
      <c r="AF66" s="1770"/>
      <c r="AG66" s="1770"/>
      <c r="AH66" s="1770"/>
      <c r="AJ66" s="1841"/>
      <c r="AK66" s="1841"/>
      <c r="AL66" s="1841"/>
      <c r="AM66" s="1841"/>
      <c r="AN66" s="1841"/>
      <c r="AO66" s="1841"/>
      <c r="AP66" s="1841"/>
      <c r="AQ66" s="1841"/>
      <c r="AR66" s="1841"/>
      <c r="AS66" s="1841"/>
      <c r="AT66" s="1841"/>
      <c r="AU66" s="1841"/>
      <c r="AV66" s="1841"/>
      <c r="AW66" s="1841"/>
      <c r="AX66" s="1841"/>
      <c r="AY66" s="1841"/>
      <c r="AZ66" s="1841"/>
      <c r="BA66" s="1841"/>
      <c r="BB66" s="1841"/>
      <c r="BC66" s="1841"/>
      <c r="BD66" s="1841"/>
      <c r="BE66" s="1841"/>
      <c r="BF66" s="1841"/>
      <c r="BG66" s="1841"/>
      <c r="BH66" s="1841"/>
      <c r="BI66" s="1841"/>
      <c r="BJ66" s="1841"/>
      <c r="BK66" s="1841"/>
      <c r="BL66" s="1841"/>
      <c r="BM66" s="1841"/>
      <c r="BN66" s="1841"/>
      <c r="BO66" s="1841"/>
      <c r="BP66" s="1841"/>
      <c r="BQ66" s="1841"/>
      <c r="BS66" s="1833"/>
      <c r="BT66" s="1833"/>
      <c r="BU66" s="1833"/>
      <c r="BV66" s="1833"/>
      <c r="BW66" s="1833"/>
      <c r="BX66" s="1833"/>
      <c r="BY66" s="1833"/>
      <c r="BZ66" s="1833"/>
      <c r="CA66" s="1833"/>
      <c r="CB66" s="1833"/>
      <c r="CC66" s="1833"/>
      <c r="CD66" s="1833"/>
      <c r="CE66" s="1833"/>
      <c r="CF66" s="1833"/>
      <c r="CG66" s="1833"/>
      <c r="CH66" s="1833"/>
      <c r="CI66" s="1833"/>
      <c r="CJ66" s="1833"/>
      <c r="CK66" s="1833"/>
      <c r="CL66" s="1833"/>
      <c r="CM66" s="1833"/>
      <c r="CN66" s="1833"/>
      <c r="CO66" s="1833"/>
      <c r="CP66" s="1833"/>
      <c r="CQ66" s="1833"/>
      <c r="CR66" s="1833"/>
      <c r="CS66" s="1833"/>
      <c r="CT66" s="1833"/>
      <c r="CU66" s="1833"/>
      <c r="CV66" s="1833"/>
      <c r="CW66" s="1833"/>
      <c r="CX66" s="1833"/>
      <c r="CY66" s="1833"/>
      <c r="CZ66" s="1833"/>
      <c r="DB66" s="1825"/>
      <c r="DC66" s="1825"/>
      <c r="DD66" s="1825"/>
      <c r="DE66" s="1825"/>
      <c r="DF66" s="1825"/>
      <c r="DG66" s="1825"/>
      <c r="DH66" s="1825"/>
      <c r="DI66" s="1825"/>
      <c r="DJ66" s="1825"/>
      <c r="DK66" s="1825"/>
      <c r="DL66" s="1825"/>
      <c r="DM66" s="1825"/>
      <c r="DN66" s="1825"/>
      <c r="DO66" s="1825"/>
      <c r="DP66" s="1825"/>
      <c r="DQ66" s="1825"/>
      <c r="DR66" s="1825"/>
      <c r="DS66" s="1825"/>
      <c r="DT66" s="1825"/>
      <c r="DU66" s="1825"/>
      <c r="DV66" s="1825"/>
      <c r="DW66" s="1825"/>
      <c r="DX66" s="1825"/>
      <c r="DY66" s="1825"/>
      <c r="DZ66" s="1825"/>
      <c r="EA66" s="1825"/>
      <c r="EB66" s="1825"/>
      <c r="EC66" s="1825"/>
      <c r="ED66" s="1825"/>
      <c r="EE66" s="1825"/>
      <c r="EF66" s="1825"/>
      <c r="EG66" s="1825"/>
      <c r="EH66" s="1825"/>
      <c r="EI66" s="1825"/>
    </row>
    <row r="67" spans="1:139" ht="15">
      <c r="A67" s="4044" t="s">
        <v>611</v>
      </c>
      <c r="B67" s="4045"/>
      <c r="C67" s="4046"/>
      <c r="D67" s="1921"/>
      <c r="E67" s="1229"/>
      <c r="F67" s="1229"/>
      <c r="G67" s="1229"/>
      <c r="H67" s="1229"/>
      <c r="I67" s="1229"/>
      <c r="J67" s="1229"/>
      <c r="K67" s="1229"/>
      <c r="L67" s="1229"/>
      <c r="M67" s="1920"/>
      <c r="N67" s="1919"/>
      <c r="O67" s="1229"/>
      <c r="P67" s="1229"/>
      <c r="Q67" s="1229"/>
      <c r="R67" s="1229"/>
      <c r="S67" s="1229"/>
      <c r="T67" s="1229"/>
      <c r="U67" s="1229"/>
      <c r="V67" s="1229"/>
      <c r="W67" s="1229"/>
      <c r="X67" s="1229"/>
      <c r="Y67" s="1229"/>
      <c r="Z67" s="1229"/>
      <c r="AA67" s="1229"/>
      <c r="AB67" s="1229"/>
      <c r="AC67" s="1229"/>
      <c r="AD67" s="1229"/>
      <c r="AE67" s="1229"/>
      <c r="AF67" s="1229"/>
      <c r="AG67" s="1229"/>
      <c r="AH67" s="1229"/>
      <c r="AJ67" s="3821" t="s">
        <v>611</v>
      </c>
      <c r="AK67" s="3822"/>
      <c r="AL67" s="3823"/>
      <c r="AM67" s="1915"/>
      <c r="AN67" s="1839"/>
      <c r="AO67" s="1839"/>
      <c r="AP67" s="1839"/>
      <c r="AQ67" s="1839"/>
      <c r="AR67" s="1839"/>
      <c r="AS67" s="1839"/>
      <c r="AT67" s="1839"/>
      <c r="AU67" s="1839"/>
      <c r="AV67" s="1840"/>
      <c r="AW67" s="1914"/>
      <c r="AX67" s="1839"/>
      <c r="AY67" s="1839"/>
      <c r="AZ67" s="1839"/>
      <c r="BA67" s="1839"/>
      <c r="BB67" s="1839"/>
      <c r="BC67" s="1839"/>
      <c r="BD67" s="1839"/>
      <c r="BE67" s="1839"/>
      <c r="BF67" s="1839"/>
      <c r="BG67" s="1839"/>
      <c r="BH67" s="1839"/>
      <c r="BI67" s="1839"/>
      <c r="BJ67" s="1839"/>
      <c r="BK67" s="1839"/>
      <c r="BL67" s="1839"/>
      <c r="BM67" s="1839"/>
      <c r="BN67" s="1839"/>
      <c r="BO67" s="1839"/>
      <c r="BP67" s="1839"/>
      <c r="BQ67" s="1839"/>
      <c r="BS67" s="4035" t="s">
        <v>611</v>
      </c>
      <c r="BT67" s="4036"/>
      <c r="BU67" s="4037"/>
      <c r="BV67" s="2627">
        <v>42003</v>
      </c>
      <c r="BW67" s="1831"/>
      <c r="BX67" s="1831"/>
      <c r="BY67" s="1831"/>
      <c r="BZ67" s="1831"/>
      <c r="CA67" s="1831"/>
      <c r="CB67" s="1831"/>
      <c r="CC67" s="1831"/>
      <c r="CD67" s="1831"/>
      <c r="CE67" s="1832"/>
      <c r="CF67" s="1912"/>
      <c r="CG67" s="1831"/>
      <c r="CH67" s="1831"/>
      <c r="CI67" s="1831"/>
      <c r="CJ67" s="1831"/>
      <c r="CK67" s="1831"/>
      <c r="CL67" s="1831"/>
      <c r="CM67" s="1831"/>
      <c r="CN67" s="1831"/>
      <c r="CO67" s="1831"/>
      <c r="CP67" s="1831"/>
      <c r="CQ67" s="1831"/>
      <c r="CR67" s="1831"/>
      <c r="CS67" s="1831"/>
      <c r="CT67" s="1831"/>
      <c r="CU67" s="1831"/>
      <c r="CV67" s="1831"/>
      <c r="CW67" s="1831"/>
      <c r="CX67" s="1831"/>
      <c r="CY67" s="1831"/>
      <c r="CZ67" s="1831"/>
      <c r="DB67" s="4038" t="s">
        <v>611</v>
      </c>
      <c r="DC67" s="4039"/>
      <c r="DD67" s="4040"/>
      <c r="DE67" s="1911"/>
      <c r="DF67" s="1823"/>
      <c r="DG67" s="1823"/>
      <c r="DH67" s="1823"/>
      <c r="DI67" s="1823"/>
      <c r="DJ67" s="1823"/>
      <c r="DK67" s="1823"/>
      <c r="DL67" s="1823"/>
      <c r="DM67" s="1823"/>
      <c r="DN67" s="1824"/>
      <c r="DO67" s="1910"/>
      <c r="DP67" s="1823"/>
      <c r="DQ67" s="1823"/>
      <c r="DR67" s="1823"/>
      <c r="DS67" s="1823"/>
      <c r="DT67" s="1823"/>
      <c r="DU67" s="1823"/>
      <c r="DV67" s="1823"/>
      <c r="DW67" s="1823"/>
      <c r="DX67" s="1823"/>
      <c r="DY67" s="1823"/>
      <c r="DZ67" s="1823"/>
      <c r="EA67" s="1823"/>
      <c r="EB67" s="1823"/>
      <c r="EC67" s="1823"/>
      <c r="ED67" s="1823"/>
      <c r="EE67" s="1823"/>
      <c r="EF67" s="1823"/>
      <c r="EG67" s="1823"/>
      <c r="EH67" s="1823"/>
      <c r="EI67" s="1823"/>
    </row>
    <row r="68" spans="1:139" ht="15">
      <c r="A68" s="1054" t="s">
        <v>70</v>
      </c>
      <c r="B68" s="1054" t="s">
        <v>71</v>
      </c>
      <c r="C68" s="1054">
        <v>1</v>
      </c>
      <c r="D68" s="1054">
        <v>2</v>
      </c>
      <c r="E68" s="1054">
        <v>3</v>
      </c>
      <c r="F68" s="1054">
        <v>4</v>
      </c>
      <c r="G68" s="1054">
        <v>5</v>
      </c>
      <c r="H68" s="1054">
        <v>6</v>
      </c>
      <c r="I68" s="1054">
        <v>7</v>
      </c>
      <c r="J68" s="1054">
        <v>8</v>
      </c>
      <c r="K68" s="1054">
        <v>9</v>
      </c>
      <c r="L68" s="1054">
        <v>10</v>
      </c>
      <c r="M68" s="1054">
        <v>11</v>
      </c>
      <c r="N68" s="1054">
        <v>12</v>
      </c>
      <c r="O68" s="1054">
        <v>13</v>
      </c>
      <c r="P68" s="1054">
        <v>14</v>
      </c>
      <c r="Q68" s="1054">
        <v>15</v>
      </c>
      <c r="R68" s="1054">
        <v>16</v>
      </c>
      <c r="S68" s="1054">
        <v>17</v>
      </c>
      <c r="T68" s="1054">
        <v>18</v>
      </c>
      <c r="U68" s="1054">
        <v>19</v>
      </c>
      <c r="V68" s="1054">
        <v>20</v>
      </c>
      <c r="W68" s="1054">
        <v>21</v>
      </c>
      <c r="X68" s="1054">
        <v>22</v>
      </c>
      <c r="Y68" s="1054">
        <v>23</v>
      </c>
      <c r="Z68" s="1054">
        <v>24</v>
      </c>
      <c r="AA68" s="1054">
        <v>25</v>
      </c>
      <c r="AB68" s="1054">
        <v>26</v>
      </c>
      <c r="AC68" s="1054">
        <v>27</v>
      </c>
      <c r="AD68" s="1054">
        <v>28</v>
      </c>
      <c r="AE68" s="1054">
        <v>29</v>
      </c>
      <c r="AF68" s="1054">
        <v>30</v>
      </c>
      <c r="AG68" s="1054">
        <v>31</v>
      </c>
      <c r="AH68" s="1596" t="s">
        <v>72</v>
      </c>
      <c r="AJ68" s="1524" t="s">
        <v>70</v>
      </c>
      <c r="AK68" s="1524" t="s">
        <v>71</v>
      </c>
      <c r="AL68" s="1524">
        <v>1</v>
      </c>
      <c r="AM68" s="1524">
        <v>2</v>
      </c>
      <c r="AN68" s="1524">
        <v>3</v>
      </c>
      <c r="AO68" s="1524">
        <v>4</v>
      </c>
      <c r="AP68" s="1524">
        <v>5</v>
      </c>
      <c r="AQ68" s="1524">
        <v>6</v>
      </c>
      <c r="AR68" s="1524">
        <v>7</v>
      </c>
      <c r="AS68" s="1524">
        <v>8</v>
      </c>
      <c r="AT68" s="1524">
        <v>9</v>
      </c>
      <c r="AU68" s="1524">
        <v>10</v>
      </c>
      <c r="AV68" s="1524">
        <v>11</v>
      </c>
      <c r="AW68" s="1524">
        <v>12</v>
      </c>
      <c r="AX68" s="1524">
        <v>13</v>
      </c>
      <c r="AY68" s="1524">
        <v>14</v>
      </c>
      <c r="AZ68" s="1524">
        <v>15</v>
      </c>
      <c r="BA68" s="1524">
        <v>16</v>
      </c>
      <c r="BB68" s="1524">
        <v>17</v>
      </c>
      <c r="BC68" s="1524">
        <v>18</v>
      </c>
      <c r="BD68" s="1524">
        <v>19</v>
      </c>
      <c r="BE68" s="1524">
        <v>20</v>
      </c>
      <c r="BF68" s="1524">
        <v>21</v>
      </c>
      <c r="BG68" s="1524">
        <v>22</v>
      </c>
      <c r="BH68" s="1524">
        <v>23</v>
      </c>
      <c r="BI68" s="1524">
        <v>24</v>
      </c>
      <c r="BJ68" s="1524">
        <v>25</v>
      </c>
      <c r="BK68" s="1524">
        <v>26</v>
      </c>
      <c r="BL68" s="1524">
        <v>27</v>
      </c>
      <c r="BM68" s="1524">
        <v>28</v>
      </c>
      <c r="BN68" s="1524">
        <v>29</v>
      </c>
      <c r="BO68" s="1524">
        <v>30</v>
      </c>
      <c r="BP68" s="1524">
        <v>31</v>
      </c>
      <c r="BQ68" s="1838" t="s">
        <v>72</v>
      </c>
      <c r="BS68" s="1621" t="s">
        <v>70</v>
      </c>
      <c r="BT68" s="1621" t="s">
        <v>71</v>
      </c>
      <c r="BU68" s="1621">
        <v>1</v>
      </c>
      <c r="BV68" s="1621">
        <v>2</v>
      </c>
      <c r="BW68" s="1621">
        <v>3</v>
      </c>
      <c r="BX68" s="1621">
        <v>4</v>
      </c>
      <c r="BY68" s="1621">
        <v>5</v>
      </c>
      <c r="BZ68" s="1621">
        <v>6</v>
      </c>
      <c r="CA68" s="1621">
        <v>7</v>
      </c>
      <c r="CB68" s="1621">
        <v>8</v>
      </c>
      <c r="CC68" s="1621">
        <v>9</v>
      </c>
      <c r="CD68" s="1621">
        <v>10</v>
      </c>
      <c r="CE68" s="1621">
        <v>11</v>
      </c>
      <c r="CF68" s="1621">
        <v>12</v>
      </c>
      <c r="CG68" s="1621">
        <v>13</v>
      </c>
      <c r="CH68" s="1621">
        <v>14</v>
      </c>
      <c r="CI68" s="1621">
        <v>15</v>
      </c>
      <c r="CJ68" s="1621">
        <v>16</v>
      </c>
      <c r="CK68" s="1621">
        <v>17</v>
      </c>
      <c r="CL68" s="1621">
        <v>18</v>
      </c>
      <c r="CM68" s="1621">
        <v>19</v>
      </c>
      <c r="CN68" s="1621">
        <v>20</v>
      </c>
      <c r="CO68" s="1621">
        <v>21</v>
      </c>
      <c r="CP68" s="1621">
        <v>22</v>
      </c>
      <c r="CQ68" s="1621">
        <v>23</v>
      </c>
      <c r="CR68" s="1621">
        <v>24</v>
      </c>
      <c r="CS68" s="1621">
        <v>25</v>
      </c>
      <c r="CT68" s="1621">
        <v>26</v>
      </c>
      <c r="CU68" s="1621">
        <v>27</v>
      </c>
      <c r="CV68" s="1621">
        <v>28</v>
      </c>
      <c r="CW68" s="1621">
        <v>29</v>
      </c>
      <c r="CX68" s="1621">
        <v>30</v>
      </c>
      <c r="CY68" s="1621">
        <v>31</v>
      </c>
      <c r="CZ68" s="1830" t="s">
        <v>72</v>
      </c>
      <c r="DB68" s="1719" t="s">
        <v>70</v>
      </c>
      <c r="DC68" s="1719" t="s">
        <v>71</v>
      </c>
      <c r="DD68" s="1719">
        <v>1</v>
      </c>
      <c r="DE68" s="1719">
        <v>2</v>
      </c>
      <c r="DF68" s="1719">
        <v>3</v>
      </c>
      <c r="DG68" s="1719">
        <v>4</v>
      </c>
      <c r="DH68" s="1719">
        <v>5</v>
      </c>
      <c r="DI68" s="1719">
        <v>6</v>
      </c>
      <c r="DJ68" s="1719">
        <v>7</v>
      </c>
      <c r="DK68" s="1719">
        <v>8</v>
      </c>
      <c r="DL68" s="1719">
        <v>9</v>
      </c>
      <c r="DM68" s="1719">
        <v>10</v>
      </c>
      <c r="DN68" s="1719">
        <v>11</v>
      </c>
      <c r="DO68" s="1719">
        <v>12</v>
      </c>
      <c r="DP68" s="1719">
        <v>13</v>
      </c>
      <c r="DQ68" s="1719">
        <v>14</v>
      </c>
      <c r="DR68" s="1719">
        <v>15</v>
      </c>
      <c r="DS68" s="1719">
        <v>16</v>
      </c>
      <c r="DT68" s="1719">
        <v>17</v>
      </c>
      <c r="DU68" s="1719">
        <v>18</v>
      </c>
      <c r="DV68" s="1719">
        <v>19</v>
      </c>
      <c r="DW68" s="1719">
        <v>20</v>
      </c>
      <c r="DX68" s="1719">
        <v>21</v>
      </c>
      <c r="DY68" s="1719">
        <v>22</v>
      </c>
      <c r="DZ68" s="1719">
        <v>23</v>
      </c>
      <c r="EA68" s="1719">
        <v>24</v>
      </c>
      <c r="EB68" s="1719">
        <v>25</v>
      </c>
      <c r="EC68" s="1719">
        <v>26</v>
      </c>
      <c r="ED68" s="1719">
        <v>27</v>
      </c>
      <c r="EE68" s="1719">
        <v>28</v>
      </c>
      <c r="EF68" s="1719">
        <v>29</v>
      </c>
      <c r="EG68" s="1719">
        <v>30</v>
      </c>
      <c r="EH68" s="1719">
        <v>31</v>
      </c>
      <c r="EI68" s="1822" t="s">
        <v>72</v>
      </c>
    </row>
    <row r="69" spans="1:139" ht="15">
      <c r="A69" s="1054" t="s">
        <v>73</v>
      </c>
      <c r="B69" s="1091">
        <f t="shared" ref="B69:B80" si="66">+AH69</f>
        <v>0</v>
      </c>
      <c r="C69" s="1917"/>
      <c r="D69" s="1917"/>
      <c r="E69" s="1917"/>
      <c r="F69" s="1917"/>
      <c r="G69" s="1917"/>
      <c r="H69" s="1917"/>
      <c r="I69" s="1917"/>
      <c r="J69" s="1917"/>
      <c r="K69" s="1917"/>
      <c r="L69" s="1917"/>
      <c r="M69" s="1917"/>
      <c r="N69" s="1917"/>
      <c r="O69" s="1917"/>
      <c r="P69" s="1917"/>
      <c r="Q69" s="1917"/>
      <c r="R69" s="1917"/>
      <c r="S69" s="1917"/>
      <c r="T69" s="1917"/>
      <c r="U69" s="1917"/>
      <c r="V69" s="1917"/>
      <c r="W69" s="1917"/>
      <c r="X69" s="1917"/>
      <c r="Y69" s="1917"/>
      <c r="Z69" s="1917"/>
      <c r="AA69" s="1917"/>
      <c r="AB69" s="1917"/>
      <c r="AC69" s="1917"/>
      <c r="AD69" s="1917"/>
      <c r="AE69" s="1917"/>
      <c r="AF69" s="1917"/>
      <c r="AG69" s="1917"/>
      <c r="AH69" s="1268">
        <f t="shared" ref="AH69:AH80" si="67">SUM(C69:AG69)</f>
        <v>0</v>
      </c>
      <c r="AJ69" s="1524" t="s">
        <v>73</v>
      </c>
      <c r="AK69" s="1527">
        <f t="shared" ref="AK69:AK80" si="68">+BQ69</f>
        <v>0</v>
      </c>
      <c r="AL69" s="1872"/>
      <c r="AM69" s="1872"/>
      <c r="AN69" s="1872"/>
      <c r="AO69" s="1872"/>
      <c r="AP69" s="1872"/>
      <c r="AQ69" s="1872"/>
      <c r="AR69" s="1872"/>
      <c r="AS69" s="1872"/>
      <c r="AT69" s="1872"/>
      <c r="AU69" s="1872"/>
      <c r="AV69" s="1872"/>
      <c r="AW69" s="1872"/>
      <c r="AX69" s="1872"/>
      <c r="AY69" s="1872"/>
      <c r="AZ69" s="1872"/>
      <c r="BA69" s="1872"/>
      <c r="BB69" s="1872"/>
      <c r="BC69" s="1872"/>
      <c r="BD69" s="1872"/>
      <c r="BE69" s="1872"/>
      <c r="BF69" s="1872"/>
      <c r="BG69" s="1872"/>
      <c r="BH69" s="1872"/>
      <c r="BI69" s="1872"/>
      <c r="BJ69" s="1872"/>
      <c r="BK69" s="1872"/>
      <c r="BL69" s="1872"/>
      <c r="BM69" s="1872"/>
      <c r="BN69" s="1872"/>
      <c r="BO69" s="1872"/>
      <c r="BP69" s="1872"/>
      <c r="BQ69" s="1834">
        <f t="shared" ref="BQ69:BQ80" si="69">SUM(AL69:BP69)</f>
        <v>0</v>
      </c>
      <c r="BS69" s="1621" t="s">
        <v>73</v>
      </c>
      <c r="BT69" s="1622">
        <f t="shared" ref="BT69:BT80" si="70">+CZ69</f>
        <v>0.46100000000000008</v>
      </c>
      <c r="BU69" s="2035"/>
      <c r="BV69" s="2035"/>
      <c r="BW69" s="2035">
        <v>1.4999999999999999E-2</v>
      </c>
      <c r="BX69" s="2035"/>
      <c r="BY69" s="2035">
        <v>0.15</v>
      </c>
      <c r="BZ69" s="2035">
        <v>5.0000000000000001E-3</v>
      </c>
      <c r="CA69" s="2035">
        <v>0.15</v>
      </c>
      <c r="CB69" s="2035">
        <v>0.02</v>
      </c>
      <c r="CC69" s="2035">
        <v>0.03</v>
      </c>
      <c r="CD69" s="2035">
        <v>1.4999999999999999E-2</v>
      </c>
      <c r="CE69" s="2035"/>
      <c r="CF69" s="2035">
        <v>0.02</v>
      </c>
      <c r="CG69" s="2035"/>
      <c r="CH69" s="2035"/>
      <c r="CI69" s="2035"/>
      <c r="CJ69" s="2035"/>
      <c r="CK69" s="2035"/>
      <c r="CL69" s="2035">
        <v>0.01</v>
      </c>
      <c r="CM69" s="2035"/>
      <c r="CN69" s="2035"/>
      <c r="CO69" s="2035"/>
      <c r="CP69" s="2035">
        <v>0.03</v>
      </c>
      <c r="CQ69" s="2035"/>
      <c r="CR69" s="2035"/>
      <c r="CS69" s="2035"/>
      <c r="CT69" s="2035"/>
      <c r="CU69" s="2035"/>
      <c r="CV69" s="2035">
        <v>5.0000000000000001E-3</v>
      </c>
      <c r="CW69" s="2035"/>
      <c r="CX69" s="2035"/>
      <c r="CY69" s="2035">
        <v>1.0999999999999999E-2</v>
      </c>
      <c r="CZ69" s="1826">
        <f t="shared" ref="CZ69:CZ80" si="71">SUM(BU69:CY69)</f>
        <v>0.46100000000000008</v>
      </c>
      <c r="DB69" s="1719" t="s">
        <v>73</v>
      </c>
      <c r="DC69" s="1821">
        <f t="shared" ref="DC69:DC80" si="72">+EI69</f>
        <v>0</v>
      </c>
      <c r="DD69" s="1907"/>
      <c r="DE69" s="1907"/>
      <c r="DF69" s="1907"/>
      <c r="DG69" s="1907"/>
      <c r="DH69" s="1907"/>
      <c r="DI69" s="1907"/>
      <c r="DJ69" s="1907"/>
      <c r="DK69" s="1907"/>
      <c r="DL69" s="1907"/>
      <c r="DM69" s="1907"/>
      <c r="DN69" s="1907"/>
      <c r="DO69" s="1907"/>
      <c r="DP69" s="1907"/>
      <c r="DQ69" s="1907"/>
      <c r="DR69" s="1907"/>
      <c r="DS69" s="1907"/>
      <c r="DT69" s="1907"/>
      <c r="DU69" s="1907"/>
      <c r="DV69" s="1907"/>
      <c r="DW69" s="1907"/>
      <c r="DX69" s="1907"/>
      <c r="DY69" s="1907"/>
      <c r="DZ69" s="1907"/>
      <c r="EA69" s="1907"/>
      <c r="EB69" s="1907"/>
      <c r="EC69" s="1907"/>
      <c r="ED69" s="1907"/>
      <c r="EE69" s="1907"/>
      <c r="EF69" s="1907"/>
      <c r="EG69" s="1907"/>
      <c r="EH69" s="1907"/>
      <c r="EI69" s="1817">
        <f t="shared" ref="EI69:EI80" si="73">SUM(DD69:EH69)</f>
        <v>0</v>
      </c>
    </row>
    <row r="70" spans="1:139" ht="15">
      <c r="A70" s="1054" t="s">
        <v>74</v>
      </c>
      <c r="B70" s="1091">
        <f t="shared" si="66"/>
        <v>0</v>
      </c>
      <c r="C70" s="1917"/>
      <c r="D70" s="1917"/>
      <c r="E70" s="1917"/>
      <c r="F70" s="1917"/>
      <c r="G70" s="1917"/>
      <c r="H70" s="1917"/>
      <c r="I70" s="1917"/>
      <c r="J70" s="1917"/>
      <c r="K70" s="1917"/>
      <c r="L70" s="1917"/>
      <c r="M70" s="1917"/>
      <c r="N70" s="1917"/>
      <c r="O70" s="1917"/>
      <c r="P70" s="1917"/>
      <c r="Q70" s="1917"/>
      <c r="R70" s="1917"/>
      <c r="S70" s="1917"/>
      <c r="T70" s="1917"/>
      <c r="U70" s="1917"/>
      <c r="V70" s="1917"/>
      <c r="W70" s="1917"/>
      <c r="X70" s="1917"/>
      <c r="Y70" s="1917"/>
      <c r="Z70" s="1917"/>
      <c r="AA70" s="1917"/>
      <c r="AB70" s="1917"/>
      <c r="AC70" s="1917"/>
      <c r="AD70" s="1917"/>
      <c r="AE70" s="1917"/>
      <c r="AF70" s="1917"/>
      <c r="AG70" s="1917"/>
      <c r="AH70" s="1268">
        <f t="shared" si="67"/>
        <v>0</v>
      </c>
      <c r="AJ70" s="1524" t="s">
        <v>74</v>
      </c>
      <c r="AK70" s="1527">
        <f t="shared" si="68"/>
        <v>0</v>
      </c>
      <c r="AL70" s="1872"/>
      <c r="AM70" s="1872"/>
      <c r="AN70" s="1872"/>
      <c r="AO70" s="1872"/>
      <c r="AP70" s="1872"/>
      <c r="AQ70" s="1872"/>
      <c r="AR70" s="1872"/>
      <c r="AS70" s="1872"/>
      <c r="AT70" s="1872"/>
      <c r="AU70" s="1872"/>
      <c r="AV70" s="1872"/>
      <c r="AW70" s="1872"/>
      <c r="AX70" s="1872"/>
      <c r="AY70" s="1872"/>
      <c r="AZ70" s="1872"/>
      <c r="BA70" s="1872"/>
      <c r="BB70" s="1872"/>
      <c r="BC70" s="1872"/>
      <c r="BD70" s="1872"/>
      <c r="BE70" s="1872"/>
      <c r="BF70" s="1872"/>
      <c r="BG70" s="1872"/>
      <c r="BH70" s="1872"/>
      <c r="BI70" s="1872"/>
      <c r="BJ70" s="1872"/>
      <c r="BK70" s="1872"/>
      <c r="BL70" s="1872"/>
      <c r="BM70" s="1872"/>
      <c r="BN70" s="1872"/>
      <c r="BO70" s="1872"/>
      <c r="BP70" s="1872"/>
      <c r="BQ70" s="1834">
        <f t="shared" si="69"/>
        <v>0</v>
      </c>
      <c r="BS70" s="1621" t="s">
        <v>74</v>
      </c>
      <c r="BT70" s="1622">
        <f t="shared" si="70"/>
        <v>8.3000000000000004E-2</v>
      </c>
      <c r="BU70" s="2035"/>
      <c r="BV70" s="2035"/>
      <c r="BW70" s="2035"/>
      <c r="BX70" s="2035"/>
      <c r="BY70" s="2035"/>
      <c r="BZ70" s="2035"/>
      <c r="CA70" s="2035">
        <v>0.03</v>
      </c>
      <c r="CB70" s="2035"/>
      <c r="CC70" s="2035">
        <v>1E-3</v>
      </c>
      <c r="CD70" s="2035">
        <v>1E-3</v>
      </c>
      <c r="CE70" s="2035"/>
      <c r="CF70" s="2035"/>
      <c r="CG70" s="2035"/>
      <c r="CH70" s="2035">
        <v>0.03</v>
      </c>
      <c r="CI70" s="2035"/>
      <c r="CJ70" s="2035"/>
      <c r="CK70" s="2035"/>
      <c r="CL70" s="2035"/>
      <c r="CM70" s="2035"/>
      <c r="CN70" s="2035"/>
      <c r="CO70" s="2035"/>
      <c r="CP70" s="2035"/>
      <c r="CQ70" s="2035"/>
      <c r="CR70" s="2035"/>
      <c r="CS70" s="2035"/>
      <c r="CT70" s="2035"/>
      <c r="CU70" s="2035"/>
      <c r="CV70" s="2035">
        <v>2.1000000000000001E-2</v>
      </c>
      <c r="CW70" s="2035"/>
      <c r="CX70" s="2035"/>
      <c r="CY70" s="2035"/>
      <c r="CZ70" s="1826">
        <f t="shared" si="71"/>
        <v>8.3000000000000004E-2</v>
      </c>
      <c r="DB70" s="1719" t="s">
        <v>74</v>
      </c>
      <c r="DC70" s="1821">
        <f t="shared" si="72"/>
        <v>0</v>
      </c>
      <c r="DD70" s="1907"/>
      <c r="DE70" s="1907"/>
      <c r="DF70" s="1907"/>
      <c r="DG70" s="1907"/>
      <c r="DH70" s="1907"/>
      <c r="DI70" s="1907"/>
      <c r="DJ70" s="1907"/>
      <c r="DK70" s="1907"/>
      <c r="DL70" s="1907"/>
      <c r="DM70" s="1907"/>
      <c r="DN70" s="1907"/>
      <c r="DO70" s="1907"/>
      <c r="DP70" s="1907"/>
      <c r="DQ70" s="1907"/>
      <c r="DR70" s="1907"/>
      <c r="DS70" s="1907"/>
      <c r="DT70" s="1907"/>
      <c r="DU70" s="1907"/>
      <c r="DV70" s="1907"/>
      <c r="DW70" s="1907"/>
      <c r="DX70" s="1907"/>
      <c r="DY70" s="1907"/>
      <c r="DZ70" s="1907"/>
      <c r="EA70" s="1907"/>
      <c r="EB70" s="1907"/>
      <c r="EC70" s="1907"/>
      <c r="ED70" s="1907"/>
      <c r="EE70" s="1907"/>
      <c r="EF70" s="1907"/>
      <c r="EG70" s="1907"/>
      <c r="EH70" s="1907"/>
      <c r="EI70" s="1817">
        <f t="shared" si="73"/>
        <v>0</v>
      </c>
    </row>
    <row r="71" spans="1:139" ht="15">
      <c r="A71" s="1054" t="s">
        <v>75</v>
      </c>
      <c r="B71" s="1091">
        <f t="shared" si="66"/>
        <v>0</v>
      </c>
      <c r="C71" s="1917"/>
      <c r="D71" s="1917"/>
      <c r="E71" s="1917"/>
      <c r="F71" s="1917"/>
      <c r="G71" s="1917"/>
      <c r="H71" s="1917"/>
      <c r="I71" s="1917"/>
      <c r="J71" s="1917"/>
      <c r="K71" s="1917"/>
      <c r="L71" s="1917"/>
      <c r="M71" s="1917"/>
      <c r="N71" s="1917"/>
      <c r="O71" s="1917"/>
      <c r="P71" s="1917"/>
      <c r="Q71" s="1917"/>
      <c r="R71" s="1917"/>
      <c r="S71" s="1917"/>
      <c r="T71" s="1917"/>
      <c r="U71" s="1917"/>
      <c r="V71" s="1917"/>
      <c r="W71" s="1917"/>
      <c r="X71" s="1917"/>
      <c r="Y71" s="1917"/>
      <c r="Z71" s="1917"/>
      <c r="AA71" s="1917"/>
      <c r="AB71" s="1917"/>
      <c r="AC71" s="1917"/>
      <c r="AD71" s="1917"/>
      <c r="AE71" s="1917"/>
      <c r="AF71" s="1917"/>
      <c r="AG71" s="1917"/>
      <c r="AH71" s="1268">
        <f t="shared" si="67"/>
        <v>0</v>
      </c>
      <c r="AJ71" s="1524" t="s">
        <v>75</v>
      </c>
      <c r="AK71" s="1527">
        <f t="shared" si="68"/>
        <v>0</v>
      </c>
      <c r="AL71" s="1872"/>
      <c r="AM71" s="1872"/>
      <c r="AN71" s="1872"/>
      <c r="AO71" s="1872"/>
      <c r="AP71" s="1872"/>
      <c r="AQ71" s="1872"/>
      <c r="AR71" s="1872"/>
      <c r="AS71" s="1872"/>
      <c r="AT71" s="1872"/>
      <c r="AU71" s="1872"/>
      <c r="AV71" s="1872"/>
      <c r="AW71" s="1872"/>
      <c r="AX71" s="1872"/>
      <c r="AY71" s="1872"/>
      <c r="AZ71" s="1872"/>
      <c r="BA71" s="1872"/>
      <c r="BB71" s="1872"/>
      <c r="BC71" s="1872"/>
      <c r="BD71" s="1872"/>
      <c r="BE71" s="1872"/>
      <c r="BF71" s="1872"/>
      <c r="BG71" s="1872"/>
      <c r="BH71" s="1872"/>
      <c r="BI71" s="1872"/>
      <c r="BJ71" s="1872"/>
      <c r="BK71" s="1872"/>
      <c r="BL71" s="1872"/>
      <c r="BM71" s="1872"/>
      <c r="BN71" s="1872"/>
      <c r="BO71" s="1872"/>
      <c r="BP71" s="1872"/>
      <c r="BQ71" s="1834">
        <f t="shared" si="69"/>
        <v>0</v>
      </c>
      <c r="BS71" s="1621" t="s">
        <v>75</v>
      </c>
      <c r="BT71" s="1622">
        <f t="shared" si="70"/>
        <v>7.0000000000000007E-2</v>
      </c>
      <c r="BU71" s="1871"/>
      <c r="BV71" s="1871">
        <v>0.01</v>
      </c>
      <c r="BW71" s="1871"/>
      <c r="BX71" s="1871">
        <v>5.0000000000000001E-3</v>
      </c>
      <c r="BY71" s="1871"/>
      <c r="BZ71" s="1871"/>
      <c r="CA71" s="1871"/>
      <c r="CB71" s="1871"/>
      <c r="CC71" s="1871"/>
      <c r="CD71" s="1871"/>
      <c r="CE71" s="1871">
        <v>0.04</v>
      </c>
      <c r="CF71" s="1871"/>
      <c r="CG71" s="1871"/>
      <c r="CH71" s="1871"/>
      <c r="CI71" s="1871"/>
      <c r="CJ71" s="1871"/>
      <c r="CK71" s="1871"/>
      <c r="CL71" s="1871"/>
      <c r="CM71" s="1871"/>
      <c r="CN71" s="1871"/>
      <c r="CO71" s="1871"/>
      <c r="CP71" s="1871"/>
      <c r="CQ71" s="1871"/>
      <c r="CR71" s="1871"/>
      <c r="CS71" s="1871">
        <v>1.4999999999999999E-2</v>
      </c>
      <c r="CT71" s="1871"/>
      <c r="CU71" s="1871"/>
      <c r="CV71" s="1871"/>
      <c r="CW71" s="1871"/>
      <c r="CX71" s="1871"/>
      <c r="CY71" s="1871"/>
      <c r="CZ71" s="1826">
        <f t="shared" si="71"/>
        <v>7.0000000000000007E-2</v>
      </c>
      <c r="DB71" s="1719" t="s">
        <v>75</v>
      </c>
      <c r="DC71" s="1821">
        <f t="shared" si="72"/>
        <v>0</v>
      </c>
      <c r="DD71" s="1907"/>
      <c r="DE71" s="1907"/>
      <c r="DF71" s="1907"/>
      <c r="DG71" s="1907"/>
      <c r="DH71" s="1907"/>
      <c r="DI71" s="1907"/>
      <c r="DJ71" s="1907"/>
      <c r="DK71" s="1907"/>
      <c r="DL71" s="1907"/>
      <c r="DM71" s="1907"/>
      <c r="DN71" s="1907"/>
      <c r="DO71" s="1907"/>
      <c r="DP71" s="1907"/>
      <c r="DQ71" s="1907"/>
      <c r="DR71" s="1907"/>
      <c r="DS71" s="1907"/>
      <c r="DT71" s="1907"/>
      <c r="DU71" s="1907"/>
      <c r="DV71" s="1907"/>
      <c r="DW71" s="1907"/>
      <c r="DX71" s="1907"/>
      <c r="DY71" s="1907"/>
      <c r="DZ71" s="1907"/>
      <c r="EA71" s="1907"/>
      <c r="EB71" s="1907"/>
      <c r="EC71" s="1907"/>
      <c r="ED71" s="1907"/>
      <c r="EE71" s="1907"/>
      <c r="EF71" s="1907"/>
      <c r="EG71" s="1907"/>
      <c r="EH71" s="1907"/>
      <c r="EI71" s="1817">
        <f t="shared" si="73"/>
        <v>0</v>
      </c>
    </row>
    <row r="72" spans="1:139" ht="15">
      <c r="A72" s="1054" t="s">
        <v>76</v>
      </c>
      <c r="B72" s="1091">
        <f t="shared" si="66"/>
        <v>0</v>
      </c>
      <c r="C72" s="1538"/>
      <c r="D72" s="1538"/>
      <c r="E72" s="1538"/>
      <c r="F72" s="1538"/>
      <c r="G72" s="1538"/>
      <c r="H72" s="1538"/>
      <c r="I72" s="1538"/>
      <c r="J72" s="1538"/>
      <c r="K72" s="1538"/>
      <c r="L72" s="1538"/>
      <c r="M72" s="1917"/>
      <c r="N72" s="1917"/>
      <c r="O72" s="1917"/>
      <c r="P72" s="1917"/>
      <c r="Q72" s="1917"/>
      <c r="R72" s="1917"/>
      <c r="S72" s="1917"/>
      <c r="T72" s="1917"/>
      <c r="U72" s="1917"/>
      <c r="V72" s="1917"/>
      <c r="W72" s="1917"/>
      <c r="X72" s="1917"/>
      <c r="Y72" s="1917"/>
      <c r="Z72" s="1917"/>
      <c r="AA72" s="1917"/>
      <c r="AB72" s="1917"/>
      <c r="AC72" s="1917"/>
      <c r="AD72" s="1917"/>
      <c r="AE72" s="1917"/>
      <c r="AF72" s="1917"/>
      <c r="AG72" s="1538"/>
      <c r="AH72" s="1268">
        <f t="shared" si="67"/>
        <v>0</v>
      </c>
      <c r="AJ72" s="1524" t="s">
        <v>76</v>
      </c>
      <c r="AK72" s="1527">
        <f t="shared" si="68"/>
        <v>0</v>
      </c>
      <c r="AL72" s="1877"/>
      <c r="AM72" s="1877"/>
      <c r="AN72" s="1877"/>
      <c r="AO72" s="1877"/>
      <c r="AP72" s="1877"/>
      <c r="AQ72" s="1877"/>
      <c r="AR72" s="1877"/>
      <c r="AS72" s="1877"/>
      <c r="AT72" s="1877"/>
      <c r="AU72" s="1877"/>
      <c r="AV72" s="1872"/>
      <c r="AW72" s="1872"/>
      <c r="AX72" s="1877"/>
      <c r="AY72" s="1877"/>
      <c r="AZ72" s="1877"/>
      <c r="BA72" s="1877"/>
      <c r="BB72" s="1877"/>
      <c r="BC72" s="1877"/>
      <c r="BD72" s="1877"/>
      <c r="BE72" s="1877"/>
      <c r="BF72" s="1877"/>
      <c r="BG72" s="1877"/>
      <c r="BH72" s="1872"/>
      <c r="BI72" s="1872"/>
      <c r="BJ72" s="1872"/>
      <c r="BK72" s="1872"/>
      <c r="BL72" s="1872"/>
      <c r="BM72" s="1872"/>
      <c r="BN72" s="1872"/>
      <c r="BO72" s="1872"/>
      <c r="BP72" s="1877"/>
      <c r="BQ72" s="1834">
        <f t="shared" si="69"/>
        <v>0</v>
      </c>
      <c r="BS72" s="1621" t="s">
        <v>76</v>
      </c>
      <c r="BT72" s="1622">
        <f t="shared" si="70"/>
        <v>0.26600000000000001</v>
      </c>
      <c r="BU72" s="1876"/>
      <c r="BV72" s="1876"/>
      <c r="BW72" s="1876">
        <v>0.02</v>
      </c>
      <c r="BX72" s="1876"/>
      <c r="BY72" s="1876"/>
      <c r="BZ72" s="1876"/>
      <c r="CA72" s="1876">
        <v>0.04</v>
      </c>
      <c r="CB72" s="1876"/>
      <c r="CC72" s="1876"/>
      <c r="CD72" s="1876"/>
      <c r="CE72" s="1871"/>
      <c r="CF72" s="1871">
        <v>0.04</v>
      </c>
      <c r="CG72" s="1871">
        <v>0.02</v>
      </c>
      <c r="CH72" s="1871">
        <v>0.02</v>
      </c>
      <c r="CI72" s="1871">
        <v>0.03</v>
      </c>
      <c r="CJ72" s="1871">
        <v>0.06</v>
      </c>
      <c r="CK72" s="1871">
        <v>0.03</v>
      </c>
      <c r="CL72" s="1871"/>
      <c r="CM72" s="1871"/>
      <c r="CN72" s="1871"/>
      <c r="CO72" s="1871"/>
      <c r="CP72" s="1871"/>
      <c r="CQ72" s="1871"/>
      <c r="CR72" s="1871"/>
      <c r="CS72" s="1871">
        <v>6.0000000000000001E-3</v>
      </c>
      <c r="CT72" s="1871"/>
      <c r="CU72" s="1871"/>
      <c r="CV72" s="1871"/>
      <c r="CW72" s="1871"/>
      <c r="CX72" s="1871"/>
      <c r="CY72" s="1876"/>
      <c r="CZ72" s="1826">
        <f t="shared" si="71"/>
        <v>0.26600000000000001</v>
      </c>
      <c r="DB72" s="1719" t="s">
        <v>76</v>
      </c>
      <c r="DC72" s="1821">
        <f t="shared" si="72"/>
        <v>0</v>
      </c>
      <c r="DD72" s="1908"/>
      <c r="DE72" s="1908"/>
      <c r="DF72" s="1908"/>
      <c r="DG72" s="1908"/>
      <c r="DH72" s="1908"/>
      <c r="DI72" s="1908"/>
      <c r="DJ72" s="1908"/>
      <c r="DK72" s="1908"/>
      <c r="DL72" s="1908"/>
      <c r="DM72" s="1908"/>
      <c r="DN72" s="1907"/>
      <c r="DO72" s="1907"/>
      <c r="DP72" s="1907"/>
      <c r="DQ72" s="1907"/>
      <c r="DR72" s="1907"/>
      <c r="DS72" s="1907"/>
      <c r="DT72" s="1907"/>
      <c r="DU72" s="1907"/>
      <c r="DV72" s="1907"/>
      <c r="DW72" s="1907"/>
      <c r="DX72" s="1907"/>
      <c r="DY72" s="1907"/>
      <c r="DZ72" s="1907"/>
      <c r="EA72" s="1907"/>
      <c r="EB72" s="1907"/>
      <c r="EC72" s="1907"/>
      <c r="ED72" s="1907"/>
      <c r="EE72" s="1907"/>
      <c r="EF72" s="1907"/>
      <c r="EG72" s="1907"/>
      <c r="EH72" s="1908"/>
      <c r="EI72" s="1817">
        <f t="shared" si="73"/>
        <v>0</v>
      </c>
    </row>
    <row r="73" spans="1:139" ht="15">
      <c r="A73" s="1054" t="s">
        <v>77</v>
      </c>
      <c r="B73" s="1091">
        <f t="shared" si="66"/>
        <v>0</v>
      </c>
      <c r="C73" s="1538"/>
      <c r="D73" s="1538"/>
      <c r="E73" s="1538"/>
      <c r="F73" s="1917"/>
      <c r="G73" s="1538"/>
      <c r="H73" s="1917"/>
      <c r="I73" s="1538"/>
      <c r="J73" s="1917"/>
      <c r="K73" s="1538"/>
      <c r="L73" s="1538"/>
      <c r="M73" s="1538"/>
      <c r="N73" s="1538"/>
      <c r="O73" s="1538"/>
      <c r="P73" s="1538"/>
      <c r="Q73" s="1538"/>
      <c r="R73" s="1538"/>
      <c r="S73" s="1917"/>
      <c r="T73" s="1538"/>
      <c r="U73" s="1538"/>
      <c r="V73" s="1917"/>
      <c r="W73" s="1538"/>
      <c r="X73" s="1538"/>
      <c r="Y73" s="1917"/>
      <c r="Z73" s="1538"/>
      <c r="AA73" s="1538"/>
      <c r="AB73" s="1917"/>
      <c r="AC73" s="1538"/>
      <c r="AD73" s="1538"/>
      <c r="AE73" s="1917"/>
      <c r="AF73" s="1538"/>
      <c r="AG73" s="1538"/>
      <c r="AH73" s="1268">
        <f t="shared" si="67"/>
        <v>0</v>
      </c>
      <c r="AJ73" s="1524" t="s">
        <v>77</v>
      </c>
      <c r="AK73" s="1527">
        <f t="shared" si="68"/>
        <v>0</v>
      </c>
      <c r="AL73" s="1877"/>
      <c r="AM73" s="1877"/>
      <c r="AN73" s="1877"/>
      <c r="AO73" s="1872"/>
      <c r="AP73" s="1877"/>
      <c r="AQ73" s="1872"/>
      <c r="AR73" s="1877"/>
      <c r="AS73" s="1872"/>
      <c r="AT73" s="1877"/>
      <c r="AU73" s="1877"/>
      <c r="AV73" s="1877"/>
      <c r="AW73" s="1877"/>
      <c r="AX73" s="1877"/>
      <c r="AY73" s="1877"/>
      <c r="AZ73" s="1877"/>
      <c r="BA73" s="1872"/>
      <c r="BB73" s="1877"/>
      <c r="BC73" s="1872"/>
      <c r="BD73" s="1877"/>
      <c r="BE73" s="1872"/>
      <c r="BF73" s="1877"/>
      <c r="BG73" s="1877"/>
      <c r="BH73" s="1877"/>
      <c r="BI73" s="1877"/>
      <c r="BJ73" s="1877"/>
      <c r="BK73" s="1872"/>
      <c r="BL73" s="1877"/>
      <c r="BM73" s="1877"/>
      <c r="BN73" s="1872"/>
      <c r="BO73" s="1877"/>
      <c r="BP73" s="1877"/>
      <c r="BQ73" s="1834">
        <f t="shared" si="69"/>
        <v>0</v>
      </c>
      <c r="BS73" s="1621" t="s">
        <v>77</v>
      </c>
      <c r="BT73" s="1622">
        <f t="shared" si="70"/>
        <v>0</v>
      </c>
      <c r="BU73" s="1876"/>
      <c r="BV73" s="1876"/>
      <c r="BW73" s="1876"/>
      <c r="BX73" s="1871"/>
      <c r="BY73" s="1876"/>
      <c r="BZ73" s="1871"/>
      <c r="CA73" s="1876"/>
      <c r="CB73" s="1871"/>
      <c r="CC73" s="1876"/>
      <c r="CD73" s="1876"/>
      <c r="CE73" s="1876"/>
      <c r="CF73" s="1876"/>
      <c r="CG73" s="1876"/>
      <c r="CH73" s="1876"/>
      <c r="CI73" s="1876"/>
      <c r="CJ73" s="1876"/>
      <c r="CK73" s="1871"/>
      <c r="CL73" s="1876"/>
      <c r="CM73" s="1876"/>
      <c r="CN73" s="1871"/>
      <c r="CO73" s="1876"/>
      <c r="CP73" s="1876"/>
      <c r="CQ73" s="1871"/>
      <c r="CR73" s="1876"/>
      <c r="CS73" s="1876"/>
      <c r="CT73" s="1871"/>
      <c r="CU73" s="1876"/>
      <c r="CV73" s="1876"/>
      <c r="CW73" s="1871"/>
      <c r="CX73" s="1876"/>
      <c r="CY73" s="1876"/>
      <c r="CZ73" s="1826">
        <f t="shared" si="71"/>
        <v>0</v>
      </c>
      <c r="DB73" s="1719" t="s">
        <v>77</v>
      </c>
      <c r="DC73" s="1821">
        <f t="shared" si="72"/>
        <v>0</v>
      </c>
      <c r="DD73" s="1908"/>
      <c r="DE73" s="1908"/>
      <c r="DF73" s="1908"/>
      <c r="DG73" s="1907"/>
      <c r="DH73" s="1908"/>
      <c r="DI73" s="1907"/>
      <c r="DJ73" s="1908"/>
      <c r="DK73" s="1907"/>
      <c r="DL73" s="1908"/>
      <c r="DM73" s="1908"/>
      <c r="DN73" s="1908"/>
      <c r="DO73" s="1908"/>
      <c r="DP73" s="1908"/>
      <c r="DQ73" s="1908"/>
      <c r="DR73" s="1908"/>
      <c r="DS73" s="1908"/>
      <c r="DT73" s="1907"/>
      <c r="DU73" s="1908"/>
      <c r="DV73" s="1908"/>
      <c r="DW73" s="1907"/>
      <c r="DX73" s="1908"/>
      <c r="DY73" s="1908"/>
      <c r="DZ73" s="1907"/>
      <c r="EA73" s="1908"/>
      <c r="EB73" s="1908"/>
      <c r="EC73" s="1907"/>
      <c r="ED73" s="1908"/>
      <c r="EE73" s="1908"/>
      <c r="EF73" s="1907"/>
      <c r="EG73" s="1908"/>
      <c r="EH73" s="1908"/>
      <c r="EI73" s="1817">
        <f t="shared" si="73"/>
        <v>0</v>
      </c>
    </row>
    <row r="74" spans="1:139" ht="15">
      <c r="A74" s="1054" t="s">
        <v>78</v>
      </c>
      <c r="B74" s="1091">
        <f t="shared" si="66"/>
        <v>0</v>
      </c>
      <c r="C74" s="1538"/>
      <c r="D74" s="1538"/>
      <c r="E74" s="1538"/>
      <c r="F74" s="1538"/>
      <c r="G74" s="1538"/>
      <c r="H74" s="1538"/>
      <c r="I74" s="1538"/>
      <c r="J74" s="1538"/>
      <c r="K74" s="1538"/>
      <c r="L74" s="1538"/>
      <c r="M74" s="1538"/>
      <c r="N74" s="1917"/>
      <c r="O74" s="1538"/>
      <c r="P74" s="1917"/>
      <c r="Q74" s="1538"/>
      <c r="R74" s="1917"/>
      <c r="S74" s="1538"/>
      <c r="T74" s="1917"/>
      <c r="U74" s="1538"/>
      <c r="V74" s="1917"/>
      <c r="W74" s="1538"/>
      <c r="X74" s="1917"/>
      <c r="Y74" s="1538"/>
      <c r="Z74" s="1917"/>
      <c r="AA74" s="1538"/>
      <c r="AB74" s="1917"/>
      <c r="AC74" s="1538"/>
      <c r="AD74" s="1917"/>
      <c r="AE74" s="1538"/>
      <c r="AF74" s="1917"/>
      <c r="AG74" s="1538"/>
      <c r="AH74" s="1268">
        <f t="shared" si="67"/>
        <v>0</v>
      </c>
      <c r="AJ74" s="1524" t="s">
        <v>78</v>
      </c>
      <c r="AK74" s="1527">
        <f t="shared" si="68"/>
        <v>0</v>
      </c>
      <c r="AL74" s="1877"/>
      <c r="AM74" s="1877"/>
      <c r="AN74" s="1877"/>
      <c r="AO74" s="1877"/>
      <c r="AP74" s="1877"/>
      <c r="AQ74" s="1877"/>
      <c r="AR74" s="1877"/>
      <c r="AS74" s="1877"/>
      <c r="AT74" s="1877"/>
      <c r="AU74" s="1877"/>
      <c r="AV74" s="1877"/>
      <c r="AW74" s="1872"/>
      <c r="AX74" s="1877"/>
      <c r="AY74" s="1877"/>
      <c r="AZ74" s="1877"/>
      <c r="BA74" s="1877"/>
      <c r="BB74" s="1877"/>
      <c r="BC74" s="1877"/>
      <c r="BD74" s="1877"/>
      <c r="BE74" s="1877"/>
      <c r="BF74" s="1877"/>
      <c r="BG74" s="1877"/>
      <c r="BH74" s="1877"/>
      <c r="BI74" s="1872"/>
      <c r="BJ74" s="1877"/>
      <c r="BK74" s="1872"/>
      <c r="BL74" s="1877"/>
      <c r="BM74" s="1872"/>
      <c r="BN74" s="1877"/>
      <c r="BO74" s="1872"/>
      <c r="BP74" s="1877"/>
      <c r="BQ74" s="1834">
        <f t="shared" si="69"/>
        <v>0</v>
      </c>
      <c r="BS74" s="1621" t="s">
        <v>78</v>
      </c>
      <c r="BT74" s="1622">
        <f t="shared" si="70"/>
        <v>1.4999999999999999E-2</v>
      </c>
      <c r="BU74" s="1876"/>
      <c r="BV74" s="1876"/>
      <c r="BW74" s="1876"/>
      <c r="BX74" s="1876"/>
      <c r="BY74" s="1876"/>
      <c r="BZ74" s="1876"/>
      <c r="CA74" s="1876"/>
      <c r="CB74" s="1876"/>
      <c r="CC74" s="1876"/>
      <c r="CD74" s="1876"/>
      <c r="CE74" s="1876"/>
      <c r="CF74" s="1871"/>
      <c r="CG74" s="1876"/>
      <c r="CH74" s="1871"/>
      <c r="CI74" s="1876"/>
      <c r="CJ74" s="1871"/>
      <c r="CK74" s="1876"/>
      <c r="CL74" s="1871"/>
      <c r="CM74" s="1876"/>
      <c r="CN74" s="1871"/>
      <c r="CO74" s="1876"/>
      <c r="CP74" s="1871"/>
      <c r="CQ74" s="1876">
        <v>1.4999999999999999E-2</v>
      </c>
      <c r="CR74" s="1871"/>
      <c r="CS74" s="1876"/>
      <c r="CT74" s="1871"/>
      <c r="CU74" s="1876"/>
      <c r="CV74" s="1871"/>
      <c r="CW74" s="1876"/>
      <c r="CX74" s="1871"/>
      <c r="CY74" s="1876"/>
      <c r="CZ74" s="1826">
        <f t="shared" si="71"/>
        <v>1.4999999999999999E-2</v>
      </c>
      <c r="DB74" s="1719" t="s">
        <v>78</v>
      </c>
      <c r="DC74" s="1821">
        <f t="shared" si="72"/>
        <v>0</v>
      </c>
      <c r="DD74" s="1908"/>
      <c r="DE74" s="1908"/>
      <c r="DF74" s="1908"/>
      <c r="DG74" s="1908"/>
      <c r="DH74" s="1908"/>
      <c r="DI74" s="1908"/>
      <c r="DJ74" s="1908"/>
      <c r="DK74" s="1908"/>
      <c r="DL74" s="1908"/>
      <c r="DM74" s="1908"/>
      <c r="DN74" s="1908"/>
      <c r="DO74" s="1907"/>
      <c r="DP74" s="1908"/>
      <c r="DQ74" s="1907"/>
      <c r="DR74" s="1908"/>
      <c r="DS74" s="1907"/>
      <c r="DT74" s="1908"/>
      <c r="DU74" s="1907"/>
      <c r="DV74" s="1908"/>
      <c r="DW74" s="1907"/>
      <c r="DX74" s="1908"/>
      <c r="DY74" s="1907"/>
      <c r="DZ74" s="1908"/>
      <c r="EA74" s="1907"/>
      <c r="EB74" s="1908"/>
      <c r="EC74" s="1907"/>
      <c r="ED74" s="1908"/>
      <c r="EE74" s="1907"/>
      <c r="EF74" s="1908"/>
      <c r="EG74" s="1907"/>
      <c r="EH74" s="1908"/>
      <c r="EI74" s="1817">
        <f t="shared" si="73"/>
        <v>0</v>
      </c>
    </row>
    <row r="75" spans="1:139" ht="15">
      <c r="A75" s="1054" t="s">
        <v>79</v>
      </c>
      <c r="B75" s="1091">
        <f t="shared" si="66"/>
        <v>0</v>
      </c>
      <c r="C75" s="1538"/>
      <c r="D75" s="1538"/>
      <c r="E75" s="1538"/>
      <c r="F75" s="1538"/>
      <c r="G75" s="1538"/>
      <c r="H75" s="1538"/>
      <c r="I75" s="1538"/>
      <c r="J75" s="1538"/>
      <c r="K75" s="1538"/>
      <c r="L75" s="1538"/>
      <c r="M75" s="1538"/>
      <c r="N75" s="1538"/>
      <c r="O75" s="1538"/>
      <c r="P75" s="1538"/>
      <c r="Q75" s="1538"/>
      <c r="R75" s="1538"/>
      <c r="S75" s="1538"/>
      <c r="T75" s="1538"/>
      <c r="U75" s="1538"/>
      <c r="V75" s="1538"/>
      <c r="W75" s="1538"/>
      <c r="X75" s="1538"/>
      <c r="Y75" s="1538"/>
      <c r="Z75" s="1538"/>
      <c r="AA75" s="1538"/>
      <c r="AB75" s="1538"/>
      <c r="AC75" s="1538"/>
      <c r="AD75" s="1538"/>
      <c r="AE75" s="1538"/>
      <c r="AF75" s="1538"/>
      <c r="AG75" s="1538"/>
      <c r="AH75" s="1268">
        <f t="shared" si="67"/>
        <v>0</v>
      </c>
      <c r="AJ75" s="1524" t="s">
        <v>79</v>
      </c>
      <c r="AK75" s="1527">
        <f t="shared" si="68"/>
        <v>0</v>
      </c>
      <c r="AL75" s="1877"/>
      <c r="AM75" s="1877"/>
      <c r="AN75" s="1877"/>
      <c r="AO75" s="1877"/>
      <c r="AP75" s="1877"/>
      <c r="AQ75" s="1877"/>
      <c r="AR75" s="1877"/>
      <c r="AS75" s="1877"/>
      <c r="AT75" s="1877"/>
      <c r="AU75" s="1877"/>
      <c r="AV75" s="1877"/>
      <c r="AW75" s="1877"/>
      <c r="AX75" s="1877"/>
      <c r="AY75" s="1877"/>
      <c r="AZ75" s="1877"/>
      <c r="BA75" s="1877"/>
      <c r="BB75" s="1877"/>
      <c r="BC75" s="1877"/>
      <c r="BD75" s="1877"/>
      <c r="BE75" s="1877"/>
      <c r="BF75" s="1877"/>
      <c r="BG75" s="1877"/>
      <c r="BH75" s="1877"/>
      <c r="BI75" s="1877"/>
      <c r="BJ75" s="1877"/>
      <c r="BK75" s="1877"/>
      <c r="BL75" s="1877"/>
      <c r="BM75" s="1877"/>
      <c r="BN75" s="1877"/>
      <c r="BO75" s="1877"/>
      <c r="BP75" s="1877"/>
      <c r="BQ75" s="1834">
        <f t="shared" si="69"/>
        <v>0</v>
      </c>
      <c r="BS75" s="1621" t="s">
        <v>79</v>
      </c>
      <c r="BT75" s="1622">
        <f t="shared" si="70"/>
        <v>3.9E-2</v>
      </c>
      <c r="BU75" s="1876"/>
      <c r="BV75" s="1876"/>
      <c r="BW75" s="1876"/>
      <c r="BX75" s="1876"/>
      <c r="BY75" s="1876"/>
      <c r="BZ75" s="1876"/>
      <c r="CA75" s="1876"/>
      <c r="CB75" s="1876">
        <v>3.9E-2</v>
      </c>
      <c r="CC75" s="1876"/>
      <c r="CD75" s="1876"/>
      <c r="CE75" s="1876"/>
      <c r="CF75" s="1876"/>
      <c r="CG75" s="1876"/>
      <c r="CH75" s="1876"/>
      <c r="CI75" s="1876"/>
      <c r="CJ75" s="1876"/>
      <c r="CK75" s="1876"/>
      <c r="CL75" s="1876"/>
      <c r="CM75" s="1876"/>
      <c r="CN75" s="1876"/>
      <c r="CO75" s="1876"/>
      <c r="CP75" s="1876"/>
      <c r="CQ75" s="1876"/>
      <c r="CR75" s="1876"/>
      <c r="CS75" s="1876"/>
      <c r="CT75" s="1876"/>
      <c r="CU75" s="1876"/>
      <c r="CV75" s="1876"/>
      <c r="CW75" s="1876"/>
      <c r="CX75" s="1876"/>
      <c r="CY75" s="1876"/>
      <c r="CZ75" s="1826">
        <f t="shared" si="71"/>
        <v>3.9E-2</v>
      </c>
      <c r="DB75" s="1719" t="s">
        <v>79</v>
      </c>
      <c r="DC75" s="1821">
        <f t="shared" si="72"/>
        <v>0</v>
      </c>
      <c r="DD75" s="1908"/>
      <c r="DE75" s="1908"/>
      <c r="DF75" s="1908"/>
      <c r="DG75" s="1908"/>
      <c r="DH75" s="1908"/>
      <c r="DI75" s="1908"/>
      <c r="DJ75" s="1908"/>
      <c r="DK75" s="1908"/>
      <c r="DL75" s="1908"/>
      <c r="DM75" s="1908"/>
      <c r="DN75" s="1908"/>
      <c r="DO75" s="1908"/>
      <c r="DP75" s="1908"/>
      <c r="DQ75" s="1908"/>
      <c r="DR75" s="1908"/>
      <c r="DS75" s="1908"/>
      <c r="DT75" s="1908"/>
      <c r="DU75" s="1908"/>
      <c r="DV75" s="1908"/>
      <c r="DW75" s="1908"/>
      <c r="DX75" s="1908"/>
      <c r="DY75" s="1908"/>
      <c r="DZ75" s="1908"/>
      <c r="EA75" s="1908"/>
      <c r="EB75" s="1908"/>
      <c r="EC75" s="1908"/>
      <c r="ED75" s="1908"/>
      <c r="EE75" s="1908"/>
      <c r="EF75" s="1908"/>
      <c r="EG75" s="1908"/>
      <c r="EH75" s="1908"/>
      <c r="EI75" s="1817">
        <f t="shared" si="73"/>
        <v>0</v>
      </c>
    </row>
    <row r="76" spans="1:139" ht="15">
      <c r="A76" s="1054" t="s">
        <v>80</v>
      </c>
      <c r="B76" s="1091">
        <f t="shared" si="66"/>
        <v>0</v>
      </c>
      <c r="C76" s="1917"/>
      <c r="D76" s="1918"/>
      <c r="E76" s="1917"/>
      <c r="F76" s="1917"/>
      <c r="G76" s="1917"/>
      <c r="H76" s="1917"/>
      <c r="I76" s="1917"/>
      <c r="J76" s="1917"/>
      <c r="K76" s="1917"/>
      <c r="L76" s="1917"/>
      <c r="M76" s="1917"/>
      <c r="N76" s="1917"/>
      <c r="O76" s="1917"/>
      <c r="P76" s="1917"/>
      <c r="Q76" s="1917"/>
      <c r="R76" s="1917"/>
      <c r="S76" s="1917"/>
      <c r="T76" s="1917"/>
      <c r="U76" s="1917"/>
      <c r="V76" s="1917"/>
      <c r="W76" s="1917"/>
      <c r="X76" s="1917"/>
      <c r="Y76" s="1917"/>
      <c r="Z76" s="1917"/>
      <c r="AA76" s="1917"/>
      <c r="AB76" s="1917"/>
      <c r="AC76" s="1917"/>
      <c r="AD76" s="1917"/>
      <c r="AE76" s="1917"/>
      <c r="AF76" s="1917"/>
      <c r="AG76" s="1917"/>
      <c r="AH76" s="1268">
        <f t="shared" si="67"/>
        <v>0</v>
      </c>
      <c r="AJ76" s="1524" t="s">
        <v>80</v>
      </c>
      <c r="AK76" s="1527">
        <f t="shared" si="68"/>
        <v>0</v>
      </c>
      <c r="AL76" s="1872"/>
      <c r="AM76" s="1875"/>
      <c r="AN76" s="1872"/>
      <c r="AO76" s="1872"/>
      <c r="AP76" s="1872"/>
      <c r="AQ76" s="1872"/>
      <c r="AR76" s="1872"/>
      <c r="AS76" s="1872"/>
      <c r="AT76" s="1872"/>
      <c r="AU76" s="1872"/>
      <c r="AV76" s="1872"/>
      <c r="AW76" s="1872"/>
      <c r="AX76" s="1872"/>
      <c r="AY76" s="1875"/>
      <c r="AZ76" s="1872"/>
      <c r="BA76" s="1872"/>
      <c r="BB76" s="1872"/>
      <c r="BC76" s="1872"/>
      <c r="BD76" s="1872"/>
      <c r="BE76" s="1872"/>
      <c r="BF76" s="1872"/>
      <c r="BG76" s="1872"/>
      <c r="BH76" s="1872"/>
      <c r="BI76" s="1872"/>
      <c r="BJ76" s="1872"/>
      <c r="BK76" s="1872"/>
      <c r="BL76" s="1872"/>
      <c r="BM76" s="1872"/>
      <c r="BN76" s="1872"/>
      <c r="BO76" s="1872"/>
      <c r="BP76" s="1872"/>
      <c r="BQ76" s="1834">
        <f t="shared" si="69"/>
        <v>0</v>
      </c>
      <c r="BS76" s="1621" t="s">
        <v>80</v>
      </c>
      <c r="BT76" s="1622">
        <f t="shared" si="70"/>
        <v>1E-3</v>
      </c>
      <c r="BU76" s="1871"/>
      <c r="BV76" s="1874"/>
      <c r="BW76" s="1871"/>
      <c r="BX76" s="1871"/>
      <c r="BY76" s="1871"/>
      <c r="BZ76" s="1871"/>
      <c r="CA76" s="1871"/>
      <c r="CB76" s="1871"/>
      <c r="CC76" s="1871"/>
      <c r="CD76" s="1871"/>
      <c r="CE76" s="1871"/>
      <c r="CF76" s="1871"/>
      <c r="CG76" s="1871">
        <v>1E-3</v>
      </c>
      <c r="CH76" s="1871"/>
      <c r="CI76" s="1871"/>
      <c r="CJ76" s="1871"/>
      <c r="CK76" s="1871"/>
      <c r="CL76" s="1871"/>
      <c r="CM76" s="1871"/>
      <c r="CN76" s="1871"/>
      <c r="CO76" s="1871"/>
      <c r="CP76" s="1871"/>
      <c r="CQ76" s="1871"/>
      <c r="CR76" s="1871"/>
      <c r="CS76" s="1871"/>
      <c r="CT76" s="1871"/>
      <c r="CU76" s="1871"/>
      <c r="CV76" s="1871"/>
      <c r="CW76" s="1871"/>
      <c r="CX76" s="1871"/>
      <c r="CY76" s="1871"/>
      <c r="CZ76" s="1826">
        <f t="shared" si="71"/>
        <v>1E-3</v>
      </c>
      <c r="DB76" s="1719" t="s">
        <v>80</v>
      </c>
      <c r="DC76" s="1821">
        <f t="shared" si="72"/>
        <v>0</v>
      </c>
      <c r="DD76" s="1907"/>
      <c r="DE76" s="1909"/>
      <c r="DF76" s="1907"/>
      <c r="DG76" s="1907"/>
      <c r="DH76" s="1907"/>
      <c r="DI76" s="1907"/>
      <c r="DJ76" s="1907"/>
      <c r="DK76" s="1907"/>
      <c r="DL76" s="1907"/>
      <c r="DM76" s="1907"/>
      <c r="DN76" s="1907"/>
      <c r="DO76" s="1907"/>
      <c r="DP76" s="1907"/>
      <c r="DQ76" s="1907"/>
      <c r="DR76" s="1907"/>
      <c r="DS76" s="1907"/>
      <c r="DT76" s="1907"/>
      <c r="DU76" s="1907"/>
      <c r="DV76" s="1907"/>
      <c r="DW76" s="1907"/>
      <c r="DX76" s="1907"/>
      <c r="DY76" s="1907"/>
      <c r="DZ76" s="1907"/>
      <c r="EA76" s="1907"/>
      <c r="EB76" s="1907"/>
      <c r="EC76" s="1907"/>
      <c r="ED76" s="1907"/>
      <c r="EE76" s="1907"/>
      <c r="EF76" s="1907"/>
      <c r="EG76" s="1907"/>
      <c r="EH76" s="1907"/>
      <c r="EI76" s="1817">
        <f t="shared" si="73"/>
        <v>0</v>
      </c>
    </row>
    <row r="77" spans="1:139" ht="15">
      <c r="A77" s="1054" t="s">
        <v>81</v>
      </c>
      <c r="B77" s="1091">
        <f t="shared" si="66"/>
        <v>0</v>
      </c>
      <c r="C77" s="1917"/>
      <c r="D77" s="1917"/>
      <c r="E77" s="1917"/>
      <c r="F77" s="1917"/>
      <c r="G77" s="1917"/>
      <c r="H77" s="1917"/>
      <c r="I77" s="1917"/>
      <c r="J77" s="1917"/>
      <c r="K77" s="1917"/>
      <c r="L77" s="1917"/>
      <c r="M77" s="1917"/>
      <c r="N77" s="1917"/>
      <c r="O77" s="1917"/>
      <c r="P77" s="1917"/>
      <c r="Q77" s="1917"/>
      <c r="R77" s="1917"/>
      <c r="S77" s="1917"/>
      <c r="T77" s="1917"/>
      <c r="U77" s="1917"/>
      <c r="V77" s="1917"/>
      <c r="W77" s="1917"/>
      <c r="X77" s="1917"/>
      <c r="Y77" s="1917"/>
      <c r="Z77" s="1917"/>
      <c r="AA77" s="1917"/>
      <c r="AB77" s="1917"/>
      <c r="AC77" s="1917"/>
      <c r="AD77" s="1917"/>
      <c r="AE77" s="1917"/>
      <c r="AF77" s="1917"/>
      <c r="AG77" s="1917"/>
      <c r="AH77" s="1268">
        <f t="shared" si="67"/>
        <v>0</v>
      </c>
      <c r="AJ77" s="1524" t="s">
        <v>81</v>
      </c>
      <c r="AK77" s="1527">
        <f t="shared" si="68"/>
        <v>0</v>
      </c>
      <c r="AL77" s="1872"/>
      <c r="AM77" s="1872"/>
      <c r="AN77" s="1872"/>
      <c r="AO77" s="1872"/>
      <c r="AP77" s="1872"/>
      <c r="AQ77" s="1872"/>
      <c r="AR77" s="1872"/>
      <c r="AS77" s="1872"/>
      <c r="AT77" s="1872"/>
      <c r="AU77" s="1872"/>
      <c r="AV77" s="1872"/>
      <c r="AW77" s="1872"/>
      <c r="AX77" s="1872"/>
      <c r="AY77" s="1872"/>
      <c r="AZ77" s="1872"/>
      <c r="BA77" s="1872"/>
      <c r="BB77" s="1872"/>
      <c r="BC77" s="1872"/>
      <c r="BD77" s="1872"/>
      <c r="BE77" s="1872"/>
      <c r="BF77" s="1872"/>
      <c r="BG77" s="1872"/>
      <c r="BH77" s="1872"/>
      <c r="BI77" s="1872"/>
      <c r="BJ77" s="1872"/>
      <c r="BK77" s="1872"/>
      <c r="BL77" s="1872"/>
      <c r="BM77" s="1872"/>
      <c r="BN77" s="1872"/>
      <c r="BO77" s="1872"/>
      <c r="BP77" s="1872"/>
      <c r="BQ77" s="1834">
        <f t="shared" si="69"/>
        <v>0</v>
      </c>
      <c r="BS77" s="1621" t="s">
        <v>81</v>
      </c>
      <c r="BT77" s="1622">
        <f t="shared" si="70"/>
        <v>0</v>
      </c>
      <c r="BU77" s="1871"/>
      <c r="BV77" s="1871"/>
      <c r="BW77" s="1871"/>
      <c r="BX77" s="1871"/>
      <c r="BY77" s="1871"/>
      <c r="BZ77" s="1871"/>
      <c r="CA77" s="1871"/>
      <c r="CB77" s="1871"/>
      <c r="CC77" s="1871"/>
      <c r="CD77" s="1871"/>
      <c r="CE77" s="1871"/>
      <c r="CF77" s="1871"/>
      <c r="CG77" s="1871"/>
      <c r="CH77" s="1871"/>
      <c r="CI77" s="1871"/>
      <c r="CJ77" s="1871"/>
      <c r="CK77" s="1871"/>
      <c r="CL77" s="1871"/>
      <c r="CM77" s="1871"/>
      <c r="CN77" s="1871"/>
      <c r="CO77" s="1871"/>
      <c r="CP77" s="1871"/>
      <c r="CQ77" s="1871"/>
      <c r="CR77" s="1871"/>
      <c r="CS77" s="1871"/>
      <c r="CT77" s="1871"/>
      <c r="CU77" s="1871"/>
      <c r="CV77" s="1871"/>
      <c r="CW77" s="1871"/>
      <c r="CX77" s="1871"/>
      <c r="CY77" s="1871"/>
      <c r="CZ77" s="1826">
        <f t="shared" si="71"/>
        <v>0</v>
      </c>
      <c r="DB77" s="1719" t="s">
        <v>81</v>
      </c>
      <c r="DC77" s="1821">
        <f t="shared" si="72"/>
        <v>0</v>
      </c>
      <c r="DD77" s="1907"/>
      <c r="DE77" s="1907"/>
      <c r="DF77" s="1907"/>
      <c r="DG77" s="1907"/>
      <c r="DH77" s="1907"/>
      <c r="DI77" s="1907"/>
      <c r="DJ77" s="1907"/>
      <c r="DK77" s="1907"/>
      <c r="DL77" s="1907"/>
      <c r="DM77" s="1907"/>
      <c r="DN77" s="1907"/>
      <c r="DO77" s="1907"/>
      <c r="DP77" s="1907"/>
      <c r="DQ77" s="1907"/>
      <c r="DR77" s="1907"/>
      <c r="DS77" s="1907"/>
      <c r="DT77" s="1907"/>
      <c r="DU77" s="1907"/>
      <c r="DV77" s="1907"/>
      <c r="DW77" s="1907"/>
      <c r="DX77" s="1907"/>
      <c r="DY77" s="1907"/>
      <c r="DZ77" s="1907"/>
      <c r="EA77" s="1907"/>
      <c r="EB77" s="1907"/>
      <c r="EC77" s="1907"/>
      <c r="ED77" s="1907"/>
      <c r="EE77" s="1907"/>
      <c r="EF77" s="1907"/>
      <c r="EG77" s="1907"/>
      <c r="EH77" s="1907"/>
      <c r="EI77" s="1817">
        <f t="shared" si="73"/>
        <v>0</v>
      </c>
    </row>
    <row r="78" spans="1:139" ht="15">
      <c r="A78" s="1054" t="s">
        <v>82</v>
      </c>
      <c r="B78" s="1091">
        <f t="shared" si="66"/>
        <v>0</v>
      </c>
      <c r="C78" s="1917"/>
      <c r="D78" s="1917"/>
      <c r="E78" s="1917"/>
      <c r="F78" s="1917"/>
      <c r="G78" s="1917"/>
      <c r="H78" s="1917"/>
      <c r="I78" s="1917"/>
      <c r="J78" s="1917"/>
      <c r="K78" s="1917"/>
      <c r="L78" s="1917"/>
      <c r="M78" s="1917"/>
      <c r="N78" s="1917"/>
      <c r="O78" s="1917"/>
      <c r="P78" s="1917"/>
      <c r="Q78" s="1917"/>
      <c r="R78" s="1917"/>
      <c r="S78" s="1917"/>
      <c r="T78" s="1917"/>
      <c r="U78" s="1917"/>
      <c r="V78" s="1917"/>
      <c r="W78" s="1917"/>
      <c r="X78" s="1917"/>
      <c r="Y78" s="1917"/>
      <c r="Z78" s="1917"/>
      <c r="AA78" s="1917"/>
      <c r="AB78" s="1917"/>
      <c r="AC78" s="1917"/>
      <c r="AD78" s="1917"/>
      <c r="AE78" s="1917"/>
      <c r="AF78" s="1917"/>
      <c r="AG78" s="1917"/>
      <c r="AH78" s="1268">
        <f t="shared" si="67"/>
        <v>0</v>
      </c>
      <c r="AJ78" s="1524" t="s">
        <v>82</v>
      </c>
      <c r="AK78" s="1527">
        <f t="shared" si="68"/>
        <v>0</v>
      </c>
      <c r="AL78" s="1872"/>
      <c r="AM78" s="1872"/>
      <c r="AN78" s="1872"/>
      <c r="AO78" s="1872"/>
      <c r="AP78" s="1872"/>
      <c r="AQ78" s="1872"/>
      <c r="AR78" s="1872"/>
      <c r="AS78" s="1872"/>
      <c r="AT78" s="1872"/>
      <c r="AU78" s="1872"/>
      <c r="AV78" s="1872"/>
      <c r="AW78" s="1872"/>
      <c r="AX78" s="1872"/>
      <c r="AY78" s="1872"/>
      <c r="AZ78" s="1872"/>
      <c r="BA78" s="1872"/>
      <c r="BB78" s="1872"/>
      <c r="BC78" s="1872"/>
      <c r="BD78" s="1872"/>
      <c r="BE78" s="1872"/>
      <c r="BF78" s="1872"/>
      <c r="BG78" s="1872"/>
      <c r="BH78" s="1872"/>
      <c r="BI78" s="1872"/>
      <c r="BJ78" s="1872"/>
      <c r="BK78" s="1872"/>
      <c r="BL78" s="1872"/>
      <c r="BM78" s="1872"/>
      <c r="BN78" s="1872"/>
      <c r="BO78" s="1872"/>
      <c r="BP78" s="1872"/>
      <c r="BQ78" s="1834">
        <f t="shared" si="69"/>
        <v>0</v>
      </c>
      <c r="BS78" s="1621" t="s">
        <v>82</v>
      </c>
      <c r="BT78" s="1622">
        <f t="shared" si="70"/>
        <v>6.3E-2</v>
      </c>
      <c r="BU78" s="1871"/>
      <c r="BV78" s="1871"/>
      <c r="BW78" s="1871"/>
      <c r="BX78" s="1871"/>
      <c r="BY78" s="1871"/>
      <c r="BZ78" s="1871"/>
      <c r="CA78" s="1871"/>
      <c r="CB78" s="1871"/>
      <c r="CC78" s="1871"/>
      <c r="CD78" s="1871"/>
      <c r="CE78" s="1871"/>
      <c r="CF78" s="1871"/>
      <c r="CG78" s="1871"/>
      <c r="CH78" s="1871">
        <v>0.01</v>
      </c>
      <c r="CI78" s="1871"/>
      <c r="CJ78" s="1871">
        <v>0.01</v>
      </c>
      <c r="CK78" s="1871">
        <v>0.01</v>
      </c>
      <c r="CL78" s="1871"/>
      <c r="CM78" s="1871"/>
      <c r="CN78" s="1871"/>
      <c r="CO78" s="1871"/>
      <c r="CP78" s="1871"/>
      <c r="CQ78" s="1871"/>
      <c r="CR78" s="1871"/>
      <c r="CS78" s="1871">
        <v>1.7999999999999999E-2</v>
      </c>
      <c r="CT78" s="1871">
        <v>5.0000000000000001E-3</v>
      </c>
      <c r="CU78" s="1871"/>
      <c r="CV78" s="1871"/>
      <c r="CW78" s="1871">
        <v>0.01</v>
      </c>
      <c r="CX78" s="1871"/>
      <c r="CY78" s="1871"/>
      <c r="CZ78" s="1826">
        <f t="shared" si="71"/>
        <v>6.3E-2</v>
      </c>
      <c r="DB78" s="1719" t="s">
        <v>82</v>
      </c>
      <c r="DC78" s="1821">
        <f t="shared" si="72"/>
        <v>0</v>
      </c>
      <c r="DD78" s="1907"/>
      <c r="DE78" s="1907"/>
      <c r="DF78" s="1907"/>
      <c r="DG78" s="1907"/>
      <c r="DH78" s="1907"/>
      <c r="DI78" s="1907"/>
      <c r="DJ78" s="1907"/>
      <c r="DK78" s="1907"/>
      <c r="DL78" s="1907"/>
      <c r="DM78" s="1907"/>
      <c r="DN78" s="1907"/>
      <c r="DO78" s="1907"/>
      <c r="DP78" s="1907"/>
      <c r="DQ78" s="1907"/>
      <c r="DR78" s="1907"/>
      <c r="DS78" s="1907"/>
      <c r="DT78" s="1907"/>
      <c r="DU78" s="1907"/>
      <c r="DV78" s="1907"/>
      <c r="DW78" s="1907"/>
      <c r="DX78" s="1907"/>
      <c r="DY78" s="1907"/>
      <c r="DZ78" s="1907"/>
      <c r="EA78" s="1907"/>
      <c r="EB78" s="1907"/>
      <c r="EC78" s="1907"/>
      <c r="ED78" s="1907"/>
      <c r="EE78" s="1907"/>
      <c r="EF78" s="1907"/>
      <c r="EG78" s="1907"/>
      <c r="EH78" s="1907"/>
      <c r="EI78" s="1817">
        <f t="shared" si="73"/>
        <v>0</v>
      </c>
    </row>
    <row r="79" spans="1:139" ht="15">
      <c r="A79" s="1054" t="s">
        <v>83</v>
      </c>
      <c r="B79" s="1091">
        <f t="shared" si="66"/>
        <v>0</v>
      </c>
      <c r="C79" s="1917"/>
      <c r="D79" s="1917"/>
      <c r="E79" s="1917"/>
      <c r="F79" s="1917"/>
      <c r="G79" s="1917"/>
      <c r="H79" s="1917"/>
      <c r="I79" s="1917"/>
      <c r="J79" s="1917"/>
      <c r="K79" s="1917"/>
      <c r="L79" s="1917"/>
      <c r="M79" s="1917"/>
      <c r="N79" s="1917"/>
      <c r="O79" s="1917"/>
      <c r="P79" s="1917"/>
      <c r="Q79" s="1917"/>
      <c r="R79" s="1917"/>
      <c r="S79" s="1917"/>
      <c r="T79" s="1917"/>
      <c r="U79" s="1917"/>
      <c r="V79" s="1917"/>
      <c r="W79" s="1917"/>
      <c r="X79" s="1917"/>
      <c r="Y79" s="1917"/>
      <c r="Z79" s="1917"/>
      <c r="AA79" s="1917"/>
      <c r="AB79" s="1917"/>
      <c r="AC79" s="1917"/>
      <c r="AD79" s="1917"/>
      <c r="AE79" s="1917"/>
      <c r="AF79" s="1917"/>
      <c r="AG79" s="1538"/>
      <c r="AH79" s="1268">
        <f t="shared" si="67"/>
        <v>0</v>
      </c>
      <c r="AJ79" s="1524" t="s">
        <v>83</v>
      </c>
      <c r="AK79" s="1527">
        <f t="shared" si="68"/>
        <v>0</v>
      </c>
      <c r="AL79" s="1872"/>
      <c r="AM79" s="1872"/>
      <c r="AN79" s="1872"/>
      <c r="AO79" s="1872"/>
      <c r="AP79" s="1872"/>
      <c r="AQ79" s="1872"/>
      <c r="AR79" s="1872"/>
      <c r="AS79" s="1872"/>
      <c r="AT79" s="1872"/>
      <c r="AU79" s="1872"/>
      <c r="AV79" s="1872"/>
      <c r="AW79" s="1872"/>
      <c r="AX79" s="1872"/>
      <c r="AY79" s="1872"/>
      <c r="AZ79" s="1872"/>
      <c r="BA79" s="1872"/>
      <c r="BB79" s="1872"/>
      <c r="BC79" s="1872"/>
      <c r="BD79" s="1872"/>
      <c r="BE79" s="1872"/>
      <c r="BF79" s="1872"/>
      <c r="BG79" s="1872"/>
      <c r="BH79" s="1872"/>
      <c r="BI79" s="1872"/>
      <c r="BJ79" s="1872"/>
      <c r="BK79" s="1872"/>
      <c r="BL79" s="1872"/>
      <c r="BM79" s="1872"/>
      <c r="BN79" s="1872"/>
      <c r="BO79" s="1872"/>
      <c r="BP79" s="1877"/>
      <c r="BQ79" s="1834">
        <f t="shared" si="69"/>
        <v>0</v>
      </c>
      <c r="BS79" s="1621" t="s">
        <v>83</v>
      </c>
      <c r="BT79" s="1622">
        <f t="shared" si="70"/>
        <v>0.68300000000000005</v>
      </c>
      <c r="BU79" s="1871">
        <v>0.01</v>
      </c>
      <c r="BV79" s="1871"/>
      <c r="BW79" s="1871"/>
      <c r="BX79" s="1871"/>
      <c r="BY79" s="1871"/>
      <c r="BZ79" s="1871"/>
      <c r="CA79" s="1871"/>
      <c r="CB79" s="1871">
        <v>0.11</v>
      </c>
      <c r="CC79" s="1871"/>
      <c r="CD79" s="1871"/>
      <c r="CE79" s="1871">
        <v>0.503</v>
      </c>
      <c r="CF79" s="1871"/>
      <c r="CG79" s="1871">
        <v>0.06</v>
      </c>
      <c r="CH79" s="1871"/>
      <c r="CI79" s="1871"/>
      <c r="CJ79" s="1871"/>
      <c r="CK79" s="1871"/>
      <c r="CL79" s="1871"/>
      <c r="CM79" s="1871"/>
      <c r="CN79" s="1871"/>
      <c r="CO79" s="1871"/>
      <c r="CP79" s="1871"/>
      <c r="CQ79" s="1871"/>
      <c r="CR79" s="1871"/>
      <c r="CS79" s="1871"/>
      <c r="CT79" s="1871"/>
      <c r="CU79" s="1871"/>
      <c r="CV79" s="1871"/>
      <c r="CW79" s="1871"/>
      <c r="CX79" s="1871"/>
      <c r="CY79" s="1876"/>
      <c r="CZ79" s="1826">
        <f t="shared" si="71"/>
        <v>0.68300000000000005</v>
      </c>
      <c r="DB79" s="1719" t="s">
        <v>83</v>
      </c>
      <c r="DC79" s="1821">
        <f t="shared" si="72"/>
        <v>0</v>
      </c>
      <c r="DD79" s="1907"/>
      <c r="DE79" s="1907"/>
      <c r="DF79" s="1907"/>
      <c r="DG79" s="1907"/>
      <c r="DH79" s="1907"/>
      <c r="DI79" s="1907"/>
      <c r="DJ79" s="1907"/>
      <c r="DK79" s="1907"/>
      <c r="DL79" s="1907"/>
      <c r="DM79" s="1907"/>
      <c r="DN79" s="1907"/>
      <c r="DO79" s="1907"/>
      <c r="DP79" s="1907"/>
      <c r="DQ79" s="1907"/>
      <c r="DR79" s="1907"/>
      <c r="DS79" s="1907"/>
      <c r="DT79" s="1907"/>
      <c r="DU79" s="1907"/>
      <c r="DV79" s="1907"/>
      <c r="DW79" s="1907"/>
      <c r="DX79" s="1907"/>
      <c r="DY79" s="1907"/>
      <c r="DZ79" s="1907"/>
      <c r="EA79" s="1907"/>
      <c r="EB79" s="1907"/>
      <c r="EC79" s="1907"/>
      <c r="ED79" s="1907"/>
      <c r="EE79" s="1907"/>
      <c r="EF79" s="1907"/>
      <c r="EG79" s="1907"/>
      <c r="EH79" s="1908"/>
      <c r="EI79" s="1817">
        <f t="shared" si="73"/>
        <v>0</v>
      </c>
    </row>
    <row r="80" spans="1:139" ht="15">
      <c r="A80" s="1054" t="s">
        <v>84</v>
      </c>
      <c r="B80" s="1091">
        <f t="shared" si="66"/>
        <v>0</v>
      </c>
      <c r="C80" s="1917"/>
      <c r="D80" s="1917"/>
      <c r="E80" s="1917"/>
      <c r="F80" s="1917"/>
      <c r="G80" s="1917"/>
      <c r="H80" s="1917"/>
      <c r="I80" s="1917"/>
      <c r="J80" s="1917"/>
      <c r="K80" s="1917"/>
      <c r="L80" s="1917"/>
      <c r="M80" s="1917"/>
      <c r="N80" s="1917"/>
      <c r="O80" s="1917"/>
      <c r="P80" s="1917"/>
      <c r="Q80" s="1917"/>
      <c r="R80" s="1917"/>
      <c r="S80" s="1917"/>
      <c r="T80" s="1917"/>
      <c r="U80" s="1917"/>
      <c r="V80" s="1917"/>
      <c r="W80" s="1917"/>
      <c r="X80" s="1917"/>
      <c r="Y80" s="1917"/>
      <c r="Z80" s="1917"/>
      <c r="AA80" s="1917"/>
      <c r="AB80" s="1917"/>
      <c r="AC80" s="1917"/>
      <c r="AD80" s="1917"/>
      <c r="AE80" s="1917"/>
      <c r="AF80" s="1917"/>
      <c r="AG80" s="1917"/>
      <c r="AH80" s="1268">
        <f t="shared" si="67"/>
        <v>0</v>
      </c>
      <c r="AJ80" s="1524" t="s">
        <v>84</v>
      </c>
      <c r="AK80" s="1527">
        <f t="shared" si="68"/>
        <v>0</v>
      </c>
      <c r="AL80" s="1872"/>
      <c r="AM80" s="1872"/>
      <c r="AN80" s="1872"/>
      <c r="AO80" s="1872"/>
      <c r="AP80" s="1872"/>
      <c r="AQ80" s="1872"/>
      <c r="AR80" s="1872"/>
      <c r="AS80" s="1872"/>
      <c r="AT80" s="1872"/>
      <c r="AU80" s="1872"/>
      <c r="AV80" s="1872"/>
      <c r="AW80" s="1872"/>
      <c r="AX80" s="1872"/>
      <c r="AY80" s="1872"/>
      <c r="AZ80" s="1872"/>
      <c r="BA80" s="1872"/>
      <c r="BB80" s="1872"/>
      <c r="BC80" s="1872"/>
      <c r="BD80" s="1872"/>
      <c r="BE80" s="1872"/>
      <c r="BF80" s="1872"/>
      <c r="BG80" s="1872"/>
      <c r="BH80" s="1872"/>
      <c r="BI80" s="1872"/>
      <c r="BJ80" s="1872"/>
      <c r="BK80" s="1872"/>
      <c r="BL80" s="1872"/>
      <c r="BM80" s="1872"/>
      <c r="BN80" s="1872"/>
      <c r="BO80" s="1872"/>
      <c r="BP80" s="1872"/>
      <c r="BQ80" s="1834">
        <f t="shared" si="69"/>
        <v>0</v>
      </c>
      <c r="BS80" s="1621" t="s">
        <v>84</v>
      </c>
      <c r="BT80" s="1622">
        <f t="shared" si="70"/>
        <v>0.46700000000000008</v>
      </c>
      <c r="BU80" s="1871"/>
      <c r="BV80" s="1871"/>
      <c r="BW80" s="1871">
        <v>2E-3</v>
      </c>
      <c r="BX80" s="1871"/>
      <c r="BY80" s="1871">
        <v>2.1999999999999999E-2</v>
      </c>
      <c r="BZ80" s="1871"/>
      <c r="CA80" s="1871"/>
      <c r="CB80" s="1871"/>
      <c r="CC80" s="1871"/>
      <c r="CD80" s="1871">
        <v>0.38500000000000001</v>
      </c>
      <c r="CE80" s="1871"/>
      <c r="CF80" s="1871"/>
      <c r="CG80" s="1871">
        <v>5.0000000000000001E-3</v>
      </c>
      <c r="CH80" s="1871"/>
      <c r="CI80" s="1871"/>
      <c r="CJ80" s="1871">
        <v>0.03</v>
      </c>
      <c r="CK80" s="1871"/>
      <c r="CL80" s="1871"/>
      <c r="CM80" s="1871"/>
      <c r="CN80" s="1871">
        <v>1.4999999999999999E-2</v>
      </c>
      <c r="CO80" s="1871"/>
      <c r="CP80" s="1871"/>
      <c r="CQ80" s="1871"/>
      <c r="CR80" s="1871"/>
      <c r="CS80" s="1871">
        <v>8.0000000000000002E-3</v>
      </c>
      <c r="CT80" s="1871"/>
      <c r="CU80" s="1871"/>
      <c r="CV80" s="1871"/>
      <c r="CW80" s="1871"/>
      <c r="CX80" s="1871"/>
      <c r="CY80" s="1871"/>
      <c r="CZ80" s="1826">
        <f t="shared" si="71"/>
        <v>0.46700000000000008</v>
      </c>
      <c r="DB80" s="1719" t="s">
        <v>84</v>
      </c>
      <c r="DC80" s="1821">
        <f t="shared" si="72"/>
        <v>0</v>
      </c>
      <c r="DD80" s="1907"/>
      <c r="DE80" s="1907"/>
      <c r="DF80" s="1907"/>
      <c r="DG80" s="1907"/>
      <c r="DH80" s="1907"/>
      <c r="DI80" s="1907"/>
      <c r="DJ80" s="1907"/>
      <c r="DK80" s="1907"/>
      <c r="DL80" s="1907"/>
      <c r="DM80" s="1907"/>
      <c r="DN80" s="1907"/>
      <c r="DO80" s="1907"/>
      <c r="DP80" s="1907"/>
      <c r="DQ80" s="1907"/>
      <c r="DR80" s="1907"/>
      <c r="DS80" s="1907"/>
      <c r="DT80" s="1907"/>
      <c r="DU80" s="1907"/>
      <c r="DV80" s="1907"/>
      <c r="DW80" s="1907"/>
      <c r="DX80" s="1907"/>
      <c r="DY80" s="1907"/>
      <c r="DZ80" s="1907"/>
      <c r="EA80" s="1907"/>
      <c r="EB80" s="1907"/>
      <c r="EC80" s="1907"/>
      <c r="ED80" s="1907"/>
      <c r="EE80" s="1907"/>
      <c r="EF80" s="1907"/>
      <c r="EG80" s="1907"/>
      <c r="EH80" s="1907"/>
      <c r="EI80" s="1817">
        <f t="shared" si="73"/>
        <v>0</v>
      </c>
    </row>
    <row r="81" spans="1:139" ht="15">
      <c r="A81" s="1259" t="s">
        <v>72</v>
      </c>
      <c r="B81" s="1916">
        <f t="shared" ref="B81:AH81" si="74">SUM(B69:B80)</f>
        <v>0</v>
      </c>
      <c r="C81" s="1268">
        <f t="shared" si="74"/>
        <v>0</v>
      </c>
      <c r="D81" s="1268">
        <f t="shared" si="74"/>
        <v>0</v>
      </c>
      <c r="E81" s="1268">
        <f t="shared" si="74"/>
        <v>0</v>
      </c>
      <c r="F81" s="1268">
        <f t="shared" si="74"/>
        <v>0</v>
      </c>
      <c r="G81" s="1268">
        <f t="shared" si="74"/>
        <v>0</v>
      </c>
      <c r="H81" s="1268">
        <f t="shared" si="74"/>
        <v>0</v>
      </c>
      <c r="I81" s="1268">
        <f t="shared" si="74"/>
        <v>0</v>
      </c>
      <c r="J81" s="1268">
        <f t="shared" si="74"/>
        <v>0</v>
      </c>
      <c r="K81" s="1268">
        <f t="shared" si="74"/>
        <v>0</v>
      </c>
      <c r="L81" s="1268">
        <f t="shared" si="74"/>
        <v>0</v>
      </c>
      <c r="M81" s="1268">
        <f t="shared" si="74"/>
        <v>0</v>
      </c>
      <c r="N81" s="1268">
        <f t="shared" si="74"/>
        <v>0</v>
      </c>
      <c r="O81" s="1268">
        <f t="shared" si="74"/>
        <v>0</v>
      </c>
      <c r="P81" s="1268">
        <f t="shared" si="74"/>
        <v>0</v>
      </c>
      <c r="Q81" s="1268">
        <f t="shared" si="74"/>
        <v>0</v>
      </c>
      <c r="R81" s="1268">
        <f t="shared" si="74"/>
        <v>0</v>
      </c>
      <c r="S81" s="1268">
        <f t="shared" si="74"/>
        <v>0</v>
      </c>
      <c r="T81" s="1268">
        <f t="shared" si="74"/>
        <v>0</v>
      </c>
      <c r="U81" s="1268">
        <f t="shared" si="74"/>
        <v>0</v>
      </c>
      <c r="V81" s="1268">
        <f t="shared" si="74"/>
        <v>0</v>
      </c>
      <c r="W81" s="1268">
        <f t="shared" si="74"/>
        <v>0</v>
      </c>
      <c r="X81" s="1268">
        <f t="shared" si="74"/>
        <v>0</v>
      </c>
      <c r="Y81" s="1268">
        <f t="shared" si="74"/>
        <v>0</v>
      </c>
      <c r="Z81" s="1268">
        <f t="shared" si="74"/>
        <v>0</v>
      </c>
      <c r="AA81" s="1268">
        <f t="shared" si="74"/>
        <v>0</v>
      </c>
      <c r="AB81" s="1268">
        <f t="shared" si="74"/>
        <v>0</v>
      </c>
      <c r="AC81" s="1268">
        <f t="shared" si="74"/>
        <v>0</v>
      </c>
      <c r="AD81" s="1268">
        <f t="shared" si="74"/>
        <v>0</v>
      </c>
      <c r="AE81" s="1268">
        <f t="shared" si="74"/>
        <v>0</v>
      </c>
      <c r="AF81" s="1268">
        <f t="shared" si="74"/>
        <v>0</v>
      </c>
      <c r="AG81" s="1268">
        <f t="shared" si="74"/>
        <v>0</v>
      </c>
      <c r="AH81" s="1268">
        <f t="shared" si="74"/>
        <v>0</v>
      </c>
      <c r="AJ81" s="1837" t="s">
        <v>72</v>
      </c>
      <c r="AK81" s="1906">
        <f t="shared" ref="AK81:BQ81" si="75">SUM(AK69:AK80)</f>
        <v>0</v>
      </c>
      <c r="AL81" s="1834">
        <f t="shared" si="75"/>
        <v>0</v>
      </c>
      <c r="AM81" s="1834">
        <f t="shared" si="75"/>
        <v>0</v>
      </c>
      <c r="AN81" s="1834">
        <f t="shared" si="75"/>
        <v>0</v>
      </c>
      <c r="AO81" s="1834">
        <f t="shared" si="75"/>
        <v>0</v>
      </c>
      <c r="AP81" s="1834">
        <f t="shared" si="75"/>
        <v>0</v>
      </c>
      <c r="AQ81" s="1834">
        <f t="shared" si="75"/>
        <v>0</v>
      </c>
      <c r="AR81" s="1834">
        <f t="shared" si="75"/>
        <v>0</v>
      </c>
      <c r="AS81" s="1834">
        <f t="shared" si="75"/>
        <v>0</v>
      </c>
      <c r="AT81" s="1834">
        <f t="shared" si="75"/>
        <v>0</v>
      </c>
      <c r="AU81" s="1834">
        <f t="shared" si="75"/>
        <v>0</v>
      </c>
      <c r="AV81" s="1834">
        <f t="shared" si="75"/>
        <v>0</v>
      </c>
      <c r="AW81" s="1834">
        <f t="shared" si="75"/>
        <v>0</v>
      </c>
      <c r="AX81" s="1834">
        <f t="shared" si="75"/>
        <v>0</v>
      </c>
      <c r="AY81" s="1834">
        <f t="shared" si="75"/>
        <v>0</v>
      </c>
      <c r="AZ81" s="1834">
        <f t="shared" si="75"/>
        <v>0</v>
      </c>
      <c r="BA81" s="1834">
        <f t="shared" si="75"/>
        <v>0</v>
      </c>
      <c r="BB81" s="1834">
        <f t="shared" si="75"/>
        <v>0</v>
      </c>
      <c r="BC81" s="1834">
        <f t="shared" si="75"/>
        <v>0</v>
      </c>
      <c r="BD81" s="1834">
        <f t="shared" si="75"/>
        <v>0</v>
      </c>
      <c r="BE81" s="1834">
        <f t="shared" si="75"/>
        <v>0</v>
      </c>
      <c r="BF81" s="1834">
        <f t="shared" si="75"/>
        <v>0</v>
      </c>
      <c r="BG81" s="1834">
        <f t="shared" si="75"/>
        <v>0</v>
      </c>
      <c r="BH81" s="1834">
        <f t="shared" si="75"/>
        <v>0</v>
      </c>
      <c r="BI81" s="1834">
        <f t="shared" si="75"/>
        <v>0</v>
      </c>
      <c r="BJ81" s="1834">
        <f t="shared" si="75"/>
        <v>0</v>
      </c>
      <c r="BK81" s="1834">
        <f t="shared" si="75"/>
        <v>0</v>
      </c>
      <c r="BL81" s="1834">
        <f t="shared" si="75"/>
        <v>0</v>
      </c>
      <c r="BM81" s="1834">
        <f t="shared" si="75"/>
        <v>0</v>
      </c>
      <c r="BN81" s="1834">
        <f t="shared" si="75"/>
        <v>0</v>
      </c>
      <c r="BO81" s="1834">
        <f t="shared" si="75"/>
        <v>0</v>
      </c>
      <c r="BP81" s="1834">
        <f t="shared" si="75"/>
        <v>0</v>
      </c>
      <c r="BQ81" s="1834">
        <f t="shared" si="75"/>
        <v>0</v>
      </c>
      <c r="BS81" s="1829" t="s">
        <v>72</v>
      </c>
      <c r="BT81" s="1905">
        <f t="shared" ref="BT81:CZ81" si="76">SUM(BT69:BT80)</f>
        <v>2.1480000000000006</v>
      </c>
      <c r="BU81" s="1826">
        <f t="shared" si="76"/>
        <v>0.01</v>
      </c>
      <c r="BV81" s="1826">
        <f t="shared" si="76"/>
        <v>0.01</v>
      </c>
      <c r="BW81" s="1826">
        <f t="shared" si="76"/>
        <v>3.7000000000000005E-2</v>
      </c>
      <c r="BX81" s="1826">
        <f t="shared" si="76"/>
        <v>5.0000000000000001E-3</v>
      </c>
      <c r="BY81" s="1826">
        <f t="shared" si="76"/>
        <v>0.17199999999999999</v>
      </c>
      <c r="BZ81" s="1826">
        <f t="shared" si="76"/>
        <v>5.0000000000000001E-3</v>
      </c>
      <c r="CA81" s="1826">
        <f t="shared" si="76"/>
        <v>0.22</v>
      </c>
      <c r="CB81" s="1826">
        <f t="shared" si="76"/>
        <v>0.16899999999999998</v>
      </c>
      <c r="CC81" s="1826">
        <f t="shared" si="76"/>
        <v>3.1E-2</v>
      </c>
      <c r="CD81" s="1826">
        <f t="shared" si="76"/>
        <v>0.40100000000000002</v>
      </c>
      <c r="CE81" s="1826">
        <f t="shared" si="76"/>
        <v>0.54300000000000004</v>
      </c>
      <c r="CF81" s="1826">
        <f t="shared" si="76"/>
        <v>0.06</v>
      </c>
      <c r="CG81" s="1826">
        <f t="shared" si="76"/>
        <v>8.6000000000000007E-2</v>
      </c>
      <c r="CH81" s="1826">
        <f t="shared" si="76"/>
        <v>6.0000000000000005E-2</v>
      </c>
      <c r="CI81" s="1826">
        <f t="shared" si="76"/>
        <v>0.03</v>
      </c>
      <c r="CJ81" s="1826">
        <f t="shared" si="76"/>
        <v>9.9999999999999992E-2</v>
      </c>
      <c r="CK81" s="1826">
        <f t="shared" si="76"/>
        <v>0.04</v>
      </c>
      <c r="CL81" s="1826">
        <f t="shared" si="76"/>
        <v>0.01</v>
      </c>
      <c r="CM81" s="1826">
        <f t="shared" si="76"/>
        <v>0</v>
      </c>
      <c r="CN81" s="1826">
        <f t="shared" si="76"/>
        <v>1.4999999999999999E-2</v>
      </c>
      <c r="CO81" s="1826">
        <f t="shared" si="76"/>
        <v>0</v>
      </c>
      <c r="CP81" s="1826">
        <f t="shared" si="76"/>
        <v>0.03</v>
      </c>
      <c r="CQ81" s="1826">
        <f t="shared" si="76"/>
        <v>1.4999999999999999E-2</v>
      </c>
      <c r="CR81" s="1826">
        <f t="shared" si="76"/>
        <v>0</v>
      </c>
      <c r="CS81" s="1826">
        <f t="shared" si="76"/>
        <v>4.6999999999999993E-2</v>
      </c>
      <c r="CT81" s="1826">
        <f t="shared" si="76"/>
        <v>5.0000000000000001E-3</v>
      </c>
      <c r="CU81" s="1826">
        <f t="shared" si="76"/>
        <v>0</v>
      </c>
      <c r="CV81" s="1826">
        <f t="shared" si="76"/>
        <v>2.6000000000000002E-2</v>
      </c>
      <c r="CW81" s="1826">
        <f t="shared" si="76"/>
        <v>0.01</v>
      </c>
      <c r="CX81" s="1826">
        <f t="shared" si="76"/>
        <v>0</v>
      </c>
      <c r="CY81" s="1826">
        <f t="shared" si="76"/>
        <v>1.0999999999999999E-2</v>
      </c>
      <c r="CZ81" s="1826">
        <f t="shared" si="76"/>
        <v>2.1480000000000006</v>
      </c>
      <c r="DB81" s="1820" t="s">
        <v>72</v>
      </c>
      <c r="DC81" s="1904">
        <f t="shared" ref="DC81:EI81" si="77">SUM(DC69:DC80)</f>
        <v>0</v>
      </c>
      <c r="DD81" s="1817">
        <f t="shared" si="77"/>
        <v>0</v>
      </c>
      <c r="DE81" s="1817">
        <f t="shared" si="77"/>
        <v>0</v>
      </c>
      <c r="DF81" s="1817">
        <f t="shared" si="77"/>
        <v>0</v>
      </c>
      <c r="DG81" s="1817">
        <f t="shared" si="77"/>
        <v>0</v>
      </c>
      <c r="DH81" s="1817">
        <f t="shared" si="77"/>
        <v>0</v>
      </c>
      <c r="DI81" s="1817">
        <f t="shared" si="77"/>
        <v>0</v>
      </c>
      <c r="DJ81" s="1817">
        <f t="shared" si="77"/>
        <v>0</v>
      </c>
      <c r="DK81" s="1817">
        <f t="shared" si="77"/>
        <v>0</v>
      </c>
      <c r="DL81" s="1817">
        <f t="shared" si="77"/>
        <v>0</v>
      </c>
      <c r="DM81" s="1817">
        <f t="shared" si="77"/>
        <v>0</v>
      </c>
      <c r="DN81" s="1817">
        <f t="shared" si="77"/>
        <v>0</v>
      </c>
      <c r="DO81" s="1817">
        <f t="shared" si="77"/>
        <v>0</v>
      </c>
      <c r="DP81" s="1817">
        <f t="shared" si="77"/>
        <v>0</v>
      </c>
      <c r="DQ81" s="1817">
        <f t="shared" si="77"/>
        <v>0</v>
      </c>
      <c r="DR81" s="1817">
        <f t="shared" si="77"/>
        <v>0</v>
      </c>
      <c r="DS81" s="1817">
        <f t="shared" si="77"/>
        <v>0</v>
      </c>
      <c r="DT81" s="1817">
        <f t="shared" si="77"/>
        <v>0</v>
      </c>
      <c r="DU81" s="1817">
        <f t="shared" si="77"/>
        <v>0</v>
      </c>
      <c r="DV81" s="1817">
        <f t="shared" si="77"/>
        <v>0</v>
      </c>
      <c r="DW81" s="1817">
        <f t="shared" si="77"/>
        <v>0</v>
      </c>
      <c r="DX81" s="1817">
        <f t="shared" si="77"/>
        <v>0</v>
      </c>
      <c r="DY81" s="1817">
        <f t="shared" si="77"/>
        <v>0</v>
      </c>
      <c r="DZ81" s="1817">
        <f t="shared" si="77"/>
        <v>0</v>
      </c>
      <c r="EA81" s="1817">
        <f t="shared" si="77"/>
        <v>0</v>
      </c>
      <c r="EB81" s="1817">
        <f t="shared" si="77"/>
        <v>0</v>
      </c>
      <c r="EC81" s="1817">
        <f t="shared" si="77"/>
        <v>0</v>
      </c>
      <c r="ED81" s="1817">
        <f t="shared" si="77"/>
        <v>0</v>
      </c>
      <c r="EE81" s="1817">
        <f t="shared" si="77"/>
        <v>0</v>
      </c>
      <c r="EF81" s="1817">
        <f t="shared" si="77"/>
        <v>0</v>
      </c>
      <c r="EG81" s="1817">
        <f t="shared" si="77"/>
        <v>0</v>
      </c>
      <c r="EH81" s="1817">
        <f t="shared" si="77"/>
        <v>0</v>
      </c>
      <c r="EI81" s="1817">
        <f t="shared" si="77"/>
        <v>0</v>
      </c>
    </row>
    <row r="82" spans="1:139" ht="15">
      <c r="A82" s="1967"/>
      <c r="B82" s="1968"/>
      <c r="C82" s="1969"/>
      <c r="D82" s="1969"/>
      <c r="E82" s="1969"/>
      <c r="F82" s="1969"/>
      <c r="G82" s="1969"/>
      <c r="H82" s="1969"/>
      <c r="I82" s="1969"/>
      <c r="J82" s="1969"/>
      <c r="K82" s="1969"/>
      <c r="L82" s="1969"/>
      <c r="M82" s="1969"/>
      <c r="N82" s="1969"/>
      <c r="O82" s="1969"/>
      <c r="P82" s="1969"/>
      <c r="Q82" s="1969"/>
      <c r="R82" s="1969"/>
      <c r="S82" s="1969"/>
      <c r="T82" s="1969"/>
      <c r="U82" s="1969"/>
      <c r="V82" s="1969"/>
      <c r="W82" s="1969"/>
      <c r="X82" s="1969"/>
      <c r="Y82" s="1969"/>
      <c r="Z82" s="1969"/>
      <c r="AA82" s="1969"/>
      <c r="AB82" s="1969"/>
      <c r="AC82" s="1969"/>
      <c r="AD82" s="1969"/>
      <c r="AE82" s="1969"/>
      <c r="AF82" s="1969"/>
      <c r="AG82" s="1969"/>
      <c r="AH82" s="1969"/>
      <c r="AJ82" s="1903"/>
      <c r="AK82" s="1902"/>
      <c r="AL82" s="1895"/>
      <c r="AM82" s="1895"/>
      <c r="AN82" s="1895"/>
      <c r="AO82" s="1895"/>
      <c r="AP82" s="1895"/>
      <c r="AQ82" s="1895"/>
      <c r="AR82" s="1895"/>
      <c r="AS82" s="1895"/>
      <c r="AT82" s="1895"/>
      <c r="AU82" s="1895"/>
      <c r="AV82" s="1895"/>
      <c r="AW82" s="1895"/>
      <c r="AX82" s="1895"/>
      <c r="AY82" s="1895"/>
      <c r="AZ82" s="1895"/>
      <c r="BA82" s="1895"/>
      <c r="BB82" s="1895"/>
      <c r="BC82" s="1895"/>
      <c r="BD82" s="1895"/>
      <c r="BE82" s="1895"/>
      <c r="BF82" s="1895"/>
      <c r="BG82" s="1895"/>
      <c r="BH82" s="1895"/>
      <c r="BI82" s="1895"/>
      <c r="BJ82" s="1895"/>
      <c r="BK82" s="1895"/>
      <c r="BL82" s="1895"/>
      <c r="BM82" s="1895"/>
      <c r="BN82" s="1895"/>
      <c r="BO82" s="1895"/>
      <c r="BP82" s="1895"/>
      <c r="BQ82" s="1895"/>
      <c r="BS82" s="1901"/>
      <c r="BT82" s="1900"/>
      <c r="BU82" s="1891"/>
      <c r="BV82" s="1891"/>
      <c r="BW82" s="1891"/>
      <c r="BX82" s="1891"/>
      <c r="BY82" s="1891"/>
      <c r="BZ82" s="1891"/>
      <c r="CA82" s="1891"/>
      <c r="CB82" s="1891"/>
      <c r="CC82" s="1891"/>
      <c r="CD82" s="1891"/>
      <c r="CE82" s="1891"/>
      <c r="CF82" s="1891"/>
      <c r="CG82" s="1891"/>
      <c r="CH82" s="1891"/>
      <c r="CI82" s="1891"/>
      <c r="CJ82" s="1891"/>
      <c r="CK82" s="1891"/>
      <c r="CL82" s="1891"/>
      <c r="CM82" s="1891"/>
      <c r="CN82" s="1891"/>
      <c r="CO82" s="1891"/>
      <c r="CP82" s="1891"/>
      <c r="CQ82" s="1891"/>
      <c r="CR82" s="1891"/>
      <c r="CS82" s="1891"/>
      <c r="CT82" s="1891"/>
      <c r="CU82" s="1891"/>
      <c r="CV82" s="1891"/>
      <c r="CW82" s="1891"/>
      <c r="CX82" s="1891"/>
      <c r="CY82" s="1891"/>
      <c r="CZ82" s="1891"/>
      <c r="DB82" s="1899"/>
      <c r="DC82" s="1898"/>
      <c r="DD82" s="1890"/>
      <c r="DE82" s="1890"/>
      <c r="DF82" s="1890"/>
      <c r="DG82" s="1890"/>
      <c r="DH82" s="1890"/>
      <c r="DI82" s="1890"/>
      <c r="DJ82" s="1890"/>
      <c r="DK82" s="1890"/>
      <c r="DL82" s="1890"/>
      <c r="DM82" s="1890"/>
      <c r="DN82" s="1890"/>
      <c r="DO82" s="1890"/>
      <c r="DP82" s="1890"/>
      <c r="DQ82" s="1890"/>
      <c r="DR82" s="1890"/>
      <c r="DS82" s="1890"/>
      <c r="DT82" s="1890"/>
      <c r="DU82" s="1890"/>
      <c r="DV82" s="1890"/>
      <c r="DW82" s="1890"/>
      <c r="DX82" s="1890"/>
      <c r="DY82" s="1890"/>
      <c r="DZ82" s="1890"/>
      <c r="EA82" s="1890"/>
      <c r="EB82" s="1890"/>
      <c r="EC82" s="1890"/>
      <c r="ED82" s="1890"/>
      <c r="EE82" s="1890"/>
      <c r="EF82" s="1890"/>
      <c r="EG82" s="1890"/>
      <c r="EH82" s="1890"/>
      <c r="EI82" s="1890"/>
    </row>
    <row r="83" spans="1:139" ht="15">
      <c r="A83" s="3872" t="s">
        <v>93</v>
      </c>
      <c r="B83" s="3873"/>
      <c r="C83" s="3874"/>
      <c r="D83" s="1970"/>
      <c r="E83" s="1970"/>
      <c r="F83" s="1970"/>
      <c r="G83" s="1970"/>
      <c r="H83" s="1970"/>
      <c r="I83" s="1970"/>
      <c r="J83" s="1970"/>
      <c r="K83" s="1970"/>
      <c r="L83" s="1970"/>
      <c r="M83" s="1971"/>
      <c r="N83" s="1970"/>
      <c r="O83" s="1970"/>
      <c r="P83" s="1970"/>
      <c r="Q83" s="1970"/>
      <c r="R83" s="1970"/>
      <c r="S83" s="1970"/>
      <c r="T83" s="1970"/>
      <c r="U83" s="1970"/>
      <c r="V83" s="1970"/>
      <c r="W83" s="1970"/>
      <c r="X83" s="1970"/>
      <c r="Y83" s="1970"/>
      <c r="Z83" s="1970"/>
      <c r="AA83" s="1970"/>
      <c r="AB83" s="1970"/>
      <c r="AC83" s="1970"/>
      <c r="AD83" s="1970"/>
      <c r="AE83" s="1970"/>
      <c r="AF83" s="1970"/>
      <c r="AG83" s="1970"/>
      <c r="AH83" s="1970"/>
      <c r="AJ83" s="3821" t="s">
        <v>93</v>
      </c>
      <c r="AK83" s="3822"/>
      <c r="AL83" s="3823"/>
      <c r="AM83" s="1839"/>
      <c r="AN83" s="1839"/>
      <c r="AO83" s="1839"/>
      <c r="AP83" s="1839"/>
      <c r="AQ83" s="1839"/>
      <c r="AR83" s="1839"/>
      <c r="AS83" s="1839"/>
      <c r="AT83" s="1839"/>
      <c r="AU83" s="1839"/>
      <c r="AV83" s="1840"/>
      <c r="AW83" s="1839"/>
      <c r="AX83" s="1839"/>
      <c r="AY83" s="1839"/>
      <c r="AZ83" s="1839"/>
      <c r="BA83" s="1839"/>
      <c r="BB83" s="1839"/>
      <c r="BC83" s="1839"/>
      <c r="BD83" s="1839"/>
      <c r="BE83" s="1839"/>
      <c r="BF83" s="1839"/>
      <c r="BG83" s="1839"/>
      <c r="BH83" s="1839"/>
      <c r="BI83" s="1839"/>
      <c r="BJ83" s="1839"/>
      <c r="BK83" s="1839"/>
      <c r="BL83" s="1839"/>
      <c r="BM83" s="1839"/>
      <c r="BN83" s="1839"/>
      <c r="BO83" s="1839"/>
      <c r="BP83" s="1839"/>
      <c r="BQ83" s="1839"/>
      <c r="BS83" s="4035" t="s">
        <v>93</v>
      </c>
      <c r="BT83" s="4036"/>
      <c r="BU83" s="4037"/>
      <c r="BV83" s="1831"/>
      <c r="BW83" s="1831"/>
      <c r="BX83" s="1831"/>
      <c r="BY83" s="1831"/>
      <c r="BZ83" s="1831"/>
      <c r="CA83" s="1831"/>
      <c r="CB83" s="1831"/>
      <c r="CC83" s="1831"/>
      <c r="CD83" s="1831"/>
      <c r="CE83" s="1832"/>
      <c r="CF83" s="1831"/>
      <c r="CG83" s="1831"/>
      <c r="CH83" s="1831"/>
      <c r="CI83" s="1831"/>
      <c r="CJ83" s="1831"/>
      <c r="CK83" s="1831"/>
      <c r="CL83" s="1831"/>
      <c r="CM83" s="1831"/>
      <c r="CN83" s="1831"/>
      <c r="CO83" s="1831"/>
      <c r="CP83" s="1831"/>
      <c r="CQ83" s="1831"/>
      <c r="CR83" s="1831"/>
      <c r="CS83" s="1831"/>
      <c r="CT83" s="1831"/>
      <c r="CU83" s="1831"/>
      <c r="CV83" s="1831"/>
      <c r="CW83" s="1831"/>
      <c r="CX83" s="1831"/>
      <c r="CY83" s="1831"/>
      <c r="CZ83" s="1831"/>
      <c r="DB83" s="4044" t="s">
        <v>93</v>
      </c>
      <c r="DC83" s="4045"/>
      <c r="DD83" s="4046"/>
      <c r="DE83" s="1229"/>
      <c r="DF83" s="1229"/>
      <c r="DG83" s="1229"/>
      <c r="DH83" s="1229"/>
      <c r="DI83" s="1229"/>
      <c r="DJ83" s="1229"/>
      <c r="DK83" s="1229"/>
      <c r="DL83" s="1229"/>
      <c r="DM83" s="1229"/>
      <c r="DN83" s="1920"/>
      <c r="DO83" s="1229"/>
      <c r="DP83" s="1229"/>
      <c r="DQ83" s="1229"/>
      <c r="DR83" s="1229"/>
      <c r="DS83" s="1229"/>
      <c r="DT83" s="1229"/>
      <c r="DU83" s="1229"/>
      <c r="DV83" s="1229"/>
      <c r="DW83" s="1229"/>
      <c r="DX83" s="1229"/>
      <c r="DY83" s="1229"/>
      <c r="DZ83" s="1229"/>
      <c r="EA83" s="1229"/>
      <c r="EB83" s="1229"/>
      <c r="EC83" s="1229"/>
      <c r="ED83" s="1229"/>
      <c r="EE83" s="1229"/>
      <c r="EF83" s="1229"/>
      <c r="EG83" s="1229"/>
      <c r="EH83" s="1229"/>
      <c r="EI83" s="1229"/>
    </row>
    <row r="84" spans="1:139" ht="15">
      <c r="A84" s="1039" t="s">
        <v>70</v>
      </c>
      <c r="B84" s="1039" t="s">
        <v>71</v>
      </c>
      <c r="C84" s="1039">
        <v>1</v>
      </c>
      <c r="D84" s="1039">
        <v>2</v>
      </c>
      <c r="E84" s="1039">
        <v>3</v>
      </c>
      <c r="F84" s="1039">
        <v>4</v>
      </c>
      <c r="G84" s="1039">
        <v>5</v>
      </c>
      <c r="H84" s="1039">
        <v>6</v>
      </c>
      <c r="I84" s="1039">
        <v>7</v>
      </c>
      <c r="J84" s="1039">
        <v>8</v>
      </c>
      <c r="K84" s="1039">
        <v>9</v>
      </c>
      <c r="L84" s="1039">
        <v>10</v>
      </c>
      <c r="M84" s="1039">
        <v>11</v>
      </c>
      <c r="N84" s="1039">
        <v>12</v>
      </c>
      <c r="O84" s="1039">
        <v>13</v>
      </c>
      <c r="P84" s="1039">
        <v>14</v>
      </c>
      <c r="Q84" s="1039">
        <v>15</v>
      </c>
      <c r="R84" s="1039">
        <v>16</v>
      </c>
      <c r="S84" s="1039">
        <v>17</v>
      </c>
      <c r="T84" s="1039">
        <v>18</v>
      </c>
      <c r="U84" s="1039">
        <v>19</v>
      </c>
      <c r="V84" s="1039">
        <v>20</v>
      </c>
      <c r="W84" s="1039">
        <v>21</v>
      </c>
      <c r="X84" s="1039">
        <v>22</v>
      </c>
      <c r="Y84" s="1039">
        <v>23</v>
      </c>
      <c r="Z84" s="1039">
        <v>24</v>
      </c>
      <c r="AA84" s="1039">
        <v>25</v>
      </c>
      <c r="AB84" s="1039">
        <v>26</v>
      </c>
      <c r="AC84" s="1039">
        <v>27</v>
      </c>
      <c r="AD84" s="1039">
        <v>28</v>
      </c>
      <c r="AE84" s="1039">
        <v>29</v>
      </c>
      <c r="AF84" s="1039">
        <v>30</v>
      </c>
      <c r="AG84" s="1039">
        <v>31</v>
      </c>
      <c r="AH84" s="1972" t="s">
        <v>72</v>
      </c>
      <c r="AJ84" s="1524" t="s">
        <v>70</v>
      </c>
      <c r="AK84" s="1524" t="s">
        <v>71</v>
      </c>
      <c r="AL84" s="1524">
        <v>1</v>
      </c>
      <c r="AM84" s="1524">
        <v>2</v>
      </c>
      <c r="AN84" s="1524">
        <v>3</v>
      </c>
      <c r="AO84" s="1524">
        <v>4</v>
      </c>
      <c r="AP84" s="1524">
        <v>5</v>
      </c>
      <c r="AQ84" s="1524">
        <v>6</v>
      </c>
      <c r="AR84" s="1524">
        <v>7</v>
      </c>
      <c r="AS84" s="1524">
        <v>8</v>
      </c>
      <c r="AT84" s="1524">
        <v>9</v>
      </c>
      <c r="AU84" s="1524">
        <v>10</v>
      </c>
      <c r="AV84" s="1524">
        <v>11</v>
      </c>
      <c r="AW84" s="1524">
        <v>12</v>
      </c>
      <c r="AX84" s="1524">
        <v>13</v>
      </c>
      <c r="AY84" s="1524">
        <v>14</v>
      </c>
      <c r="AZ84" s="1524">
        <v>15</v>
      </c>
      <c r="BA84" s="1524">
        <v>16</v>
      </c>
      <c r="BB84" s="1524">
        <v>17</v>
      </c>
      <c r="BC84" s="1524">
        <v>18</v>
      </c>
      <c r="BD84" s="1524">
        <v>19</v>
      </c>
      <c r="BE84" s="1524">
        <v>20</v>
      </c>
      <c r="BF84" s="1524">
        <v>21</v>
      </c>
      <c r="BG84" s="1524">
        <v>22</v>
      </c>
      <c r="BH84" s="1524">
        <v>23</v>
      </c>
      <c r="BI84" s="1524">
        <v>24</v>
      </c>
      <c r="BJ84" s="1524">
        <v>25</v>
      </c>
      <c r="BK84" s="1524">
        <v>26</v>
      </c>
      <c r="BL84" s="1524">
        <v>27</v>
      </c>
      <c r="BM84" s="1524">
        <v>28</v>
      </c>
      <c r="BN84" s="1524">
        <v>29</v>
      </c>
      <c r="BO84" s="1524">
        <v>30</v>
      </c>
      <c r="BP84" s="1524">
        <v>31</v>
      </c>
      <c r="BQ84" s="1838" t="s">
        <v>72</v>
      </c>
      <c r="BS84" s="1621" t="s">
        <v>70</v>
      </c>
      <c r="BT84" s="1621" t="s">
        <v>71</v>
      </c>
      <c r="BU84" s="1621">
        <v>1</v>
      </c>
      <c r="BV84" s="1621">
        <v>2</v>
      </c>
      <c r="BW84" s="1621">
        <v>3</v>
      </c>
      <c r="BX84" s="1621">
        <v>4</v>
      </c>
      <c r="BY84" s="1621">
        <v>5</v>
      </c>
      <c r="BZ84" s="1621">
        <v>6</v>
      </c>
      <c r="CA84" s="1621">
        <v>7</v>
      </c>
      <c r="CB84" s="1621">
        <v>8</v>
      </c>
      <c r="CC84" s="1621">
        <v>9</v>
      </c>
      <c r="CD84" s="1621">
        <v>10</v>
      </c>
      <c r="CE84" s="1621">
        <v>11</v>
      </c>
      <c r="CF84" s="1621">
        <v>12</v>
      </c>
      <c r="CG84" s="1621">
        <v>13</v>
      </c>
      <c r="CH84" s="1621">
        <v>14</v>
      </c>
      <c r="CI84" s="1621">
        <v>15</v>
      </c>
      <c r="CJ84" s="1621">
        <v>16</v>
      </c>
      <c r="CK84" s="1621">
        <v>17</v>
      </c>
      <c r="CL84" s="1621">
        <v>18</v>
      </c>
      <c r="CM84" s="1621">
        <v>19</v>
      </c>
      <c r="CN84" s="1621">
        <v>20</v>
      </c>
      <c r="CO84" s="1621">
        <v>21</v>
      </c>
      <c r="CP84" s="1621">
        <v>22</v>
      </c>
      <c r="CQ84" s="1621">
        <v>23</v>
      </c>
      <c r="CR84" s="1621">
        <v>24</v>
      </c>
      <c r="CS84" s="1621">
        <v>25</v>
      </c>
      <c r="CT84" s="1621">
        <v>26</v>
      </c>
      <c r="CU84" s="1621">
        <v>27</v>
      </c>
      <c r="CV84" s="1621">
        <v>28</v>
      </c>
      <c r="CW84" s="1621">
        <v>29</v>
      </c>
      <c r="CX84" s="1621">
        <v>30</v>
      </c>
      <c r="CY84" s="1621">
        <v>31</v>
      </c>
      <c r="CZ84" s="1830" t="s">
        <v>72</v>
      </c>
      <c r="DB84" s="1054" t="s">
        <v>70</v>
      </c>
      <c r="DC84" s="1054" t="s">
        <v>71</v>
      </c>
      <c r="DD84" s="1054">
        <v>1</v>
      </c>
      <c r="DE84" s="1054">
        <v>2</v>
      </c>
      <c r="DF84" s="1054">
        <v>3</v>
      </c>
      <c r="DG84" s="1054">
        <v>4</v>
      </c>
      <c r="DH84" s="1054">
        <v>5</v>
      </c>
      <c r="DI84" s="1054">
        <v>6</v>
      </c>
      <c r="DJ84" s="1054">
        <v>7</v>
      </c>
      <c r="DK84" s="1054">
        <v>8</v>
      </c>
      <c r="DL84" s="1054">
        <v>9</v>
      </c>
      <c r="DM84" s="1054">
        <v>10</v>
      </c>
      <c r="DN84" s="1054">
        <v>11</v>
      </c>
      <c r="DO84" s="1054">
        <v>12</v>
      </c>
      <c r="DP84" s="1054">
        <v>13</v>
      </c>
      <c r="DQ84" s="1054">
        <v>14</v>
      </c>
      <c r="DR84" s="1054">
        <v>15</v>
      </c>
      <c r="DS84" s="1054">
        <v>16</v>
      </c>
      <c r="DT84" s="1054">
        <v>17</v>
      </c>
      <c r="DU84" s="1054">
        <v>18</v>
      </c>
      <c r="DV84" s="1054">
        <v>19</v>
      </c>
      <c r="DW84" s="1054">
        <v>20</v>
      </c>
      <c r="DX84" s="1054">
        <v>21</v>
      </c>
      <c r="DY84" s="1054">
        <v>22</v>
      </c>
      <c r="DZ84" s="1054">
        <v>23</v>
      </c>
      <c r="EA84" s="1054">
        <v>24</v>
      </c>
      <c r="EB84" s="1054">
        <v>25</v>
      </c>
      <c r="EC84" s="1054">
        <v>26</v>
      </c>
      <c r="ED84" s="1054">
        <v>27</v>
      </c>
      <c r="EE84" s="1054">
        <v>28</v>
      </c>
      <c r="EF84" s="1054">
        <v>29</v>
      </c>
      <c r="EG84" s="1054">
        <v>30</v>
      </c>
      <c r="EH84" s="1054">
        <v>31</v>
      </c>
      <c r="EI84" s="1596" t="s">
        <v>72</v>
      </c>
    </row>
    <row r="85" spans="1:139" ht="15">
      <c r="A85" s="1039" t="s">
        <v>73</v>
      </c>
      <c r="B85" s="1084">
        <f t="shared" ref="B85:B96" si="78">+AH85</f>
        <v>0</v>
      </c>
      <c r="C85" s="1973"/>
      <c r="D85" s="1973"/>
      <c r="E85" s="1973"/>
      <c r="F85" s="1973"/>
      <c r="G85" s="1973"/>
      <c r="H85" s="1973"/>
      <c r="I85" s="1973"/>
      <c r="J85" s="1973"/>
      <c r="K85" s="1973"/>
      <c r="L85" s="1973"/>
      <c r="M85" s="1973"/>
      <c r="N85" s="1973"/>
      <c r="O85" s="1973"/>
      <c r="P85" s="1973"/>
      <c r="Q85" s="1973"/>
      <c r="R85" s="1973"/>
      <c r="S85" s="1973"/>
      <c r="T85" s="1973"/>
      <c r="U85" s="1973"/>
      <c r="V85" s="1973"/>
      <c r="W85" s="1973"/>
      <c r="X85" s="1973"/>
      <c r="Y85" s="1973"/>
      <c r="Z85" s="1973"/>
      <c r="AA85" s="1973"/>
      <c r="AB85" s="1973"/>
      <c r="AC85" s="1973"/>
      <c r="AD85" s="1973"/>
      <c r="AE85" s="1973"/>
      <c r="AF85" s="1973"/>
      <c r="AG85" s="1973"/>
      <c r="AH85" s="1974">
        <f t="shared" ref="AH85:AH96" si="79">SUM(C85:AG85)</f>
        <v>0</v>
      </c>
      <c r="AJ85" s="1524" t="s">
        <v>73</v>
      </c>
      <c r="AK85" s="1527">
        <f t="shared" ref="AK85:AK96" si="80">+BQ85</f>
        <v>0</v>
      </c>
      <c r="AL85" s="1835"/>
      <c r="AM85" s="1835"/>
      <c r="AN85" s="1835"/>
      <c r="AO85" s="1835"/>
      <c r="AP85" s="1835"/>
      <c r="AQ85" s="1835"/>
      <c r="AR85" s="1835"/>
      <c r="AS85" s="1835"/>
      <c r="AT85" s="1835"/>
      <c r="AU85" s="1835"/>
      <c r="AV85" s="1835"/>
      <c r="AW85" s="1835"/>
      <c r="AX85" s="1835"/>
      <c r="AY85" s="1835"/>
      <c r="AZ85" s="1835"/>
      <c r="BA85" s="1835"/>
      <c r="BB85" s="1835"/>
      <c r="BC85" s="1835"/>
      <c r="BD85" s="1835"/>
      <c r="BE85" s="1872"/>
      <c r="BF85" s="1872"/>
      <c r="BG85" s="1872"/>
      <c r="BH85" s="1872"/>
      <c r="BI85" s="1872"/>
      <c r="BJ85" s="1872"/>
      <c r="BK85" s="1872"/>
      <c r="BL85" s="1872"/>
      <c r="BM85" s="1872"/>
      <c r="BN85" s="1872"/>
      <c r="BO85" s="1872"/>
      <c r="BP85" s="1872"/>
      <c r="BQ85" s="1834">
        <f t="shared" ref="BQ85:BQ96" si="81">SUM(AL85:BP85)</f>
        <v>0</v>
      </c>
      <c r="BS85" s="1621" t="s">
        <v>73</v>
      </c>
      <c r="BT85" s="1622">
        <f t="shared" ref="BT85:BT96" si="82">+CZ85</f>
        <v>0.36200000000000004</v>
      </c>
      <c r="BU85" s="1871">
        <v>0</v>
      </c>
      <c r="BV85" s="1871">
        <v>0</v>
      </c>
      <c r="BW85" s="1871">
        <v>7.0000000000000001E-3</v>
      </c>
      <c r="BX85" s="1871">
        <v>0</v>
      </c>
      <c r="BY85" s="1871">
        <v>0</v>
      </c>
      <c r="BZ85" s="1871">
        <v>0.02</v>
      </c>
      <c r="CA85" s="1871">
        <v>0</v>
      </c>
      <c r="CB85" s="1871">
        <v>0</v>
      </c>
      <c r="CC85" s="1871">
        <v>0</v>
      </c>
      <c r="CD85" s="1871">
        <v>1.0000000000000009E-2</v>
      </c>
      <c r="CE85" s="1871">
        <v>0</v>
      </c>
      <c r="CF85" s="1871">
        <v>6.9999999999999993E-3</v>
      </c>
      <c r="CG85" s="1827">
        <v>0</v>
      </c>
      <c r="CH85" s="1827">
        <v>1.0000000000000009E-2</v>
      </c>
      <c r="CI85" s="1827">
        <v>0.03</v>
      </c>
      <c r="CJ85" s="1827">
        <v>0.03</v>
      </c>
      <c r="CK85" s="1827">
        <v>5.1999999999999991E-2</v>
      </c>
      <c r="CL85" s="1827">
        <v>3.0000000000000027E-2</v>
      </c>
      <c r="CM85" s="1827">
        <v>0</v>
      </c>
      <c r="CN85" s="1827">
        <v>1.4999999999999999E-2</v>
      </c>
      <c r="CO85" s="1827">
        <v>1.4999999999999996E-2</v>
      </c>
      <c r="CP85" s="1827">
        <v>0.03</v>
      </c>
      <c r="CQ85" s="1827">
        <v>2.9999999999999888E-3</v>
      </c>
      <c r="CR85" s="1827">
        <v>2.0000000000000018E-2</v>
      </c>
      <c r="CS85" s="1827">
        <v>3.3000000000000002E-2</v>
      </c>
      <c r="CT85" s="1827">
        <v>7.0000000000000001E-3</v>
      </c>
      <c r="CU85" s="1827">
        <v>0</v>
      </c>
      <c r="CV85" s="1827">
        <v>0</v>
      </c>
      <c r="CW85" s="1827">
        <v>1.0000000000000009E-2</v>
      </c>
      <c r="CX85" s="1827">
        <v>3.2999999999999995E-2</v>
      </c>
      <c r="CY85" s="1827"/>
      <c r="CZ85" s="1826">
        <f t="shared" ref="CZ85:CZ96" si="83">SUM(BU85:CY85)</f>
        <v>0.36200000000000004</v>
      </c>
      <c r="DB85" s="1054" t="s">
        <v>73</v>
      </c>
      <c r="DC85" s="1091">
        <f t="shared" ref="DC85:DC96" si="84">+EI85</f>
        <v>0</v>
      </c>
      <c r="DD85" s="1539"/>
      <c r="DE85" s="1539"/>
      <c r="DF85" s="1539"/>
      <c r="DG85" s="1539"/>
      <c r="DH85" s="1539"/>
      <c r="DI85" s="1539"/>
      <c r="DJ85" s="1539"/>
      <c r="DK85" s="1539"/>
      <c r="DL85" s="1539"/>
      <c r="DM85" s="1539"/>
      <c r="DN85" s="1539"/>
      <c r="DO85" s="1539"/>
      <c r="DP85" s="1539"/>
      <c r="DQ85" s="1539"/>
      <c r="DR85" s="1539"/>
      <c r="DS85" s="1539"/>
      <c r="DT85" s="1539"/>
      <c r="DU85" s="1539"/>
      <c r="DV85" s="1539"/>
      <c r="DW85" s="1539"/>
      <c r="DX85" s="1539"/>
      <c r="DY85" s="1539"/>
      <c r="DZ85" s="1539"/>
      <c r="EA85" s="1539"/>
      <c r="EB85" s="1539"/>
      <c r="EC85" s="1539"/>
      <c r="ED85" s="1539"/>
      <c r="EE85" s="1539"/>
      <c r="EF85" s="1539"/>
      <c r="EG85" s="1539"/>
      <c r="EH85" s="1539"/>
      <c r="EI85" s="1268">
        <f t="shared" ref="EI85:EI96" si="85">SUM(DD85:EH85)</f>
        <v>0</v>
      </c>
    </row>
    <row r="86" spans="1:139" ht="15">
      <c r="A86" s="1039" t="s">
        <v>74</v>
      </c>
      <c r="B86" s="1084">
        <f t="shared" si="78"/>
        <v>0</v>
      </c>
      <c r="C86" s="1973"/>
      <c r="D86" s="1975"/>
      <c r="E86" s="1975"/>
      <c r="F86" s="1975"/>
      <c r="G86" s="1975"/>
      <c r="H86" s="1975"/>
      <c r="I86" s="1975"/>
      <c r="J86" s="1975"/>
      <c r="K86" s="1975"/>
      <c r="L86" s="1975"/>
      <c r="M86" s="1975"/>
      <c r="N86" s="1975"/>
      <c r="O86" s="1975"/>
      <c r="P86" s="1975"/>
      <c r="Q86" s="1975"/>
      <c r="R86" s="1975"/>
      <c r="S86" s="1975"/>
      <c r="T86" s="1975"/>
      <c r="U86" s="1975"/>
      <c r="V86" s="1975"/>
      <c r="W86" s="1975"/>
      <c r="X86" s="1975"/>
      <c r="Y86" s="1973"/>
      <c r="Z86" s="1973"/>
      <c r="AA86" s="1973"/>
      <c r="AB86" s="1973"/>
      <c r="AC86" s="1973"/>
      <c r="AD86" s="1973"/>
      <c r="AE86" s="1973"/>
      <c r="AF86" s="1973"/>
      <c r="AG86" s="1973"/>
      <c r="AH86" s="1974">
        <f t="shared" si="79"/>
        <v>0</v>
      </c>
      <c r="AJ86" s="1524" t="s">
        <v>74</v>
      </c>
      <c r="AK86" s="1527">
        <f t="shared" si="80"/>
        <v>0</v>
      </c>
      <c r="AL86" s="1835"/>
      <c r="AM86" s="1889"/>
      <c r="AN86" s="1889"/>
      <c r="AO86" s="1889"/>
      <c r="AP86" s="1889"/>
      <c r="AQ86" s="1889"/>
      <c r="AR86" s="1889"/>
      <c r="AS86" s="1889"/>
      <c r="AT86" s="1889"/>
      <c r="AU86" s="1889"/>
      <c r="AV86" s="1889"/>
      <c r="AW86" s="1889"/>
      <c r="AX86" s="1889"/>
      <c r="AY86" s="1889"/>
      <c r="AZ86" s="1889"/>
      <c r="BA86" s="1889"/>
      <c r="BB86" s="1889"/>
      <c r="BC86" s="1889"/>
      <c r="BD86" s="1889"/>
      <c r="BE86" s="1872"/>
      <c r="BF86" s="1872"/>
      <c r="BG86" s="1872"/>
      <c r="BH86" s="1872"/>
      <c r="BI86" s="1872"/>
      <c r="BJ86" s="1872"/>
      <c r="BK86" s="1872"/>
      <c r="BL86" s="1872"/>
      <c r="BM86" s="1872"/>
      <c r="BN86" s="1872"/>
      <c r="BO86" s="1872"/>
      <c r="BP86" s="1872"/>
      <c r="BQ86" s="1834">
        <f t="shared" si="81"/>
        <v>0</v>
      </c>
      <c r="BS86" s="1621" t="s">
        <v>74</v>
      </c>
      <c r="BT86" s="1622">
        <f t="shared" si="82"/>
        <v>3.5369999999999995</v>
      </c>
      <c r="BU86" s="1871">
        <v>7.3000000000000009E-2</v>
      </c>
      <c r="BV86" s="1871">
        <v>3.7999999999999999E-2</v>
      </c>
      <c r="BW86" s="1871">
        <v>0.109</v>
      </c>
      <c r="BX86" s="1871">
        <v>8.0000000000000071E-3</v>
      </c>
      <c r="BY86" s="1871">
        <v>2.601</v>
      </c>
      <c r="BZ86" s="1871">
        <v>0</v>
      </c>
      <c r="CA86" s="1871">
        <v>0.13500000000000001</v>
      </c>
      <c r="CB86" s="1871">
        <v>0.127</v>
      </c>
      <c r="CC86" s="1871">
        <v>1.0000000000000002E-2</v>
      </c>
      <c r="CD86" s="1871">
        <v>4.1999999999999996E-2</v>
      </c>
      <c r="CE86" s="1871">
        <v>3.5000000000000003E-2</v>
      </c>
      <c r="CF86" s="1871">
        <v>0.02</v>
      </c>
      <c r="CG86" s="1870">
        <v>0.03</v>
      </c>
      <c r="CH86" s="1870">
        <v>6.5000000000000002E-2</v>
      </c>
      <c r="CI86" s="1870">
        <v>4.0000000000000036E-2</v>
      </c>
      <c r="CJ86" s="1870">
        <v>3.6999999999999998E-2</v>
      </c>
      <c r="CK86" s="1870">
        <v>2.0000000000000004E-2</v>
      </c>
      <c r="CL86" s="1870">
        <v>2.4999999999999911E-2</v>
      </c>
      <c r="CM86" s="1870">
        <v>6.9999999999998952E-3</v>
      </c>
      <c r="CN86" s="1870">
        <v>0</v>
      </c>
      <c r="CO86" s="1870">
        <v>6.5000000000000002E-2</v>
      </c>
      <c r="CP86" s="1870">
        <v>0</v>
      </c>
      <c r="CQ86" s="1827">
        <v>0</v>
      </c>
      <c r="CR86" s="1827">
        <v>0</v>
      </c>
      <c r="CS86" s="1827">
        <v>0</v>
      </c>
      <c r="CT86" s="1827">
        <v>0</v>
      </c>
      <c r="CU86" s="1827">
        <v>9.9999999999999985E-3</v>
      </c>
      <c r="CV86" s="1827">
        <v>0.04</v>
      </c>
      <c r="CW86" s="1827">
        <v>0</v>
      </c>
      <c r="CX86" s="1827">
        <v>0</v>
      </c>
      <c r="CY86" s="1827"/>
      <c r="CZ86" s="1826">
        <f t="shared" si="83"/>
        <v>3.5369999999999995</v>
      </c>
      <c r="DB86" s="1054" t="s">
        <v>74</v>
      </c>
      <c r="DC86" s="1091">
        <f t="shared" si="84"/>
        <v>0</v>
      </c>
      <c r="DD86" s="1539"/>
      <c r="DE86" s="1540"/>
      <c r="DF86" s="1540"/>
      <c r="DG86" s="1540"/>
      <c r="DH86" s="1540"/>
      <c r="DI86" s="1540"/>
      <c r="DJ86" s="1540"/>
      <c r="DK86" s="1540"/>
      <c r="DL86" s="1540"/>
      <c r="DM86" s="1540"/>
      <c r="DN86" s="1540"/>
      <c r="DO86" s="1540"/>
      <c r="DP86" s="1540"/>
      <c r="DQ86" s="1540"/>
      <c r="DR86" s="1540"/>
      <c r="DS86" s="1540"/>
      <c r="DT86" s="1540"/>
      <c r="DU86" s="1540"/>
      <c r="DV86" s="1540"/>
      <c r="DW86" s="1540"/>
      <c r="DX86" s="1540"/>
      <c r="DY86" s="1540"/>
      <c r="DZ86" s="1539"/>
      <c r="EA86" s="1539"/>
      <c r="EB86" s="1539"/>
      <c r="EC86" s="1539"/>
      <c r="ED86" s="1539"/>
      <c r="EE86" s="1539"/>
      <c r="EF86" s="1539"/>
      <c r="EG86" s="1539"/>
      <c r="EH86" s="1539"/>
      <c r="EI86" s="1268">
        <f t="shared" si="85"/>
        <v>0</v>
      </c>
    </row>
    <row r="87" spans="1:139" ht="15">
      <c r="A87" s="1039" t="s">
        <v>75</v>
      </c>
      <c r="B87" s="1084">
        <f t="shared" si="78"/>
        <v>0</v>
      </c>
      <c r="C87" s="1976"/>
      <c r="D87" s="1976"/>
      <c r="E87" s="1977"/>
      <c r="F87" s="1978"/>
      <c r="G87" s="1979"/>
      <c r="H87" s="1980"/>
      <c r="I87" s="1980"/>
      <c r="J87" s="1976"/>
      <c r="K87" s="1976"/>
      <c r="L87" s="1976"/>
      <c r="M87" s="1976"/>
      <c r="N87" s="1976"/>
      <c r="O87" s="1976"/>
      <c r="P87" s="1980"/>
      <c r="Q87" s="1980"/>
      <c r="R87" s="1980"/>
      <c r="S87" s="1980"/>
      <c r="T87" s="1980"/>
      <c r="U87" s="1980"/>
      <c r="V87" s="1980"/>
      <c r="W87" s="1980"/>
      <c r="X87" s="1980"/>
      <c r="Y87" s="1980"/>
      <c r="Z87" s="1980"/>
      <c r="AA87" s="1980"/>
      <c r="AB87" s="1980"/>
      <c r="AC87" s="1980"/>
      <c r="AD87" s="1980"/>
      <c r="AE87" s="1981"/>
      <c r="AF87" s="1976"/>
      <c r="AG87" s="1976"/>
      <c r="AH87" s="1974">
        <f t="shared" si="79"/>
        <v>0</v>
      </c>
      <c r="AJ87" s="1524" t="s">
        <v>75</v>
      </c>
      <c r="AK87" s="1527">
        <f t="shared" si="80"/>
        <v>0</v>
      </c>
      <c r="AL87" s="1878"/>
      <c r="AM87" s="1878"/>
      <c r="AN87" s="1888"/>
      <c r="AO87" s="1887"/>
      <c r="AP87" s="1886"/>
      <c r="AQ87" s="1879"/>
      <c r="AR87" s="1879"/>
      <c r="AS87" s="1878"/>
      <c r="AT87" s="1878"/>
      <c r="AU87" s="1878"/>
      <c r="AV87" s="1878"/>
      <c r="AW87" s="1878"/>
      <c r="AX87" s="1878"/>
      <c r="AY87" s="1879"/>
      <c r="AZ87" s="1879"/>
      <c r="BA87" s="1879"/>
      <c r="BB87" s="1879"/>
      <c r="BC87" s="1879"/>
      <c r="BD87" s="1879"/>
      <c r="BE87" s="1872"/>
      <c r="BF87" s="1872"/>
      <c r="BG87" s="1872"/>
      <c r="BH87" s="1872"/>
      <c r="BI87" s="1872"/>
      <c r="BJ87" s="1872"/>
      <c r="BK87" s="1872"/>
      <c r="BL87" s="1872"/>
      <c r="BM87" s="1872"/>
      <c r="BN87" s="1872"/>
      <c r="BO87" s="1872"/>
      <c r="BP87" s="1872"/>
      <c r="BQ87" s="1834">
        <f t="shared" si="81"/>
        <v>0</v>
      </c>
      <c r="BS87" s="1621" t="s">
        <v>75</v>
      </c>
      <c r="BT87" s="1622">
        <f t="shared" si="82"/>
        <v>0.2649999999999999</v>
      </c>
      <c r="BU87" s="1871">
        <v>1.9999999999999997E-2</v>
      </c>
      <c r="BV87" s="1871">
        <v>0</v>
      </c>
      <c r="BW87" s="1871">
        <v>0</v>
      </c>
      <c r="BX87" s="1871">
        <v>0</v>
      </c>
      <c r="BY87" s="1871">
        <v>0.01</v>
      </c>
      <c r="BZ87" s="1871">
        <v>2.4999999999999998E-2</v>
      </c>
      <c r="CA87" s="1871">
        <v>0</v>
      </c>
      <c r="CB87" s="1871">
        <v>0.02</v>
      </c>
      <c r="CC87" s="1871">
        <v>0</v>
      </c>
      <c r="CD87" s="1871">
        <v>0.01</v>
      </c>
      <c r="CE87" s="1871">
        <v>0</v>
      </c>
      <c r="CF87" s="1871">
        <v>1.4999999999999999E-2</v>
      </c>
      <c r="CG87" s="1862">
        <v>9.999999999999995E-3</v>
      </c>
      <c r="CH87" s="1863">
        <v>9.999999999999995E-3</v>
      </c>
      <c r="CI87" s="1863">
        <v>2.4999999999999994E-2</v>
      </c>
      <c r="CJ87" s="1863">
        <v>0</v>
      </c>
      <c r="CK87" s="1863">
        <v>0</v>
      </c>
      <c r="CL87" s="1863">
        <v>0</v>
      </c>
      <c r="CM87" s="1863">
        <v>0</v>
      </c>
      <c r="CN87" s="1863">
        <v>0</v>
      </c>
      <c r="CO87" s="1863">
        <v>4.4999999999999998E-2</v>
      </c>
      <c r="CP87" s="1863">
        <v>0.03</v>
      </c>
      <c r="CQ87" s="1863">
        <v>0</v>
      </c>
      <c r="CR87" s="1863">
        <v>0</v>
      </c>
      <c r="CS87" s="1863">
        <v>0</v>
      </c>
      <c r="CT87" s="1863">
        <v>0</v>
      </c>
      <c r="CU87" s="1863">
        <v>0</v>
      </c>
      <c r="CV87" s="1863">
        <v>0</v>
      </c>
      <c r="CW87" s="1868">
        <v>4.4999999999999984E-2</v>
      </c>
      <c r="CX87" s="1862">
        <v>0</v>
      </c>
      <c r="CY87" s="1862"/>
      <c r="CZ87" s="1826">
        <f t="shared" si="83"/>
        <v>0.2649999999999999</v>
      </c>
      <c r="DB87" s="1054" t="s">
        <v>75</v>
      </c>
      <c r="DC87" s="1091">
        <f t="shared" si="84"/>
        <v>0</v>
      </c>
      <c r="DD87" s="1925"/>
      <c r="DE87" s="1925"/>
      <c r="DF87" s="1936"/>
      <c r="DG87" s="1935"/>
      <c r="DH87" s="1934"/>
      <c r="DI87" s="1926"/>
      <c r="DJ87" s="1926"/>
      <c r="DK87" s="1925"/>
      <c r="DL87" s="1925"/>
      <c r="DM87" s="1925"/>
      <c r="DN87" s="1925"/>
      <c r="DO87" s="1925"/>
      <c r="DP87" s="1925"/>
      <c r="DQ87" s="1926"/>
      <c r="DR87" s="1926"/>
      <c r="DS87" s="1926"/>
      <c r="DT87" s="1926"/>
      <c r="DU87" s="1926"/>
      <c r="DV87" s="1926"/>
      <c r="DW87" s="1926"/>
      <c r="DX87" s="1926"/>
      <c r="DY87" s="1926"/>
      <c r="DZ87" s="1926"/>
      <c r="EA87" s="1926"/>
      <c r="EB87" s="1926"/>
      <c r="EC87" s="1926"/>
      <c r="ED87" s="1926"/>
      <c r="EE87" s="1926"/>
      <c r="EF87" s="1933"/>
      <c r="EG87" s="1925"/>
      <c r="EH87" s="1925"/>
      <c r="EI87" s="1268">
        <f t="shared" si="85"/>
        <v>0</v>
      </c>
    </row>
    <row r="88" spans="1:139" ht="15">
      <c r="A88" s="1039" t="s">
        <v>76</v>
      </c>
      <c r="B88" s="1084">
        <f t="shared" si="78"/>
        <v>0</v>
      </c>
      <c r="C88" s="1982"/>
      <c r="D88" s="1690"/>
      <c r="E88" s="1983"/>
      <c r="F88" s="1984"/>
      <c r="G88" s="1985"/>
      <c r="H88" s="1986"/>
      <c r="I88" s="1980"/>
      <c r="J88" s="1980"/>
      <c r="K88" s="1980"/>
      <c r="L88" s="1980"/>
      <c r="M88" s="1976"/>
      <c r="N88" s="1976"/>
      <c r="O88" s="1976"/>
      <c r="P88" s="1976"/>
      <c r="Q88" s="1980"/>
      <c r="R88" s="1980"/>
      <c r="S88" s="1980"/>
      <c r="T88" s="1980"/>
      <c r="U88" s="1976"/>
      <c r="V88" s="1980"/>
      <c r="W88" s="1980"/>
      <c r="X88" s="1980"/>
      <c r="Y88" s="1980"/>
      <c r="Z88" s="1980"/>
      <c r="AA88" s="1980"/>
      <c r="AB88" s="1980"/>
      <c r="AC88" s="1976"/>
      <c r="AD88" s="1980"/>
      <c r="AE88" s="1980"/>
      <c r="AF88" s="1976"/>
      <c r="AG88" s="1976"/>
      <c r="AH88" s="1974">
        <f t="shared" si="79"/>
        <v>0</v>
      </c>
      <c r="AJ88" s="1524" t="s">
        <v>76</v>
      </c>
      <c r="AK88" s="1527">
        <f t="shared" si="80"/>
        <v>0</v>
      </c>
      <c r="AL88" s="1885"/>
      <c r="AM88" s="1884"/>
      <c r="AN88" s="1883"/>
      <c r="AO88" s="1882"/>
      <c r="AP88" s="1881"/>
      <c r="AQ88" s="1880"/>
      <c r="AR88" s="1879"/>
      <c r="AS88" s="1879"/>
      <c r="AT88" s="1879"/>
      <c r="AU88" s="1879"/>
      <c r="AV88" s="1878"/>
      <c r="AW88" s="1878"/>
      <c r="AX88" s="1878"/>
      <c r="AY88" s="1878"/>
      <c r="AZ88" s="1879"/>
      <c r="BA88" s="1879"/>
      <c r="BB88" s="1879"/>
      <c r="BC88" s="1879"/>
      <c r="BD88" s="1878"/>
      <c r="BE88" s="1877"/>
      <c r="BF88" s="1877"/>
      <c r="BG88" s="1877"/>
      <c r="BH88" s="1877"/>
      <c r="BI88" s="1877"/>
      <c r="BJ88" s="1877"/>
      <c r="BK88" s="1877"/>
      <c r="BL88" s="1877"/>
      <c r="BM88" s="1877"/>
      <c r="BN88" s="1877"/>
      <c r="BO88" s="1872"/>
      <c r="BP88" s="1872"/>
      <c r="BQ88" s="1834">
        <f t="shared" si="81"/>
        <v>0</v>
      </c>
      <c r="BS88" s="1621" t="s">
        <v>76</v>
      </c>
      <c r="BT88" s="1622">
        <f t="shared" si="82"/>
        <v>0</v>
      </c>
      <c r="BU88" s="1876"/>
      <c r="BV88" s="1876"/>
      <c r="BW88" s="1876"/>
      <c r="BX88" s="1876"/>
      <c r="BY88" s="1876"/>
      <c r="BZ88" s="1876"/>
      <c r="CA88" s="1876"/>
      <c r="CB88" s="1876"/>
      <c r="CC88" s="1876"/>
      <c r="CD88" s="1876"/>
      <c r="CE88" s="1871"/>
      <c r="CF88" s="1871"/>
      <c r="CG88" s="1862"/>
      <c r="CH88" s="1862"/>
      <c r="CI88" s="1863"/>
      <c r="CJ88" s="1863"/>
      <c r="CK88" s="1863"/>
      <c r="CL88" s="1863"/>
      <c r="CM88" s="1862"/>
      <c r="CN88" s="1863"/>
      <c r="CO88" s="1863"/>
      <c r="CP88" s="1863"/>
      <c r="CQ88" s="1863"/>
      <c r="CR88" s="1863"/>
      <c r="CS88" s="1863"/>
      <c r="CT88" s="1863"/>
      <c r="CU88" s="1862"/>
      <c r="CV88" s="1863"/>
      <c r="CW88" s="1863"/>
      <c r="CX88" s="1862"/>
      <c r="CY88" s="1862"/>
      <c r="CZ88" s="1826">
        <f t="shared" si="83"/>
        <v>0</v>
      </c>
      <c r="DB88" s="1054" t="s">
        <v>76</v>
      </c>
      <c r="DC88" s="1091">
        <f t="shared" si="84"/>
        <v>0</v>
      </c>
      <c r="DD88" s="1931"/>
      <c r="DE88" s="1190"/>
      <c r="DF88" s="1930"/>
      <c r="DG88" s="1929"/>
      <c r="DH88" s="1928"/>
      <c r="DI88" s="1927"/>
      <c r="DJ88" s="1926"/>
      <c r="DK88" s="1926"/>
      <c r="DL88" s="1926"/>
      <c r="DM88" s="1926"/>
      <c r="DN88" s="1925"/>
      <c r="DO88" s="1925"/>
      <c r="DP88" s="1925"/>
      <c r="DQ88" s="1925"/>
      <c r="DR88" s="1926"/>
      <c r="DS88" s="1926"/>
      <c r="DT88" s="1926"/>
      <c r="DU88" s="1926"/>
      <c r="DV88" s="1925"/>
      <c r="DW88" s="1926"/>
      <c r="DX88" s="1926"/>
      <c r="DY88" s="1926"/>
      <c r="DZ88" s="1926"/>
      <c r="EA88" s="1926"/>
      <c r="EB88" s="1926"/>
      <c r="EC88" s="1926"/>
      <c r="ED88" s="1925"/>
      <c r="EE88" s="1926"/>
      <c r="EF88" s="1926"/>
      <c r="EG88" s="1925"/>
      <c r="EH88" s="1925"/>
      <c r="EI88" s="1268">
        <f t="shared" si="85"/>
        <v>0</v>
      </c>
    </row>
    <row r="89" spans="1:139" ht="15">
      <c r="A89" s="1039" t="s">
        <v>77</v>
      </c>
      <c r="B89" s="1084">
        <f t="shared" si="78"/>
        <v>0</v>
      </c>
      <c r="C89" s="1973"/>
      <c r="D89" s="1973"/>
      <c r="E89" s="1973"/>
      <c r="F89" s="1973"/>
      <c r="G89" s="1973"/>
      <c r="H89" s="1973"/>
      <c r="I89" s="1973"/>
      <c r="J89" s="1973"/>
      <c r="K89" s="1973"/>
      <c r="L89" s="1973"/>
      <c r="M89" s="1973"/>
      <c r="N89" s="1973"/>
      <c r="O89" s="1973"/>
      <c r="P89" s="1973"/>
      <c r="Q89" s="1973"/>
      <c r="R89" s="1973"/>
      <c r="S89" s="1973"/>
      <c r="T89" s="1973"/>
      <c r="U89" s="1973"/>
      <c r="V89" s="1973"/>
      <c r="W89" s="1973"/>
      <c r="X89" s="1973"/>
      <c r="Y89" s="1973"/>
      <c r="Z89" s="1973"/>
      <c r="AA89" s="1973"/>
      <c r="AB89" s="1973"/>
      <c r="AC89" s="1973"/>
      <c r="AD89" s="1973"/>
      <c r="AE89" s="1973"/>
      <c r="AF89" s="1973"/>
      <c r="AG89" s="1973"/>
      <c r="AH89" s="1974">
        <f t="shared" si="79"/>
        <v>0</v>
      </c>
      <c r="AJ89" s="1524" t="s">
        <v>77</v>
      </c>
      <c r="AK89" s="1527">
        <f t="shared" si="80"/>
        <v>0</v>
      </c>
      <c r="AL89" s="1835"/>
      <c r="AM89" s="1835"/>
      <c r="AN89" s="1835"/>
      <c r="AO89" s="1835"/>
      <c r="AP89" s="1835"/>
      <c r="AQ89" s="1835"/>
      <c r="AR89" s="1835"/>
      <c r="AS89" s="1835"/>
      <c r="AT89" s="1835"/>
      <c r="AU89" s="1835"/>
      <c r="AV89" s="1835"/>
      <c r="AW89" s="1835"/>
      <c r="AX89" s="1835"/>
      <c r="AY89" s="1835"/>
      <c r="AZ89" s="1835"/>
      <c r="BA89" s="1835"/>
      <c r="BB89" s="1835"/>
      <c r="BC89" s="1835"/>
      <c r="BD89" s="1835"/>
      <c r="BE89" s="1877"/>
      <c r="BF89" s="1877"/>
      <c r="BG89" s="1877"/>
      <c r="BH89" s="1872"/>
      <c r="BI89" s="1877"/>
      <c r="BJ89" s="1872"/>
      <c r="BK89" s="1877"/>
      <c r="BL89" s="1872"/>
      <c r="BM89" s="1877"/>
      <c r="BN89" s="1877"/>
      <c r="BO89" s="1877"/>
      <c r="BP89" s="1877"/>
      <c r="BQ89" s="1834">
        <f t="shared" si="81"/>
        <v>0</v>
      </c>
      <c r="BS89" s="1621" t="s">
        <v>77</v>
      </c>
      <c r="BT89" s="1622">
        <f t="shared" si="82"/>
        <v>0</v>
      </c>
      <c r="BU89" s="1876"/>
      <c r="BV89" s="1876"/>
      <c r="BW89" s="1876"/>
      <c r="BX89" s="1871"/>
      <c r="BY89" s="1876"/>
      <c r="BZ89" s="1871"/>
      <c r="CA89" s="1876"/>
      <c r="CB89" s="1871"/>
      <c r="CC89" s="1876"/>
      <c r="CD89" s="1876"/>
      <c r="CE89" s="1876"/>
      <c r="CF89" s="1876"/>
      <c r="CG89" s="1827"/>
      <c r="CH89" s="1827"/>
      <c r="CI89" s="1827"/>
      <c r="CJ89" s="1827"/>
      <c r="CK89" s="1827"/>
      <c r="CL89" s="1827"/>
      <c r="CM89" s="1827"/>
      <c r="CN89" s="1827"/>
      <c r="CO89" s="1827"/>
      <c r="CP89" s="1827"/>
      <c r="CQ89" s="1827"/>
      <c r="CR89" s="1827"/>
      <c r="CS89" s="1827"/>
      <c r="CT89" s="1827"/>
      <c r="CU89" s="1827"/>
      <c r="CV89" s="1827"/>
      <c r="CW89" s="1827"/>
      <c r="CX89" s="1827"/>
      <c r="CY89" s="1827"/>
      <c r="CZ89" s="1826">
        <f t="shared" si="83"/>
        <v>0</v>
      </c>
      <c r="DB89" s="1054" t="s">
        <v>77</v>
      </c>
      <c r="DC89" s="1091">
        <f t="shared" si="84"/>
        <v>0</v>
      </c>
      <c r="DD89" s="1539"/>
      <c r="DE89" s="1539"/>
      <c r="DF89" s="1539"/>
      <c r="DG89" s="1539"/>
      <c r="DH89" s="1539"/>
      <c r="DI89" s="1539"/>
      <c r="DJ89" s="1539"/>
      <c r="DK89" s="1539"/>
      <c r="DL89" s="1539"/>
      <c r="DM89" s="1539"/>
      <c r="DN89" s="1539"/>
      <c r="DO89" s="1539"/>
      <c r="DP89" s="1539"/>
      <c r="DQ89" s="1539"/>
      <c r="DR89" s="1539"/>
      <c r="DS89" s="1539"/>
      <c r="DT89" s="1539"/>
      <c r="DU89" s="1539"/>
      <c r="DV89" s="1539"/>
      <c r="DW89" s="1539"/>
      <c r="DX89" s="1539"/>
      <c r="DY89" s="1539"/>
      <c r="DZ89" s="1539"/>
      <c r="EA89" s="1539"/>
      <c r="EB89" s="1539"/>
      <c r="EC89" s="1539"/>
      <c r="ED89" s="1539"/>
      <c r="EE89" s="1539"/>
      <c r="EF89" s="1539"/>
      <c r="EG89" s="1539"/>
      <c r="EH89" s="1539"/>
      <c r="EI89" s="1268">
        <f t="shared" si="85"/>
        <v>0</v>
      </c>
    </row>
    <row r="90" spans="1:139" ht="15">
      <c r="A90" s="1039" t="s">
        <v>78</v>
      </c>
      <c r="B90" s="1084">
        <f t="shared" si="78"/>
        <v>0</v>
      </c>
      <c r="C90" s="1973"/>
      <c r="D90" s="1973"/>
      <c r="E90" s="1973"/>
      <c r="F90" s="1973"/>
      <c r="G90" s="1973"/>
      <c r="H90" s="1973"/>
      <c r="I90" s="1973"/>
      <c r="J90" s="1973"/>
      <c r="K90" s="1973"/>
      <c r="L90" s="1973"/>
      <c r="M90" s="1973"/>
      <c r="N90" s="1973"/>
      <c r="O90" s="1973"/>
      <c r="P90" s="1973"/>
      <c r="Q90" s="1973"/>
      <c r="R90" s="1973"/>
      <c r="S90" s="1973"/>
      <c r="T90" s="1973"/>
      <c r="U90" s="1973"/>
      <c r="V90" s="1973"/>
      <c r="W90" s="1973"/>
      <c r="X90" s="1973"/>
      <c r="Y90" s="1973"/>
      <c r="Z90" s="1973"/>
      <c r="AA90" s="1973"/>
      <c r="AB90" s="1973"/>
      <c r="AC90" s="1973"/>
      <c r="AD90" s="1973"/>
      <c r="AE90" s="1973"/>
      <c r="AF90" s="1973"/>
      <c r="AG90" s="1973"/>
      <c r="AH90" s="1974">
        <f t="shared" si="79"/>
        <v>0</v>
      </c>
      <c r="AJ90" s="1524" t="s">
        <v>78</v>
      </c>
      <c r="AK90" s="1527">
        <f t="shared" si="80"/>
        <v>0</v>
      </c>
      <c r="AL90" s="1835"/>
      <c r="AM90" s="1835"/>
      <c r="AN90" s="1835"/>
      <c r="AO90" s="1835"/>
      <c r="AP90" s="1835"/>
      <c r="AQ90" s="1835"/>
      <c r="AR90" s="1835"/>
      <c r="AS90" s="1835"/>
      <c r="AT90" s="1835"/>
      <c r="AU90" s="1835"/>
      <c r="AV90" s="1835"/>
      <c r="AW90" s="1835"/>
      <c r="AX90" s="1835"/>
      <c r="AY90" s="1835"/>
      <c r="AZ90" s="1835"/>
      <c r="BA90" s="1835"/>
      <c r="BB90" s="1835"/>
      <c r="BC90" s="1835"/>
      <c r="BD90" s="1835"/>
      <c r="BE90" s="1877"/>
      <c r="BF90" s="1877"/>
      <c r="BG90" s="1877"/>
      <c r="BH90" s="1877"/>
      <c r="BI90" s="1877"/>
      <c r="BJ90" s="1877"/>
      <c r="BK90" s="1877"/>
      <c r="BL90" s="1877"/>
      <c r="BM90" s="1877"/>
      <c r="BN90" s="1877"/>
      <c r="BO90" s="1877"/>
      <c r="BP90" s="1872"/>
      <c r="BQ90" s="1834">
        <f t="shared" si="81"/>
        <v>0</v>
      </c>
      <c r="BS90" s="1621" t="s">
        <v>78</v>
      </c>
      <c r="BT90" s="1622">
        <f t="shared" si="82"/>
        <v>0</v>
      </c>
      <c r="BU90" s="1876"/>
      <c r="BV90" s="1876"/>
      <c r="BW90" s="1876"/>
      <c r="BX90" s="1876"/>
      <c r="BY90" s="1876"/>
      <c r="BZ90" s="1876"/>
      <c r="CA90" s="1876"/>
      <c r="CB90" s="1876"/>
      <c r="CC90" s="1876"/>
      <c r="CD90" s="1876"/>
      <c r="CE90" s="1876"/>
      <c r="CF90" s="1871"/>
      <c r="CG90" s="1827"/>
      <c r="CH90" s="1827"/>
      <c r="CI90" s="1827"/>
      <c r="CJ90" s="1827"/>
      <c r="CK90" s="1827"/>
      <c r="CL90" s="1827"/>
      <c r="CM90" s="1827"/>
      <c r="CN90" s="1827"/>
      <c r="CO90" s="1827"/>
      <c r="CP90" s="1827"/>
      <c r="CQ90" s="1827"/>
      <c r="CR90" s="1827"/>
      <c r="CS90" s="1827"/>
      <c r="CT90" s="1827"/>
      <c r="CU90" s="1827"/>
      <c r="CV90" s="1827"/>
      <c r="CW90" s="1827"/>
      <c r="CX90" s="1827"/>
      <c r="CY90" s="1827"/>
      <c r="CZ90" s="1826">
        <f t="shared" si="83"/>
        <v>0</v>
      </c>
      <c r="DB90" s="1054" t="s">
        <v>78</v>
      </c>
      <c r="DC90" s="1091">
        <f t="shared" si="84"/>
        <v>0</v>
      </c>
      <c r="DD90" s="1539"/>
      <c r="DE90" s="1539"/>
      <c r="DF90" s="1539"/>
      <c r="DG90" s="1539"/>
      <c r="DH90" s="1539"/>
      <c r="DI90" s="1539"/>
      <c r="DJ90" s="1539"/>
      <c r="DK90" s="1539"/>
      <c r="DL90" s="1539"/>
      <c r="DM90" s="1539"/>
      <c r="DN90" s="1539"/>
      <c r="DO90" s="1539"/>
      <c r="DP90" s="1539"/>
      <c r="DQ90" s="1539"/>
      <c r="DR90" s="1539"/>
      <c r="DS90" s="1539"/>
      <c r="DT90" s="1539"/>
      <c r="DU90" s="1539"/>
      <c r="DV90" s="1539"/>
      <c r="DW90" s="1539"/>
      <c r="DX90" s="1539"/>
      <c r="DY90" s="1539"/>
      <c r="DZ90" s="1539"/>
      <c r="EA90" s="1539"/>
      <c r="EB90" s="1539"/>
      <c r="EC90" s="1539"/>
      <c r="ED90" s="1539"/>
      <c r="EE90" s="1539"/>
      <c r="EF90" s="1539"/>
      <c r="EG90" s="1539"/>
      <c r="EH90" s="1539"/>
      <c r="EI90" s="1268">
        <f t="shared" si="85"/>
        <v>0</v>
      </c>
    </row>
    <row r="91" spans="1:139" ht="15">
      <c r="A91" s="1039" t="s">
        <v>79</v>
      </c>
      <c r="B91" s="1084">
        <f t="shared" si="78"/>
        <v>0</v>
      </c>
      <c r="C91" s="1973"/>
      <c r="D91" s="1973"/>
      <c r="E91" s="1973"/>
      <c r="F91" s="1973"/>
      <c r="G91" s="1973"/>
      <c r="H91" s="1973"/>
      <c r="I91" s="1973"/>
      <c r="J91" s="1973"/>
      <c r="K91" s="1973"/>
      <c r="L91" s="1973"/>
      <c r="M91" s="1973"/>
      <c r="N91" s="1973"/>
      <c r="O91" s="1973"/>
      <c r="P91" s="1973"/>
      <c r="Q91" s="1973"/>
      <c r="R91" s="1973"/>
      <c r="S91" s="1973"/>
      <c r="T91" s="1973"/>
      <c r="U91" s="1973"/>
      <c r="V91" s="1973"/>
      <c r="W91" s="1973"/>
      <c r="X91" s="1973"/>
      <c r="Y91" s="1973"/>
      <c r="Z91" s="1973"/>
      <c r="AA91" s="1973"/>
      <c r="AB91" s="1973"/>
      <c r="AC91" s="1973"/>
      <c r="AD91" s="1973"/>
      <c r="AE91" s="1973"/>
      <c r="AF91" s="1973"/>
      <c r="AG91" s="1973"/>
      <c r="AH91" s="1974">
        <f t="shared" si="79"/>
        <v>0</v>
      </c>
      <c r="AJ91" s="1524" t="s">
        <v>79</v>
      </c>
      <c r="AK91" s="1527">
        <f t="shared" si="80"/>
        <v>0</v>
      </c>
      <c r="AL91" s="1835"/>
      <c r="AM91" s="1835"/>
      <c r="AN91" s="1835"/>
      <c r="AO91" s="1835"/>
      <c r="AP91" s="1835"/>
      <c r="AQ91" s="1835"/>
      <c r="AR91" s="1835"/>
      <c r="AS91" s="1835"/>
      <c r="AT91" s="1835"/>
      <c r="AU91" s="1835"/>
      <c r="AV91" s="1835"/>
      <c r="AW91" s="1835"/>
      <c r="AX91" s="1835"/>
      <c r="AY91" s="1835"/>
      <c r="AZ91" s="1835"/>
      <c r="BA91" s="1835"/>
      <c r="BB91" s="1835"/>
      <c r="BC91" s="1835"/>
      <c r="BD91" s="1835"/>
      <c r="BE91" s="1877"/>
      <c r="BF91" s="1877"/>
      <c r="BG91" s="1877"/>
      <c r="BH91" s="1877"/>
      <c r="BI91" s="1877"/>
      <c r="BJ91" s="1877"/>
      <c r="BK91" s="1877"/>
      <c r="BL91" s="1877"/>
      <c r="BM91" s="1877"/>
      <c r="BN91" s="1877"/>
      <c r="BO91" s="1877"/>
      <c r="BP91" s="1877"/>
      <c r="BQ91" s="1834">
        <f t="shared" si="81"/>
        <v>0</v>
      </c>
      <c r="BS91" s="1621" t="s">
        <v>79</v>
      </c>
      <c r="BT91" s="1622">
        <f t="shared" si="82"/>
        <v>0</v>
      </c>
      <c r="BU91" s="1876"/>
      <c r="BV91" s="1876"/>
      <c r="BW91" s="1876"/>
      <c r="BX91" s="1876"/>
      <c r="BY91" s="1876"/>
      <c r="BZ91" s="1876"/>
      <c r="CA91" s="1876"/>
      <c r="CB91" s="1876"/>
      <c r="CC91" s="1876"/>
      <c r="CD91" s="1876"/>
      <c r="CE91" s="1876"/>
      <c r="CF91" s="1876"/>
      <c r="CG91" s="1827"/>
      <c r="CH91" s="1827"/>
      <c r="CI91" s="1827"/>
      <c r="CJ91" s="1827"/>
      <c r="CK91" s="1827"/>
      <c r="CL91" s="1827"/>
      <c r="CM91" s="1827"/>
      <c r="CN91" s="1827"/>
      <c r="CO91" s="1827"/>
      <c r="CP91" s="1827"/>
      <c r="CQ91" s="1827"/>
      <c r="CR91" s="1827"/>
      <c r="CS91" s="1827"/>
      <c r="CT91" s="1827"/>
      <c r="CU91" s="1827"/>
      <c r="CV91" s="1827"/>
      <c r="CW91" s="1827"/>
      <c r="CX91" s="1827"/>
      <c r="CY91" s="1827"/>
      <c r="CZ91" s="1826">
        <f t="shared" si="83"/>
        <v>0</v>
      </c>
      <c r="DB91" s="1054" t="s">
        <v>79</v>
      </c>
      <c r="DC91" s="1091">
        <f t="shared" si="84"/>
        <v>0</v>
      </c>
      <c r="DD91" s="1539"/>
      <c r="DE91" s="1539"/>
      <c r="DF91" s="1539"/>
      <c r="DG91" s="1539"/>
      <c r="DH91" s="1539"/>
      <c r="DI91" s="1539"/>
      <c r="DJ91" s="1539"/>
      <c r="DK91" s="1539"/>
      <c r="DL91" s="1539"/>
      <c r="DM91" s="1539"/>
      <c r="DN91" s="1539"/>
      <c r="DO91" s="1539"/>
      <c r="DP91" s="1539"/>
      <c r="DQ91" s="1539"/>
      <c r="DR91" s="1539"/>
      <c r="DS91" s="1539"/>
      <c r="DT91" s="1539"/>
      <c r="DU91" s="1539"/>
      <c r="DV91" s="1539"/>
      <c r="DW91" s="1539"/>
      <c r="DX91" s="1539"/>
      <c r="DY91" s="1539"/>
      <c r="DZ91" s="1539"/>
      <c r="EA91" s="1539"/>
      <c r="EB91" s="1539"/>
      <c r="EC91" s="1539"/>
      <c r="ED91" s="1539"/>
      <c r="EE91" s="1539"/>
      <c r="EF91" s="1539"/>
      <c r="EG91" s="1539"/>
      <c r="EH91" s="1539"/>
      <c r="EI91" s="1268">
        <f t="shared" si="85"/>
        <v>0</v>
      </c>
    </row>
    <row r="92" spans="1:139" ht="15">
      <c r="A92" s="1039" t="s">
        <v>80</v>
      </c>
      <c r="B92" s="1084">
        <f t="shared" si="78"/>
        <v>0</v>
      </c>
      <c r="C92" s="1973"/>
      <c r="D92" s="1973"/>
      <c r="E92" s="1973"/>
      <c r="F92" s="1973"/>
      <c r="G92" s="1973"/>
      <c r="H92" s="1973"/>
      <c r="I92" s="1973"/>
      <c r="J92" s="1973"/>
      <c r="K92" s="1973"/>
      <c r="L92" s="1973"/>
      <c r="M92" s="1973"/>
      <c r="N92" s="1973"/>
      <c r="O92" s="1973"/>
      <c r="P92" s="1973"/>
      <c r="Q92" s="1973"/>
      <c r="R92" s="1973"/>
      <c r="S92" s="1973"/>
      <c r="T92" s="1973"/>
      <c r="U92" s="1973"/>
      <c r="V92" s="1973"/>
      <c r="W92" s="1973"/>
      <c r="X92" s="1973"/>
      <c r="Y92" s="1973"/>
      <c r="Z92" s="1973"/>
      <c r="AA92" s="1973"/>
      <c r="AB92" s="1973"/>
      <c r="AC92" s="1973"/>
      <c r="AD92" s="1973"/>
      <c r="AE92" s="1973"/>
      <c r="AF92" s="1973"/>
      <c r="AG92" s="1973"/>
      <c r="AH92" s="1974">
        <f t="shared" si="79"/>
        <v>0</v>
      </c>
      <c r="AJ92" s="1524" t="s">
        <v>80</v>
      </c>
      <c r="AK92" s="1527">
        <f t="shared" si="80"/>
        <v>0</v>
      </c>
      <c r="AL92" s="1835"/>
      <c r="AM92" s="1835"/>
      <c r="AN92" s="1835"/>
      <c r="AO92" s="1835"/>
      <c r="AP92" s="1835"/>
      <c r="AQ92" s="1835"/>
      <c r="AR92" s="1835"/>
      <c r="AS92" s="1835"/>
      <c r="AT92" s="1835"/>
      <c r="AU92" s="1835"/>
      <c r="AV92" s="1835"/>
      <c r="AW92" s="1835"/>
      <c r="AX92" s="1835"/>
      <c r="AY92" s="1835"/>
      <c r="AZ92" s="1835"/>
      <c r="BA92" s="1835"/>
      <c r="BB92" s="1835"/>
      <c r="BC92" s="1835"/>
      <c r="BD92" s="1835"/>
      <c r="BE92" s="1872"/>
      <c r="BF92" s="1875"/>
      <c r="BG92" s="1872"/>
      <c r="BH92" s="1872"/>
      <c r="BI92" s="1872"/>
      <c r="BJ92" s="1872"/>
      <c r="BK92" s="1872"/>
      <c r="BL92" s="1872"/>
      <c r="BM92" s="1872"/>
      <c r="BN92" s="1872"/>
      <c r="BO92" s="1872"/>
      <c r="BP92" s="1872"/>
      <c r="BQ92" s="1834">
        <f t="shared" si="81"/>
        <v>0</v>
      </c>
      <c r="BS92" s="1621" t="s">
        <v>80</v>
      </c>
      <c r="BT92" s="1622">
        <f t="shared" si="82"/>
        <v>0</v>
      </c>
      <c r="BU92" s="1871"/>
      <c r="BV92" s="1874"/>
      <c r="BW92" s="1871"/>
      <c r="BX92" s="1871"/>
      <c r="BY92" s="1871"/>
      <c r="BZ92" s="1871"/>
      <c r="CA92" s="1871"/>
      <c r="CB92" s="1871"/>
      <c r="CC92" s="1871"/>
      <c r="CD92" s="1871"/>
      <c r="CE92" s="1871"/>
      <c r="CF92" s="1871"/>
      <c r="CG92" s="1827"/>
      <c r="CH92" s="1827"/>
      <c r="CI92" s="1827"/>
      <c r="CJ92" s="1827"/>
      <c r="CK92" s="1827"/>
      <c r="CL92" s="1827"/>
      <c r="CM92" s="1827"/>
      <c r="CN92" s="1827"/>
      <c r="CO92" s="1827"/>
      <c r="CP92" s="1827"/>
      <c r="CQ92" s="1827"/>
      <c r="CR92" s="1827"/>
      <c r="CS92" s="1827"/>
      <c r="CT92" s="1827"/>
      <c r="CU92" s="1827"/>
      <c r="CV92" s="1827"/>
      <c r="CW92" s="1827"/>
      <c r="CX92" s="1827"/>
      <c r="CY92" s="1827"/>
      <c r="CZ92" s="1826">
        <f t="shared" si="83"/>
        <v>0</v>
      </c>
      <c r="DB92" s="1054" t="s">
        <v>80</v>
      </c>
      <c r="DC92" s="1091">
        <f t="shared" si="84"/>
        <v>0</v>
      </c>
      <c r="DD92" s="1539"/>
      <c r="DE92" s="1539"/>
      <c r="DF92" s="1539"/>
      <c r="DG92" s="1539"/>
      <c r="DH92" s="1539"/>
      <c r="DI92" s="1539"/>
      <c r="DJ92" s="1539"/>
      <c r="DK92" s="1539"/>
      <c r="DL92" s="1539"/>
      <c r="DM92" s="1539"/>
      <c r="DN92" s="1539"/>
      <c r="DO92" s="1539"/>
      <c r="DP92" s="1539"/>
      <c r="DQ92" s="1539"/>
      <c r="DR92" s="1539"/>
      <c r="DS92" s="1539"/>
      <c r="DT92" s="1539"/>
      <c r="DU92" s="1539"/>
      <c r="DV92" s="1539"/>
      <c r="DW92" s="1539"/>
      <c r="DX92" s="1539"/>
      <c r="DY92" s="1539"/>
      <c r="DZ92" s="1539"/>
      <c r="EA92" s="1539"/>
      <c r="EB92" s="1539"/>
      <c r="EC92" s="1539"/>
      <c r="ED92" s="1539"/>
      <c r="EE92" s="1539"/>
      <c r="EF92" s="1539"/>
      <c r="EG92" s="1539"/>
      <c r="EH92" s="1539"/>
      <c r="EI92" s="1268">
        <f t="shared" si="85"/>
        <v>0</v>
      </c>
    </row>
    <row r="93" spans="1:139" ht="15">
      <c r="A93" s="1039" t="s">
        <v>81</v>
      </c>
      <c r="B93" s="1084">
        <f t="shared" si="78"/>
        <v>0</v>
      </c>
      <c r="C93" s="1973"/>
      <c r="D93" s="1973"/>
      <c r="E93" s="1973"/>
      <c r="F93" s="1973"/>
      <c r="G93" s="1973"/>
      <c r="H93" s="1973"/>
      <c r="I93" s="1973"/>
      <c r="J93" s="1973"/>
      <c r="K93" s="1973"/>
      <c r="L93" s="1973"/>
      <c r="M93" s="1973"/>
      <c r="N93" s="1973"/>
      <c r="O93" s="1973"/>
      <c r="P93" s="1973"/>
      <c r="Q93" s="1973"/>
      <c r="R93" s="1973"/>
      <c r="S93" s="1973"/>
      <c r="T93" s="1973"/>
      <c r="U93" s="1973"/>
      <c r="V93" s="1973"/>
      <c r="W93" s="1973"/>
      <c r="X93" s="1973"/>
      <c r="Y93" s="1973"/>
      <c r="Z93" s="1973"/>
      <c r="AA93" s="1973"/>
      <c r="AB93" s="1973"/>
      <c r="AC93" s="1973"/>
      <c r="AD93" s="1973"/>
      <c r="AE93" s="1973"/>
      <c r="AF93" s="1973"/>
      <c r="AG93" s="1973"/>
      <c r="AH93" s="1974">
        <f t="shared" si="79"/>
        <v>0</v>
      </c>
      <c r="AJ93" s="1524" t="s">
        <v>81</v>
      </c>
      <c r="AK93" s="1527">
        <f t="shared" si="80"/>
        <v>0</v>
      </c>
      <c r="AL93" s="1835"/>
      <c r="AM93" s="1835"/>
      <c r="AN93" s="1835"/>
      <c r="AO93" s="1835"/>
      <c r="AP93" s="1835"/>
      <c r="AQ93" s="1835"/>
      <c r="AR93" s="1835"/>
      <c r="AS93" s="1835"/>
      <c r="AT93" s="1835"/>
      <c r="AU93" s="1835"/>
      <c r="AV93" s="1835"/>
      <c r="AW93" s="1835"/>
      <c r="AX93" s="1835"/>
      <c r="AY93" s="1835"/>
      <c r="AZ93" s="1835"/>
      <c r="BA93" s="1835"/>
      <c r="BB93" s="1835"/>
      <c r="BC93" s="1835"/>
      <c r="BD93" s="1835"/>
      <c r="BE93" s="1872"/>
      <c r="BF93" s="1872"/>
      <c r="BG93" s="1872"/>
      <c r="BH93" s="1872"/>
      <c r="BI93" s="1872"/>
      <c r="BJ93" s="1872"/>
      <c r="BK93" s="1872"/>
      <c r="BL93" s="1872"/>
      <c r="BM93" s="1872"/>
      <c r="BN93" s="1872"/>
      <c r="BO93" s="1872"/>
      <c r="BP93" s="1872"/>
      <c r="BQ93" s="1834">
        <f t="shared" si="81"/>
        <v>0</v>
      </c>
      <c r="BS93" s="1621" t="s">
        <v>81</v>
      </c>
      <c r="BT93" s="1622">
        <f t="shared" si="82"/>
        <v>0</v>
      </c>
      <c r="BU93" s="1871"/>
      <c r="BV93" s="1871"/>
      <c r="BW93" s="1871"/>
      <c r="BX93" s="1871"/>
      <c r="BY93" s="1871"/>
      <c r="BZ93" s="1871"/>
      <c r="CA93" s="1871"/>
      <c r="CB93" s="1871"/>
      <c r="CC93" s="1871"/>
      <c r="CD93" s="1871"/>
      <c r="CE93" s="1871"/>
      <c r="CF93" s="1871"/>
      <c r="CG93" s="1827"/>
      <c r="CH93" s="1827"/>
      <c r="CI93" s="1827"/>
      <c r="CJ93" s="1827"/>
      <c r="CK93" s="1827"/>
      <c r="CL93" s="1827"/>
      <c r="CM93" s="1827"/>
      <c r="CN93" s="1827"/>
      <c r="CO93" s="1827"/>
      <c r="CP93" s="1827"/>
      <c r="CQ93" s="1827"/>
      <c r="CR93" s="1827"/>
      <c r="CS93" s="1827"/>
      <c r="CT93" s="1827"/>
      <c r="CU93" s="1827"/>
      <c r="CV93" s="1827"/>
      <c r="CW93" s="1827"/>
      <c r="CX93" s="1827"/>
      <c r="CY93" s="1827"/>
      <c r="CZ93" s="1826">
        <f t="shared" si="83"/>
        <v>0</v>
      </c>
      <c r="DB93" s="1054" t="s">
        <v>81</v>
      </c>
      <c r="DC93" s="1091">
        <f t="shared" si="84"/>
        <v>0</v>
      </c>
      <c r="DD93" s="1539"/>
      <c r="DE93" s="1539"/>
      <c r="DF93" s="1539"/>
      <c r="DG93" s="1539"/>
      <c r="DH93" s="1539"/>
      <c r="DI93" s="1539"/>
      <c r="DJ93" s="1539"/>
      <c r="DK93" s="1539"/>
      <c r="DL93" s="1539"/>
      <c r="DM93" s="1539"/>
      <c r="DN93" s="1539"/>
      <c r="DO93" s="1539"/>
      <c r="DP93" s="1539"/>
      <c r="DQ93" s="1539"/>
      <c r="DR93" s="1539"/>
      <c r="DS93" s="1539"/>
      <c r="DT93" s="1539"/>
      <c r="DU93" s="1539"/>
      <c r="DV93" s="1539"/>
      <c r="DW93" s="1539"/>
      <c r="DX93" s="1539"/>
      <c r="DY93" s="1539"/>
      <c r="DZ93" s="1539"/>
      <c r="EA93" s="1539"/>
      <c r="EB93" s="1539"/>
      <c r="EC93" s="1539"/>
      <c r="ED93" s="1539"/>
      <c r="EE93" s="1539"/>
      <c r="EF93" s="1539"/>
      <c r="EG93" s="1539"/>
      <c r="EH93" s="1539"/>
      <c r="EI93" s="1268">
        <f t="shared" si="85"/>
        <v>0</v>
      </c>
    </row>
    <row r="94" spans="1:139" ht="15">
      <c r="A94" s="1039" t="s">
        <v>82</v>
      </c>
      <c r="B94" s="1084">
        <f t="shared" si="78"/>
        <v>0</v>
      </c>
      <c r="C94" s="1973"/>
      <c r="D94" s="1973"/>
      <c r="E94" s="1973"/>
      <c r="F94" s="1973"/>
      <c r="G94" s="1973"/>
      <c r="H94" s="1973"/>
      <c r="I94" s="1973"/>
      <c r="J94" s="1973"/>
      <c r="K94" s="1973"/>
      <c r="L94" s="1973"/>
      <c r="M94" s="1973"/>
      <c r="N94" s="1973"/>
      <c r="O94" s="1973"/>
      <c r="P94" s="1973"/>
      <c r="Q94" s="1973"/>
      <c r="R94" s="1972"/>
      <c r="S94" s="1972"/>
      <c r="T94" s="1972"/>
      <c r="U94" s="1972"/>
      <c r="V94" s="1972"/>
      <c r="W94" s="1972"/>
      <c r="X94" s="1972"/>
      <c r="Y94" s="1972"/>
      <c r="Z94" s="1972"/>
      <c r="AA94" s="1972"/>
      <c r="AB94" s="1972"/>
      <c r="AC94" s="1972"/>
      <c r="AD94" s="1972"/>
      <c r="AE94" s="1972"/>
      <c r="AF94" s="1972"/>
      <c r="AG94" s="1972"/>
      <c r="AH94" s="1974">
        <f t="shared" si="79"/>
        <v>0</v>
      </c>
      <c r="AJ94" s="1524" t="s">
        <v>82</v>
      </c>
      <c r="AK94" s="1527">
        <f t="shared" si="80"/>
        <v>0</v>
      </c>
      <c r="AL94" s="1835"/>
      <c r="AM94" s="1835"/>
      <c r="AN94" s="1835"/>
      <c r="AO94" s="1835"/>
      <c r="AP94" s="1835"/>
      <c r="AQ94" s="1835"/>
      <c r="AR94" s="1835"/>
      <c r="AS94" s="1835"/>
      <c r="AT94" s="1835"/>
      <c r="AU94" s="1835"/>
      <c r="AV94" s="1835"/>
      <c r="AW94" s="1835"/>
      <c r="AX94" s="1835"/>
      <c r="AY94" s="1835"/>
      <c r="AZ94" s="1835"/>
      <c r="BA94" s="1838"/>
      <c r="BB94" s="1838"/>
      <c r="BC94" s="1838"/>
      <c r="BD94" s="1838"/>
      <c r="BE94" s="1872"/>
      <c r="BF94" s="1872"/>
      <c r="BG94" s="1872"/>
      <c r="BH94" s="1872"/>
      <c r="BI94" s="1872"/>
      <c r="BJ94" s="1872"/>
      <c r="BK94" s="1872"/>
      <c r="BL94" s="1872"/>
      <c r="BM94" s="1872"/>
      <c r="BN94" s="1872"/>
      <c r="BO94" s="1872"/>
      <c r="BP94" s="1872"/>
      <c r="BQ94" s="1834">
        <f t="shared" si="81"/>
        <v>0</v>
      </c>
      <c r="BS94" s="1621" t="s">
        <v>82</v>
      </c>
      <c r="BT94" s="1622">
        <f t="shared" si="82"/>
        <v>0</v>
      </c>
      <c r="BU94" s="1871"/>
      <c r="BV94" s="1871"/>
      <c r="BW94" s="1871"/>
      <c r="BX94" s="1871"/>
      <c r="BY94" s="1871"/>
      <c r="BZ94" s="1871"/>
      <c r="CA94" s="1871"/>
      <c r="CB94" s="1871"/>
      <c r="CC94" s="1871"/>
      <c r="CD94" s="1871"/>
      <c r="CE94" s="1871"/>
      <c r="CF94" s="1871"/>
      <c r="CG94" s="1827"/>
      <c r="CH94" s="1827"/>
      <c r="CI94" s="1827"/>
      <c r="CJ94" s="1830"/>
      <c r="CK94" s="1830"/>
      <c r="CL94" s="1830"/>
      <c r="CM94" s="1830"/>
      <c r="CN94" s="1830"/>
      <c r="CO94" s="1830"/>
      <c r="CP94" s="1830"/>
      <c r="CQ94" s="1830"/>
      <c r="CR94" s="1830"/>
      <c r="CS94" s="1830"/>
      <c r="CT94" s="1830"/>
      <c r="CU94" s="1830"/>
      <c r="CV94" s="1830"/>
      <c r="CW94" s="1830"/>
      <c r="CX94" s="1830"/>
      <c r="CY94" s="1830"/>
      <c r="CZ94" s="1826">
        <f t="shared" si="83"/>
        <v>0</v>
      </c>
      <c r="DB94" s="1054" t="s">
        <v>82</v>
      </c>
      <c r="DC94" s="1091">
        <f t="shared" si="84"/>
        <v>0</v>
      </c>
      <c r="DD94" s="1539"/>
      <c r="DE94" s="1539"/>
      <c r="DF94" s="1539"/>
      <c r="DG94" s="1539"/>
      <c r="DH94" s="1539"/>
      <c r="DI94" s="1539"/>
      <c r="DJ94" s="1539"/>
      <c r="DK94" s="1539"/>
      <c r="DL94" s="1539"/>
      <c r="DM94" s="1539"/>
      <c r="DN94" s="1539"/>
      <c r="DO94" s="1539"/>
      <c r="DP94" s="1539"/>
      <c r="DQ94" s="1539"/>
      <c r="DR94" s="1539"/>
      <c r="DS94" s="1596"/>
      <c r="DT94" s="1596"/>
      <c r="DU94" s="1596"/>
      <c r="DV94" s="1596"/>
      <c r="DW94" s="1596"/>
      <c r="DX94" s="1596"/>
      <c r="DY94" s="1596"/>
      <c r="DZ94" s="1596"/>
      <c r="EA94" s="1596"/>
      <c r="EB94" s="1596"/>
      <c r="EC94" s="1596"/>
      <c r="ED94" s="1596"/>
      <c r="EE94" s="1596"/>
      <c r="EF94" s="1596"/>
      <c r="EG94" s="1596"/>
      <c r="EH94" s="1596"/>
      <c r="EI94" s="1268">
        <f t="shared" si="85"/>
        <v>0</v>
      </c>
    </row>
    <row r="95" spans="1:139" ht="15">
      <c r="A95" s="1039" t="s">
        <v>83</v>
      </c>
      <c r="B95" s="1084">
        <f t="shared" si="78"/>
        <v>0</v>
      </c>
      <c r="C95" s="1973"/>
      <c r="D95" s="1972"/>
      <c r="E95" s="1972"/>
      <c r="F95" s="1972"/>
      <c r="G95" s="1972"/>
      <c r="H95" s="1972"/>
      <c r="I95" s="1972"/>
      <c r="J95" s="1972"/>
      <c r="K95" s="1972"/>
      <c r="L95" s="1972"/>
      <c r="M95" s="1972"/>
      <c r="N95" s="1972"/>
      <c r="O95" s="1972"/>
      <c r="P95" s="1972"/>
      <c r="Q95" s="1972"/>
      <c r="R95" s="1987"/>
      <c r="S95" s="1987"/>
      <c r="T95" s="1987"/>
      <c r="U95" s="1987"/>
      <c r="V95" s="1987"/>
      <c r="W95" s="1987"/>
      <c r="X95" s="1987"/>
      <c r="Y95" s="1987"/>
      <c r="Z95" s="1987"/>
      <c r="AA95" s="1987"/>
      <c r="AB95" s="1987"/>
      <c r="AC95" s="1987"/>
      <c r="AD95" s="1987"/>
      <c r="AE95" s="1987"/>
      <c r="AF95" s="1987"/>
      <c r="AG95" s="1973"/>
      <c r="AH95" s="1974">
        <f t="shared" si="79"/>
        <v>0</v>
      </c>
      <c r="AJ95" s="1524" t="s">
        <v>83</v>
      </c>
      <c r="AK95" s="1527">
        <f t="shared" si="80"/>
        <v>0</v>
      </c>
      <c r="AL95" s="1835"/>
      <c r="AM95" s="1838"/>
      <c r="AN95" s="1838"/>
      <c r="AO95" s="1838"/>
      <c r="AP95" s="1838"/>
      <c r="AQ95" s="1838"/>
      <c r="AR95" s="1838"/>
      <c r="AS95" s="1838"/>
      <c r="AT95" s="1838"/>
      <c r="AU95" s="1838"/>
      <c r="AV95" s="1838"/>
      <c r="AW95" s="1838"/>
      <c r="AX95" s="1838"/>
      <c r="AY95" s="1838"/>
      <c r="AZ95" s="1838"/>
      <c r="BA95" s="1873"/>
      <c r="BB95" s="1873"/>
      <c r="BC95" s="1873"/>
      <c r="BD95" s="1873"/>
      <c r="BE95" s="1872"/>
      <c r="BF95" s="1872"/>
      <c r="BG95" s="1872"/>
      <c r="BH95" s="1872"/>
      <c r="BI95" s="1872"/>
      <c r="BJ95" s="1872"/>
      <c r="BK95" s="1872"/>
      <c r="BL95" s="1872"/>
      <c r="BM95" s="1872"/>
      <c r="BN95" s="1872"/>
      <c r="BO95" s="1872"/>
      <c r="BP95" s="1872"/>
      <c r="BQ95" s="1834">
        <f t="shared" si="81"/>
        <v>0</v>
      </c>
      <c r="BS95" s="1621" t="s">
        <v>83</v>
      </c>
      <c r="BT95" s="1622">
        <f t="shared" si="82"/>
        <v>0</v>
      </c>
      <c r="BU95" s="1871"/>
      <c r="BV95" s="1871"/>
      <c r="BW95" s="1871"/>
      <c r="BX95" s="1871"/>
      <c r="BY95" s="1871"/>
      <c r="BZ95" s="1871"/>
      <c r="CA95" s="1871"/>
      <c r="CB95" s="1871"/>
      <c r="CC95" s="1871"/>
      <c r="CD95" s="1871"/>
      <c r="CE95" s="1871"/>
      <c r="CF95" s="1871"/>
      <c r="CG95" s="1830"/>
      <c r="CH95" s="1830"/>
      <c r="CI95" s="1830"/>
      <c r="CJ95" s="1853"/>
      <c r="CK95" s="1853"/>
      <c r="CL95" s="1853"/>
      <c r="CM95" s="1853"/>
      <c r="CN95" s="1853"/>
      <c r="CO95" s="1853"/>
      <c r="CP95" s="1853"/>
      <c r="CQ95" s="1853"/>
      <c r="CR95" s="1853"/>
      <c r="CS95" s="1853"/>
      <c r="CT95" s="1853"/>
      <c r="CU95" s="1853"/>
      <c r="CV95" s="1853"/>
      <c r="CW95" s="1853"/>
      <c r="CX95" s="1853"/>
      <c r="CY95" s="1827"/>
      <c r="CZ95" s="1826">
        <f t="shared" si="83"/>
        <v>0</v>
      </c>
      <c r="DB95" s="1054" t="s">
        <v>83</v>
      </c>
      <c r="DC95" s="1091">
        <f t="shared" si="84"/>
        <v>0</v>
      </c>
      <c r="DD95" s="1539"/>
      <c r="DE95" s="1596"/>
      <c r="DF95" s="1596"/>
      <c r="DG95" s="1596"/>
      <c r="DH95" s="1596"/>
      <c r="DI95" s="1596"/>
      <c r="DJ95" s="1596"/>
      <c r="DK95" s="1596"/>
      <c r="DL95" s="1596"/>
      <c r="DM95" s="1596"/>
      <c r="DN95" s="1596"/>
      <c r="DO95" s="1596"/>
      <c r="DP95" s="1596"/>
      <c r="DQ95" s="1596"/>
      <c r="DR95" s="1596"/>
      <c r="DS95" s="1924"/>
      <c r="DT95" s="1924"/>
      <c r="DU95" s="1924"/>
      <c r="DV95" s="1924"/>
      <c r="DW95" s="1924"/>
      <c r="DX95" s="1924"/>
      <c r="DY95" s="1924"/>
      <c r="DZ95" s="1924"/>
      <c r="EA95" s="1924"/>
      <c r="EB95" s="1924"/>
      <c r="EC95" s="1924"/>
      <c r="ED95" s="1924"/>
      <c r="EE95" s="1924"/>
      <c r="EF95" s="1924"/>
      <c r="EG95" s="1924"/>
      <c r="EH95" s="1539"/>
      <c r="EI95" s="1268">
        <f t="shared" si="85"/>
        <v>0</v>
      </c>
    </row>
    <row r="96" spans="1:139" ht="15">
      <c r="A96" s="1039" t="s">
        <v>84</v>
      </c>
      <c r="B96" s="1084">
        <f t="shared" si="78"/>
        <v>0</v>
      </c>
      <c r="C96" s="1973"/>
      <c r="D96" s="1987"/>
      <c r="E96" s="1987"/>
      <c r="F96" s="1987"/>
      <c r="G96" s="1973"/>
      <c r="H96" s="1973"/>
      <c r="I96" s="1973"/>
      <c r="J96" s="1973"/>
      <c r="K96" s="1973"/>
      <c r="L96" s="1973"/>
      <c r="M96" s="1973"/>
      <c r="N96" s="1973"/>
      <c r="O96" s="1973"/>
      <c r="P96" s="1973"/>
      <c r="Q96" s="1973"/>
      <c r="R96" s="1973"/>
      <c r="S96" s="1973"/>
      <c r="T96" s="1973"/>
      <c r="U96" s="1973"/>
      <c r="V96" s="1973"/>
      <c r="W96" s="1973"/>
      <c r="X96" s="1973"/>
      <c r="Y96" s="1973"/>
      <c r="Z96" s="1973"/>
      <c r="AA96" s="1973"/>
      <c r="AB96" s="1973"/>
      <c r="AC96" s="1973"/>
      <c r="AD96" s="1973"/>
      <c r="AE96" s="1973"/>
      <c r="AF96" s="1973"/>
      <c r="AG96" s="1973"/>
      <c r="AH96" s="1974">
        <f t="shared" si="79"/>
        <v>0</v>
      </c>
      <c r="AJ96" s="1524" t="s">
        <v>84</v>
      </c>
      <c r="AK96" s="1527">
        <f t="shared" si="80"/>
        <v>0</v>
      </c>
      <c r="AL96" s="1835"/>
      <c r="AM96" s="1873"/>
      <c r="AN96" s="1873"/>
      <c r="AO96" s="1873"/>
      <c r="AP96" s="1835"/>
      <c r="AQ96" s="1835"/>
      <c r="AR96" s="1835"/>
      <c r="AS96" s="1835"/>
      <c r="AT96" s="1835"/>
      <c r="AU96" s="1835"/>
      <c r="AV96" s="1835"/>
      <c r="AW96" s="1835"/>
      <c r="AX96" s="1835"/>
      <c r="AY96" s="1835"/>
      <c r="AZ96" s="1835"/>
      <c r="BA96" s="1835"/>
      <c r="BB96" s="1835"/>
      <c r="BC96" s="1835"/>
      <c r="BD96" s="1835"/>
      <c r="BE96" s="1872"/>
      <c r="BF96" s="1872"/>
      <c r="BG96" s="1872"/>
      <c r="BH96" s="1872"/>
      <c r="BI96" s="1872"/>
      <c r="BJ96" s="1872"/>
      <c r="BK96" s="1872"/>
      <c r="BL96" s="1872"/>
      <c r="BM96" s="1872"/>
      <c r="BN96" s="1872"/>
      <c r="BO96" s="1872"/>
      <c r="BP96" s="1872"/>
      <c r="BQ96" s="1834">
        <f t="shared" si="81"/>
        <v>0</v>
      </c>
      <c r="BS96" s="1621" t="s">
        <v>84</v>
      </c>
      <c r="BT96" s="1622">
        <f t="shared" si="82"/>
        <v>0</v>
      </c>
      <c r="BU96" s="1871"/>
      <c r="BV96" s="1871"/>
      <c r="BW96" s="1871"/>
      <c r="BX96" s="1871"/>
      <c r="BY96" s="1871"/>
      <c r="BZ96" s="1871"/>
      <c r="CA96" s="1871"/>
      <c r="CB96" s="1871"/>
      <c r="CC96" s="1871"/>
      <c r="CD96" s="1871"/>
      <c r="CE96" s="1871"/>
      <c r="CF96" s="1871"/>
      <c r="CG96" s="1827"/>
      <c r="CH96" s="1827"/>
      <c r="CI96" s="1827"/>
      <c r="CJ96" s="1827"/>
      <c r="CK96" s="1827"/>
      <c r="CL96" s="1827"/>
      <c r="CM96" s="1827"/>
      <c r="CN96" s="1827"/>
      <c r="CO96" s="1827"/>
      <c r="CP96" s="1827"/>
      <c r="CQ96" s="1827"/>
      <c r="CR96" s="1827"/>
      <c r="CS96" s="1827"/>
      <c r="CT96" s="1827"/>
      <c r="CU96" s="1827"/>
      <c r="CV96" s="1827"/>
      <c r="CW96" s="1827"/>
      <c r="CX96" s="1827"/>
      <c r="CY96" s="1827"/>
      <c r="CZ96" s="1826">
        <f t="shared" si="83"/>
        <v>0</v>
      </c>
      <c r="DB96" s="1054" t="s">
        <v>84</v>
      </c>
      <c r="DC96" s="1091">
        <f t="shared" si="84"/>
        <v>0</v>
      </c>
      <c r="DD96" s="1539"/>
      <c r="DE96" s="1924"/>
      <c r="DF96" s="1924"/>
      <c r="DG96" s="1924"/>
      <c r="DH96" s="1539"/>
      <c r="DI96" s="1539"/>
      <c r="DJ96" s="1539"/>
      <c r="DK96" s="1539"/>
      <c r="DL96" s="1539"/>
      <c r="DM96" s="1539"/>
      <c r="DN96" s="1539"/>
      <c r="DO96" s="1539"/>
      <c r="DP96" s="1539"/>
      <c r="DQ96" s="1539"/>
      <c r="DR96" s="1539"/>
      <c r="DS96" s="1539"/>
      <c r="DT96" s="1539"/>
      <c r="DU96" s="1539"/>
      <c r="DV96" s="1539"/>
      <c r="DW96" s="1539"/>
      <c r="DX96" s="1539"/>
      <c r="DY96" s="1539"/>
      <c r="DZ96" s="1539"/>
      <c r="EA96" s="1539"/>
      <c r="EB96" s="1539"/>
      <c r="EC96" s="1539"/>
      <c r="ED96" s="1539"/>
      <c r="EE96" s="1539"/>
      <c r="EF96" s="1539"/>
      <c r="EG96" s="1539"/>
      <c r="EH96" s="1539"/>
      <c r="EI96" s="1268">
        <f t="shared" si="85"/>
        <v>0</v>
      </c>
    </row>
    <row r="97" spans="1:139" ht="15">
      <c r="A97" s="1988" t="s">
        <v>72</v>
      </c>
      <c r="B97" s="1989">
        <f t="shared" ref="B97:AH97" si="86">SUM(B85:B96)</f>
        <v>0</v>
      </c>
      <c r="C97" s="1974">
        <f t="shared" si="86"/>
        <v>0</v>
      </c>
      <c r="D97" s="1974">
        <f t="shared" si="86"/>
        <v>0</v>
      </c>
      <c r="E97" s="1974">
        <f t="shared" si="86"/>
        <v>0</v>
      </c>
      <c r="F97" s="1974">
        <f t="shared" si="86"/>
        <v>0</v>
      </c>
      <c r="G97" s="1974">
        <f t="shared" si="86"/>
        <v>0</v>
      </c>
      <c r="H97" s="1974">
        <f t="shared" si="86"/>
        <v>0</v>
      </c>
      <c r="I97" s="1974">
        <f t="shared" si="86"/>
        <v>0</v>
      </c>
      <c r="J97" s="1974">
        <f t="shared" si="86"/>
        <v>0</v>
      </c>
      <c r="K97" s="1974">
        <f t="shared" si="86"/>
        <v>0</v>
      </c>
      <c r="L97" s="1974">
        <f t="shared" si="86"/>
        <v>0</v>
      </c>
      <c r="M97" s="1974">
        <f t="shared" si="86"/>
        <v>0</v>
      </c>
      <c r="N97" s="1974">
        <f t="shared" si="86"/>
        <v>0</v>
      </c>
      <c r="O97" s="1974">
        <f t="shared" si="86"/>
        <v>0</v>
      </c>
      <c r="P97" s="1974">
        <f t="shared" si="86"/>
        <v>0</v>
      </c>
      <c r="Q97" s="1974">
        <f t="shared" si="86"/>
        <v>0</v>
      </c>
      <c r="R97" s="1974">
        <f t="shared" si="86"/>
        <v>0</v>
      </c>
      <c r="S97" s="1974">
        <f t="shared" si="86"/>
        <v>0</v>
      </c>
      <c r="T97" s="1974">
        <f t="shared" si="86"/>
        <v>0</v>
      </c>
      <c r="U97" s="1974">
        <f t="shared" si="86"/>
        <v>0</v>
      </c>
      <c r="V97" s="1974">
        <f t="shared" si="86"/>
        <v>0</v>
      </c>
      <c r="W97" s="1974">
        <f t="shared" si="86"/>
        <v>0</v>
      </c>
      <c r="X97" s="1974">
        <f t="shared" si="86"/>
        <v>0</v>
      </c>
      <c r="Y97" s="1974">
        <f t="shared" si="86"/>
        <v>0</v>
      </c>
      <c r="Z97" s="1974">
        <f t="shared" si="86"/>
        <v>0</v>
      </c>
      <c r="AA97" s="1974">
        <f t="shared" si="86"/>
        <v>0</v>
      </c>
      <c r="AB97" s="1974">
        <f t="shared" si="86"/>
        <v>0</v>
      </c>
      <c r="AC97" s="1974">
        <f t="shared" si="86"/>
        <v>0</v>
      </c>
      <c r="AD97" s="1974">
        <f t="shared" si="86"/>
        <v>0</v>
      </c>
      <c r="AE97" s="1974">
        <f t="shared" si="86"/>
        <v>0</v>
      </c>
      <c r="AF97" s="1974">
        <f t="shared" si="86"/>
        <v>0</v>
      </c>
      <c r="AG97" s="1974">
        <f t="shared" si="86"/>
        <v>0</v>
      </c>
      <c r="AH97" s="1974">
        <f t="shared" si="86"/>
        <v>0</v>
      </c>
      <c r="AJ97" s="1837" t="s">
        <v>72</v>
      </c>
      <c r="AK97" s="1836">
        <f t="shared" ref="AK97:BQ97" si="87">SUM(AK85:AK96)</f>
        <v>0</v>
      </c>
      <c r="AL97" s="1834">
        <f t="shared" si="87"/>
        <v>0</v>
      </c>
      <c r="AM97" s="1834">
        <f t="shared" si="87"/>
        <v>0</v>
      </c>
      <c r="AN97" s="1834">
        <f t="shared" si="87"/>
        <v>0</v>
      </c>
      <c r="AO97" s="1834">
        <f t="shared" si="87"/>
        <v>0</v>
      </c>
      <c r="AP97" s="1834">
        <f t="shared" si="87"/>
        <v>0</v>
      </c>
      <c r="AQ97" s="1834">
        <f t="shared" si="87"/>
        <v>0</v>
      </c>
      <c r="AR97" s="1834">
        <f t="shared" si="87"/>
        <v>0</v>
      </c>
      <c r="AS97" s="1834">
        <f t="shared" si="87"/>
        <v>0</v>
      </c>
      <c r="AT97" s="1834">
        <f t="shared" si="87"/>
        <v>0</v>
      </c>
      <c r="AU97" s="1834">
        <f t="shared" si="87"/>
        <v>0</v>
      </c>
      <c r="AV97" s="1834">
        <f t="shared" si="87"/>
        <v>0</v>
      </c>
      <c r="AW97" s="1834">
        <f t="shared" si="87"/>
        <v>0</v>
      </c>
      <c r="AX97" s="1834">
        <f t="shared" si="87"/>
        <v>0</v>
      </c>
      <c r="AY97" s="1834">
        <f t="shared" si="87"/>
        <v>0</v>
      </c>
      <c r="AZ97" s="1834">
        <f t="shared" si="87"/>
        <v>0</v>
      </c>
      <c r="BA97" s="1834">
        <f t="shared" si="87"/>
        <v>0</v>
      </c>
      <c r="BB97" s="1834">
        <f t="shared" si="87"/>
        <v>0</v>
      </c>
      <c r="BC97" s="1834">
        <f t="shared" si="87"/>
        <v>0</v>
      </c>
      <c r="BD97" s="1834">
        <f t="shared" si="87"/>
        <v>0</v>
      </c>
      <c r="BE97" s="1834">
        <f t="shared" si="87"/>
        <v>0</v>
      </c>
      <c r="BF97" s="1834">
        <f t="shared" si="87"/>
        <v>0</v>
      </c>
      <c r="BG97" s="1834">
        <f t="shared" si="87"/>
        <v>0</v>
      </c>
      <c r="BH97" s="1834">
        <f t="shared" si="87"/>
        <v>0</v>
      </c>
      <c r="BI97" s="1834">
        <f t="shared" si="87"/>
        <v>0</v>
      </c>
      <c r="BJ97" s="1834">
        <f t="shared" si="87"/>
        <v>0</v>
      </c>
      <c r="BK97" s="1834">
        <f t="shared" si="87"/>
        <v>0</v>
      </c>
      <c r="BL97" s="1834">
        <f t="shared" si="87"/>
        <v>0</v>
      </c>
      <c r="BM97" s="1834">
        <f t="shared" si="87"/>
        <v>0</v>
      </c>
      <c r="BN97" s="1834">
        <f t="shared" si="87"/>
        <v>0</v>
      </c>
      <c r="BO97" s="1834">
        <f t="shared" si="87"/>
        <v>0</v>
      </c>
      <c r="BP97" s="1834">
        <f t="shared" si="87"/>
        <v>0</v>
      </c>
      <c r="BQ97" s="1834">
        <f t="shared" si="87"/>
        <v>0</v>
      </c>
      <c r="BS97" s="1829" t="s">
        <v>72</v>
      </c>
      <c r="BT97" s="1828">
        <f t="shared" ref="BT97:CZ97" si="88">SUM(BT85:BT96)</f>
        <v>4.1639999999999997</v>
      </c>
      <c r="BU97" s="1826">
        <f t="shared" si="88"/>
        <v>9.2999999999999999E-2</v>
      </c>
      <c r="BV97" s="1826">
        <f t="shared" si="88"/>
        <v>3.7999999999999999E-2</v>
      </c>
      <c r="BW97" s="1826">
        <f t="shared" si="88"/>
        <v>0.11600000000000001</v>
      </c>
      <c r="BX97" s="1826">
        <f t="shared" si="88"/>
        <v>8.0000000000000071E-3</v>
      </c>
      <c r="BY97" s="1826">
        <f t="shared" si="88"/>
        <v>2.6109999999999998</v>
      </c>
      <c r="BZ97" s="1826">
        <f t="shared" si="88"/>
        <v>4.4999999999999998E-2</v>
      </c>
      <c r="CA97" s="1826">
        <f t="shared" si="88"/>
        <v>0.13500000000000001</v>
      </c>
      <c r="CB97" s="1826">
        <f t="shared" si="88"/>
        <v>0.14699999999999999</v>
      </c>
      <c r="CC97" s="1826">
        <f t="shared" si="88"/>
        <v>1.0000000000000002E-2</v>
      </c>
      <c r="CD97" s="1826">
        <f t="shared" si="88"/>
        <v>6.2000000000000006E-2</v>
      </c>
      <c r="CE97" s="1826">
        <f t="shared" si="88"/>
        <v>3.5000000000000003E-2</v>
      </c>
      <c r="CF97" s="1826">
        <f t="shared" si="88"/>
        <v>4.1999999999999996E-2</v>
      </c>
      <c r="CG97" s="1826">
        <f t="shared" si="88"/>
        <v>3.9999999999999994E-2</v>
      </c>
      <c r="CH97" s="1826">
        <f t="shared" si="88"/>
        <v>8.5000000000000006E-2</v>
      </c>
      <c r="CI97" s="1826">
        <f t="shared" si="88"/>
        <v>9.5000000000000029E-2</v>
      </c>
      <c r="CJ97" s="1826">
        <f t="shared" si="88"/>
        <v>6.7000000000000004E-2</v>
      </c>
      <c r="CK97" s="1826">
        <f t="shared" si="88"/>
        <v>7.1999999999999995E-2</v>
      </c>
      <c r="CL97" s="1826">
        <f t="shared" si="88"/>
        <v>5.4999999999999938E-2</v>
      </c>
      <c r="CM97" s="1826">
        <f t="shared" si="88"/>
        <v>6.9999999999998952E-3</v>
      </c>
      <c r="CN97" s="1826">
        <f t="shared" si="88"/>
        <v>1.4999999999999999E-2</v>
      </c>
      <c r="CO97" s="1826">
        <f t="shared" si="88"/>
        <v>0.125</v>
      </c>
      <c r="CP97" s="1826">
        <f t="shared" si="88"/>
        <v>0.06</v>
      </c>
      <c r="CQ97" s="1826">
        <f t="shared" si="88"/>
        <v>2.9999999999999888E-3</v>
      </c>
      <c r="CR97" s="1826">
        <f t="shared" si="88"/>
        <v>2.0000000000000018E-2</v>
      </c>
      <c r="CS97" s="1826">
        <f t="shared" si="88"/>
        <v>3.3000000000000002E-2</v>
      </c>
      <c r="CT97" s="1826">
        <f t="shared" si="88"/>
        <v>7.0000000000000001E-3</v>
      </c>
      <c r="CU97" s="1826">
        <f t="shared" si="88"/>
        <v>9.9999999999999985E-3</v>
      </c>
      <c r="CV97" s="1826">
        <f t="shared" si="88"/>
        <v>0.04</v>
      </c>
      <c r="CW97" s="1826">
        <f t="shared" si="88"/>
        <v>5.4999999999999993E-2</v>
      </c>
      <c r="CX97" s="1826">
        <f t="shared" si="88"/>
        <v>3.2999999999999995E-2</v>
      </c>
      <c r="CY97" s="1826">
        <f t="shared" si="88"/>
        <v>0</v>
      </c>
      <c r="CZ97" s="1826">
        <f t="shared" si="88"/>
        <v>4.1639999999999997</v>
      </c>
      <c r="DB97" s="1259" t="s">
        <v>72</v>
      </c>
      <c r="DC97" s="1923">
        <f t="shared" ref="DC97:EI97" si="89">SUM(DC85:DC96)</f>
        <v>0</v>
      </c>
      <c r="DD97" s="1268">
        <f t="shared" si="89"/>
        <v>0</v>
      </c>
      <c r="DE97" s="1268">
        <f t="shared" si="89"/>
        <v>0</v>
      </c>
      <c r="DF97" s="1268">
        <f t="shared" si="89"/>
        <v>0</v>
      </c>
      <c r="DG97" s="1268">
        <f t="shared" si="89"/>
        <v>0</v>
      </c>
      <c r="DH97" s="1268">
        <f t="shared" si="89"/>
        <v>0</v>
      </c>
      <c r="DI97" s="1268">
        <f t="shared" si="89"/>
        <v>0</v>
      </c>
      <c r="DJ97" s="1268">
        <f t="shared" si="89"/>
        <v>0</v>
      </c>
      <c r="DK97" s="1268">
        <f t="shared" si="89"/>
        <v>0</v>
      </c>
      <c r="DL97" s="1268">
        <f t="shared" si="89"/>
        <v>0</v>
      </c>
      <c r="DM97" s="1268">
        <f t="shared" si="89"/>
        <v>0</v>
      </c>
      <c r="DN97" s="1268">
        <f t="shared" si="89"/>
        <v>0</v>
      </c>
      <c r="DO97" s="1268">
        <f t="shared" si="89"/>
        <v>0</v>
      </c>
      <c r="DP97" s="1268">
        <f t="shared" si="89"/>
        <v>0</v>
      </c>
      <c r="DQ97" s="1268">
        <f t="shared" si="89"/>
        <v>0</v>
      </c>
      <c r="DR97" s="1268">
        <f t="shared" si="89"/>
        <v>0</v>
      </c>
      <c r="DS97" s="1268">
        <f t="shared" si="89"/>
        <v>0</v>
      </c>
      <c r="DT97" s="1268">
        <f t="shared" si="89"/>
        <v>0</v>
      </c>
      <c r="DU97" s="1268">
        <f t="shared" si="89"/>
        <v>0</v>
      </c>
      <c r="DV97" s="1268">
        <f t="shared" si="89"/>
        <v>0</v>
      </c>
      <c r="DW97" s="1268">
        <f t="shared" si="89"/>
        <v>0</v>
      </c>
      <c r="DX97" s="1268">
        <f t="shared" si="89"/>
        <v>0</v>
      </c>
      <c r="DY97" s="1268">
        <f t="shared" si="89"/>
        <v>0</v>
      </c>
      <c r="DZ97" s="1268">
        <f t="shared" si="89"/>
        <v>0</v>
      </c>
      <c r="EA97" s="1268">
        <f t="shared" si="89"/>
        <v>0</v>
      </c>
      <c r="EB97" s="1268">
        <f t="shared" si="89"/>
        <v>0</v>
      </c>
      <c r="EC97" s="1268">
        <f t="shared" si="89"/>
        <v>0</v>
      </c>
      <c r="ED97" s="1268">
        <f t="shared" si="89"/>
        <v>0</v>
      </c>
      <c r="EE97" s="1268">
        <f t="shared" si="89"/>
        <v>0</v>
      </c>
      <c r="EF97" s="1268">
        <f t="shared" si="89"/>
        <v>0</v>
      </c>
      <c r="EG97" s="1268">
        <f t="shared" si="89"/>
        <v>0</v>
      </c>
      <c r="EH97" s="1268">
        <f t="shared" si="89"/>
        <v>0</v>
      </c>
      <c r="EI97" s="1268">
        <f t="shared" si="89"/>
        <v>0</v>
      </c>
    </row>
    <row r="98" spans="1:139">
      <c r="A98" s="1211"/>
      <c r="B98" s="1211"/>
      <c r="C98" s="1211"/>
      <c r="D98" s="1211"/>
      <c r="E98" s="1211"/>
      <c r="F98" s="1211"/>
      <c r="G98" s="1211"/>
      <c r="H98" s="1211"/>
      <c r="I98" s="1211"/>
      <c r="J98" s="1211"/>
      <c r="K98" s="1211"/>
      <c r="L98" s="1211"/>
      <c r="M98" s="1211"/>
      <c r="N98" s="1211"/>
      <c r="O98" s="1211"/>
      <c r="P98" s="1211"/>
      <c r="Q98" s="1211"/>
      <c r="R98" s="1211"/>
      <c r="S98" s="1211"/>
      <c r="T98" s="1211"/>
      <c r="U98" s="1211"/>
      <c r="V98" s="1211"/>
      <c r="W98" s="1211"/>
      <c r="X98" s="1211"/>
      <c r="Y98" s="1211"/>
      <c r="Z98" s="1211"/>
      <c r="AA98" s="1211"/>
      <c r="AB98" s="1211"/>
      <c r="AC98" s="1211"/>
      <c r="AD98" s="1211"/>
      <c r="AE98" s="1211"/>
      <c r="AF98" s="1211"/>
      <c r="AG98" s="1211"/>
      <c r="AH98" s="1211"/>
      <c r="AJ98" s="1841"/>
      <c r="AK98" s="1841"/>
      <c r="AL98" s="1841"/>
      <c r="AM98" s="1841"/>
      <c r="AN98" s="1841"/>
      <c r="AO98" s="1841"/>
      <c r="AP98" s="1841"/>
      <c r="AQ98" s="1841"/>
      <c r="AR98" s="1841"/>
      <c r="AS98" s="1841"/>
      <c r="AT98" s="1841"/>
      <c r="AU98" s="1841"/>
      <c r="AV98" s="1841"/>
      <c r="AW98" s="1841"/>
      <c r="AX98" s="1841"/>
      <c r="AY98" s="1841"/>
      <c r="AZ98" s="1841"/>
      <c r="BA98" s="1841"/>
      <c r="BB98" s="1841"/>
      <c r="BC98" s="1841"/>
      <c r="BD98" s="1841"/>
      <c r="BE98" s="1841"/>
      <c r="BF98" s="1841"/>
      <c r="BG98" s="1841"/>
      <c r="BH98" s="1841"/>
      <c r="BI98" s="1841"/>
      <c r="BJ98" s="1841"/>
      <c r="BK98" s="1841"/>
      <c r="BL98" s="1841"/>
      <c r="BM98" s="1841"/>
      <c r="BN98" s="1841"/>
      <c r="BO98" s="1841"/>
      <c r="BP98" s="1841"/>
      <c r="BQ98" s="1841"/>
      <c r="BS98" s="1833"/>
      <c r="BT98" s="1833"/>
      <c r="BU98" s="1833"/>
      <c r="BV98" s="1833"/>
      <c r="BW98" s="1833"/>
      <c r="BX98" s="1833"/>
      <c r="BY98" s="1833"/>
      <c r="BZ98" s="1833"/>
      <c r="CA98" s="1833"/>
      <c r="CB98" s="1833"/>
      <c r="CC98" s="1833"/>
      <c r="CD98" s="1833"/>
      <c r="CE98" s="1833"/>
      <c r="CF98" s="1833"/>
      <c r="CG98" s="1833"/>
      <c r="CH98" s="1833"/>
      <c r="CI98" s="1833"/>
      <c r="CJ98" s="1833"/>
      <c r="CK98" s="1833"/>
      <c r="CL98" s="1833"/>
      <c r="CM98" s="1833"/>
      <c r="CN98" s="1833"/>
      <c r="CO98" s="1833"/>
      <c r="CP98" s="1833"/>
      <c r="CQ98" s="1833"/>
      <c r="CR98" s="1833"/>
      <c r="CS98" s="1833"/>
      <c r="CT98" s="1833"/>
      <c r="CU98" s="1833"/>
      <c r="CV98" s="1833"/>
      <c r="CW98" s="1833"/>
      <c r="CX98" s="1833"/>
      <c r="CY98" s="1833"/>
      <c r="CZ98" s="1833"/>
      <c r="DB98" s="1770"/>
      <c r="DC98" s="1770"/>
      <c r="DD98" s="1770"/>
      <c r="DE98" s="1770"/>
      <c r="DF98" s="1770"/>
      <c r="DG98" s="1770"/>
      <c r="DH98" s="1770"/>
      <c r="DI98" s="1770"/>
      <c r="DJ98" s="1770"/>
      <c r="DK98" s="1770"/>
      <c r="DL98" s="1770"/>
      <c r="DM98" s="1770"/>
      <c r="DN98" s="1770"/>
      <c r="DO98" s="1770"/>
      <c r="DP98" s="1770"/>
      <c r="DQ98" s="1770"/>
      <c r="DR98" s="1770"/>
      <c r="DS98" s="1770"/>
      <c r="DT98" s="1770"/>
      <c r="DU98" s="1770"/>
      <c r="DV98" s="1770"/>
      <c r="DW98" s="1770"/>
      <c r="DX98" s="1770"/>
      <c r="DY98" s="1770"/>
      <c r="DZ98" s="1770"/>
      <c r="EA98" s="1770"/>
      <c r="EB98" s="1770"/>
      <c r="EC98" s="1770"/>
      <c r="ED98" s="1770"/>
      <c r="EE98" s="1770"/>
      <c r="EF98" s="1770"/>
      <c r="EG98" s="1770"/>
      <c r="EH98" s="1770"/>
      <c r="EI98" s="1770"/>
    </row>
    <row r="99" spans="1:139" ht="15">
      <c r="A99" s="3872" t="s">
        <v>610</v>
      </c>
      <c r="B99" s="3873"/>
      <c r="C99" s="3874"/>
      <c r="D99" s="1990"/>
      <c r="E99" s="1970"/>
      <c r="F99" s="1970"/>
      <c r="G99" s="1970"/>
      <c r="H99" s="1970"/>
      <c r="I99" s="1970"/>
      <c r="J99" s="1970"/>
      <c r="K99" s="1970"/>
      <c r="L99" s="1970"/>
      <c r="M99" s="1971"/>
      <c r="N99" s="1991"/>
      <c r="O99" s="1970"/>
      <c r="P99" s="1970"/>
      <c r="Q99" s="1970"/>
      <c r="R99" s="1970"/>
      <c r="S99" s="1970"/>
      <c r="T99" s="1970"/>
      <c r="U99" s="1970"/>
      <c r="V99" s="1970"/>
      <c r="W99" s="1970"/>
      <c r="X99" s="1970"/>
      <c r="Y99" s="1970"/>
      <c r="Z99" s="1970"/>
      <c r="AA99" s="1970"/>
      <c r="AB99" s="1970"/>
      <c r="AC99" s="1970"/>
      <c r="AD99" s="1970"/>
      <c r="AE99" s="1970"/>
      <c r="AF99" s="1970"/>
      <c r="AG99" s="1970"/>
      <c r="AH99" s="1970"/>
      <c r="AJ99" s="3821" t="s">
        <v>610</v>
      </c>
      <c r="AK99" s="3822"/>
      <c r="AL99" s="3823"/>
      <c r="AM99" s="1915"/>
      <c r="AN99" s="1839"/>
      <c r="AO99" s="1839"/>
      <c r="AP99" s="1839"/>
      <c r="AQ99" s="1839"/>
      <c r="AR99" s="1839"/>
      <c r="AS99" s="1839"/>
      <c r="AT99" s="1839"/>
      <c r="AU99" s="1839"/>
      <c r="AV99" s="1840"/>
      <c r="AW99" s="1914"/>
      <c r="AX99" s="1839"/>
      <c r="AY99" s="1839"/>
      <c r="AZ99" s="1839"/>
      <c r="BA99" s="1839"/>
      <c r="BB99" s="1839"/>
      <c r="BC99" s="1839"/>
      <c r="BD99" s="1839"/>
      <c r="BE99" s="1839"/>
      <c r="BF99" s="1839"/>
      <c r="BG99" s="1839"/>
      <c r="BH99" s="1839"/>
      <c r="BI99" s="1839"/>
      <c r="BJ99" s="1839"/>
      <c r="BK99" s="1839"/>
      <c r="BL99" s="1839"/>
      <c r="BM99" s="1839"/>
      <c r="BN99" s="1839"/>
      <c r="BO99" s="1839"/>
      <c r="BP99" s="1839"/>
      <c r="BQ99" s="1839"/>
      <c r="BS99" s="4035" t="s">
        <v>610</v>
      </c>
      <c r="BT99" s="4036"/>
      <c r="BU99" s="4037"/>
      <c r="BV99" s="1913"/>
      <c r="BW99" s="1831"/>
      <c r="BX99" s="1831"/>
      <c r="BY99" s="1831"/>
      <c r="BZ99" s="1831"/>
      <c r="CA99" s="1831"/>
      <c r="CB99" s="1831"/>
      <c r="CC99" s="1831"/>
      <c r="CD99" s="1831"/>
      <c r="CE99" s="1832"/>
      <c r="CF99" s="1912"/>
      <c r="CG99" s="1831"/>
      <c r="CH99" s="1831"/>
      <c r="CI99" s="1831"/>
      <c r="CJ99" s="1831"/>
      <c r="CK99" s="1831"/>
      <c r="CL99" s="1831"/>
      <c r="CM99" s="1831"/>
      <c r="CN99" s="1831"/>
      <c r="CO99" s="1831"/>
      <c r="CP99" s="1831"/>
      <c r="CQ99" s="1831"/>
      <c r="CR99" s="1831"/>
      <c r="CS99" s="1831"/>
      <c r="CT99" s="1831"/>
      <c r="CU99" s="1831"/>
      <c r="CV99" s="1831"/>
      <c r="CW99" s="1831"/>
      <c r="CX99" s="1831"/>
      <c r="CY99" s="1831"/>
      <c r="CZ99" s="1831"/>
      <c r="DB99" s="4044" t="s">
        <v>610</v>
      </c>
      <c r="DC99" s="4045"/>
      <c r="DD99" s="4046"/>
      <c r="DE99" s="1921"/>
      <c r="DF99" s="1229"/>
      <c r="DG99" s="1229"/>
      <c r="DH99" s="1229"/>
      <c r="DI99" s="1229"/>
      <c r="DJ99" s="1229"/>
      <c r="DK99" s="1229"/>
      <c r="DL99" s="1229"/>
      <c r="DM99" s="1229"/>
      <c r="DN99" s="1920"/>
      <c r="DO99" s="1919"/>
      <c r="DP99" s="1229"/>
      <c r="DQ99" s="1229"/>
      <c r="DR99" s="1229"/>
      <c r="DS99" s="1229"/>
      <c r="DT99" s="1229"/>
      <c r="DU99" s="1229"/>
      <c r="DV99" s="1229"/>
      <c r="DW99" s="1229"/>
      <c r="DX99" s="1229"/>
      <c r="DY99" s="1229"/>
      <c r="DZ99" s="1229"/>
      <c r="EA99" s="1229"/>
      <c r="EB99" s="1229"/>
      <c r="EC99" s="1229"/>
      <c r="ED99" s="1229"/>
      <c r="EE99" s="1229"/>
      <c r="EF99" s="1229"/>
      <c r="EG99" s="1229"/>
      <c r="EH99" s="1229"/>
      <c r="EI99" s="1229"/>
    </row>
    <row r="100" spans="1:139" ht="15">
      <c r="A100" s="1039" t="s">
        <v>70</v>
      </c>
      <c r="B100" s="1039" t="s">
        <v>71</v>
      </c>
      <c r="C100" s="1039">
        <v>1</v>
      </c>
      <c r="D100" s="1039">
        <v>2</v>
      </c>
      <c r="E100" s="1039">
        <v>3</v>
      </c>
      <c r="F100" s="1039">
        <v>4</v>
      </c>
      <c r="G100" s="1039">
        <v>5</v>
      </c>
      <c r="H100" s="1039">
        <v>6</v>
      </c>
      <c r="I100" s="1039">
        <v>7</v>
      </c>
      <c r="J100" s="1039">
        <v>8</v>
      </c>
      <c r="K100" s="1039">
        <v>9</v>
      </c>
      <c r="L100" s="1039">
        <v>10</v>
      </c>
      <c r="M100" s="1039">
        <v>11</v>
      </c>
      <c r="N100" s="1039">
        <v>12</v>
      </c>
      <c r="O100" s="1039">
        <v>13</v>
      </c>
      <c r="P100" s="1039">
        <v>14</v>
      </c>
      <c r="Q100" s="1039">
        <v>15</v>
      </c>
      <c r="R100" s="1039">
        <v>16</v>
      </c>
      <c r="S100" s="1039">
        <v>17</v>
      </c>
      <c r="T100" s="1039">
        <v>18</v>
      </c>
      <c r="U100" s="1039">
        <v>19</v>
      </c>
      <c r="V100" s="1039">
        <v>20</v>
      </c>
      <c r="W100" s="1039">
        <v>21</v>
      </c>
      <c r="X100" s="1039">
        <v>22</v>
      </c>
      <c r="Y100" s="1039">
        <v>23</v>
      </c>
      <c r="Z100" s="1039">
        <v>24</v>
      </c>
      <c r="AA100" s="1039">
        <v>25</v>
      </c>
      <c r="AB100" s="1039">
        <v>26</v>
      </c>
      <c r="AC100" s="1039">
        <v>27</v>
      </c>
      <c r="AD100" s="1039">
        <v>28</v>
      </c>
      <c r="AE100" s="1039">
        <v>29</v>
      </c>
      <c r="AF100" s="1039">
        <v>30</v>
      </c>
      <c r="AG100" s="1039">
        <v>31</v>
      </c>
      <c r="AH100" s="1972" t="s">
        <v>72</v>
      </c>
      <c r="AJ100" s="1524" t="s">
        <v>70</v>
      </c>
      <c r="AK100" s="1524" t="s">
        <v>71</v>
      </c>
      <c r="AL100" s="1524">
        <v>1</v>
      </c>
      <c r="AM100" s="1524">
        <v>2</v>
      </c>
      <c r="AN100" s="1524">
        <v>3</v>
      </c>
      <c r="AO100" s="1524">
        <v>4</v>
      </c>
      <c r="AP100" s="1524">
        <v>5</v>
      </c>
      <c r="AQ100" s="1524">
        <v>6</v>
      </c>
      <c r="AR100" s="1524">
        <v>7</v>
      </c>
      <c r="AS100" s="1524">
        <v>8</v>
      </c>
      <c r="AT100" s="1524">
        <v>9</v>
      </c>
      <c r="AU100" s="1524">
        <v>10</v>
      </c>
      <c r="AV100" s="1524">
        <v>11</v>
      </c>
      <c r="AW100" s="1524">
        <v>12</v>
      </c>
      <c r="AX100" s="1524">
        <v>13</v>
      </c>
      <c r="AY100" s="1524">
        <v>14</v>
      </c>
      <c r="AZ100" s="1524">
        <v>15</v>
      </c>
      <c r="BA100" s="1524">
        <v>16</v>
      </c>
      <c r="BB100" s="1524">
        <v>17</v>
      </c>
      <c r="BC100" s="1524">
        <v>18</v>
      </c>
      <c r="BD100" s="1524">
        <v>19</v>
      </c>
      <c r="BE100" s="1524">
        <v>20</v>
      </c>
      <c r="BF100" s="1524">
        <v>21</v>
      </c>
      <c r="BG100" s="1524">
        <v>22</v>
      </c>
      <c r="BH100" s="1524">
        <v>23</v>
      </c>
      <c r="BI100" s="1524">
        <v>24</v>
      </c>
      <c r="BJ100" s="1524">
        <v>25</v>
      </c>
      <c r="BK100" s="1524">
        <v>26</v>
      </c>
      <c r="BL100" s="1524">
        <v>27</v>
      </c>
      <c r="BM100" s="1524">
        <v>28</v>
      </c>
      <c r="BN100" s="1524">
        <v>29</v>
      </c>
      <c r="BO100" s="1524">
        <v>30</v>
      </c>
      <c r="BP100" s="1524">
        <v>31</v>
      </c>
      <c r="BQ100" s="1838" t="s">
        <v>72</v>
      </c>
      <c r="BS100" s="1621" t="s">
        <v>70</v>
      </c>
      <c r="BT100" s="1621" t="s">
        <v>71</v>
      </c>
      <c r="BU100" s="1621">
        <v>1</v>
      </c>
      <c r="BV100" s="1621">
        <v>2</v>
      </c>
      <c r="BW100" s="1621">
        <v>3</v>
      </c>
      <c r="BX100" s="1621">
        <v>4</v>
      </c>
      <c r="BY100" s="1621">
        <v>5</v>
      </c>
      <c r="BZ100" s="1621">
        <v>6</v>
      </c>
      <c r="CA100" s="1621">
        <v>7</v>
      </c>
      <c r="CB100" s="1621">
        <v>8</v>
      </c>
      <c r="CC100" s="1621">
        <v>9</v>
      </c>
      <c r="CD100" s="1621">
        <v>10</v>
      </c>
      <c r="CE100" s="1621">
        <v>11</v>
      </c>
      <c r="CF100" s="1621">
        <v>12</v>
      </c>
      <c r="CG100" s="1621">
        <v>13</v>
      </c>
      <c r="CH100" s="1621">
        <v>14</v>
      </c>
      <c r="CI100" s="1621">
        <v>15</v>
      </c>
      <c r="CJ100" s="1621">
        <v>16</v>
      </c>
      <c r="CK100" s="1621">
        <v>17</v>
      </c>
      <c r="CL100" s="1621">
        <v>18</v>
      </c>
      <c r="CM100" s="1621">
        <v>19</v>
      </c>
      <c r="CN100" s="1621">
        <v>20</v>
      </c>
      <c r="CO100" s="1621">
        <v>21</v>
      </c>
      <c r="CP100" s="1621">
        <v>22</v>
      </c>
      <c r="CQ100" s="1621">
        <v>23</v>
      </c>
      <c r="CR100" s="1621">
        <v>24</v>
      </c>
      <c r="CS100" s="1621">
        <v>25</v>
      </c>
      <c r="CT100" s="1621">
        <v>26</v>
      </c>
      <c r="CU100" s="1621">
        <v>27</v>
      </c>
      <c r="CV100" s="1621">
        <v>28</v>
      </c>
      <c r="CW100" s="1621">
        <v>29</v>
      </c>
      <c r="CX100" s="1621">
        <v>30</v>
      </c>
      <c r="CY100" s="1621">
        <v>31</v>
      </c>
      <c r="CZ100" s="1830" t="s">
        <v>72</v>
      </c>
      <c r="DB100" s="1054" t="s">
        <v>70</v>
      </c>
      <c r="DC100" s="1054" t="s">
        <v>71</v>
      </c>
      <c r="DD100" s="1054">
        <v>1</v>
      </c>
      <c r="DE100" s="1054">
        <v>2</v>
      </c>
      <c r="DF100" s="1054">
        <v>3</v>
      </c>
      <c r="DG100" s="1054">
        <v>4</v>
      </c>
      <c r="DH100" s="1054">
        <v>5</v>
      </c>
      <c r="DI100" s="1054">
        <v>6</v>
      </c>
      <c r="DJ100" s="1054">
        <v>7</v>
      </c>
      <c r="DK100" s="1054">
        <v>8</v>
      </c>
      <c r="DL100" s="1054">
        <v>9</v>
      </c>
      <c r="DM100" s="1054">
        <v>10</v>
      </c>
      <c r="DN100" s="1054">
        <v>11</v>
      </c>
      <c r="DO100" s="1054">
        <v>12</v>
      </c>
      <c r="DP100" s="1054">
        <v>13</v>
      </c>
      <c r="DQ100" s="1054">
        <v>14</v>
      </c>
      <c r="DR100" s="1054">
        <v>15</v>
      </c>
      <c r="DS100" s="1054">
        <v>16</v>
      </c>
      <c r="DT100" s="1054">
        <v>17</v>
      </c>
      <c r="DU100" s="1054">
        <v>18</v>
      </c>
      <c r="DV100" s="1054">
        <v>19</v>
      </c>
      <c r="DW100" s="1054">
        <v>20</v>
      </c>
      <c r="DX100" s="1054">
        <v>21</v>
      </c>
      <c r="DY100" s="1054">
        <v>22</v>
      </c>
      <c r="DZ100" s="1054">
        <v>23</v>
      </c>
      <c r="EA100" s="1054">
        <v>24</v>
      </c>
      <c r="EB100" s="1054">
        <v>25</v>
      </c>
      <c r="EC100" s="1054">
        <v>26</v>
      </c>
      <c r="ED100" s="1054">
        <v>27</v>
      </c>
      <c r="EE100" s="1054">
        <v>28</v>
      </c>
      <c r="EF100" s="1054">
        <v>29</v>
      </c>
      <c r="EG100" s="1054">
        <v>30</v>
      </c>
      <c r="EH100" s="1054">
        <v>31</v>
      </c>
      <c r="EI100" s="1596" t="s">
        <v>72</v>
      </c>
    </row>
    <row r="101" spans="1:139" ht="15">
      <c r="A101" s="1039" t="s">
        <v>73</v>
      </c>
      <c r="B101" s="1084">
        <f t="shared" ref="B101:B112" si="90">+AH101</f>
        <v>0</v>
      </c>
      <c r="C101" s="1992"/>
      <c r="D101" s="1992"/>
      <c r="E101" s="1992"/>
      <c r="F101" s="1992"/>
      <c r="G101" s="1992"/>
      <c r="H101" s="1992"/>
      <c r="I101" s="1992"/>
      <c r="J101" s="1992"/>
      <c r="K101" s="1992"/>
      <c r="L101" s="1992"/>
      <c r="M101" s="1992"/>
      <c r="N101" s="1992"/>
      <c r="O101" s="1992"/>
      <c r="P101" s="1992"/>
      <c r="Q101" s="1992"/>
      <c r="R101" s="1992"/>
      <c r="S101" s="1992"/>
      <c r="T101" s="1992"/>
      <c r="U101" s="1992"/>
      <c r="V101" s="1992"/>
      <c r="W101" s="1992"/>
      <c r="X101" s="1992"/>
      <c r="Y101" s="1992"/>
      <c r="Z101" s="1992"/>
      <c r="AA101" s="1992"/>
      <c r="AB101" s="1992"/>
      <c r="AC101" s="1992"/>
      <c r="AD101" s="1992"/>
      <c r="AE101" s="1992"/>
      <c r="AF101" s="1992"/>
      <c r="AG101" s="1992"/>
      <c r="AH101" s="1974">
        <f t="shared" ref="AH101:AH112" si="91">SUM(C101:AG101)</f>
        <v>0</v>
      </c>
      <c r="AJ101" s="1524" t="s">
        <v>73</v>
      </c>
      <c r="AK101" s="1527">
        <f t="shared" ref="AK101:AK112" si="92">+BQ101</f>
        <v>0</v>
      </c>
      <c r="AL101" s="1872"/>
      <c r="AM101" s="1872"/>
      <c r="AN101" s="1872"/>
      <c r="AO101" s="1872"/>
      <c r="AP101" s="1872"/>
      <c r="AQ101" s="1872"/>
      <c r="AR101" s="1872"/>
      <c r="AS101" s="1872"/>
      <c r="AT101" s="1872"/>
      <c r="AU101" s="1872"/>
      <c r="AV101" s="1872"/>
      <c r="AW101" s="1872"/>
      <c r="AX101" s="1872"/>
      <c r="AY101" s="1872"/>
      <c r="AZ101" s="1872"/>
      <c r="BA101" s="1872"/>
      <c r="BB101" s="1872"/>
      <c r="BC101" s="1872"/>
      <c r="BD101" s="1872"/>
      <c r="BE101" s="1872"/>
      <c r="BF101" s="1872"/>
      <c r="BG101" s="1872"/>
      <c r="BH101" s="1872"/>
      <c r="BI101" s="1872"/>
      <c r="BJ101" s="1872"/>
      <c r="BK101" s="1872"/>
      <c r="BL101" s="1872"/>
      <c r="BM101" s="1872"/>
      <c r="BN101" s="1872"/>
      <c r="BO101" s="1872"/>
      <c r="BP101" s="1872"/>
      <c r="BQ101" s="1834">
        <f t="shared" ref="BQ101:BQ112" si="93">SUM(AL101:BP101)</f>
        <v>0</v>
      </c>
      <c r="BS101" s="1621" t="s">
        <v>73</v>
      </c>
      <c r="BT101" s="1622">
        <f t="shared" ref="BT101:BT112" si="94">+CZ101</f>
        <v>0</v>
      </c>
      <c r="BU101" s="1871"/>
      <c r="BV101" s="1871"/>
      <c r="BW101" s="1871"/>
      <c r="BX101" s="1871"/>
      <c r="BY101" s="1871"/>
      <c r="BZ101" s="1871"/>
      <c r="CA101" s="1871"/>
      <c r="CB101" s="1871"/>
      <c r="CC101" s="1871"/>
      <c r="CD101" s="1871"/>
      <c r="CE101" s="1871"/>
      <c r="CF101" s="1871"/>
      <c r="CG101" s="1871"/>
      <c r="CH101" s="1871"/>
      <c r="CI101" s="1871"/>
      <c r="CJ101" s="1871"/>
      <c r="CK101" s="1871"/>
      <c r="CL101" s="1871"/>
      <c r="CM101" s="1871"/>
      <c r="CN101" s="1871"/>
      <c r="CO101" s="1871"/>
      <c r="CP101" s="1871"/>
      <c r="CQ101" s="1871"/>
      <c r="CR101" s="1871"/>
      <c r="CS101" s="1871"/>
      <c r="CT101" s="1871"/>
      <c r="CU101" s="1871"/>
      <c r="CV101" s="1871"/>
      <c r="CW101" s="1871"/>
      <c r="CX101" s="1871"/>
      <c r="CY101" s="1871"/>
      <c r="CZ101" s="1826">
        <f t="shared" ref="CZ101:CZ112" si="95">SUM(BU101:CY101)</f>
        <v>0</v>
      </c>
      <c r="DB101" s="1054" t="s">
        <v>73</v>
      </c>
      <c r="DC101" s="1091">
        <f t="shared" ref="DC101:DC112" si="96">+EI101</f>
        <v>0</v>
      </c>
      <c r="DD101" s="1917"/>
      <c r="DE101" s="1917"/>
      <c r="DF101" s="1917"/>
      <c r="DG101" s="1917"/>
      <c r="DH101" s="1917"/>
      <c r="DI101" s="1917"/>
      <c r="DJ101" s="1917"/>
      <c r="DK101" s="1917"/>
      <c r="DL101" s="1917"/>
      <c r="DM101" s="1917"/>
      <c r="DN101" s="1917"/>
      <c r="DO101" s="1917"/>
      <c r="DP101" s="1917"/>
      <c r="DQ101" s="1917"/>
      <c r="DR101" s="1917"/>
      <c r="DS101" s="1917"/>
      <c r="DT101" s="1917"/>
      <c r="DU101" s="1917"/>
      <c r="DV101" s="1917"/>
      <c r="DW101" s="1917"/>
      <c r="DX101" s="1917"/>
      <c r="DY101" s="1917"/>
      <c r="DZ101" s="1917"/>
      <c r="EA101" s="1917"/>
      <c r="EB101" s="1917"/>
      <c r="EC101" s="1917"/>
      <c r="ED101" s="1917"/>
      <c r="EE101" s="1917"/>
      <c r="EF101" s="1917"/>
      <c r="EG101" s="1917"/>
      <c r="EH101" s="1917"/>
      <c r="EI101" s="1268">
        <f t="shared" ref="EI101:EI112" si="97">SUM(DD101:EH101)</f>
        <v>0</v>
      </c>
    </row>
    <row r="102" spans="1:139" ht="15">
      <c r="A102" s="1039" t="s">
        <v>74</v>
      </c>
      <c r="B102" s="1084">
        <f t="shared" si="90"/>
        <v>0</v>
      </c>
      <c r="C102" s="1992"/>
      <c r="D102" s="1992"/>
      <c r="E102" s="1992"/>
      <c r="F102" s="1992"/>
      <c r="G102" s="1992"/>
      <c r="H102" s="1992"/>
      <c r="I102" s="1992"/>
      <c r="J102" s="1992"/>
      <c r="K102" s="1992"/>
      <c r="L102" s="1992"/>
      <c r="M102" s="1992"/>
      <c r="N102" s="1992"/>
      <c r="O102" s="1992"/>
      <c r="P102" s="1992"/>
      <c r="Q102" s="1992"/>
      <c r="R102" s="1992"/>
      <c r="S102" s="1992"/>
      <c r="T102" s="1992"/>
      <c r="U102" s="1992"/>
      <c r="V102" s="1992"/>
      <c r="W102" s="1992"/>
      <c r="X102" s="1992"/>
      <c r="Y102" s="1992"/>
      <c r="Z102" s="1992"/>
      <c r="AA102" s="1992"/>
      <c r="AB102" s="1992"/>
      <c r="AC102" s="1992"/>
      <c r="AD102" s="1992"/>
      <c r="AE102" s="1992"/>
      <c r="AF102" s="1992"/>
      <c r="AG102" s="1992"/>
      <c r="AH102" s="1974">
        <f t="shared" si="91"/>
        <v>0</v>
      </c>
      <c r="AJ102" s="1524" t="s">
        <v>74</v>
      </c>
      <c r="AK102" s="1527">
        <f t="shared" si="92"/>
        <v>0</v>
      </c>
      <c r="AL102" s="1872"/>
      <c r="AM102" s="1872"/>
      <c r="AN102" s="1872"/>
      <c r="AO102" s="1872"/>
      <c r="AP102" s="1872"/>
      <c r="AQ102" s="1872"/>
      <c r="AR102" s="1872"/>
      <c r="AS102" s="1872"/>
      <c r="AT102" s="1872"/>
      <c r="AU102" s="1872"/>
      <c r="AV102" s="1872"/>
      <c r="AW102" s="1872"/>
      <c r="AX102" s="1872"/>
      <c r="AY102" s="1872"/>
      <c r="AZ102" s="1872"/>
      <c r="BA102" s="1872"/>
      <c r="BB102" s="1872"/>
      <c r="BC102" s="1872"/>
      <c r="BD102" s="1872"/>
      <c r="BE102" s="1872"/>
      <c r="BF102" s="1872"/>
      <c r="BG102" s="1872"/>
      <c r="BH102" s="1872"/>
      <c r="BI102" s="1872"/>
      <c r="BJ102" s="1872"/>
      <c r="BK102" s="1872"/>
      <c r="BL102" s="1872"/>
      <c r="BM102" s="1872"/>
      <c r="BN102" s="1872"/>
      <c r="BO102" s="1872"/>
      <c r="BP102" s="1872"/>
      <c r="BQ102" s="1834">
        <f t="shared" si="93"/>
        <v>0</v>
      </c>
      <c r="BS102" s="1621" t="s">
        <v>74</v>
      </c>
      <c r="BT102" s="1622">
        <f t="shared" si="94"/>
        <v>0</v>
      </c>
      <c r="BU102" s="1871"/>
      <c r="BV102" s="1871"/>
      <c r="BW102" s="1871"/>
      <c r="BX102" s="1871"/>
      <c r="BY102" s="1871"/>
      <c r="BZ102" s="1871"/>
      <c r="CA102" s="1871"/>
      <c r="CB102" s="1871"/>
      <c r="CC102" s="1871"/>
      <c r="CD102" s="1871"/>
      <c r="CE102" s="1871"/>
      <c r="CF102" s="1871"/>
      <c r="CG102" s="1871"/>
      <c r="CH102" s="1871"/>
      <c r="CI102" s="1871"/>
      <c r="CJ102" s="1871"/>
      <c r="CK102" s="1871"/>
      <c r="CL102" s="1871"/>
      <c r="CM102" s="1871"/>
      <c r="CN102" s="1871"/>
      <c r="CO102" s="1871"/>
      <c r="CP102" s="1871"/>
      <c r="CQ102" s="1871"/>
      <c r="CR102" s="1871"/>
      <c r="CS102" s="1871"/>
      <c r="CT102" s="1871"/>
      <c r="CU102" s="1871"/>
      <c r="CV102" s="1871"/>
      <c r="CW102" s="1871"/>
      <c r="CX102" s="1871"/>
      <c r="CY102" s="1871"/>
      <c r="CZ102" s="1826">
        <f t="shared" si="95"/>
        <v>0</v>
      </c>
      <c r="DB102" s="1054" t="s">
        <v>74</v>
      </c>
      <c r="DC102" s="1091">
        <f t="shared" si="96"/>
        <v>0</v>
      </c>
      <c r="DD102" s="1917"/>
      <c r="DE102" s="1917"/>
      <c r="DF102" s="1917"/>
      <c r="DG102" s="1917"/>
      <c r="DH102" s="1917"/>
      <c r="DI102" s="1917"/>
      <c r="DJ102" s="1917"/>
      <c r="DK102" s="1917"/>
      <c r="DL102" s="1917"/>
      <c r="DM102" s="1917"/>
      <c r="DN102" s="1917"/>
      <c r="DO102" s="1917"/>
      <c r="DP102" s="1917"/>
      <c r="DQ102" s="1917"/>
      <c r="DR102" s="1917"/>
      <c r="DS102" s="1917"/>
      <c r="DT102" s="1917"/>
      <c r="DU102" s="1917"/>
      <c r="DV102" s="1917"/>
      <c r="DW102" s="1917"/>
      <c r="DX102" s="1917"/>
      <c r="DY102" s="1917"/>
      <c r="DZ102" s="1917"/>
      <c r="EA102" s="1917"/>
      <c r="EB102" s="1917"/>
      <c r="EC102" s="1917"/>
      <c r="ED102" s="1917"/>
      <c r="EE102" s="1917"/>
      <c r="EF102" s="1917"/>
      <c r="EG102" s="1917"/>
      <c r="EH102" s="1917"/>
      <c r="EI102" s="1268">
        <f t="shared" si="97"/>
        <v>0</v>
      </c>
    </row>
    <row r="103" spans="1:139" ht="15">
      <c r="A103" s="1039" t="s">
        <v>75</v>
      </c>
      <c r="B103" s="1084">
        <f t="shared" si="90"/>
        <v>0</v>
      </c>
      <c r="C103" s="1992"/>
      <c r="D103" s="1992"/>
      <c r="E103" s="1992"/>
      <c r="F103" s="1992"/>
      <c r="G103" s="1992"/>
      <c r="H103" s="1992"/>
      <c r="I103" s="1992"/>
      <c r="J103" s="1992"/>
      <c r="K103" s="1992"/>
      <c r="L103" s="1992"/>
      <c r="M103" s="1992"/>
      <c r="N103" s="1992"/>
      <c r="O103" s="1992"/>
      <c r="P103" s="1992"/>
      <c r="Q103" s="1992"/>
      <c r="R103" s="1992"/>
      <c r="S103" s="1992"/>
      <c r="T103" s="1992"/>
      <c r="U103" s="1992"/>
      <c r="V103" s="1992"/>
      <c r="W103" s="1992"/>
      <c r="X103" s="1992"/>
      <c r="Y103" s="1992"/>
      <c r="Z103" s="1992"/>
      <c r="AA103" s="1992"/>
      <c r="AB103" s="1992"/>
      <c r="AC103" s="1992"/>
      <c r="AD103" s="1992"/>
      <c r="AE103" s="1992"/>
      <c r="AF103" s="1992"/>
      <c r="AG103" s="1992"/>
      <c r="AH103" s="1974">
        <f t="shared" si="91"/>
        <v>0</v>
      </c>
      <c r="AJ103" s="1524" t="s">
        <v>75</v>
      </c>
      <c r="AK103" s="1527">
        <f t="shared" si="92"/>
        <v>0</v>
      </c>
      <c r="AL103" s="1872"/>
      <c r="AM103" s="1872"/>
      <c r="AN103" s="1872"/>
      <c r="AO103" s="1872"/>
      <c r="AP103" s="1872"/>
      <c r="AQ103" s="1872"/>
      <c r="AR103" s="1872"/>
      <c r="AS103" s="1872"/>
      <c r="AT103" s="1872"/>
      <c r="AU103" s="1872"/>
      <c r="AV103" s="1872"/>
      <c r="AW103" s="1872"/>
      <c r="AX103" s="1872"/>
      <c r="AY103" s="1872"/>
      <c r="AZ103" s="1872"/>
      <c r="BA103" s="1872"/>
      <c r="BB103" s="1872"/>
      <c r="BC103" s="1872"/>
      <c r="BD103" s="1872"/>
      <c r="BE103" s="1872"/>
      <c r="BF103" s="1872"/>
      <c r="BG103" s="1872"/>
      <c r="BH103" s="1872"/>
      <c r="BI103" s="1872"/>
      <c r="BJ103" s="1872"/>
      <c r="BK103" s="1872"/>
      <c r="BL103" s="1872"/>
      <c r="BM103" s="1872"/>
      <c r="BN103" s="1872"/>
      <c r="BO103" s="1872"/>
      <c r="BP103" s="1872"/>
      <c r="BQ103" s="1834">
        <f t="shared" si="93"/>
        <v>0</v>
      </c>
      <c r="BS103" s="1621" t="s">
        <v>75</v>
      </c>
      <c r="BT103" s="1622">
        <f t="shared" si="94"/>
        <v>0</v>
      </c>
      <c r="BU103" s="1871"/>
      <c r="BV103" s="1871"/>
      <c r="BW103" s="1871"/>
      <c r="BX103" s="1871"/>
      <c r="BY103" s="1871"/>
      <c r="BZ103" s="1871"/>
      <c r="CA103" s="1871"/>
      <c r="CB103" s="1871"/>
      <c r="CC103" s="1871"/>
      <c r="CD103" s="1871"/>
      <c r="CE103" s="1871"/>
      <c r="CF103" s="1871"/>
      <c r="CG103" s="1871"/>
      <c r="CH103" s="1871"/>
      <c r="CI103" s="1871"/>
      <c r="CJ103" s="1871"/>
      <c r="CK103" s="1871"/>
      <c r="CL103" s="1871"/>
      <c r="CM103" s="1871"/>
      <c r="CN103" s="1871"/>
      <c r="CO103" s="1871"/>
      <c r="CP103" s="1871"/>
      <c r="CQ103" s="1871"/>
      <c r="CR103" s="1871"/>
      <c r="CS103" s="1871"/>
      <c r="CT103" s="1871"/>
      <c r="CU103" s="1871"/>
      <c r="CV103" s="1871"/>
      <c r="CW103" s="1871"/>
      <c r="CX103" s="1871"/>
      <c r="CY103" s="1871"/>
      <c r="CZ103" s="1826">
        <f t="shared" si="95"/>
        <v>0</v>
      </c>
      <c r="DB103" s="1054" t="s">
        <v>75</v>
      </c>
      <c r="DC103" s="1091">
        <f t="shared" si="96"/>
        <v>0</v>
      </c>
      <c r="DD103" s="1917"/>
      <c r="DE103" s="1917"/>
      <c r="DF103" s="1917"/>
      <c r="DG103" s="1917"/>
      <c r="DH103" s="1917"/>
      <c r="DI103" s="1917"/>
      <c r="DJ103" s="1917"/>
      <c r="DK103" s="1917"/>
      <c r="DL103" s="1917"/>
      <c r="DM103" s="1917"/>
      <c r="DN103" s="1917"/>
      <c r="DO103" s="1917"/>
      <c r="DP103" s="1917"/>
      <c r="DQ103" s="1917"/>
      <c r="DR103" s="1917"/>
      <c r="DS103" s="1917"/>
      <c r="DT103" s="1917"/>
      <c r="DU103" s="1917"/>
      <c r="DV103" s="1917"/>
      <c r="DW103" s="1917"/>
      <c r="DX103" s="1917"/>
      <c r="DY103" s="1917"/>
      <c r="DZ103" s="1917"/>
      <c r="EA103" s="1917"/>
      <c r="EB103" s="1917"/>
      <c r="EC103" s="1917"/>
      <c r="ED103" s="1917"/>
      <c r="EE103" s="1917"/>
      <c r="EF103" s="1917"/>
      <c r="EG103" s="1917"/>
      <c r="EH103" s="1917"/>
      <c r="EI103" s="1268">
        <f t="shared" si="97"/>
        <v>0</v>
      </c>
    </row>
    <row r="104" spans="1:139" ht="15">
      <c r="A104" s="1039" t="s">
        <v>76</v>
      </c>
      <c r="B104" s="1084">
        <f t="shared" si="90"/>
        <v>0</v>
      </c>
      <c r="C104" s="1993"/>
      <c r="D104" s="1993"/>
      <c r="E104" s="1993"/>
      <c r="F104" s="1993"/>
      <c r="G104" s="1993"/>
      <c r="H104" s="1993"/>
      <c r="I104" s="1993"/>
      <c r="J104" s="1993"/>
      <c r="K104" s="1993"/>
      <c r="L104" s="1993"/>
      <c r="M104" s="1992"/>
      <c r="N104" s="1992"/>
      <c r="O104" s="1992"/>
      <c r="P104" s="1992"/>
      <c r="Q104" s="1992"/>
      <c r="R104" s="1992"/>
      <c r="S104" s="1992"/>
      <c r="T104" s="1992"/>
      <c r="U104" s="1992"/>
      <c r="V104" s="1992"/>
      <c r="W104" s="1992"/>
      <c r="X104" s="1992"/>
      <c r="Y104" s="1992"/>
      <c r="Z104" s="1992"/>
      <c r="AA104" s="1992"/>
      <c r="AB104" s="1992"/>
      <c r="AC104" s="1992"/>
      <c r="AD104" s="1992"/>
      <c r="AE104" s="1992"/>
      <c r="AF104" s="1992"/>
      <c r="AG104" s="1993"/>
      <c r="AH104" s="1974">
        <f t="shared" si="91"/>
        <v>0</v>
      </c>
      <c r="AJ104" s="1524" t="s">
        <v>76</v>
      </c>
      <c r="AK104" s="1527">
        <f t="shared" si="92"/>
        <v>0</v>
      </c>
      <c r="AL104" s="1877"/>
      <c r="AM104" s="1877"/>
      <c r="AN104" s="1877"/>
      <c r="AO104" s="1877"/>
      <c r="AP104" s="1877"/>
      <c r="AQ104" s="1877"/>
      <c r="AR104" s="1877"/>
      <c r="AS104" s="1877"/>
      <c r="AT104" s="1877"/>
      <c r="AU104" s="1877"/>
      <c r="AV104" s="1872"/>
      <c r="AW104" s="1872"/>
      <c r="AX104" s="1872"/>
      <c r="AY104" s="1872"/>
      <c r="AZ104" s="1872"/>
      <c r="BA104" s="1872"/>
      <c r="BB104" s="1872"/>
      <c r="BC104" s="1872"/>
      <c r="BD104" s="1872"/>
      <c r="BE104" s="1877"/>
      <c r="BF104" s="1877"/>
      <c r="BG104" s="1877"/>
      <c r="BH104" s="1877"/>
      <c r="BI104" s="1877"/>
      <c r="BJ104" s="1877"/>
      <c r="BK104" s="1877"/>
      <c r="BL104" s="1877"/>
      <c r="BM104" s="1877"/>
      <c r="BN104" s="1877"/>
      <c r="BO104" s="1872"/>
      <c r="BP104" s="1872"/>
      <c r="BQ104" s="1834">
        <f t="shared" si="93"/>
        <v>0</v>
      </c>
      <c r="BS104" s="1621" t="s">
        <v>76</v>
      </c>
      <c r="BT104" s="1622">
        <f t="shared" si="94"/>
        <v>0</v>
      </c>
      <c r="BU104" s="1876"/>
      <c r="BV104" s="1876"/>
      <c r="BW104" s="1876"/>
      <c r="BX104" s="1876"/>
      <c r="BY104" s="1876"/>
      <c r="BZ104" s="1876"/>
      <c r="CA104" s="1876"/>
      <c r="CB104" s="1876"/>
      <c r="CC104" s="1876"/>
      <c r="CD104" s="1876"/>
      <c r="CE104" s="1871"/>
      <c r="CF104" s="1871"/>
      <c r="CG104" s="1871"/>
      <c r="CH104" s="1871"/>
      <c r="CI104" s="1871"/>
      <c r="CJ104" s="1871"/>
      <c r="CK104" s="1871"/>
      <c r="CL104" s="1871"/>
      <c r="CM104" s="1871"/>
      <c r="CN104" s="1871"/>
      <c r="CO104" s="1871"/>
      <c r="CP104" s="1871"/>
      <c r="CQ104" s="1871"/>
      <c r="CR104" s="1871"/>
      <c r="CS104" s="1871"/>
      <c r="CT104" s="1871"/>
      <c r="CU104" s="1871"/>
      <c r="CV104" s="1871"/>
      <c r="CW104" s="1871"/>
      <c r="CX104" s="1871"/>
      <c r="CY104" s="1876"/>
      <c r="CZ104" s="1826">
        <f t="shared" si="95"/>
        <v>0</v>
      </c>
      <c r="DB104" s="1054" t="s">
        <v>76</v>
      </c>
      <c r="DC104" s="1091">
        <f t="shared" si="96"/>
        <v>0</v>
      </c>
      <c r="DD104" s="1538"/>
      <c r="DE104" s="1538"/>
      <c r="DF104" s="1538"/>
      <c r="DG104" s="1538"/>
      <c r="DH104" s="1538"/>
      <c r="DI104" s="1538"/>
      <c r="DJ104" s="1538"/>
      <c r="DK104" s="1538"/>
      <c r="DL104" s="1538"/>
      <c r="DM104" s="1538"/>
      <c r="DN104" s="1917"/>
      <c r="DO104" s="1917"/>
      <c r="DP104" s="1917"/>
      <c r="DQ104" s="1917"/>
      <c r="DR104" s="1917"/>
      <c r="DS104" s="1917"/>
      <c r="DT104" s="1917"/>
      <c r="DU104" s="1917"/>
      <c r="DV104" s="1917"/>
      <c r="DW104" s="1917"/>
      <c r="DX104" s="1917"/>
      <c r="DY104" s="1917"/>
      <c r="DZ104" s="1917"/>
      <c r="EA104" s="1917"/>
      <c r="EB104" s="1917"/>
      <c r="EC104" s="1917"/>
      <c r="ED104" s="1917"/>
      <c r="EE104" s="1917"/>
      <c r="EF104" s="1917"/>
      <c r="EG104" s="1917"/>
      <c r="EH104" s="1538"/>
      <c r="EI104" s="1268">
        <f t="shared" si="97"/>
        <v>0</v>
      </c>
    </row>
    <row r="105" spans="1:139" ht="15">
      <c r="A105" s="1039" t="s">
        <v>77</v>
      </c>
      <c r="B105" s="1084">
        <f t="shared" si="90"/>
        <v>0</v>
      </c>
      <c r="C105" s="1993"/>
      <c r="D105" s="1993"/>
      <c r="E105" s="1993"/>
      <c r="F105" s="1992"/>
      <c r="G105" s="1993"/>
      <c r="H105" s="1992"/>
      <c r="I105" s="1993"/>
      <c r="J105" s="1992"/>
      <c r="K105" s="1993"/>
      <c r="L105" s="1993"/>
      <c r="M105" s="1993"/>
      <c r="N105" s="1993"/>
      <c r="O105" s="1993"/>
      <c r="P105" s="1993"/>
      <c r="Q105" s="1993"/>
      <c r="R105" s="1993"/>
      <c r="S105" s="1992"/>
      <c r="T105" s="1993"/>
      <c r="U105" s="1993"/>
      <c r="V105" s="1992"/>
      <c r="W105" s="1993"/>
      <c r="X105" s="1993"/>
      <c r="Y105" s="1992"/>
      <c r="Z105" s="1993"/>
      <c r="AA105" s="1993"/>
      <c r="AB105" s="1992"/>
      <c r="AC105" s="1993"/>
      <c r="AD105" s="1993"/>
      <c r="AE105" s="1992"/>
      <c r="AF105" s="1993"/>
      <c r="AG105" s="1993"/>
      <c r="AH105" s="1974">
        <f t="shared" si="91"/>
        <v>0</v>
      </c>
      <c r="AJ105" s="1524" t="s">
        <v>77</v>
      </c>
      <c r="AK105" s="1527">
        <f t="shared" si="92"/>
        <v>0</v>
      </c>
      <c r="AL105" s="1877"/>
      <c r="AM105" s="1877"/>
      <c r="AN105" s="1877"/>
      <c r="AO105" s="1872"/>
      <c r="AP105" s="1877"/>
      <c r="AQ105" s="1872"/>
      <c r="AR105" s="1877"/>
      <c r="AS105" s="1872"/>
      <c r="AT105" s="1877"/>
      <c r="AU105" s="1877"/>
      <c r="AV105" s="1877"/>
      <c r="AW105" s="1877"/>
      <c r="AX105" s="1877"/>
      <c r="AY105" s="1877"/>
      <c r="AZ105" s="1877"/>
      <c r="BA105" s="1877"/>
      <c r="BB105" s="1872"/>
      <c r="BC105" s="1877"/>
      <c r="BD105" s="1877"/>
      <c r="BE105" s="1877"/>
      <c r="BF105" s="1877"/>
      <c r="BG105" s="1877"/>
      <c r="BH105" s="1872"/>
      <c r="BI105" s="1877"/>
      <c r="BJ105" s="1872"/>
      <c r="BK105" s="1877"/>
      <c r="BL105" s="1872"/>
      <c r="BM105" s="1877"/>
      <c r="BN105" s="1877"/>
      <c r="BO105" s="1877"/>
      <c r="BP105" s="1877"/>
      <c r="BQ105" s="1834">
        <f t="shared" si="93"/>
        <v>0</v>
      </c>
      <c r="BS105" s="1621" t="s">
        <v>77</v>
      </c>
      <c r="BT105" s="1622">
        <f t="shared" si="94"/>
        <v>0</v>
      </c>
      <c r="BU105" s="1876"/>
      <c r="BV105" s="1876"/>
      <c r="BW105" s="1876"/>
      <c r="BX105" s="1871"/>
      <c r="BY105" s="1876"/>
      <c r="BZ105" s="1871"/>
      <c r="CA105" s="1876"/>
      <c r="CB105" s="1871"/>
      <c r="CC105" s="1876"/>
      <c r="CD105" s="1876"/>
      <c r="CE105" s="1876"/>
      <c r="CF105" s="1876"/>
      <c r="CG105" s="1876"/>
      <c r="CH105" s="1876"/>
      <c r="CI105" s="1876"/>
      <c r="CJ105" s="1876"/>
      <c r="CK105" s="1871"/>
      <c r="CL105" s="1876"/>
      <c r="CM105" s="1876"/>
      <c r="CN105" s="1871"/>
      <c r="CO105" s="1876"/>
      <c r="CP105" s="1876"/>
      <c r="CQ105" s="1871"/>
      <c r="CR105" s="1876"/>
      <c r="CS105" s="1876"/>
      <c r="CT105" s="1871"/>
      <c r="CU105" s="1876"/>
      <c r="CV105" s="1876"/>
      <c r="CW105" s="1871"/>
      <c r="CX105" s="1876"/>
      <c r="CY105" s="1876"/>
      <c r="CZ105" s="1826">
        <f t="shared" si="95"/>
        <v>0</v>
      </c>
      <c r="DB105" s="1054" t="s">
        <v>77</v>
      </c>
      <c r="DC105" s="1091">
        <f t="shared" si="96"/>
        <v>0</v>
      </c>
      <c r="DD105" s="1538"/>
      <c r="DE105" s="1538"/>
      <c r="DF105" s="1538"/>
      <c r="DG105" s="1917"/>
      <c r="DH105" s="1538"/>
      <c r="DI105" s="1917"/>
      <c r="DJ105" s="1538"/>
      <c r="DK105" s="1917"/>
      <c r="DL105" s="1538"/>
      <c r="DM105" s="1538"/>
      <c r="DN105" s="1538"/>
      <c r="DO105" s="1538"/>
      <c r="DP105" s="1538"/>
      <c r="DQ105" s="1538"/>
      <c r="DR105" s="1538"/>
      <c r="DS105" s="1538"/>
      <c r="DT105" s="1917"/>
      <c r="DU105" s="1538"/>
      <c r="DV105" s="1538"/>
      <c r="DW105" s="1917"/>
      <c r="DX105" s="1538"/>
      <c r="DY105" s="1538"/>
      <c r="DZ105" s="1917"/>
      <c r="EA105" s="1538"/>
      <c r="EB105" s="1538"/>
      <c r="EC105" s="1917"/>
      <c r="ED105" s="1538"/>
      <c r="EE105" s="1538"/>
      <c r="EF105" s="1917"/>
      <c r="EG105" s="1538"/>
      <c r="EH105" s="1538"/>
      <c r="EI105" s="1268">
        <f t="shared" si="97"/>
        <v>0</v>
      </c>
    </row>
    <row r="106" spans="1:139" ht="15">
      <c r="A106" s="1039" t="s">
        <v>78</v>
      </c>
      <c r="B106" s="1084">
        <f t="shared" si="90"/>
        <v>0</v>
      </c>
      <c r="C106" s="1993"/>
      <c r="D106" s="1993"/>
      <c r="E106" s="1993"/>
      <c r="F106" s="1993"/>
      <c r="G106" s="1993"/>
      <c r="H106" s="1993"/>
      <c r="I106" s="1993"/>
      <c r="J106" s="1993"/>
      <c r="K106" s="1993"/>
      <c r="L106" s="1993"/>
      <c r="M106" s="1993"/>
      <c r="N106" s="1992"/>
      <c r="O106" s="1993"/>
      <c r="P106" s="1992"/>
      <c r="Q106" s="1993"/>
      <c r="R106" s="1992"/>
      <c r="S106" s="1993"/>
      <c r="T106" s="1992"/>
      <c r="U106" s="1993"/>
      <c r="V106" s="1992"/>
      <c r="W106" s="1993"/>
      <c r="X106" s="1992"/>
      <c r="Y106" s="1993"/>
      <c r="Z106" s="1992"/>
      <c r="AA106" s="1993"/>
      <c r="AB106" s="1992"/>
      <c r="AC106" s="1993"/>
      <c r="AD106" s="1992"/>
      <c r="AE106" s="1993"/>
      <c r="AF106" s="1992"/>
      <c r="AG106" s="1993"/>
      <c r="AH106" s="1974">
        <f t="shared" si="91"/>
        <v>0</v>
      </c>
      <c r="AJ106" s="1524" t="s">
        <v>78</v>
      </c>
      <c r="AK106" s="1527">
        <f t="shared" si="92"/>
        <v>0</v>
      </c>
      <c r="AL106" s="1877"/>
      <c r="AM106" s="1877"/>
      <c r="AN106" s="1877"/>
      <c r="AO106" s="1877"/>
      <c r="AP106" s="1877"/>
      <c r="AQ106" s="1877"/>
      <c r="AR106" s="1877"/>
      <c r="AS106" s="1877"/>
      <c r="AT106" s="1877"/>
      <c r="AU106" s="1877"/>
      <c r="AV106" s="1877"/>
      <c r="AW106" s="1872"/>
      <c r="AX106" s="1877"/>
      <c r="AY106" s="1872"/>
      <c r="AZ106" s="1877"/>
      <c r="BA106" s="1872"/>
      <c r="BB106" s="1877"/>
      <c r="BC106" s="1872"/>
      <c r="BD106" s="1877"/>
      <c r="BE106" s="1877"/>
      <c r="BF106" s="1877"/>
      <c r="BG106" s="1877"/>
      <c r="BH106" s="1877"/>
      <c r="BI106" s="1877"/>
      <c r="BJ106" s="1877"/>
      <c r="BK106" s="1877"/>
      <c r="BL106" s="1877"/>
      <c r="BM106" s="1877"/>
      <c r="BN106" s="1877"/>
      <c r="BO106" s="1877"/>
      <c r="BP106" s="1872"/>
      <c r="BQ106" s="1834">
        <f t="shared" si="93"/>
        <v>0</v>
      </c>
      <c r="BS106" s="1621" t="s">
        <v>78</v>
      </c>
      <c r="BT106" s="1622">
        <f t="shared" si="94"/>
        <v>0</v>
      </c>
      <c r="BU106" s="1876"/>
      <c r="BV106" s="1876"/>
      <c r="BW106" s="1876"/>
      <c r="BX106" s="1876"/>
      <c r="BY106" s="1876"/>
      <c r="BZ106" s="1876"/>
      <c r="CA106" s="1876"/>
      <c r="CB106" s="1876"/>
      <c r="CC106" s="1876"/>
      <c r="CD106" s="1876"/>
      <c r="CE106" s="1876"/>
      <c r="CF106" s="1871"/>
      <c r="CG106" s="1876"/>
      <c r="CH106" s="1871"/>
      <c r="CI106" s="1876"/>
      <c r="CJ106" s="1871"/>
      <c r="CK106" s="1876"/>
      <c r="CL106" s="1871"/>
      <c r="CM106" s="1876"/>
      <c r="CN106" s="1871"/>
      <c r="CO106" s="1876"/>
      <c r="CP106" s="1871"/>
      <c r="CQ106" s="1876"/>
      <c r="CR106" s="1871"/>
      <c r="CS106" s="1876"/>
      <c r="CT106" s="1871"/>
      <c r="CU106" s="1876"/>
      <c r="CV106" s="1871"/>
      <c r="CW106" s="1876"/>
      <c r="CX106" s="1871"/>
      <c r="CY106" s="1876"/>
      <c r="CZ106" s="1826">
        <f t="shared" si="95"/>
        <v>0</v>
      </c>
      <c r="DB106" s="1054" t="s">
        <v>78</v>
      </c>
      <c r="DC106" s="1091">
        <f t="shared" si="96"/>
        <v>0</v>
      </c>
      <c r="DD106" s="1538"/>
      <c r="DE106" s="1538"/>
      <c r="DF106" s="1538"/>
      <c r="DG106" s="1538"/>
      <c r="DH106" s="1538"/>
      <c r="DI106" s="1538"/>
      <c r="DJ106" s="1538"/>
      <c r="DK106" s="1538"/>
      <c r="DL106" s="1538"/>
      <c r="DM106" s="1538"/>
      <c r="DN106" s="1538"/>
      <c r="DO106" s="1917"/>
      <c r="DP106" s="1538"/>
      <c r="DQ106" s="1917"/>
      <c r="DR106" s="1538"/>
      <c r="DS106" s="1917"/>
      <c r="DT106" s="1538"/>
      <c r="DU106" s="1917"/>
      <c r="DV106" s="1538"/>
      <c r="DW106" s="1917"/>
      <c r="DX106" s="1538"/>
      <c r="DY106" s="1917"/>
      <c r="DZ106" s="1538"/>
      <c r="EA106" s="1917"/>
      <c r="EB106" s="1538"/>
      <c r="EC106" s="1917"/>
      <c r="ED106" s="1538"/>
      <c r="EE106" s="1917"/>
      <c r="EF106" s="1538"/>
      <c r="EG106" s="1917"/>
      <c r="EH106" s="1538"/>
      <c r="EI106" s="1268">
        <f t="shared" si="97"/>
        <v>0</v>
      </c>
    </row>
    <row r="107" spans="1:139" ht="15">
      <c r="A107" s="1039" t="s">
        <v>79</v>
      </c>
      <c r="B107" s="1084">
        <f t="shared" si="90"/>
        <v>0</v>
      </c>
      <c r="C107" s="1993"/>
      <c r="D107" s="1993"/>
      <c r="E107" s="1993"/>
      <c r="F107" s="1993"/>
      <c r="G107" s="1993"/>
      <c r="H107" s="1993"/>
      <c r="I107" s="1993"/>
      <c r="J107" s="1993"/>
      <c r="K107" s="1993"/>
      <c r="L107" s="1993"/>
      <c r="M107" s="1993"/>
      <c r="N107" s="1993"/>
      <c r="O107" s="1993"/>
      <c r="P107" s="1993"/>
      <c r="Q107" s="1993"/>
      <c r="R107" s="1993"/>
      <c r="S107" s="1993"/>
      <c r="T107" s="1993"/>
      <c r="U107" s="1993"/>
      <c r="V107" s="1993"/>
      <c r="W107" s="1993"/>
      <c r="X107" s="1993"/>
      <c r="Y107" s="1993"/>
      <c r="Z107" s="1993"/>
      <c r="AA107" s="1993"/>
      <c r="AB107" s="1993"/>
      <c r="AC107" s="1993"/>
      <c r="AD107" s="1993"/>
      <c r="AE107" s="1993"/>
      <c r="AF107" s="1993"/>
      <c r="AG107" s="1993"/>
      <c r="AH107" s="1974">
        <f t="shared" si="91"/>
        <v>0</v>
      </c>
      <c r="AJ107" s="1524" t="s">
        <v>79</v>
      </c>
      <c r="AK107" s="1527">
        <f t="shared" si="92"/>
        <v>0</v>
      </c>
      <c r="AL107" s="1877"/>
      <c r="AM107" s="1877"/>
      <c r="AN107" s="1877"/>
      <c r="AO107" s="1877"/>
      <c r="AP107" s="1877"/>
      <c r="AQ107" s="1877"/>
      <c r="AR107" s="1877"/>
      <c r="AS107" s="1877"/>
      <c r="AT107" s="1877"/>
      <c r="AU107" s="1877"/>
      <c r="AV107" s="1877"/>
      <c r="AW107" s="1877"/>
      <c r="AX107" s="1877"/>
      <c r="AY107" s="1877"/>
      <c r="AZ107" s="1877"/>
      <c r="BA107" s="1877"/>
      <c r="BB107" s="1877"/>
      <c r="BC107" s="1877"/>
      <c r="BD107" s="1877"/>
      <c r="BE107" s="1877"/>
      <c r="BF107" s="1877"/>
      <c r="BG107" s="1877"/>
      <c r="BH107" s="1877"/>
      <c r="BI107" s="1877"/>
      <c r="BJ107" s="1877"/>
      <c r="BK107" s="1877"/>
      <c r="BL107" s="1877"/>
      <c r="BM107" s="1877"/>
      <c r="BN107" s="1877"/>
      <c r="BO107" s="1877"/>
      <c r="BP107" s="1877"/>
      <c r="BQ107" s="1834">
        <f t="shared" si="93"/>
        <v>0</v>
      </c>
      <c r="BS107" s="1621" t="s">
        <v>79</v>
      </c>
      <c r="BT107" s="1622">
        <f t="shared" si="94"/>
        <v>0</v>
      </c>
      <c r="BU107" s="1876"/>
      <c r="BV107" s="1876"/>
      <c r="BW107" s="1876"/>
      <c r="BX107" s="1876"/>
      <c r="BY107" s="1876"/>
      <c r="BZ107" s="1876"/>
      <c r="CA107" s="1876"/>
      <c r="CB107" s="1876"/>
      <c r="CC107" s="1876"/>
      <c r="CD107" s="1876"/>
      <c r="CE107" s="1876"/>
      <c r="CF107" s="1876"/>
      <c r="CG107" s="1876"/>
      <c r="CH107" s="1876"/>
      <c r="CI107" s="1876"/>
      <c r="CJ107" s="1876"/>
      <c r="CK107" s="1876"/>
      <c r="CL107" s="1876"/>
      <c r="CM107" s="1876"/>
      <c r="CN107" s="1876"/>
      <c r="CO107" s="1876"/>
      <c r="CP107" s="1876"/>
      <c r="CQ107" s="1876"/>
      <c r="CR107" s="1876"/>
      <c r="CS107" s="1876"/>
      <c r="CT107" s="1876"/>
      <c r="CU107" s="1876"/>
      <c r="CV107" s="1876"/>
      <c r="CW107" s="1876"/>
      <c r="CX107" s="1876"/>
      <c r="CY107" s="1876"/>
      <c r="CZ107" s="1826">
        <f t="shared" si="95"/>
        <v>0</v>
      </c>
      <c r="DB107" s="1054" t="s">
        <v>79</v>
      </c>
      <c r="DC107" s="1091">
        <f t="shared" si="96"/>
        <v>0</v>
      </c>
      <c r="DD107" s="1538"/>
      <c r="DE107" s="1538"/>
      <c r="DF107" s="1538"/>
      <c r="DG107" s="1538"/>
      <c r="DH107" s="1538"/>
      <c r="DI107" s="1538"/>
      <c r="DJ107" s="1538"/>
      <c r="DK107" s="1538"/>
      <c r="DL107" s="1538"/>
      <c r="DM107" s="1538"/>
      <c r="DN107" s="1538"/>
      <c r="DO107" s="1538"/>
      <c r="DP107" s="1538"/>
      <c r="DQ107" s="1538"/>
      <c r="DR107" s="1538"/>
      <c r="DS107" s="1538"/>
      <c r="DT107" s="1538"/>
      <c r="DU107" s="1538"/>
      <c r="DV107" s="1538"/>
      <c r="DW107" s="1538"/>
      <c r="DX107" s="1538"/>
      <c r="DY107" s="1538"/>
      <c r="DZ107" s="1538"/>
      <c r="EA107" s="1538"/>
      <c r="EB107" s="1538"/>
      <c r="EC107" s="1538"/>
      <c r="ED107" s="1538"/>
      <c r="EE107" s="1538"/>
      <c r="EF107" s="1538"/>
      <c r="EG107" s="1538"/>
      <c r="EH107" s="1538"/>
      <c r="EI107" s="1268">
        <f t="shared" si="97"/>
        <v>0</v>
      </c>
    </row>
    <row r="108" spans="1:139" ht="15">
      <c r="A108" s="1039" t="s">
        <v>80</v>
      </c>
      <c r="B108" s="1084">
        <f t="shared" si="90"/>
        <v>0</v>
      </c>
      <c r="C108" s="1992"/>
      <c r="D108" s="1994"/>
      <c r="E108" s="1992"/>
      <c r="F108" s="1992"/>
      <c r="G108" s="1992"/>
      <c r="H108" s="1992"/>
      <c r="I108" s="1992"/>
      <c r="J108" s="1992"/>
      <c r="K108" s="1992"/>
      <c r="L108" s="1992"/>
      <c r="M108" s="1992"/>
      <c r="N108" s="1992"/>
      <c r="O108" s="1992"/>
      <c r="P108" s="1992"/>
      <c r="Q108" s="1992"/>
      <c r="R108" s="1992"/>
      <c r="S108" s="1992"/>
      <c r="T108" s="1992"/>
      <c r="U108" s="1992"/>
      <c r="V108" s="1992"/>
      <c r="W108" s="1992"/>
      <c r="X108" s="1992"/>
      <c r="Y108" s="1992"/>
      <c r="Z108" s="1992"/>
      <c r="AA108" s="1992"/>
      <c r="AB108" s="1992"/>
      <c r="AC108" s="1992"/>
      <c r="AD108" s="1992"/>
      <c r="AE108" s="1992"/>
      <c r="AF108" s="1992"/>
      <c r="AG108" s="1992"/>
      <c r="AH108" s="1974">
        <f t="shared" si="91"/>
        <v>0</v>
      </c>
      <c r="AJ108" s="1524" t="s">
        <v>80</v>
      </c>
      <c r="AK108" s="1527">
        <f t="shared" si="92"/>
        <v>0</v>
      </c>
      <c r="AL108" s="1872"/>
      <c r="AM108" s="1875"/>
      <c r="AN108" s="1872"/>
      <c r="AO108" s="1872"/>
      <c r="AP108" s="1872"/>
      <c r="AQ108" s="1872"/>
      <c r="AR108" s="1872"/>
      <c r="AS108" s="1872"/>
      <c r="AT108" s="1872"/>
      <c r="AU108" s="1872"/>
      <c r="AV108" s="1872"/>
      <c r="AW108" s="1872"/>
      <c r="AX108" s="1872"/>
      <c r="AY108" s="1872"/>
      <c r="AZ108" s="1872"/>
      <c r="BA108" s="1872"/>
      <c r="BB108" s="1872"/>
      <c r="BC108" s="1872"/>
      <c r="BD108" s="1872"/>
      <c r="BE108" s="1872"/>
      <c r="BF108" s="1875"/>
      <c r="BG108" s="1872"/>
      <c r="BH108" s="1872"/>
      <c r="BI108" s="1872"/>
      <c r="BJ108" s="1872"/>
      <c r="BK108" s="1872"/>
      <c r="BL108" s="1872"/>
      <c r="BM108" s="1872"/>
      <c r="BN108" s="1872"/>
      <c r="BO108" s="1872"/>
      <c r="BP108" s="1872"/>
      <c r="BQ108" s="1834">
        <f t="shared" si="93"/>
        <v>0</v>
      </c>
      <c r="BS108" s="1621" t="s">
        <v>80</v>
      </c>
      <c r="BT108" s="1622">
        <f t="shared" si="94"/>
        <v>0</v>
      </c>
      <c r="BU108" s="1871"/>
      <c r="BV108" s="1874"/>
      <c r="BW108" s="1871"/>
      <c r="BX108" s="1871"/>
      <c r="BY108" s="1871"/>
      <c r="BZ108" s="1871"/>
      <c r="CA108" s="1871"/>
      <c r="CB108" s="1871"/>
      <c r="CC108" s="1871"/>
      <c r="CD108" s="1871"/>
      <c r="CE108" s="1871"/>
      <c r="CF108" s="1871"/>
      <c r="CG108" s="1871"/>
      <c r="CH108" s="1871"/>
      <c r="CI108" s="1871"/>
      <c r="CJ108" s="1871"/>
      <c r="CK108" s="1871"/>
      <c r="CL108" s="1871"/>
      <c r="CM108" s="1871"/>
      <c r="CN108" s="1871"/>
      <c r="CO108" s="1871"/>
      <c r="CP108" s="1871"/>
      <c r="CQ108" s="1871"/>
      <c r="CR108" s="1871"/>
      <c r="CS108" s="1871"/>
      <c r="CT108" s="1871"/>
      <c r="CU108" s="1871"/>
      <c r="CV108" s="1871"/>
      <c r="CW108" s="1871"/>
      <c r="CX108" s="1871"/>
      <c r="CY108" s="1871"/>
      <c r="CZ108" s="1826">
        <f t="shared" si="95"/>
        <v>0</v>
      </c>
      <c r="DB108" s="1054" t="s">
        <v>80</v>
      </c>
      <c r="DC108" s="1091">
        <f t="shared" si="96"/>
        <v>0</v>
      </c>
      <c r="DD108" s="1917"/>
      <c r="DE108" s="1918"/>
      <c r="DF108" s="1917"/>
      <c r="DG108" s="1917"/>
      <c r="DH108" s="1917"/>
      <c r="DI108" s="1917"/>
      <c r="DJ108" s="1917"/>
      <c r="DK108" s="1917"/>
      <c r="DL108" s="1917"/>
      <c r="DM108" s="1917"/>
      <c r="DN108" s="1917"/>
      <c r="DO108" s="1917"/>
      <c r="DP108" s="1917"/>
      <c r="DQ108" s="1917"/>
      <c r="DR108" s="1917"/>
      <c r="DS108" s="1917"/>
      <c r="DT108" s="1917"/>
      <c r="DU108" s="1917"/>
      <c r="DV108" s="1917"/>
      <c r="DW108" s="1917"/>
      <c r="DX108" s="1917"/>
      <c r="DY108" s="1917"/>
      <c r="DZ108" s="1917"/>
      <c r="EA108" s="1917"/>
      <c r="EB108" s="1917"/>
      <c r="EC108" s="1917"/>
      <c r="ED108" s="1917"/>
      <c r="EE108" s="1917"/>
      <c r="EF108" s="1917"/>
      <c r="EG108" s="1917"/>
      <c r="EH108" s="1917"/>
      <c r="EI108" s="1268">
        <f t="shared" si="97"/>
        <v>0</v>
      </c>
    </row>
    <row r="109" spans="1:139" ht="15">
      <c r="A109" s="1039" t="s">
        <v>81</v>
      </c>
      <c r="B109" s="1084">
        <f t="shared" si="90"/>
        <v>0</v>
      </c>
      <c r="C109" s="1992"/>
      <c r="D109" s="1992"/>
      <c r="E109" s="1992"/>
      <c r="F109" s="1992"/>
      <c r="G109" s="1992"/>
      <c r="H109" s="1992"/>
      <c r="I109" s="1992"/>
      <c r="J109" s="1992"/>
      <c r="K109" s="1992"/>
      <c r="L109" s="1992"/>
      <c r="M109" s="1992"/>
      <c r="N109" s="1992"/>
      <c r="O109" s="1992"/>
      <c r="P109" s="1992"/>
      <c r="Q109" s="1992"/>
      <c r="R109" s="1992"/>
      <c r="S109" s="1992"/>
      <c r="T109" s="1992"/>
      <c r="U109" s="1992"/>
      <c r="V109" s="1992"/>
      <c r="W109" s="1992"/>
      <c r="X109" s="1992"/>
      <c r="Y109" s="1992"/>
      <c r="Z109" s="1992"/>
      <c r="AA109" s="1992"/>
      <c r="AB109" s="1992"/>
      <c r="AC109" s="1992"/>
      <c r="AD109" s="1992"/>
      <c r="AE109" s="1992"/>
      <c r="AF109" s="1992"/>
      <c r="AG109" s="1992"/>
      <c r="AH109" s="1974">
        <f t="shared" si="91"/>
        <v>0</v>
      </c>
      <c r="AJ109" s="1524" t="s">
        <v>81</v>
      </c>
      <c r="AK109" s="1527">
        <f t="shared" si="92"/>
        <v>0</v>
      </c>
      <c r="AL109" s="1872"/>
      <c r="AM109" s="1872"/>
      <c r="AN109" s="1872"/>
      <c r="AO109" s="1872"/>
      <c r="AP109" s="1872"/>
      <c r="AQ109" s="1872"/>
      <c r="AR109" s="1872"/>
      <c r="AS109" s="1872"/>
      <c r="AT109" s="1872"/>
      <c r="AU109" s="1872"/>
      <c r="AV109" s="1872"/>
      <c r="AW109" s="1872"/>
      <c r="AX109" s="1872"/>
      <c r="AY109" s="1872"/>
      <c r="AZ109" s="1872"/>
      <c r="BA109" s="1872"/>
      <c r="BB109" s="1872"/>
      <c r="BC109" s="1872"/>
      <c r="BD109" s="1872"/>
      <c r="BE109" s="1872"/>
      <c r="BF109" s="1872"/>
      <c r="BG109" s="1872"/>
      <c r="BH109" s="1872"/>
      <c r="BI109" s="1872"/>
      <c r="BJ109" s="1872"/>
      <c r="BK109" s="1872"/>
      <c r="BL109" s="1872"/>
      <c r="BM109" s="1872"/>
      <c r="BN109" s="1872"/>
      <c r="BO109" s="1872"/>
      <c r="BP109" s="1872"/>
      <c r="BQ109" s="1834">
        <f t="shared" si="93"/>
        <v>0</v>
      </c>
      <c r="BS109" s="1621" t="s">
        <v>81</v>
      </c>
      <c r="BT109" s="1622">
        <f t="shared" si="94"/>
        <v>0</v>
      </c>
      <c r="BU109" s="1871"/>
      <c r="BV109" s="1871"/>
      <c r="BW109" s="1871"/>
      <c r="BX109" s="1871"/>
      <c r="BY109" s="1871"/>
      <c r="BZ109" s="1871"/>
      <c r="CA109" s="1871"/>
      <c r="CB109" s="1871"/>
      <c r="CC109" s="1871"/>
      <c r="CD109" s="1871"/>
      <c r="CE109" s="1871"/>
      <c r="CF109" s="1871"/>
      <c r="CG109" s="1871"/>
      <c r="CH109" s="1871"/>
      <c r="CI109" s="1871"/>
      <c r="CJ109" s="1871"/>
      <c r="CK109" s="1871"/>
      <c r="CL109" s="1871"/>
      <c r="CM109" s="1871"/>
      <c r="CN109" s="1871"/>
      <c r="CO109" s="1871"/>
      <c r="CP109" s="1871"/>
      <c r="CQ109" s="1871"/>
      <c r="CR109" s="1871"/>
      <c r="CS109" s="1871"/>
      <c r="CT109" s="1871"/>
      <c r="CU109" s="1871"/>
      <c r="CV109" s="1871"/>
      <c r="CW109" s="1871"/>
      <c r="CX109" s="1871"/>
      <c r="CY109" s="1871"/>
      <c r="CZ109" s="1826">
        <f t="shared" si="95"/>
        <v>0</v>
      </c>
      <c r="DB109" s="1054" t="s">
        <v>81</v>
      </c>
      <c r="DC109" s="1091">
        <f t="shared" si="96"/>
        <v>0</v>
      </c>
      <c r="DD109" s="1917"/>
      <c r="DE109" s="1917"/>
      <c r="DF109" s="1917"/>
      <c r="DG109" s="1917"/>
      <c r="DH109" s="1917"/>
      <c r="DI109" s="1917"/>
      <c r="DJ109" s="1917"/>
      <c r="DK109" s="1917"/>
      <c r="DL109" s="1917"/>
      <c r="DM109" s="1917"/>
      <c r="DN109" s="1917"/>
      <c r="DO109" s="1917"/>
      <c r="DP109" s="1917"/>
      <c r="DQ109" s="1917"/>
      <c r="DR109" s="1917"/>
      <c r="DS109" s="1917"/>
      <c r="DT109" s="1917"/>
      <c r="DU109" s="1917"/>
      <c r="DV109" s="1917"/>
      <c r="DW109" s="1917"/>
      <c r="DX109" s="1917"/>
      <c r="DY109" s="1917"/>
      <c r="DZ109" s="1917"/>
      <c r="EA109" s="1917"/>
      <c r="EB109" s="1917"/>
      <c r="EC109" s="1917"/>
      <c r="ED109" s="1917"/>
      <c r="EE109" s="1917"/>
      <c r="EF109" s="1917"/>
      <c r="EG109" s="1917"/>
      <c r="EH109" s="1917"/>
      <c r="EI109" s="1268">
        <f t="shared" si="97"/>
        <v>0</v>
      </c>
    </row>
    <row r="110" spans="1:139" ht="15">
      <c r="A110" s="1039" t="s">
        <v>82</v>
      </c>
      <c r="B110" s="1084">
        <f t="shared" si="90"/>
        <v>0</v>
      </c>
      <c r="C110" s="1992"/>
      <c r="D110" s="1992"/>
      <c r="E110" s="1992"/>
      <c r="F110" s="1992"/>
      <c r="G110" s="1992"/>
      <c r="H110" s="1992"/>
      <c r="I110" s="1992"/>
      <c r="J110" s="1992"/>
      <c r="K110" s="1992"/>
      <c r="L110" s="1992"/>
      <c r="M110" s="1992"/>
      <c r="N110" s="1992"/>
      <c r="O110" s="1992"/>
      <c r="P110" s="1992"/>
      <c r="Q110" s="1992"/>
      <c r="R110" s="1992"/>
      <c r="S110" s="1992"/>
      <c r="T110" s="1992"/>
      <c r="U110" s="1992"/>
      <c r="V110" s="1992"/>
      <c r="W110" s="1992"/>
      <c r="X110" s="1992"/>
      <c r="Y110" s="1992"/>
      <c r="Z110" s="1992"/>
      <c r="AA110" s="1992"/>
      <c r="AB110" s="1992"/>
      <c r="AC110" s="1992"/>
      <c r="AD110" s="1992"/>
      <c r="AE110" s="1992"/>
      <c r="AF110" s="1992"/>
      <c r="AG110" s="1992"/>
      <c r="AH110" s="1974">
        <f t="shared" si="91"/>
        <v>0</v>
      </c>
      <c r="AJ110" s="1524" t="s">
        <v>82</v>
      </c>
      <c r="AK110" s="1527">
        <f t="shared" si="92"/>
        <v>0</v>
      </c>
      <c r="AL110" s="1872"/>
      <c r="AM110" s="1872"/>
      <c r="AN110" s="1872"/>
      <c r="AO110" s="1872"/>
      <c r="AP110" s="1872"/>
      <c r="AQ110" s="1872"/>
      <c r="AR110" s="1872"/>
      <c r="AS110" s="1872"/>
      <c r="AT110" s="1872"/>
      <c r="AU110" s="1872"/>
      <c r="AV110" s="1872"/>
      <c r="AW110" s="1872"/>
      <c r="AX110" s="1872"/>
      <c r="AY110" s="1872"/>
      <c r="AZ110" s="1872"/>
      <c r="BA110" s="1872"/>
      <c r="BB110" s="1872"/>
      <c r="BC110" s="1872"/>
      <c r="BD110" s="1872"/>
      <c r="BE110" s="1872"/>
      <c r="BF110" s="1872"/>
      <c r="BG110" s="1872"/>
      <c r="BH110" s="1872"/>
      <c r="BI110" s="1872"/>
      <c r="BJ110" s="1872"/>
      <c r="BK110" s="1872"/>
      <c r="BL110" s="1872"/>
      <c r="BM110" s="1872"/>
      <c r="BN110" s="1872"/>
      <c r="BO110" s="1872"/>
      <c r="BP110" s="1872"/>
      <c r="BQ110" s="1834">
        <f t="shared" si="93"/>
        <v>0</v>
      </c>
      <c r="BS110" s="1621" t="s">
        <v>82</v>
      </c>
      <c r="BT110" s="1622">
        <f t="shared" si="94"/>
        <v>0</v>
      </c>
      <c r="BU110" s="1871"/>
      <c r="BV110" s="1871"/>
      <c r="BW110" s="1871"/>
      <c r="BX110" s="1871"/>
      <c r="BY110" s="1871"/>
      <c r="BZ110" s="1871"/>
      <c r="CA110" s="1871"/>
      <c r="CB110" s="1871"/>
      <c r="CC110" s="1871"/>
      <c r="CD110" s="1871"/>
      <c r="CE110" s="1871"/>
      <c r="CF110" s="1871"/>
      <c r="CG110" s="1871"/>
      <c r="CH110" s="1871"/>
      <c r="CI110" s="1871"/>
      <c r="CJ110" s="1871"/>
      <c r="CK110" s="1871"/>
      <c r="CL110" s="1871"/>
      <c r="CM110" s="1871"/>
      <c r="CN110" s="1871"/>
      <c r="CO110" s="1871"/>
      <c r="CP110" s="1871"/>
      <c r="CQ110" s="1871"/>
      <c r="CR110" s="1871"/>
      <c r="CS110" s="1871"/>
      <c r="CT110" s="1871"/>
      <c r="CU110" s="1871"/>
      <c r="CV110" s="1871"/>
      <c r="CW110" s="1871"/>
      <c r="CX110" s="1871"/>
      <c r="CY110" s="1871"/>
      <c r="CZ110" s="1826">
        <f t="shared" si="95"/>
        <v>0</v>
      </c>
      <c r="DB110" s="1054" t="s">
        <v>82</v>
      </c>
      <c r="DC110" s="1091">
        <f t="shared" si="96"/>
        <v>0</v>
      </c>
      <c r="DD110" s="1917"/>
      <c r="DE110" s="1917"/>
      <c r="DF110" s="1917"/>
      <c r="DG110" s="1917"/>
      <c r="DH110" s="1917"/>
      <c r="DI110" s="1917"/>
      <c r="DJ110" s="1917"/>
      <c r="DK110" s="1917"/>
      <c r="DL110" s="1917"/>
      <c r="DM110" s="1917"/>
      <c r="DN110" s="1917"/>
      <c r="DO110" s="1917"/>
      <c r="DP110" s="1917"/>
      <c r="DQ110" s="1917"/>
      <c r="DR110" s="1917"/>
      <c r="DS110" s="1917"/>
      <c r="DT110" s="1917"/>
      <c r="DU110" s="1917"/>
      <c r="DV110" s="1917"/>
      <c r="DW110" s="1917"/>
      <c r="DX110" s="1917"/>
      <c r="DY110" s="1917"/>
      <c r="DZ110" s="1917"/>
      <c r="EA110" s="1917"/>
      <c r="EB110" s="1917"/>
      <c r="EC110" s="1917"/>
      <c r="ED110" s="1917"/>
      <c r="EE110" s="1917"/>
      <c r="EF110" s="1917"/>
      <c r="EG110" s="1917"/>
      <c r="EH110" s="1917"/>
      <c r="EI110" s="1268">
        <f t="shared" si="97"/>
        <v>0</v>
      </c>
    </row>
    <row r="111" spans="1:139" ht="15">
      <c r="A111" s="1039" t="s">
        <v>83</v>
      </c>
      <c r="B111" s="1084">
        <f t="shared" si="90"/>
        <v>0</v>
      </c>
      <c r="C111" s="1992"/>
      <c r="D111" s="1992"/>
      <c r="E111" s="1992"/>
      <c r="F111" s="1992"/>
      <c r="G111" s="1992"/>
      <c r="H111" s="1992"/>
      <c r="I111" s="1992"/>
      <c r="J111" s="1992"/>
      <c r="K111" s="1992"/>
      <c r="L111" s="1992"/>
      <c r="M111" s="1992"/>
      <c r="N111" s="1992"/>
      <c r="O111" s="1992"/>
      <c r="P111" s="1992"/>
      <c r="Q111" s="1992"/>
      <c r="R111" s="1992"/>
      <c r="S111" s="1992"/>
      <c r="T111" s="1992"/>
      <c r="U111" s="1992"/>
      <c r="V111" s="1992"/>
      <c r="W111" s="1992"/>
      <c r="X111" s="1992"/>
      <c r="Y111" s="1992"/>
      <c r="Z111" s="1992"/>
      <c r="AA111" s="1992"/>
      <c r="AB111" s="1992"/>
      <c r="AC111" s="1992"/>
      <c r="AD111" s="1992"/>
      <c r="AE111" s="1992"/>
      <c r="AF111" s="1992"/>
      <c r="AG111" s="1993"/>
      <c r="AH111" s="1974">
        <f t="shared" si="91"/>
        <v>0</v>
      </c>
      <c r="AJ111" s="1524" t="s">
        <v>83</v>
      </c>
      <c r="AK111" s="1527">
        <f t="shared" si="92"/>
        <v>0</v>
      </c>
      <c r="AL111" s="1872"/>
      <c r="AM111" s="1872"/>
      <c r="AN111" s="1872"/>
      <c r="AO111" s="1872"/>
      <c r="AP111" s="1872"/>
      <c r="AQ111" s="1872"/>
      <c r="AR111" s="1872"/>
      <c r="AS111" s="1872"/>
      <c r="AT111" s="1872"/>
      <c r="AU111" s="1872"/>
      <c r="AV111" s="1872"/>
      <c r="AW111" s="1872"/>
      <c r="AX111" s="1872"/>
      <c r="AY111" s="1872"/>
      <c r="AZ111" s="1872"/>
      <c r="BA111" s="1872"/>
      <c r="BB111" s="1872"/>
      <c r="BC111" s="1872"/>
      <c r="BD111" s="1872"/>
      <c r="BE111" s="1872"/>
      <c r="BF111" s="1872"/>
      <c r="BG111" s="1872"/>
      <c r="BH111" s="1872"/>
      <c r="BI111" s="1872"/>
      <c r="BJ111" s="1872"/>
      <c r="BK111" s="1872"/>
      <c r="BL111" s="1872"/>
      <c r="BM111" s="1872"/>
      <c r="BN111" s="1872"/>
      <c r="BO111" s="1872"/>
      <c r="BP111" s="1872"/>
      <c r="BQ111" s="1834">
        <f t="shared" si="93"/>
        <v>0</v>
      </c>
      <c r="BS111" s="1621" t="s">
        <v>83</v>
      </c>
      <c r="BT111" s="1622">
        <f t="shared" si="94"/>
        <v>0</v>
      </c>
      <c r="BU111" s="1871"/>
      <c r="BV111" s="1871"/>
      <c r="BW111" s="1871"/>
      <c r="BX111" s="1871"/>
      <c r="BY111" s="1871"/>
      <c r="BZ111" s="1871"/>
      <c r="CA111" s="1871"/>
      <c r="CB111" s="1871"/>
      <c r="CC111" s="1871"/>
      <c r="CD111" s="1871"/>
      <c r="CE111" s="1871"/>
      <c r="CF111" s="1871"/>
      <c r="CG111" s="1871"/>
      <c r="CH111" s="1871"/>
      <c r="CI111" s="1871"/>
      <c r="CJ111" s="1871"/>
      <c r="CK111" s="1871"/>
      <c r="CL111" s="1871"/>
      <c r="CM111" s="1871"/>
      <c r="CN111" s="1871"/>
      <c r="CO111" s="1871"/>
      <c r="CP111" s="1871"/>
      <c r="CQ111" s="1871"/>
      <c r="CR111" s="1871"/>
      <c r="CS111" s="1871"/>
      <c r="CT111" s="1871"/>
      <c r="CU111" s="1871"/>
      <c r="CV111" s="1871"/>
      <c r="CW111" s="1871"/>
      <c r="CX111" s="1871"/>
      <c r="CY111" s="1876"/>
      <c r="CZ111" s="1826">
        <f t="shared" si="95"/>
        <v>0</v>
      </c>
      <c r="DB111" s="1054" t="s">
        <v>83</v>
      </c>
      <c r="DC111" s="1091">
        <f t="shared" si="96"/>
        <v>0</v>
      </c>
      <c r="DD111" s="1917"/>
      <c r="DE111" s="1917"/>
      <c r="DF111" s="1917"/>
      <c r="DG111" s="1917"/>
      <c r="DH111" s="1917"/>
      <c r="DI111" s="1917"/>
      <c r="DJ111" s="1917"/>
      <c r="DK111" s="1917"/>
      <c r="DL111" s="1917"/>
      <c r="DM111" s="1917"/>
      <c r="DN111" s="1917"/>
      <c r="DO111" s="1917"/>
      <c r="DP111" s="1917"/>
      <c r="DQ111" s="1917"/>
      <c r="DR111" s="1917"/>
      <c r="DS111" s="1917"/>
      <c r="DT111" s="1917"/>
      <c r="DU111" s="1917"/>
      <c r="DV111" s="1917"/>
      <c r="DW111" s="1917"/>
      <c r="DX111" s="1917"/>
      <c r="DY111" s="1917"/>
      <c r="DZ111" s="1917"/>
      <c r="EA111" s="1917"/>
      <c r="EB111" s="1917"/>
      <c r="EC111" s="1917"/>
      <c r="ED111" s="1917"/>
      <c r="EE111" s="1917"/>
      <c r="EF111" s="1917"/>
      <c r="EG111" s="1917"/>
      <c r="EH111" s="1538"/>
      <c r="EI111" s="1268">
        <f t="shared" si="97"/>
        <v>0</v>
      </c>
    </row>
    <row r="112" spans="1:139" ht="15">
      <c r="A112" s="1039" t="s">
        <v>84</v>
      </c>
      <c r="B112" s="1084">
        <f t="shared" si="90"/>
        <v>0</v>
      </c>
      <c r="C112" s="1992"/>
      <c r="D112" s="1992"/>
      <c r="E112" s="1992"/>
      <c r="F112" s="1992"/>
      <c r="G112" s="1992"/>
      <c r="H112" s="1992"/>
      <c r="I112" s="1992"/>
      <c r="J112" s="1992"/>
      <c r="K112" s="1992"/>
      <c r="L112" s="1992"/>
      <c r="M112" s="1992"/>
      <c r="N112" s="1992"/>
      <c r="O112" s="1992"/>
      <c r="P112" s="1992"/>
      <c r="Q112" s="1992"/>
      <c r="R112" s="1992"/>
      <c r="S112" s="1992"/>
      <c r="T112" s="1992"/>
      <c r="U112" s="1992"/>
      <c r="V112" s="1992"/>
      <c r="W112" s="1992"/>
      <c r="X112" s="1992"/>
      <c r="Y112" s="1992"/>
      <c r="Z112" s="1992"/>
      <c r="AA112" s="1992"/>
      <c r="AB112" s="1992"/>
      <c r="AC112" s="1992"/>
      <c r="AD112" s="1992"/>
      <c r="AE112" s="1992"/>
      <c r="AF112" s="1992"/>
      <c r="AG112" s="1992"/>
      <c r="AH112" s="1974">
        <f t="shared" si="91"/>
        <v>0</v>
      </c>
      <c r="AJ112" s="1524" t="s">
        <v>84</v>
      </c>
      <c r="AK112" s="1527">
        <f t="shared" si="92"/>
        <v>0</v>
      </c>
      <c r="AL112" s="1872"/>
      <c r="AM112" s="1872"/>
      <c r="AN112" s="1872"/>
      <c r="AO112" s="1872"/>
      <c r="AP112" s="1872"/>
      <c r="AQ112" s="1872"/>
      <c r="AR112" s="1872"/>
      <c r="AS112" s="1872"/>
      <c r="AT112" s="1872"/>
      <c r="AU112" s="1872"/>
      <c r="AV112" s="1872"/>
      <c r="AW112" s="1872"/>
      <c r="AX112" s="1872"/>
      <c r="AY112" s="1872"/>
      <c r="AZ112" s="1872"/>
      <c r="BA112" s="1872"/>
      <c r="BB112" s="1872"/>
      <c r="BC112" s="1872"/>
      <c r="BD112" s="1872"/>
      <c r="BE112" s="1872"/>
      <c r="BF112" s="1872"/>
      <c r="BG112" s="1872"/>
      <c r="BH112" s="1872"/>
      <c r="BI112" s="1872"/>
      <c r="BJ112" s="1872"/>
      <c r="BK112" s="1872"/>
      <c r="BL112" s="1872"/>
      <c r="BM112" s="1872"/>
      <c r="BN112" s="1872"/>
      <c r="BO112" s="1872"/>
      <c r="BP112" s="1872"/>
      <c r="BQ112" s="1834">
        <f t="shared" si="93"/>
        <v>0</v>
      </c>
      <c r="BS112" s="1621" t="s">
        <v>84</v>
      </c>
      <c r="BT112" s="1622">
        <f t="shared" si="94"/>
        <v>0</v>
      </c>
      <c r="BU112" s="1871"/>
      <c r="BV112" s="1871"/>
      <c r="BW112" s="1871"/>
      <c r="BX112" s="1871"/>
      <c r="BY112" s="1871"/>
      <c r="BZ112" s="1871"/>
      <c r="CA112" s="1871"/>
      <c r="CB112" s="1871"/>
      <c r="CC112" s="1871"/>
      <c r="CD112" s="1871"/>
      <c r="CE112" s="1871"/>
      <c r="CF112" s="1871"/>
      <c r="CG112" s="1871"/>
      <c r="CH112" s="1871"/>
      <c r="CI112" s="1871"/>
      <c r="CJ112" s="1871"/>
      <c r="CK112" s="1871"/>
      <c r="CL112" s="1871"/>
      <c r="CM112" s="1871"/>
      <c r="CN112" s="1871"/>
      <c r="CO112" s="1871"/>
      <c r="CP112" s="1871"/>
      <c r="CQ112" s="1871"/>
      <c r="CR112" s="1871"/>
      <c r="CS112" s="1871"/>
      <c r="CT112" s="1871"/>
      <c r="CU112" s="1871"/>
      <c r="CV112" s="1871"/>
      <c r="CW112" s="1871"/>
      <c r="CX112" s="1871"/>
      <c r="CY112" s="1871"/>
      <c r="CZ112" s="1826">
        <f t="shared" si="95"/>
        <v>0</v>
      </c>
      <c r="DB112" s="1054" t="s">
        <v>84</v>
      </c>
      <c r="DC112" s="1091">
        <f t="shared" si="96"/>
        <v>0</v>
      </c>
      <c r="DD112" s="1917"/>
      <c r="DE112" s="1917"/>
      <c r="DF112" s="1917"/>
      <c r="DG112" s="1917"/>
      <c r="DH112" s="1917"/>
      <c r="DI112" s="1917"/>
      <c r="DJ112" s="1917"/>
      <c r="DK112" s="1917"/>
      <c r="DL112" s="1917"/>
      <c r="DM112" s="1917"/>
      <c r="DN112" s="1917"/>
      <c r="DO112" s="1917"/>
      <c r="DP112" s="1917"/>
      <c r="DQ112" s="1917"/>
      <c r="DR112" s="1917"/>
      <c r="DS112" s="1917"/>
      <c r="DT112" s="1917"/>
      <c r="DU112" s="1917"/>
      <c r="DV112" s="1917"/>
      <c r="DW112" s="1917"/>
      <c r="DX112" s="1917"/>
      <c r="DY112" s="1917"/>
      <c r="DZ112" s="1917"/>
      <c r="EA112" s="1917"/>
      <c r="EB112" s="1917"/>
      <c r="EC112" s="1917"/>
      <c r="ED112" s="1917"/>
      <c r="EE112" s="1917"/>
      <c r="EF112" s="1917"/>
      <c r="EG112" s="1917"/>
      <c r="EH112" s="1917"/>
      <c r="EI112" s="1268">
        <f t="shared" si="97"/>
        <v>0</v>
      </c>
    </row>
    <row r="113" spans="1:139" ht="15">
      <c r="A113" s="1988" t="s">
        <v>72</v>
      </c>
      <c r="B113" s="1995">
        <f t="shared" ref="B113:AH113" si="98">SUM(B101:B112)</f>
        <v>0</v>
      </c>
      <c r="C113" s="1974">
        <f t="shared" si="98"/>
        <v>0</v>
      </c>
      <c r="D113" s="1974">
        <f t="shared" si="98"/>
        <v>0</v>
      </c>
      <c r="E113" s="1974">
        <f t="shared" si="98"/>
        <v>0</v>
      </c>
      <c r="F113" s="1974">
        <f t="shared" si="98"/>
        <v>0</v>
      </c>
      <c r="G113" s="1974">
        <f t="shared" si="98"/>
        <v>0</v>
      </c>
      <c r="H113" s="1974">
        <f t="shared" si="98"/>
        <v>0</v>
      </c>
      <c r="I113" s="1974">
        <f t="shared" si="98"/>
        <v>0</v>
      </c>
      <c r="J113" s="1974">
        <f t="shared" si="98"/>
        <v>0</v>
      </c>
      <c r="K113" s="1974">
        <f t="shared" si="98"/>
        <v>0</v>
      </c>
      <c r="L113" s="1974">
        <f t="shared" si="98"/>
        <v>0</v>
      </c>
      <c r="M113" s="1974">
        <f t="shared" si="98"/>
        <v>0</v>
      </c>
      <c r="N113" s="1974">
        <f t="shared" si="98"/>
        <v>0</v>
      </c>
      <c r="O113" s="1974">
        <f t="shared" si="98"/>
        <v>0</v>
      </c>
      <c r="P113" s="1974">
        <f t="shared" si="98"/>
        <v>0</v>
      </c>
      <c r="Q113" s="1974">
        <f t="shared" si="98"/>
        <v>0</v>
      </c>
      <c r="R113" s="1974">
        <f t="shared" si="98"/>
        <v>0</v>
      </c>
      <c r="S113" s="1974">
        <f t="shared" si="98"/>
        <v>0</v>
      </c>
      <c r="T113" s="1974">
        <f t="shared" si="98"/>
        <v>0</v>
      </c>
      <c r="U113" s="1974">
        <f t="shared" si="98"/>
        <v>0</v>
      </c>
      <c r="V113" s="1974">
        <f t="shared" si="98"/>
        <v>0</v>
      </c>
      <c r="W113" s="1974">
        <f t="shared" si="98"/>
        <v>0</v>
      </c>
      <c r="X113" s="1974">
        <f t="shared" si="98"/>
        <v>0</v>
      </c>
      <c r="Y113" s="1974">
        <f t="shared" si="98"/>
        <v>0</v>
      </c>
      <c r="Z113" s="1974">
        <f t="shared" si="98"/>
        <v>0</v>
      </c>
      <c r="AA113" s="1974">
        <f t="shared" si="98"/>
        <v>0</v>
      </c>
      <c r="AB113" s="1974">
        <f t="shared" si="98"/>
        <v>0</v>
      </c>
      <c r="AC113" s="1974">
        <f t="shared" si="98"/>
        <v>0</v>
      </c>
      <c r="AD113" s="1974">
        <f t="shared" si="98"/>
        <v>0</v>
      </c>
      <c r="AE113" s="1974">
        <f t="shared" si="98"/>
        <v>0</v>
      </c>
      <c r="AF113" s="1974">
        <f t="shared" si="98"/>
        <v>0</v>
      </c>
      <c r="AG113" s="1974">
        <f t="shared" si="98"/>
        <v>0</v>
      </c>
      <c r="AH113" s="1974">
        <f t="shared" si="98"/>
        <v>0</v>
      </c>
      <c r="AJ113" s="1837" t="s">
        <v>72</v>
      </c>
      <c r="AK113" s="1906">
        <f t="shared" ref="AK113:BQ113" si="99">SUM(AK101:AK112)</f>
        <v>0</v>
      </c>
      <c r="AL113" s="1834">
        <f t="shared" si="99"/>
        <v>0</v>
      </c>
      <c r="AM113" s="1834">
        <f t="shared" si="99"/>
        <v>0</v>
      </c>
      <c r="AN113" s="1834">
        <f t="shared" si="99"/>
        <v>0</v>
      </c>
      <c r="AO113" s="1834">
        <f t="shared" si="99"/>
        <v>0</v>
      </c>
      <c r="AP113" s="1834">
        <f t="shared" si="99"/>
        <v>0</v>
      </c>
      <c r="AQ113" s="1834">
        <f t="shared" si="99"/>
        <v>0</v>
      </c>
      <c r="AR113" s="1834">
        <f t="shared" si="99"/>
        <v>0</v>
      </c>
      <c r="AS113" s="1834">
        <f t="shared" si="99"/>
        <v>0</v>
      </c>
      <c r="AT113" s="1834">
        <f t="shared" si="99"/>
        <v>0</v>
      </c>
      <c r="AU113" s="1834">
        <f t="shared" si="99"/>
        <v>0</v>
      </c>
      <c r="AV113" s="1834">
        <f t="shared" si="99"/>
        <v>0</v>
      </c>
      <c r="AW113" s="1834">
        <f t="shared" si="99"/>
        <v>0</v>
      </c>
      <c r="AX113" s="1834">
        <f t="shared" si="99"/>
        <v>0</v>
      </c>
      <c r="AY113" s="1834">
        <f t="shared" si="99"/>
        <v>0</v>
      </c>
      <c r="AZ113" s="1834">
        <f t="shared" si="99"/>
        <v>0</v>
      </c>
      <c r="BA113" s="1834">
        <f t="shared" si="99"/>
        <v>0</v>
      </c>
      <c r="BB113" s="1834">
        <f t="shared" si="99"/>
        <v>0</v>
      </c>
      <c r="BC113" s="1834">
        <f t="shared" si="99"/>
        <v>0</v>
      </c>
      <c r="BD113" s="1834">
        <f t="shared" si="99"/>
        <v>0</v>
      </c>
      <c r="BE113" s="1834">
        <f t="shared" si="99"/>
        <v>0</v>
      </c>
      <c r="BF113" s="1834">
        <f t="shared" si="99"/>
        <v>0</v>
      </c>
      <c r="BG113" s="1834">
        <f t="shared" si="99"/>
        <v>0</v>
      </c>
      <c r="BH113" s="1834">
        <f t="shared" si="99"/>
        <v>0</v>
      </c>
      <c r="BI113" s="1834">
        <f t="shared" si="99"/>
        <v>0</v>
      </c>
      <c r="BJ113" s="1834">
        <f t="shared" si="99"/>
        <v>0</v>
      </c>
      <c r="BK113" s="1834">
        <f t="shared" si="99"/>
        <v>0</v>
      </c>
      <c r="BL113" s="1834">
        <f t="shared" si="99"/>
        <v>0</v>
      </c>
      <c r="BM113" s="1834">
        <f t="shared" si="99"/>
        <v>0</v>
      </c>
      <c r="BN113" s="1834">
        <f t="shared" si="99"/>
        <v>0</v>
      </c>
      <c r="BO113" s="1834">
        <f t="shared" si="99"/>
        <v>0</v>
      </c>
      <c r="BP113" s="1834">
        <f t="shared" si="99"/>
        <v>0</v>
      </c>
      <c r="BQ113" s="1834">
        <f t="shared" si="99"/>
        <v>0</v>
      </c>
      <c r="BS113" s="1829" t="s">
        <v>72</v>
      </c>
      <c r="BT113" s="1905">
        <f t="shared" ref="BT113:CZ113" si="100">SUM(BT101:BT112)</f>
        <v>0</v>
      </c>
      <c r="BU113" s="1826">
        <f t="shared" si="100"/>
        <v>0</v>
      </c>
      <c r="BV113" s="1826">
        <f t="shared" si="100"/>
        <v>0</v>
      </c>
      <c r="BW113" s="1826">
        <f t="shared" si="100"/>
        <v>0</v>
      </c>
      <c r="BX113" s="1826">
        <f t="shared" si="100"/>
        <v>0</v>
      </c>
      <c r="BY113" s="1826">
        <f t="shared" si="100"/>
        <v>0</v>
      </c>
      <c r="BZ113" s="1826">
        <f t="shared" si="100"/>
        <v>0</v>
      </c>
      <c r="CA113" s="1826">
        <f t="shared" si="100"/>
        <v>0</v>
      </c>
      <c r="CB113" s="1826">
        <f t="shared" si="100"/>
        <v>0</v>
      </c>
      <c r="CC113" s="1826">
        <f t="shared" si="100"/>
        <v>0</v>
      </c>
      <c r="CD113" s="1826">
        <f t="shared" si="100"/>
        <v>0</v>
      </c>
      <c r="CE113" s="1826">
        <f t="shared" si="100"/>
        <v>0</v>
      </c>
      <c r="CF113" s="1826">
        <f t="shared" si="100"/>
        <v>0</v>
      </c>
      <c r="CG113" s="1826">
        <f t="shared" si="100"/>
        <v>0</v>
      </c>
      <c r="CH113" s="1826">
        <f t="shared" si="100"/>
        <v>0</v>
      </c>
      <c r="CI113" s="1826">
        <f t="shared" si="100"/>
        <v>0</v>
      </c>
      <c r="CJ113" s="1826">
        <f t="shared" si="100"/>
        <v>0</v>
      </c>
      <c r="CK113" s="1826">
        <f t="shared" si="100"/>
        <v>0</v>
      </c>
      <c r="CL113" s="1826">
        <f t="shared" si="100"/>
        <v>0</v>
      </c>
      <c r="CM113" s="1826">
        <f t="shared" si="100"/>
        <v>0</v>
      </c>
      <c r="CN113" s="1826">
        <f t="shared" si="100"/>
        <v>0</v>
      </c>
      <c r="CO113" s="1826">
        <f t="shared" si="100"/>
        <v>0</v>
      </c>
      <c r="CP113" s="1826">
        <f t="shared" si="100"/>
        <v>0</v>
      </c>
      <c r="CQ113" s="1826">
        <f t="shared" si="100"/>
        <v>0</v>
      </c>
      <c r="CR113" s="1826">
        <f t="shared" si="100"/>
        <v>0</v>
      </c>
      <c r="CS113" s="1826">
        <f t="shared" si="100"/>
        <v>0</v>
      </c>
      <c r="CT113" s="1826">
        <f t="shared" si="100"/>
        <v>0</v>
      </c>
      <c r="CU113" s="1826">
        <f t="shared" si="100"/>
        <v>0</v>
      </c>
      <c r="CV113" s="1826">
        <f t="shared" si="100"/>
        <v>0</v>
      </c>
      <c r="CW113" s="1826">
        <f t="shared" si="100"/>
        <v>0</v>
      </c>
      <c r="CX113" s="1826">
        <f t="shared" si="100"/>
        <v>0</v>
      </c>
      <c r="CY113" s="1826">
        <f t="shared" si="100"/>
        <v>0</v>
      </c>
      <c r="CZ113" s="1826">
        <f t="shared" si="100"/>
        <v>0</v>
      </c>
      <c r="DB113" s="1259" t="s">
        <v>72</v>
      </c>
      <c r="DC113" s="1916">
        <f t="shared" ref="DC113:EI113" si="101">SUM(DC101:DC112)</f>
        <v>0</v>
      </c>
      <c r="DD113" s="1268">
        <f t="shared" si="101"/>
        <v>0</v>
      </c>
      <c r="DE113" s="1268">
        <f t="shared" si="101"/>
        <v>0</v>
      </c>
      <c r="DF113" s="1268">
        <f t="shared" si="101"/>
        <v>0</v>
      </c>
      <c r="DG113" s="1268">
        <f t="shared" si="101"/>
        <v>0</v>
      </c>
      <c r="DH113" s="1268">
        <f t="shared" si="101"/>
        <v>0</v>
      </c>
      <c r="DI113" s="1268">
        <f t="shared" si="101"/>
        <v>0</v>
      </c>
      <c r="DJ113" s="1268">
        <f t="shared" si="101"/>
        <v>0</v>
      </c>
      <c r="DK113" s="1268">
        <f t="shared" si="101"/>
        <v>0</v>
      </c>
      <c r="DL113" s="1268">
        <f t="shared" si="101"/>
        <v>0</v>
      </c>
      <c r="DM113" s="1268">
        <f t="shared" si="101"/>
        <v>0</v>
      </c>
      <c r="DN113" s="1268">
        <f t="shared" si="101"/>
        <v>0</v>
      </c>
      <c r="DO113" s="1268">
        <f t="shared" si="101"/>
        <v>0</v>
      </c>
      <c r="DP113" s="1268">
        <f t="shared" si="101"/>
        <v>0</v>
      </c>
      <c r="DQ113" s="1268">
        <f t="shared" si="101"/>
        <v>0</v>
      </c>
      <c r="DR113" s="1268">
        <f t="shared" si="101"/>
        <v>0</v>
      </c>
      <c r="DS113" s="1268">
        <f t="shared" si="101"/>
        <v>0</v>
      </c>
      <c r="DT113" s="1268">
        <f t="shared" si="101"/>
        <v>0</v>
      </c>
      <c r="DU113" s="1268">
        <f t="shared" si="101"/>
        <v>0</v>
      </c>
      <c r="DV113" s="1268">
        <f t="shared" si="101"/>
        <v>0</v>
      </c>
      <c r="DW113" s="1268">
        <f t="shared" si="101"/>
        <v>0</v>
      </c>
      <c r="DX113" s="1268">
        <f t="shared" si="101"/>
        <v>0</v>
      </c>
      <c r="DY113" s="1268">
        <f t="shared" si="101"/>
        <v>0</v>
      </c>
      <c r="DZ113" s="1268">
        <f t="shared" si="101"/>
        <v>0</v>
      </c>
      <c r="EA113" s="1268">
        <f t="shared" si="101"/>
        <v>0</v>
      </c>
      <c r="EB113" s="1268">
        <f t="shared" si="101"/>
        <v>0</v>
      </c>
      <c r="EC113" s="1268">
        <f t="shared" si="101"/>
        <v>0</v>
      </c>
      <c r="ED113" s="1268">
        <f t="shared" si="101"/>
        <v>0</v>
      </c>
      <c r="EE113" s="1268">
        <f t="shared" si="101"/>
        <v>0</v>
      </c>
      <c r="EF113" s="1268">
        <f t="shared" si="101"/>
        <v>0</v>
      </c>
      <c r="EG113" s="1268">
        <f t="shared" si="101"/>
        <v>0</v>
      </c>
      <c r="EH113" s="1268">
        <f t="shared" si="101"/>
        <v>0</v>
      </c>
      <c r="EI113" s="1268">
        <f t="shared" si="101"/>
        <v>0</v>
      </c>
    </row>
    <row r="114" spans="1:139" ht="15">
      <c r="A114" s="1967"/>
      <c r="B114" s="1968"/>
      <c r="C114" s="1969"/>
      <c r="D114" s="1969"/>
      <c r="E114" s="1969"/>
      <c r="F114" s="1969"/>
      <c r="G114" s="1969"/>
      <c r="H114" s="1969"/>
      <c r="I114" s="1969"/>
      <c r="J114" s="1969"/>
      <c r="K114" s="1969"/>
      <c r="L114" s="1969"/>
      <c r="M114" s="1969"/>
      <c r="N114" s="1969"/>
      <c r="O114" s="1969"/>
      <c r="P114" s="1969"/>
      <c r="Q114" s="1969"/>
      <c r="R114" s="1969"/>
      <c r="S114" s="1969"/>
      <c r="T114" s="1969"/>
      <c r="U114" s="1969"/>
      <c r="V114" s="1969"/>
      <c r="W114" s="1969"/>
      <c r="X114" s="1969"/>
      <c r="Y114" s="1969"/>
      <c r="Z114" s="1969"/>
      <c r="AA114" s="1969"/>
      <c r="AB114" s="1969"/>
      <c r="AC114" s="1969"/>
      <c r="AD114" s="1969"/>
      <c r="AE114" s="1969"/>
      <c r="AF114" s="1969"/>
      <c r="AG114" s="1969"/>
      <c r="AH114" s="1969"/>
      <c r="AJ114" s="1903"/>
      <c r="AK114" s="1902"/>
      <c r="AL114" s="1895"/>
      <c r="AM114" s="1895"/>
      <c r="AN114" s="1895"/>
      <c r="AO114" s="1895"/>
      <c r="AP114" s="1895"/>
      <c r="AQ114" s="1895"/>
      <c r="AR114" s="1895"/>
      <c r="AS114" s="1895"/>
      <c r="AT114" s="1895"/>
      <c r="AU114" s="1895"/>
      <c r="AV114" s="1895"/>
      <c r="AW114" s="1895"/>
      <c r="AX114" s="1895"/>
      <c r="AY114" s="1895"/>
      <c r="AZ114" s="1895"/>
      <c r="BA114" s="1895"/>
      <c r="BB114" s="1895"/>
      <c r="BC114" s="1895"/>
      <c r="BD114" s="1895"/>
      <c r="BE114" s="1895"/>
      <c r="BF114" s="1895"/>
      <c r="BG114" s="1895"/>
      <c r="BH114" s="1895"/>
      <c r="BI114" s="1895"/>
      <c r="BJ114" s="1895"/>
      <c r="BK114" s="1895"/>
      <c r="BL114" s="1895"/>
      <c r="BM114" s="1895"/>
      <c r="BN114" s="1895"/>
      <c r="BO114" s="1895"/>
      <c r="BP114" s="1895"/>
      <c r="BQ114" s="1895"/>
      <c r="BS114" s="1901"/>
      <c r="BT114" s="1900"/>
      <c r="BU114" s="1891"/>
      <c r="BV114" s="1891"/>
      <c r="BW114" s="1891"/>
      <c r="BX114" s="1891"/>
      <c r="BY114" s="1891"/>
      <c r="BZ114" s="1891"/>
      <c r="CA114" s="1891"/>
      <c r="CB114" s="1891"/>
      <c r="CC114" s="1891"/>
      <c r="CD114" s="1891"/>
      <c r="CE114" s="1891"/>
      <c r="CF114" s="1891"/>
      <c r="CG114" s="1891"/>
      <c r="CH114" s="1891"/>
      <c r="CI114" s="1891"/>
      <c r="CJ114" s="1891"/>
      <c r="CK114" s="1891"/>
      <c r="CL114" s="1891"/>
      <c r="CM114" s="1891"/>
      <c r="CN114" s="1891"/>
      <c r="CO114" s="1891"/>
      <c r="CP114" s="1891"/>
      <c r="CQ114" s="1891"/>
      <c r="CR114" s="1891"/>
      <c r="CS114" s="1891"/>
      <c r="CT114" s="1891"/>
      <c r="CU114" s="1891"/>
      <c r="CV114" s="1891"/>
      <c r="CW114" s="1891"/>
      <c r="CX114" s="1891"/>
      <c r="CY114" s="1891"/>
      <c r="CZ114" s="1891"/>
      <c r="DB114" s="1768"/>
      <c r="DC114" s="1685"/>
      <c r="DD114" s="1686"/>
      <c r="DE114" s="1686"/>
      <c r="DF114" s="1686"/>
      <c r="DG114" s="1686"/>
      <c r="DH114" s="1686"/>
      <c r="DI114" s="1686"/>
      <c r="DJ114" s="1686"/>
      <c r="DK114" s="1686"/>
      <c r="DL114" s="1686"/>
      <c r="DM114" s="1686"/>
      <c r="DN114" s="1686"/>
      <c r="DO114" s="1686"/>
      <c r="DP114" s="1686"/>
      <c r="DQ114" s="1686"/>
      <c r="DR114" s="1686"/>
      <c r="DS114" s="1686"/>
      <c r="DT114" s="1686"/>
      <c r="DU114" s="1686"/>
      <c r="DV114" s="1686"/>
      <c r="DW114" s="1686"/>
      <c r="DX114" s="1686"/>
      <c r="DY114" s="1686"/>
      <c r="DZ114" s="1686"/>
      <c r="EA114" s="1686"/>
      <c r="EB114" s="1686"/>
      <c r="EC114" s="1686"/>
      <c r="ED114" s="1686"/>
      <c r="EE114" s="1686"/>
      <c r="EF114" s="1686"/>
      <c r="EG114" s="1686"/>
      <c r="EH114" s="1686"/>
      <c r="EI114" s="1686"/>
    </row>
    <row r="115" spans="1:139" ht="15">
      <c r="A115" s="3872" t="s">
        <v>609</v>
      </c>
      <c r="B115" s="3873"/>
      <c r="C115" s="3874"/>
      <c r="D115" s="1970"/>
      <c r="E115" s="1970"/>
      <c r="F115" s="1970"/>
      <c r="G115" s="1970"/>
      <c r="H115" s="1970"/>
      <c r="I115" s="1970"/>
      <c r="J115" s="1970"/>
      <c r="K115" s="1970"/>
      <c r="L115" s="1970"/>
      <c r="M115" s="1971"/>
      <c r="N115" s="1970"/>
      <c r="O115" s="1970"/>
      <c r="P115" s="1970"/>
      <c r="Q115" s="1970"/>
      <c r="R115" s="1970"/>
      <c r="S115" s="1970"/>
      <c r="T115" s="1970"/>
      <c r="U115" s="1970"/>
      <c r="V115" s="1970"/>
      <c r="W115" s="1970"/>
      <c r="X115" s="1970"/>
      <c r="Y115" s="1970"/>
      <c r="Z115" s="1970"/>
      <c r="AA115" s="1970"/>
      <c r="AB115" s="1970"/>
      <c r="AC115" s="1970"/>
      <c r="AD115" s="1970"/>
      <c r="AE115" s="1970"/>
      <c r="AF115" s="1970"/>
      <c r="AG115" s="1970"/>
      <c r="AH115" s="1970"/>
      <c r="AJ115" s="3821" t="s">
        <v>609</v>
      </c>
      <c r="AK115" s="3822"/>
      <c r="AL115" s="3823"/>
      <c r="AM115" s="1839"/>
      <c r="AN115" s="1839"/>
      <c r="AO115" s="1839"/>
      <c r="AP115" s="1839"/>
      <c r="AQ115" s="1839"/>
      <c r="AR115" s="1839"/>
      <c r="AS115" s="1839"/>
      <c r="AT115" s="1839"/>
      <c r="AU115" s="1839"/>
      <c r="AV115" s="1840"/>
      <c r="AW115" s="1839"/>
      <c r="AX115" s="1839"/>
      <c r="AY115" s="1839"/>
      <c r="AZ115" s="1839"/>
      <c r="BA115" s="1839"/>
      <c r="BB115" s="1839"/>
      <c r="BC115" s="1839"/>
      <c r="BD115" s="1839"/>
      <c r="BE115" s="1839"/>
      <c r="BF115" s="1839"/>
      <c r="BG115" s="1839"/>
      <c r="BH115" s="1839"/>
      <c r="BI115" s="1839"/>
      <c r="BJ115" s="1839"/>
      <c r="BK115" s="1839"/>
      <c r="BL115" s="1839"/>
      <c r="BM115" s="1839"/>
      <c r="BN115" s="1839"/>
      <c r="BO115" s="1839"/>
      <c r="BP115" s="1839"/>
      <c r="BQ115" s="1839"/>
      <c r="BS115" s="4035" t="s">
        <v>609</v>
      </c>
      <c r="BT115" s="4036"/>
      <c r="BU115" s="4037"/>
      <c r="BV115" s="1831"/>
      <c r="BW115" s="1831"/>
      <c r="BX115" s="1831"/>
      <c r="BY115" s="1831"/>
      <c r="BZ115" s="1831"/>
      <c r="CA115" s="1831"/>
      <c r="CB115" s="1831"/>
      <c r="CC115" s="1831"/>
      <c r="CD115" s="1831"/>
      <c r="CE115" s="1832"/>
      <c r="CF115" s="1831"/>
      <c r="CG115" s="1831"/>
      <c r="CH115" s="1831"/>
      <c r="CI115" s="1831"/>
      <c r="CJ115" s="1831"/>
      <c r="CK115" s="1831"/>
      <c r="CL115" s="1831"/>
      <c r="CM115" s="1831"/>
      <c r="CN115" s="1831"/>
      <c r="CO115" s="1831"/>
      <c r="CP115" s="1831"/>
      <c r="CQ115" s="1831"/>
      <c r="CR115" s="1831"/>
      <c r="CS115" s="1831"/>
      <c r="CT115" s="1831"/>
      <c r="CU115" s="1831"/>
      <c r="CV115" s="1831"/>
      <c r="CW115" s="1831"/>
      <c r="CX115" s="1831"/>
      <c r="CY115" s="1831"/>
      <c r="CZ115" s="1831"/>
      <c r="DB115" s="4044" t="s">
        <v>609</v>
      </c>
      <c r="DC115" s="4045"/>
      <c r="DD115" s="4046"/>
      <c r="DE115" s="1229"/>
      <c r="DF115" s="1229"/>
      <c r="DG115" s="1229"/>
      <c r="DH115" s="1229"/>
      <c r="DI115" s="1229"/>
      <c r="DJ115" s="1229"/>
      <c r="DK115" s="1229"/>
      <c r="DL115" s="1229"/>
      <c r="DM115" s="1229"/>
      <c r="DN115" s="1920"/>
      <c r="DO115" s="1229"/>
      <c r="DP115" s="1229"/>
      <c r="DQ115" s="1229"/>
      <c r="DR115" s="1229"/>
      <c r="DS115" s="1229"/>
      <c r="DT115" s="1229"/>
      <c r="DU115" s="1229"/>
      <c r="DV115" s="1229"/>
      <c r="DW115" s="1229"/>
      <c r="DX115" s="1229"/>
      <c r="DY115" s="1229"/>
      <c r="DZ115" s="1229"/>
      <c r="EA115" s="1229"/>
      <c r="EB115" s="1229"/>
      <c r="EC115" s="1229"/>
      <c r="ED115" s="1229"/>
      <c r="EE115" s="1229"/>
      <c r="EF115" s="1229"/>
      <c r="EG115" s="1229"/>
      <c r="EH115" s="1229"/>
      <c r="EI115" s="1229"/>
    </row>
    <row r="116" spans="1:139" ht="15">
      <c r="A116" s="1039" t="s">
        <v>70</v>
      </c>
      <c r="B116" s="1039" t="s">
        <v>71</v>
      </c>
      <c r="C116" s="1039">
        <v>1</v>
      </c>
      <c r="D116" s="1039">
        <v>2</v>
      </c>
      <c r="E116" s="1039">
        <v>3</v>
      </c>
      <c r="F116" s="1039">
        <v>4</v>
      </c>
      <c r="G116" s="1039">
        <v>5</v>
      </c>
      <c r="H116" s="1039">
        <v>6</v>
      </c>
      <c r="I116" s="1039">
        <v>7</v>
      </c>
      <c r="J116" s="1039">
        <v>8</v>
      </c>
      <c r="K116" s="1039">
        <v>9</v>
      </c>
      <c r="L116" s="1039">
        <v>10</v>
      </c>
      <c r="M116" s="1039">
        <v>11</v>
      </c>
      <c r="N116" s="1039">
        <v>12</v>
      </c>
      <c r="O116" s="1039">
        <v>13</v>
      </c>
      <c r="P116" s="1039">
        <v>14</v>
      </c>
      <c r="Q116" s="1039">
        <v>15</v>
      </c>
      <c r="R116" s="1039">
        <v>16</v>
      </c>
      <c r="S116" s="1039">
        <v>17</v>
      </c>
      <c r="T116" s="1039">
        <v>18</v>
      </c>
      <c r="U116" s="1039">
        <v>19</v>
      </c>
      <c r="V116" s="1039">
        <v>20</v>
      </c>
      <c r="W116" s="1039">
        <v>21</v>
      </c>
      <c r="X116" s="1039">
        <v>22</v>
      </c>
      <c r="Y116" s="1039">
        <v>23</v>
      </c>
      <c r="Z116" s="1039">
        <v>24</v>
      </c>
      <c r="AA116" s="1039">
        <v>25</v>
      </c>
      <c r="AB116" s="1039">
        <v>26</v>
      </c>
      <c r="AC116" s="1039">
        <v>27</v>
      </c>
      <c r="AD116" s="1039">
        <v>28</v>
      </c>
      <c r="AE116" s="1039">
        <v>29</v>
      </c>
      <c r="AF116" s="1039">
        <v>30</v>
      </c>
      <c r="AG116" s="1039">
        <v>31</v>
      </c>
      <c r="AH116" s="1972" t="s">
        <v>72</v>
      </c>
      <c r="AJ116" s="1524" t="s">
        <v>70</v>
      </c>
      <c r="AK116" s="1524" t="s">
        <v>71</v>
      </c>
      <c r="AL116" s="1524">
        <v>1</v>
      </c>
      <c r="AM116" s="1524">
        <v>2</v>
      </c>
      <c r="AN116" s="1524">
        <v>3</v>
      </c>
      <c r="AO116" s="1524">
        <v>4</v>
      </c>
      <c r="AP116" s="1524">
        <v>5</v>
      </c>
      <c r="AQ116" s="1524">
        <v>6</v>
      </c>
      <c r="AR116" s="1524">
        <v>7</v>
      </c>
      <c r="AS116" s="1524">
        <v>8</v>
      </c>
      <c r="AT116" s="1524">
        <v>9</v>
      </c>
      <c r="AU116" s="1524">
        <v>10</v>
      </c>
      <c r="AV116" s="1524">
        <v>11</v>
      </c>
      <c r="AW116" s="1524">
        <v>12</v>
      </c>
      <c r="AX116" s="1524">
        <v>13</v>
      </c>
      <c r="AY116" s="1524">
        <v>14</v>
      </c>
      <c r="AZ116" s="1524">
        <v>15</v>
      </c>
      <c r="BA116" s="1524">
        <v>16</v>
      </c>
      <c r="BB116" s="1524">
        <v>17</v>
      </c>
      <c r="BC116" s="1524">
        <v>18</v>
      </c>
      <c r="BD116" s="1524">
        <v>19</v>
      </c>
      <c r="BE116" s="1524">
        <v>20</v>
      </c>
      <c r="BF116" s="1524">
        <v>21</v>
      </c>
      <c r="BG116" s="1524">
        <v>22</v>
      </c>
      <c r="BH116" s="1524">
        <v>23</v>
      </c>
      <c r="BI116" s="1524">
        <v>24</v>
      </c>
      <c r="BJ116" s="1524">
        <v>25</v>
      </c>
      <c r="BK116" s="1524">
        <v>26</v>
      </c>
      <c r="BL116" s="1524">
        <v>27</v>
      </c>
      <c r="BM116" s="1524">
        <v>28</v>
      </c>
      <c r="BN116" s="1524">
        <v>29</v>
      </c>
      <c r="BO116" s="1524">
        <v>30</v>
      </c>
      <c r="BP116" s="1524">
        <v>31</v>
      </c>
      <c r="BQ116" s="1838" t="s">
        <v>72</v>
      </c>
      <c r="BS116" s="1621" t="s">
        <v>70</v>
      </c>
      <c r="BT116" s="1621" t="s">
        <v>71</v>
      </c>
      <c r="BU116" s="1621">
        <v>1</v>
      </c>
      <c r="BV116" s="1621">
        <v>2</v>
      </c>
      <c r="BW116" s="1621">
        <v>3</v>
      </c>
      <c r="BX116" s="1621">
        <v>4</v>
      </c>
      <c r="BY116" s="1621">
        <v>5</v>
      </c>
      <c r="BZ116" s="1621">
        <v>6</v>
      </c>
      <c r="CA116" s="1621">
        <v>7</v>
      </c>
      <c r="CB116" s="1621">
        <v>8</v>
      </c>
      <c r="CC116" s="1621">
        <v>9</v>
      </c>
      <c r="CD116" s="1621">
        <v>10</v>
      </c>
      <c r="CE116" s="1621">
        <v>11</v>
      </c>
      <c r="CF116" s="1621">
        <v>12</v>
      </c>
      <c r="CG116" s="1621">
        <v>13</v>
      </c>
      <c r="CH116" s="1621">
        <v>14</v>
      </c>
      <c r="CI116" s="1621">
        <v>15</v>
      </c>
      <c r="CJ116" s="1621">
        <v>16</v>
      </c>
      <c r="CK116" s="1621">
        <v>17</v>
      </c>
      <c r="CL116" s="1621">
        <v>18</v>
      </c>
      <c r="CM116" s="1621">
        <v>19</v>
      </c>
      <c r="CN116" s="1621">
        <v>20</v>
      </c>
      <c r="CO116" s="1621">
        <v>21</v>
      </c>
      <c r="CP116" s="1621">
        <v>22</v>
      </c>
      <c r="CQ116" s="1621">
        <v>23</v>
      </c>
      <c r="CR116" s="1621">
        <v>24</v>
      </c>
      <c r="CS116" s="1621">
        <v>25</v>
      </c>
      <c r="CT116" s="1621">
        <v>26</v>
      </c>
      <c r="CU116" s="1621">
        <v>27</v>
      </c>
      <c r="CV116" s="1621">
        <v>28</v>
      </c>
      <c r="CW116" s="1621">
        <v>29</v>
      </c>
      <c r="CX116" s="1621">
        <v>30</v>
      </c>
      <c r="CY116" s="1621">
        <v>31</v>
      </c>
      <c r="CZ116" s="1830" t="s">
        <v>72</v>
      </c>
      <c r="DB116" s="1054" t="s">
        <v>70</v>
      </c>
      <c r="DC116" s="1054" t="s">
        <v>71</v>
      </c>
      <c r="DD116" s="1054">
        <v>1</v>
      </c>
      <c r="DE116" s="1054">
        <v>2</v>
      </c>
      <c r="DF116" s="1054">
        <v>3</v>
      </c>
      <c r="DG116" s="1054">
        <v>4</v>
      </c>
      <c r="DH116" s="1054">
        <v>5</v>
      </c>
      <c r="DI116" s="1054">
        <v>6</v>
      </c>
      <c r="DJ116" s="1054">
        <v>7</v>
      </c>
      <c r="DK116" s="1054">
        <v>8</v>
      </c>
      <c r="DL116" s="1054">
        <v>9</v>
      </c>
      <c r="DM116" s="1054">
        <v>10</v>
      </c>
      <c r="DN116" s="1054">
        <v>11</v>
      </c>
      <c r="DO116" s="1054">
        <v>12</v>
      </c>
      <c r="DP116" s="1054">
        <v>13</v>
      </c>
      <c r="DQ116" s="1054">
        <v>14</v>
      </c>
      <c r="DR116" s="1054">
        <v>15</v>
      </c>
      <c r="DS116" s="1054">
        <v>16</v>
      </c>
      <c r="DT116" s="1054">
        <v>17</v>
      </c>
      <c r="DU116" s="1054">
        <v>18</v>
      </c>
      <c r="DV116" s="1054">
        <v>19</v>
      </c>
      <c r="DW116" s="1054">
        <v>20</v>
      </c>
      <c r="DX116" s="1054">
        <v>21</v>
      </c>
      <c r="DY116" s="1054">
        <v>22</v>
      </c>
      <c r="DZ116" s="1054">
        <v>23</v>
      </c>
      <c r="EA116" s="1054">
        <v>24</v>
      </c>
      <c r="EB116" s="1054">
        <v>25</v>
      </c>
      <c r="EC116" s="1054">
        <v>26</v>
      </c>
      <c r="ED116" s="1054">
        <v>27</v>
      </c>
      <c r="EE116" s="1054">
        <v>28</v>
      </c>
      <c r="EF116" s="1054">
        <v>29</v>
      </c>
      <c r="EG116" s="1054">
        <v>30</v>
      </c>
      <c r="EH116" s="1054">
        <v>31</v>
      </c>
      <c r="EI116" s="1596" t="s">
        <v>72</v>
      </c>
    </row>
    <row r="117" spans="1:139" ht="15">
      <c r="A117" s="1039" t="s">
        <v>73</v>
      </c>
      <c r="B117" s="1084">
        <f t="shared" ref="B117:B128" si="102">+AH117</f>
        <v>0</v>
      </c>
      <c r="C117" s="1973"/>
      <c r="D117" s="1973"/>
      <c r="E117" s="1973"/>
      <c r="F117" s="1973"/>
      <c r="G117" s="1973"/>
      <c r="H117" s="1973"/>
      <c r="I117" s="1973"/>
      <c r="J117" s="1973"/>
      <c r="K117" s="1973"/>
      <c r="L117" s="1973"/>
      <c r="M117" s="1973"/>
      <c r="N117" s="1973"/>
      <c r="O117" s="1973"/>
      <c r="P117" s="1973"/>
      <c r="Q117" s="1973"/>
      <c r="R117" s="1973"/>
      <c r="S117" s="1973"/>
      <c r="T117" s="1973"/>
      <c r="U117" s="1973"/>
      <c r="V117" s="1973"/>
      <c r="W117" s="1973"/>
      <c r="X117" s="1973"/>
      <c r="Y117" s="1973"/>
      <c r="Z117" s="1973"/>
      <c r="AA117" s="1973"/>
      <c r="AB117" s="1973"/>
      <c r="AC117" s="1973"/>
      <c r="AD117" s="1973"/>
      <c r="AE117" s="1973"/>
      <c r="AF117" s="1973"/>
      <c r="AG117" s="1973"/>
      <c r="AH117" s="1974">
        <f t="shared" ref="AH117:AH128" si="103">SUM(C117:AG117)</f>
        <v>0</v>
      </c>
      <c r="AJ117" s="1524" t="s">
        <v>73</v>
      </c>
      <c r="AK117" s="1527">
        <f t="shared" ref="AK117:AK128" si="104">+BQ117</f>
        <v>0</v>
      </c>
      <c r="AL117" s="1835"/>
      <c r="AM117" s="1835"/>
      <c r="AN117" s="1835"/>
      <c r="AO117" s="1835"/>
      <c r="AP117" s="1835"/>
      <c r="AQ117" s="1835"/>
      <c r="AR117" s="1835"/>
      <c r="AS117" s="1835"/>
      <c r="AT117" s="1835"/>
      <c r="AU117" s="1835"/>
      <c r="AV117" s="1835"/>
      <c r="AW117" s="1835"/>
      <c r="AX117" s="1835"/>
      <c r="AY117" s="1835"/>
      <c r="AZ117" s="1835"/>
      <c r="BA117" s="1835"/>
      <c r="BB117" s="1835"/>
      <c r="BC117" s="1835"/>
      <c r="BD117" s="1835"/>
      <c r="BE117" s="1872"/>
      <c r="BF117" s="1872"/>
      <c r="BG117" s="1872"/>
      <c r="BH117" s="1872"/>
      <c r="BI117" s="1872"/>
      <c r="BJ117" s="1872"/>
      <c r="BK117" s="1872"/>
      <c r="BL117" s="1872"/>
      <c r="BM117" s="1872"/>
      <c r="BN117" s="1872"/>
      <c r="BO117" s="1872"/>
      <c r="BP117" s="1872"/>
      <c r="BQ117" s="1834">
        <f t="shared" ref="BQ117:BQ128" si="105">SUM(AL117:BP117)</f>
        <v>0</v>
      </c>
      <c r="BS117" s="1621" t="s">
        <v>73</v>
      </c>
      <c r="BT117" s="1622">
        <f t="shared" ref="BT117:BT128" si="106">+CZ117</f>
        <v>0</v>
      </c>
      <c r="BU117" s="1871"/>
      <c r="BV117" s="1871"/>
      <c r="BW117" s="1871"/>
      <c r="BX117" s="1871"/>
      <c r="BY117" s="1871"/>
      <c r="BZ117" s="1871"/>
      <c r="CA117" s="1871"/>
      <c r="CB117" s="1871"/>
      <c r="CC117" s="1871"/>
      <c r="CD117" s="1871"/>
      <c r="CE117" s="1871"/>
      <c r="CF117" s="1871"/>
      <c r="CG117" s="1827"/>
      <c r="CH117" s="1827"/>
      <c r="CI117" s="1827"/>
      <c r="CJ117" s="1827"/>
      <c r="CK117" s="1827"/>
      <c r="CL117" s="1827"/>
      <c r="CM117" s="1827"/>
      <c r="CN117" s="1827"/>
      <c r="CO117" s="1827"/>
      <c r="CP117" s="1827"/>
      <c r="CQ117" s="1827"/>
      <c r="CR117" s="1827"/>
      <c r="CS117" s="1827"/>
      <c r="CT117" s="1827"/>
      <c r="CU117" s="1827"/>
      <c r="CV117" s="1827"/>
      <c r="CW117" s="1827"/>
      <c r="CX117" s="1827"/>
      <c r="CY117" s="1827"/>
      <c r="CZ117" s="1826">
        <f t="shared" ref="CZ117:CZ128" si="107">SUM(BU117:CY117)</f>
        <v>0</v>
      </c>
      <c r="DB117" s="1054" t="s">
        <v>73</v>
      </c>
      <c r="DC117" s="1091">
        <f t="shared" ref="DC117:DC128" si="108">+EI117</f>
        <v>0</v>
      </c>
      <c r="DD117" s="1539"/>
      <c r="DE117" s="1539"/>
      <c r="DF117" s="1539"/>
      <c r="DG117" s="1539"/>
      <c r="DH117" s="1539"/>
      <c r="DI117" s="1539"/>
      <c r="DJ117" s="1539"/>
      <c r="DK117" s="1539"/>
      <c r="DL117" s="1539"/>
      <c r="DM117" s="1539"/>
      <c r="DN117" s="1539"/>
      <c r="DO117" s="1539"/>
      <c r="DP117" s="1539"/>
      <c r="DQ117" s="1539"/>
      <c r="DR117" s="1539"/>
      <c r="DS117" s="1539"/>
      <c r="DT117" s="1539"/>
      <c r="DU117" s="1539"/>
      <c r="DV117" s="1539"/>
      <c r="DW117" s="1539"/>
      <c r="DX117" s="1539"/>
      <c r="DY117" s="1539"/>
      <c r="DZ117" s="1539"/>
      <c r="EA117" s="1539"/>
      <c r="EB117" s="1539"/>
      <c r="EC117" s="1539"/>
      <c r="ED117" s="1539"/>
      <c r="EE117" s="1539"/>
      <c r="EF117" s="1539"/>
      <c r="EG117" s="1539"/>
      <c r="EH117" s="1539"/>
      <c r="EI117" s="1268">
        <f t="shared" ref="EI117:EI128" si="109">SUM(DD117:EH117)</f>
        <v>0</v>
      </c>
    </row>
    <row r="118" spans="1:139" ht="15">
      <c r="A118" s="1039" t="s">
        <v>74</v>
      </c>
      <c r="B118" s="1084">
        <f t="shared" si="102"/>
        <v>0</v>
      </c>
      <c r="C118" s="1973"/>
      <c r="D118" s="1975"/>
      <c r="E118" s="1975"/>
      <c r="F118" s="1975"/>
      <c r="G118" s="1975"/>
      <c r="H118" s="1975"/>
      <c r="I118" s="1975"/>
      <c r="J118" s="1975"/>
      <c r="K118" s="1975"/>
      <c r="L118" s="1975"/>
      <c r="M118" s="1975"/>
      <c r="N118" s="1975"/>
      <c r="O118" s="1975"/>
      <c r="P118" s="1975"/>
      <c r="Q118" s="1975"/>
      <c r="R118" s="1975"/>
      <c r="S118" s="1975"/>
      <c r="T118" s="1975"/>
      <c r="U118" s="1975"/>
      <c r="V118" s="1975"/>
      <c r="W118" s="1975"/>
      <c r="X118" s="1975"/>
      <c r="Y118" s="1973"/>
      <c r="Z118" s="1973"/>
      <c r="AA118" s="1973"/>
      <c r="AB118" s="1973"/>
      <c r="AC118" s="1973"/>
      <c r="AD118" s="1973"/>
      <c r="AE118" s="1973"/>
      <c r="AF118" s="1973"/>
      <c r="AG118" s="1973"/>
      <c r="AH118" s="1974">
        <f t="shared" si="103"/>
        <v>0</v>
      </c>
      <c r="AJ118" s="1524" t="s">
        <v>74</v>
      </c>
      <c r="AK118" s="1527">
        <f t="shared" si="104"/>
        <v>0</v>
      </c>
      <c r="AL118" s="1835"/>
      <c r="AM118" s="1889"/>
      <c r="AN118" s="1889"/>
      <c r="AO118" s="1889"/>
      <c r="AP118" s="1889"/>
      <c r="AQ118" s="1889"/>
      <c r="AR118" s="1889"/>
      <c r="AS118" s="1889"/>
      <c r="AT118" s="1889"/>
      <c r="AU118" s="1889"/>
      <c r="AV118" s="1889"/>
      <c r="AW118" s="1889"/>
      <c r="AX118" s="1889"/>
      <c r="AY118" s="1889"/>
      <c r="AZ118" s="1889"/>
      <c r="BA118" s="1889"/>
      <c r="BB118" s="1889"/>
      <c r="BC118" s="1889"/>
      <c r="BD118" s="1889"/>
      <c r="BE118" s="1872"/>
      <c r="BF118" s="1872"/>
      <c r="BG118" s="1872"/>
      <c r="BH118" s="1872"/>
      <c r="BI118" s="1872"/>
      <c r="BJ118" s="1872"/>
      <c r="BK118" s="1872"/>
      <c r="BL118" s="1872"/>
      <c r="BM118" s="1872"/>
      <c r="BN118" s="1872"/>
      <c r="BO118" s="1872"/>
      <c r="BP118" s="1872"/>
      <c r="BQ118" s="1834">
        <f t="shared" si="105"/>
        <v>0</v>
      </c>
      <c r="BS118" s="1621" t="s">
        <v>74</v>
      </c>
      <c r="BT118" s="1622">
        <f t="shared" si="106"/>
        <v>0</v>
      </c>
      <c r="BU118" s="1871"/>
      <c r="BV118" s="1871"/>
      <c r="BW118" s="1871"/>
      <c r="BX118" s="1871"/>
      <c r="BY118" s="1871"/>
      <c r="BZ118" s="1871"/>
      <c r="CA118" s="1871"/>
      <c r="CB118" s="1871"/>
      <c r="CC118" s="1871"/>
      <c r="CD118" s="1871"/>
      <c r="CE118" s="1871"/>
      <c r="CF118" s="1871"/>
      <c r="CG118" s="1870"/>
      <c r="CH118" s="1870"/>
      <c r="CI118" s="1870"/>
      <c r="CJ118" s="1870"/>
      <c r="CK118" s="1870"/>
      <c r="CL118" s="1870"/>
      <c r="CM118" s="1870"/>
      <c r="CN118" s="1870"/>
      <c r="CO118" s="1870"/>
      <c r="CP118" s="1870"/>
      <c r="CQ118" s="1827"/>
      <c r="CR118" s="1827"/>
      <c r="CS118" s="1827"/>
      <c r="CT118" s="1827"/>
      <c r="CU118" s="1827"/>
      <c r="CV118" s="1827"/>
      <c r="CW118" s="1827"/>
      <c r="CX118" s="1827"/>
      <c r="CY118" s="1827"/>
      <c r="CZ118" s="1826">
        <f t="shared" si="107"/>
        <v>0</v>
      </c>
      <c r="DB118" s="1054" t="s">
        <v>74</v>
      </c>
      <c r="DC118" s="1091">
        <f t="shared" si="108"/>
        <v>0</v>
      </c>
      <c r="DD118" s="1539"/>
      <c r="DE118" s="1540"/>
      <c r="DF118" s="1540"/>
      <c r="DG118" s="1540"/>
      <c r="DH118" s="1540"/>
      <c r="DI118" s="1540"/>
      <c r="DJ118" s="1540"/>
      <c r="DK118" s="1540"/>
      <c r="DL118" s="1540"/>
      <c r="DM118" s="1540"/>
      <c r="DN118" s="1540"/>
      <c r="DO118" s="1540"/>
      <c r="DP118" s="1540"/>
      <c r="DQ118" s="1540"/>
      <c r="DR118" s="1540"/>
      <c r="DS118" s="1540"/>
      <c r="DT118" s="1540"/>
      <c r="DU118" s="1540"/>
      <c r="DV118" s="1540"/>
      <c r="DW118" s="1540"/>
      <c r="DX118" s="1540"/>
      <c r="DY118" s="1540"/>
      <c r="DZ118" s="1539"/>
      <c r="EA118" s="1539"/>
      <c r="EB118" s="1539"/>
      <c r="EC118" s="1539"/>
      <c r="ED118" s="1539"/>
      <c r="EE118" s="1539"/>
      <c r="EF118" s="1539"/>
      <c r="EG118" s="1539"/>
      <c r="EH118" s="1539"/>
      <c r="EI118" s="1268">
        <f t="shared" si="109"/>
        <v>0</v>
      </c>
    </row>
    <row r="119" spans="1:139" ht="15">
      <c r="A119" s="1039" t="s">
        <v>75</v>
      </c>
      <c r="B119" s="1084">
        <f t="shared" si="102"/>
        <v>0</v>
      </c>
      <c r="C119" s="1976"/>
      <c r="D119" s="1976"/>
      <c r="E119" s="1977"/>
      <c r="F119" s="1978"/>
      <c r="G119" s="1979"/>
      <c r="H119" s="1980"/>
      <c r="I119" s="1980"/>
      <c r="J119" s="1976"/>
      <c r="K119" s="1976"/>
      <c r="L119" s="1976"/>
      <c r="M119" s="1976"/>
      <c r="N119" s="1976"/>
      <c r="O119" s="1976"/>
      <c r="P119" s="1980"/>
      <c r="Q119" s="1980"/>
      <c r="R119" s="1980"/>
      <c r="S119" s="1980"/>
      <c r="T119" s="1980"/>
      <c r="U119" s="1980"/>
      <c r="V119" s="1980"/>
      <c r="W119" s="1980"/>
      <c r="X119" s="1980"/>
      <c r="Y119" s="1980"/>
      <c r="Z119" s="1980"/>
      <c r="AA119" s="1980"/>
      <c r="AB119" s="1980"/>
      <c r="AC119" s="1980"/>
      <c r="AD119" s="1980"/>
      <c r="AE119" s="1981"/>
      <c r="AF119" s="1976"/>
      <c r="AG119" s="1976"/>
      <c r="AH119" s="1974">
        <f t="shared" si="103"/>
        <v>0</v>
      </c>
      <c r="AJ119" s="1524" t="s">
        <v>75</v>
      </c>
      <c r="AK119" s="1527">
        <f t="shared" si="104"/>
        <v>0</v>
      </c>
      <c r="AL119" s="1878"/>
      <c r="AM119" s="1878"/>
      <c r="AN119" s="1888"/>
      <c r="AO119" s="1887"/>
      <c r="AP119" s="1886"/>
      <c r="AQ119" s="1879"/>
      <c r="AR119" s="1879"/>
      <c r="AS119" s="1878"/>
      <c r="AT119" s="1878"/>
      <c r="AU119" s="1878"/>
      <c r="AV119" s="1878"/>
      <c r="AW119" s="1878"/>
      <c r="AX119" s="1878"/>
      <c r="AY119" s="1879"/>
      <c r="AZ119" s="1879"/>
      <c r="BA119" s="1879"/>
      <c r="BB119" s="1879"/>
      <c r="BC119" s="1879"/>
      <c r="BD119" s="1879"/>
      <c r="BE119" s="1872"/>
      <c r="BF119" s="1872"/>
      <c r="BG119" s="1872"/>
      <c r="BH119" s="1872"/>
      <c r="BI119" s="1872"/>
      <c r="BJ119" s="1872"/>
      <c r="BK119" s="1872"/>
      <c r="BL119" s="1872"/>
      <c r="BM119" s="1872"/>
      <c r="BN119" s="1872"/>
      <c r="BO119" s="1872"/>
      <c r="BP119" s="1872"/>
      <c r="BQ119" s="1834">
        <f t="shared" si="105"/>
        <v>0</v>
      </c>
      <c r="BS119" s="1621" t="s">
        <v>75</v>
      </c>
      <c r="BT119" s="1622">
        <f t="shared" si="106"/>
        <v>0</v>
      </c>
      <c r="BU119" s="1871"/>
      <c r="BV119" s="1871"/>
      <c r="BW119" s="1871"/>
      <c r="BX119" s="1871"/>
      <c r="BY119" s="1871"/>
      <c r="BZ119" s="1871"/>
      <c r="CA119" s="1871"/>
      <c r="CB119" s="1871"/>
      <c r="CC119" s="1871"/>
      <c r="CD119" s="1871"/>
      <c r="CE119" s="1871"/>
      <c r="CF119" s="1871"/>
      <c r="CG119" s="1862"/>
      <c r="CH119" s="1863"/>
      <c r="CI119" s="1863"/>
      <c r="CJ119" s="1863"/>
      <c r="CK119" s="1863"/>
      <c r="CL119" s="1863"/>
      <c r="CM119" s="1863"/>
      <c r="CN119" s="1863"/>
      <c r="CO119" s="1863"/>
      <c r="CP119" s="1863"/>
      <c r="CQ119" s="1863"/>
      <c r="CR119" s="1863"/>
      <c r="CS119" s="1863"/>
      <c r="CT119" s="1863"/>
      <c r="CU119" s="1863"/>
      <c r="CV119" s="1863"/>
      <c r="CW119" s="1868"/>
      <c r="CX119" s="1862"/>
      <c r="CY119" s="1862"/>
      <c r="CZ119" s="1826">
        <f t="shared" si="107"/>
        <v>0</v>
      </c>
      <c r="DB119" s="1054" t="s">
        <v>75</v>
      </c>
      <c r="DC119" s="1091">
        <f t="shared" si="108"/>
        <v>0</v>
      </c>
      <c r="DD119" s="1925"/>
      <c r="DE119" s="1925"/>
      <c r="DF119" s="1936"/>
      <c r="DG119" s="1935"/>
      <c r="DH119" s="1934"/>
      <c r="DI119" s="1926"/>
      <c r="DJ119" s="1926"/>
      <c r="DK119" s="1925"/>
      <c r="DL119" s="1925"/>
      <c r="DM119" s="1925"/>
      <c r="DN119" s="1925"/>
      <c r="DO119" s="1925"/>
      <c r="DP119" s="1925"/>
      <c r="DQ119" s="1926"/>
      <c r="DR119" s="1926"/>
      <c r="DS119" s="1926"/>
      <c r="DT119" s="1926"/>
      <c r="DU119" s="1926"/>
      <c r="DV119" s="1926"/>
      <c r="DW119" s="1926"/>
      <c r="DX119" s="1926"/>
      <c r="DY119" s="1926"/>
      <c r="DZ119" s="1926"/>
      <c r="EA119" s="1926"/>
      <c r="EB119" s="1926"/>
      <c r="EC119" s="1926"/>
      <c r="ED119" s="1926"/>
      <c r="EE119" s="1926"/>
      <c r="EF119" s="1933"/>
      <c r="EG119" s="1925"/>
      <c r="EH119" s="1925"/>
      <c r="EI119" s="1268">
        <f t="shared" si="109"/>
        <v>0</v>
      </c>
    </row>
    <row r="120" spans="1:139" ht="15">
      <c r="A120" s="1039" t="s">
        <v>76</v>
      </c>
      <c r="B120" s="1084">
        <f t="shared" si="102"/>
        <v>0</v>
      </c>
      <c r="C120" s="1982"/>
      <c r="D120" s="1690"/>
      <c r="E120" s="1983"/>
      <c r="F120" s="1984"/>
      <c r="G120" s="1985"/>
      <c r="H120" s="1986"/>
      <c r="I120" s="1980"/>
      <c r="J120" s="1980"/>
      <c r="K120" s="1980"/>
      <c r="L120" s="1980"/>
      <c r="M120" s="1976"/>
      <c r="N120" s="1976"/>
      <c r="O120" s="1976"/>
      <c r="P120" s="1976"/>
      <c r="Q120" s="1980"/>
      <c r="R120" s="1980"/>
      <c r="S120" s="1980"/>
      <c r="T120" s="1980"/>
      <c r="U120" s="1976"/>
      <c r="V120" s="1980"/>
      <c r="W120" s="1980"/>
      <c r="X120" s="1980"/>
      <c r="Y120" s="1980"/>
      <c r="Z120" s="1980"/>
      <c r="AA120" s="1980"/>
      <c r="AB120" s="1980"/>
      <c r="AC120" s="1976"/>
      <c r="AD120" s="1980"/>
      <c r="AE120" s="1980"/>
      <c r="AF120" s="1976"/>
      <c r="AG120" s="1976"/>
      <c r="AH120" s="1974">
        <f t="shared" si="103"/>
        <v>0</v>
      </c>
      <c r="AJ120" s="1524" t="s">
        <v>76</v>
      </c>
      <c r="AK120" s="1527">
        <f t="shared" si="104"/>
        <v>0</v>
      </c>
      <c r="AL120" s="1885"/>
      <c r="AM120" s="1884"/>
      <c r="AN120" s="1883"/>
      <c r="AO120" s="1882"/>
      <c r="AP120" s="1881"/>
      <c r="AQ120" s="1880"/>
      <c r="AR120" s="1879"/>
      <c r="AS120" s="1879"/>
      <c r="AT120" s="1879"/>
      <c r="AU120" s="1879"/>
      <c r="AV120" s="1878"/>
      <c r="AW120" s="1878"/>
      <c r="AX120" s="1878"/>
      <c r="AY120" s="1878"/>
      <c r="AZ120" s="1879"/>
      <c r="BA120" s="1879"/>
      <c r="BB120" s="1879"/>
      <c r="BC120" s="1879"/>
      <c r="BD120" s="1878"/>
      <c r="BE120" s="1877"/>
      <c r="BF120" s="1877"/>
      <c r="BG120" s="1877"/>
      <c r="BH120" s="1877"/>
      <c r="BI120" s="1877"/>
      <c r="BJ120" s="1877"/>
      <c r="BK120" s="1877"/>
      <c r="BL120" s="1877"/>
      <c r="BM120" s="1877"/>
      <c r="BN120" s="1877"/>
      <c r="BO120" s="1872"/>
      <c r="BP120" s="1872"/>
      <c r="BQ120" s="1834">
        <f t="shared" si="105"/>
        <v>0</v>
      </c>
      <c r="BS120" s="1621" t="s">
        <v>76</v>
      </c>
      <c r="BT120" s="1622">
        <f t="shared" si="106"/>
        <v>0</v>
      </c>
      <c r="BU120" s="1876"/>
      <c r="BV120" s="1876"/>
      <c r="BW120" s="1876"/>
      <c r="BX120" s="1876"/>
      <c r="BY120" s="1876"/>
      <c r="BZ120" s="1876"/>
      <c r="CA120" s="1876"/>
      <c r="CB120" s="1876"/>
      <c r="CC120" s="1876"/>
      <c r="CD120" s="1876"/>
      <c r="CE120" s="1871"/>
      <c r="CF120" s="1871"/>
      <c r="CG120" s="1862"/>
      <c r="CH120" s="1862"/>
      <c r="CI120" s="1863"/>
      <c r="CJ120" s="1863"/>
      <c r="CK120" s="1863"/>
      <c r="CL120" s="1863"/>
      <c r="CM120" s="1862"/>
      <c r="CN120" s="1863"/>
      <c r="CO120" s="1863"/>
      <c r="CP120" s="1863"/>
      <c r="CQ120" s="1863"/>
      <c r="CR120" s="1863"/>
      <c r="CS120" s="1863"/>
      <c r="CT120" s="1863"/>
      <c r="CU120" s="1862"/>
      <c r="CV120" s="1863"/>
      <c r="CW120" s="1863"/>
      <c r="CX120" s="1862"/>
      <c r="CY120" s="1862"/>
      <c r="CZ120" s="1826">
        <f t="shared" si="107"/>
        <v>0</v>
      </c>
      <c r="DB120" s="1054" t="s">
        <v>76</v>
      </c>
      <c r="DC120" s="1091">
        <f t="shared" si="108"/>
        <v>0</v>
      </c>
      <c r="DD120" s="1931"/>
      <c r="DE120" s="1190"/>
      <c r="DF120" s="1930"/>
      <c r="DG120" s="1929"/>
      <c r="DH120" s="1928"/>
      <c r="DI120" s="1927"/>
      <c r="DJ120" s="1926"/>
      <c r="DK120" s="1926"/>
      <c r="DL120" s="1926"/>
      <c r="DM120" s="1926"/>
      <c r="DN120" s="1925"/>
      <c r="DO120" s="1925"/>
      <c r="DP120" s="1925"/>
      <c r="DQ120" s="1925"/>
      <c r="DR120" s="1926"/>
      <c r="DS120" s="1926"/>
      <c r="DT120" s="1926"/>
      <c r="DU120" s="1926"/>
      <c r="DV120" s="1925"/>
      <c r="DW120" s="1926"/>
      <c r="DX120" s="1926"/>
      <c r="DY120" s="1926"/>
      <c r="DZ120" s="1926"/>
      <c r="EA120" s="1926"/>
      <c r="EB120" s="1926"/>
      <c r="EC120" s="1926"/>
      <c r="ED120" s="1925"/>
      <c r="EE120" s="1926"/>
      <c r="EF120" s="1926"/>
      <c r="EG120" s="1925"/>
      <c r="EH120" s="1925"/>
      <c r="EI120" s="1268">
        <f t="shared" si="109"/>
        <v>0</v>
      </c>
    </row>
    <row r="121" spans="1:139" ht="15">
      <c r="A121" s="1039" t="s">
        <v>77</v>
      </c>
      <c r="B121" s="1084">
        <f t="shared" si="102"/>
        <v>0</v>
      </c>
      <c r="C121" s="1973"/>
      <c r="D121" s="1973"/>
      <c r="E121" s="1973"/>
      <c r="F121" s="1973"/>
      <c r="G121" s="1973"/>
      <c r="H121" s="1973"/>
      <c r="I121" s="1973"/>
      <c r="J121" s="1973"/>
      <c r="K121" s="1973"/>
      <c r="L121" s="1973"/>
      <c r="M121" s="1973"/>
      <c r="N121" s="1973"/>
      <c r="O121" s="1973"/>
      <c r="P121" s="1973"/>
      <c r="Q121" s="1973"/>
      <c r="R121" s="1973"/>
      <c r="S121" s="1973"/>
      <c r="T121" s="1973"/>
      <c r="U121" s="1973"/>
      <c r="V121" s="1973"/>
      <c r="W121" s="1973"/>
      <c r="X121" s="1973"/>
      <c r="Y121" s="1973"/>
      <c r="Z121" s="1973"/>
      <c r="AA121" s="1973"/>
      <c r="AB121" s="1973"/>
      <c r="AC121" s="1973"/>
      <c r="AD121" s="1973"/>
      <c r="AE121" s="1973"/>
      <c r="AF121" s="1973"/>
      <c r="AG121" s="1973"/>
      <c r="AH121" s="1974">
        <f t="shared" si="103"/>
        <v>0</v>
      </c>
      <c r="AJ121" s="1524" t="s">
        <v>77</v>
      </c>
      <c r="AK121" s="1527">
        <f t="shared" si="104"/>
        <v>0</v>
      </c>
      <c r="AL121" s="1835"/>
      <c r="AM121" s="1835"/>
      <c r="AN121" s="1835"/>
      <c r="AO121" s="1835"/>
      <c r="AP121" s="1835"/>
      <c r="AQ121" s="1835"/>
      <c r="AR121" s="1835"/>
      <c r="AS121" s="1835"/>
      <c r="AT121" s="1835"/>
      <c r="AU121" s="1835"/>
      <c r="AV121" s="1835"/>
      <c r="AW121" s="1835"/>
      <c r="AX121" s="1835"/>
      <c r="AY121" s="1835"/>
      <c r="AZ121" s="1835"/>
      <c r="BA121" s="1835"/>
      <c r="BB121" s="1835"/>
      <c r="BC121" s="1835"/>
      <c r="BD121" s="1835"/>
      <c r="BE121" s="1877"/>
      <c r="BF121" s="1877"/>
      <c r="BG121" s="1877"/>
      <c r="BH121" s="1872"/>
      <c r="BI121" s="1877"/>
      <c r="BJ121" s="1872"/>
      <c r="BK121" s="1877"/>
      <c r="BL121" s="1872"/>
      <c r="BM121" s="1877"/>
      <c r="BN121" s="1877"/>
      <c r="BO121" s="1877"/>
      <c r="BP121" s="1877"/>
      <c r="BQ121" s="1834">
        <f t="shared" si="105"/>
        <v>0</v>
      </c>
      <c r="BS121" s="1621" t="s">
        <v>77</v>
      </c>
      <c r="BT121" s="1622">
        <f t="shared" si="106"/>
        <v>0</v>
      </c>
      <c r="BU121" s="1876"/>
      <c r="BV121" s="1876"/>
      <c r="BW121" s="1876"/>
      <c r="BX121" s="1871"/>
      <c r="BY121" s="1876"/>
      <c r="BZ121" s="1871"/>
      <c r="CA121" s="1876"/>
      <c r="CB121" s="1871"/>
      <c r="CC121" s="1876"/>
      <c r="CD121" s="1876"/>
      <c r="CE121" s="1876"/>
      <c r="CF121" s="1876"/>
      <c r="CG121" s="1827"/>
      <c r="CH121" s="1827"/>
      <c r="CI121" s="1827"/>
      <c r="CJ121" s="1827"/>
      <c r="CK121" s="1827"/>
      <c r="CL121" s="1827"/>
      <c r="CM121" s="1827"/>
      <c r="CN121" s="1827"/>
      <c r="CO121" s="1827"/>
      <c r="CP121" s="1827"/>
      <c r="CQ121" s="1827"/>
      <c r="CR121" s="1827"/>
      <c r="CS121" s="1827"/>
      <c r="CT121" s="1827"/>
      <c r="CU121" s="1827"/>
      <c r="CV121" s="1827"/>
      <c r="CW121" s="1827"/>
      <c r="CX121" s="1827"/>
      <c r="CY121" s="1827"/>
      <c r="CZ121" s="1826">
        <f t="shared" si="107"/>
        <v>0</v>
      </c>
      <c r="DB121" s="1054" t="s">
        <v>77</v>
      </c>
      <c r="DC121" s="1091">
        <f t="shared" si="108"/>
        <v>0</v>
      </c>
      <c r="DD121" s="1539"/>
      <c r="DE121" s="1539"/>
      <c r="DF121" s="1539"/>
      <c r="DG121" s="1539"/>
      <c r="DH121" s="1539"/>
      <c r="DI121" s="1539"/>
      <c r="DJ121" s="1539"/>
      <c r="DK121" s="1539"/>
      <c r="DL121" s="1539"/>
      <c r="DM121" s="1539"/>
      <c r="DN121" s="1539"/>
      <c r="DO121" s="1539"/>
      <c r="DP121" s="1539"/>
      <c r="DQ121" s="1539"/>
      <c r="DR121" s="1539"/>
      <c r="DS121" s="1539"/>
      <c r="DT121" s="1539"/>
      <c r="DU121" s="1539"/>
      <c r="DV121" s="1539"/>
      <c r="DW121" s="1539"/>
      <c r="DX121" s="1539"/>
      <c r="DY121" s="1539"/>
      <c r="DZ121" s="1539"/>
      <c r="EA121" s="1539"/>
      <c r="EB121" s="1539"/>
      <c r="EC121" s="1539"/>
      <c r="ED121" s="1539"/>
      <c r="EE121" s="1539"/>
      <c r="EF121" s="1539"/>
      <c r="EG121" s="1539"/>
      <c r="EH121" s="1539"/>
      <c r="EI121" s="1268">
        <f t="shared" si="109"/>
        <v>0</v>
      </c>
    </row>
    <row r="122" spans="1:139" ht="15">
      <c r="A122" s="1039" t="s">
        <v>78</v>
      </c>
      <c r="B122" s="1084">
        <f t="shared" si="102"/>
        <v>0</v>
      </c>
      <c r="C122" s="1973"/>
      <c r="D122" s="1973"/>
      <c r="E122" s="1973"/>
      <c r="F122" s="1973"/>
      <c r="G122" s="1973"/>
      <c r="H122" s="1973"/>
      <c r="I122" s="1973"/>
      <c r="J122" s="1973"/>
      <c r="K122" s="1973"/>
      <c r="L122" s="1973"/>
      <c r="M122" s="1973"/>
      <c r="N122" s="1973"/>
      <c r="O122" s="1973"/>
      <c r="P122" s="1973"/>
      <c r="Q122" s="1973"/>
      <c r="R122" s="1973"/>
      <c r="S122" s="1973"/>
      <c r="T122" s="1973"/>
      <c r="U122" s="1973"/>
      <c r="V122" s="1973"/>
      <c r="W122" s="1973"/>
      <c r="X122" s="1973"/>
      <c r="Y122" s="1973"/>
      <c r="Z122" s="1973"/>
      <c r="AA122" s="1973"/>
      <c r="AB122" s="1973"/>
      <c r="AC122" s="1973"/>
      <c r="AD122" s="1973"/>
      <c r="AE122" s="1973"/>
      <c r="AF122" s="1973"/>
      <c r="AG122" s="1973"/>
      <c r="AH122" s="1974">
        <f t="shared" si="103"/>
        <v>0</v>
      </c>
      <c r="AJ122" s="1524" t="s">
        <v>78</v>
      </c>
      <c r="AK122" s="1527">
        <f t="shared" si="104"/>
        <v>0</v>
      </c>
      <c r="AL122" s="1835"/>
      <c r="AM122" s="1835"/>
      <c r="AN122" s="1835"/>
      <c r="AO122" s="1835"/>
      <c r="AP122" s="1835"/>
      <c r="AQ122" s="1835"/>
      <c r="AR122" s="1835"/>
      <c r="AS122" s="1835"/>
      <c r="AT122" s="1835"/>
      <c r="AU122" s="1835"/>
      <c r="AV122" s="1835"/>
      <c r="AW122" s="1835"/>
      <c r="AX122" s="1835"/>
      <c r="AY122" s="1835"/>
      <c r="AZ122" s="1835"/>
      <c r="BA122" s="1835"/>
      <c r="BB122" s="1835"/>
      <c r="BC122" s="1835"/>
      <c r="BD122" s="1835"/>
      <c r="BE122" s="1877"/>
      <c r="BF122" s="1877"/>
      <c r="BG122" s="1877"/>
      <c r="BH122" s="1877"/>
      <c r="BI122" s="1877"/>
      <c r="BJ122" s="1877"/>
      <c r="BK122" s="1877"/>
      <c r="BL122" s="1877"/>
      <c r="BM122" s="1877"/>
      <c r="BN122" s="1877"/>
      <c r="BO122" s="1877"/>
      <c r="BP122" s="1872"/>
      <c r="BQ122" s="1834">
        <f t="shared" si="105"/>
        <v>0</v>
      </c>
      <c r="BS122" s="1621" t="s">
        <v>78</v>
      </c>
      <c r="BT122" s="1622">
        <f t="shared" si="106"/>
        <v>0</v>
      </c>
      <c r="BU122" s="1876"/>
      <c r="BV122" s="1876"/>
      <c r="BW122" s="1876"/>
      <c r="BX122" s="1876"/>
      <c r="BY122" s="1876"/>
      <c r="BZ122" s="1876"/>
      <c r="CA122" s="1876"/>
      <c r="CB122" s="1876"/>
      <c r="CC122" s="1876"/>
      <c r="CD122" s="1876"/>
      <c r="CE122" s="1876"/>
      <c r="CF122" s="1871"/>
      <c r="CG122" s="1827"/>
      <c r="CH122" s="1827"/>
      <c r="CI122" s="1827"/>
      <c r="CJ122" s="1827"/>
      <c r="CK122" s="1827"/>
      <c r="CL122" s="1827"/>
      <c r="CM122" s="1827"/>
      <c r="CN122" s="1827"/>
      <c r="CO122" s="1827"/>
      <c r="CP122" s="1827"/>
      <c r="CQ122" s="1827"/>
      <c r="CR122" s="1827"/>
      <c r="CS122" s="1827"/>
      <c r="CT122" s="1827"/>
      <c r="CU122" s="1827"/>
      <c r="CV122" s="1827"/>
      <c r="CW122" s="1827"/>
      <c r="CX122" s="1827"/>
      <c r="CY122" s="1827"/>
      <c r="CZ122" s="1826">
        <f t="shared" si="107"/>
        <v>0</v>
      </c>
      <c r="DB122" s="1054" t="s">
        <v>78</v>
      </c>
      <c r="DC122" s="1091">
        <f t="shared" si="108"/>
        <v>0</v>
      </c>
      <c r="DD122" s="1539"/>
      <c r="DE122" s="1539"/>
      <c r="DF122" s="1539"/>
      <c r="DG122" s="1539"/>
      <c r="DH122" s="1539"/>
      <c r="DI122" s="1539"/>
      <c r="DJ122" s="1539"/>
      <c r="DK122" s="1539"/>
      <c r="DL122" s="1539"/>
      <c r="DM122" s="1539"/>
      <c r="DN122" s="1539"/>
      <c r="DO122" s="1539"/>
      <c r="DP122" s="1539"/>
      <c r="DQ122" s="1539"/>
      <c r="DR122" s="1539"/>
      <c r="DS122" s="1539"/>
      <c r="DT122" s="1539"/>
      <c r="DU122" s="1539"/>
      <c r="DV122" s="1539"/>
      <c r="DW122" s="1539"/>
      <c r="DX122" s="1539"/>
      <c r="DY122" s="1539"/>
      <c r="DZ122" s="1539"/>
      <c r="EA122" s="1539"/>
      <c r="EB122" s="1539"/>
      <c r="EC122" s="1539"/>
      <c r="ED122" s="1539"/>
      <c r="EE122" s="1539"/>
      <c r="EF122" s="1539"/>
      <c r="EG122" s="1539"/>
      <c r="EH122" s="1539"/>
      <c r="EI122" s="1268">
        <f t="shared" si="109"/>
        <v>0</v>
      </c>
    </row>
    <row r="123" spans="1:139" ht="15">
      <c r="A123" s="1039" t="s">
        <v>79</v>
      </c>
      <c r="B123" s="1084">
        <f t="shared" si="102"/>
        <v>0</v>
      </c>
      <c r="C123" s="1973"/>
      <c r="D123" s="1973"/>
      <c r="E123" s="1973"/>
      <c r="F123" s="1973"/>
      <c r="G123" s="1973"/>
      <c r="H123" s="1973"/>
      <c r="I123" s="1973"/>
      <c r="J123" s="1973"/>
      <c r="K123" s="1973"/>
      <c r="L123" s="1973"/>
      <c r="M123" s="1973"/>
      <c r="N123" s="1973"/>
      <c r="O123" s="1973"/>
      <c r="P123" s="1973"/>
      <c r="Q123" s="1973"/>
      <c r="R123" s="1973"/>
      <c r="S123" s="1973"/>
      <c r="T123" s="1973"/>
      <c r="U123" s="1973"/>
      <c r="V123" s="1973"/>
      <c r="W123" s="1973"/>
      <c r="X123" s="1973"/>
      <c r="Y123" s="1973"/>
      <c r="Z123" s="1973"/>
      <c r="AA123" s="1973"/>
      <c r="AB123" s="1973"/>
      <c r="AC123" s="1973"/>
      <c r="AD123" s="1973"/>
      <c r="AE123" s="1973"/>
      <c r="AF123" s="1973"/>
      <c r="AG123" s="1973"/>
      <c r="AH123" s="1974">
        <f t="shared" si="103"/>
        <v>0</v>
      </c>
      <c r="AJ123" s="1524" t="s">
        <v>79</v>
      </c>
      <c r="AK123" s="1527">
        <f t="shared" si="104"/>
        <v>0</v>
      </c>
      <c r="AL123" s="1835"/>
      <c r="AM123" s="1835"/>
      <c r="AN123" s="1835"/>
      <c r="AO123" s="1835"/>
      <c r="AP123" s="1835"/>
      <c r="AQ123" s="1835"/>
      <c r="AR123" s="1835"/>
      <c r="AS123" s="1835"/>
      <c r="AT123" s="1835"/>
      <c r="AU123" s="1835"/>
      <c r="AV123" s="1835"/>
      <c r="AW123" s="1835"/>
      <c r="AX123" s="1835"/>
      <c r="AY123" s="1835"/>
      <c r="AZ123" s="1835"/>
      <c r="BA123" s="1835"/>
      <c r="BB123" s="1835"/>
      <c r="BC123" s="1835"/>
      <c r="BD123" s="1835"/>
      <c r="BE123" s="1877"/>
      <c r="BF123" s="1877"/>
      <c r="BG123" s="1877"/>
      <c r="BH123" s="1877"/>
      <c r="BI123" s="1877"/>
      <c r="BJ123" s="1877"/>
      <c r="BK123" s="1877"/>
      <c r="BL123" s="1877"/>
      <c r="BM123" s="1877"/>
      <c r="BN123" s="1877"/>
      <c r="BO123" s="1877"/>
      <c r="BP123" s="1877"/>
      <c r="BQ123" s="1834">
        <f t="shared" si="105"/>
        <v>0</v>
      </c>
      <c r="BS123" s="1621" t="s">
        <v>79</v>
      </c>
      <c r="BT123" s="1622">
        <f t="shared" si="106"/>
        <v>0</v>
      </c>
      <c r="BU123" s="1876"/>
      <c r="BV123" s="1876"/>
      <c r="BW123" s="1876"/>
      <c r="BX123" s="1876"/>
      <c r="BY123" s="1876"/>
      <c r="BZ123" s="1876"/>
      <c r="CA123" s="1876"/>
      <c r="CB123" s="1876"/>
      <c r="CC123" s="1876"/>
      <c r="CD123" s="1876"/>
      <c r="CE123" s="1876"/>
      <c r="CF123" s="1876"/>
      <c r="CG123" s="1827"/>
      <c r="CH123" s="1827"/>
      <c r="CI123" s="1827"/>
      <c r="CJ123" s="1827"/>
      <c r="CK123" s="1827"/>
      <c r="CL123" s="1827"/>
      <c r="CM123" s="1827"/>
      <c r="CN123" s="1827"/>
      <c r="CO123" s="1827"/>
      <c r="CP123" s="1827"/>
      <c r="CQ123" s="1827"/>
      <c r="CR123" s="1827"/>
      <c r="CS123" s="1827"/>
      <c r="CT123" s="1827"/>
      <c r="CU123" s="1827"/>
      <c r="CV123" s="1827"/>
      <c r="CW123" s="1827"/>
      <c r="CX123" s="1827"/>
      <c r="CY123" s="1827"/>
      <c r="CZ123" s="1826">
        <f t="shared" si="107"/>
        <v>0</v>
      </c>
      <c r="DB123" s="1054" t="s">
        <v>79</v>
      </c>
      <c r="DC123" s="1091">
        <f t="shared" si="108"/>
        <v>0</v>
      </c>
      <c r="DD123" s="1539"/>
      <c r="DE123" s="1539"/>
      <c r="DF123" s="1539"/>
      <c r="DG123" s="1539"/>
      <c r="DH123" s="1539"/>
      <c r="DI123" s="1539"/>
      <c r="DJ123" s="1539"/>
      <c r="DK123" s="1539"/>
      <c r="DL123" s="1539"/>
      <c r="DM123" s="1539"/>
      <c r="DN123" s="1539"/>
      <c r="DO123" s="1539"/>
      <c r="DP123" s="1539"/>
      <c r="DQ123" s="1539"/>
      <c r="DR123" s="1539"/>
      <c r="DS123" s="1539"/>
      <c r="DT123" s="1539"/>
      <c r="DU123" s="1539"/>
      <c r="DV123" s="1539"/>
      <c r="DW123" s="1539"/>
      <c r="DX123" s="1539"/>
      <c r="DY123" s="1539"/>
      <c r="DZ123" s="1539"/>
      <c r="EA123" s="1539"/>
      <c r="EB123" s="1539"/>
      <c r="EC123" s="1539"/>
      <c r="ED123" s="1539"/>
      <c r="EE123" s="1539"/>
      <c r="EF123" s="1539"/>
      <c r="EG123" s="1539"/>
      <c r="EH123" s="1539"/>
      <c r="EI123" s="1268">
        <f t="shared" si="109"/>
        <v>0</v>
      </c>
    </row>
    <row r="124" spans="1:139" ht="15">
      <c r="A124" s="1039" t="s">
        <v>80</v>
      </c>
      <c r="B124" s="1084">
        <f t="shared" si="102"/>
        <v>0</v>
      </c>
      <c r="C124" s="1973"/>
      <c r="D124" s="1973"/>
      <c r="E124" s="1973"/>
      <c r="F124" s="1973"/>
      <c r="G124" s="1973"/>
      <c r="H124" s="1973"/>
      <c r="I124" s="1973"/>
      <c r="J124" s="1973"/>
      <c r="K124" s="1973"/>
      <c r="L124" s="1973"/>
      <c r="M124" s="1973"/>
      <c r="N124" s="1973"/>
      <c r="O124" s="1973"/>
      <c r="P124" s="1973"/>
      <c r="Q124" s="1973"/>
      <c r="R124" s="1973"/>
      <c r="S124" s="1973"/>
      <c r="T124" s="1973"/>
      <c r="U124" s="1973"/>
      <c r="V124" s="1973"/>
      <c r="W124" s="1973"/>
      <c r="X124" s="1973"/>
      <c r="Y124" s="1973"/>
      <c r="Z124" s="1973"/>
      <c r="AA124" s="1973"/>
      <c r="AB124" s="1973"/>
      <c r="AC124" s="1973"/>
      <c r="AD124" s="1973"/>
      <c r="AE124" s="1973"/>
      <c r="AF124" s="1973"/>
      <c r="AG124" s="1973"/>
      <c r="AH124" s="1974">
        <f t="shared" si="103"/>
        <v>0</v>
      </c>
      <c r="AJ124" s="1524" t="s">
        <v>80</v>
      </c>
      <c r="AK124" s="1527">
        <f t="shared" si="104"/>
        <v>0</v>
      </c>
      <c r="AL124" s="1835"/>
      <c r="AM124" s="1835"/>
      <c r="AN124" s="1835"/>
      <c r="AO124" s="1835"/>
      <c r="AP124" s="1835"/>
      <c r="AQ124" s="1835"/>
      <c r="AR124" s="1835"/>
      <c r="AS124" s="1835"/>
      <c r="AT124" s="1835"/>
      <c r="AU124" s="1835"/>
      <c r="AV124" s="1835"/>
      <c r="AW124" s="1835"/>
      <c r="AX124" s="1835"/>
      <c r="AY124" s="1835"/>
      <c r="AZ124" s="1835"/>
      <c r="BA124" s="1835"/>
      <c r="BB124" s="1835"/>
      <c r="BC124" s="1835"/>
      <c r="BD124" s="1835"/>
      <c r="BE124" s="1872"/>
      <c r="BF124" s="1875"/>
      <c r="BG124" s="1872"/>
      <c r="BH124" s="1872"/>
      <c r="BI124" s="1872"/>
      <c r="BJ124" s="1872"/>
      <c r="BK124" s="1872"/>
      <c r="BL124" s="1872"/>
      <c r="BM124" s="1872"/>
      <c r="BN124" s="1872"/>
      <c r="BO124" s="1872"/>
      <c r="BP124" s="1872"/>
      <c r="BQ124" s="1834">
        <f t="shared" si="105"/>
        <v>0</v>
      </c>
      <c r="BS124" s="1621" t="s">
        <v>80</v>
      </c>
      <c r="BT124" s="1622">
        <f t="shared" si="106"/>
        <v>0</v>
      </c>
      <c r="BU124" s="1871"/>
      <c r="BV124" s="1874"/>
      <c r="BW124" s="1871"/>
      <c r="BX124" s="1871"/>
      <c r="BY124" s="1871"/>
      <c r="BZ124" s="1871"/>
      <c r="CA124" s="1871"/>
      <c r="CB124" s="1871"/>
      <c r="CC124" s="1871"/>
      <c r="CD124" s="1871"/>
      <c r="CE124" s="1871"/>
      <c r="CF124" s="1871"/>
      <c r="CG124" s="1827"/>
      <c r="CH124" s="1827"/>
      <c r="CI124" s="1827"/>
      <c r="CJ124" s="1827"/>
      <c r="CK124" s="1827"/>
      <c r="CL124" s="1827"/>
      <c r="CM124" s="1827"/>
      <c r="CN124" s="1827"/>
      <c r="CO124" s="1827"/>
      <c r="CP124" s="1827"/>
      <c r="CQ124" s="1827"/>
      <c r="CR124" s="1827"/>
      <c r="CS124" s="1827"/>
      <c r="CT124" s="1827"/>
      <c r="CU124" s="1827"/>
      <c r="CV124" s="1827"/>
      <c r="CW124" s="1827"/>
      <c r="CX124" s="1827"/>
      <c r="CY124" s="1827"/>
      <c r="CZ124" s="1826">
        <f t="shared" si="107"/>
        <v>0</v>
      </c>
      <c r="DB124" s="1054" t="s">
        <v>80</v>
      </c>
      <c r="DC124" s="1091">
        <f t="shared" si="108"/>
        <v>0</v>
      </c>
      <c r="DD124" s="1539"/>
      <c r="DE124" s="1539"/>
      <c r="DF124" s="1539"/>
      <c r="DG124" s="1539"/>
      <c r="DH124" s="1539"/>
      <c r="DI124" s="1539"/>
      <c r="DJ124" s="1539"/>
      <c r="DK124" s="1539"/>
      <c r="DL124" s="1539"/>
      <c r="DM124" s="1539"/>
      <c r="DN124" s="1539"/>
      <c r="DO124" s="1539"/>
      <c r="DP124" s="1539"/>
      <c r="DQ124" s="1539"/>
      <c r="DR124" s="1539"/>
      <c r="DS124" s="1539"/>
      <c r="DT124" s="1539"/>
      <c r="DU124" s="1539"/>
      <c r="DV124" s="1539"/>
      <c r="DW124" s="1539"/>
      <c r="DX124" s="1539"/>
      <c r="DY124" s="1539"/>
      <c r="DZ124" s="1539"/>
      <c r="EA124" s="1539"/>
      <c r="EB124" s="1539"/>
      <c r="EC124" s="1539"/>
      <c r="ED124" s="1539"/>
      <c r="EE124" s="1539"/>
      <c r="EF124" s="1539"/>
      <c r="EG124" s="1539"/>
      <c r="EH124" s="1539"/>
      <c r="EI124" s="1268">
        <f t="shared" si="109"/>
        <v>0</v>
      </c>
    </row>
    <row r="125" spans="1:139" ht="15">
      <c r="A125" s="1039" t="s">
        <v>81</v>
      </c>
      <c r="B125" s="1084">
        <f t="shared" si="102"/>
        <v>0</v>
      </c>
      <c r="C125" s="1973"/>
      <c r="D125" s="1973"/>
      <c r="E125" s="1973"/>
      <c r="F125" s="1973"/>
      <c r="G125" s="1973"/>
      <c r="H125" s="1973"/>
      <c r="I125" s="1973"/>
      <c r="J125" s="1973"/>
      <c r="K125" s="1973"/>
      <c r="L125" s="1973"/>
      <c r="M125" s="1973"/>
      <c r="N125" s="1973"/>
      <c r="O125" s="1973"/>
      <c r="P125" s="1973"/>
      <c r="Q125" s="1973"/>
      <c r="R125" s="1973"/>
      <c r="S125" s="1973"/>
      <c r="T125" s="1973"/>
      <c r="U125" s="1973"/>
      <c r="V125" s="1973"/>
      <c r="W125" s="1973"/>
      <c r="X125" s="1973"/>
      <c r="Y125" s="1973"/>
      <c r="Z125" s="1973"/>
      <c r="AA125" s="1973"/>
      <c r="AB125" s="1973"/>
      <c r="AC125" s="1973"/>
      <c r="AD125" s="1973"/>
      <c r="AE125" s="1973"/>
      <c r="AF125" s="1973"/>
      <c r="AG125" s="1973"/>
      <c r="AH125" s="1974">
        <f t="shared" si="103"/>
        <v>0</v>
      </c>
      <c r="AJ125" s="1524" t="s">
        <v>81</v>
      </c>
      <c r="AK125" s="1527">
        <f t="shared" si="104"/>
        <v>0</v>
      </c>
      <c r="AL125" s="1835"/>
      <c r="AM125" s="1835"/>
      <c r="AN125" s="1835"/>
      <c r="AO125" s="1835"/>
      <c r="AP125" s="1835"/>
      <c r="AQ125" s="1835"/>
      <c r="AR125" s="1835"/>
      <c r="AS125" s="1835"/>
      <c r="AT125" s="1835"/>
      <c r="AU125" s="1835"/>
      <c r="AV125" s="1835"/>
      <c r="AW125" s="1835"/>
      <c r="AX125" s="1835"/>
      <c r="AY125" s="1835"/>
      <c r="AZ125" s="1835"/>
      <c r="BA125" s="1835"/>
      <c r="BB125" s="1835"/>
      <c r="BC125" s="1835"/>
      <c r="BD125" s="1835"/>
      <c r="BE125" s="1872"/>
      <c r="BF125" s="1872"/>
      <c r="BG125" s="1872"/>
      <c r="BH125" s="1872"/>
      <c r="BI125" s="1872"/>
      <c r="BJ125" s="1872"/>
      <c r="BK125" s="1872"/>
      <c r="BL125" s="1872"/>
      <c r="BM125" s="1872"/>
      <c r="BN125" s="1872"/>
      <c r="BO125" s="1872"/>
      <c r="BP125" s="1872"/>
      <c r="BQ125" s="1834">
        <f t="shared" si="105"/>
        <v>0</v>
      </c>
      <c r="BS125" s="1621" t="s">
        <v>81</v>
      </c>
      <c r="BT125" s="1622">
        <f t="shared" si="106"/>
        <v>0</v>
      </c>
      <c r="BU125" s="1871"/>
      <c r="BV125" s="1871"/>
      <c r="BW125" s="1871"/>
      <c r="BX125" s="1871"/>
      <c r="BY125" s="1871"/>
      <c r="BZ125" s="1871"/>
      <c r="CA125" s="1871"/>
      <c r="CB125" s="1871"/>
      <c r="CC125" s="1871"/>
      <c r="CD125" s="1871"/>
      <c r="CE125" s="1871"/>
      <c r="CF125" s="1871"/>
      <c r="CG125" s="1827"/>
      <c r="CH125" s="1827"/>
      <c r="CI125" s="1827"/>
      <c r="CJ125" s="1827"/>
      <c r="CK125" s="1827"/>
      <c r="CL125" s="1827"/>
      <c r="CM125" s="1827"/>
      <c r="CN125" s="1827"/>
      <c r="CO125" s="1827"/>
      <c r="CP125" s="1827"/>
      <c r="CQ125" s="1827"/>
      <c r="CR125" s="1827"/>
      <c r="CS125" s="1827"/>
      <c r="CT125" s="1827"/>
      <c r="CU125" s="1827"/>
      <c r="CV125" s="1827"/>
      <c r="CW125" s="1827"/>
      <c r="CX125" s="1827"/>
      <c r="CY125" s="1827"/>
      <c r="CZ125" s="1826">
        <f t="shared" si="107"/>
        <v>0</v>
      </c>
      <c r="DB125" s="1054" t="s">
        <v>81</v>
      </c>
      <c r="DC125" s="1091">
        <f t="shared" si="108"/>
        <v>0</v>
      </c>
      <c r="DD125" s="1539"/>
      <c r="DE125" s="1539"/>
      <c r="DF125" s="1539"/>
      <c r="DG125" s="1539"/>
      <c r="DH125" s="1539"/>
      <c r="DI125" s="1539"/>
      <c r="DJ125" s="1539"/>
      <c r="DK125" s="1539"/>
      <c r="DL125" s="1539"/>
      <c r="DM125" s="1539"/>
      <c r="DN125" s="1539"/>
      <c r="DO125" s="1539"/>
      <c r="DP125" s="1539"/>
      <c r="DQ125" s="1539"/>
      <c r="DR125" s="1539"/>
      <c r="DS125" s="1539"/>
      <c r="DT125" s="1539"/>
      <c r="DU125" s="1539"/>
      <c r="DV125" s="1539"/>
      <c r="DW125" s="1539"/>
      <c r="DX125" s="1539"/>
      <c r="DY125" s="1539"/>
      <c r="DZ125" s="1539"/>
      <c r="EA125" s="1539"/>
      <c r="EB125" s="1539"/>
      <c r="EC125" s="1539"/>
      <c r="ED125" s="1539"/>
      <c r="EE125" s="1539"/>
      <c r="EF125" s="1539"/>
      <c r="EG125" s="1539"/>
      <c r="EH125" s="1539"/>
      <c r="EI125" s="1268">
        <f t="shared" si="109"/>
        <v>0</v>
      </c>
    </row>
    <row r="126" spans="1:139" ht="15">
      <c r="A126" s="1039" t="s">
        <v>82</v>
      </c>
      <c r="B126" s="1084">
        <f t="shared" si="102"/>
        <v>0</v>
      </c>
      <c r="C126" s="1973"/>
      <c r="D126" s="1973"/>
      <c r="E126" s="1973"/>
      <c r="F126" s="1973"/>
      <c r="G126" s="1973"/>
      <c r="H126" s="1973"/>
      <c r="I126" s="1973"/>
      <c r="J126" s="1973"/>
      <c r="K126" s="1973"/>
      <c r="L126" s="1973"/>
      <c r="M126" s="1973"/>
      <c r="N126" s="1973"/>
      <c r="O126" s="1973"/>
      <c r="P126" s="1973"/>
      <c r="Q126" s="1973"/>
      <c r="R126" s="1972"/>
      <c r="S126" s="1972"/>
      <c r="T126" s="1972"/>
      <c r="U126" s="1972"/>
      <c r="V126" s="1972"/>
      <c r="W126" s="1972"/>
      <c r="X126" s="1972"/>
      <c r="Y126" s="1972"/>
      <c r="Z126" s="1972"/>
      <c r="AA126" s="1972"/>
      <c r="AB126" s="1972"/>
      <c r="AC126" s="1972"/>
      <c r="AD126" s="1972"/>
      <c r="AE126" s="1972"/>
      <c r="AF126" s="1972"/>
      <c r="AG126" s="1972"/>
      <c r="AH126" s="1974">
        <f t="shared" si="103"/>
        <v>0</v>
      </c>
      <c r="AJ126" s="1524" t="s">
        <v>82</v>
      </c>
      <c r="AK126" s="1527">
        <f t="shared" si="104"/>
        <v>0</v>
      </c>
      <c r="AL126" s="1835"/>
      <c r="AM126" s="1835"/>
      <c r="AN126" s="1835"/>
      <c r="AO126" s="1835"/>
      <c r="AP126" s="1835"/>
      <c r="AQ126" s="1835"/>
      <c r="AR126" s="1835"/>
      <c r="AS126" s="1835"/>
      <c r="AT126" s="1835"/>
      <c r="AU126" s="1835"/>
      <c r="AV126" s="1835"/>
      <c r="AW126" s="1835"/>
      <c r="AX126" s="1835"/>
      <c r="AY126" s="1835"/>
      <c r="AZ126" s="1835"/>
      <c r="BA126" s="1838"/>
      <c r="BB126" s="1838"/>
      <c r="BC126" s="1838"/>
      <c r="BD126" s="1838"/>
      <c r="BE126" s="1872"/>
      <c r="BF126" s="1872"/>
      <c r="BG126" s="1872"/>
      <c r="BH126" s="1872"/>
      <c r="BI126" s="1872"/>
      <c r="BJ126" s="1872"/>
      <c r="BK126" s="1872"/>
      <c r="BL126" s="1872"/>
      <c r="BM126" s="1872"/>
      <c r="BN126" s="1872"/>
      <c r="BO126" s="1872"/>
      <c r="BP126" s="1872"/>
      <c r="BQ126" s="1834">
        <f t="shared" si="105"/>
        <v>0</v>
      </c>
      <c r="BS126" s="1621" t="s">
        <v>82</v>
      </c>
      <c r="BT126" s="1622">
        <f t="shared" si="106"/>
        <v>0</v>
      </c>
      <c r="BU126" s="1871"/>
      <c r="BV126" s="1871"/>
      <c r="BW126" s="1871"/>
      <c r="BX126" s="1871"/>
      <c r="BY126" s="1871"/>
      <c r="BZ126" s="1871"/>
      <c r="CA126" s="1871"/>
      <c r="CB126" s="1871"/>
      <c r="CC126" s="1871"/>
      <c r="CD126" s="1871"/>
      <c r="CE126" s="1871"/>
      <c r="CF126" s="1871"/>
      <c r="CG126" s="1827"/>
      <c r="CH126" s="1827"/>
      <c r="CI126" s="1827"/>
      <c r="CJ126" s="1830"/>
      <c r="CK126" s="1830"/>
      <c r="CL126" s="1830"/>
      <c r="CM126" s="1830"/>
      <c r="CN126" s="1830"/>
      <c r="CO126" s="1830"/>
      <c r="CP126" s="1830"/>
      <c r="CQ126" s="1830"/>
      <c r="CR126" s="1830"/>
      <c r="CS126" s="1830"/>
      <c r="CT126" s="1830"/>
      <c r="CU126" s="1830"/>
      <c r="CV126" s="1830"/>
      <c r="CW126" s="1830"/>
      <c r="CX126" s="1830"/>
      <c r="CY126" s="1830"/>
      <c r="CZ126" s="1826">
        <f t="shared" si="107"/>
        <v>0</v>
      </c>
      <c r="DB126" s="1054" t="s">
        <v>82</v>
      </c>
      <c r="DC126" s="1091">
        <f t="shared" si="108"/>
        <v>0</v>
      </c>
      <c r="DD126" s="1539"/>
      <c r="DE126" s="1539"/>
      <c r="DF126" s="1539"/>
      <c r="DG126" s="1539"/>
      <c r="DH126" s="1539"/>
      <c r="DI126" s="1539"/>
      <c r="DJ126" s="1539"/>
      <c r="DK126" s="1539"/>
      <c r="DL126" s="1539"/>
      <c r="DM126" s="1539"/>
      <c r="DN126" s="1539"/>
      <c r="DO126" s="1539"/>
      <c r="DP126" s="1539"/>
      <c r="DQ126" s="1539"/>
      <c r="DR126" s="1539"/>
      <c r="DS126" s="1596"/>
      <c r="DT126" s="1596"/>
      <c r="DU126" s="1596"/>
      <c r="DV126" s="1596"/>
      <c r="DW126" s="1596"/>
      <c r="DX126" s="1596"/>
      <c r="DY126" s="1596"/>
      <c r="DZ126" s="1596"/>
      <c r="EA126" s="1596"/>
      <c r="EB126" s="1596"/>
      <c r="EC126" s="1596"/>
      <c r="ED126" s="1596"/>
      <c r="EE126" s="1596"/>
      <c r="EF126" s="1596"/>
      <c r="EG126" s="1596"/>
      <c r="EH126" s="1596"/>
      <c r="EI126" s="1268">
        <f t="shared" si="109"/>
        <v>0</v>
      </c>
    </row>
    <row r="127" spans="1:139" ht="15">
      <c r="A127" s="1039" t="s">
        <v>83</v>
      </c>
      <c r="B127" s="1084">
        <f t="shared" si="102"/>
        <v>0</v>
      </c>
      <c r="C127" s="1973"/>
      <c r="D127" s="1972"/>
      <c r="E127" s="1972"/>
      <c r="F127" s="1972"/>
      <c r="G127" s="1972"/>
      <c r="H127" s="1972"/>
      <c r="I127" s="1972"/>
      <c r="J127" s="1972"/>
      <c r="K127" s="1972"/>
      <c r="L127" s="1972"/>
      <c r="M127" s="1972"/>
      <c r="N127" s="1972"/>
      <c r="O127" s="1972"/>
      <c r="P127" s="1972"/>
      <c r="Q127" s="1972"/>
      <c r="R127" s="1987"/>
      <c r="S127" s="1987"/>
      <c r="T127" s="1987"/>
      <c r="U127" s="1987"/>
      <c r="V127" s="1987"/>
      <c r="W127" s="1987"/>
      <c r="X127" s="1987"/>
      <c r="Y127" s="1987"/>
      <c r="Z127" s="1987"/>
      <c r="AA127" s="1987"/>
      <c r="AB127" s="1987"/>
      <c r="AC127" s="1987"/>
      <c r="AD127" s="1987"/>
      <c r="AE127" s="1987"/>
      <c r="AF127" s="1987"/>
      <c r="AG127" s="1973"/>
      <c r="AH127" s="1974">
        <f t="shared" si="103"/>
        <v>0</v>
      </c>
      <c r="AJ127" s="1524" t="s">
        <v>83</v>
      </c>
      <c r="AK127" s="1527">
        <f t="shared" si="104"/>
        <v>0</v>
      </c>
      <c r="AL127" s="1835"/>
      <c r="AM127" s="1838"/>
      <c r="AN127" s="1838"/>
      <c r="AO127" s="1838"/>
      <c r="AP127" s="1838"/>
      <c r="AQ127" s="1838"/>
      <c r="AR127" s="1838"/>
      <c r="AS127" s="1838"/>
      <c r="AT127" s="1838"/>
      <c r="AU127" s="1838"/>
      <c r="AV127" s="1838"/>
      <c r="AW127" s="1838"/>
      <c r="AX127" s="1838"/>
      <c r="AY127" s="1838"/>
      <c r="AZ127" s="1838"/>
      <c r="BA127" s="1873"/>
      <c r="BB127" s="1873"/>
      <c r="BC127" s="1873"/>
      <c r="BD127" s="1873"/>
      <c r="BE127" s="1872"/>
      <c r="BF127" s="1872"/>
      <c r="BG127" s="1872"/>
      <c r="BH127" s="1872"/>
      <c r="BI127" s="1872"/>
      <c r="BJ127" s="1872"/>
      <c r="BK127" s="1872"/>
      <c r="BL127" s="1872"/>
      <c r="BM127" s="1872"/>
      <c r="BN127" s="1872"/>
      <c r="BO127" s="1872"/>
      <c r="BP127" s="1872"/>
      <c r="BQ127" s="1834">
        <f t="shared" si="105"/>
        <v>0</v>
      </c>
      <c r="BS127" s="1621" t="s">
        <v>83</v>
      </c>
      <c r="BT127" s="1622">
        <f t="shared" si="106"/>
        <v>0</v>
      </c>
      <c r="BU127" s="1871"/>
      <c r="BV127" s="1871"/>
      <c r="BW127" s="1871"/>
      <c r="BX127" s="1871"/>
      <c r="BY127" s="1871"/>
      <c r="BZ127" s="1871"/>
      <c r="CA127" s="1871"/>
      <c r="CB127" s="1871"/>
      <c r="CC127" s="1871"/>
      <c r="CD127" s="1871"/>
      <c r="CE127" s="1871"/>
      <c r="CF127" s="1871"/>
      <c r="CG127" s="1830"/>
      <c r="CH127" s="1830"/>
      <c r="CI127" s="1830"/>
      <c r="CJ127" s="1853"/>
      <c r="CK127" s="1853"/>
      <c r="CL127" s="1853"/>
      <c r="CM127" s="1853"/>
      <c r="CN127" s="1853"/>
      <c r="CO127" s="1853"/>
      <c r="CP127" s="1853"/>
      <c r="CQ127" s="1853"/>
      <c r="CR127" s="1853"/>
      <c r="CS127" s="1853"/>
      <c r="CT127" s="1853"/>
      <c r="CU127" s="1853"/>
      <c r="CV127" s="1853"/>
      <c r="CW127" s="1853"/>
      <c r="CX127" s="1853"/>
      <c r="CY127" s="1827"/>
      <c r="CZ127" s="1826">
        <f t="shared" si="107"/>
        <v>0</v>
      </c>
      <c r="DB127" s="1054" t="s">
        <v>83</v>
      </c>
      <c r="DC127" s="1091">
        <f t="shared" si="108"/>
        <v>0</v>
      </c>
      <c r="DD127" s="1539"/>
      <c r="DE127" s="1596"/>
      <c r="DF127" s="1596"/>
      <c r="DG127" s="1596"/>
      <c r="DH127" s="1596"/>
      <c r="DI127" s="1596"/>
      <c r="DJ127" s="1596"/>
      <c r="DK127" s="1596"/>
      <c r="DL127" s="1596"/>
      <c r="DM127" s="1596"/>
      <c r="DN127" s="1596"/>
      <c r="DO127" s="1596"/>
      <c r="DP127" s="1596"/>
      <c r="DQ127" s="1596"/>
      <c r="DR127" s="1596"/>
      <c r="DS127" s="1924"/>
      <c r="DT127" s="1924"/>
      <c r="DU127" s="1924"/>
      <c r="DV127" s="1924"/>
      <c r="DW127" s="1924"/>
      <c r="DX127" s="1924"/>
      <c r="DY127" s="1924"/>
      <c r="DZ127" s="1924"/>
      <c r="EA127" s="1924"/>
      <c r="EB127" s="1924"/>
      <c r="EC127" s="1924"/>
      <c r="ED127" s="1924"/>
      <c r="EE127" s="1924"/>
      <c r="EF127" s="1924"/>
      <c r="EG127" s="1924"/>
      <c r="EH127" s="1539"/>
      <c r="EI127" s="1268">
        <f t="shared" si="109"/>
        <v>0</v>
      </c>
    </row>
    <row r="128" spans="1:139" ht="15">
      <c r="A128" s="1039" t="s">
        <v>84</v>
      </c>
      <c r="B128" s="1084">
        <f t="shared" si="102"/>
        <v>0</v>
      </c>
      <c r="C128" s="1973"/>
      <c r="D128" s="1987"/>
      <c r="E128" s="1987"/>
      <c r="F128" s="1987"/>
      <c r="G128" s="1973"/>
      <c r="H128" s="1973"/>
      <c r="I128" s="1973"/>
      <c r="J128" s="1973"/>
      <c r="K128" s="1973"/>
      <c r="L128" s="1973"/>
      <c r="M128" s="1973"/>
      <c r="N128" s="1973"/>
      <c r="O128" s="1973"/>
      <c r="P128" s="1973"/>
      <c r="Q128" s="1973"/>
      <c r="R128" s="1973"/>
      <c r="S128" s="1973"/>
      <c r="T128" s="1973"/>
      <c r="U128" s="1973"/>
      <c r="V128" s="1973"/>
      <c r="W128" s="1973"/>
      <c r="X128" s="1973"/>
      <c r="Y128" s="1973"/>
      <c r="Z128" s="1973"/>
      <c r="AA128" s="1973"/>
      <c r="AB128" s="1973"/>
      <c r="AC128" s="1973"/>
      <c r="AD128" s="1973"/>
      <c r="AE128" s="1973"/>
      <c r="AF128" s="1973"/>
      <c r="AG128" s="1973"/>
      <c r="AH128" s="1974">
        <f t="shared" si="103"/>
        <v>0</v>
      </c>
      <c r="AJ128" s="1524" t="s">
        <v>84</v>
      </c>
      <c r="AK128" s="1527">
        <f t="shared" si="104"/>
        <v>0</v>
      </c>
      <c r="AL128" s="1835"/>
      <c r="AM128" s="1873"/>
      <c r="AN128" s="1873"/>
      <c r="AO128" s="1873"/>
      <c r="AP128" s="1835"/>
      <c r="AQ128" s="1835"/>
      <c r="AR128" s="1835"/>
      <c r="AS128" s="1835"/>
      <c r="AT128" s="1835"/>
      <c r="AU128" s="1835"/>
      <c r="AV128" s="1835"/>
      <c r="AW128" s="1835"/>
      <c r="AX128" s="1835"/>
      <c r="AY128" s="1835"/>
      <c r="AZ128" s="1835"/>
      <c r="BA128" s="1835"/>
      <c r="BB128" s="1835"/>
      <c r="BC128" s="1835"/>
      <c r="BD128" s="1835"/>
      <c r="BE128" s="1872"/>
      <c r="BF128" s="1872"/>
      <c r="BG128" s="1872"/>
      <c r="BH128" s="1872"/>
      <c r="BI128" s="1872"/>
      <c r="BJ128" s="1872"/>
      <c r="BK128" s="1872"/>
      <c r="BL128" s="1872"/>
      <c r="BM128" s="1872"/>
      <c r="BN128" s="1872"/>
      <c r="BO128" s="1872"/>
      <c r="BP128" s="1872"/>
      <c r="BQ128" s="1834">
        <f t="shared" si="105"/>
        <v>0</v>
      </c>
      <c r="BS128" s="1621" t="s">
        <v>84</v>
      </c>
      <c r="BT128" s="1622">
        <f t="shared" si="106"/>
        <v>0</v>
      </c>
      <c r="BU128" s="1871"/>
      <c r="BV128" s="1871"/>
      <c r="BW128" s="1871"/>
      <c r="BX128" s="1871"/>
      <c r="BY128" s="1871"/>
      <c r="BZ128" s="1871"/>
      <c r="CA128" s="1871"/>
      <c r="CB128" s="1871"/>
      <c r="CC128" s="1871"/>
      <c r="CD128" s="1871"/>
      <c r="CE128" s="1871"/>
      <c r="CF128" s="1871"/>
      <c r="CG128" s="1827"/>
      <c r="CH128" s="1827"/>
      <c r="CI128" s="1827"/>
      <c r="CJ128" s="1827"/>
      <c r="CK128" s="1827"/>
      <c r="CL128" s="1827"/>
      <c r="CM128" s="1827"/>
      <c r="CN128" s="1827"/>
      <c r="CO128" s="1827"/>
      <c r="CP128" s="1827"/>
      <c r="CQ128" s="1827"/>
      <c r="CR128" s="1827"/>
      <c r="CS128" s="1827"/>
      <c r="CT128" s="1827"/>
      <c r="CU128" s="1827"/>
      <c r="CV128" s="1827"/>
      <c r="CW128" s="1827"/>
      <c r="CX128" s="1827"/>
      <c r="CY128" s="1827"/>
      <c r="CZ128" s="1826">
        <f t="shared" si="107"/>
        <v>0</v>
      </c>
      <c r="DB128" s="1054" t="s">
        <v>84</v>
      </c>
      <c r="DC128" s="1091">
        <f t="shared" si="108"/>
        <v>0</v>
      </c>
      <c r="DD128" s="1539"/>
      <c r="DE128" s="1924"/>
      <c r="DF128" s="1924"/>
      <c r="DG128" s="1924"/>
      <c r="DH128" s="1539"/>
      <c r="DI128" s="1539"/>
      <c r="DJ128" s="1539"/>
      <c r="DK128" s="1539"/>
      <c r="DL128" s="1539"/>
      <c r="DM128" s="1539"/>
      <c r="DN128" s="1539"/>
      <c r="DO128" s="1539"/>
      <c r="DP128" s="1539"/>
      <c r="DQ128" s="1539"/>
      <c r="DR128" s="1539"/>
      <c r="DS128" s="1539"/>
      <c r="DT128" s="1539"/>
      <c r="DU128" s="1539"/>
      <c r="DV128" s="1539"/>
      <c r="DW128" s="1539"/>
      <c r="DX128" s="1539"/>
      <c r="DY128" s="1539"/>
      <c r="DZ128" s="1539"/>
      <c r="EA128" s="1539"/>
      <c r="EB128" s="1539"/>
      <c r="EC128" s="1539"/>
      <c r="ED128" s="1539"/>
      <c r="EE128" s="1539"/>
      <c r="EF128" s="1539"/>
      <c r="EG128" s="1539"/>
      <c r="EH128" s="1539"/>
      <c r="EI128" s="1268">
        <f t="shared" si="109"/>
        <v>0</v>
      </c>
    </row>
    <row r="129" spans="1:139" ht="15">
      <c r="A129" s="1988" t="s">
        <v>72</v>
      </c>
      <c r="B129" s="1989">
        <f t="shared" ref="B129:AH129" si="110">SUM(B117:B128)</f>
        <v>0</v>
      </c>
      <c r="C129" s="1974">
        <f t="shared" si="110"/>
        <v>0</v>
      </c>
      <c r="D129" s="1974">
        <f t="shared" si="110"/>
        <v>0</v>
      </c>
      <c r="E129" s="1974">
        <f t="shared" si="110"/>
        <v>0</v>
      </c>
      <c r="F129" s="1974">
        <f t="shared" si="110"/>
        <v>0</v>
      </c>
      <c r="G129" s="1974">
        <f t="shared" si="110"/>
        <v>0</v>
      </c>
      <c r="H129" s="1974">
        <f t="shared" si="110"/>
        <v>0</v>
      </c>
      <c r="I129" s="1974">
        <f t="shared" si="110"/>
        <v>0</v>
      </c>
      <c r="J129" s="1974">
        <f t="shared" si="110"/>
        <v>0</v>
      </c>
      <c r="K129" s="1974">
        <f t="shared" si="110"/>
        <v>0</v>
      </c>
      <c r="L129" s="1974">
        <f t="shared" si="110"/>
        <v>0</v>
      </c>
      <c r="M129" s="1974">
        <f t="shared" si="110"/>
        <v>0</v>
      </c>
      <c r="N129" s="1974">
        <f t="shared" si="110"/>
        <v>0</v>
      </c>
      <c r="O129" s="1974">
        <f t="shared" si="110"/>
        <v>0</v>
      </c>
      <c r="P129" s="1974">
        <f t="shared" si="110"/>
        <v>0</v>
      </c>
      <c r="Q129" s="1974">
        <f t="shared" si="110"/>
        <v>0</v>
      </c>
      <c r="R129" s="1974">
        <f t="shared" si="110"/>
        <v>0</v>
      </c>
      <c r="S129" s="1974">
        <f t="shared" si="110"/>
        <v>0</v>
      </c>
      <c r="T129" s="1974">
        <f t="shared" si="110"/>
        <v>0</v>
      </c>
      <c r="U129" s="1974">
        <f t="shared" si="110"/>
        <v>0</v>
      </c>
      <c r="V129" s="1974">
        <f t="shared" si="110"/>
        <v>0</v>
      </c>
      <c r="W129" s="1974">
        <f t="shared" si="110"/>
        <v>0</v>
      </c>
      <c r="X129" s="1974">
        <f t="shared" si="110"/>
        <v>0</v>
      </c>
      <c r="Y129" s="1974">
        <f t="shared" si="110"/>
        <v>0</v>
      </c>
      <c r="Z129" s="1974">
        <f t="shared" si="110"/>
        <v>0</v>
      </c>
      <c r="AA129" s="1974">
        <f t="shared" si="110"/>
        <v>0</v>
      </c>
      <c r="AB129" s="1974">
        <f t="shared" si="110"/>
        <v>0</v>
      </c>
      <c r="AC129" s="1974">
        <f t="shared" si="110"/>
        <v>0</v>
      </c>
      <c r="AD129" s="1974">
        <f t="shared" si="110"/>
        <v>0</v>
      </c>
      <c r="AE129" s="1974">
        <f t="shared" si="110"/>
        <v>0</v>
      </c>
      <c r="AF129" s="1974">
        <f t="shared" si="110"/>
        <v>0</v>
      </c>
      <c r="AG129" s="1974">
        <f t="shared" si="110"/>
        <v>0</v>
      </c>
      <c r="AH129" s="1974">
        <f t="shared" si="110"/>
        <v>0</v>
      </c>
      <c r="AJ129" s="1837" t="s">
        <v>72</v>
      </c>
      <c r="AK129" s="1836">
        <f t="shared" ref="AK129:BQ129" si="111">SUM(AK117:AK128)</f>
        <v>0</v>
      </c>
      <c r="AL129" s="1834">
        <f t="shared" si="111"/>
        <v>0</v>
      </c>
      <c r="AM129" s="1834">
        <f t="shared" si="111"/>
        <v>0</v>
      </c>
      <c r="AN129" s="1834">
        <f t="shared" si="111"/>
        <v>0</v>
      </c>
      <c r="AO129" s="1834">
        <f t="shared" si="111"/>
        <v>0</v>
      </c>
      <c r="AP129" s="1834">
        <f t="shared" si="111"/>
        <v>0</v>
      </c>
      <c r="AQ129" s="1834">
        <f t="shared" si="111"/>
        <v>0</v>
      </c>
      <c r="AR129" s="1834">
        <f t="shared" si="111"/>
        <v>0</v>
      </c>
      <c r="AS129" s="1834">
        <f t="shared" si="111"/>
        <v>0</v>
      </c>
      <c r="AT129" s="1834">
        <f t="shared" si="111"/>
        <v>0</v>
      </c>
      <c r="AU129" s="1834">
        <f t="shared" si="111"/>
        <v>0</v>
      </c>
      <c r="AV129" s="1834">
        <f t="shared" si="111"/>
        <v>0</v>
      </c>
      <c r="AW129" s="1834">
        <f t="shared" si="111"/>
        <v>0</v>
      </c>
      <c r="AX129" s="1834">
        <f t="shared" si="111"/>
        <v>0</v>
      </c>
      <c r="AY129" s="1834">
        <f t="shared" si="111"/>
        <v>0</v>
      </c>
      <c r="AZ129" s="1834">
        <f t="shared" si="111"/>
        <v>0</v>
      </c>
      <c r="BA129" s="1834">
        <f t="shared" si="111"/>
        <v>0</v>
      </c>
      <c r="BB129" s="1834">
        <f t="shared" si="111"/>
        <v>0</v>
      </c>
      <c r="BC129" s="1834">
        <f t="shared" si="111"/>
        <v>0</v>
      </c>
      <c r="BD129" s="1834">
        <f t="shared" si="111"/>
        <v>0</v>
      </c>
      <c r="BE129" s="1834">
        <f t="shared" si="111"/>
        <v>0</v>
      </c>
      <c r="BF129" s="1834">
        <f t="shared" si="111"/>
        <v>0</v>
      </c>
      <c r="BG129" s="1834">
        <f t="shared" si="111"/>
        <v>0</v>
      </c>
      <c r="BH129" s="1834">
        <f t="shared" si="111"/>
        <v>0</v>
      </c>
      <c r="BI129" s="1834">
        <f t="shared" si="111"/>
        <v>0</v>
      </c>
      <c r="BJ129" s="1834">
        <f t="shared" si="111"/>
        <v>0</v>
      </c>
      <c r="BK129" s="1834">
        <f t="shared" si="111"/>
        <v>0</v>
      </c>
      <c r="BL129" s="1834">
        <f t="shared" si="111"/>
        <v>0</v>
      </c>
      <c r="BM129" s="1834">
        <f t="shared" si="111"/>
        <v>0</v>
      </c>
      <c r="BN129" s="1834">
        <f t="shared" si="111"/>
        <v>0</v>
      </c>
      <c r="BO129" s="1834">
        <f t="shared" si="111"/>
        <v>0</v>
      </c>
      <c r="BP129" s="1834">
        <f t="shared" si="111"/>
        <v>0</v>
      </c>
      <c r="BQ129" s="1834">
        <f t="shared" si="111"/>
        <v>0</v>
      </c>
      <c r="BS129" s="1829" t="s">
        <v>72</v>
      </c>
      <c r="BT129" s="1828">
        <f t="shared" ref="BT129:CZ129" si="112">SUM(BT117:BT128)</f>
        <v>0</v>
      </c>
      <c r="BU129" s="1826">
        <f t="shared" si="112"/>
        <v>0</v>
      </c>
      <c r="BV129" s="1826">
        <f t="shared" si="112"/>
        <v>0</v>
      </c>
      <c r="BW129" s="1826">
        <f t="shared" si="112"/>
        <v>0</v>
      </c>
      <c r="BX129" s="1826">
        <f t="shared" si="112"/>
        <v>0</v>
      </c>
      <c r="BY129" s="1826">
        <f t="shared" si="112"/>
        <v>0</v>
      </c>
      <c r="BZ129" s="1826">
        <f t="shared" si="112"/>
        <v>0</v>
      </c>
      <c r="CA129" s="1826">
        <f t="shared" si="112"/>
        <v>0</v>
      </c>
      <c r="CB129" s="1826">
        <f t="shared" si="112"/>
        <v>0</v>
      </c>
      <c r="CC129" s="1826">
        <f t="shared" si="112"/>
        <v>0</v>
      </c>
      <c r="CD129" s="1826">
        <f t="shared" si="112"/>
        <v>0</v>
      </c>
      <c r="CE129" s="1826">
        <f t="shared" si="112"/>
        <v>0</v>
      </c>
      <c r="CF129" s="1826">
        <f t="shared" si="112"/>
        <v>0</v>
      </c>
      <c r="CG129" s="1826">
        <f t="shared" si="112"/>
        <v>0</v>
      </c>
      <c r="CH129" s="1826">
        <f t="shared" si="112"/>
        <v>0</v>
      </c>
      <c r="CI129" s="1826">
        <f t="shared" si="112"/>
        <v>0</v>
      </c>
      <c r="CJ129" s="1826">
        <f t="shared" si="112"/>
        <v>0</v>
      </c>
      <c r="CK129" s="1826">
        <f t="shared" si="112"/>
        <v>0</v>
      </c>
      <c r="CL129" s="1826">
        <f t="shared" si="112"/>
        <v>0</v>
      </c>
      <c r="CM129" s="1826">
        <f t="shared" si="112"/>
        <v>0</v>
      </c>
      <c r="CN129" s="1826">
        <f t="shared" si="112"/>
        <v>0</v>
      </c>
      <c r="CO129" s="1826">
        <f t="shared" si="112"/>
        <v>0</v>
      </c>
      <c r="CP129" s="1826">
        <f t="shared" si="112"/>
        <v>0</v>
      </c>
      <c r="CQ129" s="1826">
        <f t="shared" si="112"/>
        <v>0</v>
      </c>
      <c r="CR129" s="1826">
        <f t="shared" si="112"/>
        <v>0</v>
      </c>
      <c r="CS129" s="1826">
        <f t="shared" si="112"/>
        <v>0</v>
      </c>
      <c r="CT129" s="1826">
        <f t="shared" si="112"/>
        <v>0</v>
      </c>
      <c r="CU129" s="1826">
        <f t="shared" si="112"/>
        <v>0</v>
      </c>
      <c r="CV129" s="1826">
        <f t="shared" si="112"/>
        <v>0</v>
      </c>
      <c r="CW129" s="1826">
        <f t="shared" si="112"/>
        <v>0</v>
      </c>
      <c r="CX129" s="1826">
        <f t="shared" si="112"/>
        <v>0</v>
      </c>
      <c r="CY129" s="1826">
        <f t="shared" si="112"/>
        <v>0</v>
      </c>
      <c r="CZ129" s="1826">
        <f t="shared" si="112"/>
        <v>0</v>
      </c>
      <c r="DB129" s="1259" t="s">
        <v>72</v>
      </c>
      <c r="DC129" s="1923">
        <f t="shared" ref="DC129:EI129" si="113">SUM(DC117:DC128)</f>
        <v>0</v>
      </c>
      <c r="DD129" s="1268">
        <f t="shared" si="113"/>
        <v>0</v>
      </c>
      <c r="DE129" s="1268">
        <f t="shared" si="113"/>
        <v>0</v>
      </c>
      <c r="DF129" s="1268">
        <f t="shared" si="113"/>
        <v>0</v>
      </c>
      <c r="DG129" s="1268">
        <f t="shared" si="113"/>
        <v>0</v>
      </c>
      <c r="DH129" s="1268">
        <f t="shared" si="113"/>
        <v>0</v>
      </c>
      <c r="DI129" s="1268">
        <f t="shared" si="113"/>
        <v>0</v>
      </c>
      <c r="DJ129" s="1268">
        <f t="shared" si="113"/>
        <v>0</v>
      </c>
      <c r="DK129" s="1268">
        <f t="shared" si="113"/>
        <v>0</v>
      </c>
      <c r="DL129" s="1268">
        <f t="shared" si="113"/>
        <v>0</v>
      </c>
      <c r="DM129" s="1268">
        <f t="shared" si="113"/>
        <v>0</v>
      </c>
      <c r="DN129" s="1268">
        <f t="shared" si="113"/>
        <v>0</v>
      </c>
      <c r="DO129" s="1268">
        <f t="shared" si="113"/>
        <v>0</v>
      </c>
      <c r="DP129" s="1268">
        <f t="shared" si="113"/>
        <v>0</v>
      </c>
      <c r="DQ129" s="1268">
        <f t="shared" si="113"/>
        <v>0</v>
      </c>
      <c r="DR129" s="1268">
        <f t="shared" si="113"/>
        <v>0</v>
      </c>
      <c r="DS129" s="1268">
        <f t="shared" si="113"/>
        <v>0</v>
      </c>
      <c r="DT129" s="1268">
        <f t="shared" si="113"/>
        <v>0</v>
      </c>
      <c r="DU129" s="1268">
        <f t="shared" si="113"/>
        <v>0</v>
      </c>
      <c r="DV129" s="1268">
        <f t="shared" si="113"/>
        <v>0</v>
      </c>
      <c r="DW129" s="1268">
        <f t="shared" si="113"/>
        <v>0</v>
      </c>
      <c r="DX129" s="1268">
        <f t="shared" si="113"/>
        <v>0</v>
      </c>
      <c r="DY129" s="1268">
        <f t="shared" si="113"/>
        <v>0</v>
      </c>
      <c r="DZ129" s="1268">
        <f t="shared" si="113"/>
        <v>0</v>
      </c>
      <c r="EA129" s="1268">
        <f t="shared" si="113"/>
        <v>0</v>
      </c>
      <c r="EB129" s="1268">
        <f t="shared" si="113"/>
        <v>0</v>
      </c>
      <c r="EC129" s="1268">
        <f t="shared" si="113"/>
        <v>0</v>
      </c>
      <c r="ED129" s="1268">
        <f t="shared" si="113"/>
        <v>0</v>
      </c>
      <c r="EE129" s="1268">
        <f t="shared" si="113"/>
        <v>0</v>
      </c>
      <c r="EF129" s="1268">
        <f t="shared" si="113"/>
        <v>0</v>
      </c>
      <c r="EG129" s="1268">
        <f t="shared" si="113"/>
        <v>0</v>
      </c>
      <c r="EH129" s="1268">
        <f t="shared" si="113"/>
        <v>0</v>
      </c>
      <c r="EI129" s="1268">
        <f t="shared" si="113"/>
        <v>0</v>
      </c>
    </row>
    <row r="130" spans="1:139">
      <c r="A130" s="1211"/>
      <c r="B130" s="1211"/>
      <c r="C130" s="1211"/>
      <c r="D130" s="1211"/>
      <c r="E130" s="1211"/>
      <c r="F130" s="1211"/>
      <c r="G130" s="1211"/>
      <c r="H130" s="1211"/>
      <c r="I130" s="1211"/>
      <c r="J130" s="1211"/>
      <c r="K130" s="1211"/>
      <c r="L130" s="1211"/>
      <c r="M130" s="1211"/>
      <c r="N130" s="1211"/>
      <c r="O130" s="1211"/>
      <c r="P130" s="1211"/>
      <c r="Q130" s="1211"/>
      <c r="R130" s="1211"/>
      <c r="S130" s="1211"/>
      <c r="T130" s="1211"/>
      <c r="U130" s="1211"/>
      <c r="V130" s="1211"/>
      <c r="W130" s="1211"/>
      <c r="X130" s="1211"/>
      <c r="Y130" s="1211"/>
      <c r="Z130" s="1211"/>
      <c r="AA130" s="1211"/>
      <c r="AB130" s="1211"/>
      <c r="AC130" s="1211"/>
      <c r="AD130" s="1211"/>
      <c r="AE130" s="1211"/>
      <c r="AF130" s="1211"/>
      <c r="AG130" s="1211"/>
      <c r="AH130" s="1211"/>
      <c r="AJ130" s="1841"/>
      <c r="AK130" s="1841"/>
      <c r="AL130" s="1841"/>
      <c r="AM130" s="1841"/>
      <c r="AN130" s="1841"/>
      <c r="AO130" s="1841"/>
      <c r="AP130" s="1841"/>
      <c r="AQ130" s="1841"/>
      <c r="AR130" s="1841"/>
      <c r="AS130" s="1841"/>
      <c r="AT130" s="1841"/>
      <c r="AU130" s="1841"/>
      <c r="AV130" s="1841"/>
      <c r="AW130" s="1841"/>
      <c r="AX130" s="1841"/>
      <c r="AY130" s="1841"/>
      <c r="AZ130" s="1841"/>
      <c r="BA130" s="1841"/>
      <c r="BB130" s="1841"/>
      <c r="BC130" s="1841"/>
      <c r="BD130" s="1841"/>
      <c r="BE130" s="1841"/>
      <c r="BF130" s="1841"/>
      <c r="BG130" s="1841"/>
      <c r="BH130" s="1841"/>
      <c r="BI130" s="1841"/>
      <c r="BJ130" s="1841"/>
      <c r="BK130" s="1841"/>
      <c r="BL130" s="1841"/>
      <c r="BM130" s="1841"/>
      <c r="BN130" s="1841"/>
      <c r="BO130" s="1841"/>
      <c r="BP130" s="1841"/>
      <c r="BQ130" s="1841"/>
      <c r="BS130" s="1833"/>
      <c r="BT130" s="1833"/>
      <c r="BU130" s="1833"/>
      <c r="BV130" s="1833"/>
      <c r="BW130" s="1833"/>
      <c r="BX130" s="1833"/>
      <c r="BY130" s="1833"/>
      <c r="BZ130" s="1833"/>
      <c r="CA130" s="1833"/>
      <c r="CB130" s="1833"/>
      <c r="CC130" s="1833"/>
      <c r="CD130" s="1833"/>
      <c r="CE130" s="1833"/>
      <c r="CF130" s="1833"/>
      <c r="CG130" s="1833"/>
      <c r="CH130" s="1833"/>
      <c r="CI130" s="1833"/>
      <c r="CJ130" s="1833"/>
      <c r="CK130" s="1833"/>
      <c r="CL130" s="1833"/>
      <c r="CM130" s="1833"/>
      <c r="CN130" s="1833"/>
      <c r="CO130" s="1833"/>
      <c r="CP130" s="1833"/>
      <c r="CQ130" s="1833"/>
      <c r="CR130" s="1833"/>
      <c r="CS130" s="1833"/>
      <c r="CT130" s="1833"/>
      <c r="CU130" s="1833"/>
      <c r="CV130" s="1833"/>
      <c r="CW130" s="1833"/>
      <c r="CX130" s="1833"/>
      <c r="CY130" s="1833"/>
      <c r="CZ130" s="1833"/>
      <c r="DB130" s="1770"/>
      <c r="DC130" s="1770"/>
      <c r="DD130" s="1770"/>
      <c r="DE130" s="1770"/>
      <c r="DF130" s="1770"/>
      <c r="DG130" s="1770"/>
      <c r="DH130" s="1770"/>
      <c r="DI130" s="1770"/>
      <c r="DJ130" s="1770"/>
      <c r="DK130" s="1770"/>
      <c r="DL130" s="1770"/>
      <c r="DM130" s="1770"/>
      <c r="DN130" s="1770"/>
      <c r="DO130" s="1770"/>
      <c r="DP130" s="1770"/>
      <c r="DQ130" s="1770"/>
      <c r="DR130" s="1770"/>
      <c r="DS130" s="1770"/>
      <c r="DT130" s="1770"/>
      <c r="DU130" s="1770"/>
      <c r="DV130" s="1770"/>
      <c r="DW130" s="1770"/>
      <c r="DX130" s="1770"/>
      <c r="DY130" s="1770"/>
      <c r="DZ130" s="1770"/>
      <c r="EA130" s="1770"/>
      <c r="EB130" s="1770"/>
      <c r="EC130" s="1770"/>
      <c r="ED130" s="1770"/>
      <c r="EE130" s="1770"/>
      <c r="EF130" s="1770"/>
      <c r="EG130" s="1770"/>
      <c r="EH130" s="1770"/>
      <c r="EI130" s="1770"/>
    </row>
    <row r="131" spans="1:139" ht="15">
      <c r="A131" s="3872" t="s">
        <v>130</v>
      </c>
      <c r="B131" s="3873"/>
      <c r="C131" s="3874"/>
      <c r="D131" s="1990"/>
      <c r="E131" s="1970"/>
      <c r="F131" s="1970"/>
      <c r="G131" s="1970"/>
      <c r="H131" s="1970"/>
      <c r="I131" s="1970"/>
      <c r="J131" s="1970"/>
      <c r="K131" s="1970"/>
      <c r="L131" s="1970"/>
      <c r="M131" s="1971"/>
      <c r="N131" s="1991"/>
      <c r="O131" s="1970"/>
      <c r="P131" s="1970"/>
      <c r="Q131" s="1970"/>
      <c r="R131" s="1970"/>
      <c r="S131" s="1970"/>
      <c r="T131" s="1970"/>
      <c r="U131" s="1970"/>
      <c r="V131" s="1970"/>
      <c r="W131" s="1970"/>
      <c r="X131" s="1970"/>
      <c r="Y131" s="1970"/>
      <c r="Z131" s="1970"/>
      <c r="AA131" s="1970"/>
      <c r="AB131" s="1970"/>
      <c r="AC131" s="1970"/>
      <c r="AD131" s="1970"/>
      <c r="AE131" s="1970"/>
      <c r="AF131" s="1970"/>
      <c r="AG131" s="1970"/>
      <c r="AH131" s="1970"/>
      <c r="AJ131" s="3821" t="s">
        <v>130</v>
      </c>
      <c r="AK131" s="3822"/>
      <c r="AL131" s="3823"/>
      <c r="AM131" s="1915"/>
      <c r="AN131" s="1839"/>
      <c r="AO131" s="1839"/>
      <c r="AP131" s="1839"/>
      <c r="AQ131" s="1839"/>
      <c r="AR131" s="1839"/>
      <c r="AS131" s="1839"/>
      <c r="AT131" s="1839"/>
      <c r="AU131" s="1839"/>
      <c r="AV131" s="1840"/>
      <c r="AW131" s="1914"/>
      <c r="AX131" s="1839"/>
      <c r="AY131" s="1839"/>
      <c r="AZ131" s="1839"/>
      <c r="BA131" s="1839"/>
      <c r="BB131" s="1839"/>
      <c r="BC131" s="1839"/>
      <c r="BD131" s="1839"/>
      <c r="BE131" s="1839"/>
      <c r="BF131" s="1839"/>
      <c r="BG131" s="1839"/>
      <c r="BH131" s="1839"/>
      <c r="BI131" s="1839"/>
      <c r="BJ131" s="1839"/>
      <c r="BK131" s="1839"/>
      <c r="BL131" s="1839"/>
      <c r="BM131" s="1839"/>
      <c r="BN131" s="1839"/>
      <c r="BO131" s="1839"/>
      <c r="BP131" s="1839"/>
      <c r="BQ131" s="1839"/>
      <c r="BS131" s="4035" t="s">
        <v>130</v>
      </c>
      <c r="BT131" s="4036"/>
      <c r="BU131" s="4037"/>
      <c r="BV131" s="1913"/>
      <c r="BW131" s="1831"/>
      <c r="BX131" s="1831"/>
      <c r="BY131" s="1831"/>
      <c r="BZ131" s="1831"/>
      <c r="CA131" s="1831"/>
      <c r="CB131" s="1831"/>
      <c r="CC131" s="1831"/>
      <c r="CD131" s="1831"/>
      <c r="CE131" s="1832"/>
      <c r="CF131" s="1912"/>
      <c r="CG131" s="1831"/>
      <c r="CH131" s="1831"/>
      <c r="CI131" s="1831"/>
      <c r="CJ131" s="1831"/>
      <c r="CK131" s="1831"/>
      <c r="CL131" s="1831"/>
      <c r="CM131" s="1831"/>
      <c r="CN131" s="1831"/>
      <c r="CO131" s="1831"/>
      <c r="CP131" s="1831"/>
      <c r="CQ131" s="1831"/>
      <c r="CR131" s="1831"/>
      <c r="CS131" s="1831"/>
      <c r="CT131" s="1831"/>
      <c r="CU131" s="1831"/>
      <c r="CV131" s="1831"/>
      <c r="CW131" s="1831"/>
      <c r="CX131" s="1831"/>
      <c r="CY131" s="1831"/>
      <c r="CZ131" s="1831"/>
      <c r="DB131" s="4044" t="s">
        <v>130</v>
      </c>
      <c r="DC131" s="4045"/>
      <c r="DD131" s="4046"/>
      <c r="DE131" s="1921"/>
      <c r="DF131" s="1229"/>
      <c r="DG131" s="1229"/>
      <c r="DH131" s="1229"/>
      <c r="DI131" s="1229"/>
      <c r="DJ131" s="1229"/>
      <c r="DK131" s="1229"/>
      <c r="DL131" s="1229"/>
      <c r="DM131" s="1229"/>
      <c r="DN131" s="1920"/>
      <c r="DO131" s="1919"/>
      <c r="DP131" s="1229"/>
      <c r="DQ131" s="1229"/>
      <c r="DR131" s="1229"/>
      <c r="DS131" s="1229"/>
      <c r="DT131" s="1229"/>
      <c r="DU131" s="1229"/>
      <c r="DV131" s="1229"/>
      <c r="DW131" s="1229"/>
      <c r="DX131" s="1229"/>
      <c r="DY131" s="1229"/>
      <c r="DZ131" s="1229"/>
      <c r="EA131" s="1229"/>
      <c r="EB131" s="1229"/>
      <c r="EC131" s="1229"/>
      <c r="ED131" s="1229"/>
      <c r="EE131" s="1229"/>
      <c r="EF131" s="1229"/>
      <c r="EG131" s="1229"/>
      <c r="EH131" s="1229"/>
      <c r="EI131" s="1229"/>
    </row>
    <row r="132" spans="1:139" ht="15">
      <c r="A132" s="1039" t="s">
        <v>70</v>
      </c>
      <c r="B132" s="1039" t="s">
        <v>71</v>
      </c>
      <c r="C132" s="1039">
        <v>1</v>
      </c>
      <c r="D132" s="1039">
        <v>2</v>
      </c>
      <c r="E132" s="1039">
        <v>3</v>
      </c>
      <c r="F132" s="1039">
        <v>4</v>
      </c>
      <c r="G132" s="1039">
        <v>5</v>
      </c>
      <c r="H132" s="1039">
        <v>6</v>
      </c>
      <c r="I132" s="1039">
        <v>7</v>
      </c>
      <c r="J132" s="1039">
        <v>8</v>
      </c>
      <c r="K132" s="1039">
        <v>9</v>
      </c>
      <c r="L132" s="1039">
        <v>10</v>
      </c>
      <c r="M132" s="1039">
        <v>11</v>
      </c>
      <c r="N132" s="1039">
        <v>12</v>
      </c>
      <c r="O132" s="1039">
        <v>13</v>
      </c>
      <c r="P132" s="1039">
        <v>14</v>
      </c>
      <c r="Q132" s="1039">
        <v>15</v>
      </c>
      <c r="R132" s="1039">
        <v>16</v>
      </c>
      <c r="S132" s="1039">
        <v>17</v>
      </c>
      <c r="T132" s="1039">
        <v>18</v>
      </c>
      <c r="U132" s="1039">
        <v>19</v>
      </c>
      <c r="V132" s="1039">
        <v>20</v>
      </c>
      <c r="W132" s="1039">
        <v>21</v>
      </c>
      <c r="X132" s="1039">
        <v>22</v>
      </c>
      <c r="Y132" s="1039">
        <v>23</v>
      </c>
      <c r="Z132" s="1039">
        <v>24</v>
      </c>
      <c r="AA132" s="1039">
        <v>25</v>
      </c>
      <c r="AB132" s="1039">
        <v>26</v>
      </c>
      <c r="AC132" s="1039">
        <v>27</v>
      </c>
      <c r="AD132" s="1039">
        <v>28</v>
      </c>
      <c r="AE132" s="1039">
        <v>29</v>
      </c>
      <c r="AF132" s="1039">
        <v>30</v>
      </c>
      <c r="AG132" s="1039">
        <v>31</v>
      </c>
      <c r="AH132" s="1972" t="s">
        <v>72</v>
      </c>
      <c r="AJ132" s="1524" t="s">
        <v>70</v>
      </c>
      <c r="AK132" s="1524" t="s">
        <v>71</v>
      </c>
      <c r="AL132" s="1524">
        <v>1</v>
      </c>
      <c r="AM132" s="1524">
        <v>2</v>
      </c>
      <c r="AN132" s="1524">
        <v>3</v>
      </c>
      <c r="AO132" s="1524">
        <v>4</v>
      </c>
      <c r="AP132" s="1524">
        <v>5</v>
      </c>
      <c r="AQ132" s="1524">
        <v>6</v>
      </c>
      <c r="AR132" s="1524">
        <v>7</v>
      </c>
      <c r="AS132" s="1524">
        <v>8</v>
      </c>
      <c r="AT132" s="1524">
        <v>9</v>
      </c>
      <c r="AU132" s="1524">
        <v>10</v>
      </c>
      <c r="AV132" s="1524">
        <v>11</v>
      </c>
      <c r="AW132" s="1524">
        <v>12</v>
      </c>
      <c r="AX132" s="1524">
        <v>13</v>
      </c>
      <c r="AY132" s="1524">
        <v>14</v>
      </c>
      <c r="AZ132" s="1524">
        <v>15</v>
      </c>
      <c r="BA132" s="1524">
        <v>16</v>
      </c>
      <c r="BB132" s="1524">
        <v>17</v>
      </c>
      <c r="BC132" s="1524">
        <v>18</v>
      </c>
      <c r="BD132" s="1524">
        <v>19</v>
      </c>
      <c r="BE132" s="1524">
        <v>20</v>
      </c>
      <c r="BF132" s="1524">
        <v>21</v>
      </c>
      <c r="BG132" s="1524">
        <v>22</v>
      </c>
      <c r="BH132" s="1524">
        <v>23</v>
      </c>
      <c r="BI132" s="1524">
        <v>24</v>
      </c>
      <c r="BJ132" s="1524">
        <v>25</v>
      </c>
      <c r="BK132" s="1524">
        <v>26</v>
      </c>
      <c r="BL132" s="1524">
        <v>27</v>
      </c>
      <c r="BM132" s="1524">
        <v>28</v>
      </c>
      <c r="BN132" s="1524">
        <v>29</v>
      </c>
      <c r="BO132" s="1524">
        <v>30</v>
      </c>
      <c r="BP132" s="1524">
        <v>31</v>
      </c>
      <c r="BQ132" s="1838" t="s">
        <v>72</v>
      </c>
      <c r="BS132" s="1621" t="s">
        <v>70</v>
      </c>
      <c r="BT132" s="1621" t="s">
        <v>71</v>
      </c>
      <c r="BU132" s="1621">
        <v>1</v>
      </c>
      <c r="BV132" s="1621">
        <v>2</v>
      </c>
      <c r="BW132" s="1621">
        <v>3</v>
      </c>
      <c r="BX132" s="1621">
        <v>4</v>
      </c>
      <c r="BY132" s="1621">
        <v>5</v>
      </c>
      <c r="BZ132" s="1621">
        <v>6</v>
      </c>
      <c r="CA132" s="1621">
        <v>7</v>
      </c>
      <c r="CB132" s="1621">
        <v>8</v>
      </c>
      <c r="CC132" s="1621">
        <v>9</v>
      </c>
      <c r="CD132" s="1621">
        <v>10</v>
      </c>
      <c r="CE132" s="1621">
        <v>11</v>
      </c>
      <c r="CF132" s="1621">
        <v>12</v>
      </c>
      <c r="CG132" s="1621">
        <v>13</v>
      </c>
      <c r="CH132" s="1621">
        <v>14</v>
      </c>
      <c r="CI132" s="1621">
        <v>15</v>
      </c>
      <c r="CJ132" s="1621">
        <v>16</v>
      </c>
      <c r="CK132" s="1621">
        <v>17</v>
      </c>
      <c r="CL132" s="1621">
        <v>18</v>
      </c>
      <c r="CM132" s="1621">
        <v>19</v>
      </c>
      <c r="CN132" s="1621">
        <v>20</v>
      </c>
      <c r="CO132" s="1621">
        <v>21</v>
      </c>
      <c r="CP132" s="1621">
        <v>22</v>
      </c>
      <c r="CQ132" s="1621">
        <v>23</v>
      </c>
      <c r="CR132" s="1621">
        <v>24</v>
      </c>
      <c r="CS132" s="1621">
        <v>25</v>
      </c>
      <c r="CT132" s="1621">
        <v>26</v>
      </c>
      <c r="CU132" s="1621">
        <v>27</v>
      </c>
      <c r="CV132" s="1621">
        <v>28</v>
      </c>
      <c r="CW132" s="1621">
        <v>29</v>
      </c>
      <c r="CX132" s="1621">
        <v>30</v>
      </c>
      <c r="CY132" s="1621">
        <v>31</v>
      </c>
      <c r="CZ132" s="1830" t="s">
        <v>72</v>
      </c>
      <c r="DB132" s="1054" t="s">
        <v>70</v>
      </c>
      <c r="DC132" s="1054" t="s">
        <v>71</v>
      </c>
      <c r="DD132" s="1054">
        <v>1</v>
      </c>
      <c r="DE132" s="1054">
        <v>2</v>
      </c>
      <c r="DF132" s="1054">
        <v>3</v>
      </c>
      <c r="DG132" s="1054">
        <v>4</v>
      </c>
      <c r="DH132" s="1054">
        <v>5</v>
      </c>
      <c r="DI132" s="1054">
        <v>6</v>
      </c>
      <c r="DJ132" s="1054">
        <v>7</v>
      </c>
      <c r="DK132" s="1054">
        <v>8</v>
      </c>
      <c r="DL132" s="1054">
        <v>9</v>
      </c>
      <c r="DM132" s="1054">
        <v>10</v>
      </c>
      <c r="DN132" s="1054">
        <v>11</v>
      </c>
      <c r="DO132" s="1054">
        <v>12</v>
      </c>
      <c r="DP132" s="1054">
        <v>13</v>
      </c>
      <c r="DQ132" s="1054">
        <v>14</v>
      </c>
      <c r="DR132" s="1054">
        <v>15</v>
      </c>
      <c r="DS132" s="1054">
        <v>16</v>
      </c>
      <c r="DT132" s="1054">
        <v>17</v>
      </c>
      <c r="DU132" s="1054">
        <v>18</v>
      </c>
      <c r="DV132" s="1054">
        <v>19</v>
      </c>
      <c r="DW132" s="1054">
        <v>20</v>
      </c>
      <c r="DX132" s="1054">
        <v>21</v>
      </c>
      <c r="DY132" s="1054">
        <v>22</v>
      </c>
      <c r="DZ132" s="1054">
        <v>23</v>
      </c>
      <c r="EA132" s="1054">
        <v>24</v>
      </c>
      <c r="EB132" s="1054">
        <v>25</v>
      </c>
      <c r="EC132" s="1054">
        <v>26</v>
      </c>
      <c r="ED132" s="1054">
        <v>27</v>
      </c>
      <c r="EE132" s="1054">
        <v>28</v>
      </c>
      <c r="EF132" s="1054">
        <v>29</v>
      </c>
      <c r="EG132" s="1054">
        <v>30</v>
      </c>
      <c r="EH132" s="1054">
        <v>31</v>
      </c>
      <c r="EI132" s="1596" t="s">
        <v>72</v>
      </c>
    </row>
    <row r="133" spans="1:139" ht="15">
      <c r="A133" s="1039" t="s">
        <v>73</v>
      </c>
      <c r="B133" s="1084">
        <f t="shared" ref="B133:B144" si="114">+AH133</f>
        <v>0</v>
      </c>
      <c r="C133" s="1992"/>
      <c r="D133" s="1992"/>
      <c r="E133" s="1992"/>
      <c r="F133" s="1992"/>
      <c r="G133" s="1992"/>
      <c r="H133" s="1992"/>
      <c r="I133" s="1992"/>
      <c r="J133" s="1992"/>
      <c r="K133" s="1992"/>
      <c r="L133" s="1992"/>
      <c r="M133" s="1992"/>
      <c r="N133" s="1992"/>
      <c r="O133" s="1992"/>
      <c r="P133" s="1992"/>
      <c r="Q133" s="1992"/>
      <c r="R133" s="1992"/>
      <c r="S133" s="1992"/>
      <c r="T133" s="1992"/>
      <c r="U133" s="1992"/>
      <c r="V133" s="1992"/>
      <c r="W133" s="1992"/>
      <c r="X133" s="1992"/>
      <c r="Y133" s="1992"/>
      <c r="Z133" s="1992"/>
      <c r="AA133" s="1992"/>
      <c r="AB133" s="1992"/>
      <c r="AC133" s="1992"/>
      <c r="AD133" s="1992"/>
      <c r="AE133" s="1992"/>
      <c r="AF133" s="1992"/>
      <c r="AG133" s="1992"/>
      <c r="AH133" s="1974">
        <f t="shared" ref="AH133:AH144" si="115">SUM(C133:AG133)</f>
        <v>0</v>
      </c>
      <c r="AJ133" s="1524" t="s">
        <v>73</v>
      </c>
      <c r="AK133" s="1527">
        <f t="shared" ref="AK133:AK144" si="116">+BQ133</f>
        <v>0</v>
      </c>
      <c r="AL133" s="1872"/>
      <c r="AM133" s="1872"/>
      <c r="AN133" s="1872"/>
      <c r="AO133" s="1872"/>
      <c r="AP133" s="1872"/>
      <c r="AQ133" s="1872"/>
      <c r="AR133" s="1872"/>
      <c r="AS133" s="1872"/>
      <c r="AT133" s="1872"/>
      <c r="AU133" s="1872"/>
      <c r="AV133" s="1872"/>
      <c r="AW133" s="1872"/>
      <c r="AX133" s="1872"/>
      <c r="AY133" s="1872"/>
      <c r="AZ133" s="1872"/>
      <c r="BA133" s="1872"/>
      <c r="BB133" s="1872"/>
      <c r="BC133" s="1872"/>
      <c r="BD133" s="1872"/>
      <c r="BE133" s="1872"/>
      <c r="BF133" s="1872"/>
      <c r="BG133" s="1872"/>
      <c r="BH133" s="1872"/>
      <c r="BI133" s="1872"/>
      <c r="BJ133" s="1872"/>
      <c r="BK133" s="1872"/>
      <c r="BL133" s="1872"/>
      <c r="BM133" s="1872"/>
      <c r="BN133" s="1872"/>
      <c r="BO133" s="1872"/>
      <c r="BP133" s="1872"/>
      <c r="BQ133" s="1834">
        <f t="shared" ref="BQ133:BQ144" si="117">SUM(AL133:BP133)</f>
        <v>0</v>
      </c>
      <c r="BS133" s="1621" t="s">
        <v>73</v>
      </c>
      <c r="BT133" s="1622">
        <f t="shared" ref="BT133:BT144" si="118">+CZ133</f>
        <v>0</v>
      </c>
      <c r="BU133" s="1871"/>
      <c r="BV133" s="1871"/>
      <c r="BW133" s="1871"/>
      <c r="BX133" s="1871"/>
      <c r="BY133" s="1871"/>
      <c r="BZ133" s="1871"/>
      <c r="CA133" s="1871"/>
      <c r="CB133" s="1871"/>
      <c r="CC133" s="1871"/>
      <c r="CD133" s="1871"/>
      <c r="CE133" s="1871"/>
      <c r="CF133" s="1871"/>
      <c r="CG133" s="1871"/>
      <c r="CH133" s="1871"/>
      <c r="CI133" s="1871"/>
      <c r="CJ133" s="1871"/>
      <c r="CK133" s="1871"/>
      <c r="CL133" s="1871"/>
      <c r="CM133" s="1871"/>
      <c r="CN133" s="1871"/>
      <c r="CO133" s="1871"/>
      <c r="CP133" s="1871"/>
      <c r="CQ133" s="1871"/>
      <c r="CR133" s="1871"/>
      <c r="CS133" s="1871"/>
      <c r="CT133" s="1871"/>
      <c r="CU133" s="1871"/>
      <c r="CV133" s="1871"/>
      <c r="CW133" s="1871"/>
      <c r="CX133" s="1871"/>
      <c r="CY133" s="1871"/>
      <c r="CZ133" s="1826">
        <f t="shared" ref="CZ133:CZ144" si="119">SUM(BU133:CY133)</f>
        <v>0</v>
      </c>
      <c r="DB133" s="1054" t="s">
        <v>73</v>
      </c>
      <c r="DC133" s="1091">
        <f t="shared" ref="DC133:DC144" si="120">+EI133</f>
        <v>0</v>
      </c>
      <c r="DD133" s="1917"/>
      <c r="DE133" s="1917"/>
      <c r="DF133" s="1917"/>
      <c r="DG133" s="1917"/>
      <c r="DH133" s="1917"/>
      <c r="DI133" s="1917"/>
      <c r="DJ133" s="1917"/>
      <c r="DK133" s="1917"/>
      <c r="DL133" s="1917"/>
      <c r="DM133" s="1917"/>
      <c r="DN133" s="1917"/>
      <c r="DO133" s="1917"/>
      <c r="DP133" s="1917"/>
      <c r="DQ133" s="1917"/>
      <c r="DR133" s="1917"/>
      <c r="DS133" s="1917"/>
      <c r="DT133" s="1917"/>
      <c r="DU133" s="1917"/>
      <c r="DV133" s="1917"/>
      <c r="DW133" s="1917"/>
      <c r="DX133" s="1917"/>
      <c r="DY133" s="1917"/>
      <c r="DZ133" s="1917"/>
      <c r="EA133" s="1917"/>
      <c r="EB133" s="1917"/>
      <c r="EC133" s="1917"/>
      <c r="ED133" s="1917"/>
      <c r="EE133" s="1917"/>
      <c r="EF133" s="1917"/>
      <c r="EG133" s="1917"/>
      <c r="EH133" s="1917"/>
      <c r="EI133" s="1268">
        <f t="shared" ref="EI133:EI144" si="121">SUM(DD133:EH133)</f>
        <v>0</v>
      </c>
    </row>
    <row r="134" spans="1:139" ht="15">
      <c r="A134" s="1039" t="s">
        <v>74</v>
      </c>
      <c r="B134" s="1084">
        <f t="shared" si="114"/>
        <v>0</v>
      </c>
      <c r="C134" s="1992"/>
      <c r="D134" s="1992"/>
      <c r="E134" s="1992"/>
      <c r="F134" s="1992"/>
      <c r="G134" s="1992"/>
      <c r="H134" s="1992"/>
      <c r="I134" s="1992"/>
      <c r="J134" s="1992"/>
      <c r="K134" s="1992"/>
      <c r="L134" s="1992"/>
      <c r="M134" s="1992"/>
      <c r="N134" s="1992"/>
      <c r="O134" s="1992"/>
      <c r="P134" s="1992"/>
      <c r="Q134" s="1992"/>
      <c r="R134" s="1992"/>
      <c r="S134" s="1992"/>
      <c r="T134" s="1992"/>
      <c r="U134" s="1992"/>
      <c r="V134" s="1992"/>
      <c r="W134" s="1992"/>
      <c r="X134" s="1992"/>
      <c r="Y134" s="1992"/>
      <c r="Z134" s="1992"/>
      <c r="AA134" s="1992"/>
      <c r="AB134" s="1992"/>
      <c r="AC134" s="1992"/>
      <c r="AD134" s="1992"/>
      <c r="AE134" s="1992"/>
      <c r="AF134" s="1992"/>
      <c r="AG134" s="1992"/>
      <c r="AH134" s="1974">
        <f t="shared" si="115"/>
        <v>0</v>
      </c>
      <c r="AJ134" s="1524" t="s">
        <v>74</v>
      </c>
      <c r="AK134" s="1527">
        <f t="shared" si="116"/>
        <v>0</v>
      </c>
      <c r="AL134" s="1872"/>
      <c r="AM134" s="1872"/>
      <c r="AN134" s="1872"/>
      <c r="AO134" s="1872"/>
      <c r="AP134" s="1872"/>
      <c r="AQ134" s="1872"/>
      <c r="AR134" s="1872"/>
      <c r="AS134" s="1872"/>
      <c r="AT134" s="1872"/>
      <c r="AU134" s="1872"/>
      <c r="AV134" s="1872"/>
      <c r="AW134" s="1872"/>
      <c r="AX134" s="1872"/>
      <c r="AY134" s="1872"/>
      <c r="AZ134" s="1872"/>
      <c r="BA134" s="1872"/>
      <c r="BB134" s="1872"/>
      <c r="BC134" s="1872"/>
      <c r="BD134" s="1872"/>
      <c r="BE134" s="1872"/>
      <c r="BF134" s="1872"/>
      <c r="BG134" s="1872"/>
      <c r="BH134" s="1872"/>
      <c r="BI134" s="1872"/>
      <c r="BJ134" s="1872"/>
      <c r="BK134" s="1872"/>
      <c r="BL134" s="1872"/>
      <c r="BM134" s="1872"/>
      <c r="BN134" s="1872"/>
      <c r="BO134" s="1872"/>
      <c r="BP134" s="1872"/>
      <c r="BQ134" s="1834">
        <f t="shared" si="117"/>
        <v>0</v>
      </c>
      <c r="BS134" s="1621" t="s">
        <v>74</v>
      </c>
      <c r="BT134" s="1622">
        <f t="shared" si="118"/>
        <v>0</v>
      </c>
      <c r="BU134" s="1871"/>
      <c r="BV134" s="1871"/>
      <c r="BW134" s="1871"/>
      <c r="BX134" s="1871"/>
      <c r="BY134" s="1871"/>
      <c r="BZ134" s="1871"/>
      <c r="CA134" s="1871"/>
      <c r="CB134" s="1871"/>
      <c r="CC134" s="1871"/>
      <c r="CD134" s="1871"/>
      <c r="CE134" s="1871"/>
      <c r="CF134" s="1871"/>
      <c r="CG134" s="1871"/>
      <c r="CH134" s="1871"/>
      <c r="CI134" s="1871"/>
      <c r="CJ134" s="1871"/>
      <c r="CK134" s="1871"/>
      <c r="CL134" s="1871"/>
      <c r="CM134" s="1871"/>
      <c r="CN134" s="1871"/>
      <c r="CO134" s="1871"/>
      <c r="CP134" s="1871"/>
      <c r="CQ134" s="1871"/>
      <c r="CR134" s="1871"/>
      <c r="CS134" s="1871"/>
      <c r="CT134" s="1871"/>
      <c r="CU134" s="1871"/>
      <c r="CV134" s="1871"/>
      <c r="CW134" s="1871"/>
      <c r="CX134" s="1871"/>
      <c r="CY134" s="1871"/>
      <c r="CZ134" s="1826">
        <f t="shared" si="119"/>
        <v>0</v>
      </c>
      <c r="DB134" s="1054" t="s">
        <v>74</v>
      </c>
      <c r="DC134" s="1091">
        <f t="shared" si="120"/>
        <v>0</v>
      </c>
      <c r="DD134" s="1917"/>
      <c r="DE134" s="1917"/>
      <c r="DF134" s="1917"/>
      <c r="DG134" s="1917"/>
      <c r="DH134" s="1917"/>
      <c r="DI134" s="1917"/>
      <c r="DJ134" s="1917"/>
      <c r="DK134" s="1917"/>
      <c r="DL134" s="1917"/>
      <c r="DM134" s="1917"/>
      <c r="DN134" s="1917"/>
      <c r="DO134" s="1917"/>
      <c r="DP134" s="1917"/>
      <c r="DQ134" s="1917"/>
      <c r="DR134" s="1917"/>
      <c r="DS134" s="1917"/>
      <c r="DT134" s="1917"/>
      <c r="DU134" s="1917"/>
      <c r="DV134" s="1917"/>
      <c r="DW134" s="1917"/>
      <c r="DX134" s="1917"/>
      <c r="DY134" s="1917"/>
      <c r="DZ134" s="1917"/>
      <c r="EA134" s="1917"/>
      <c r="EB134" s="1917"/>
      <c r="EC134" s="1917"/>
      <c r="ED134" s="1917"/>
      <c r="EE134" s="1917"/>
      <c r="EF134" s="1917"/>
      <c r="EG134" s="1917"/>
      <c r="EH134" s="1917"/>
      <c r="EI134" s="1268">
        <f t="shared" si="121"/>
        <v>0</v>
      </c>
    </row>
    <row r="135" spans="1:139" ht="15">
      <c r="A135" s="1039" t="s">
        <v>75</v>
      </c>
      <c r="B135" s="1084">
        <f t="shared" si="114"/>
        <v>0</v>
      </c>
      <c r="C135" s="1992"/>
      <c r="D135" s="1992"/>
      <c r="E135" s="1992"/>
      <c r="F135" s="1992"/>
      <c r="G135" s="1992"/>
      <c r="H135" s="1992"/>
      <c r="I135" s="1992"/>
      <c r="J135" s="1992"/>
      <c r="K135" s="1992"/>
      <c r="L135" s="1992"/>
      <c r="M135" s="1992"/>
      <c r="N135" s="1992"/>
      <c r="O135" s="1992"/>
      <c r="P135" s="1992"/>
      <c r="Q135" s="1992"/>
      <c r="R135" s="1992"/>
      <c r="S135" s="1992"/>
      <c r="T135" s="1992"/>
      <c r="U135" s="1992"/>
      <c r="V135" s="1992"/>
      <c r="W135" s="1992"/>
      <c r="X135" s="1992"/>
      <c r="Y135" s="1992"/>
      <c r="Z135" s="1992"/>
      <c r="AA135" s="1992"/>
      <c r="AB135" s="1992"/>
      <c r="AC135" s="1992"/>
      <c r="AD135" s="1992"/>
      <c r="AE135" s="1992"/>
      <c r="AF135" s="1992"/>
      <c r="AG135" s="1992"/>
      <c r="AH135" s="1974">
        <f t="shared" si="115"/>
        <v>0</v>
      </c>
      <c r="AJ135" s="1524" t="s">
        <v>75</v>
      </c>
      <c r="AK135" s="1527">
        <f t="shared" si="116"/>
        <v>0</v>
      </c>
      <c r="AL135" s="1872"/>
      <c r="AM135" s="1872"/>
      <c r="AN135" s="1872"/>
      <c r="AO135" s="1872"/>
      <c r="AP135" s="1872"/>
      <c r="AQ135" s="1872"/>
      <c r="AR135" s="1872"/>
      <c r="AS135" s="1872"/>
      <c r="AT135" s="1872"/>
      <c r="AU135" s="1872"/>
      <c r="AV135" s="1872"/>
      <c r="AW135" s="1872"/>
      <c r="AX135" s="1872"/>
      <c r="AY135" s="1872"/>
      <c r="AZ135" s="1872"/>
      <c r="BA135" s="1872"/>
      <c r="BB135" s="1872"/>
      <c r="BC135" s="1872"/>
      <c r="BD135" s="1872"/>
      <c r="BE135" s="1872"/>
      <c r="BF135" s="1872"/>
      <c r="BG135" s="1872"/>
      <c r="BH135" s="1872"/>
      <c r="BI135" s="1872"/>
      <c r="BJ135" s="1872"/>
      <c r="BK135" s="1872"/>
      <c r="BL135" s="1872"/>
      <c r="BM135" s="1872"/>
      <c r="BN135" s="1872"/>
      <c r="BO135" s="1872"/>
      <c r="BP135" s="1872"/>
      <c r="BQ135" s="1834">
        <f t="shared" si="117"/>
        <v>0</v>
      </c>
      <c r="BS135" s="1621" t="s">
        <v>75</v>
      </c>
      <c r="BT135" s="1622">
        <f t="shared" si="118"/>
        <v>0</v>
      </c>
      <c r="BU135" s="1871"/>
      <c r="BV135" s="1871"/>
      <c r="BW135" s="1871"/>
      <c r="BX135" s="1871"/>
      <c r="BY135" s="1871"/>
      <c r="BZ135" s="1871"/>
      <c r="CA135" s="1871"/>
      <c r="CB135" s="1871"/>
      <c r="CC135" s="1871"/>
      <c r="CD135" s="1871"/>
      <c r="CE135" s="1871"/>
      <c r="CF135" s="1871"/>
      <c r="CG135" s="1871"/>
      <c r="CH135" s="1871"/>
      <c r="CI135" s="1871"/>
      <c r="CJ135" s="1871"/>
      <c r="CK135" s="1871"/>
      <c r="CL135" s="1871"/>
      <c r="CM135" s="1871"/>
      <c r="CN135" s="1871"/>
      <c r="CO135" s="1871"/>
      <c r="CP135" s="1871"/>
      <c r="CQ135" s="1871"/>
      <c r="CR135" s="1871"/>
      <c r="CS135" s="1871"/>
      <c r="CT135" s="1871"/>
      <c r="CU135" s="1871"/>
      <c r="CV135" s="1871"/>
      <c r="CW135" s="1871"/>
      <c r="CX135" s="1871"/>
      <c r="CY135" s="1871"/>
      <c r="CZ135" s="1826">
        <f t="shared" si="119"/>
        <v>0</v>
      </c>
      <c r="DB135" s="1054" t="s">
        <v>75</v>
      </c>
      <c r="DC135" s="1091">
        <f t="shared" si="120"/>
        <v>0</v>
      </c>
      <c r="DD135" s="1917"/>
      <c r="DE135" s="1917"/>
      <c r="DF135" s="1917"/>
      <c r="DG135" s="1917"/>
      <c r="DH135" s="1917"/>
      <c r="DI135" s="1917"/>
      <c r="DJ135" s="1917"/>
      <c r="DK135" s="1917"/>
      <c r="DL135" s="1917"/>
      <c r="DM135" s="1917"/>
      <c r="DN135" s="1917"/>
      <c r="DO135" s="1917"/>
      <c r="DP135" s="1917"/>
      <c r="DQ135" s="1917"/>
      <c r="DR135" s="1917"/>
      <c r="DS135" s="1917"/>
      <c r="DT135" s="1917"/>
      <c r="DU135" s="1917"/>
      <c r="DV135" s="1917"/>
      <c r="DW135" s="1917"/>
      <c r="DX135" s="1917"/>
      <c r="DY135" s="1917"/>
      <c r="DZ135" s="1917"/>
      <c r="EA135" s="1917"/>
      <c r="EB135" s="1917"/>
      <c r="EC135" s="1917"/>
      <c r="ED135" s="1917"/>
      <c r="EE135" s="1917"/>
      <c r="EF135" s="1917"/>
      <c r="EG135" s="1917"/>
      <c r="EH135" s="1917"/>
      <c r="EI135" s="1268">
        <f t="shared" si="121"/>
        <v>0</v>
      </c>
    </row>
    <row r="136" spans="1:139" ht="15">
      <c r="A136" s="1039" t="s">
        <v>76</v>
      </c>
      <c r="B136" s="1084">
        <f t="shared" si="114"/>
        <v>0</v>
      </c>
      <c r="C136" s="1993"/>
      <c r="D136" s="1993"/>
      <c r="E136" s="1993"/>
      <c r="F136" s="1993"/>
      <c r="G136" s="1993"/>
      <c r="H136" s="1993"/>
      <c r="I136" s="1993"/>
      <c r="J136" s="1993"/>
      <c r="K136" s="1993"/>
      <c r="L136" s="1993"/>
      <c r="M136" s="1992"/>
      <c r="N136" s="1992"/>
      <c r="O136" s="1992"/>
      <c r="P136" s="1992"/>
      <c r="Q136" s="1992"/>
      <c r="R136" s="1992"/>
      <c r="S136" s="1992"/>
      <c r="T136" s="1992"/>
      <c r="U136" s="1992"/>
      <c r="V136" s="1992"/>
      <c r="W136" s="1992"/>
      <c r="X136" s="1992"/>
      <c r="Y136" s="1992"/>
      <c r="Z136" s="1992"/>
      <c r="AA136" s="1992"/>
      <c r="AB136" s="1992"/>
      <c r="AC136" s="1992"/>
      <c r="AD136" s="1992"/>
      <c r="AE136" s="1992"/>
      <c r="AF136" s="1992"/>
      <c r="AG136" s="1993"/>
      <c r="AH136" s="1974">
        <f t="shared" si="115"/>
        <v>0</v>
      </c>
      <c r="AJ136" s="1524" t="s">
        <v>76</v>
      </c>
      <c r="AK136" s="1527">
        <f t="shared" si="116"/>
        <v>0</v>
      </c>
      <c r="AL136" s="1877"/>
      <c r="AM136" s="1877"/>
      <c r="AN136" s="1877"/>
      <c r="AO136" s="1877"/>
      <c r="AP136" s="1877"/>
      <c r="AQ136" s="1877"/>
      <c r="AR136" s="1877"/>
      <c r="AS136" s="1877"/>
      <c r="AT136" s="1877"/>
      <c r="AU136" s="1877"/>
      <c r="AV136" s="1872"/>
      <c r="AW136" s="1872"/>
      <c r="AX136" s="1872"/>
      <c r="AY136" s="1872"/>
      <c r="AZ136" s="1872"/>
      <c r="BA136" s="1872"/>
      <c r="BB136" s="1872"/>
      <c r="BC136" s="1872"/>
      <c r="BD136" s="1872"/>
      <c r="BE136" s="1877"/>
      <c r="BF136" s="1877"/>
      <c r="BG136" s="1877"/>
      <c r="BH136" s="1877"/>
      <c r="BI136" s="1877"/>
      <c r="BJ136" s="1877"/>
      <c r="BK136" s="1877"/>
      <c r="BL136" s="1877"/>
      <c r="BM136" s="1877"/>
      <c r="BN136" s="1877"/>
      <c r="BO136" s="1872"/>
      <c r="BP136" s="1872"/>
      <c r="BQ136" s="1834">
        <f t="shared" si="117"/>
        <v>0</v>
      </c>
      <c r="BS136" s="1621" t="s">
        <v>76</v>
      </c>
      <c r="BT136" s="1622">
        <f t="shared" si="118"/>
        <v>0</v>
      </c>
      <c r="BU136" s="1876"/>
      <c r="BV136" s="1876"/>
      <c r="BW136" s="1876"/>
      <c r="BX136" s="1876"/>
      <c r="BY136" s="1876"/>
      <c r="BZ136" s="1876"/>
      <c r="CA136" s="1876"/>
      <c r="CB136" s="1876"/>
      <c r="CC136" s="1876"/>
      <c r="CD136" s="1876"/>
      <c r="CE136" s="1871"/>
      <c r="CF136" s="1871"/>
      <c r="CG136" s="1871"/>
      <c r="CH136" s="1871"/>
      <c r="CI136" s="1871"/>
      <c r="CJ136" s="1871"/>
      <c r="CK136" s="1871"/>
      <c r="CL136" s="1871"/>
      <c r="CM136" s="1871"/>
      <c r="CN136" s="1871"/>
      <c r="CO136" s="1871"/>
      <c r="CP136" s="1871"/>
      <c r="CQ136" s="1871"/>
      <c r="CR136" s="1871"/>
      <c r="CS136" s="1871"/>
      <c r="CT136" s="1871"/>
      <c r="CU136" s="1871"/>
      <c r="CV136" s="1871"/>
      <c r="CW136" s="1871"/>
      <c r="CX136" s="1871"/>
      <c r="CY136" s="1876"/>
      <c r="CZ136" s="1826">
        <f t="shared" si="119"/>
        <v>0</v>
      </c>
      <c r="DB136" s="1054" t="s">
        <v>76</v>
      </c>
      <c r="DC136" s="1091">
        <f t="shared" si="120"/>
        <v>0</v>
      </c>
      <c r="DD136" s="1538"/>
      <c r="DE136" s="1538"/>
      <c r="DF136" s="1538"/>
      <c r="DG136" s="1538"/>
      <c r="DH136" s="1538"/>
      <c r="DI136" s="1538"/>
      <c r="DJ136" s="1538"/>
      <c r="DK136" s="1538"/>
      <c r="DL136" s="1538"/>
      <c r="DM136" s="1538"/>
      <c r="DN136" s="1917"/>
      <c r="DO136" s="1917"/>
      <c r="DP136" s="1917"/>
      <c r="DQ136" s="1917"/>
      <c r="DR136" s="1917"/>
      <c r="DS136" s="1917"/>
      <c r="DT136" s="1917"/>
      <c r="DU136" s="1917"/>
      <c r="DV136" s="1917"/>
      <c r="DW136" s="1917"/>
      <c r="DX136" s="1917"/>
      <c r="DY136" s="1917"/>
      <c r="DZ136" s="1917"/>
      <c r="EA136" s="1917"/>
      <c r="EB136" s="1917"/>
      <c r="EC136" s="1917"/>
      <c r="ED136" s="1917"/>
      <c r="EE136" s="1917"/>
      <c r="EF136" s="1917"/>
      <c r="EG136" s="1917"/>
      <c r="EH136" s="1538"/>
      <c r="EI136" s="1268">
        <f t="shared" si="121"/>
        <v>0</v>
      </c>
    </row>
    <row r="137" spans="1:139" ht="15">
      <c r="A137" s="1039" t="s">
        <v>77</v>
      </c>
      <c r="B137" s="1084">
        <f t="shared" si="114"/>
        <v>0</v>
      </c>
      <c r="C137" s="1993"/>
      <c r="D137" s="1993"/>
      <c r="E137" s="1993"/>
      <c r="F137" s="1992"/>
      <c r="G137" s="1993"/>
      <c r="H137" s="1992"/>
      <c r="I137" s="1993"/>
      <c r="J137" s="1992"/>
      <c r="K137" s="1993"/>
      <c r="L137" s="1993"/>
      <c r="M137" s="1993"/>
      <c r="N137" s="1993"/>
      <c r="O137" s="1993"/>
      <c r="P137" s="1993"/>
      <c r="Q137" s="1993"/>
      <c r="R137" s="1993"/>
      <c r="S137" s="1992"/>
      <c r="T137" s="1993"/>
      <c r="U137" s="1993"/>
      <c r="V137" s="1992"/>
      <c r="W137" s="1993"/>
      <c r="X137" s="1993"/>
      <c r="Y137" s="1992"/>
      <c r="Z137" s="1993"/>
      <c r="AA137" s="1993"/>
      <c r="AB137" s="1992"/>
      <c r="AC137" s="1993"/>
      <c r="AD137" s="1993"/>
      <c r="AE137" s="1992"/>
      <c r="AF137" s="1993"/>
      <c r="AG137" s="1993"/>
      <c r="AH137" s="1974">
        <f t="shared" si="115"/>
        <v>0</v>
      </c>
      <c r="AJ137" s="1524" t="s">
        <v>77</v>
      </c>
      <c r="AK137" s="1527">
        <f t="shared" si="116"/>
        <v>0</v>
      </c>
      <c r="AL137" s="1877"/>
      <c r="AM137" s="1877"/>
      <c r="AN137" s="1877"/>
      <c r="AO137" s="1872"/>
      <c r="AP137" s="1877"/>
      <c r="AQ137" s="1872"/>
      <c r="AR137" s="1877"/>
      <c r="AS137" s="1872"/>
      <c r="AT137" s="1877"/>
      <c r="AU137" s="1877"/>
      <c r="AV137" s="1877"/>
      <c r="AW137" s="1877"/>
      <c r="AX137" s="1877"/>
      <c r="AY137" s="1877"/>
      <c r="AZ137" s="1877"/>
      <c r="BA137" s="1877"/>
      <c r="BB137" s="1872"/>
      <c r="BC137" s="1877"/>
      <c r="BD137" s="1877"/>
      <c r="BE137" s="1877"/>
      <c r="BF137" s="1877"/>
      <c r="BG137" s="1877"/>
      <c r="BH137" s="1872"/>
      <c r="BI137" s="1877"/>
      <c r="BJ137" s="1872"/>
      <c r="BK137" s="1877"/>
      <c r="BL137" s="1872"/>
      <c r="BM137" s="1877"/>
      <c r="BN137" s="1877"/>
      <c r="BO137" s="1877"/>
      <c r="BP137" s="1877"/>
      <c r="BQ137" s="1834">
        <f t="shared" si="117"/>
        <v>0</v>
      </c>
      <c r="BS137" s="1621" t="s">
        <v>77</v>
      </c>
      <c r="BT137" s="1622">
        <f t="shared" si="118"/>
        <v>0</v>
      </c>
      <c r="BU137" s="1876"/>
      <c r="BV137" s="1876"/>
      <c r="BW137" s="1876"/>
      <c r="BX137" s="1871"/>
      <c r="BY137" s="1876"/>
      <c r="BZ137" s="1871"/>
      <c r="CA137" s="1876"/>
      <c r="CB137" s="1871"/>
      <c r="CC137" s="1876"/>
      <c r="CD137" s="1876"/>
      <c r="CE137" s="1876"/>
      <c r="CF137" s="1876"/>
      <c r="CG137" s="1876"/>
      <c r="CH137" s="1876"/>
      <c r="CI137" s="1876"/>
      <c r="CJ137" s="1876"/>
      <c r="CK137" s="1871"/>
      <c r="CL137" s="1876"/>
      <c r="CM137" s="1876"/>
      <c r="CN137" s="1871"/>
      <c r="CO137" s="1876"/>
      <c r="CP137" s="1876"/>
      <c r="CQ137" s="1871"/>
      <c r="CR137" s="1876"/>
      <c r="CS137" s="1876"/>
      <c r="CT137" s="1871"/>
      <c r="CU137" s="1876"/>
      <c r="CV137" s="1876"/>
      <c r="CW137" s="1871"/>
      <c r="CX137" s="1876"/>
      <c r="CY137" s="1876"/>
      <c r="CZ137" s="1826">
        <f t="shared" si="119"/>
        <v>0</v>
      </c>
      <c r="DB137" s="1054" t="s">
        <v>77</v>
      </c>
      <c r="DC137" s="1091">
        <f t="shared" si="120"/>
        <v>0</v>
      </c>
      <c r="DD137" s="1538"/>
      <c r="DE137" s="1538"/>
      <c r="DF137" s="1538"/>
      <c r="DG137" s="1917"/>
      <c r="DH137" s="1538"/>
      <c r="DI137" s="1917"/>
      <c r="DJ137" s="1538"/>
      <c r="DK137" s="1917"/>
      <c r="DL137" s="1538"/>
      <c r="DM137" s="1538"/>
      <c r="DN137" s="1538"/>
      <c r="DO137" s="1538"/>
      <c r="DP137" s="1538"/>
      <c r="DQ137" s="1538"/>
      <c r="DR137" s="1538"/>
      <c r="DS137" s="1538"/>
      <c r="DT137" s="1917"/>
      <c r="DU137" s="1538"/>
      <c r="DV137" s="1538"/>
      <c r="DW137" s="1917"/>
      <c r="DX137" s="1538"/>
      <c r="DY137" s="1538"/>
      <c r="DZ137" s="1917"/>
      <c r="EA137" s="1538"/>
      <c r="EB137" s="1538"/>
      <c r="EC137" s="1917"/>
      <c r="ED137" s="1538"/>
      <c r="EE137" s="1538"/>
      <c r="EF137" s="1917"/>
      <c r="EG137" s="1538"/>
      <c r="EH137" s="1538"/>
      <c r="EI137" s="1268">
        <f t="shared" si="121"/>
        <v>0</v>
      </c>
    </row>
    <row r="138" spans="1:139" ht="15">
      <c r="A138" s="1039" t="s">
        <v>78</v>
      </c>
      <c r="B138" s="1084">
        <f t="shared" si="114"/>
        <v>0</v>
      </c>
      <c r="C138" s="1993"/>
      <c r="D138" s="1993"/>
      <c r="E138" s="1993"/>
      <c r="F138" s="1993"/>
      <c r="G138" s="1993"/>
      <c r="H138" s="1993"/>
      <c r="I138" s="1993"/>
      <c r="J138" s="1993"/>
      <c r="K138" s="1993"/>
      <c r="L138" s="1993"/>
      <c r="M138" s="1993"/>
      <c r="N138" s="1992"/>
      <c r="O138" s="1993"/>
      <c r="P138" s="1992"/>
      <c r="Q138" s="1993"/>
      <c r="R138" s="1992"/>
      <c r="S138" s="1993"/>
      <c r="T138" s="1992"/>
      <c r="U138" s="1993"/>
      <c r="V138" s="1992"/>
      <c r="W138" s="1993"/>
      <c r="X138" s="1992"/>
      <c r="Y138" s="1993"/>
      <c r="Z138" s="1992"/>
      <c r="AA138" s="1993"/>
      <c r="AB138" s="1992"/>
      <c r="AC138" s="1993"/>
      <c r="AD138" s="1992"/>
      <c r="AE138" s="1993"/>
      <c r="AF138" s="1992"/>
      <c r="AG138" s="1993"/>
      <c r="AH138" s="1974">
        <f t="shared" si="115"/>
        <v>0</v>
      </c>
      <c r="AJ138" s="1524" t="s">
        <v>78</v>
      </c>
      <c r="AK138" s="1527">
        <f t="shared" si="116"/>
        <v>0</v>
      </c>
      <c r="AL138" s="1877"/>
      <c r="AM138" s="1877"/>
      <c r="AN138" s="1877"/>
      <c r="AO138" s="1877"/>
      <c r="AP138" s="1877"/>
      <c r="AQ138" s="1877"/>
      <c r="AR138" s="1877"/>
      <c r="AS138" s="1877"/>
      <c r="AT138" s="1877"/>
      <c r="AU138" s="1877"/>
      <c r="AV138" s="1877"/>
      <c r="AW138" s="1872"/>
      <c r="AX138" s="1877"/>
      <c r="AY138" s="1872"/>
      <c r="AZ138" s="1877"/>
      <c r="BA138" s="1872"/>
      <c r="BB138" s="1877"/>
      <c r="BC138" s="1872"/>
      <c r="BD138" s="1877"/>
      <c r="BE138" s="1877"/>
      <c r="BF138" s="1877"/>
      <c r="BG138" s="1877"/>
      <c r="BH138" s="1877"/>
      <c r="BI138" s="1877"/>
      <c r="BJ138" s="1877"/>
      <c r="BK138" s="1877"/>
      <c r="BL138" s="1877"/>
      <c r="BM138" s="1877"/>
      <c r="BN138" s="1877"/>
      <c r="BO138" s="1877"/>
      <c r="BP138" s="1872"/>
      <c r="BQ138" s="1834">
        <f t="shared" si="117"/>
        <v>0</v>
      </c>
      <c r="BS138" s="1621" t="s">
        <v>78</v>
      </c>
      <c r="BT138" s="1622">
        <f t="shared" si="118"/>
        <v>0</v>
      </c>
      <c r="BU138" s="1876"/>
      <c r="BV138" s="1876"/>
      <c r="BW138" s="1876"/>
      <c r="BX138" s="1876"/>
      <c r="BY138" s="1876"/>
      <c r="BZ138" s="1876"/>
      <c r="CA138" s="1876"/>
      <c r="CB138" s="1876"/>
      <c r="CC138" s="1876"/>
      <c r="CD138" s="1876"/>
      <c r="CE138" s="1876"/>
      <c r="CF138" s="1871"/>
      <c r="CG138" s="1876"/>
      <c r="CH138" s="1871"/>
      <c r="CI138" s="1876"/>
      <c r="CJ138" s="1871"/>
      <c r="CK138" s="1876"/>
      <c r="CL138" s="1871"/>
      <c r="CM138" s="1876"/>
      <c r="CN138" s="1871"/>
      <c r="CO138" s="1876"/>
      <c r="CP138" s="1871"/>
      <c r="CQ138" s="1876"/>
      <c r="CR138" s="1871"/>
      <c r="CS138" s="1876"/>
      <c r="CT138" s="1871"/>
      <c r="CU138" s="1876"/>
      <c r="CV138" s="1871"/>
      <c r="CW138" s="1876"/>
      <c r="CX138" s="1871"/>
      <c r="CY138" s="1876"/>
      <c r="CZ138" s="1826">
        <f t="shared" si="119"/>
        <v>0</v>
      </c>
      <c r="DB138" s="1054" t="s">
        <v>78</v>
      </c>
      <c r="DC138" s="1091">
        <f t="shared" si="120"/>
        <v>0</v>
      </c>
      <c r="DD138" s="1538"/>
      <c r="DE138" s="1538"/>
      <c r="DF138" s="1538"/>
      <c r="DG138" s="1538"/>
      <c r="DH138" s="1538"/>
      <c r="DI138" s="1538"/>
      <c r="DJ138" s="1538"/>
      <c r="DK138" s="1538"/>
      <c r="DL138" s="1538"/>
      <c r="DM138" s="1538"/>
      <c r="DN138" s="1538"/>
      <c r="DO138" s="1917"/>
      <c r="DP138" s="1538"/>
      <c r="DQ138" s="1917"/>
      <c r="DR138" s="1538"/>
      <c r="DS138" s="1917"/>
      <c r="DT138" s="1538"/>
      <c r="DU138" s="1917"/>
      <c r="DV138" s="1538"/>
      <c r="DW138" s="1917"/>
      <c r="DX138" s="1538"/>
      <c r="DY138" s="1917"/>
      <c r="DZ138" s="1538"/>
      <c r="EA138" s="1917"/>
      <c r="EB138" s="1538"/>
      <c r="EC138" s="1917"/>
      <c r="ED138" s="1538"/>
      <c r="EE138" s="1917"/>
      <c r="EF138" s="1538"/>
      <c r="EG138" s="1917"/>
      <c r="EH138" s="1538"/>
      <c r="EI138" s="1268">
        <f t="shared" si="121"/>
        <v>0</v>
      </c>
    </row>
    <row r="139" spans="1:139" ht="15">
      <c r="A139" s="1039" t="s">
        <v>79</v>
      </c>
      <c r="B139" s="1084">
        <f t="shared" si="114"/>
        <v>0</v>
      </c>
      <c r="C139" s="1993"/>
      <c r="D139" s="1993"/>
      <c r="E139" s="1993"/>
      <c r="F139" s="1993"/>
      <c r="G139" s="1993"/>
      <c r="H139" s="1993"/>
      <c r="I139" s="1993"/>
      <c r="J139" s="1993"/>
      <c r="K139" s="1993"/>
      <c r="L139" s="1993"/>
      <c r="M139" s="1993"/>
      <c r="N139" s="1993"/>
      <c r="O139" s="1993"/>
      <c r="P139" s="1993"/>
      <c r="Q139" s="1993"/>
      <c r="R139" s="1993"/>
      <c r="S139" s="1993"/>
      <c r="T139" s="1993"/>
      <c r="U139" s="1993"/>
      <c r="V139" s="1993"/>
      <c r="W139" s="1993"/>
      <c r="X139" s="1993"/>
      <c r="Y139" s="1993"/>
      <c r="Z139" s="1993"/>
      <c r="AA139" s="1993"/>
      <c r="AB139" s="1993"/>
      <c r="AC139" s="1993"/>
      <c r="AD139" s="1993"/>
      <c r="AE139" s="1993"/>
      <c r="AF139" s="1993"/>
      <c r="AG139" s="1993"/>
      <c r="AH139" s="1974">
        <f t="shared" si="115"/>
        <v>0</v>
      </c>
      <c r="AJ139" s="1524" t="s">
        <v>79</v>
      </c>
      <c r="AK139" s="1527">
        <f t="shared" si="116"/>
        <v>0</v>
      </c>
      <c r="AL139" s="1877"/>
      <c r="AM139" s="1877"/>
      <c r="AN139" s="1877"/>
      <c r="AO139" s="1877"/>
      <c r="AP139" s="1877"/>
      <c r="AQ139" s="1877"/>
      <c r="AR139" s="1877"/>
      <c r="AS139" s="1877"/>
      <c r="AT139" s="1877"/>
      <c r="AU139" s="1877"/>
      <c r="AV139" s="1877"/>
      <c r="AW139" s="1877"/>
      <c r="AX139" s="1877"/>
      <c r="AY139" s="1877"/>
      <c r="AZ139" s="1877"/>
      <c r="BA139" s="1877"/>
      <c r="BB139" s="1877"/>
      <c r="BC139" s="1877"/>
      <c r="BD139" s="1877"/>
      <c r="BE139" s="1877"/>
      <c r="BF139" s="1877"/>
      <c r="BG139" s="1877"/>
      <c r="BH139" s="1877"/>
      <c r="BI139" s="1877"/>
      <c r="BJ139" s="1877"/>
      <c r="BK139" s="1877"/>
      <c r="BL139" s="1877"/>
      <c r="BM139" s="1877"/>
      <c r="BN139" s="1877"/>
      <c r="BO139" s="1877"/>
      <c r="BP139" s="1877"/>
      <c r="BQ139" s="1834">
        <f t="shared" si="117"/>
        <v>0</v>
      </c>
      <c r="BS139" s="1621" t="s">
        <v>79</v>
      </c>
      <c r="BT139" s="1622">
        <f t="shared" si="118"/>
        <v>0</v>
      </c>
      <c r="BU139" s="1876"/>
      <c r="BV139" s="1876"/>
      <c r="BW139" s="1876"/>
      <c r="BX139" s="1876"/>
      <c r="BY139" s="1876"/>
      <c r="BZ139" s="1876"/>
      <c r="CA139" s="1876"/>
      <c r="CB139" s="1876"/>
      <c r="CC139" s="1876"/>
      <c r="CD139" s="1876"/>
      <c r="CE139" s="1876"/>
      <c r="CF139" s="1876"/>
      <c r="CG139" s="1876"/>
      <c r="CH139" s="1876"/>
      <c r="CI139" s="1876"/>
      <c r="CJ139" s="1876"/>
      <c r="CK139" s="1876"/>
      <c r="CL139" s="1876"/>
      <c r="CM139" s="1876"/>
      <c r="CN139" s="1876"/>
      <c r="CO139" s="1876"/>
      <c r="CP139" s="1876"/>
      <c r="CQ139" s="1876"/>
      <c r="CR139" s="1876"/>
      <c r="CS139" s="1876"/>
      <c r="CT139" s="1876"/>
      <c r="CU139" s="1876"/>
      <c r="CV139" s="1876"/>
      <c r="CW139" s="1876"/>
      <c r="CX139" s="1876"/>
      <c r="CY139" s="1876"/>
      <c r="CZ139" s="1826">
        <f t="shared" si="119"/>
        <v>0</v>
      </c>
      <c r="DB139" s="1054" t="s">
        <v>79</v>
      </c>
      <c r="DC139" s="1091">
        <f t="shared" si="120"/>
        <v>0</v>
      </c>
      <c r="DD139" s="1538"/>
      <c r="DE139" s="1538"/>
      <c r="DF139" s="1538"/>
      <c r="DG139" s="1538"/>
      <c r="DH139" s="1538"/>
      <c r="DI139" s="1538"/>
      <c r="DJ139" s="1538"/>
      <c r="DK139" s="1538"/>
      <c r="DL139" s="1538"/>
      <c r="DM139" s="1538"/>
      <c r="DN139" s="1538"/>
      <c r="DO139" s="1538"/>
      <c r="DP139" s="1538"/>
      <c r="DQ139" s="1538"/>
      <c r="DR139" s="1538"/>
      <c r="DS139" s="1538"/>
      <c r="DT139" s="1538"/>
      <c r="DU139" s="1538"/>
      <c r="DV139" s="1538"/>
      <c r="DW139" s="1538"/>
      <c r="DX139" s="1538"/>
      <c r="DY139" s="1538"/>
      <c r="DZ139" s="1538"/>
      <c r="EA139" s="1538"/>
      <c r="EB139" s="1538"/>
      <c r="EC139" s="1538"/>
      <c r="ED139" s="1538"/>
      <c r="EE139" s="1538"/>
      <c r="EF139" s="1538"/>
      <c r="EG139" s="1538"/>
      <c r="EH139" s="1538"/>
      <c r="EI139" s="1268">
        <f t="shared" si="121"/>
        <v>0</v>
      </c>
    </row>
    <row r="140" spans="1:139" ht="15">
      <c r="A140" s="1039" t="s">
        <v>80</v>
      </c>
      <c r="B140" s="1084">
        <f t="shared" si="114"/>
        <v>0</v>
      </c>
      <c r="C140" s="1992"/>
      <c r="D140" s="1994"/>
      <c r="E140" s="1992"/>
      <c r="F140" s="1992"/>
      <c r="G140" s="1992"/>
      <c r="H140" s="1992"/>
      <c r="I140" s="1992"/>
      <c r="J140" s="1992"/>
      <c r="K140" s="1992"/>
      <c r="L140" s="1992"/>
      <c r="M140" s="1992"/>
      <c r="N140" s="1992"/>
      <c r="O140" s="1992"/>
      <c r="P140" s="1992"/>
      <c r="Q140" s="1992"/>
      <c r="R140" s="1992"/>
      <c r="S140" s="1992"/>
      <c r="T140" s="1992"/>
      <c r="U140" s="1992"/>
      <c r="V140" s="1992"/>
      <c r="W140" s="1992"/>
      <c r="X140" s="1992"/>
      <c r="Y140" s="1992"/>
      <c r="Z140" s="1992"/>
      <c r="AA140" s="1992"/>
      <c r="AB140" s="1992"/>
      <c r="AC140" s="1992"/>
      <c r="AD140" s="1992"/>
      <c r="AE140" s="1992"/>
      <c r="AF140" s="1992"/>
      <c r="AG140" s="1992"/>
      <c r="AH140" s="1974">
        <f t="shared" si="115"/>
        <v>0</v>
      </c>
      <c r="AJ140" s="1524" t="s">
        <v>80</v>
      </c>
      <c r="AK140" s="1527">
        <f t="shared" si="116"/>
        <v>0</v>
      </c>
      <c r="AL140" s="1872"/>
      <c r="AM140" s="1875"/>
      <c r="AN140" s="1872"/>
      <c r="AO140" s="1872"/>
      <c r="AP140" s="1872"/>
      <c r="AQ140" s="1872"/>
      <c r="AR140" s="1872"/>
      <c r="AS140" s="1872"/>
      <c r="AT140" s="1872"/>
      <c r="AU140" s="1872"/>
      <c r="AV140" s="1872"/>
      <c r="AW140" s="1872"/>
      <c r="AX140" s="1872"/>
      <c r="AY140" s="1872"/>
      <c r="AZ140" s="1872"/>
      <c r="BA140" s="1872"/>
      <c r="BB140" s="1872"/>
      <c r="BC140" s="1872"/>
      <c r="BD140" s="1872"/>
      <c r="BE140" s="1872"/>
      <c r="BF140" s="1875"/>
      <c r="BG140" s="1872"/>
      <c r="BH140" s="1872"/>
      <c r="BI140" s="1872"/>
      <c r="BJ140" s="1872"/>
      <c r="BK140" s="1872"/>
      <c r="BL140" s="1872"/>
      <c r="BM140" s="1872"/>
      <c r="BN140" s="1872"/>
      <c r="BO140" s="1872"/>
      <c r="BP140" s="1872"/>
      <c r="BQ140" s="1834">
        <f t="shared" si="117"/>
        <v>0</v>
      </c>
      <c r="BS140" s="1621" t="s">
        <v>80</v>
      </c>
      <c r="BT140" s="1622">
        <f t="shared" si="118"/>
        <v>0</v>
      </c>
      <c r="BU140" s="1871"/>
      <c r="BV140" s="1874"/>
      <c r="BW140" s="1871"/>
      <c r="BX140" s="1871"/>
      <c r="BY140" s="1871"/>
      <c r="BZ140" s="1871"/>
      <c r="CA140" s="1871"/>
      <c r="CB140" s="1871"/>
      <c r="CC140" s="1871"/>
      <c r="CD140" s="1871"/>
      <c r="CE140" s="1871"/>
      <c r="CF140" s="1871"/>
      <c r="CG140" s="1871"/>
      <c r="CH140" s="1871"/>
      <c r="CI140" s="1871"/>
      <c r="CJ140" s="1871"/>
      <c r="CK140" s="1871"/>
      <c r="CL140" s="1871"/>
      <c r="CM140" s="1871"/>
      <c r="CN140" s="1871"/>
      <c r="CO140" s="1871"/>
      <c r="CP140" s="1871"/>
      <c r="CQ140" s="1871"/>
      <c r="CR140" s="1871"/>
      <c r="CS140" s="1871"/>
      <c r="CT140" s="1871"/>
      <c r="CU140" s="1871"/>
      <c r="CV140" s="1871"/>
      <c r="CW140" s="1871"/>
      <c r="CX140" s="1871"/>
      <c r="CY140" s="1871"/>
      <c r="CZ140" s="1826">
        <f t="shared" si="119"/>
        <v>0</v>
      </c>
      <c r="DB140" s="1054" t="s">
        <v>80</v>
      </c>
      <c r="DC140" s="1091">
        <f t="shared" si="120"/>
        <v>0</v>
      </c>
      <c r="DD140" s="1917"/>
      <c r="DE140" s="1918"/>
      <c r="DF140" s="1917"/>
      <c r="DG140" s="1917"/>
      <c r="DH140" s="1917"/>
      <c r="DI140" s="1917"/>
      <c r="DJ140" s="1917"/>
      <c r="DK140" s="1917"/>
      <c r="DL140" s="1917"/>
      <c r="DM140" s="1917"/>
      <c r="DN140" s="1917"/>
      <c r="DO140" s="1917"/>
      <c r="DP140" s="1917"/>
      <c r="DQ140" s="1917"/>
      <c r="DR140" s="1917"/>
      <c r="DS140" s="1917"/>
      <c r="DT140" s="1917"/>
      <c r="DU140" s="1917"/>
      <c r="DV140" s="1917"/>
      <c r="DW140" s="1917"/>
      <c r="DX140" s="1917"/>
      <c r="DY140" s="1917"/>
      <c r="DZ140" s="1917"/>
      <c r="EA140" s="1917"/>
      <c r="EB140" s="1917"/>
      <c r="EC140" s="1917"/>
      <c r="ED140" s="1917"/>
      <c r="EE140" s="1917"/>
      <c r="EF140" s="1917"/>
      <c r="EG140" s="1917"/>
      <c r="EH140" s="1917"/>
      <c r="EI140" s="1268">
        <f t="shared" si="121"/>
        <v>0</v>
      </c>
    </row>
    <row r="141" spans="1:139" ht="15">
      <c r="A141" s="1039" t="s">
        <v>81</v>
      </c>
      <c r="B141" s="1084">
        <f t="shared" si="114"/>
        <v>0</v>
      </c>
      <c r="C141" s="1992"/>
      <c r="D141" s="1992"/>
      <c r="E141" s="1992"/>
      <c r="F141" s="1992"/>
      <c r="G141" s="1992"/>
      <c r="H141" s="1992"/>
      <c r="I141" s="1992"/>
      <c r="J141" s="1992"/>
      <c r="K141" s="1992"/>
      <c r="L141" s="1992"/>
      <c r="M141" s="1992"/>
      <c r="N141" s="1992"/>
      <c r="O141" s="1992"/>
      <c r="P141" s="1992"/>
      <c r="Q141" s="1992"/>
      <c r="R141" s="1992"/>
      <c r="S141" s="1992"/>
      <c r="T141" s="1992"/>
      <c r="U141" s="1992"/>
      <c r="V141" s="1992"/>
      <c r="W141" s="1992"/>
      <c r="X141" s="1992"/>
      <c r="Y141" s="1992"/>
      <c r="Z141" s="1992"/>
      <c r="AA141" s="1992"/>
      <c r="AB141" s="1992"/>
      <c r="AC141" s="1992"/>
      <c r="AD141" s="1992"/>
      <c r="AE141" s="1992"/>
      <c r="AF141" s="1992"/>
      <c r="AG141" s="1992"/>
      <c r="AH141" s="1974">
        <f t="shared" si="115"/>
        <v>0</v>
      </c>
      <c r="AJ141" s="1524" t="s">
        <v>81</v>
      </c>
      <c r="AK141" s="1527">
        <f t="shared" si="116"/>
        <v>0</v>
      </c>
      <c r="AL141" s="1872"/>
      <c r="AM141" s="1872"/>
      <c r="AN141" s="1872"/>
      <c r="AO141" s="1872"/>
      <c r="AP141" s="1872"/>
      <c r="AQ141" s="1872"/>
      <c r="AR141" s="1872"/>
      <c r="AS141" s="1872"/>
      <c r="AT141" s="1872"/>
      <c r="AU141" s="1872"/>
      <c r="AV141" s="1872"/>
      <c r="AW141" s="1872"/>
      <c r="AX141" s="1872"/>
      <c r="AY141" s="1872"/>
      <c r="AZ141" s="1872"/>
      <c r="BA141" s="1872"/>
      <c r="BB141" s="1872"/>
      <c r="BC141" s="1872"/>
      <c r="BD141" s="1872"/>
      <c r="BE141" s="1872"/>
      <c r="BF141" s="1872"/>
      <c r="BG141" s="1872"/>
      <c r="BH141" s="1872"/>
      <c r="BI141" s="1872"/>
      <c r="BJ141" s="1872"/>
      <c r="BK141" s="1872"/>
      <c r="BL141" s="1872"/>
      <c r="BM141" s="1872"/>
      <c r="BN141" s="1872"/>
      <c r="BO141" s="1872"/>
      <c r="BP141" s="1872"/>
      <c r="BQ141" s="1834">
        <f t="shared" si="117"/>
        <v>0</v>
      </c>
      <c r="BS141" s="1621" t="s">
        <v>81</v>
      </c>
      <c r="BT141" s="1622">
        <f t="shared" si="118"/>
        <v>0</v>
      </c>
      <c r="BU141" s="1871"/>
      <c r="BV141" s="1871"/>
      <c r="BW141" s="1871"/>
      <c r="BX141" s="1871"/>
      <c r="BY141" s="1871"/>
      <c r="BZ141" s="1871"/>
      <c r="CA141" s="1871"/>
      <c r="CB141" s="1871"/>
      <c r="CC141" s="1871"/>
      <c r="CD141" s="1871"/>
      <c r="CE141" s="1871"/>
      <c r="CF141" s="1871"/>
      <c r="CG141" s="1871"/>
      <c r="CH141" s="1871"/>
      <c r="CI141" s="1871"/>
      <c r="CJ141" s="1871"/>
      <c r="CK141" s="1871"/>
      <c r="CL141" s="1871"/>
      <c r="CM141" s="1871"/>
      <c r="CN141" s="1871"/>
      <c r="CO141" s="1871"/>
      <c r="CP141" s="1871"/>
      <c r="CQ141" s="1871"/>
      <c r="CR141" s="1871"/>
      <c r="CS141" s="1871"/>
      <c r="CT141" s="1871"/>
      <c r="CU141" s="1871"/>
      <c r="CV141" s="1871"/>
      <c r="CW141" s="1871"/>
      <c r="CX141" s="1871"/>
      <c r="CY141" s="1871"/>
      <c r="CZ141" s="1826">
        <f t="shared" si="119"/>
        <v>0</v>
      </c>
      <c r="DB141" s="1054" t="s">
        <v>81</v>
      </c>
      <c r="DC141" s="1091">
        <f t="shared" si="120"/>
        <v>0</v>
      </c>
      <c r="DD141" s="1917"/>
      <c r="DE141" s="1917"/>
      <c r="DF141" s="1917"/>
      <c r="DG141" s="1917"/>
      <c r="DH141" s="1917"/>
      <c r="DI141" s="1917"/>
      <c r="DJ141" s="1917"/>
      <c r="DK141" s="1917"/>
      <c r="DL141" s="1917"/>
      <c r="DM141" s="1917"/>
      <c r="DN141" s="1917"/>
      <c r="DO141" s="1917"/>
      <c r="DP141" s="1917"/>
      <c r="DQ141" s="1917"/>
      <c r="DR141" s="1917"/>
      <c r="DS141" s="1917"/>
      <c r="DT141" s="1917"/>
      <c r="DU141" s="1917"/>
      <c r="DV141" s="1917"/>
      <c r="DW141" s="1917"/>
      <c r="DX141" s="1917"/>
      <c r="DY141" s="1917"/>
      <c r="DZ141" s="1917"/>
      <c r="EA141" s="1917"/>
      <c r="EB141" s="1917"/>
      <c r="EC141" s="1917"/>
      <c r="ED141" s="1917"/>
      <c r="EE141" s="1917"/>
      <c r="EF141" s="1917"/>
      <c r="EG141" s="1917"/>
      <c r="EH141" s="1917"/>
      <c r="EI141" s="1268">
        <f t="shared" si="121"/>
        <v>0</v>
      </c>
    </row>
    <row r="142" spans="1:139" ht="15">
      <c r="A142" s="1039" t="s">
        <v>82</v>
      </c>
      <c r="B142" s="1084">
        <f t="shared" si="114"/>
        <v>0</v>
      </c>
      <c r="C142" s="1992"/>
      <c r="D142" s="1992"/>
      <c r="E142" s="1992"/>
      <c r="F142" s="1992"/>
      <c r="G142" s="1992"/>
      <c r="H142" s="1992"/>
      <c r="I142" s="1992"/>
      <c r="J142" s="1992"/>
      <c r="K142" s="1992"/>
      <c r="L142" s="1992"/>
      <c r="M142" s="1992"/>
      <c r="N142" s="1992"/>
      <c r="O142" s="1992"/>
      <c r="P142" s="1992"/>
      <c r="Q142" s="1992"/>
      <c r="R142" s="1992"/>
      <c r="S142" s="1992"/>
      <c r="T142" s="1992"/>
      <c r="U142" s="1992"/>
      <c r="V142" s="1992"/>
      <c r="W142" s="1992"/>
      <c r="X142" s="1992"/>
      <c r="Y142" s="1992"/>
      <c r="Z142" s="1992"/>
      <c r="AA142" s="1992"/>
      <c r="AB142" s="1992"/>
      <c r="AC142" s="1992"/>
      <c r="AD142" s="1992"/>
      <c r="AE142" s="1992"/>
      <c r="AF142" s="1992"/>
      <c r="AG142" s="1992"/>
      <c r="AH142" s="1974">
        <f t="shared" si="115"/>
        <v>0</v>
      </c>
      <c r="AJ142" s="1524" t="s">
        <v>82</v>
      </c>
      <c r="AK142" s="1527">
        <f t="shared" si="116"/>
        <v>0</v>
      </c>
      <c r="AL142" s="1872"/>
      <c r="AM142" s="1872"/>
      <c r="AN142" s="1872"/>
      <c r="AO142" s="1872"/>
      <c r="AP142" s="1872"/>
      <c r="AQ142" s="1872"/>
      <c r="AR142" s="1872"/>
      <c r="AS142" s="1872"/>
      <c r="AT142" s="1872"/>
      <c r="AU142" s="1872"/>
      <c r="AV142" s="1872"/>
      <c r="AW142" s="1872"/>
      <c r="AX142" s="1872"/>
      <c r="AY142" s="1872"/>
      <c r="AZ142" s="1872"/>
      <c r="BA142" s="1872"/>
      <c r="BB142" s="1872"/>
      <c r="BC142" s="1872"/>
      <c r="BD142" s="1872"/>
      <c r="BE142" s="1872"/>
      <c r="BF142" s="1872"/>
      <c r="BG142" s="1872"/>
      <c r="BH142" s="1872"/>
      <c r="BI142" s="1872"/>
      <c r="BJ142" s="1872"/>
      <c r="BK142" s="1872"/>
      <c r="BL142" s="1872"/>
      <c r="BM142" s="1872"/>
      <c r="BN142" s="1872"/>
      <c r="BO142" s="1872"/>
      <c r="BP142" s="1872"/>
      <c r="BQ142" s="1834">
        <f t="shared" si="117"/>
        <v>0</v>
      </c>
      <c r="BS142" s="1621" t="s">
        <v>82</v>
      </c>
      <c r="BT142" s="1622">
        <f t="shared" si="118"/>
        <v>0</v>
      </c>
      <c r="BU142" s="1871"/>
      <c r="BV142" s="1871"/>
      <c r="BW142" s="1871"/>
      <c r="BX142" s="1871"/>
      <c r="BY142" s="1871"/>
      <c r="BZ142" s="1871"/>
      <c r="CA142" s="1871"/>
      <c r="CB142" s="1871"/>
      <c r="CC142" s="1871"/>
      <c r="CD142" s="1871"/>
      <c r="CE142" s="1871"/>
      <c r="CF142" s="1871"/>
      <c r="CG142" s="1871"/>
      <c r="CH142" s="1871"/>
      <c r="CI142" s="1871"/>
      <c r="CJ142" s="1871"/>
      <c r="CK142" s="1871"/>
      <c r="CL142" s="1871"/>
      <c r="CM142" s="1871"/>
      <c r="CN142" s="1871"/>
      <c r="CO142" s="1871"/>
      <c r="CP142" s="1871"/>
      <c r="CQ142" s="1871"/>
      <c r="CR142" s="1871"/>
      <c r="CS142" s="1871"/>
      <c r="CT142" s="1871"/>
      <c r="CU142" s="1871"/>
      <c r="CV142" s="1871"/>
      <c r="CW142" s="1871"/>
      <c r="CX142" s="1871"/>
      <c r="CY142" s="1871"/>
      <c r="CZ142" s="1826">
        <f t="shared" si="119"/>
        <v>0</v>
      </c>
      <c r="DB142" s="1054" t="s">
        <v>82</v>
      </c>
      <c r="DC142" s="1091">
        <f t="shared" si="120"/>
        <v>0</v>
      </c>
      <c r="DD142" s="1917"/>
      <c r="DE142" s="1917"/>
      <c r="DF142" s="1917"/>
      <c r="DG142" s="1917"/>
      <c r="DH142" s="1917"/>
      <c r="DI142" s="1917"/>
      <c r="DJ142" s="1917"/>
      <c r="DK142" s="1917"/>
      <c r="DL142" s="1917"/>
      <c r="DM142" s="1917"/>
      <c r="DN142" s="1917"/>
      <c r="DO142" s="1917"/>
      <c r="DP142" s="1917"/>
      <c r="DQ142" s="1917"/>
      <c r="DR142" s="1917"/>
      <c r="DS142" s="1917"/>
      <c r="DT142" s="1917"/>
      <c r="DU142" s="1917"/>
      <c r="DV142" s="1917"/>
      <c r="DW142" s="1917"/>
      <c r="DX142" s="1917"/>
      <c r="DY142" s="1917"/>
      <c r="DZ142" s="1917"/>
      <c r="EA142" s="1917"/>
      <c r="EB142" s="1917"/>
      <c r="EC142" s="1917"/>
      <c r="ED142" s="1917"/>
      <c r="EE142" s="1917"/>
      <c r="EF142" s="1917"/>
      <c r="EG142" s="1917"/>
      <c r="EH142" s="1917"/>
      <c r="EI142" s="1268">
        <f t="shared" si="121"/>
        <v>0</v>
      </c>
    </row>
    <row r="143" spans="1:139" ht="15">
      <c r="A143" s="1039" t="s">
        <v>83</v>
      </c>
      <c r="B143" s="1084">
        <f t="shared" si="114"/>
        <v>0</v>
      </c>
      <c r="C143" s="1992"/>
      <c r="D143" s="1992"/>
      <c r="E143" s="1992"/>
      <c r="F143" s="1992"/>
      <c r="G143" s="1992"/>
      <c r="H143" s="1992"/>
      <c r="I143" s="1992"/>
      <c r="J143" s="1992"/>
      <c r="K143" s="1992"/>
      <c r="L143" s="1992"/>
      <c r="M143" s="1992"/>
      <c r="N143" s="1992"/>
      <c r="O143" s="1992"/>
      <c r="P143" s="1992"/>
      <c r="Q143" s="1992"/>
      <c r="R143" s="1992"/>
      <c r="S143" s="1992"/>
      <c r="T143" s="1992"/>
      <c r="U143" s="1992"/>
      <c r="V143" s="1992"/>
      <c r="W143" s="1992"/>
      <c r="X143" s="1992"/>
      <c r="Y143" s="1992"/>
      <c r="Z143" s="1992"/>
      <c r="AA143" s="1992"/>
      <c r="AB143" s="1992"/>
      <c r="AC143" s="1992"/>
      <c r="AD143" s="1992"/>
      <c r="AE143" s="1992"/>
      <c r="AF143" s="1992"/>
      <c r="AG143" s="1993"/>
      <c r="AH143" s="1974">
        <f t="shared" si="115"/>
        <v>0</v>
      </c>
      <c r="AJ143" s="1524" t="s">
        <v>83</v>
      </c>
      <c r="AK143" s="1527">
        <f t="shared" si="116"/>
        <v>0</v>
      </c>
      <c r="AL143" s="1872"/>
      <c r="AM143" s="1872"/>
      <c r="AN143" s="1872"/>
      <c r="AO143" s="1872"/>
      <c r="AP143" s="1872"/>
      <c r="AQ143" s="1872"/>
      <c r="AR143" s="1872"/>
      <c r="AS143" s="1872"/>
      <c r="AT143" s="1872"/>
      <c r="AU143" s="1872"/>
      <c r="AV143" s="1872"/>
      <c r="AW143" s="1872"/>
      <c r="AX143" s="1872"/>
      <c r="AY143" s="1872"/>
      <c r="AZ143" s="1872"/>
      <c r="BA143" s="1872"/>
      <c r="BB143" s="1872"/>
      <c r="BC143" s="1872"/>
      <c r="BD143" s="1872"/>
      <c r="BE143" s="1872"/>
      <c r="BF143" s="1872"/>
      <c r="BG143" s="1872"/>
      <c r="BH143" s="1872"/>
      <c r="BI143" s="1872"/>
      <c r="BJ143" s="1872"/>
      <c r="BK143" s="1872"/>
      <c r="BL143" s="1872"/>
      <c r="BM143" s="1872"/>
      <c r="BN143" s="1872"/>
      <c r="BO143" s="1872"/>
      <c r="BP143" s="1872"/>
      <c r="BQ143" s="1834">
        <f t="shared" si="117"/>
        <v>0</v>
      </c>
      <c r="BS143" s="1621" t="s">
        <v>83</v>
      </c>
      <c r="BT143" s="1622">
        <f t="shared" si="118"/>
        <v>0</v>
      </c>
      <c r="BU143" s="1871"/>
      <c r="BV143" s="1871"/>
      <c r="BW143" s="1871"/>
      <c r="BX143" s="1871"/>
      <c r="BY143" s="1871"/>
      <c r="BZ143" s="1871"/>
      <c r="CA143" s="1871"/>
      <c r="CB143" s="1871"/>
      <c r="CC143" s="1871"/>
      <c r="CD143" s="1871"/>
      <c r="CE143" s="1871"/>
      <c r="CF143" s="1871"/>
      <c r="CG143" s="1871"/>
      <c r="CH143" s="1871"/>
      <c r="CI143" s="1871"/>
      <c r="CJ143" s="1871"/>
      <c r="CK143" s="1871"/>
      <c r="CL143" s="1871"/>
      <c r="CM143" s="1871"/>
      <c r="CN143" s="1871"/>
      <c r="CO143" s="1871"/>
      <c r="CP143" s="1871"/>
      <c r="CQ143" s="1871"/>
      <c r="CR143" s="1871"/>
      <c r="CS143" s="1871"/>
      <c r="CT143" s="1871"/>
      <c r="CU143" s="1871"/>
      <c r="CV143" s="1871"/>
      <c r="CW143" s="1871"/>
      <c r="CX143" s="1871"/>
      <c r="CY143" s="1876"/>
      <c r="CZ143" s="1826">
        <f t="shared" si="119"/>
        <v>0</v>
      </c>
      <c r="DB143" s="1054" t="s">
        <v>83</v>
      </c>
      <c r="DC143" s="1091">
        <f t="shared" si="120"/>
        <v>0</v>
      </c>
      <c r="DD143" s="1917"/>
      <c r="DE143" s="1917"/>
      <c r="DF143" s="1917"/>
      <c r="DG143" s="1917"/>
      <c r="DH143" s="1917"/>
      <c r="DI143" s="1917"/>
      <c r="DJ143" s="1917"/>
      <c r="DK143" s="1917"/>
      <c r="DL143" s="1917"/>
      <c r="DM143" s="1917"/>
      <c r="DN143" s="1917"/>
      <c r="DO143" s="1917"/>
      <c r="DP143" s="1917"/>
      <c r="DQ143" s="1917"/>
      <c r="DR143" s="1917"/>
      <c r="DS143" s="1917"/>
      <c r="DT143" s="1917"/>
      <c r="DU143" s="1917"/>
      <c r="DV143" s="1917"/>
      <c r="DW143" s="1917"/>
      <c r="DX143" s="1917"/>
      <c r="DY143" s="1917"/>
      <c r="DZ143" s="1917"/>
      <c r="EA143" s="1917"/>
      <c r="EB143" s="1917"/>
      <c r="EC143" s="1917"/>
      <c r="ED143" s="1917"/>
      <c r="EE143" s="1917"/>
      <c r="EF143" s="1917"/>
      <c r="EG143" s="1917"/>
      <c r="EH143" s="1538"/>
      <c r="EI143" s="1268">
        <f t="shared" si="121"/>
        <v>0</v>
      </c>
    </row>
    <row r="144" spans="1:139" ht="15">
      <c r="A144" s="1039" t="s">
        <v>84</v>
      </c>
      <c r="B144" s="1084">
        <f t="shared" si="114"/>
        <v>0</v>
      </c>
      <c r="C144" s="1992"/>
      <c r="D144" s="1992"/>
      <c r="E144" s="1992"/>
      <c r="F144" s="1992"/>
      <c r="G144" s="1992"/>
      <c r="H144" s="1992"/>
      <c r="I144" s="1992"/>
      <c r="J144" s="1992"/>
      <c r="K144" s="1992"/>
      <c r="L144" s="1992"/>
      <c r="M144" s="1992"/>
      <c r="N144" s="1992"/>
      <c r="O144" s="1992"/>
      <c r="P144" s="1992"/>
      <c r="Q144" s="1992"/>
      <c r="R144" s="1992"/>
      <c r="S144" s="1992"/>
      <c r="T144" s="1992"/>
      <c r="U144" s="1992"/>
      <c r="V144" s="1992"/>
      <c r="W144" s="1992"/>
      <c r="X144" s="1992"/>
      <c r="Y144" s="1992"/>
      <c r="Z144" s="1992"/>
      <c r="AA144" s="1992"/>
      <c r="AB144" s="1992"/>
      <c r="AC144" s="1992"/>
      <c r="AD144" s="1992"/>
      <c r="AE144" s="1992"/>
      <c r="AF144" s="1992"/>
      <c r="AG144" s="1992"/>
      <c r="AH144" s="1974">
        <f t="shared" si="115"/>
        <v>0</v>
      </c>
      <c r="AJ144" s="1524" t="s">
        <v>84</v>
      </c>
      <c r="AK144" s="1527">
        <f t="shared" si="116"/>
        <v>0</v>
      </c>
      <c r="AL144" s="1872"/>
      <c r="AM144" s="1872"/>
      <c r="AN144" s="1872"/>
      <c r="AO144" s="1872"/>
      <c r="AP144" s="1872"/>
      <c r="AQ144" s="1872"/>
      <c r="AR144" s="1872"/>
      <c r="AS144" s="1872"/>
      <c r="AT144" s="1872"/>
      <c r="AU144" s="1872"/>
      <c r="AV144" s="1872"/>
      <c r="AW144" s="1872"/>
      <c r="AX144" s="1872"/>
      <c r="AY144" s="1872"/>
      <c r="AZ144" s="1872"/>
      <c r="BA144" s="1872"/>
      <c r="BB144" s="1872"/>
      <c r="BC144" s="1872"/>
      <c r="BD144" s="1872"/>
      <c r="BE144" s="1872"/>
      <c r="BF144" s="1872"/>
      <c r="BG144" s="1872"/>
      <c r="BH144" s="1872"/>
      <c r="BI144" s="1872"/>
      <c r="BJ144" s="1872"/>
      <c r="BK144" s="1872"/>
      <c r="BL144" s="1872"/>
      <c r="BM144" s="1872"/>
      <c r="BN144" s="1872"/>
      <c r="BO144" s="1872"/>
      <c r="BP144" s="1872"/>
      <c r="BQ144" s="1834">
        <f t="shared" si="117"/>
        <v>0</v>
      </c>
      <c r="BS144" s="1621" t="s">
        <v>84</v>
      </c>
      <c r="BT144" s="1622">
        <f t="shared" si="118"/>
        <v>0</v>
      </c>
      <c r="BU144" s="1871"/>
      <c r="BV144" s="1871"/>
      <c r="BW144" s="1871"/>
      <c r="BX144" s="1871"/>
      <c r="BY144" s="1871"/>
      <c r="BZ144" s="1871"/>
      <c r="CA144" s="1871"/>
      <c r="CB144" s="1871"/>
      <c r="CC144" s="1871"/>
      <c r="CD144" s="1871"/>
      <c r="CE144" s="1871"/>
      <c r="CF144" s="1871"/>
      <c r="CG144" s="1871"/>
      <c r="CH144" s="1871"/>
      <c r="CI144" s="1871"/>
      <c r="CJ144" s="1871"/>
      <c r="CK144" s="1871"/>
      <c r="CL144" s="1871"/>
      <c r="CM144" s="1871"/>
      <c r="CN144" s="1871"/>
      <c r="CO144" s="1871"/>
      <c r="CP144" s="1871"/>
      <c r="CQ144" s="1871"/>
      <c r="CR144" s="1871"/>
      <c r="CS144" s="1871"/>
      <c r="CT144" s="1871"/>
      <c r="CU144" s="1871"/>
      <c r="CV144" s="1871"/>
      <c r="CW144" s="1871"/>
      <c r="CX144" s="1871"/>
      <c r="CY144" s="1871"/>
      <c r="CZ144" s="1826">
        <f t="shared" si="119"/>
        <v>0</v>
      </c>
      <c r="DB144" s="1054" t="s">
        <v>84</v>
      </c>
      <c r="DC144" s="1091">
        <f t="shared" si="120"/>
        <v>0</v>
      </c>
      <c r="DD144" s="1917"/>
      <c r="DE144" s="1917"/>
      <c r="DF144" s="1917"/>
      <c r="DG144" s="1917"/>
      <c r="DH144" s="1917"/>
      <c r="DI144" s="1917"/>
      <c r="DJ144" s="1917"/>
      <c r="DK144" s="1917"/>
      <c r="DL144" s="1917"/>
      <c r="DM144" s="1917"/>
      <c r="DN144" s="1917"/>
      <c r="DO144" s="1917"/>
      <c r="DP144" s="1917"/>
      <c r="DQ144" s="1917"/>
      <c r="DR144" s="1917"/>
      <c r="DS144" s="1917"/>
      <c r="DT144" s="1917"/>
      <c r="DU144" s="1917"/>
      <c r="DV144" s="1917"/>
      <c r="DW144" s="1917"/>
      <c r="DX144" s="1917"/>
      <c r="DY144" s="1917"/>
      <c r="DZ144" s="1917"/>
      <c r="EA144" s="1917"/>
      <c r="EB144" s="1917"/>
      <c r="EC144" s="1917"/>
      <c r="ED144" s="1917"/>
      <c r="EE144" s="1917"/>
      <c r="EF144" s="1917"/>
      <c r="EG144" s="1917"/>
      <c r="EH144" s="1917"/>
      <c r="EI144" s="1268">
        <f t="shared" si="121"/>
        <v>0</v>
      </c>
    </row>
    <row r="145" spans="1:139" ht="15">
      <c r="A145" s="1988" t="s">
        <v>72</v>
      </c>
      <c r="B145" s="1995">
        <f t="shared" ref="B145:AH145" si="122">SUM(B133:B144)</f>
        <v>0</v>
      </c>
      <c r="C145" s="1974">
        <f t="shared" si="122"/>
        <v>0</v>
      </c>
      <c r="D145" s="1974">
        <f t="shared" si="122"/>
        <v>0</v>
      </c>
      <c r="E145" s="1974">
        <f t="shared" si="122"/>
        <v>0</v>
      </c>
      <c r="F145" s="1974">
        <f t="shared" si="122"/>
        <v>0</v>
      </c>
      <c r="G145" s="1974">
        <f t="shared" si="122"/>
        <v>0</v>
      </c>
      <c r="H145" s="1974">
        <f t="shared" si="122"/>
        <v>0</v>
      </c>
      <c r="I145" s="1974">
        <f t="shared" si="122"/>
        <v>0</v>
      </c>
      <c r="J145" s="1974">
        <f t="shared" si="122"/>
        <v>0</v>
      </c>
      <c r="K145" s="1974">
        <f t="shared" si="122"/>
        <v>0</v>
      </c>
      <c r="L145" s="1974">
        <f t="shared" si="122"/>
        <v>0</v>
      </c>
      <c r="M145" s="1974">
        <f t="shared" si="122"/>
        <v>0</v>
      </c>
      <c r="N145" s="1974">
        <f t="shared" si="122"/>
        <v>0</v>
      </c>
      <c r="O145" s="1974">
        <f t="shared" si="122"/>
        <v>0</v>
      </c>
      <c r="P145" s="1974">
        <f t="shared" si="122"/>
        <v>0</v>
      </c>
      <c r="Q145" s="1974">
        <f t="shared" si="122"/>
        <v>0</v>
      </c>
      <c r="R145" s="1974">
        <f t="shared" si="122"/>
        <v>0</v>
      </c>
      <c r="S145" s="1974">
        <f t="shared" si="122"/>
        <v>0</v>
      </c>
      <c r="T145" s="1974">
        <f t="shared" si="122"/>
        <v>0</v>
      </c>
      <c r="U145" s="1974">
        <f t="shared" si="122"/>
        <v>0</v>
      </c>
      <c r="V145" s="1974">
        <f t="shared" si="122"/>
        <v>0</v>
      </c>
      <c r="W145" s="1974">
        <f t="shared" si="122"/>
        <v>0</v>
      </c>
      <c r="X145" s="1974">
        <f t="shared" si="122"/>
        <v>0</v>
      </c>
      <c r="Y145" s="1974">
        <f t="shared" si="122"/>
        <v>0</v>
      </c>
      <c r="Z145" s="1974">
        <f t="shared" si="122"/>
        <v>0</v>
      </c>
      <c r="AA145" s="1974">
        <f t="shared" si="122"/>
        <v>0</v>
      </c>
      <c r="AB145" s="1974">
        <f t="shared" si="122"/>
        <v>0</v>
      </c>
      <c r="AC145" s="1974">
        <f t="shared" si="122"/>
        <v>0</v>
      </c>
      <c r="AD145" s="1974">
        <f t="shared" si="122"/>
        <v>0</v>
      </c>
      <c r="AE145" s="1974">
        <f t="shared" si="122"/>
        <v>0</v>
      </c>
      <c r="AF145" s="1974">
        <f t="shared" si="122"/>
        <v>0</v>
      </c>
      <c r="AG145" s="1974">
        <f t="shared" si="122"/>
        <v>0</v>
      </c>
      <c r="AH145" s="1974">
        <f t="shared" si="122"/>
        <v>0</v>
      </c>
      <c r="AJ145" s="1837" t="s">
        <v>72</v>
      </c>
      <c r="AK145" s="1906">
        <f t="shared" ref="AK145:BQ145" si="123">SUM(AK133:AK144)</f>
        <v>0</v>
      </c>
      <c r="AL145" s="1834">
        <f t="shared" si="123"/>
        <v>0</v>
      </c>
      <c r="AM145" s="1834">
        <f t="shared" si="123"/>
        <v>0</v>
      </c>
      <c r="AN145" s="1834">
        <f t="shared" si="123"/>
        <v>0</v>
      </c>
      <c r="AO145" s="1834">
        <f t="shared" si="123"/>
        <v>0</v>
      </c>
      <c r="AP145" s="1834">
        <f t="shared" si="123"/>
        <v>0</v>
      </c>
      <c r="AQ145" s="1834">
        <f t="shared" si="123"/>
        <v>0</v>
      </c>
      <c r="AR145" s="1834">
        <f t="shared" si="123"/>
        <v>0</v>
      </c>
      <c r="AS145" s="1834">
        <f t="shared" si="123"/>
        <v>0</v>
      </c>
      <c r="AT145" s="1834">
        <f t="shared" si="123"/>
        <v>0</v>
      </c>
      <c r="AU145" s="1834">
        <f t="shared" si="123"/>
        <v>0</v>
      </c>
      <c r="AV145" s="1834">
        <f t="shared" si="123"/>
        <v>0</v>
      </c>
      <c r="AW145" s="1834">
        <f t="shared" si="123"/>
        <v>0</v>
      </c>
      <c r="AX145" s="1834">
        <f t="shared" si="123"/>
        <v>0</v>
      </c>
      <c r="AY145" s="1834">
        <f t="shared" si="123"/>
        <v>0</v>
      </c>
      <c r="AZ145" s="1834">
        <f t="shared" si="123"/>
        <v>0</v>
      </c>
      <c r="BA145" s="1834">
        <f t="shared" si="123"/>
        <v>0</v>
      </c>
      <c r="BB145" s="1834">
        <f t="shared" si="123"/>
        <v>0</v>
      </c>
      <c r="BC145" s="1834">
        <f t="shared" si="123"/>
        <v>0</v>
      </c>
      <c r="BD145" s="1834">
        <f t="shared" si="123"/>
        <v>0</v>
      </c>
      <c r="BE145" s="1834">
        <f t="shared" si="123"/>
        <v>0</v>
      </c>
      <c r="BF145" s="1834">
        <f t="shared" si="123"/>
        <v>0</v>
      </c>
      <c r="BG145" s="1834">
        <f t="shared" si="123"/>
        <v>0</v>
      </c>
      <c r="BH145" s="1834">
        <f t="shared" si="123"/>
        <v>0</v>
      </c>
      <c r="BI145" s="1834">
        <f t="shared" si="123"/>
        <v>0</v>
      </c>
      <c r="BJ145" s="1834">
        <f t="shared" si="123"/>
        <v>0</v>
      </c>
      <c r="BK145" s="1834">
        <f t="shared" si="123"/>
        <v>0</v>
      </c>
      <c r="BL145" s="1834">
        <f t="shared" si="123"/>
        <v>0</v>
      </c>
      <c r="BM145" s="1834">
        <f t="shared" si="123"/>
        <v>0</v>
      </c>
      <c r="BN145" s="1834">
        <f t="shared" si="123"/>
        <v>0</v>
      </c>
      <c r="BO145" s="1834">
        <f t="shared" si="123"/>
        <v>0</v>
      </c>
      <c r="BP145" s="1834">
        <f t="shared" si="123"/>
        <v>0</v>
      </c>
      <c r="BQ145" s="1834">
        <f t="shared" si="123"/>
        <v>0</v>
      </c>
      <c r="BS145" s="1829" t="s">
        <v>72</v>
      </c>
      <c r="BT145" s="1905">
        <f t="shared" ref="BT145:CZ145" si="124">SUM(BT133:BT144)</f>
        <v>0</v>
      </c>
      <c r="BU145" s="1826">
        <f t="shared" si="124"/>
        <v>0</v>
      </c>
      <c r="BV145" s="1826">
        <f t="shared" si="124"/>
        <v>0</v>
      </c>
      <c r="BW145" s="1826">
        <f t="shared" si="124"/>
        <v>0</v>
      </c>
      <c r="BX145" s="1826">
        <f t="shared" si="124"/>
        <v>0</v>
      </c>
      <c r="BY145" s="1826">
        <f t="shared" si="124"/>
        <v>0</v>
      </c>
      <c r="BZ145" s="1826">
        <f t="shared" si="124"/>
        <v>0</v>
      </c>
      <c r="CA145" s="1826">
        <f t="shared" si="124"/>
        <v>0</v>
      </c>
      <c r="CB145" s="1826">
        <f t="shared" si="124"/>
        <v>0</v>
      </c>
      <c r="CC145" s="1826">
        <f t="shared" si="124"/>
        <v>0</v>
      </c>
      <c r="CD145" s="1826">
        <f t="shared" si="124"/>
        <v>0</v>
      </c>
      <c r="CE145" s="1826">
        <f t="shared" si="124"/>
        <v>0</v>
      </c>
      <c r="CF145" s="1826">
        <f t="shared" si="124"/>
        <v>0</v>
      </c>
      <c r="CG145" s="1826">
        <f t="shared" si="124"/>
        <v>0</v>
      </c>
      <c r="CH145" s="1826">
        <f t="shared" si="124"/>
        <v>0</v>
      </c>
      <c r="CI145" s="1826">
        <f t="shared" si="124"/>
        <v>0</v>
      </c>
      <c r="CJ145" s="1826">
        <f t="shared" si="124"/>
        <v>0</v>
      </c>
      <c r="CK145" s="1826">
        <f t="shared" si="124"/>
        <v>0</v>
      </c>
      <c r="CL145" s="1826">
        <f t="shared" si="124"/>
        <v>0</v>
      </c>
      <c r="CM145" s="1826">
        <f t="shared" si="124"/>
        <v>0</v>
      </c>
      <c r="CN145" s="1826">
        <f t="shared" si="124"/>
        <v>0</v>
      </c>
      <c r="CO145" s="1826">
        <f t="shared" si="124"/>
        <v>0</v>
      </c>
      <c r="CP145" s="1826">
        <f t="shared" si="124"/>
        <v>0</v>
      </c>
      <c r="CQ145" s="1826">
        <f t="shared" si="124"/>
        <v>0</v>
      </c>
      <c r="CR145" s="1826">
        <f t="shared" si="124"/>
        <v>0</v>
      </c>
      <c r="CS145" s="1826">
        <f t="shared" si="124"/>
        <v>0</v>
      </c>
      <c r="CT145" s="1826">
        <f t="shared" si="124"/>
        <v>0</v>
      </c>
      <c r="CU145" s="1826">
        <f t="shared" si="124"/>
        <v>0</v>
      </c>
      <c r="CV145" s="1826">
        <f t="shared" si="124"/>
        <v>0</v>
      </c>
      <c r="CW145" s="1826">
        <f t="shared" si="124"/>
        <v>0</v>
      </c>
      <c r="CX145" s="1826">
        <f t="shared" si="124"/>
        <v>0</v>
      </c>
      <c r="CY145" s="1826">
        <f t="shared" si="124"/>
        <v>0</v>
      </c>
      <c r="CZ145" s="1826">
        <f t="shared" si="124"/>
        <v>0</v>
      </c>
      <c r="DB145" s="1259" t="s">
        <v>72</v>
      </c>
      <c r="DC145" s="1916">
        <f t="shared" ref="DC145:EI145" si="125">SUM(DC133:DC144)</f>
        <v>0</v>
      </c>
      <c r="DD145" s="1268">
        <f t="shared" si="125"/>
        <v>0</v>
      </c>
      <c r="DE145" s="1268">
        <f t="shared" si="125"/>
        <v>0</v>
      </c>
      <c r="DF145" s="1268">
        <f t="shared" si="125"/>
        <v>0</v>
      </c>
      <c r="DG145" s="1268">
        <f t="shared" si="125"/>
        <v>0</v>
      </c>
      <c r="DH145" s="1268">
        <f t="shared" si="125"/>
        <v>0</v>
      </c>
      <c r="DI145" s="1268">
        <f t="shared" si="125"/>
        <v>0</v>
      </c>
      <c r="DJ145" s="1268">
        <f t="shared" si="125"/>
        <v>0</v>
      </c>
      <c r="DK145" s="1268">
        <f t="shared" si="125"/>
        <v>0</v>
      </c>
      <c r="DL145" s="1268">
        <f t="shared" si="125"/>
        <v>0</v>
      </c>
      <c r="DM145" s="1268">
        <f t="shared" si="125"/>
        <v>0</v>
      </c>
      <c r="DN145" s="1268">
        <f t="shared" si="125"/>
        <v>0</v>
      </c>
      <c r="DO145" s="1268">
        <f t="shared" si="125"/>
        <v>0</v>
      </c>
      <c r="DP145" s="1268">
        <f t="shared" si="125"/>
        <v>0</v>
      </c>
      <c r="DQ145" s="1268">
        <f t="shared" si="125"/>
        <v>0</v>
      </c>
      <c r="DR145" s="1268">
        <f t="shared" si="125"/>
        <v>0</v>
      </c>
      <c r="DS145" s="1268">
        <f t="shared" si="125"/>
        <v>0</v>
      </c>
      <c r="DT145" s="1268">
        <f t="shared" si="125"/>
        <v>0</v>
      </c>
      <c r="DU145" s="1268">
        <f t="shared" si="125"/>
        <v>0</v>
      </c>
      <c r="DV145" s="1268">
        <f t="shared" si="125"/>
        <v>0</v>
      </c>
      <c r="DW145" s="1268">
        <f t="shared" si="125"/>
        <v>0</v>
      </c>
      <c r="DX145" s="1268">
        <f t="shared" si="125"/>
        <v>0</v>
      </c>
      <c r="DY145" s="1268">
        <f t="shared" si="125"/>
        <v>0</v>
      </c>
      <c r="DZ145" s="1268">
        <f t="shared" si="125"/>
        <v>0</v>
      </c>
      <c r="EA145" s="1268">
        <f t="shared" si="125"/>
        <v>0</v>
      </c>
      <c r="EB145" s="1268">
        <f t="shared" si="125"/>
        <v>0</v>
      </c>
      <c r="EC145" s="1268">
        <f t="shared" si="125"/>
        <v>0</v>
      </c>
      <c r="ED145" s="1268">
        <f t="shared" si="125"/>
        <v>0</v>
      </c>
      <c r="EE145" s="1268">
        <f t="shared" si="125"/>
        <v>0</v>
      </c>
      <c r="EF145" s="1268">
        <f t="shared" si="125"/>
        <v>0</v>
      </c>
      <c r="EG145" s="1268">
        <f t="shared" si="125"/>
        <v>0</v>
      </c>
      <c r="EH145" s="1268">
        <f t="shared" si="125"/>
        <v>0</v>
      </c>
      <c r="EI145" s="1268">
        <f t="shared" si="125"/>
        <v>0</v>
      </c>
    </row>
    <row r="146" spans="1:139" ht="15">
      <c r="A146" s="1967"/>
      <c r="B146" s="1968"/>
      <c r="C146" s="1969"/>
      <c r="D146" s="1969"/>
      <c r="E146" s="1969"/>
      <c r="F146" s="1969"/>
      <c r="G146" s="1969"/>
      <c r="H146" s="1969"/>
      <c r="I146" s="1969"/>
      <c r="J146" s="1969"/>
      <c r="K146" s="1969"/>
      <c r="L146" s="1969"/>
      <c r="M146" s="1969"/>
      <c r="N146" s="1969"/>
      <c r="O146" s="1969"/>
      <c r="P146" s="1969"/>
      <c r="Q146" s="1969"/>
      <c r="R146" s="1969"/>
      <c r="S146" s="1969"/>
      <c r="T146" s="1969"/>
      <c r="U146" s="1969"/>
      <c r="V146" s="1969"/>
      <c r="W146" s="1969"/>
      <c r="X146" s="1969"/>
      <c r="Y146" s="1969"/>
      <c r="Z146" s="1969"/>
      <c r="AA146" s="1969"/>
      <c r="AB146" s="1969"/>
      <c r="AC146" s="1969"/>
      <c r="AD146" s="1969"/>
      <c r="AE146" s="1969"/>
      <c r="AF146" s="1969"/>
      <c r="AG146" s="1969"/>
      <c r="AH146" s="1969"/>
      <c r="AJ146" s="1903"/>
      <c r="AK146" s="1902"/>
      <c r="AL146" s="1895"/>
      <c r="AM146" s="1895"/>
      <c r="AN146" s="1895"/>
      <c r="AO146" s="1895"/>
      <c r="AP146" s="1895"/>
      <c r="AQ146" s="1895"/>
      <c r="AR146" s="1895"/>
      <c r="AS146" s="1895"/>
      <c r="AT146" s="1895"/>
      <c r="AU146" s="1895"/>
      <c r="AV146" s="1895"/>
      <c r="AW146" s="1895"/>
      <c r="AX146" s="1895"/>
      <c r="AY146" s="1895"/>
      <c r="AZ146" s="1895"/>
      <c r="BA146" s="1895"/>
      <c r="BB146" s="1895"/>
      <c r="BC146" s="1895"/>
      <c r="BD146" s="1895"/>
      <c r="BE146" s="1895"/>
      <c r="BF146" s="1895"/>
      <c r="BG146" s="1895"/>
      <c r="BH146" s="1895"/>
      <c r="BI146" s="1895"/>
      <c r="BJ146" s="1895"/>
      <c r="BK146" s="1895"/>
      <c r="BL146" s="1895"/>
      <c r="BM146" s="1895"/>
      <c r="BN146" s="1895"/>
      <c r="BO146" s="1895"/>
      <c r="BP146" s="1895"/>
      <c r="BQ146" s="1895"/>
      <c r="BS146" s="1901"/>
      <c r="BT146" s="1900"/>
      <c r="BU146" s="1891"/>
      <c r="BV146" s="1891"/>
      <c r="BW146" s="1891"/>
      <c r="BX146" s="1891"/>
      <c r="BY146" s="1891"/>
      <c r="BZ146" s="1891"/>
      <c r="CA146" s="1891"/>
      <c r="CB146" s="1891"/>
      <c r="CC146" s="1891"/>
      <c r="CD146" s="1891"/>
      <c r="CE146" s="1891"/>
      <c r="CF146" s="1891"/>
      <c r="CG146" s="1891"/>
      <c r="CH146" s="1891"/>
      <c r="CI146" s="1891"/>
      <c r="CJ146" s="1891"/>
      <c r="CK146" s="1891"/>
      <c r="CL146" s="1891"/>
      <c r="CM146" s="1891"/>
      <c r="CN146" s="1891"/>
      <c r="CO146" s="1891"/>
      <c r="CP146" s="1891"/>
      <c r="CQ146" s="1891"/>
      <c r="CR146" s="1891"/>
      <c r="CS146" s="1891"/>
      <c r="CT146" s="1891"/>
      <c r="CU146" s="1891"/>
      <c r="CV146" s="1891"/>
      <c r="CW146" s="1891"/>
      <c r="CX146" s="1891"/>
      <c r="CY146" s="1891"/>
      <c r="CZ146" s="1891"/>
      <c r="DB146" s="1768"/>
      <c r="DC146" s="1685"/>
      <c r="DD146" s="1686"/>
      <c r="DE146" s="1686"/>
      <c r="DF146" s="1686"/>
      <c r="DG146" s="1686"/>
      <c r="DH146" s="1686"/>
      <c r="DI146" s="1686"/>
      <c r="DJ146" s="1686"/>
      <c r="DK146" s="1686"/>
      <c r="DL146" s="1686"/>
      <c r="DM146" s="1686"/>
      <c r="DN146" s="1686"/>
      <c r="DO146" s="1686"/>
      <c r="DP146" s="1686"/>
      <c r="DQ146" s="1686"/>
      <c r="DR146" s="1686"/>
      <c r="DS146" s="1686"/>
      <c r="DT146" s="1686"/>
      <c r="DU146" s="1686"/>
      <c r="DV146" s="1686"/>
      <c r="DW146" s="1686"/>
      <c r="DX146" s="1686"/>
      <c r="DY146" s="1686"/>
      <c r="DZ146" s="1686"/>
      <c r="EA146" s="1686"/>
      <c r="EB146" s="1686"/>
      <c r="EC146" s="1686"/>
      <c r="ED146" s="1686"/>
      <c r="EE146" s="1686"/>
      <c r="EF146" s="1686"/>
      <c r="EG146" s="1686"/>
      <c r="EH146" s="1686"/>
      <c r="EI146" s="1686"/>
    </row>
    <row r="147" spans="1:139" ht="15">
      <c r="A147" s="3872" t="s">
        <v>608</v>
      </c>
      <c r="B147" s="3873"/>
      <c r="C147" s="3874"/>
      <c r="D147" s="1970"/>
      <c r="E147" s="1970"/>
      <c r="F147" s="1970"/>
      <c r="G147" s="1970"/>
      <c r="H147" s="1970"/>
      <c r="I147" s="1970"/>
      <c r="J147" s="1970"/>
      <c r="K147" s="1970"/>
      <c r="L147" s="1970"/>
      <c r="M147" s="1971"/>
      <c r="N147" s="1970"/>
      <c r="O147" s="1970"/>
      <c r="P147" s="1970"/>
      <c r="Q147" s="1970"/>
      <c r="R147" s="1970"/>
      <c r="S147" s="1970"/>
      <c r="T147" s="1970"/>
      <c r="U147" s="1970"/>
      <c r="V147" s="1970"/>
      <c r="W147" s="1970"/>
      <c r="X147" s="1970"/>
      <c r="Y147" s="1970"/>
      <c r="Z147" s="1970"/>
      <c r="AA147" s="1970"/>
      <c r="AB147" s="1970"/>
      <c r="AC147" s="1970"/>
      <c r="AD147" s="1970"/>
      <c r="AE147" s="1970"/>
      <c r="AF147" s="1970"/>
      <c r="AG147" s="1970"/>
      <c r="AH147" s="1970"/>
      <c r="AJ147" s="3821" t="s">
        <v>608</v>
      </c>
      <c r="AK147" s="3822"/>
      <c r="AL147" s="3823"/>
      <c r="AM147" s="1839"/>
      <c r="AN147" s="1839"/>
      <c r="AO147" s="1839"/>
      <c r="AP147" s="1839"/>
      <c r="AQ147" s="1839"/>
      <c r="AR147" s="1839"/>
      <c r="AS147" s="1839"/>
      <c r="AT147" s="1839"/>
      <c r="AU147" s="1839"/>
      <c r="AV147" s="1840"/>
      <c r="AW147" s="1839"/>
      <c r="AX147" s="1839"/>
      <c r="AY147" s="1839"/>
      <c r="AZ147" s="1839"/>
      <c r="BA147" s="1839"/>
      <c r="BB147" s="1839"/>
      <c r="BC147" s="1839"/>
      <c r="BD147" s="1839"/>
      <c r="BE147" s="1839"/>
      <c r="BF147" s="1839"/>
      <c r="BG147" s="1839"/>
      <c r="BH147" s="1839"/>
      <c r="BI147" s="1839"/>
      <c r="BJ147" s="1839"/>
      <c r="BK147" s="1839"/>
      <c r="BL147" s="1839"/>
      <c r="BM147" s="1839"/>
      <c r="BN147" s="1839"/>
      <c r="BO147" s="1839"/>
      <c r="BP147" s="1839"/>
      <c r="BQ147" s="1839"/>
      <c r="BS147" s="4035" t="s">
        <v>608</v>
      </c>
      <c r="BT147" s="4036"/>
      <c r="BU147" s="4037"/>
      <c r="BV147" s="1831"/>
      <c r="BW147" s="1831"/>
      <c r="BX147" s="1831"/>
      <c r="BY147" s="1831"/>
      <c r="BZ147" s="1831"/>
      <c r="CA147" s="1831"/>
      <c r="CB147" s="1831"/>
      <c r="CC147" s="1831"/>
      <c r="CD147" s="1831"/>
      <c r="CE147" s="1832"/>
      <c r="CF147" s="1831"/>
      <c r="CG147" s="1831"/>
      <c r="CH147" s="1831"/>
      <c r="CI147" s="1831"/>
      <c r="CJ147" s="1831"/>
      <c r="CK147" s="1831"/>
      <c r="CL147" s="1831"/>
      <c r="CM147" s="1831"/>
      <c r="CN147" s="1831"/>
      <c r="CO147" s="1831"/>
      <c r="CP147" s="1831"/>
      <c r="CQ147" s="1831"/>
      <c r="CR147" s="1831"/>
      <c r="CS147" s="1831"/>
      <c r="CT147" s="1831"/>
      <c r="CU147" s="1831"/>
      <c r="CV147" s="1831"/>
      <c r="CW147" s="1831"/>
      <c r="CX147" s="1831"/>
      <c r="CY147" s="1831"/>
      <c r="CZ147" s="1831"/>
      <c r="DB147" s="4044" t="s">
        <v>608</v>
      </c>
      <c r="DC147" s="4045"/>
      <c r="DD147" s="4046"/>
      <c r="DE147" s="1229"/>
      <c r="DF147" s="1229"/>
      <c r="DG147" s="1229"/>
      <c r="DH147" s="1229"/>
      <c r="DI147" s="1229"/>
      <c r="DJ147" s="1229"/>
      <c r="DK147" s="1229"/>
      <c r="DL147" s="1229"/>
      <c r="DM147" s="1229"/>
      <c r="DN147" s="1920"/>
      <c r="DO147" s="1229"/>
      <c r="DP147" s="1229"/>
      <c r="DQ147" s="1229"/>
      <c r="DR147" s="1229"/>
      <c r="DS147" s="1229"/>
      <c r="DT147" s="1229"/>
      <c r="DU147" s="1229"/>
      <c r="DV147" s="1229"/>
      <c r="DW147" s="1229"/>
      <c r="DX147" s="1229"/>
      <c r="DY147" s="1229"/>
      <c r="DZ147" s="1229"/>
      <c r="EA147" s="1229"/>
      <c r="EB147" s="1229"/>
      <c r="EC147" s="1229"/>
      <c r="ED147" s="1229"/>
      <c r="EE147" s="1229"/>
      <c r="EF147" s="1229"/>
      <c r="EG147" s="1229"/>
      <c r="EH147" s="1229"/>
      <c r="EI147" s="1229"/>
    </row>
    <row r="148" spans="1:139" ht="15">
      <c r="A148" s="1039" t="s">
        <v>70</v>
      </c>
      <c r="B148" s="1039" t="s">
        <v>71</v>
      </c>
      <c r="C148" s="1039">
        <v>1</v>
      </c>
      <c r="D148" s="1039">
        <v>2</v>
      </c>
      <c r="E148" s="1039">
        <v>3</v>
      </c>
      <c r="F148" s="1039">
        <v>4</v>
      </c>
      <c r="G148" s="1039">
        <v>5</v>
      </c>
      <c r="H148" s="1039">
        <v>6</v>
      </c>
      <c r="I148" s="1039">
        <v>7</v>
      </c>
      <c r="J148" s="1039">
        <v>8</v>
      </c>
      <c r="K148" s="1039">
        <v>9</v>
      </c>
      <c r="L148" s="1039">
        <v>10</v>
      </c>
      <c r="M148" s="1039">
        <v>11</v>
      </c>
      <c r="N148" s="1039">
        <v>12</v>
      </c>
      <c r="O148" s="1039">
        <v>13</v>
      </c>
      <c r="P148" s="1039">
        <v>14</v>
      </c>
      <c r="Q148" s="1039">
        <v>15</v>
      </c>
      <c r="R148" s="1039">
        <v>16</v>
      </c>
      <c r="S148" s="1039">
        <v>17</v>
      </c>
      <c r="T148" s="1039">
        <v>18</v>
      </c>
      <c r="U148" s="1039">
        <v>19</v>
      </c>
      <c r="V148" s="1039">
        <v>20</v>
      </c>
      <c r="W148" s="1039">
        <v>21</v>
      </c>
      <c r="X148" s="1039">
        <v>22</v>
      </c>
      <c r="Y148" s="1039">
        <v>23</v>
      </c>
      <c r="Z148" s="1039">
        <v>24</v>
      </c>
      <c r="AA148" s="1039">
        <v>25</v>
      </c>
      <c r="AB148" s="1039">
        <v>26</v>
      </c>
      <c r="AC148" s="1039">
        <v>27</v>
      </c>
      <c r="AD148" s="1039">
        <v>28</v>
      </c>
      <c r="AE148" s="1039">
        <v>29</v>
      </c>
      <c r="AF148" s="1039">
        <v>30</v>
      </c>
      <c r="AG148" s="1039">
        <v>31</v>
      </c>
      <c r="AH148" s="1972" t="s">
        <v>72</v>
      </c>
      <c r="AJ148" s="1524" t="s">
        <v>70</v>
      </c>
      <c r="AK148" s="1524" t="s">
        <v>71</v>
      </c>
      <c r="AL148" s="1524">
        <v>1</v>
      </c>
      <c r="AM148" s="1524">
        <v>2</v>
      </c>
      <c r="AN148" s="1524">
        <v>3</v>
      </c>
      <c r="AO148" s="1524">
        <v>4</v>
      </c>
      <c r="AP148" s="1524">
        <v>5</v>
      </c>
      <c r="AQ148" s="1524">
        <v>6</v>
      </c>
      <c r="AR148" s="1524">
        <v>7</v>
      </c>
      <c r="AS148" s="1524">
        <v>8</v>
      </c>
      <c r="AT148" s="1524">
        <v>9</v>
      </c>
      <c r="AU148" s="1524">
        <v>10</v>
      </c>
      <c r="AV148" s="1524">
        <v>11</v>
      </c>
      <c r="AW148" s="1524">
        <v>12</v>
      </c>
      <c r="AX148" s="1524">
        <v>13</v>
      </c>
      <c r="AY148" s="1524">
        <v>14</v>
      </c>
      <c r="AZ148" s="1524">
        <v>15</v>
      </c>
      <c r="BA148" s="1524">
        <v>16</v>
      </c>
      <c r="BB148" s="1524">
        <v>17</v>
      </c>
      <c r="BC148" s="1524">
        <v>18</v>
      </c>
      <c r="BD148" s="1524">
        <v>19</v>
      </c>
      <c r="BE148" s="1524">
        <v>20</v>
      </c>
      <c r="BF148" s="1524">
        <v>21</v>
      </c>
      <c r="BG148" s="1524">
        <v>22</v>
      </c>
      <c r="BH148" s="1524">
        <v>23</v>
      </c>
      <c r="BI148" s="1524">
        <v>24</v>
      </c>
      <c r="BJ148" s="1524">
        <v>25</v>
      </c>
      <c r="BK148" s="1524">
        <v>26</v>
      </c>
      <c r="BL148" s="1524">
        <v>27</v>
      </c>
      <c r="BM148" s="1524">
        <v>28</v>
      </c>
      <c r="BN148" s="1524">
        <v>29</v>
      </c>
      <c r="BO148" s="1524">
        <v>30</v>
      </c>
      <c r="BP148" s="1524">
        <v>31</v>
      </c>
      <c r="BQ148" s="1838" t="s">
        <v>72</v>
      </c>
      <c r="BS148" s="1621" t="s">
        <v>70</v>
      </c>
      <c r="BT148" s="1621" t="s">
        <v>71</v>
      </c>
      <c r="BU148" s="1621">
        <v>1</v>
      </c>
      <c r="BV148" s="1621">
        <v>2</v>
      </c>
      <c r="BW148" s="1621">
        <v>3</v>
      </c>
      <c r="BX148" s="1621">
        <v>4</v>
      </c>
      <c r="BY148" s="1621">
        <v>5</v>
      </c>
      <c r="BZ148" s="1621">
        <v>6</v>
      </c>
      <c r="CA148" s="1621">
        <v>7</v>
      </c>
      <c r="CB148" s="1621">
        <v>8</v>
      </c>
      <c r="CC148" s="1621">
        <v>9</v>
      </c>
      <c r="CD148" s="1621">
        <v>10</v>
      </c>
      <c r="CE148" s="1621">
        <v>11</v>
      </c>
      <c r="CF148" s="1621">
        <v>12</v>
      </c>
      <c r="CG148" s="1621">
        <v>13</v>
      </c>
      <c r="CH148" s="1621">
        <v>14</v>
      </c>
      <c r="CI148" s="1621">
        <v>15</v>
      </c>
      <c r="CJ148" s="1621">
        <v>16</v>
      </c>
      <c r="CK148" s="1621">
        <v>17</v>
      </c>
      <c r="CL148" s="1621">
        <v>18</v>
      </c>
      <c r="CM148" s="1621">
        <v>19</v>
      </c>
      <c r="CN148" s="1621">
        <v>20</v>
      </c>
      <c r="CO148" s="1621">
        <v>21</v>
      </c>
      <c r="CP148" s="1621">
        <v>22</v>
      </c>
      <c r="CQ148" s="1621">
        <v>23</v>
      </c>
      <c r="CR148" s="1621">
        <v>24</v>
      </c>
      <c r="CS148" s="1621">
        <v>25</v>
      </c>
      <c r="CT148" s="1621">
        <v>26</v>
      </c>
      <c r="CU148" s="1621">
        <v>27</v>
      </c>
      <c r="CV148" s="1621">
        <v>28</v>
      </c>
      <c r="CW148" s="1621">
        <v>29</v>
      </c>
      <c r="CX148" s="1621">
        <v>30</v>
      </c>
      <c r="CY148" s="1621">
        <v>31</v>
      </c>
      <c r="CZ148" s="1830" t="s">
        <v>72</v>
      </c>
      <c r="DB148" s="1054" t="s">
        <v>70</v>
      </c>
      <c r="DC148" s="1054" t="s">
        <v>71</v>
      </c>
      <c r="DD148" s="1054">
        <v>1</v>
      </c>
      <c r="DE148" s="1054">
        <v>2</v>
      </c>
      <c r="DF148" s="1054">
        <v>3</v>
      </c>
      <c r="DG148" s="1054">
        <v>4</v>
      </c>
      <c r="DH148" s="1054">
        <v>5</v>
      </c>
      <c r="DI148" s="1054">
        <v>6</v>
      </c>
      <c r="DJ148" s="1054">
        <v>7</v>
      </c>
      <c r="DK148" s="1054">
        <v>8</v>
      </c>
      <c r="DL148" s="1054">
        <v>9</v>
      </c>
      <c r="DM148" s="1054">
        <v>10</v>
      </c>
      <c r="DN148" s="1054">
        <v>11</v>
      </c>
      <c r="DO148" s="1054">
        <v>12</v>
      </c>
      <c r="DP148" s="1054">
        <v>13</v>
      </c>
      <c r="DQ148" s="1054">
        <v>14</v>
      </c>
      <c r="DR148" s="1054">
        <v>15</v>
      </c>
      <c r="DS148" s="1054">
        <v>16</v>
      </c>
      <c r="DT148" s="1054">
        <v>17</v>
      </c>
      <c r="DU148" s="1054">
        <v>18</v>
      </c>
      <c r="DV148" s="1054">
        <v>19</v>
      </c>
      <c r="DW148" s="1054">
        <v>20</v>
      </c>
      <c r="DX148" s="1054">
        <v>21</v>
      </c>
      <c r="DY148" s="1054">
        <v>22</v>
      </c>
      <c r="DZ148" s="1054">
        <v>23</v>
      </c>
      <c r="EA148" s="1054">
        <v>24</v>
      </c>
      <c r="EB148" s="1054">
        <v>25</v>
      </c>
      <c r="EC148" s="1054">
        <v>26</v>
      </c>
      <c r="ED148" s="1054">
        <v>27</v>
      </c>
      <c r="EE148" s="1054">
        <v>28</v>
      </c>
      <c r="EF148" s="1054">
        <v>29</v>
      </c>
      <c r="EG148" s="1054">
        <v>30</v>
      </c>
      <c r="EH148" s="1054">
        <v>31</v>
      </c>
      <c r="EI148" s="1596" t="s">
        <v>72</v>
      </c>
    </row>
    <row r="149" spans="1:139" ht="15">
      <c r="A149" s="1039" t="s">
        <v>73</v>
      </c>
      <c r="B149" s="1084">
        <f t="shared" ref="B149:B160" si="126">+AH149</f>
        <v>2.306</v>
      </c>
      <c r="C149" s="1973"/>
      <c r="D149" s="1973"/>
      <c r="E149" s="1973"/>
      <c r="F149" s="1973"/>
      <c r="G149" s="1973"/>
      <c r="H149" s="1973"/>
      <c r="I149" s="1973"/>
      <c r="J149" s="1973"/>
      <c r="K149" s="1973"/>
      <c r="L149" s="1973"/>
      <c r="M149" s="1973"/>
      <c r="N149" s="1973"/>
      <c r="O149" s="1973"/>
      <c r="P149" s="1973"/>
      <c r="Q149" s="1973"/>
      <c r="R149" s="1973"/>
      <c r="S149" s="1973"/>
      <c r="T149" s="1973"/>
      <c r="U149" s="1973"/>
      <c r="V149" s="1973"/>
      <c r="W149" s="1973"/>
      <c r="X149" s="1973"/>
      <c r="Y149" s="1973"/>
      <c r="Z149" s="1973">
        <v>0.34399999999999997</v>
      </c>
      <c r="AA149" s="1973"/>
      <c r="AB149" s="1973"/>
      <c r="AC149" s="1973"/>
      <c r="AD149" s="1973">
        <v>1.905</v>
      </c>
      <c r="AE149" s="1973"/>
      <c r="AF149" s="1973">
        <v>5.7000000000000002E-2</v>
      </c>
      <c r="AG149" s="1973"/>
      <c r="AH149" s="1974">
        <f>SUM(C149:AG149)</f>
        <v>2.306</v>
      </c>
      <c r="AJ149" s="1524" t="s">
        <v>73</v>
      </c>
      <c r="AK149" s="1527">
        <f t="shared" ref="AK149:AK160" si="127">+BQ149</f>
        <v>2.6560000000000001</v>
      </c>
      <c r="AL149" s="1835"/>
      <c r="AM149" s="1835"/>
      <c r="AN149" s="1835"/>
      <c r="AO149" s="1835"/>
      <c r="AP149" s="1835"/>
      <c r="AQ149" s="1835"/>
      <c r="AR149" s="1835"/>
      <c r="AS149" s="1835"/>
      <c r="AT149" s="1835"/>
      <c r="AU149" s="1835"/>
      <c r="AV149" s="1835"/>
      <c r="AW149" s="1835"/>
      <c r="AX149" s="1835"/>
      <c r="AY149" s="1835"/>
      <c r="AZ149" s="1835"/>
      <c r="BA149" s="1835"/>
      <c r="BB149" s="1835"/>
      <c r="BC149" s="1835"/>
      <c r="BD149" s="1835"/>
      <c r="BE149" s="1872"/>
      <c r="BF149" s="1872"/>
      <c r="BG149" s="1872"/>
      <c r="BH149" s="1872"/>
      <c r="BI149" s="1872">
        <v>4.9000000000000002E-2</v>
      </c>
      <c r="BJ149" s="1872"/>
      <c r="BK149" s="1872"/>
      <c r="BL149" s="1872"/>
      <c r="BM149" s="1872">
        <v>2.3660000000000001</v>
      </c>
      <c r="BN149" s="1872"/>
      <c r="BO149" s="1872">
        <v>0.24099999999999999</v>
      </c>
      <c r="BP149" s="1872"/>
      <c r="BQ149" s="1834">
        <f t="shared" ref="BQ149:BQ160" si="128">SUM(AL149:BP149)</f>
        <v>2.6560000000000001</v>
      </c>
      <c r="BS149" s="1621" t="s">
        <v>73</v>
      </c>
      <c r="BT149" s="1622">
        <f t="shared" ref="BT149:BT160" si="129">+CZ149</f>
        <v>0</v>
      </c>
      <c r="BU149" s="1871"/>
      <c r="BV149" s="1871"/>
      <c r="BW149" s="1871"/>
      <c r="BX149" s="1871"/>
      <c r="BY149" s="1871"/>
      <c r="BZ149" s="1871"/>
      <c r="CA149" s="1871"/>
      <c r="CB149" s="1871"/>
      <c r="CC149" s="1871"/>
      <c r="CD149" s="1871"/>
      <c r="CE149" s="1871"/>
      <c r="CF149" s="1871"/>
      <c r="CG149" s="1827"/>
      <c r="CH149" s="1827"/>
      <c r="CI149" s="1827"/>
      <c r="CJ149" s="1827"/>
      <c r="CK149" s="1827"/>
      <c r="CL149" s="1827"/>
      <c r="CM149" s="1827"/>
      <c r="CN149" s="1827"/>
      <c r="CO149" s="1827"/>
      <c r="CP149" s="1827"/>
      <c r="CQ149" s="1827"/>
      <c r="CR149" s="1827"/>
      <c r="CS149" s="1827"/>
      <c r="CT149" s="1827"/>
      <c r="CU149" s="1827"/>
      <c r="CV149" s="1827"/>
      <c r="CW149" s="1827"/>
      <c r="CX149" s="1827"/>
      <c r="CY149" s="1827"/>
      <c r="CZ149" s="1826">
        <f t="shared" ref="CZ149:CZ160" si="130">SUM(BU149:CY149)</f>
        <v>0</v>
      </c>
      <c r="DB149" s="1054" t="s">
        <v>73</v>
      </c>
      <c r="DC149" s="1091">
        <f t="shared" ref="DC149:DC160" si="131">+EI149</f>
        <v>0</v>
      </c>
      <c r="DD149" s="1539"/>
      <c r="DE149" s="1539"/>
      <c r="DF149" s="1539"/>
      <c r="DG149" s="1539"/>
      <c r="DH149" s="1539"/>
      <c r="DI149" s="1539"/>
      <c r="DJ149" s="1539"/>
      <c r="DK149" s="1539"/>
      <c r="DL149" s="1539"/>
      <c r="DM149" s="1539"/>
      <c r="DN149" s="1539"/>
      <c r="DO149" s="1539"/>
      <c r="DP149" s="1539"/>
      <c r="DQ149" s="1539"/>
      <c r="DR149" s="1539"/>
      <c r="DS149" s="1539"/>
      <c r="DT149" s="1539"/>
      <c r="DU149" s="1539"/>
      <c r="DV149" s="1539"/>
      <c r="DW149" s="1539"/>
      <c r="DX149" s="1539"/>
      <c r="DY149" s="1539"/>
      <c r="DZ149" s="1539"/>
      <c r="EA149" s="1539"/>
      <c r="EB149" s="1539"/>
      <c r="EC149" s="1539"/>
      <c r="ED149" s="1539"/>
      <c r="EE149" s="1539"/>
      <c r="EF149" s="1539"/>
      <c r="EG149" s="1539"/>
      <c r="EH149" s="1539"/>
      <c r="EI149" s="1268">
        <f t="shared" ref="EI149:EI160" si="132">SUM(DD149:EH149)</f>
        <v>0</v>
      </c>
    </row>
    <row r="150" spans="1:139" ht="15">
      <c r="A150" s="1039" t="s">
        <v>74</v>
      </c>
      <c r="B150" s="1084">
        <f t="shared" si="126"/>
        <v>0.51</v>
      </c>
      <c r="C150" s="1973">
        <v>0.51</v>
      </c>
      <c r="D150" s="1975"/>
      <c r="E150" s="1975"/>
      <c r="F150" s="1975"/>
      <c r="G150" s="1975"/>
      <c r="H150" s="1975"/>
      <c r="I150" s="1975"/>
      <c r="J150" s="1975"/>
      <c r="K150" s="1975"/>
      <c r="L150" s="1975"/>
      <c r="M150" s="1975"/>
      <c r="N150" s="1975"/>
      <c r="O150" s="1975"/>
      <c r="P150" s="1975"/>
      <c r="Q150" s="1975"/>
      <c r="R150" s="1975"/>
      <c r="S150" s="1975"/>
      <c r="T150" s="1975"/>
      <c r="U150" s="1975"/>
      <c r="V150" s="1975"/>
      <c r="W150" s="1975"/>
      <c r="X150" s="1975"/>
      <c r="Y150" s="1973"/>
      <c r="Z150" s="1973"/>
      <c r="AA150" s="1973"/>
      <c r="AB150" s="1973"/>
      <c r="AC150" s="1973"/>
      <c r="AD150" s="1973"/>
      <c r="AE150" s="1973"/>
      <c r="AF150" s="1973"/>
      <c r="AG150" s="1973"/>
      <c r="AH150" s="1974">
        <f>SUM(C150:AG150)</f>
        <v>0.51</v>
      </c>
      <c r="AJ150" s="1524" t="s">
        <v>74</v>
      </c>
      <c r="AK150" s="1527">
        <f t="shared" si="127"/>
        <v>1.0609999999999999</v>
      </c>
      <c r="AL150" s="1835">
        <v>1.0609999999999999</v>
      </c>
      <c r="AM150" s="1889"/>
      <c r="AN150" s="1889"/>
      <c r="AO150" s="1889"/>
      <c r="AP150" s="1889"/>
      <c r="AQ150" s="1889"/>
      <c r="AR150" s="1889"/>
      <c r="AS150" s="1889"/>
      <c r="AT150" s="1889"/>
      <c r="AU150" s="1889"/>
      <c r="AV150" s="1889"/>
      <c r="AW150" s="1889"/>
      <c r="AX150" s="1889"/>
      <c r="AY150" s="1889"/>
      <c r="AZ150" s="1889"/>
      <c r="BA150" s="1889"/>
      <c r="BB150" s="1889"/>
      <c r="BC150" s="1889"/>
      <c r="BD150" s="1889"/>
      <c r="BE150" s="1872"/>
      <c r="BF150" s="1872"/>
      <c r="BG150" s="1872"/>
      <c r="BH150" s="1872"/>
      <c r="BI150" s="1872"/>
      <c r="BJ150" s="1872"/>
      <c r="BK150" s="1872"/>
      <c r="BL150" s="1872"/>
      <c r="BM150" s="1872"/>
      <c r="BN150" s="1872"/>
      <c r="BO150" s="1872"/>
      <c r="BP150" s="1872"/>
      <c r="BQ150" s="1834">
        <f t="shared" si="128"/>
        <v>1.0609999999999999</v>
      </c>
      <c r="BS150" s="1621" t="s">
        <v>74</v>
      </c>
      <c r="BT150" s="1622">
        <f t="shared" si="129"/>
        <v>0</v>
      </c>
      <c r="BU150" s="1871"/>
      <c r="BV150" s="1871"/>
      <c r="BW150" s="1871"/>
      <c r="BX150" s="1871"/>
      <c r="BY150" s="1871"/>
      <c r="BZ150" s="1871"/>
      <c r="CA150" s="1871"/>
      <c r="CB150" s="1871"/>
      <c r="CC150" s="1871"/>
      <c r="CD150" s="1871"/>
      <c r="CE150" s="1871"/>
      <c r="CF150" s="1871"/>
      <c r="CG150" s="1870"/>
      <c r="CH150" s="1870"/>
      <c r="CI150" s="1870"/>
      <c r="CJ150" s="1870"/>
      <c r="CK150" s="1870"/>
      <c r="CL150" s="1870"/>
      <c r="CM150" s="1870"/>
      <c r="CN150" s="1870"/>
      <c r="CO150" s="1870"/>
      <c r="CP150" s="1870"/>
      <c r="CQ150" s="1827"/>
      <c r="CR150" s="1827"/>
      <c r="CS150" s="1827"/>
      <c r="CT150" s="1827"/>
      <c r="CU150" s="1827"/>
      <c r="CV150" s="1827"/>
      <c r="CW150" s="1827"/>
      <c r="CX150" s="1827"/>
      <c r="CY150" s="1827"/>
      <c r="CZ150" s="1826">
        <f t="shared" si="130"/>
        <v>0</v>
      </c>
      <c r="DB150" s="1054" t="s">
        <v>74</v>
      </c>
      <c r="DC150" s="1091">
        <f t="shared" si="131"/>
        <v>0</v>
      </c>
      <c r="DD150" s="1539"/>
      <c r="DE150" s="1540"/>
      <c r="DF150" s="1540"/>
      <c r="DG150" s="1540"/>
      <c r="DH150" s="1540"/>
      <c r="DI150" s="1540"/>
      <c r="DJ150" s="1540"/>
      <c r="DK150" s="1540"/>
      <c r="DL150" s="1540"/>
      <c r="DM150" s="1540"/>
      <c r="DN150" s="1540"/>
      <c r="DO150" s="1540"/>
      <c r="DP150" s="1540"/>
      <c r="DQ150" s="1540"/>
      <c r="DR150" s="1540"/>
      <c r="DS150" s="1540"/>
      <c r="DT150" s="1540"/>
      <c r="DU150" s="1540"/>
      <c r="DV150" s="1540"/>
      <c r="DW150" s="1540"/>
      <c r="DX150" s="1540"/>
      <c r="DY150" s="1540"/>
      <c r="DZ150" s="1539"/>
      <c r="EA150" s="1539"/>
      <c r="EB150" s="1539"/>
      <c r="EC150" s="1539"/>
      <c r="ED150" s="1539"/>
      <c r="EE150" s="1539"/>
      <c r="EF150" s="1539"/>
      <c r="EG150" s="1539"/>
      <c r="EH150" s="1539"/>
      <c r="EI150" s="1268">
        <f t="shared" si="132"/>
        <v>0</v>
      </c>
    </row>
    <row r="151" spans="1:139" ht="15">
      <c r="A151" s="1039" t="s">
        <v>75</v>
      </c>
      <c r="B151" s="1084">
        <f t="shared" si="126"/>
        <v>0</v>
      </c>
      <c r="C151" s="1976"/>
      <c r="D151" s="1976"/>
      <c r="E151" s="1977"/>
      <c r="F151" s="1978"/>
      <c r="G151" s="1979"/>
      <c r="H151" s="1980"/>
      <c r="I151" s="1980"/>
      <c r="J151" s="1976"/>
      <c r="K151" s="1976"/>
      <c r="L151" s="1976"/>
      <c r="M151" s="1976"/>
      <c r="N151" s="1976"/>
      <c r="O151" s="1976"/>
      <c r="P151" s="1980"/>
      <c r="Q151" s="1980"/>
      <c r="R151" s="1980"/>
      <c r="S151" s="1980"/>
      <c r="T151" s="1980"/>
      <c r="U151" s="1980"/>
      <c r="V151" s="1980"/>
      <c r="W151" s="1980"/>
      <c r="X151" s="1980"/>
      <c r="Y151" s="1980"/>
      <c r="Z151" s="1980"/>
      <c r="AA151" s="1980"/>
      <c r="AB151" s="1980"/>
      <c r="AC151" s="1980"/>
      <c r="AD151" s="1980"/>
      <c r="AE151" s="1981"/>
      <c r="AF151" s="1976"/>
      <c r="AG151" s="1976"/>
      <c r="AH151" s="1974">
        <f>SUM(C151:AG151)</f>
        <v>0</v>
      </c>
      <c r="AJ151" s="1524" t="s">
        <v>75</v>
      </c>
      <c r="AK151" s="1527">
        <f t="shared" si="127"/>
        <v>0</v>
      </c>
      <c r="AL151" s="1878"/>
      <c r="AM151" s="1878"/>
      <c r="AN151" s="1888"/>
      <c r="AO151" s="1887"/>
      <c r="AP151" s="1886"/>
      <c r="AQ151" s="1879"/>
      <c r="AR151" s="1879"/>
      <c r="AS151" s="1878"/>
      <c r="AT151" s="1878"/>
      <c r="AU151" s="1878"/>
      <c r="AV151" s="1878"/>
      <c r="AW151" s="1878"/>
      <c r="AX151" s="1878"/>
      <c r="AY151" s="1879"/>
      <c r="AZ151" s="1879"/>
      <c r="BA151" s="1879"/>
      <c r="BB151" s="1879"/>
      <c r="BC151" s="1879"/>
      <c r="BD151" s="1879"/>
      <c r="BE151" s="1872"/>
      <c r="BF151" s="1872"/>
      <c r="BG151" s="1872"/>
      <c r="BH151" s="1872"/>
      <c r="BI151" s="1872"/>
      <c r="BJ151" s="1872"/>
      <c r="BK151" s="1872"/>
      <c r="BL151" s="1872"/>
      <c r="BM151" s="1872"/>
      <c r="BN151" s="1872"/>
      <c r="BO151" s="1872"/>
      <c r="BP151" s="1872"/>
      <c r="BQ151" s="1834">
        <f t="shared" si="128"/>
        <v>0</v>
      </c>
      <c r="BS151" s="1621" t="s">
        <v>75</v>
      </c>
      <c r="BT151" s="1622">
        <f t="shared" si="129"/>
        <v>0</v>
      </c>
      <c r="BU151" s="1871"/>
      <c r="BV151" s="1871"/>
      <c r="BW151" s="1871"/>
      <c r="BX151" s="1871"/>
      <c r="BY151" s="1871"/>
      <c r="BZ151" s="1871"/>
      <c r="CA151" s="1871"/>
      <c r="CB151" s="1871"/>
      <c r="CC151" s="1871"/>
      <c r="CD151" s="1871"/>
      <c r="CE151" s="1871"/>
      <c r="CF151" s="1871"/>
      <c r="CG151" s="1862"/>
      <c r="CH151" s="1863"/>
      <c r="CI151" s="1863"/>
      <c r="CJ151" s="1863"/>
      <c r="CK151" s="1863"/>
      <c r="CL151" s="1863"/>
      <c r="CM151" s="1863"/>
      <c r="CN151" s="1863"/>
      <c r="CO151" s="1863"/>
      <c r="CP151" s="1863"/>
      <c r="CQ151" s="1863"/>
      <c r="CR151" s="1863"/>
      <c r="CS151" s="1863"/>
      <c r="CT151" s="1863"/>
      <c r="CU151" s="1863"/>
      <c r="CV151" s="1863"/>
      <c r="CW151" s="1868"/>
      <c r="CX151" s="1862"/>
      <c r="CY151" s="1862"/>
      <c r="CZ151" s="1826">
        <f t="shared" si="130"/>
        <v>0</v>
      </c>
      <c r="DB151" s="1054" t="s">
        <v>75</v>
      </c>
      <c r="DC151" s="1091">
        <f t="shared" si="131"/>
        <v>0</v>
      </c>
      <c r="DD151" s="1925"/>
      <c r="DE151" s="1925"/>
      <c r="DF151" s="1936"/>
      <c r="DG151" s="1935"/>
      <c r="DH151" s="1934"/>
      <c r="DI151" s="1926"/>
      <c r="DJ151" s="1926"/>
      <c r="DK151" s="1925"/>
      <c r="DL151" s="1925"/>
      <c r="DM151" s="1925"/>
      <c r="DN151" s="1925"/>
      <c r="DO151" s="1925"/>
      <c r="DP151" s="1925"/>
      <c r="DQ151" s="1926"/>
      <c r="DR151" s="1926"/>
      <c r="DS151" s="1926"/>
      <c r="DT151" s="1926"/>
      <c r="DU151" s="1926"/>
      <c r="DV151" s="1926"/>
      <c r="DW151" s="1926"/>
      <c r="DX151" s="1926"/>
      <c r="DY151" s="1926"/>
      <c r="DZ151" s="1926"/>
      <c r="EA151" s="1926"/>
      <c r="EB151" s="1926"/>
      <c r="EC151" s="1926"/>
      <c r="ED151" s="1926"/>
      <c r="EE151" s="1926"/>
      <c r="EF151" s="1933"/>
      <c r="EG151" s="1925"/>
      <c r="EH151" s="1925"/>
      <c r="EI151" s="1268">
        <f t="shared" si="132"/>
        <v>0</v>
      </c>
    </row>
    <row r="152" spans="1:139" ht="15">
      <c r="A152" s="1039" t="s">
        <v>76</v>
      </c>
      <c r="B152" s="1084">
        <f t="shared" si="126"/>
        <v>0</v>
      </c>
      <c r="C152" s="1982"/>
      <c r="D152" s="1690"/>
      <c r="E152" s="1983"/>
      <c r="F152" s="1984"/>
      <c r="G152" s="1985"/>
      <c r="H152" s="1986"/>
      <c r="I152" s="1980"/>
      <c r="J152" s="1980"/>
      <c r="K152" s="1980"/>
      <c r="L152" s="1980"/>
      <c r="M152" s="1976"/>
      <c r="N152" s="1976"/>
      <c r="O152" s="1976"/>
      <c r="P152" s="1976"/>
      <c r="Q152" s="1980"/>
      <c r="R152" s="1980"/>
      <c r="S152" s="1980"/>
      <c r="T152" s="1980"/>
      <c r="U152" s="1976"/>
      <c r="V152" s="1980"/>
      <c r="W152" s="1980"/>
      <c r="X152" s="1980"/>
      <c r="Y152" s="1980"/>
      <c r="Z152" s="1980"/>
      <c r="AA152" s="1980"/>
      <c r="AB152" s="1980"/>
      <c r="AC152" s="1976"/>
      <c r="AD152" s="1980"/>
      <c r="AE152" s="1980"/>
      <c r="AF152" s="1976"/>
      <c r="AG152" s="1976"/>
      <c r="AH152" s="1974">
        <f t="shared" ref="AH152:AH160" si="133">SUM(C152:AG152)</f>
        <v>0</v>
      </c>
      <c r="AJ152" s="1524" t="s">
        <v>76</v>
      </c>
      <c r="AK152" s="1527">
        <f t="shared" si="127"/>
        <v>0</v>
      </c>
      <c r="AL152" s="1885"/>
      <c r="AM152" s="1884"/>
      <c r="AN152" s="1883"/>
      <c r="AO152" s="1882"/>
      <c r="AP152" s="1881"/>
      <c r="AQ152" s="1880"/>
      <c r="AR152" s="1879"/>
      <c r="AS152" s="1879"/>
      <c r="AT152" s="1879"/>
      <c r="AU152" s="1879"/>
      <c r="AV152" s="1878"/>
      <c r="AW152" s="1878"/>
      <c r="AX152" s="1878"/>
      <c r="AY152" s="1878"/>
      <c r="AZ152" s="1879"/>
      <c r="BA152" s="1879"/>
      <c r="BB152" s="1879"/>
      <c r="BC152" s="1879"/>
      <c r="BD152" s="1878"/>
      <c r="BE152" s="1877"/>
      <c r="BF152" s="1877"/>
      <c r="BG152" s="1877"/>
      <c r="BH152" s="1877"/>
      <c r="BI152" s="1877"/>
      <c r="BJ152" s="1877"/>
      <c r="BK152" s="1877"/>
      <c r="BL152" s="1877"/>
      <c r="BM152" s="1877"/>
      <c r="BN152" s="1877"/>
      <c r="BO152" s="1872"/>
      <c r="BP152" s="1872"/>
      <c r="BQ152" s="1834">
        <f t="shared" si="128"/>
        <v>0</v>
      </c>
      <c r="BS152" s="1621" t="s">
        <v>76</v>
      </c>
      <c r="BT152" s="1622">
        <f t="shared" si="129"/>
        <v>0</v>
      </c>
      <c r="BU152" s="1876"/>
      <c r="BV152" s="1876"/>
      <c r="BW152" s="1876"/>
      <c r="BX152" s="1876"/>
      <c r="BY152" s="1876"/>
      <c r="BZ152" s="1876"/>
      <c r="CA152" s="1876"/>
      <c r="CB152" s="1876"/>
      <c r="CC152" s="1876"/>
      <c r="CD152" s="1876"/>
      <c r="CE152" s="1871"/>
      <c r="CF152" s="1871"/>
      <c r="CG152" s="1862"/>
      <c r="CH152" s="1862"/>
      <c r="CI152" s="1863"/>
      <c r="CJ152" s="1863"/>
      <c r="CK152" s="1863"/>
      <c r="CL152" s="1863"/>
      <c r="CM152" s="1862"/>
      <c r="CN152" s="1863"/>
      <c r="CO152" s="1863"/>
      <c r="CP152" s="1863"/>
      <c r="CQ152" s="1863"/>
      <c r="CR152" s="1863"/>
      <c r="CS152" s="1863"/>
      <c r="CT152" s="1863"/>
      <c r="CU152" s="1862"/>
      <c r="CV152" s="1863"/>
      <c r="CW152" s="1863"/>
      <c r="CX152" s="1862"/>
      <c r="CY152" s="1862"/>
      <c r="CZ152" s="1826">
        <f t="shared" si="130"/>
        <v>0</v>
      </c>
      <c r="DB152" s="1054" t="s">
        <v>76</v>
      </c>
      <c r="DC152" s="1091">
        <f t="shared" si="131"/>
        <v>0</v>
      </c>
      <c r="DD152" s="1931"/>
      <c r="DE152" s="1190"/>
      <c r="DF152" s="1930"/>
      <c r="DG152" s="1929"/>
      <c r="DH152" s="1928"/>
      <c r="DI152" s="1927"/>
      <c r="DJ152" s="1926"/>
      <c r="DK152" s="1926"/>
      <c r="DL152" s="1926"/>
      <c r="DM152" s="1926"/>
      <c r="DN152" s="1925"/>
      <c r="DO152" s="1925"/>
      <c r="DP152" s="1925"/>
      <c r="DQ152" s="1925"/>
      <c r="DR152" s="1926"/>
      <c r="DS152" s="1926"/>
      <c r="DT152" s="1926"/>
      <c r="DU152" s="1926"/>
      <c r="DV152" s="1925"/>
      <c r="DW152" s="1926"/>
      <c r="DX152" s="1926"/>
      <c r="DY152" s="1926"/>
      <c r="DZ152" s="1926"/>
      <c r="EA152" s="1926"/>
      <c r="EB152" s="1926"/>
      <c r="EC152" s="1926"/>
      <c r="ED152" s="1925"/>
      <c r="EE152" s="1926"/>
      <c r="EF152" s="1926"/>
      <c r="EG152" s="1925"/>
      <c r="EH152" s="1925"/>
      <c r="EI152" s="1268">
        <f t="shared" si="132"/>
        <v>0</v>
      </c>
    </row>
    <row r="153" spans="1:139" ht="15">
      <c r="A153" s="1039" t="s">
        <v>77</v>
      </c>
      <c r="B153" s="1084">
        <f t="shared" si="126"/>
        <v>0</v>
      </c>
      <c r="C153" s="1973"/>
      <c r="D153" s="1973"/>
      <c r="E153" s="1973"/>
      <c r="F153" s="1973"/>
      <c r="G153" s="1973"/>
      <c r="H153" s="1973"/>
      <c r="I153" s="1973"/>
      <c r="J153" s="1973"/>
      <c r="K153" s="1973"/>
      <c r="L153" s="1973"/>
      <c r="M153" s="1973"/>
      <c r="N153" s="1973"/>
      <c r="O153" s="1973"/>
      <c r="P153" s="1973"/>
      <c r="Q153" s="1973"/>
      <c r="R153" s="1973"/>
      <c r="S153" s="1973"/>
      <c r="T153" s="1973"/>
      <c r="U153" s="1973"/>
      <c r="V153" s="1973"/>
      <c r="W153" s="1973"/>
      <c r="X153" s="1973"/>
      <c r="Y153" s="1973"/>
      <c r="Z153" s="1973"/>
      <c r="AA153" s="1973"/>
      <c r="AB153" s="1973"/>
      <c r="AC153" s="1973"/>
      <c r="AD153" s="1973"/>
      <c r="AE153" s="1973"/>
      <c r="AF153" s="1973"/>
      <c r="AG153" s="1973"/>
      <c r="AH153" s="1974">
        <f t="shared" si="133"/>
        <v>0</v>
      </c>
      <c r="AJ153" s="1524" t="s">
        <v>77</v>
      </c>
      <c r="AK153" s="1527">
        <f t="shared" si="127"/>
        <v>0</v>
      </c>
      <c r="AL153" s="1835"/>
      <c r="AM153" s="1835"/>
      <c r="AN153" s="1835"/>
      <c r="AO153" s="1835"/>
      <c r="AP153" s="1835"/>
      <c r="AQ153" s="1835"/>
      <c r="AR153" s="1835"/>
      <c r="AS153" s="1835"/>
      <c r="AT153" s="1835"/>
      <c r="AU153" s="1835"/>
      <c r="AV153" s="1835"/>
      <c r="AW153" s="1835"/>
      <c r="AX153" s="1835"/>
      <c r="AY153" s="1835"/>
      <c r="AZ153" s="1835"/>
      <c r="BA153" s="1835"/>
      <c r="BB153" s="1835"/>
      <c r="BC153" s="1835"/>
      <c r="BD153" s="1835"/>
      <c r="BE153" s="1877"/>
      <c r="BF153" s="1877"/>
      <c r="BG153" s="1877"/>
      <c r="BH153" s="1872"/>
      <c r="BI153" s="1877"/>
      <c r="BJ153" s="1872"/>
      <c r="BK153" s="1877"/>
      <c r="BL153" s="1872"/>
      <c r="BM153" s="1877"/>
      <c r="BN153" s="1877"/>
      <c r="BO153" s="1877"/>
      <c r="BP153" s="1877"/>
      <c r="BQ153" s="1834">
        <f t="shared" si="128"/>
        <v>0</v>
      </c>
      <c r="BS153" s="1621" t="s">
        <v>77</v>
      </c>
      <c r="BT153" s="1622">
        <f t="shared" si="129"/>
        <v>0</v>
      </c>
      <c r="BU153" s="1876"/>
      <c r="BV153" s="1876"/>
      <c r="BW153" s="1876"/>
      <c r="BX153" s="1871"/>
      <c r="BY153" s="1876"/>
      <c r="BZ153" s="1871"/>
      <c r="CA153" s="1876"/>
      <c r="CB153" s="1871"/>
      <c r="CC153" s="1876"/>
      <c r="CD153" s="1876"/>
      <c r="CE153" s="1876"/>
      <c r="CF153" s="1876"/>
      <c r="CG153" s="1827"/>
      <c r="CH153" s="1827"/>
      <c r="CI153" s="1827"/>
      <c r="CJ153" s="1827"/>
      <c r="CK153" s="1827"/>
      <c r="CL153" s="1827"/>
      <c r="CM153" s="1827"/>
      <c r="CN153" s="1827"/>
      <c r="CO153" s="1827"/>
      <c r="CP153" s="1827"/>
      <c r="CQ153" s="1827"/>
      <c r="CR153" s="1827"/>
      <c r="CS153" s="1827"/>
      <c r="CT153" s="1827"/>
      <c r="CU153" s="1827"/>
      <c r="CV153" s="1827"/>
      <c r="CW153" s="1827"/>
      <c r="CX153" s="1827"/>
      <c r="CY153" s="1827"/>
      <c r="CZ153" s="1826">
        <f t="shared" si="130"/>
        <v>0</v>
      </c>
      <c r="DB153" s="1054" t="s">
        <v>77</v>
      </c>
      <c r="DC153" s="1091">
        <f t="shared" si="131"/>
        <v>0</v>
      </c>
      <c r="DD153" s="1539"/>
      <c r="DE153" s="1539"/>
      <c r="DF153" s="1539"/>
      <c r="DG153" s="1539"/>
      <c r="DH153" s="1539"/>
      <c r="DI153" s="1539"/>
      <c r="DJ153" s="1539"/>
      <c r="DK153" s="1539"/>
      <c r="DL153" s="1539"/>
      <c r="DM153" s="1539"/>
      <c r="DN153" s="1539"/>
      <c r="DO153" s="1539"/>
      <c r="DP153" s="1539"/>
      <c r="DQ153" s="1539"/>
      <c r="DR153" s="1539"/>
      <c r="DS153" s="1539"/>
      <c r="DT153" s="1539"/>
      <c r="DU153" s="1539"/>
      <c r="DV153" s="1539"/>
      <c r="DW153" s="1539"/>
      <c r="DX153" s="1539"/>
      <c r="DY153" s="1539"/>
      <c r="DZ153" s="1539"/>
      <c r="EA153" s="1539"/>
      <c r="EB153" s="1539"/>
      <c r="EC153" s="1539"/>
      <c r="ED153" s="1539"/>
      <c r="EE153" s="1539"/>
      <c r="EF153" s="1539"/>
      <c r="EG153" s="1539"/>
      <c r="EH153" s="1539"/>
      <c r="EI153" s="1268">
        <f t="shared" si="132"/>
        <v>0</v>
      </c>
    </row>
    <row r="154" spans="1:139" ht="15">
      <c r="A154" s="1039" t="s">
        <v>78</v>
      </c>
      <c r="B154" s="1084">
        <f t="shared" si="126"/>
        <v>0</v>
      </c>
      <c r="C154" s="1973"/>
      <c r="D154" s="1973"/>
      <c r="E154" s="1973"/>
      <c r="F154" s="1973"/>
      <c r="G154" s="1973"/>
      <c r="H154" s="1973"/>
      <c r="I154" s="1973"/>
      <c r="J154" s="1973"/>
      <c r="K154" s="1973"/>
      <c r="L154" s="1973"/>
      <c r="M154" s="1973"/>
      <c r="N154" s="1973"/>
      <c r="O154" s="1973"/>
      <c r="P154" s="1973"/>
      <c r="Q154" s="1973"/>
      <c r="R154" s="1973"/>
      <c r="S154" s="1973"/>
      <c r="T154" s="1973"/>
      <c r="U154" s="1973"/>
      <c r="V154" s="1973"/>
      <c r="W154" s="1973"/>
      <c r="X154" s="1973"/>
      <c r="Y154" s="1973"/>
      <c r="Z154" s="1973"/>
      <c r="AA154" s="1973"/>
      <c r="AB154" s="1973"/>
      <c r="AC154" s="1973"/>
      <c r="AD154" s="1973"/>
      <c r="AE154" s="1973"/>
      <c r="AF154" s="1973"/>
      <c r="AG154" s="1973"/>
      <c r="AH154" s="1974">
        <f t="shared" si="133"/>
        <v>0</v>
      </c>
      <c r="AJ154" s="1524" t="s">
        <v>78</v>
      </c>
      <c r="AK154" s="1527">
        <f t="shared" si="127"/>
        <v>0</v>
      </c>
      <c r="AL154" s="1835"/>
      <c r="AM154" s="1835"/>
      <c r="AN154" s="1835"/>
      <c r="AO154" s="1835"/>
      <c r="AP154" s="1835"/>
      <c r="AQ154" s="1835"/>
      <c r="AR154" s="1835"/>
      <c r="AS154" s="1835"/>
      <c r="AT154" s="1835"/>
      <c r="AU154" s="1835"/>
      <c r="AV154" s="1835"/>
      <c r="AW154" s="1835"/>
      <c r="AX154" s="1835"/>
      <c r="AY154" s="1835"/>
      <c r="AZ154" s="1835"/>
      <c r="BA154" s="1835"/>
      <c r="BB154" s="1835"/>
      <c r="BC154" s="1835"/>
      <c r="BD154" s="1835"/>
      <c r="BE154" s="1877"/>
      <c r="BF154" s="1877"/>
      <c r="BG154" s="1877"/>
      <c r="BH154" s="1877"/>
      <c r="BI154" s="1877"/>
      <c r="BJ154" s="1877"/>
      <c r="BK154" s="1877"/>
      <c r="BL154" s="1877"/>
      <c r="BM154" s="1877"/>
      <c r="BN154" s="1877"/>
      <c r="BO154" s="1877"/>
      <c r="BP154" s="1872"/>
      <c r="BQ154" s="1834">
        <f t="shared" si="128"/>
        <v>0</v>
      </c>
      <c r="BS154" s="1621" t="s">
        <v>78</v>
      </c>
      <c r="BT154" s="1622">
        <f t="shared" si="129"/>
        <v>0</v>
      </c>
      <c r="BU154" s="1876"/>
      <c r="BV154" s="1876"/>
      <c r="BW154" s="1876"/>
      <c r="BX154" s="1876"/>
      <c r="BY154" s="1876"/>
      <c r="BZ154" s="1876"/>
      <c r="CA154" s="1876"/>
      <c r="CB154" s="1876"/>
      <c r="CC154" s="1876"/>
      <c r="CD154" s="1876"/>
      <c r="CE154" s="1876"/>
      <c r="CF154" s="1871"/>
      <c r="CG154" s="1827"/>
      <c r="CH154" s="1827"/>
      <c r="CI154" s="1827"/>
      <c r="CJ154" s="1827"/>
      <c r="CK154" s="1827"/>
      <c r="CL154" s="1827"/>
      <c r="CM154" s="1827"/>
      <c r="CN154" s="1827"/>
      <c r="CO154" s="1827"/>
      <c r="CP154" s="1827"/>
      <c r="CQ154" s="1827"/>
      <c r="CR154" s="1827"/>
      <c r="CS154" s="1827"/>
      <c r="CT154" s="1827"/>
      <c r="CU154" s="1827"/>
      <c r="CV154" s="1827"/>
      <c r="CW154" s="1827"/>
      <c r="CX154" s="1827"/>
      <c r="CY154" s="1827"/>
      <c r="CZ154" s="1826">
        <f t="shared" si="130"/>
        <v>0</v>
      </c>
      <c r="DB154" s="1054" t="s">
        <v>78</v>
      </c>
      <c r="DC154" s="1091">
        <f t="shared" si="131"/>
        <v>0</v>
      </c>
      <c r="DD154" s="1539"/>
      <c r="DE154" s="1539"/>
      <c r="DF154" s="1539"/>
      <c r="DG154" s="1539"/>
      <c r="DH154" s="1539"/>
      <c r="DI154" s="1539"/>
      <c r="DJ154" s="1539"/>
      <c r="DK154" s="1539"/>
      <c r="DL154" s="1539"/>
      <c r="DM154" s="1539"/>
      <c r="DN154" s="1539"/>
      <c r="DO154" s="1539"/>
      <c r="DP154" s="1539"/>
      <c r="DQ154" s="1539"/>
      <c r="DR154" s="1539"/>
      <c r="DS154" s="1539"/>
      <c r="DT154" s="1539"/>
      <c r="DU154" s="1539"/>
      <c r="DV154" s="1539"/>
      <c r="DW154" s="1539"/>
      <c r="DX154" s="1539"/>
      <c r="DY154" s="1539"/>
      <c r="DZ154" s="1539"/>
      <c r="EA154" s="1539"/>
      <c r="EB154" s="1539"/>
      <c r="EC154" s="1539"/>
      <c r="ED154" s="1539"/>
      <c r="EE154" s="1539"/>
      <c r="EF154" s="1539"/>
      <c r="EG154" s="1539"/>
      <c r="EH154" s="1539"/>
      <c r="EI154" s="1268">
        <f t="shared" si="132"/>
        <v>0</v>
      </c>
    </row>
    <row r="155" spans="1:139" ht="15">
      <c r="A155" s="1039" t="s">
        <v>79</v>
      </c>
      <c r="B155" s="1084">
        <f t="shared" si="126"/>
        <v>0</v>
      </c>
      <c r="C155" s="1973"/>
      <c r="D155" s="1973"/>
      <c r="E155" s="1973"/>
      <c r="F155" s="1973"/>
      <c r="G155" s="1973"/>
      <c r="H155" s="1973"/>
      <c r="I155" s="1973"/>
      <c r="J155" s="1973"/>
      <c r="K155" s="1973"/>
      <c r="L155" s="1973"/>
      <c r="M155" s="1973"/>
      <c r="N155" s="1973"/>
      <c r="O155" s="1973"/>
      <c r="P155" s="1973"/>
      <c r="Q155" s="1973"/>
      <c r="R155" s="1973"/>
      <c r="S155" s="1973"/>
      <c r="T155" s="1973"/>
      <c r="U155" s="1973"/>
      <c r="V155" s="1973"/>
      <c r="W155" s="1973"/>
      <c r="X155" s="1973"/>
      <c r="Y155" s="1973"/>
      <c r="Z155" s="1973"/>
      <c r="AA155" s="1973"/>
      <c r="AB155" s="1973"/>
      <c r="AC155" s="1973"/>
      <c r="AD155" s="1973"/>
      <c r="AE155" s="1973"/>
      <c r="AF155" s="1973"/>
      <c r="AG155" s="1973"/>
      <c r="AH155" s="1974">
        <f t="shared" si="133"/>
        <v>0</v>
      </c>
      <c r="AJ155" s="1524" t="s">
        <v>79</v>
      </c>
      <c r="AK155" s="1527">
        <f t="shared" si="127"/>
        <v>0</v>
      </c>
      <c r="AL155" s="1835"/>
      <c r="AM155" s="1835"/>
      <c r="AN155" s="1835"/>
      <c r="AO155" s="1835"/>
      <c r="AP155" s="1835"/>
      <c r="AQ155" s="1835"/>
      <c r="AR155" s="1835"/>
      <c r="AS155" s="1835"/>
      <c r="AT155" s="1835"/>
      <c r="AU155" s="1835"/>
      <c r="AV155" s="1835"/>
      <c r="AW155" s="1835"/>
      <c r="AX155" s="1835"/>
      <c r="AY155" s="1835"/>
      <c r="AZ155" s="1835"/>
      <c r="BA155" s="1835"/>
      <c r="BB155" s="1835"/>
      <c r="BC155" s="1835"/>
      <c r="BD155" s="1835"/>
      <c r="BE155" s="1877"/>
      <c r="BF155" s="1877"/>
      <c r="BG155" s="1877"/>
      <c r="BH155" s="1877"/>
      <c r="BI155" s="1877"/>
      <c r="BJ155" s="1877"/>
      <c r="BK155" s="1877"/>
      <c r="BL155" s="1877"/>
      <c r="BM155" s="1877"/>
      <c r="BN155" s="1877"/>
      <c r="BO155" s="1877"/>
      <c r="BP155" s="1877"/>
      <c r="BQ155" s="1834">
        <f t="shared" si="128"/>
        <v>0</v>
      </c>
      <c r="BS155" s="1621" t="s">
        <v>79</v>
      </c>
      <c r="BT155" s="1622">
        <f t="shared" si="129"/>
        <v>0</v>
      </c>
      <c r="BU155" s="1876"/>
      <c r="BV155" s="1876"/>
      <c r="BW155" s="1876"/>
      <c r="BX155" s="1876"/>
      <c r="BY155" s="1876"/>
      <c r="BZ155" s="1876"/>
      <c r="CA155" s="1876"/>
      <c r="CB155" s="1876"/>
      <c r="CC155" s="1876"/>
      <c r="CD155" s="1876"/>
      <c r="CE155" s="1876"/>
      <c r="CF155" s="1876"/>
      <c r="CG155" s="1827"/>
      <c r="CH155" s="1827"/>
      <c r="CI155" s="1827"/>
      <c r="CJ155" s="1827"/>
      <c r="CK155" s="1827"/>
      <c r="CL155" s="1827"/>
      <c r="CM155" s="1827"/>
      <c r="CN155" s="1827"/>
      <c r="CO155" s="1827"/>
      <c r="CP155" s="1827"/>
      <c r="CQ155" s="1827"/>
      <c r="CR155" s="1827"/>
      <c r="CS155" s="1827"/>
      <c r="CT155" s="1827"/>
      <c r="CU155" s="1827"/>
      <c r="CV155" s="1827"/>
      <c r="CW155" s="1827"/>
      <c r="CX155" s="1827"/>
      <c r="CY155" s="1827"/>
      <c r="CZ155" s="1826">
        <f t="shared" si="130"/>
        <v>0</v>
      </c>
      <c r="DB155" s="1054" t="s">
        <v>79</v>
      </c>
      <c r="DC155" s="1091">
        <f t="shared" si="131"/>
        <v>0</v>
      </c>
      <c r="DD155" s="1539"/>
      <c r="DE155" s="1539"/>
      <c r="DF155" s="1539"/>
      <c r="DG155" s="1539"/>
      <c r="DH155" s="1539"/>
      <c r="DI155" s="1539"/>
      <c r="DJ155" s="1539"/>
      <c r="DK155" s="1539"/>
      <c r="DL155" s="1539"/>
      <c r="DM155" s="1539"/>
      <c r="DN155" s="1539"/>
      <c r="DO155" s="1539"/>
      <c r="DP155" s="1539"/>
      <c r="DQ155" s="1539"/>
      <c r="DR155" s="1539"/>
      <c r="DS155" s="1539"/>
      <c r="DT155" s="1539"/>
      <c r="DU155" s="1539"/>
      <c r="DV155" s="1539"/>
      <c r="DW155" s="1539"/>
      <c r="DX155" s="1539"/>
      <c r="DY155" s="1539"/>
      <c r="DZ155" s="1539"/>
      <c r="EA155" s="1539"/>
      <c r="EB155" s="1539"/>
      <c r="EC155" s="1539"/>
      <c r="ED155" s="1539"/>
      <c r="EE155" s="1539"/>
      <c r="EF155" s="1539"/>
      <c r="EG155" s="1539"/>
      <c r="EH155" s="1539"/>
      <c r="EI155" s="1268">
        <f t="shared" si="132"/>
        <v>0</v>
      </c>
    </row>
    <row r="156" spans="1:139" ht="15">
      <c r="A156" s="1039" t="s">
        <v>80</v>
      </c>
      <c r="B156" s="1084">
        <f t="shared" si="126"/>
        <v>0</v>
      </c>
      <c r="C156" s="1973"/>
      <c r="D156" s="1973"/>
      <c r="E156" s="1973"/>
      <c r="F156" s="1973"/>
      <c r="G156" s="1973"/>
      <c r="H156" s="1973"/>
      <c r="I156" s="1973"/>
      <c r="J156" s="1973"/>
      <c r="K156" s="1973"/>
      <c r="L156" s="1973"/>
      <c r="M156" s="1973"/>
      <c r="N156" s="1973"/>
      <c r="O156" s="1973"/>
      <c r="P156" s="1973"/>
      <c r="Q156" s="1973"/>
      <c r="R156" s="1973"/>
      <c r="S156" s="1973"/>
      <c r="T156" s="1973"/>
      <c r="U156" s="1973"/>
      <c r="V156" s="1973"/>
      <c r="W156" s="1973"/>
      <c r="X156" s="1973"/>
      <c r="Y156" s="1973"/>
      <c r="Z156" s="1973"/>
      <c r="AA156" s="1973"/>
      <c r="AB156" s="1973"/>
      <c r="AC156" s="1973"/>
      <c r="AD156" s="1973"/>
      <c r="AE156" s="1973"/>
      <c r="AF156" s="1973"/>
      <c r="AG156" s="1973"/>
      <c r="AH156" s="1974">
        <f t="shared" si="133"/>
        <v>0</v>
      </c>
      <c r="AJ156" s="1524" t="s">
        <v>80</v>
      </c>
      <c r="AK156" s="1527">
        <f t="shared" si="127"/>
        <v>0</v>
      </c>
      <c r="AL156" s="1835"/>
      <c r="AM156" s="1835"/>
      <c r="AN156" s="1835"/>
      <c r="AO156" s="1835"/>
      <c r="AP156" s="1835"/>
      <c r="AQ156" s="1835"/>
      <c r="AR156" s="1835"/>
      <c r="AS156" s="1835"/>
      <c r="AT156" s="1835"/>
      <c r="AU156" s="1835"/>
      <c r="AV156" s="1835"/>
      <c r="AW156" s="1835"/>
      <c r="AX156" s="1835"/>
      <c r="AY156" s="1835"/>
      <c r="AZ156" s="1835"/>
      <c r="BA156" s="1835"/>
      <c r="BB156" s="1835"/>
      <c r="BC156" s="1835"/>
      <c r="BD156" s="1835"/>
      <c r="BE156" s="1872"/>
      <c r="BF156" s="1875"/>
      <c r="BG156" s="1872"/>
      <c r="BH156" s="1872"/>
      <c r="BI156" s="1872"/>
      <c r="BJ156" s="1872"/>
      <c r="BK156" s="1872"/>
      <c r="BL156" s="1872"/>
      <c r="BM156" s="1872"/>
      <c r="BN156" s="1872"/>
      <c r="BO156" s="1872"/>
      <c r="BP156" s="1872"/>
      <c r="BQ156" s="1834">
        <f t="shared" si="128"/>
        <v>0</v>
      </c>
      <c r="BS156" s="1621" t="s">
        <v>80</v>
      </c>
      <c r="BT156" s="1622">
        <f t="shared" si="129"/>
        <v>0</v>
      </c>
      <c r="BU156" s="1871"/>
      <c r="BV156" s="1874"/>
      <c r="BW156" s="1871"/>
      <c r="BX156" s="1871"/>
      <c r="BY156" s="1871"/>
      <c r="BZ156" s="1871"/>
      <c r="CA156" s="1871"/>
      <c r="CB156" s="1871"/>
      <c r="CC156" s="1871"/>
      <c r="CD156" s="1871"/>
      <c r="CE156" s="1871"/>
      <c r="CF156" s="1871"/>
      <c r="CG156" s="1827"/>
      <c r="CH156" s="1827"/>
      <c r="CI156" s="1827"/>
      <c r="CJ156" s="1827"/>
      <c r="CK156" s="1827"/>
      <c r="CL156" s="1827"/>
      <c r="CM156" s="1827"/>
      <c r="CN156" s="1827"/>
      <c r="CO156" s="1827"/>
      <c r="CP156" s="1827"/>
      <c r="CQ156" s="1827"/>
      <c r="CR156" s="1827"/>
      <c r="CS156" s="1827"/>
      <c r="CT156" s="1827"/>
      <c r="CU156" s="1827"/>
      <c r="CV156" s="1827"/>
      <c r="CW156" s="1827"/>
      <c r="CX156" s="1827"/>
      <c r="CY156" s="1827"/>
      <c r="CZ156" s="1826">
        <f t="shared" si="130"/>
        <v>0</v>
      </c>
      <c r="DB156" s="1054" t="s">
        <v>80</v>
      </c>
      <c r="DC156" s="1091">
        <f t="shared" si="131"/>
        <v>0</v>
      </c>
      <c r="DD156" s="1539"/>
      <c r="DE156" s="1539"/>
      <c r="DF156" s="1539"/>
      <c r="DG156" s="1539"/>
      <c r="DH156" s="1539"/>
      <c r="DI156" s="1539"/>
      <c r="DJ156" s="1539"/>
      <c r="DK156" s="1539"/>
      <c r="DL156" s="1539"/>
      <c r="DM156" s="1539"/>
      <c r="DN156" s="1539"/>
      <c r="DO156" s="1539"/>
      <c r="DP156" s="1539"/>
      <c r="DQ156" s="1539"/>
      <c r="DR156" s="1539"/>
      <c r="DS156" s="1539"/>
      <c r="DT156" s="1539"/>
      <c r="DU156" s="1539"/>
      <c r="DV156" s="1539"/>
      <c r="DW156" s="1539"/>
      <c r="DX156" s="1539"/>
      <c r="DY156" s="1539"/>
      <c r="DZ156" s="1539"/>
      <c r="EA156" s="1539"/>
      <c r="EB156" s="1539"/>
      <c r="EC156" s="1539"/>
      <c r="ED156" s="1539"/>
      <c r="EE156" s="1539"/>
      <c r="EF156" s="1539"/>
      <c r="EG156" s="1539"/>
      <c r="EH156" s="1539"/>
      <c r="EI156" s="1268">
        <f t="shared" si="132"/>
        <v>0</v>
      </c>
    </row>
    <row r="157" spans="1:139" ht="15">
      <c r="A157" s="1039" t="s">
        <v>81</v>
      </c>
      <c r="B157" s="1084">
        <f t="shared" si="126"/>
        <v>0</v>
      </c>
      <c r="C157" s="1973"/>
      <c r="D157" s="1973"/>
      <c r="E157" s="1973"/>
      <c r="F157" s="1973"/>
      <c r="G157" s="1973"/>
      <c r="H157" s="1973"/>
      <c r="I157" s="1973"/>
      <c r="J157" s="1973"/>
      <c r="K157" s="1973"/>
      <c r="L157" s="1973"/>
      <c r="M157" s="1973"/>
      <c r="N157" s="1973"/>
      <c r="O157" s="1973"/>
      <c r="P157" s="1973"/>
      <c r="Q157" s="1973"/>
      <c r="R157" s="1973"/>
      <c r="S157" s="1973"/>
      <c r="T157" s="1973"/>
      <c r="U157" s="1973"/>
      <c r="V157" s="1973"/>
      <c r="W157" s="1973"/>
      <c r="X157" s="1973"/>
      <c r="Y157" s="1973"/>
      <c r="Z157" s="1973"/>
      <c r="AA157" s="1973"/>
      <c r="AB157" s="1973"/>
      <c r="AC157" s="1973"/>
      <c r="AD157" s="1973"/>
      <c r="AE157" s="1973"/>
      <c r="AF157" s="1973"/>
      <c r="AG157" s="1973"/>
      <c r="AH157" s="1974">
        <f t="shared" si="133"/>
        <v>0</v>
      </c>
      <c r="AJ157" s="1524" t="s">
        <v>81</v>
      </c>
      <c r="AK157" s="1527">
        <f t="shared" si="127"/>
        <v>0</v>
      </c>
      <c r="AL157" s="1835"/>
      <c r="AM157" s="1835"/>
      <c r="AN157" s="1835"/>
      <c r="AO157" s="1835"/>
      <c r="AP157" s="1835"/>
      <c r="AQ157" s="1835"/>
      <c r="AR157" s="1835"/>
      <c r="AS157" s="1835"/>
      <c r="AT157" s="1835"/>
      <c r="AU157" s="1835"/>
      <c r="AV157" s="1835"/>
      <c r="AW157" s="1835"/>
      <c r="AX157" s="1835"/>
      <c r="AY157" s="1835"/>
      <c r="AZ157" s="1835"/>
      <c r="BA157" s="1835"/>
      <c r="BB157" s="1835"/>
      <c r="BC157" s="1835"/>
      <c r="BD157" s="1835"/>
      <c r="BE157" s="1872"/>
      <c r="BF157" s="1872"/>
      <c r="BG157" s="1872"/>
      <c r="BH157" s="1872"/>
      <c r="BI157" s="1872"/>
      <c r="BJ157" s="1872"/>
      <c r="BK157" s="1872"/>
      <c r="BL157" s="1872"/>
      <c r="BM157" s="1872"/>
      <c r="BN157" s="1872"/>
      <c r="BO157" s="1872"/>
      <c r="BP157" s="1872"/>
      <c r="BQ157" s="1834">
        <f t="shared" si="128"/>
        <v>0</v>
      </c>
      <c r="BS157" s="1621" t="s">
        <v>81</v>
      </c>
      <c r="BT157" s="1622">
        <f t="shared" si="129"/>
        <v>0</v>
      </c>
      <c r="BU157" s="1871"/>
      <c r="BV157" s="1871"/>
      <c r="BW157" s="1871"/>
      <c r="BX157" s="1871"/>
      <c r="BY157" s="1871"/>
      <c r="BZ157" s="1871"/>
      <c r="CA157" s="1871"/>
      <c r="CB157" s="1871"/>
      <c r="CC157" s="1871"/>
      <c r="CD157" s="1871"/>
      <c r="CE157" s="1871"/>
      <c r="CF157" s="1871"/>
      <c r="CG157" s="1827"/>
      <c r="CH157" s="1827"/>
      <c r="CI157" s="1827"/>
      <c r="CJ157" s="1827"/>
      <c r="CK157" s="1827"/>
      <c r="CL157" s="1827"/>
      <c r="CM157" s="1827"/>
      <c r="CN157" s="1827"/>
      <c r="CO157" s="1827"/>
      <c r="CP157" s="1827"/>
      <c r="CQ157" s="1827"/>
      <c r="CR157" s="1827"/>
      <c r="CS157" s="1827"/>
      <c r="CT157" s="1827"/>
      <c r="CU157" s="1827"/>
      <c r="CV157" s="1827"/>
      <c r="CW157" s="1827"/>
      <c r="CX157" s="1827"/>
      <c r="CY157" s="1827"/>
      <c r="CZ157" s="1826">
        <f t="shared" si="130"/>
        <v>0</v>
      </c>
      <c r="DB157" s="1054" t="s">
        <v>81</v>
      </c>
      <c r="DC157" s="1091">
        <f t="shared" si="131"/>
        <v>0</v>
      </c>
      <c r="DD157" s="1539"/>
      <c r="DE157" s="1539"/>
      <c r="DF157" s="1539"/>
      <c r="DG157" s="1539"/>
      <c r="DH157" s="1539"/>
      <c r="DI157" s="1539"/>
      <c r="DJ157" s="1539"/>
      <c r="DK157" s="1539"/>
      <c r="DL157" s="1539"/>
      <c r="DM157" s="1539"/>
      <c r="DN157" s="1539"/>
      <c r="DO157" s="1539"/>
      <c r="DP157" s="1539"/>
      <c r="DQ157" s="1539"/>
      <c r="DR157" s="1539"/>
      <c r="DS157" s="1539"/>
      <c r="DT157" s="1539"/>
      <c r="DU157" s="1539"/>
      <c r="DV157" s="1539"/>
      <c r="DW157" s="1539"/>
      <c r="DX157" s="1539"/>
      <c r="DY157" s="1539"/>
      <c r="DZ157" s="1539"/>
      <c r="EA157" s="1539"/>
      <c r="EB157" s="1539"/>
      <c r="EC157" s="1539"/>
      <c r="ED157" s="1539"/>
      <c r="EE157" s="1539"/>
      <c r="EF157" s="1539"/>
      <c r="EG157" s="1539"/>
      <c r="EH157" s="1539"/>
      <c r="EI157" s="1268">
        <f t="shared" si="132"/>
        <v>0</v>
      </c>
    </row>
    <row r="158" spans="1:139" ht="15">
      <c r="A158" s="1039" t="s">
        <v>82</v>
      </c>
      <c r="B158" s="1084">
        <f t="shared" si="126"/>
        <v>0</v>
      </c>
      <c r="C158" s="1973"/>
      <c r="D158" s="1973"/>
      <c r="E158" s="1973"/>
      <c r="F158" s="1973"/>
      <c r="G158" s="1973"/>
      <c r="H158" s="1973"/>
      <c r="I158" s="1973"/>
      <c r="J158" s="1973"/>
      <c r="K158" s="1973"/>
      <c r="L158" s="1973"/>
      <c r="M158" s="1973"/>
      <c r="N158" s="1973"/>
      <c r="O158" s="1973"/>
      <c r="P158" s="1973"/>
      <c r="Q158" s="1973"/>
      <c r="R158" s="1972"/>
      <c r="S158" s="1972"/>
      <c r="T158" s="1972"/>
      <c r="U158" s="1972"/>
      <c r="V158" s="1972"/>
      <c r="W158" s="1972"/>
      <c r="X158" s="1972"/>
      <c r="Y158" s="1972"/>
      <c r="Z158" s="1972"/>
      <c r="AA158" s="1972"/>
      <c r="AB158" s="1972"/>
      <c r="AC158" s="1972"/>
      <c r="AD158" s="1972"/>
      <c r="AE158" s="1972"/>
      <c r="AF158" s="1972"/>
      <c r="AG158" s="1972"/>
      <c r="AH158" s="1974">
        <f t="shared" si="133"/>
        <v>0</v>
      </c>
      <c r="AJ158" s="1524" t="s">
        <v>82</v>
      </c>
      <c r="AK158" s="1527">
        <f t="shared" si="127"/>
        <v>0</v>
      </c>
      <c r="AL158" s="1835"/>
      <c r="AM158" s="1835"/>
      <c r="AN158" s="1835"/>
      <c r="AO158" s="1835"/>
      <c r="AP158" s="1835"/>
      <c r="AQ158" s="1835"/>
      <c r="AR158" s="1835"/>
      <c r="AS158" s="1835"/>
      <c r="AT158" s="1835"/>
      <c r="AU158" s="1835"/>
      <c r="AV158" s="1835"/>
      <c r="AW158" s="1835"/>
      <c r="AX158" s="1835"/>
      <c r="AY158" s="1835"/>
      <c r="AZ158" s="1835"/>
      <c r="BA158" s="1838"/>
      <c r="BB158" s="1838"/>
      <c r="BC158" s="1838"/>
      <c r="BD158" s="1838"/>
      <c r="BE158" s="1872"/>
      <c r="BF158" s="1872"/>
      <c r="BG158" s="1872"/>
      <c r="BH158" s="1872"/>
      <c r="BI158" s="1872"/>
      <c r="BJ158" s="1872"/>
      <c r="BK158" s="1872"/>
      <c r="BL158" s="1872"/>
      <c r="BM158" s="1872"/>
      <c r="BN158" s="1872"/>
      <c r="BO158" s="1872"/>
      <c r="BP158" s="1872"/>
      <c r="BQ158" s="1834">
        <f t="shared" si="128"/>
        <v>0</v>
      </c>
      <c r="BS158" s="1621" t="s">
        <v>82</v>
      </c>
      <c r="BT158" s="1622">
        <f t="shared" si="129"/>
        <v>0</v>
      </c>
      <c r="BU158" s="1871"/>
      <c r="BV158" s="1871"/>
      <c r="BW158" s="1871"/>
      <c r="BX158" s="1871"/>
      <c r="BY158" s="1871"/>
      <c r="BZ158" s="1871"/>
      <c r="CA158" s="1871"/>
      <c r="CB158" s="1871"/>
      <c r="CC158" s="1871"/>
      <c r="CD158" s="1871"/>
      <c r="CE158" s="1871"/>
      <c r="CF158" s="1871"/>
      <c r="CG158" s="1827"/>
      <c r="CH158" s="1827"/>
      <c r="CI158" s="1827"/>
      <c r="CJ158" s="1830"/>
      <c r="CK158" s="1830"/>
      <c r="CL158" s="1830"/>
      <c r="CM158" s="1830"/>
      <c r="CN158" s="1830"/>
      <c r="CO158" s="1830"/>
      <c r="CP158" s="1830"/>
      <c r="CQ158" s="1830"/>
      <c r="CR158" s="1830"/>
      <c r="CS158" s="1830"/>
      <c r="CT158" s="1830"/>
      <c r="CU158" s="1830"/>
      <c r="CV158" s="1830"/>
      <c r="CW158" s="1830"/>
      <c r="CX158" s="1830"/>
      <c r="CY158" s="1830"/>
      <c r="CZ158" s="1826">
        <f t="shared" si="130"/>
        <v>0</v>
      </c>
      <c r="DB158" s="1054" t="s">
        <v>82</v>
      </c>
      <c r="DC158" s="1091">
        <f t="shared" si="131"/>
        <v>0</v>
      </c>
      <c r="DD158" s="1539"/>
      <c r="DE158" s="1539"/>
      <c r="DF158" s="1539"/>
      <c r="DG158" s="1539"/>
      <c r="DH158" s="1539"/>
      <c r="DI158" s="1539"/>
      <c r="DJ158" s="1539"/>
      <c r="DK158" s="1539"/>
      <c r="DL158" s="1539"/>
      <c r="DM158" s="1539"/>
      <c r="DN158" s="1539"/>
      <c r="DO158" s="1539"/>
      <c r="DP158" s="1539"/>
      <c r="DQ158" s="1539"/>
      <c r="DR158" s="1539"/>
      <c r="DS158" s="1596"/>
      <c r="DT158" s="1596"/>
      <c r="DU158" s="1596"/>
      <c r="DV158" s="1596"/>
      <c r="DW158" s="1596"/>
      <c r="DX158" s="1596"/>
      <c r="DY158" s="1596"/>
      <c r="DZ158" s="1596"/>
      <c r="EA158" s="1596"/>
      <c r="EB158" s="1596"/>
      <c r="EC158" s="1596"/>
      <c r="ED158" s="1596"/>
      <c r="EE158" s="1596"/>
      <c r="EF158" s="1596"/>
      <c r="EG158" s="1596"/>
      <c r="EH158" s="1596"/>
      <c r="EI158" s="1268">
        <f t="shared" si="132"/>
        <v>0</v>
      </c>
    </row>
    <row r="159" spans="1:139" ht="15">
      <c r="A159" s="1039" t="s">
        <v>83</v>
      </c>
      <c r="B159" s="1084">
        <f t="shared" si="126"/>
        <v>0</v>
      </c>
      <c r="C159" s="1973"/>
      <c r="D159" s="1972"/>
      <c r="E159" s="1972"/>
      <c r="F159" s="1972"/>
      <c r="G159" s="1972"/>
      <c r="H159" s="1972"/>
      <c r="I159" s="1972"/>
      <c r="J159" s="1972"/>
      <c r="K159" s="1972"/>
      <c r="L159" s="1972"/>
      <c r="M159" s="1972"/>
      <c r="N159" s="1972"/>
      <c r="O159" s="1972"/>
      <c r="P159" s="1972"/>
      <c r="Q159" s="1972"/>
      <c r="R159" s="1987"/>
      <c r="S159" s="1987"/>
      <c r="T159" s="1987"/>
      <c r="U159" s="1987"/>
      <c r="V159" s="1987"/>
      <c r="W159" s="1987"/>
      <c r="X159" s="1987"/>
      <c r="Y159" s="1987"/>
      <c r="Z159" s="1987"/>
      <c r="AA159" s="1987"/>
      <c r="AB159" s="1987"/>
      <c r="AC159" s="1987"/>
      <c r="AD159" s="1987"/>
      <c r="AE159" s="1987"/>
      <c r="AF159" s="1987"/>
      <c r="AG159" s="1973"/>
      <c r="AH159" s="1974">
        <f t="shared" si="133"/>
        <v>0</v>
      </c>
      <c r="AJ159" s="1524" t="s">
        <v>83</v>
      </c>
      <c r="AK159" s="1527">
        <f t="shared" si="127"/>
        <v>0</v>
      </c>
      <c r="AL159" s="1835"/>
      <c r="AM159" s="1838"/>
      <c r="AN159" s="1838"/>
      <c r="AO159" s="1838"/>
      <c r="AP159" s="1838"/>
      <c r="AQ159" s="1838"/>
      <c r="AR159" s="1838"/>
      <c r="AS159" s="1838"/>
      <c r="AT159" s="1838"/>
      <c r="AU159" s="1838"/>
      <c r="AV159" s="1838"/>
      <c r="AW159" s="1838"/>
      <c r="AX159" s="1838"/>
      <c r="AY159" s="1838"/>
      <c r="AZ159" s="1838"/>
      <c r="BA159" s="1873"/>
      <c r="BB159" s="1873"/>
      <c r="BC159" s="1873"/>
      <c r="BD159" s="1873"/>
      <c r="BE159" s="1872"/>
      <c r="BF159" s="1872"/>
      <c r="BG159" s="1872"/>
      <c r="BH159" s="1872"/>
      <c r="BI159" s="1872"/>
      <c r="BJ159" s="1872"/>
      <c r="BK159" s="1872"/>
      <c r="BL159" s="1872"/>
      <c r="BM159" s="1872"/>
      <c r="BN159" s="1872"/>
      <c r="BO159" s="1872"/>
      <c r="BP159" s="1872"/>
      <c r="BQ159" s="1834">
        <f t="shared" si="128"/>
        <v>0</v>
      </c>
      <c r="BS159" s="1621" t="s">
        <v>83</v>
      </c>
      <c r="BT159" s="1622">
        <f t="shared" si="129"/>
        <v>0</v>
      </c>
      <c r="BU159" s="1871"/>
      <c r="BV159" s="1871"/>
      <c r="BW159" s="1871"/>
      <c r="BX159" s="1871"/>
      <c r="BY159" s="1871"/>
      <c r="BZ159" s="1871"/>
      <c r="CA159" s="1871"/>
      <c r="CB159" s="1871"/>
      <c r="CC159" s="1871"/>
      <c r="CD159" s="1871"/>
      <c r="CE159" s="1871"/>
      <c r="CF159" s="1871"/>
      <c r="CG159" s="1830"/>
      <c r="CH159" s="1830"/>
      <c r="CI159" s="1830"/>
      <c r="CJ159" s="1853"/>
      <c r="CK159" s="1853"/>
      <c r="CL159" s="1853"/>
      <c r="CM159" s="1853"/>
      <c r="CN159" s="1853"/>
      <c r="CO159" s="1853"/>
      <c r="CP159" s="1853"/>
      <c r="CQ159" s="1853"/>
      <c r="CR159" s="1853"/>
      <c r="CS159" s="1853"/>
      <c r="CT159" s="1853"/>
      <c r="CU159" s="1853"/>
      <c r="CV159" s="1853"/>
      <c r="CW159" s="1853"/>
      <c r="CX159" s="1853"/>
      <c r="CY159" s="1827"/>
      <c r="CZ159" s="1826">
        <f t="shared" si="130"/>
        <v>0</v>
      </c>
      <c r="DB159" s="1054" t="s">
        <v>83</v>
      </c>
      <c r="DC159" s="1091">
        <f t="shared" si="131"/>
        <v>0</v>
      </c>
      <c r="DD159" s="1539"/>
      <c r="DE159" s="1596"/>
      <c r="DF159" s="1596"/>
      <c r="DG159" s="1596"/>
      <c r="DH159" s="1596"/>
      <c r="DI159" s="1596"/>
      <c r="DJ159" s="1596"/>
      <c r="DK159" s="1596"/>
      <c r="DL159" s="1596"/>
      <c r="DM159" s="1596"/>
      <c r="DN159" s="1596"/>
      <c r="DO159" s="1596"/>
      <c r="DP159" s="1596"/>
      <c r="DQ159" s="1596"/>
      <c r="DR159" s="1596"/>
      <c r="DS159" s="1924"/>
      <c r="DT159" s="1924"/>
      <c r="DU159" s="1924"/>
      <c r="DV159" s="1924"/>
      <c r="DW159" s="1924"/>
      <c r="DX159" s="1924"/>
      <c r="DY159" s="1924"/>
      <c r="DZ159" s="1924"/>
      <c r="EA159" s="1924"/>
      <c r="EB159" s="1924"/>
      <c r="EC159" s="1924"/>
      <c r="ED159" s="1924"/>
      <c r="EE159" s="1924"/>
      <c r="EF159" s="1924"/>
      <c r="EG159" s="1924"/>
      <c r="EH159" s="1539"/>
      <c r="EI159" s="1268">
        <f t="shared" si="132"/>
        <v>0</v>
      </c>
    </row>
    <row r="160" spans="1:139" ht="15">
      <c r="A160" s="1039" t="s">
        <v>84</v>
      </c>
      <c r="B160" s="1084">
        <f t="shared" si="126"/>
        <v>0</v>
      </c>
      <c r="C160" s="1973"/>
      <c r="D160" s="1987"/>
      <c r="E160" s="1987"/>
      <c r="F160" s="1987"/>
      <c r="G160" s="1973"/>
      <c r="H160" s="1973"/>
      <c r="I160" s="1973"/>
      <c r="J160" s="1973"/>
      <c r="K160" s="1973"/>
      <c r="L160" s="1973"/>
      <c r="M160" s="1973"/>
      <c r="N160" s="1973"/>
      <c r="O160" s="1973"/>
      <c r="P160" s="1973"/>
      <c r="Q160" s="1973"/>
      <c r="R160" s="1973"/>
      <c r="S160" s="1973"/>
      <c r="T160" s="1973"/>
      <c r="U160" s="1973"/>
      <c r="V160" s="1973"/>
      <c r="W160" s="1973"/>
      <c r="X160" s="1973"/>
      <c r="Y160" s="1973"/>
      <c r="Z160" s="1973"/>
      <c r="AA160" s="1973"/>
      <c r="AB160" s="1973"/>
      <c r="AC160" s="1973"/>
      <c r="AD160" s="1973"/>
      <c r="AE160" s="1973"/>
      <c r="AF160" s="1973"/>
      <c r="AG160" s="1973"/>
      <c r="AH160" s="1974">
        <f t="shared" si="133"/>
        <v>0</v>
      </c>
      <c r="AJ160" s="1524" t="s">
        <v>84</v>
      </c>
      <c r="AK160" s="1527">
        <f t="shared" si="127"/>
        <v>0</v>
      </c>
      <c r="AL160" s="1835"/>
      <c r="AM160" s="1873"/>
      <c r="AN160" s="1873"/>
      <c r="AO160" s="1873"/>
      <c r="AP160" s="1835"/>
      <c r="AQ160" s="1835"/>
      <c r="AR160" s="1835"/>
      <c r="AS160" s="1835"/>
      <c r="AT160" s="1835"/>
      <c r="AU160" s="1835"/>
      <c r="AV160" s="1835"/>
      <c r="AW160" s="1835"/>
      <c r="AX160" s="1835"/>
      <c r="AY160" s="1835"/>
      <c r="AZ160" s="1835"/>
      <c r="BA160" s="1835"/>
      <c r="BB160" s="1835"/>
      <c r="BC160" s="1835"/>
      <c r="BD160" s="1835"/>
      <c r="BE160" s="1872"/>
      <c r="BF160" s="1872"/>
      <c r="BG160" s="1872"/>
      <c r="BH160" s="1872"/>
      <c r="BI160" s="1872"/>
      <c r="BJ160" s="1872"/>
      <c r="BK160" s="1872"/>
      <c r="BL160" s="1872"/>
      <c r="BM160" s="1872"/>
      <c r="BN160" s="1872"/>
      <c r="BO160" s="1872"/>
      <c r="BP160" s="1872"/>
      <c r="BQ160" s="1834">
        <f t="shared" si="128"/>
        <v>0</v>
      </c>
      <c r="BS160" s="1621" t="s">
        <v>84</v>
      </c>
      <c r="BT160" s="1622">
        <f t="shared" si="129"/>
        <v>0</v>
      </c>
      <c r="BU160" s="1871"/>
      <c r="BV160" s="1871"/>
      <c r="BW160" s="1871"/>
      <c r="BX160" s="1871"/>
      <c r="BY160" s="1871"/>
      <c r="BZ160" s="1871"/>
      <c r="CA160" s="1871"/>
      <c r="CB160" s="1871"/>
      <c r="CC160" s="1871"/>
      <c r="CD160" s="1871"/>
      <c r="CE160" s="1871"/>
      <c r="CF160" s="1871"/>
      <c r="CG160" s="1827"/>
      <c r="CH160" s="1827"/>
      <c r="CI160" s="1827"/>
      <c r="CJ160" s="1827"/>
      <c r="CK160" s="1827"/>
      <c r="CL160" s="1827"/>
      <c r="CM160" s="1827"/>
      <c r="CN160" s="1827"/>
      <c r="CO160" s="1827"/>
      <c r="CP160" s="1827"/>
      <c r="CQ160" s="1827"/>
      <c r="CR160" s="1827"/>
      <c r="CS160" s="1827"/>
      <c r="CT160" s="1827"/>
      <c r="CU160" s="1827"/>
      <c r="CV160" s="1827"/>
      <c r="CW160" s="1827"/>
      <c r="CX160" s="1827"/>
      <c r="CY160" s="1827"/>
      <c r="CZ160" s="1826">
        <f t="shared" si="130"/>
        <v>0</v>
      </c>
      <c r="DB160" s="1054" t="s">
        <v>84</v>
      </c>
      <c r="DC160" s="1091">
        <f t="shared" si="131"/>
        <v>0</v>
      </c>
      <c r="DD160" s="1539"/>
      <c r="DE160" s="1924"/>
      <c r="DF160" s="1924"/>
      <c r="DG160" s="1924"/>
      <c r="DH160" s="1539"/>
      <c r="DI160" s="1539"/>
      <c r="DJ160" s="1539"/>
      <c r="DK160" s="1539"/>
      <c r="DL160" s="1539"/>
      <c r="DM160" s="1539"/>
      <c r="DN160" s="1539"/>
      <c r="DO160" s="1539"/>
      <c r="DP160" s="1539"/>
      <c r="DQ160" s="1539"/>
      <c r="DR160" s="1539"/>
      <c r="DS160" s="1539"/>
      <c r="DT160" s="1539"/>
      <c r="DU160" s="1539"/>
      <c r="DV160" s="1539"/>
      <c r="DW160" s="1539"/>
      <c r="DX160" s="1539"/>
      <c r="DY160" s="1539"/>
      <c r="DZ160" s="1539"/>
      <c r="EA160" s="1539"/>
      <c r="EB160" s="1539"/>
      <c r="EC160" s="1539"/>
      <c r="ED160" s="1539"/>
      <c r="EE160" s="1539"/>
      <c r="EF160" s="1539"/>
      <c r="EG160" s="1539"/>
      <c r="EH160" s="1539"/>
      <c r="EI160" s="1268">
        <f t="shared" si="132"/>
        <v>0</v>
      </c>
    </row>
    <row r="161" spans="1:139" ht="15">
      <c r="A161" s="1988" t="s">
        <v>72</v>
      </c>
      <c r="B161" s="1989">
        <f t="shared" ref="B161:AH161" si="134">SUM(B149:B160)</f>
        <v>2.8159999999999998</v>
      </c>
      <c r="C161" s="1974">
        <f t="shared" ref="C161:AG161" si="135">SUM(C149:C160)</f>
        <v>0.51</v>
      </c>
      <c r="D161" s="1974">
        <f t="shared" si="135"/>
        <v>0</v>
      </c>
      <c r="E161" s="1974">
        <f t="shared" si="135"/>
        <v>0</v>
      </c>
      <c r="F161" s="1974">
        <f t="shared" si="135"/>
        <v>0</v>
      </c>
      <c r="G161" s="1974">
        <f t="shared" si="135"/>
        <v>0</v>
      </c>
      <c r="H161" s="1974">
        <f t="shared" si="135"/>
        <v>0</v>
      </c>
      <c r="I161" s="1974">
        <f t="shared" si="135"/>
        <v>0</v>
      </c>
      <c r="J161" s="1974">
        <f t="shared" si="135"/>
        <v>0</v>
      </c>
      <c r="K161" s="1974">
        <f t="shared" si="135"/>
        <v>0</v>
      </c>
      <c r="L161" s="1974">
        <f t="shared" si="135"/>
        <v>0</v>
      </c>
      <c r="M161" s="1974">
        <f t="shared" si="135"/>
        <v>0</v>
      </c>
      <c r="N161" s="1974">
        <f t="shared" si="135"/>
        <v>0</v>
      </c>
      <c r="O161" s="1974">
        <f t="shared" si="135"/>
        <v>0</v>
      </c>
      <c r="P161" s="1974">
        <f t="shared" si="135"/>
        <v>0</v>
      </c>
      <c r="Q161" s="1974">
        <f t="shared" si="135"/>
        <v>0</v>
      </c>
      <c r="R161" s="1974">
        <f t="shared" si="135"/>
        <v>0</v>
      </c>
      <c r="S161" s="1974">
        <f t="shared" si="135"/>
        <v>0</v>
      </c>
      <c r="T161" s="1974">
        <f t="shared" si="135"/>
        <v>0</v>
      </c>
      <c r="U161" s="1974">
        <f t="shared" si="135"/>
        <v>0</v>
      </c>
      <c r="V161" s="1974">
        <f t="shared" si="135"/>
        <v>0</v>
      </c>
      <c r="W161" s="1974">
        <f t="shared" si="135"/>
        <v>0</v>
      </c>
      <c r="X161" s="1974">
        <f t="shared" si="135"/>
        <v>0</v>
      </c>
      <c r="Y161" s="1974">
        <f t="shared" si="135"/>
        <v>0</v>
      </c>
      <c r="Z161" s="1974">
        <f t="shared" si="135"/>
        <v>0.34399999999999997</v>
      </c>
      <c r="AA161" s="1974">
        <f t="shared" si="135"/>
        <v>0</v>
      </c>
      <c r="AB161" s="1974">
        <f t="shared" si="135"/>
        <v>0</v>
      </c>
      <c r="AC161" s="1974">
        <f t="shared" si="135"/>
        <v>0</v>
      </c>
      <c r="AD161" s="1974">
        <f t="shared" si="135"/>
        <v>1.905</v>
      </c>
      <c r="AE161" s="1974">
        <f t="shared" si="135"/>
        <v>0</v>
      </c>
      <c r="AF161" s="1974">
        <f t="shared" si="135"/>
        <v>5.7000000000000002E-2</v>
      </c>
      <c r="AG161" s="1974">
        <f t="shared" si="135"/>
        <v>0</v>
      </c>
      <c r="AH161" s="1974">
        <f t="shared" si="134"/>
        <v>2.8159999999999998</v>
      </c>
      <c r="AJ161" s="1837" t="s">
        <v>72</v>
      </c>
      <c r="AK161" s="1836">
        <f t="shared" ref="AK161:BQ161" si="136">SUM(AK149:AK160)</f>
        <v>3.7170000000000001</v>
      </c>
      <c r="AL161" s="1834">
        <f t="shared" si="136"/>
        <v>1.0609999999999999</v>
      </c>
      <c r="AM161" s="1834">
        <f t="shared" si="136"/>
        <v>0</v>
      </c>
      <c r="AN161" s="1834">
        <f t="shared" si="136"/>
        <v>0</v>
      </c>
      <c r="AO161" s="1834">
        <f t="shared" si="136"/>
        <v>0</v>
      </c>
      <c r="AP161" s="1834">
        <f t="shared" si="136"/>
        <v>0</v>
      </c>
      <c r="AQ161" s="1834">
        <f t="shared" si="136"/>
        <v>0</v>
      </c>
      <c r="AR161" s="1834">
        <f t="shared" si="136"/>
        <v>0</v>
      </c>
      <c r="AS161" s="1834">
        <f t="shared" si="136"/>
        <v>0</v>
      </c>
      <c r="AT161" s="1834">
        <f t="shared" si="136"/>
        <v>0</v>
      </c>
      <c r="AU161" s="1834">
        <f t="shared" si="136"/>
        <v>0</v>
      </c>
      <c r="AV161" s="1834">
        <f t="shared" si="136"/>
        <v>0</v>
      </c>
      <c r="AW161" s="1834">
        <f t="shared" si="136"/>
        <v>0</v>
      </c>
      <c r="AX161" s="1834">
        <f t="shared" si="136"/>
        <v>0</v>
      </c>
      <c r="AY161" s="1834">
        <f t="shared" si="136"/>
        <v>0</v>
      </c>
      <c r="AZ161" s="1834">
        <f t="shared" si="136"/>
        <v>0</v>
      </c>
      <c r="BA161" s="1834">
        <f t="shared" si="136"/>
        <v>0</v>
      </c>
      <c r="BB161" s="1834">
        <f t="shared" si="136"/>
        <v>0</v>
      </c>
      <c r="BC161" s="1834">
        <f t="shared" si="136"/>
        <v>0</v>
      </c>
      <c r="BD161" s="1834">
        <f t="shared" si="136"/>
        <v>0</v>
      </c>
      <c r="BE161" s="1834">
        <f t="shared" si="136"/>
        <v>0</v>
      </c>
      <c r="BF161" s="1834">
        <f t="shared" si="136"/>
        <v>0</v>
      </c>
      <c r="BG161" s="1834">
        <f t="shared" si="136"/>
        <v>0</v>
      </c>
      <c r="BH161" s="1834">
        <f t="shared" si="136"/>
        <v>0</v>
      </c>
      <c r="BI161" s="1834">
        <f t="shared" si="136"/>
        <v>4.9000000000000002E-2</v>
      </c>
      <c r="BJ161" s="1834">
        <f t="shared" si="136"/>
        <v>0</v>
      </c>
      <c r="BK161" s="1834">
        <f t="shared" si="136"/>
        <v>0</v>
      </c>
      <c r="BL161" s="1834">
        <f t="shared" si="136"/>
        <v>0</v>
      </c>
      <c r="BM161" s="1834">
        <f t="shared" si="136"/>
        <v>2.3660000000000001</v>
      </c>
      <c r="BN161" s="1834">
        <f t="shared" si="136"/>
        <v>0</v>
      </c>
      <c r="BO161" s="1834">
        <f t="shared" si="136"/>
        <v>0.24099999999999999</v>
      </c>
      <c r="BP161" s="1834">
        <f t="shared" si="136"/>
        <v>0</v>
      </c>
      <c r="BQ161" s="1834">
        <f t="shared" si="136"/>
        <v>3.7170000000000001</v>
      </c>
      <c r="BS161" s="1829" t="s">
        <v>72</v>
      </c>
      <c r="BT161" s="1828">
        <f t="shared" ref="BT161:CZ161" si="137">SUM(BT149:BT160)</f>
        <v>0</v>
      </c>
      <c r="BU161" s="1826">
        <f t="shared" si="137"/>
        <v>0</v>
      </c>
      <c r="BV161" s="1826">
        <f t="shared" si="137"/>
        <v>0</v>
      </c>
      <c r="BW161" s="1826">
        <f t="shared" si="137"/>
        <v>0</v>
      </c>
      <c r="BX161" s="1826">
        <f t="shared" si="137"/>
        <v>0</v>
      </c>
      <c r="BY161" s="1826">
        <f t="shared" si="137"/>
        <v>0</v>
      </c>
      <c r="BZ161" s="1826">
        <f t="shared" si="137"/>
        <v>0</v>
      </c>
      <c r="CA161" s="1826">
        <f t="shared" si="137"/>
        <v>0</v>
      </c>
      <c r="CB161" s="1826">
        <f t="shared" si="137"/>
        <v>0</v>
      </c>
      <c r="CC161" s="1826">
        <f t="shared" si="137"/>
        <v>0</v>
      </c>
      <c r="CD161" s="1826">
        <f t="shared" si="137"/>
        <v>0</v>
      </c>
      <c r="CE161" s="1826">
        <f t="shared" si="137"/>
        <v>0</v>
      </c>
      <c r="CF161" s="1826">
        <f t="shared" si="137"/>
        <v>0</v>
      </c>
      <c r="CG161" s="1826">
        <f t="shared" si="137"/>
        <v>0</v>
      </c>
      <c r="CH161" s="1826">
        <f t="shared" si="137"/>
        <v>0</v>
      </c>
      <c r="CI161" s="1826">
        <f t="shared" si="137"/>
        <v>0</v>
      </c>
      <c r="CJ161" s="1826">
        <f t="shared" si="137"/>
        <v>0</v>
      </c>
      <c r="CK161" s="1826">
        <f t="shared" si="137"/>
        <v>0</v>
      </c>
      <c r="CL161" s="1826">
        <f t="shared" si="137"/>
        <v>0</v>
      </c>
      <c r="CM161" s="1826">
        <f t="shared" si="137"/>
        <v>0</v>
      </c>
      <c r="CN161" s="1826">
        <f t="shared" si="137"/>
        <v>0</v>
      </c>
      <c r="CO161" s="1826">
        <f t="shared" si="137"/>
        <v>0</v>
      </c>
      <c r="CP161" s="1826">
        <f t="shared" si="137"/>
        <v>0</v>
      </c>
      <c r="CQ161" s="1826">
        <f t="shared" si="137"/>
        <v>0</v>
      </c>
      <c r="CR161" s="1826">
        <f t="shared" si="137"/>
        <v>0</v>
      </c>
      <c r="CS161" s="1826">
        <f t="shared" si="137"/>
        <v>0</v>
      </c>
      <c r="CT161" s="1826">
        <f t="shared" si="137"/>
        <v>0</v>
      </c>
      <c r="CU161" s="1826">
        <f t="shared" si="137"/>
        <v>0</v>
      </c>
      <c r="CV161" s="1826">
        <f t="shared" si="137"/>
        <v>0</v>
      </c>
      <c r="CW161" s="1826">
        <f t="shared" si="137"/>
        <v>0</v>
      </c>
      <c r="CX161" s="1826">
        <f t="shared" si="137"/>
        <v>0</v>
      </c>
      <c r="CY161" s="1826">
        <f t="shared" si="137"/>
        <v>0</v>
      </c>
      <c r="CZ161" s="1826">
        <f t="shared" si="137"/>
        <v>0</v>
      </c>
      <c r="DB161" s="1259" t="s">
        <v>72</v>
      </c>
      <c r="DC161" s="1923">
        <f t="shared" ref="DC161:EI161" si="138">SUM(DC149:DC160)</f>
        <v>0</v>
      </c>
      <c r="DD161" s="1268">
        <f t="shared" si="138"/>
        <v>0</v>
      </c>
      <c r="DE161" s="1268">
        <f t="shared" si="138"/>
        <v>0</v>
      </c>
      <c r="DF161" s="1268">
        <f t="shared" si="138"/>
        <v>0</v>
      </c>
      <c r="DG161" s="1268">
        <f t="shared" si="138"/>
        <v>0</v>
      </c>
      <c r="DH161" s="1268">
        <f t="shared" si="138"/>
        <v>0</v>
      </c>
      <c r="DI161" s="1268">
        <f t="shared" si="138"/>
        <v>0</v>
      </c>
      <c r="DJ161" s="1268">
        <f t="shared" si="138"/>
        <v>0</v>
      </c>
      <c r="DK161" s="1268">
        <f t="shared" si="138"/>
        <v>0</v>
      </c>
      <c r="DL161" s="1268">
        <f t="shared" si="138"/>
        <v>0</v>
      </c>
      <c r="DM161" s="1268">
        <f t="shared" si="138"/>
        <v>0</v>
      </c>
      <c r="DN161" s="1268">
        <f t="shared" si="138"/>
        <v>0</v>
      </c>
      <c r="DO161" s="1268">
        <f t="shared" si="138"/>
        <v>0</v>
      </c>
      <c r="DP161" s="1268">
        <f t="shared" si="138"/>
        <v>0</v>
      </c>
      <c r="DQ161" s="1268">
        <f t="shared" si="138"/>
        <v>0</v>
      </c>
      <c r="DR161" s="1268">
        <f t="shared" si="138"/>
        <v>0</v>
      </c>
      <c r="DS161" s="1268">
        <f t="shared" si="138"/>
        <v>0</v>
      </c>
      <c r="DT161" s="1268">
        <f t="shared" si="138"/>
        <v>0</v>
      </c>
      <c r="DU161" s="1268">
        <f t="shared" si="138"/>
        <v>0</v>
      </c>
      <c r="DV161" s="1268">
        <f t="shared" si="138"/>
        <v>0</v>
      </c>
      <c r="DW161" s="1268">
        <f t="shared" si="138"/>
        <v>0</v>
      </c>
      <c r="DX161" s="1268">
        <f t="shared" si="138"/>
        <v>0</v>
      </c>
      <c r="DY161" s="1268">
        <f t="shared" si="138"/>
        <v>0</v>
      </c>
      <c r="DZ161" s="1268">
        <f t="shared" si="138"/>
        <v>0</v>
      </c>
      <c r="EA161" s="1268">
        <f t="shared" si="138"/>
        <v>0</v>
      </c>
      <c r="EB161" s="1268">
        <f t="shared" si="138"/>
        <v>0</v>
      </c>
      <c r="EC161" s="1268">
        <f t="shared" si="138"/>
        <v>0</v>
      </c>
      <c r="ED161" s="1268">
        <f t="shared" si="138"/>
        <v>0</v>
      </c>
      <c r="EE161" s="1268">
        <f t="shared" si="138"/>
        <v>0</v>
      </c>
      <c r="EF161" s="1268">
        <f t="shared" si="138"/>
        <v>0</v>
      </c>
      <c r="EG161" s="1268">
        <f t="shared" si="138"/>
        <v>0</v>
      </c>
      <c r="EH161" s="1268">
        <f t="shared" si="138"/>
        <v>0</v>
      </c>
      <c r="EI161" s="1268">
        <f t="shared" si="138"/>
        <v>0</v>
      </c>
    </row>
    <row r="162" spans="1:139">
      <c r="A162" s="1211"/>
      <c r="B162" s="1211"/>
      <c r="C162" s="1211"/>
      <c r="D162" s="1211"/>
      <c r="E162" s="1211"/>
      <c r="F162" s="1211"/>
      <c r="G162" s="1211"/>
      <c r="H162" s="1211"/>
      <c r="I162" s="1211"/>
      <c r="J162" s="1211"/>
      <c r="K162" s="1211"/>
      <c r="L162" s="1211"/>
      <c r="M162" s="1211"/>
      <c r="N162" s="1211"/>
      <c r="O162" s="1211"/>
      <c r="P162" s="1211"/>
      <c r="Q162" s="1211"/>
      <c r="R162" s="1211"/>
      <c r="S162" s="1211"/>
      <c r="T162" s="1211"/>
      <c r="U162" s="1211"/>
      <c r="V162" s="1211"/>
      <c r="W162" s="1211"/>
      <c r="X162" s="1211"/>
      <c r="Y162" s="1211"/>
      <c r="Z162" s="1211"/>
      <c r="AA162" s="1211"/>
      <c r="AB162" s="1211"/>
      <c r="AC162" s="1211"/>
      <c r="AD162" s="1211"/>
      <c r="AE162" s="1211"/>
      <c r="AF162" s="1211"/>
      <c r="AG162" s="1211"/>
      <c r="AH162" s="1211"/>
      <c r="AJ162" s="1841"/>
      <c r="AK162" s="1841"/>
      <c r="AL162" s="1841"/>
      <c r="AM162" s="1841"/>
      <c r="AN162" s="1841"/>
      <c r="AO162" s="1841"/>
      <c r="AP162" s="1841"/>
      <c r="AQ162" s="1841"/>
      <c r="AR162" s="1841"/>
      <c r="AS162" s="1841"/>
      <c r="AT162" s="1841"/>
      <c r="AU162" s="1841"/>
      <c r="AV162" s="1841"/>
      <c r="AW162" s="1841"/>
      <c r="AX162" s="1841"/>
      <c r="AY162" s="1841"/>
      <c r="AZ162" s="1841"/>
      <c r="BA162" s="1841"/>
      <c r="BB162" s="1841"/>
      <c r="BC162" s="1841"/>
      <c r="BD162" s="1841"/>
      <c r="BE162" s="1841"/>
      <c r="BF162" s="1841"/>
      <c r="BG162" s="1841"/>
      <c r="BH162" s="1841"/>
      <c r="BI162" s="1841"/>
      <c r="BJ162" s="1841"/>
      <c r="BK162" s="1841"/>
      <c r="BL162" s="1841"/>
      <c r="BM162" s="1841"/>
      <c r="BN162" s="1841"/>
      <c r="BO162" s="1841"/>
      <c r="BP162" s="1841"/>
      <c r="BQ162" s="1841"/>
      <c r="BS162" s="1833"/>
      <c r="BT162" s="1833"/>
      <c r="BU162" s="1833"/>
      <c r="BV162" s="1833"/>
      <c r="BW162" s="1833"/>
      <c r="BX162" s="1833"/>
      <c r="BY162" s="1833"/>
      <c r="BZ162" s="1833"/>
      <c r="CA162" s="1833"/>
      <c r="CB162" s="1833"/>
      <c r="CC162" s="1833"/>
      <c r="CD162" s="1833"/>
      <c r="CE162" s="1833"/>
      <c r="CF162" s="1833"/>
      <c r="CG162" s="1833"/>
      <c r="CH162" s="1833"/>
      <c r="CI162" s="1833"/>
      <c r="CJ162" s="1833"/>
      <c r="CK162" s="1833"/>
      <c r="CL162" s="1833"/>
      <c r="CM162" s="1833"/>
      <c r="CN162" s="1833"/>
      <c r="CO162" s="1833"/>
      <c r="CP162" s="1833"/>
      <c r="CQ162" s="1833"/>
      <c r="CR162" s="1833"/>
      <c r="CS162" s="1833"/>
      <c r="CT162" s="1833"/>
      <c r="CU162" s="1833"/>
      <c r="CV162" s="1833"/>
      <c r="CW162" s="1833"/>
      <c r="CX162" s="1833"/>
      <c r="CY162" s="1833"/>
      <c r="CZ162" s="1833"/>
      <c r="DB162" s="1770"/>
      <c r="DC162" s="1770"/>
      <c r="DD162" s="1770"/>
      <c r="DE162" s="1770"/>
      <c r="DF162" s="1770"/>
      <c r="DG162" s="1770"/>
      <c r="DH162" s="1770"/>
      <c r="DI162" s="1770"/>
      <c r="DJ162" s="1770"/>
      <c r="DK162" s="1770"/>
      <c r="DL162" s="1770"/>
      <c r="DM162" s="1770"/>
      <c r="DN162" s="1770"/>
      <c r="DO162" s="1770"/>
      <c r="DP162" s="1770"/>
      <c r="DQ162" s="1770"/>
      <c r="DR162" s="1770"/>
      <c r="DS162" s="1770"/>
      <c r="DT162" s="1770"/>
      <c r="DU162" s="1770"/>
      <c r="DV162" s="1770"/>
      <c r="DW162" s="1770"/>
      <c r="DX162" s="1770"/>
      <c r="DY162" s="1770"/>
      <c r="DZ162" s="1770"/>
      <c r="EA162" s="1770"/>
      <c r="EB162" s="1770"/>
      <c r="EC162" s="1770"/>
      <c r="ED162" s="1770"/>
      <c r="EE162" s="1770"/>
      <c r="EF162" s="1770"/>
      <c r="EG162" s="1770"/>
      <c r="EH162" s="1770"/>
      <c r="EI162" s="1770"/>
    </row>
    <row r="163" spans="1:139" ht="15">
      <c r="A163" s="3872" t="s">
        <v>607</v>
      </c>
      <c r="B163" s="3873"/>
      <c r="C163" s="3874"/>
      <c r="D163" s="1970"/>
      <c r="E163" s="1970"/>
      <c r="F163" s="1970"/>
      <c r="G163" s="1970"/>
      <c r="H163" s="1970"/>
      <c r="I163" s="1970"/>
      <c r="J163" s="1970"/>
      <c r="K163" s="1970"/>
      <c r="L163" s="1970"/>
      <c r="M163" s="1971"/>
      <c r="N163" s="1970"/>
      <c r="O163" s="1970"/>
      <c r="P163" s="1970"/>
      <c r="Q163" s="1970"/>
      <c r="R163" s="1970"/>
      <c r="S163" s="1970"/>
      <c r="T163" s="1970"/>
      <c r="U163" s="1970"/>
      <c r="V163" s="1970"/>
      <c r="W163" s="1970"/>
      <c r="X163" s="1970"/>
      <c r="Y163" s="1970"/>
      <c r="Z163" s="1970"/>
      <c r="AA163" s="1970"/>
      <c r="AB163" s="1970"/>
      <c r="AC163" s="1970"/>
      <c r="AD163" s="1970"/>
      <c r="AE163" s="1970"/>
      <c r="AF163" s="1970"/>
      <c r="AG163" s="1970"/>
      <c r="AH163" s="1970"/>
      <c r="AJ163" s="3821" t="s">
        <v>607</v>
      </c>
      <c r="AK163" s="3822"/>
      <c r="AL163" s="3823"/>
      <c r="AM163" s="1839"/>
      <c r="AN163" s="1839"/>
      <c r="AO163" s="1839"/>
      <c r="AP163" s="1839"/>
      <c r="AQ163" s="1839"/>
      <c r="AR163" s="1839"/>
      <c r="AS163" s="1839"/>
      <c r="AT163" s="1839"/>
      <c r="AU163" s="1839"/>
      <c r="AV163" s="1840"/>
      <c r="AW163" s="1839"/>
      <c r="AX163" s="1839"/>
      <c r="AY163" s="1839"/>
      <c r="AZ163" s="1839"/>
      <c r="BA163" s="1839"/>
      <c r="BB163" s="1839"/>
      <c r="BC163" s="1839"/>
      <c r="BD163" s="1839"/>
      <c r="BE163" s="1839"/>
      <c r="BF163" s="1839"/>
      <c r="BG163" s="1839"/>
      <c r="BH163" s="1839"/>
      <c r="BI163" s="1839"/>
      <c r="BJ163" s="1839"/>
      <c r="BK163" s="1839"/>
      <c r="BL163" s="1839"/>
      <c r="BM163" s="1839"/>
      <c r="BN163" s="1839"/>
      <c r="BO163" s="1839"/>
      <c r="BP163" s="1839"/>
      <c r="BQ163" s="1839"/>
      <c r="BS163" s="4035" t="s">
        <v>607</v>
      </c>
      <c r="BT163" s="4036"/>
      <c r="BU163" s="4037"/>
      <c r="BV163" s="1831"/>
      <c r="BW163" s="1831"/>
      <c r="BX163" s="1831"/>
      <c r="BY163" s="1831"/>
      <c r="BZ163" s="1831"/>
      <c r="CA163" s="1831"/>
      <c r="CB163" s="1831"/>
      <c r="CC163" s="1831"/>
      <c r="CD163" s="1831"/>
      <c r="CE163" s="1832"/>
      <c r="CF163" s="1831"/>
      <c r="CG163" s="1831"/>
      <c r="CH163" s="1831"/>
      <c r="CI163" s="1831"/>
      <c r="CJ163" s="1831"/>
      <c r="CK163" s="1831"/>
      <c r="CL163" s="1831"/>
      <c r="CM163" s="1831"/>
      <c r="CN163" s="1831"/>
      <c r="CO163" s="1831"/>
      <c r="CP163" s="1831"/>
      <c r="CQ163" s="1831"/>
      <c r="CR163" s="1831"/>
      <c r="CS163" s="1831"/>
      <c r="CT163" s="1831"/>
      <c r="CU163" s="1831"/>
      <c r="CV163" s="1831"/>
      <c r="CW163" s="1831"/>
      <c r="CX163" s="1831"/>
      <c r="CY163" s="1831"/>
      <c r="CZ163" s="1831"/>
      <c r="DB163" s="4044" t="s">
        <v>607</v>
      </c>
      <c r="DC163" s="4045"/>
      <c r="DD163" s="4046"/>
      <c r="DE163" s="1229"/>
      <c r="DF163" s="1229"/>
      <c r="DG163" s="1229"/>
      <c r="DH163" s="1229"/>
      <c r="DI163" s="1229"/>
      <c r="DJ163" s="1229"/>
      <c r="DK163" s="1229"/>
      <c r="DL163" s="1229"/>
      <c r="DM163" s="1229"/>
      <c r="DN163" s="1920"/>
      <c r="DO163" s="1229"/>
      <c r="DP163" s="1229"/>
      <c r="DQ163" s="1229"/>
      <c r="DR163" s="1229"/>
      <c r="DS163" s="1229"/>
      <c r="DT163" s="1229"/>
      <c r="DU163" s="1229"/>
      <c r="DV163" s="1229"/>
      <c r="DW163" s="1229"/>
      <c r="DX163" s="1229"/>
      <c r="DY163" s="1229"/>
      <c r="DZ163" s="1229"/>
      <c r="EA163" s="1229"/>
      <c r="EB163" s="1229"/>
      <c r="EC163" s="1229"/>
      <c r="ED163" s="1229"/>
      <c r="EE163" s="1229"/>
      <c r="EF163" s="1229"/>
      <c r="EG163" s="1229"/>
      <c r="EH163" s="1229"/>
      <c r="EI163" s="1229"/>
    </row>
    <row r="164" spans="1:139" ht="15">
      <c r="A164" s="1039" t="s">
        <v>70</v>
      </c>
      <c r="B164" s="1039" t="s">
        <v>71</v>
      </c>
      <c r="C164" s="1039">
        <v>1</v>
      </c>
      <c r="D164" s="1039">
        <v>2</v>
      </c>
      <c r="E164" s="1039">
        <v>3</v>
      </c>
      <c r="F164" s="1039">
        <v>4</v>
      </c>
      <c r="G164" s="1039">
        <v>5</v>
      </c>
      <c r="H164" s="1039">
        <v>6</v>
      </c>
      <c r="I164" s="1039">
        <v>7</v>
      </c>
      <c r="J164" s="1039">
        <v>8</v>
      </c>
      <c r="K164" s="1039">
        <v>9</v>
      </c>
      <c r="L164" s="1039">
        <v>10</v>
      </c>
      <c r="M164" s="1039">
        <v>11</v>
      </c>
      <c r="N164" s="1039">
        <v>12</v>
      </c>
      <c r="O164" s="1039">
        <v>13</v>
      </c>
      <c r="P164" s="1039">
        <v>14</v>
      </c>
      <c r="Q164" s="1039">
        <v>15</v>
      </c>
      <c r="R164" s="1039">
        <v>16</v>
      </c>
      <c r="S164" s="1039">
        <v>17</v>
      </c>
      <c r="T164" s="1039">
        <v>18</v>
      </c>
      <c r="U164" s="1039">
        <v>19</v>
      </c>
      <c r="V164" s="1039">
        <v>20</v>
      </c>
      <c r="W164" s="1039">
        <v>21</v>
      </c>
      <c r="X164" s="1039">
        <v>22</v>
      </c>
      <c r="Y164" s="1039">
        <v>23</v>
      </c>
      <c r="Z164" s="1039">
        <v>24</v>
      </c>
      <c r="AA164" s="1039">
        <v>25</v>
      </c>
      <c r="AB164" s="1039">
        <v>26</v>
      </c>
      <c r="AC164" s="1039">
        <v>27</v>
      </c>
      <c r="AD164" s="1039">
        <v>28</v>
      </c>
      <c r="AE164" s="1039">
        <v>29</v>
      </c>
      <c r="AF164" s="1039">
        <v>30</v>
      </c>
      <c r="AG164" s="1039">
        <v>31</v>
      </c>
      <c r="AH164" s="1972" t="s">
        <v>72</v>
      </c>
      <c r="AJ164" s="1524" t="s">
        <v>70</v>
      </c>
      <c r="AK164" s="1524" t="s">
        <v>71</v>
      </c>
      <c r="AL164" s="1524">
        <v>1</v>
      </c>
      <c r="AM164" s="1524">
        <v>2</v>
      </c>
      <c r="AN164" s="1524">
        <v>3</v>
      </c>
      <c r="AO164" s="1524">
        <v>4</v>
      </c>
      <c r="AP164" s="1524">
        <v>5</v>
      </c>
      <c r="AQ164" s="1524">
        <v>6</v>
      </c>
      <c r="AR164" s="1524">
        <v>7</v>
      </c>
      <c r="AS164" s="1524">
        <v>8</v>
      </c>
      <c r="AT164" s="1524">
        <v>9</v>
      </c>
      <c r="AU164" s="1524">
        <v>10</v>
      </c>
      <c r="AV164" s="1524">
        <v>11</v>
      </c>
      <c r="AW164" s="1524">
        <v>12</v>
      </c>
      <c r="AX164" s="1524">
        <v>13</v>
      </c>
      <c r="AY164" s="1524">
        <v>14</v>
      </c>
      <c r="AZ164" s="1524">
        <v>15</v>
      </c>
      <c r="BA164" s="1524">
        <v>16</v>
      </c>
      <c r="BB164" s="1524">
        <v>17</v>
      </c>
      <c r="BC164" s="1524">
        <v>18</v>
      </c>
      <c r="BD164" s="1524">
        <v>19</v>
      </c>
      <c r="BE164" s="1524">
        <v>20</v>
      </c>
      <c r="BF164" s="1524">
        <v>21</v>
      </c>
      <c r="BG164" s="1524">
        <v>22</v>
      </c>
      <c r="BH164" s="1524">
        <v>23</v>
      </c>
      <c r="BI164" s="1524">
        <v>24</v>
      </c>
      <c r="BJ164" s="1524">
        <v>25</v>
      </c>
      <c r="BK164" s="1524">
        <v>26</v>
      </c>
      <c r="BL164" s="1524">
        <v>27</v>
      </c>
      <c r="BM164" s="1524">
        <v>28</v>
      </c>
      <c r="BN164" s="1524">
        <v>29</v>
      </c>
      <c r="BO164" s="1524">
        <v>30</v>
      </c>
      <c r="BP164" s="1524">
        <v>31</v>
      </c>
      <c r="BQ164" s="1838" t="s">
        <v>72</v>
      </c>
      <c r="BS164" s="1621" t="s">
        <v>70</v>
      </c>
      <c r="BT164" s="1621" t="s">
        <v>71</v>
      </c>
      <c r="BU164" s="1621">
        <v>1</v>
      </c>
      <c r="BV164" s="1621">
        <v>2</v>
      </c>
      <c r="BW164" s="1621">
        <v>3</v>
      </c>
      <c r="BX164" s="1621">
        <v>4</v>
      </c>
      <c r="BY164" s="1621">
        <v>5</v>
      </c>
      <c r="BZ164" s="1621">
        <v>6</v>
      </c>
      <c r="CA164" s="1621">
        <v>7</v>
      </c>
      <c r="CB164" s="1621">
        <v>8</v>
      </c>
      <c r="CC164" s="1621">
        <v>9</v>
      </c>
      <c r="CD164" s="1621">
        <v>10</v>
      </c>
      <c r="CE164" s="1621">
        <v>11</v>
      </c>
      <c r="CF164" s="1621">
        <v>12</v>
      </c>
      <c r="CG164" s="1621">
        <v>13</v>
      </c>
      <c r="CH164" s="1621">
        <v>14</v>
      </c>
      <c r="CI164" s="1621">
        <v>15</v>
      </c>
      <c r="CJ164" s="1621">
        <v>16</v>
      </c>
      <c r="CK164" s="1621">
        <v>17</v>
      </c>
      <c r="CL164" s="1621">
        <v>18</v>
      </c>
      <c r="CM164" s="1621">
        <v>19</v>
      </c>
      <c r="CN164" s="1621">
        <v>20</v>
      </c>
      <c r="CO164" s="1621">
        <v>21</v>
      </c>
      <c r="CP164" s="1621">
        <v>22</v>
      </c>
      <c r="CQ164" s="1621">
        <v>23</v>
      </c>
      <c r="CR164" s="1621">
        <v>24</v>
      </c>
      <c r="CS164" s="1621">
        <v>25</v>
      </c>
      <c r="CT164" s="1621">
        <v>26</v>
      </c>
      <c r="CU164" s="1621">
        <v>27</v>
      </c>
      <c r="CV164" s="1621">
        <v>28</v>
      </c>
      <c r="CW164" s="1621">
        <v>29</v>
      </c>
      <c r="CX164" s="1621">
        <v>30</v>
      </c>
      <c r="CY164" s="1621">
        <v>31</v>
      </c>
      <c r="CZ164" s="1830" t="s">
        <v>72</v>
      </c>
      <c r="DB164" s="1054" t="s">
        <v>70</v>
      </c>
      <c r="DC164" s="1054" t="s">
        <v>71</v>
      </c>
      <c r="DD164" s="1054">
        <v>1</v>
      </c>
      <c r="DE164" s="1054">
        <v>2</v>
      </c>
      <c r="DF164" s="1054">
        <v>3</v>
      </c>
      <c r="DG164" s="1054">
        <v>4</v>
      </c>
      <c r="DH164" s="1054">
        <v>5</v>
      </c>
      <c r="DI164" s="1054">
        <v>6</v>
      </c>
      <c r="DJ164" s="1054">
        <v>7</v>
      </c>
      <c r="DK164" s="1054">
        <v>8</v>
      </c>
      <c r="DL164" s="1054">
        <v>9</v>
      </c>
      <c r="DM164" s="1054">
        <v>10</v>
      </c>
      <c r="DN164" s="1054">
        <v>11</v>
      </c>
      <c r="DO164" s="1054">
        <v>12</v>
      </c>
      <c r="DP164" s="1054">
        <v>13</v>
      </c>
      <c r="DQ164" s="1054">
        <v>14</v>
      </c>
      <c r="DR164" s="1054">
        <v>15</v>
      </c>
      <c r="DS164" s="1054">
        <v>16</v>
      </c>
      <c r="DT164" s="1054">
        <v>17</v>
      </c>
      <c r="DU164" s="1054">
        <v>18</v>
      </c>
      <c r="DV164" s="1054">
        <v>19</v>
      </c>
      <c r="DW164" s="1054">
        <v>20</v>
      </c>
      <c r="DX164" s="1054">
        <v>21</v>
      </c>
      <c r="DY164" s="1054">
        <v>22</v>
      </c>
      <c r="DZ164" s="1054">
        <v>23</v>
      </c>
      <c r="EA164" s="1054">
        <v>24</v>
      </c>
      <c r="EB164" s="1054">
        <v>25</v>
      </c>
      <c r="EC164" s="1054">
        <v>26</v>
      </c>
      <c r="ED164" s="1054">
        <v>27</v>
      </c>
      <c r="EE164" s="1054">
        <v>28</v>
      </c>
      <c r="EF164" s="1054">
        <v>29</v>
      </c>
      <c r="EG164" s="1054">
        <v>30</v>
      </c>
      <c r="EH164" s="1054">
        <v>31</v>
      </c>
      <c r="EI164" s="1596" t="s">
        <v>72</v>
      </c>
    </row>
    <row r="165" spans="1:139" ht="15">
      <c r="A165" s="1039" t="s">
        <v>73</v>
      </c>
      <c r="B165" s="1084">
        <f t="shared" ref="B165:B176" si="139">+AH165</f>
        <v>0</v>
      </c>
      <c r="C165" s="1973"/>
      <c r="D165" s="1973"/>
      <c r="E165" s="1973"/>
      <c r="F165" s="1973"/>
      <c r="G165" s="1973"/>
      <c r="H165" s="1973"/>
      <c r="I165" s="1973"/>
      <c r="J165" s="1973"/>
      <c r="K165" s="1973"/>
      <c r="L165" s="1973"/>
      <c r="M165" s="1973"/>
      <c r="N165" s="1973"/>
      <c r="O165" s="1973"/>
      <c r="P165" s="1973"/>
      <c r="Q165" s="1973"/>
      <c r="R165" s="1973"/>
      <c r="S165" s="1973"/>
      <c r="T165" s="1973"/>
      <c r="U165" s="1973"/>
      <c r="V165" s="1973"/>
      <c r="W165" s="1973"/>
      <c r="X165" s="1973"/>
      <c r="Y165" s="1973"/>
      <c r="Z165" s="1973"/>
      <c r="AA165" s="1973"/>
      <c r="AB165" s="1973"/>
      <c r="AC165" s="1973"/>
      <c r="AD165" s="1973"/>
      <c r="AE165" s="1973"/>
      <c r="AF165" s="1973"/>
      <c r="AG165" s="1973"/>
      <c r="AH165" s="1974">
        <f t="shared" ref="AH165:AH176" si="140">SUM(C165:AG165)</f>
        <v>0</v>
      </c>
      <c r="AJ165" s="1524" t="s">
        <v>73</v>
      </c>
      <c r="AK165" s="1527">
        <f t="shared" ref="AK165:AK176" si="141">+BQ165</f>
        <v>0</v>
      </c>
      <c r="AL165" s="1835"/>
      <c r="AM165" s="1835"/>
      <c r="AN165" s="1835"/>
      <c r="AO165" s="1835"/>
      <c r="AP165" s="1835"/>
      <c r="AQ165" s="1835"/>
      <c r="AR165" s="1835"/>
      <c r="AS165" s="1835"/>
      <c r="AT165" s="1835"/>
      <c r="AU165" s="1835"/>
      <c r="AV165" s="1835"/>
      <c r="AW165" s="1835"/>
      <c r="AX165" s="1835"/>
      <c r="AY165" s="1835"/>
      <c r="AZ165" s="1835"/>
      <c r="BA165" s="1835"/>
      <c r="BB165" s="1835"/>
      <c r="BC165" s="1835"/>
      <c r="BD165" s="1835"/>
      <c r="BE165" s="1872"/>
      <c r="BF165" s="1872"/>
      <c r="BG165" s="1872"/>
      <c r="BH165" s="1872"/>
      <c r="BI165" s="1872"/>
      <c r="BJ165" s="1872"/>
      <c r="BK165" s="1872"/>
      <c r="BL165" s="1872"/>
      <c r="BM165" s="1872"/>
      <c r="BN165" s="1872"/>
      <c r="BO165" s="1872"/>
      <c r="BP165" s="1872"/>
      <c r="BQ165" s="1834">
        <f t="shared" ref="BQ165:BQ176" si="142">SUM(AL165:BP165)</f>
        <v>0</v>
      </c>
      <c r="BS165" s="1621" t="s">
        <v>73</v>
      </c>
      <c r="BT165" s="1622">
        <f t="shared" ref="BT165:BT176" si="143">+CZ165</f>
        <v>0</v>
      </c>
      <c r="BU165" s="1871"/>
      <c r="BV165" s="1871"/>
      <c r="BW165" s="1871"/>
      <c r="BX165" s="1871"/>
      <c r="BY165" s="1871"/>
      <c r="BZ165" s="1871"/>
      <c r="CA165" s="1871"/>
      <c r="CB165" s="1871"/>
      <c r="CC165" s="1871"/>
      <c r="CD165" s="1871"/>
      <c r="CE165" s="1871"/>
      <c r="CF165" s="1871"/>
      <c r="CG165" s="1827"/>
      <c r="CH165" s="1827"/>
      <c r="CI165" s="1827"/>
      <c r="CJ165" s="1827"/>
      <c r="CK165" s="1827"/>
      <c r="CL165" s="1827"/>
      <c r="CM165" s="1827"/>
      <c r="CN165" s="1827"/>
      <c r="CO165" s="1827"/>
      <c r="CP165" s="1827"/>
      <c r="CQ165" s="1827"/>
      <c r="CR165" s="1827"/>
      <c r="CS165" s="1827"/>
      <c r="CT165" s="1827"/>
      <c r="CU165" s="1827"/>
      <c r="CV165" s="1827"/>
      <c r="CW165" s="1827"/>
      <c r="CX165" s="1827"/>
      <c r="CY165" s="1827"/>
      <c r="CZ165" s="1826">
        <f t="shared" ref="CZ165:CZ176" si="144">SUM(BU165:CY165)</f>
        <v>0</v>
      </c>
      <c r="DB165" s="1054" t="s">
        <v>73</v>
      </c>
      <c r="DC165" s="1091">
        <f t="shared" ref="DC165:DC176" si="145">+EI165</f>
        <v>0</v>
      </c>
      <c r="DD165" s="1539"/>
      <c r="DE165" s="1539"/>
      <c r="DF165" s="1539"/>
      <c r="DG165" s="1539"/>
      <c r="DH165" s="1539"/>
      <c r="DI165" s="1539"/>
      <c r="DJ165" s="1539"/>
      <c r="DK165" s="1539"/>
      <c r="DL165" s="1539"/>
      <c r="DM165" s="1539"/>
      <c r="DN165" s="1539"/>
      <c r="DO165" s="1539"/>
      <c r="DP165" s="1539"/>
      <c r="DQ165" s="1539"/>
      <c r="DR165" s="1539"/>
      <c r="DS165" s="1539"/>
      <c r="DT165" s="1539"/>
      <c r="DU165" s="1539"/>
      <c r="DV165" s="1539"/>
      <c r="DW165" s="1539"/>
      <c r="DX165" s="1539"/>
      <c r="DY165" s="1539"/>
      <c r="DZ165" s="1539"/>
      <c r="EA165" s="1539"/>
      <c r="EB165" s="1539"/>
      <c r="EC165" s="1539"/>
      <c r="ED165" s="1539"/>
      <c r="EE165" s="1539"/>
      <c r="EF165" s="1539"/>
      <c r="EG165" s="1539"/>
      <c r="EH165" s="1539"/>
      <c r="EI165" s="1268">
        <f t="shared" ref="EI165:EI176" si="146">SUM(DD165:EH165)</f>
        <v>0</v>
      </c>
    </row>
    <row r="166" spans="1:139" ht="15">
      <c r="A166" s="1039" t="s">
        <v>74</v>
      </c>
      <c r="B166" s="1084">
        <f t="shared" si="139"/>
        <v>0</v>
      </c>
      <c r="C166" s="1973"/>
      <c r="D166" s="1975"/>
      <c r="E166" s="1975"/>
      <c r="F166" s="1975"/>
      <c r="G166" s="1975"/>
      <c r="H166" s="1975"/>
      <c r="I166" s="1975"/>
      <c r="J166" s="1975"/>
      <c r="K166" s="1975"/>
      <c r="L166" s="1975"/>
      <c r="M166" s="1975"/>
      <c r="N166" s="1975"/>
      <c r="O166" s="1975"/>
      <c r="P166" s="1975"/>
      <c r="Q166" s="1975"/>
      <c r="R166" s="1975"/>
      <c r="S166" s="1975"/>
      <c r="T166" s="1975"/>
      <c r="U166" s="1975"/>
      <c r="V166" s="1975"/>
      <c r="W166" s="1975"/>
      <c r="X166" s="1975"/>
      <c r="Y166" s="1973"/>
      <c r="Z166" s="1973"/>
      <c r="AA166" s="1973"/>
      <c r="AB166" s="1973"/>
      <c r="AC166" s="1973"/>
      <c r="AD166" s="1973"/>
      <c r="AE166" s="1973"/>
      <c r="AF166" s="1973"/>
      <c r="AG166" s="1973"/>
      <c r="AH166" s="1974">
        <f t="shared" si="140"/>
        <v>0</v>
      </c>
      <c r="AJ166" s="1524" t="s">
        <v>74</v>
      </c>
      <c r="AK166" s="1527">
        <f t="shared" si="141"/>
        <v>0</v>
      </c>
      <c r="AL166" s="1835"/>
      <c r="AM166" s="1889"/>
      <c r="AN166" s="1889"/>
      <c r="AO166" s="1889"/>
      <c r="AP166" s="1889"/>
      <c r="AQ166" s="1889"/>
      <c r="AR166" s="1889"/>
      <c r="AS166" s="1889"/>
      <c r="AT166" s="1889"/>
      <c r="AU166" s="1889"/>
      <c r="AV166" s="1889"/>
      <c r="AW166" s="1889"/>
      <c r="AX166" s="1889"/>
      <c r="AY166" s="1889"/>
      <c r="AZ166" s="1889"/>
      <c r="BA166" s="1889"/>
      <c r="BB166" s="1889"/>
      <c r="BC166" s="1889"/>
      <c r="BD166" s="1889"/>
      <c r="BE166" s="1872"/>
      <c r="BF166" s="1872"/>
      <c r="BG166" s="1872"/>
      <c r="BH166" s="1872"/>
      <c r="BI166" s="1872"/>
      <c r="BJ166" s="1872"/>
      <c r="BK166" s="1872"/>
      <c r="BL166" s="1872"/>
      <c r="BM166" s="1872"/>
      <c r="BN166" s="1872"/>
      <c r="BO166" s="1872"/>
      <c r="BP166" s="1872"/>
      <c r="BQ166" s="1834">
        <f t="shared" si="142"/>
        <v>0</v>
      </c>
      <c r="BS166" s="1621" t="s">
        <v>74</v>
      </c>
      <c r="BT166" s="1622">
        <f t="shared" si="143"/>
        <v>0</v>
      </c>
      <c r="BU166" s="1871"/>
      <c r="BV166" s="1871"/>
      <c r="BW166" s="1871"/>
      <c r="BX166" s="1871"/>
      <c r="BY166" s="1871"/>
      <c r="BZ166" s="1871"/>
      <c r="CA166" s="1871"/>
      <c r="CB166" s="1871"/>
      <c r="CC166" s="1871"/>
      <c r="CD166" s="1871"/>
      <c r="CE166" s="1871"/>
      <c r="CF166" s="1871"/>
      <c r="CG166" s="1870"/>
      <c r="CH166" s="1870"/>
      <c r="CI166" s="1870"/>
      <c r="CJ166" s="1870"/>
      <c r="CK166" s="1870"/>
      <c r="CL166" s="1870"/>
      <c r="CM166" s="1870"/>
      <c r="CN166" s="1870"/>
      <c r="CO166" s="1870"/>
      <c r="CP166" s="1870"/>
      <c r="CQ166" s="1827"/>
      <c r="CR166" s="1827"/>
      <c r="CS166" s="1827"/>
      <c r="CT166" s="1827"/>
      <c r="CU166" s="1827"/>
      <c r="CV166" s="1827"/>
      <c r="CW166" s="1827"/>
      <c r="CX166" s="1827"/>
      <c r="CY166" s="1827"/>
      <c r="CZ166" s="1826">
        <f t="shared" si="144"/>
        <v>0</v>
      </c>
      <c r="DB166" s="1054" t="s">
        <v>74</v>
      </c>
      <c r="DC166" s="1091">
        <f t="shared" si="145"/>
        <v>0</v>
      </c>
      <c r="DD166" s="1539"/>
      <c r="DE166" s="1540"/>
      <c r="DF166" s="1540"/>
      <c r="DG166" s="1540"/>
      <c r="DH166" s="1540"/>
      <c r="DI166" s="1540"/>
      <c r="DJ166" s="1540"/>
      <c r="DK166" s="1540"/>
      <c r="DL166" s="1540"/>
      <c r="DM166" s="1540"/>
      <c r="DN166" s="1540"/>
      <c r="DO166" s="1540"/>
      <c r="DP166" s="1540"/>
      <c r="DQ166" s="1540"/>
      <c r="DR166" s="1540"/>
      <c r="DS166" s="1540"/>
      <c r="DT166" s="1540"/>
      <c r="DU166" s="1540"/>
      <c r="DV166" s="1540"/>
      <c r="DW166" s="1540"/>
      <c r="DX166" s="1540"/>
      <c r="DY166" s="1540"/>
      <c r="DZ166" s="1539"/>
      <c r="EA166" s="1539"/>
      <c r="EB166" s="1539"/>
      <c r="EC166" s="1539"/>
      <c r="ED166" s="1539"/>
      <c r="EE166" s="1539"/>
      <c r="EF166" s="1539"/>
      <c r="EG166" s="1539"/>
      <c r="EH166" s="1539"/>
      <c r="EI166" s="1268">
        <f t="shared" si="146"/>
        <v>0</v>
      </c>
    </row>
    <row r="167" spans="1:139" ht="15">
      <c r="A167" s="1039" t="s">
        <v>75</v>
      </c>
      <c r="B167" s="1084">
        <f t="shared" si="139"/>
        <v>0</v>
      </c>
      <c r="C167" s="1976"/>
      <c r="D167" s="1976"/>
      <c r="E167" s="1977"/>
      <c r="F167" s="1978"/>
      <c r="G167" s="1979"/>
      <c r="H167" s="1980"/>
      <c r="I167" s="1980"/>
      <c r="J167" s="1976"/>
      <c r="K167" s="1976"/>
      <c r="L167" s="1976"/>
      <c r="M167" s="1976"/>
      <c r="N167" s="1976"/>
      <c r="O167" s="1976"/>
      <c r="P167" s="1980"/>
      <c r="Q167" s="1980"/>
      <c r="R167" s="1980"/>
      <c r="S167" s="1980"/>
      <c r="T167" s="1980"/>
      <c r="U167" s="1980"/>
      <c r="V167" s="1980"/>
      <c r="W167" s="1980"/>
      <c r="X167" s="1980"/>
      <c r="Y167" s="1980"/>
      <c r="Z167" s="1980"/>
      <c r="AA167" s="1980"/>
      <c r="AB167" s="1980"/>
      <c r="AC167" s="1980"/>
      <c r="AD167" s="1980"/>
      <c r="AE167" s="1981"/>
      <c r="AF167" s="1976"/>
      <c r="AG167" s="1976"/>
      <c r="AH167" s="1974">
        <f t="shared" si="140"/>
        <v>0</v>
      </c>
      <c r="AJ167" s="1524" t="s">
        <v>75</v>
      </c>
      <c r="AK167" s="1527">
        <f t="shared" si="141"/>
        <v>0</v>
      </c>
      <c r="AL167" s="1878"/>
      <c r="AM167" s="1878"/>
      <c r="AN167" s="1888"/>
      <c r="AO167" s="1887"/>
      <c r="AP167" s="1886"/>
      <c r="AQ167" s="1879"/>
      <c r="AR167" s="1879"/>
      <c r="AS167" s="1878"/>
      <c r="AT167" s="1878"/>
      <c r="AU167" s="1878"/>
      <c r="AV167" s="1878"/>
      <c r="AW167" s="1878"/>
      <c r="AX167" s="1878"/>
      <c r="AY167" s="1879"/>
      <c r="AZ167" s="1879"/>
      <c r="BA167" s="1879"/>
      <c r="BB167" s="1879"/>
      <c r="BC167" s="1879"/>
      <c r="BD167" s="1879"/>
      <c r="BE167" s="1872"/>
      <c r="BF167" s="1872"/>
      <c r="BG167" s="1872"/>
      <c r="BH167" s="1872"/>
      <c r="BI167" s="1872"/>
      <c r="BJ167" s="1872"/>
      <c r="BK167" s="1872"/>
      <c r="BL167" s="1872"/>
      <c r="BM167" s="1872"/>
      <c r="BN167" s="1872"/>
      <c r="BO167" s="1872"/>
      <c r="BP167" s="1872"/>
      <c r="BQ167" s="1834">
        <f t="shared" si="142"/>
        <v>0</v>
      </c>
      <c r="BS167" s="1621" t="s">
        <v>75</v>
      </c>
      <c r="BT167" s="1622">
        <f t="shared" si="143"/>
        <v>0</v>
      </c>
      <c r="BU167" s="1871"/>
      <c r="BV167" s="1871"/>
      <c r="BW167" s="1871"/>
      <c r="BX167" s="1871"/>
      <c r="BY167" s="1871"/>
      <c r="BZ167" s="1871"/>
      <c r="CA167" s="1871"/>
      <c r="CB167" s="1871"/>
      <c r="CC167" s="1871"/>
      <c r="CD167" s="1871"/>
      <c r="CE167" s="1871"/>
      <c r="CF167" s="1871"/>
      <c r="CG167" s="1862"/>
      <c r="CH167" s="1863"/>
      <c r="CI167" s="1863"/>
      <c r="CJ167" s="1863"/>
      <c r="CK167" s="1863"/>
      <c r="CL167" s="1863"/>
      <c r="CM167" s="1863"/>
      <c r="CN167" s="1863"/>
      <c r="CO167" s="1863"/>
      <c r="CP167" s="1863"/>
      <c r="CQ167" s="1863"/>
      <c r="CR167" s="1863"/>
      <c r="CS167" s="1863"/>
      <c r="CT167" s="1863"/>
      <c r="CU167" s="1863"/>
      <c r="CV167" s="1863"/>
      <c r="CW167" s="1868"/>
      <c r="CX167" s="1862"/>
      <c r="CY167" s="1862"/>
      <c r="CZ167" s="1826">
        <f t="shared" si="144"/>
        <v>0</v>
      </c>
      <c r="DB167" s="1054" t="s">
        <v>75</v>
      </c>
      <c r="DC167" s="1091">
        <f t="shared" si="145"/>
        <v>0</v>
      </c>
      <c r="DD167" s="1925"/>
      <c r="DE167" s="1925"/>
      <c r="DF167" s="1936"/>
      <c r="DG167" s="1935"/>
      <c r="DH167" s="1934"/>
      <c r="DI167" s="1926"/>
      <c r="DJ167" s="1926"/>
      <c r="DK167" s="1925"/>
      <c r="DL167" s="1925"/>
      <c r="DM167" s="1925"/>
      <c r="DN167" s="1925"/>
      <c r="DO167" s="1925"/>
      <c r="DP167" s="1925"/>
      <c r="DQ167" s="1926"/>
      <c r="DR167" s="1926"/>
      <c r="DS167" s="1926"/>
      <c r="DT167" s="1926"/>
      <c r="DU167" s="1926"/>
      <c r="DV167" s="1926"/>
      <c r="DW167" s="1926"/>
      <c r="DX167" s="1926"/>
      <c r="DY167" s="1926"/>
      <c r="DZ167" s="1926"/>
      <c r="EA167" s="1926"/>
      <c r="EB167" s="1926"/>
      <c r="EC167" s="1926"/>
      <c r="ED167" s="1926"/>
      <c r="EE167" s="1926"/>
      <c r="EF167" s="1933"/>
      <c r="EG167" s="1925"/>
      <c r="EH167" s="1925"/>
      <c r="EI167" s="1268">
        <f t="shared" si="146"/>
        <v>0</v>
      </c>
    </row>
    <row r="168" spans="1:139" ht="15">
      <c r="A168" s="1039" t="s">
        <v>76</v>
      </c>
      <c r="B168" s="1084">
        <f t="shared" si="139"/>
        <v>0</v>
      </c>
      <c r="C168" s="1982"/>
      <c r="D168" s="1690"/>
      <c r="E168" s="1983"/>
      <c r="F168" s="1984"/>
      <c r="G168" s="1985"/>
      <c r="H168" s="1986"/>
      <c r="I168" s="1980"/>
      <c r="J168" s="1980"/>
      <c r="K168" s="1980"/>
      <c r="L168" s="1980"/>
      <c r="M168" s="1976"/>
      <c r="N168" s="1976"/>
      <c r="O168" s="1976"/>
      <c r="P168" s="1976"/>
      <c r="Q168" s="1980"/>
      <c r="R168" s="1980"/>
      <c r="S168" s="1980"/>
      <c r="T168" s="1980"/>
      <c r="U168" s="1976"/>
      <c r="V168" s="1980"/>
      <c r="W168" s="1980"/>
      <c r="X168" s="1980"/>
      <c r="Y168" s="1980"/>
      <c r="Z168" s="1980"/>
      <c r="AA168" s="1980"/>
      <c r="AB168" s="1980"/>
      <c r="AC168" s="1976"/>
      <c r="AD168" s="1980"/>
      <c r="AE168" s="1980"/>
      <c r="AF168" s="1976"/>
      <c r="AG168" s="1976"/>
      <c r="AH168" s="1974">
        <f t="shared" si="140"/>
        <v>0</v>
      </c>
      <c r="AJ168" s="1524" t="s">
        <v>76</v>
      </c>
      <c r="AK168" s="1527">
        <f t="shared" si="141"/>
        <v>0</v>
      </c>
      <c r="AL168" s="1885"/>
      <c r="AM168" s="1884"/>
      <c r="AN168" s="1883"/>
      <c r="AO168" s="1882"/>
      <c r="AP168" s="1881"/>
      <c r="AQ168" s="1880"/>
      <c r="AR168" s="1879"/>
      <c r="AS168" s="1879"/>
      <c r="AT168" s="1879"/>
      <c r="AU168" s="1879"/>
      <c r="AV168" s="1878"/>
      <c r="AW168" s="1878"/>
      <c r="AX168" s="1878"/>
      <c r="AY168" s="1878"/>
      <c r="AZ168" s="1879"/>
      <c r="BA168" s="1879"/>
      <c r="BB168" s="1879"/>
      <c r="BC168" s="1879"/>
      <c r="BD168" s="1878"/>
      <c r="BE168" s="1877"/>
      <c r="BF168" s="1877"/>
      <c r="BG168" s="1877"/>
      <c r="BH168" s="1877"/>
      <c r="BI168" s="1877"/>
      <c r="BJ168" s="1877"/>
      <c r="BK168" s="1877"/>
      <c r="BL168" s="1877"/>
      <c r="BM168" s="1877"/>
      <c r="BN168" s="1877"/>
      <c r="BO168" s="1872"/>
      <c r="BP168" s="1872"/>
      <c r="BQ168" s="1834">
        <f t="shared" si="142"/>
        <v>0</v>
      </c>
      <c r="BS168" s="1621" t="s">
        <v>76</v>
      </c>
      <c r="BT168" s="1622">
        <f t="shared" si="143"/>
        <v>0</v>
      </c>
      <c r="BU168" s="1876"/>
      <c r="BV168" s="1876"/>
      <c r="BW168" s="1876"/>
      <c r="BX168" s="1876"/>
      <c r="BY168" s="1876"/>
      <c r="BZ168" s="1876"/>
      <c r="CA168" s="1876"/>
      <c r="CB168" s="1876"/>
      <c r="CC168" s="1876"/>
      <c r="CD168" s="1876"/>
      <c r="CE168" s="1871"/>
      <c r="CF168" s="1871"/>
      <c r="CG168" s="1862"/>
      <c r="CH168" s="1862"/>
      <c r="CI168" s="1863"/>
      <c r="CJ168" s="1863"/>
      <c r="CK168" s="1863"/>
      <c r="CL168" s="1863"/>
      <c r="CM168" s="1862"/>
      <c r="CN168" s="1863"/>
      <c r="CO168" s="1863"/>
      <c r="CP168" s="1863"/>
      <c r="CQ168" s="1863"/>
      <c r="CR168" s="1863"/>
      <c r="CS168" s="1863"/>
      <c r="CT168" s="1863"/>
      <c r="CU168" s="1862"/>
      <c r="CV168" s="1863"/>
      <c r="CW168" s="1863"/>
      <c r="CX168" s="1862"/>
      <c r="CY168" s="1862"/>
      <c r="CZ168" s="1826">
        <f t="shared" si="144"/>
        <v>0</v>
      </c>
      <c r="DB168" s="1054" t="s">
        <v>76</v>
      </c>
      <c r="DC168" s="1091">
        <f t="shared" si="145"/>
        <v>0</v>
      </c>
      <c r="DD168" s="1931"/>
      <c r="DE168" s="1190"/>
      <c r="DF168" s="1930"/>
      <c r="DG168" s="1929"/>
      <c r="DH168" s="1928"/>
      <c r="DI168" s="1927"/>
      <c r="DJ168" s="1926"/>
      <c r="DK168" s="1926"/>
      <c r="DL168" s="1926"/>
      <c r="DM168" s="1926"/>
      <c r="DN168" s="1925"/>
      <c r="DO168" s="1925"/>
      <c r="DP168" s="1925"/>
      <c r="DQ168" s="1925"/>
      <c r="DR168" s="1926"/>
      <c r="DS168" s="1926"/>
      <c r="DT168" s="1926"/>
      <c r="DU168" s="1926"/>
      <c r="DV168" s="1925"/>
      <c r="DW168" s="1926"/>
      <c r="DX168" s="1926"/>
      <c r="DY168" s="1926"/>
      <c r="DZ168" s="1926"/>
      <c r="EA168" s="1926"/>
      <c r="EB168" s="1926"/>
      <c r="EC168" s="1926"/>
      <c r="ED168" s="1925"/>
      <c r="EE168" s="1926"/>
      <c r="EF168" s="1926"/>
      <c r="EG168" s="1925"/>
      <c r="EH168" s="1925"/>
      <c r="EI168" s="1268">
        <f t="shared" si="146"/>
        <v>0</v>
      </c>
    </row>
    <row r="169" spans="1:139" ht="15">
      <c r="A169" s="1039" t="s">
        <v>77</v>
      </c>
      <c r="B169" s="1084">
        <f t="shared" si="139"/>
        <v>0</v>
      </c>
      <c r="C169" s="1973"/>
      <c r="D169" s="1973"/>
      <c r="E169" s="1973"/>
      <c r="F169" s="1973"/>
      <c r="G169" s="1973"/>
      <c r="H169" s="1973"/>
      <c r="I169" s="1973"/>
      <c r="J169" s="1973"/>
      <c r="K169" s="1973"/>
      <c r="L169" s="1973"/>
      <c r="M169" s="1973"/>
      <c r="N169" s="1973"/>
      <c r="O169" s="1973"/>
      <c r="P169" s="1973"/>
      <c r="Q169" s="1973"/>
      <c r="R169" s="1973"/>
      <c r="S169" s="1973"/>
      <c r="T169" s="1973"/>
      <c r="U169" s="1973"/>
      <c r="V169" s="1973"/>
      <c r="W169" s="1973"/>
      <c r="X169" s="1973"/>
      <c r="Y169" s="1973"/>
      <c r="Z169" s="1973"/>
      <c r="AA169" s="1973"/>
      <c r="AB169" s="1973"/>
      <c r="AC169" s="1973"/>
      <c r="AD169" s="1973"/>
      <c r="AE169" s="1973"/>
      <c r="AF169" s="1973"/>
      <c r="AG169" s="1973"/>
      <c r="AH169" s="1974">
        <f t="shared" si="140"/>
        <v>0</v>
      </c>
      <c r="AJ169" s="1524" t="s">
        <v>77</v>
      </c>
      <c r="AK169" s="1527">
        <f t="shared" si="141"/>
        <v>0</v>
      </c>
      <c r="AL169" s="1835"/>
      <c r="AM169" s="1835"/>
      <c r="AN169" s="1835"/>
      <c r="AO169" s="1835"/>
      <c r="AP169" s="1835"/>
      <c r="AQ169" s="1835"/>
      <c r="AR169" s="1835"/>
      <c r="AS169" s="1835"/>
      <c r="AT169" s="1835"/>
      <c r="AU169" s="1835"/>
      <c r="AV169" s="1835"/>
      <c r="AW169" s="1835"/>
      <c r="AX169" s="1835"/>
      <c r="AY169" s="1835"/>
      <c r="AZ169" s="1835"/>
      <c r="BA169" s="1835"/>
      <c r="BB169" s="1835"/>
      <c r="BC169" s="1835"/>
      <c r="BD169" s="1835"/>
      <c r="BE169" s="1877"/>
      <c r="BF169" s="1877"/>
      <c r="BG169" s="1877"/>
      <c r="BH169" s="1872"/>
      <c r="BI169" s="1877"/>
      <c r="BJ169" s="1872"/>
      <c r="BK169" s="1877"/>
      <c r="BL169" s="1872"/>
      <c r="BM169" s="1877"/>
      <c r="BN169" s="1877"/>
      <c r="BO169" s="1877"/>
      <c r="BP169" s="1877"/>
      <c r="BQ169" s="1834">
        <f t="shared" si="142"/>
        <v>0</v>
      </c>
      <c r="BS169" s="1621" t="s">
        <v>77</v>
      </c>
      <c r="BT169" s="1622">
        <f t="shared" si="143"/>
        <v>0</v>
      </c>
      <c r="BU169" s="1876"/>
      <c r="BV169" s="1876"/>
      <c r="BW169" s="1876"/>
      <c r="BX169" s="1871"/>
      <c r="BY169" s="1876"/>
      <c r="BZ169" s="1871"/>
      <c r="CA169" s="1876"/>
      <c r="CB169" s="1871"/>
      <c r="CC169" s="1876"/>
      <c r="CD169" s="1876"/>
      <c r="CE169" s="1876"/>
      <c r="CF169" s="1876"/>
      <c r="CG169" s="1827"/>
      <c r="CH169" s="1827"/>
      <c r="CI169" s="1827"/>
      <c r="CJ169" s="1827"/>
      <c r="CK169" s="1827"/>
      <c r="CL169" s="1827"/>
      <c r="CM169" s="1827"/>
      <c r="CN169" s="1827"/>
      <c r="CO169" s="1827"/>
      <c r="CP169" s="1827"/>
      <c r="CQ169" s="1827"/>
      <c r="CR169" s="1827"/>
      <c r="CS169" s="1827"/>
      <c r="CT169" s="1827"/>
      <c r="CU169" s="1827"/>
      <c r="CV169" s="1827"/>
      <c r="CW169" s="1827"/>
      <c r="CX169" s="1827"/>
      <c r="CY169" s="1827"/>
      <c r="CZ169" s="1826">
        <f t="shared" si="144"/>
        <v>0</v>
      </c>
      <c r="DB169" s="1054" t="s">
        <v>77</v>
      </c>
      <c r="DC169" s="1091">
        <f t="shared" si="145"/>
        <v>0</v>
      </c>
      <c r="DD169" s="1539"/>
      <c r="DE169" s="1539"/>
      <c r="DF169" s="1539"/>
      <c r="DG169" s="1539"/>
      <c r="DH169" s="1539"/>
      <c r="DI169" s="1539"/>
      <c r="DJ169" s="1539"/>
      <c r="DK169" s="1539"/>
      <c r="DL169" s="1539"/>
      <c r="DM169" s="1539"/>
      <c r="DN169" s="1539"/>
      <c r="DO169" s="1539"/>
      <c r="DP169" s="1539"/>
      <c r="DQ169" s="1539"/>
      <c r="DR169" s="1539"/>
      <c r="DS169" s="1539"/>
      <c r="DT169" s="1539"/>
      <c r="DU169" s="1539"/>
      <c r="DV169" s="1539"/>
      <c r="DW169" s="1539"/>
      <c r="DX169" s="1539"/>
      <c r="DY169" s="1539"/>
      <c r="DZ169" s="1539"/>
      <c r="EA169" s="1539"/>
      <c r="EB169" s="1539"/>
      <c r="EC169" s="1539"/>
      <c r="ED169" s="1539"/>
      <c r="EE169" s="1539"/>
      <c r="EF169" s="1539"/>
      <c r="EG169" s="1539"/>
      <c r="EH169" s="1539"/>
      <c r="EI169" s="1268">
        <f t="shared" si="146"/>
        <v>0</v>
      </c>
    </row>
    <row r="170" spans="1:139" ht="15">
      <c r="A170" s="1039" t="s">
        <v>78</v>
      </c>
      <c r="B170" s="1084">
        <f t="shared" si="139"/>
        <v>0</v>
      </c>
      <c r="C170" s="1973"/>
      <c r="D170" s="1973"/>
      <c r="E170" s="1973"/>
      <c r="F170" s="1973"/>
      <c r="G170" s="1973"/>
      <c r="H170" s="1973"/>
      <c r="I170" s="1973"/>
      <c r="J170" s="1973"/>
      <c r="K170" s="1973"/>
      <c r="L170" s="1973"/>
      <c r="M170" s="1973"/>
      <c r="N170" s="1973"/>
      <c r="O170" s="1973"/>
      <c r="P170" s="1973"/>
      <c r="Q170" s="1973"/>
      <c r="R170" s="1973"/>
      <c r="S170" s="1973"/>
      <c r="T170" s="1973"/>
      <c r="U170" s="1973"/>
      <c r="V170" s="1973"/>
      <c r="W170" s="1973"/>
      <c r="X170" s="1973"/>
      <c r="Y170" s="1973"/>
      <c r="Z170" s="1973"/>
      <c r="AA170" s="1973"/>
      <c r="AB170" s="1973"/>
      <c r="AC170" s="1973"/>
      <c r="AD170" s="1973"/>
      <c r="AE170" s="1973"/>
      <c r="AF170" s="1973"/>
      <c r="AG170" s="1973"/>
      <c r="AH170" s="1974">
        <f t="shared" si="140"/>
        <v>0</v>
      </c>
      <c r="AJ170" s="1524" t="s">
        <v>78</v>
      </c>
      <c r="AK170" s="1527">
        <f t="shared" si="141"/>
        <v>0</v>
      </c>
      <c r="AL170" s="1835"/>
      <c r="AM170" s="1835"/>
      <c r="AN170" s="1835"/>
      <c r="AO170" s="1835"/>
      <c r="AP170" s="1835"/>
      <c r="AQ170" s="1835"/>
      <c r="AR170" s="1835"/>
      <c r="AS170" s="1835"/>
      <c r="AT170" s="1835"/>
      <c r="AU170" s="1835"/>
      <c r="AV170" s="1835"/>
      <c r="AW170" s="1835"/>
      <c r="AX170" s="1835"/>
      <c r="AY170" s="1835"/>
      <c r="AZ170" s="1835"/>
      <c r="BA170" s="1835"/>
      <c r="BB170" s="1835"/>
      <c r="BC170" s="1835"/>
      <c r="BD170" s="1835"/>
      <c r="BE170" s="1877"/>
      <c r="BF170" s="1877"/>
      <c r="BG170" s="1877"/>
      <c r="BH170" s="1877"/>
      <c r="BI170" s="1877"/>
      <c r="BJ170" s="1877"/>
      <c r="BK170" s="1877"/>
      <c r="BL170" s="1877"/>
      <c r="BM170" s="1877"/>
      <c r="BN170" s="1877"/>
      <c r="BO170" s="1877"/>
      <c r="BP170" s="1872"/>
      <c r="BQ170" s="1834">
        <f t="shared" si="142"/>
        <v>0</v>
      </c>
      <c r="BS170" s="1621" t="s">
        <v>78</v>
      </c>
      <c r="BT170" s="1622">
        <f t="shared" si="143"/>
        <v>0</v>
      </c>
      <c r="BU170" s="1876"/>
      <c r="BV170" s="1876"/>
      <c r="BW170" s="1876"/>
      <c r="BX170" s="1876"/>
      <c r="BY170" s="1876"/>
      <c r="BZ170" s="1876"/>
      <c r="CA170" s="1876"/>
      <c r="CB170" s="1876"/>
      <c r="CC170" s="1876"/>
      <c r="CD170" s="1876"/>
      <c r="CE170" s="1876"/>
      <c r="CF170" s="1871"/>
      <c r="CG170" s="1827"/>
      <c r="CH170" s="1827"/>
      <c r="CI170" s="1827"/>
      <c r="CJ170" s="1827"/>
      <c r="CK170" s="1827"/>
      <c r="CL170" s="1827"/>
      <c r="CM170" s="1827"/>
      <c r="CN170" s="1827"/>
      <c r="CO170" s="1827"/>
      <c r="CP170" s="1827"/>
      <c r="CQ170" s="1827"/>
      <c r="CR170" s="1827"/>
      <c r="CS170" s="1827"/>
      <c r="CT170" s="1827"/>
      <c r="CU170" s="1827"/>
      <c r="CV170" s="1827"/>
      <c r="CW170" s="1827"/>
      <c r="CX170" s="1827"/>
      <c r="CY170" s="1827"/>
      <c r="CZ170" s="1826">
        <f t="shared" si="144"/>
        <v>0</v>
      </c>
      <c r="DB170" s="1054" t="s">
        <v>78</v>
      </c>
      <c r="DC170" s="1091">
        <f t="shared" si="145"/>
        <v>0</v>
      </c>
      <c r="DD170" s="1539"/>
      <c r="DE170" s="1539"/>
      <c r="DF170" s="1539"/>
      <c r="DG170" s="1539"/>
      <c r="DH170" s="1539"/>
      <c r="DI170" s="1539"/>
      <c r="DJ170" s="1539"/>
      <c r="DK170" s="1539"/>
      <c r="DL170" s="1539"/>
      <c r="DM170" s="1539"/>
      <c r="DN170" s="1539"/>
      <c r="DO170" s="1539"/>
      <c r="DP170" s="1539"/>
      <c r="DQ170" s="1539"/>
      <c r="DR170" s="1539"/>
      <c r="DS170" s="1539"/>
      <c r="DT170" s="1539"/>
      <c r="DU170" s="1539"/>
      <c r="DV170" s="1539"/>
      <c r="DW170" s="1539"/>
      <c r="DX170" s="1539"/>
      <c r="DY170" s="1539"/>
      <c r="DZ170" s="1539"/>
      <c r="EA170" s="1539"/>
      <c r="EB170" s="1539"/>
      <c r="EC170" s="1539"/>
      <c r="ED170" s="1539"/>
      <c r="EE170" s="1539"/>
      <c r="EF170" s="1539"/>
      <c r="EG170" s="1539"/>
      <c r="EH170" s="1539"/>
      <c r="EI170" s="1268">
        <f t="shared" si="146"/>
        <v>0</v>
      </c>
    </row>
    <row r="171" spans="1:139" ht="15">
      <c r="A171" s="1039" t="s">
        <v>79</v>
      </c>
      <c r="B171" s="1084">
        <f t="shared" si="139"/>
        <v>0</v>
      </c>
      <c r="C171" s="1973"/>
      <c r="D171" s="1973"/>
      <c r="E171" s="1973"/>
      <c r="F171" s="1973"/>
      <c r="G171" s="1973"/>
      <c r="H171" s="1973"/>
      <c r="I171" s="1973"/>
      <c r="J171" s="1973"/>
      <c r="K171" s="1973"/>
      <c r="L171" s="1973"/>
      <c r="M171" s="1973"/>
      <c r="N171" s="1973"/>
      <c r="O171" s="1973"/>
      <c r="P171" s="1973"/>
      <c r="Q171" s="1973"/>
      <c r="R171" s="1973"/>
      <c r="S171" s="1973"/>
      <c r="T171" s="1973"/>
      <c r="U171" s="1973"/>
      <c r="V171" s="1973"/>
      <c r="W171" s="1973"/>
      <c r="X171" s="1973"/>
      <c r="Y171" s="1973"/>
      <c r="Z171" s="1973"/>
      <c r="AA171" s="1973"/>
      <c r="AB171" s="1973"/>
      <c r="AC171" s="1973"/>
      <c r="AD171" s="1973"/>
      <c r="AE171" s="1973"/>
      <c r="AF171" s="1973"/>
      <c r="AG171" s="1973"/>
      <c r="AH171" s="1974">
        <f t="shared" si="140"/>
        <v>0</v>
      </c>
      <c r="AJ171" s="1524" t="s">
        <v>79</v>
      </c>
      <c r="AK171" s="1527">
        <f t="shared" si="141"/>
        <v>0</v>
      </c>
      <c r="AL171" s="1835"/>
      <c r="AM171" s="1835"/>
      <c r="AN171" s="1835"/>
      <c r="AO171" s="1835"/>
      <c r="AP171" s="1835"/>
      <c r="AQ171" s="1835"/>
      <c r="AR171" s="1835"/>
      <c r="AS171" s="1835"/>
      <c r="AT171" s="1835"/>
      <c r="AU171" s="1835"/>
      <c r="AV171" s="1835"/>
      <c r="AW171" s="1835"/>
      <c r="AX171" s="1835"/>
      <c r="AY171" s="1835"/>
      <c r="AZ171" s="1835"/>
      <c r="BA171" s="1835"/>
      <c r="BB171" s="1835"/>
      <c r="BC171" s="1835"/>
      <c r="BD171" s="1835"/>
      <c r="BE171" s="1877"/>
      <c r="BF171" s="1877"/>
      <c r="BG171" s="1877"/>
      <c r="BH171" s="1877"/>
      <c r="BI171" s="1877"/>
      <c r="BJ171" s="1877"/>
      <c r="BK171" s="1877"/>
      <c r="BL171" s="1877"/>
      <c r="BM171" s="1877"/>
      <c r="BN171" s="1877"/>
      <c r="BO171" s="1877"/>
      <c r="BP171" s="1877"/>
      <c r="BQ171" s="1834">
        <f t="shared" si="142"/>
        <v>0</v>
      </c>
      <c r="BS171" s="1621" t="s">
        <v>79</v>
      </c>
      <c r="BT171" s="1622">
        <f t="shared" si="143"/>
        <v>0</v>
      </c>
      <c r="BU171" s="1876"/>
      <c r="BV171" s="1876"/>
      <c r="BW171" s="1876"/>
      <c r="BX171" s="1876"/>
      <c r="BY171" s="1876"/>
      <c r="BZ171" s="1876"/>
      <c r="CA171" s="1876"/>
      <c r="CB171" s="1876"/>
      <c r="CC171" s="1876"/>
      <c r="CD171" s="1876"/>
      <c r="CE171" s="1876"/>
      <c r="CF171" s="1876"/>
      <c r="CG171" s="1827"/>
      <c r="CH171" s="1827"/>
      <c r="CI171" s="1827"/>
      <c r="CJ171" s="1827"/>
      <c r="CK171" s="1827"/>
      <c r="CL171" s="1827"/>
      <c r="CM171" s="1827"/>
      <c r="CN171" s="1827"/>
      <c r="CO171" s="1827"/>
      <c r="CP171" s="1827"/>
      <c r="CQ171" s="1827"/>
      <c r="CR171" s="1827"/>
      <c r="CS171" s="1827"/>
      <c r="CT171" s="1827"/>
      <c r="CU171" s="1827"/>
      <c r="CV171" s="1827"/>
      <c r="CW171" s="1827"/>
      <c r="CX171" s="1827"/>
      <c r="CY171" s="1827"/>
      <c r="CZ171" s="1826">
        <f t="shared" si="144"/>
        <v>0</v>
      </c>
      <c r="DB171" s="1054" t="s">
        <v>79</v>
      </c>
      <c r="DC171" s="1091">
        <f t="shared" si="145"/>
        <v>0</v>
      </c>
      <c r="DD171" s="1539"/>
      <c r="DE171" s="1539"/>
      <c r="DF171" s="1539"/>
      <c r="DG171" s="1539"/>
      <c r="DH171" s="1539"/>
      <c r="DI171" s="1539"/>
      <c r="DJ171" s="1539"/>
      <c r="DK171" s="1539"/>
      <c r="DL171" s="1539"/>
      <c r="DM171" s="1539"/>
      <c r="DN171" s="1539"/>
      <c r="DO171" s="1539"/>
      <c r="DP171" s="1539"/>
      <c r="DQ171" s="1539"/>
      <c r="DR171" s="1539"/>
      <c r="DS171" s="1539"/>
      <c r="DT171" s="1539"/>
      <c r="DU171" s="1539"/>
      <c r="DV171" s="1539"/>
      <c r="DW171" s="1539"/>
      <c r="DX171" s="1539"/>
      <c r="DY171" s="1539"/>
      <c r="DZ171" s="1539"/>
      <c r="EA171" s="1539"/>
      <c r="EB171" s="1539"/>
      <c r="EC171" s="1539"/>
      <c r="ED171" s="1539"/>
      <c r="EE171" s="1539"/>
      <c r="EF171" s="1539"/>
      <c r="EG171" s="1539"/>
      <c r="EH171" s="1539"/>
      <c r="EI171" s="1268">
        <f t="shared" si="146"/>
        <v>0</v>
      </c>
    </row>
    <row r="172" spans="1:139" ht="15">
      <c r="A172" s="1039" t="s">
        <v>80</v>
      </c>
      <c r="B172" s="1084">
        <f t="shared" si="139"/>
        <v>0</v>
      </c>
      <c r="C172" s="1973"/>
      <c r="D172" s="1973"/>
      <c r="E172" s="1973"/>
      <c r="F172" s="1973"/>
      <c r="G172" s="1973"/>
      <c r="H172" s="1973"/>
      <c r="I172" s="1973"/>
      <c r="J172" s="1973"/>
      <c r="K172" s="1973"/>
      <c r="L172" s="1973"/>
      <c r="M172" s="1973"/>
      <c r="N172" s="1973"/>
      <c r="O172" s="1973"/>
      <c r="P172" s="1973"/>
      <c r="Q172" s="1973"/>
      <c r="R172" s="1973"/>
      <c r="S172" s="1973"/>
      <c r="T172" s="1973"/>
      <c r="U172" s="1973"/>
      <c r="V172" s="1973"/>
      <c r="W172" s="1973"/>
      <c r="X172" s="1973"/>
      <c r="Y172" s="1973"/>
      <c r="Z172" s="1973"/>
      <c r="AA172" s="1973"/>
      <c r="AB172" s="1973"/>
      <c r="AC172" s="1973"/>
      <c r="AD172" s="1973"/>
      <c r="AE172" s="1973"/>
      <c r="AF172" s="1973"/>
      <c r="AG172" s="1973"/>
      <c r="AH172" s="1974">
        <f t="shared" si="140"/>
        <v>0</v>
      </c>
      <c r="AJ172" s="1524" t="s">
        <v>80</v>
      </c>
      <c r="AK172" s="1527">
        <f t="shared" si="141"/>
        <v>0</v>
      </c>
      <c r="AL172" s="1835"/>
      <c r="AM172" s="1835"/>
      <c r="AN172" s="1835"/>
      <c r="AO172" s="1835"/>
      <c r="AP172" s="1835"/>
      <c r="AQ172" s="1835"/>
      <c r="AR172" s="1835"/>
      <c r="AS172" s="1835"/>
      <c r="AT172" s="1835"/>
      <c r="AU172" s="1835"/>
      <c r="AV172" s="1835"/>
      <c r="AW172" s="1835"/>
      <c r="AX172" s="1835"/>
      <c r="AY172" s="1835"/>
      <c r="AZ172" s="1835"/>
      <c r="BA172" s="1835"/>
      <c r="BB172" s="1835"/>
      <c r="BC172" s="1835"/>
      <c r="BD172" s="1835"/>
      <c r="BE172" s="1872"/>
      <c r="BF172" s="1875"/>
      <c r="BG172" s="1872"/>
      <c r="BH172" s="1872"/>
      <c r="BI172" s="1872"/>
      <c r="BJ172" s="1872"/>
      <c r="BK172" s="1872"/>
      <c r="BL172" s="1872"/>
      <c r="BM172" s="1872"/>
      <c r="BN172" s="1872"/>
      <c r="BO172" s="1872"/>
      <c r="BP172" s="1872"/>
      <c r="BQ172" s="1834">
        <f t="shared" si="142"/>
        <v>0</v>
      </c>
      <c r="BS172" s="1621" t="s">
        <v>80</v>
      </c>
      <c r="BT172" s="1622">
        <f t="shared" si="143"/>
        <v>0</v>
      </c>
      <c r="BU172" s="1871"/>
      <c r="BV172" s="1874"/>
      <c r="BW172" s="1871"/>
      <c r="BX172" s="1871"/>
      <c r="BY172" s="1871"/>
      <c r="BZ172" s="1871"/>
      <c r="CA172" s="1871"/>
      <c r="CB172" s="1871"/>
      <c r="CC172" s="1871"/>
      <c r="CD172" s="1871"/>
      <c r="CE172" s="1871"/>
      <c r="CF172" s="1871"/>
      <c r="CG172" s="1827"/>
      <c r="CH172" s="1827"/>
      <c r="CI172" s="1827"/>
      <c r="CJ172" s="1827"/>
      <c r="CK172" s="1827"/>
      <c r="CL172" s="1827"/>
      <c r="CM172" s="1827"/>
      <c r="CN172" s="1827"/>
      <c r="CO172" s="1827"/>
      <c r="CP172" s="1827"/>
      <c r="CQ172" s="1827"/>
      <c r="CR172" s="1827"/>
      <c r="CS172" s="1827"/>
      <c r="CT172" s="1827"/>
      <c r="CU172" s="1827"/>
      <c r="CV172" s="1827"/>
      <c r="CW172" s="1827"/>
      <c r="CX172" s="1827"/>
      <c r="CY172" s="1827"/>
      <c r="CZ172" s="1826">
        <f t="shared" si="144"/>
        <v>0</v>
      </c>
      <c r="DB172" s="1054" t="s">
        <v>80</v>
      </c>
      <c r="DC172" s="1091">
        <f t="shared" si="145"/>
        <v>0</v>
      </c>
      <c r="DD172" s="1539"/>
      <c r="DE172" s="1539"/>
      <c r="DF172" s="1539"/>
      <c r="DG172" s="1539"/>
      <c r="DH172" s="1539"/>
      <c r="DI172" s="1539"/>
      <c r="DJ172" s="1539"/>
      <c r="DK172" s="1539"/>
      <c r="DL172" s="1539"/>
      <c r="DM172" s="1539"/>
      <c r="DN172" s="1539"/>
      <c r="DO172" s="1539"/>
      <c r="DP172" s="1539"/>
      <c r="DQ172" s="1539"/>
      <c r="DR172" s="1539"/>
      <c r="DS172" s="1539"/>
      <c r="DT172" s="1539"/>
      <c r="DU172" s="1539"/>
      <c r="DV172" s="1539"/>
      <c r="DW172" s="1539"/>
      <c r="DX172" s="1539"/>
      <c r="DY172" s="1539"/>
      <c r="DZ172" s="1539"/>
      <c r="EA172" s="1539"/>
      <c r="EB172" s="1539"/>
      <c r="EC172" s="1539"/>
      <c r="ED172" s="1539"/>
      <c r="EE172" s="1539"/>
      <c r="EF172" s="1539"/>
      <c r="EG172" s="1539"/>
      <c r="EH172" s="1539"/>
      <c r="EI172" s="1268">
        <f t="shared" si="146"/>
        <v>0</v>
      </c>
    </row>
    <row r="173" spans="1:139" ht="15">
      <c r="A173" s="1039" t="s">
        <v>81</v>
      </c>
      <c r="B173" s="1084">
        <f t="shared" si="139"/>
        <v>0</v>
      </c>
      <c r="C173" s="1973"/>
      <c r="D173" s="1973"/>
      <c r="E173" s="1973"/>
      <c r="F173" s="1973"/>
      <c r="G173" s="1973"/>
      <c r="H173" s="1973"/>
      <c r="I173" s="1973"/>
      <c r="J173" s="1973"/>
      <c r="K173" s="1973"/>
      <c r="L173" s="1973"/>
      <c r="M173" s="1973"/>
      <c r="N173" s="1973"/>
      <c r="O173" s="1973"/>
      <c r="P173" s="1973"/>
      <c r="Q173" s="1973"/>
      <c r="R173" s="1973"/>
      <c r="S173" s="1973"/>
      <c r="T173" s="1973"/>
      <c r="U173" s="1973"/>
      <c r="V173" s="1973"/>
      <c r="W173" s="1973"/>
      <c r="X173" s="1973"/>
      <c r="Y173" s="1973"/>
      <c r="Z173" s="1973"/>
      <c r="AA173" s="1973"/>
      <c r="AB173" s="1973"/>
      <c r="AC173" s="1973"/>
      <c r="AD173" s="1973"/>
      <c r="AE173" s="1973"/>
      <c r="AF173" s="1973"/>
      <c r="AG173" s="1973"/>
      <c r="AH173" s="1974">
        <f t="shared" si="140"/>
        <v>0</v>
      </c>
      <c r="AJ173" s="1524" t="s">
        <v>81</v>
      </c>
      <c r="AK173" s="1527">
        <f t="shared" si="141"/>
        <v>0</v>
      </c>
      <c r="AL173" s="1835"/>
      <c r="AM173" s="1835"/>
      <c r="AN173" s="1835"/>
      <c r="AO173" s="1835"/>
      <c r="AP173" s="1835"/>
      <c r="AQ173" s="1835"/>
      <c r="AR173" s="1835"/>
      <c r="AS173" s="1835"/>
      <c r="AT173" s="1835"/>
      <c r="AU173" s="1835"/>
      <c r="AV173" s="1835"/>
      <c r="AW173" s="1835"/>
      <c r="AX173" s="1835"/>
      <c r="AY173" s="1835"/>
      <c r="AZ173" s="1835"/>
      <c r="BA173" s="1835"/>
      <c r="BB173" s="1835"/>
      <c r="BC173" s="1835"/>
      <c r="BD173" s="1835"/>
      <c r="BE173" s="1872"/>
      <c r="BF173" s="1872"/>
      <c r="BG173" s="1872"/>
      <c r="BH173" s="1872"/>
      <c r="BI173" s="1872"/>
      <c r="BJ173" s="1872"/>
      <c r="BK173" s="1872"/>
      <c r="BL173" s="1872"/>
      <c r="BM173" s="1872"/>
      <c r="BN173" s="1872"/>
      <c r="BO173" s="1872"/>
      <c r="BP173" s="1872"/>
      <c r="BQ173" s="1834">
        <f t="shared" si="142"/>
        <v>0</v>
      </c>
      <c r="BS173" s="1621" t="s">
        <v>81</v>
      </c>
      <c r="BT173" s="1622">
        <f t="shared" si="143"/>
        <v>0</v>
      </c>
      <c r="BU173" s="1871"/>
      <c r="BV173" s="1871"/>
      <c r="BW173" s="1871"/>
      <c r="BX173" s="1871"/>
      <c r="BY173" s="1871"/>
      <c r="BZ173" s="1871"/>
      <c r="CA173" s="1871"/>
      <c r="CB173" s="1871"/>
      <c r="CC173" s="1871"/>
      <c r="CD173" s="1871"/>
      <c r="CE173" s="1871"/>
      <c r="CF173" s="1871"/>
      <c r="CG173" s="1827"/>
      <c r="CH173" s="1827"/>
      <c r="CI173" s="1827"/>
      <c r="CJ173" s="1827"/>
      <c r="CK173" s="1827"/>
      <c r="CL173" s="1827"/>
      <c r="CM173" s="1827"/>
      <c r="CN173" s="1827"/>
      <c r="CO173" s="1827"/>
      <c r="CP173" s="1827"/>
      <c r="CQ173" s="1827"/>
      <c r="CR173" s="1827"/>
      <c r="CS173" s="1827"/>
      <c r="CT173" s="1827"/>
      <c r="CU173" s="1827"/>
      <c r="CV173" s="1827"/>
      <c r="CW173" s="1827"/>
      <c r="CX173" s="1827"/>
      <c r="CY173" s="1827"/>
      <c r="CZ173" s="1826">
        <f t="shared" si="144"/>
        <v>0</v>
      </c>
      <c r="DB173" s="1054" t="s">
        <v>81</v>
      </c>
      <c r="DC173" s="1091">
        <f t="shared" si="145"/>
        <v>0</v>
      </c>
      <c r="DD173" s="1539"/>
      <c r="DE173" s="1539"/>
      <c r="DF173" s="1539"/>
      <c r="DG173" s="1539"/>
      <c r="DH173" s="1539"/>
      <c r="DI173" s="1539"/>
      <c r="DJ173" s="1539"/>
      <c r="DK173" s="1539"/>
      <c r="DL173" s="1539"/>
      <c r="DM173" s="1539"/>
      <c r="DN173" s="1539"/>
      <c r="DO173" s="1539"/>
      <c r="DP173" s="1539"/>
      <c r="DQ173" s="1539"/>
      <c r="DR173" s="1539"/>
      <c r="DS173" s="1539"/>
      <c r="DT173" s="1539"/>
      <c r="DU173" s="1539"/>
      <c r="DV173" s="1539"/>
      <c r="DW173" s="1539"/>
      <c r="DX173" s="1539"/>
      <c r="DY173" s="1539"/>
      <c r="DZ173" s="1539"/>
      <c r="EA173" s="1539"/>
      <c r="EB173" s="1539"/>
      <c r="EC173" s="1539"/>
      <c r="ED173" s="1539"/>
      <c r="EE173" s="1539"/>
      <c r="EF173" s="1539"/>
      <c r="EG173" s="1539"/>
      <c r="EH173" s="1539"/>
      <c r="EI173" s="1268">
        <f t="shared" si="146"/>
        <v>0</v>
      </c>
    </row>
    <row r="174" spans="1:139" ht="15">
      <c r="A174" s="1039" t="s">
        <v>82</v>
      </c>
      <c r="B174" s="1084">
        <f t="shared" si="139"/>
        <v>0</v>
      </c>
      <c r="C174" s="1973"/>
      <c r="D174" s="1973"/>
      <c r="E174" s="1973"/>
      <c r="F174" s="1973"/>
      <c r="G174" s="1973"/>
      <c r="H174" s="1973"/>
      <c r="I174" s="1973"/>
      <c r="J174" s="1973"/>
      <c r="K174" s="1973"/>
      <c r="L174" s="1973"/>
      <c r="M174" s="1973"/>
      <c r="N174" s="1973"/>
      <c r="O174" s="1973"/>
      <c r="P174" s="1973"/>
      <c r="Q174" s="1973"/>
      <c r="R174" s="1972"/>
      <c r="S174" s="1972"/>
      <c r="T174" s="1972"/>
      <c r="U174" s="1972"/>
      <c r="V174" s="1972"/>
      <c r="W174" s="1972"/>
      <c r="X174" s="1972"/>
      <c r="Y174" s="1972"/>
      <c r="Z174" s="1972"/>
      <c r="AA174" s="1972"/>
      <c r="AB174" s="1972"/>
      <c r="AC174" s="1972"/>
      <c r="AD174" s="1972"/>
      <c r="AE174" s="1972"/>
      <c r="AF174" s="1972"/>
      <c r="AG174" s="1972"/>
      <c r="AH174" s="1974">
        <f t="shared" si="140"/>
        <v>0</v>
      </c>
      <c r="AJ174" s="1524" t="s">
        <v>82</v>
      </c>
      <c r="AK174" s="1527">
        <f t="shared" si="141"/>
        <v>0</v>
      </c>
      <c r="AL174" s="1835"/>
      <c r="AM174" s="1835"/>
      <c r="AN174" s="1835"/>
      <c r="AO174" s="1835"/>
      <c r="AP174" s="1835"/>
      <c r="AQ174" s="1835"/>
      <c r="AR174" s="1835"/>
      <c r="AS174" s="1835"/>
      <c r="AT174" s="1835"/>
      <c r="AU174" s="1835"/>
      <c r="AV174" s="1835"/>
      <c r="AW174" s="1835"/>
      <c r="AX174" s="1835"/>
      <c r="AY174" s="1835"/>
      <c r="AZ174" s="1835"/>
      <c r="BA174" s="1838"/>
      <c r="BB174" s="1838"/>
      <c r="BC174" s="1838"/>
      <c r="BD174" s="1838"/>
      <c r="BE174" s="1872"/>
      <c r="BF174" s="1872"/>
      <c r="BG174" s="1872"/>
      <c r="BH174" s="1872"/>
      <c r="BI174" s="1872"/>
      <c r="BJ174" s="1872"/>
      <c r="BK174" s="1872"/>
      <c r="BL174" s="1872"/>
      <c r="BM174" s="1872"/>
      <c r="BN174" s="1872"/>
      <c r="BO174" s="1872"/>
      <c r="BP174" s="1872"/>
      <c r="BQ174" s="1834">
        <f t="shared" si="142"/>
        <v>0</v>
      </c>
      <c r="BS174" s="1621" t="s">
        <v>82</v>
      </c>
      <c r="BT174" s="1622">
        <f t="shared" si="143"/>
        <v>0</v>
      </c>
      <c r="BU174" s="1871"/>
      <c r="BV174" s="1871"/>
      <c r="BW174" s="1871"/>
      <c r="BX174" s="1871"/>
      <c r="BY174" s="1871"/>
      <c r="BZ174" s="1871"/>
      <c r="CA174" s="1871"/>
      <c r="CB174" s="1871"/>
      <c r="CC174" s="1871"/>
      <c r="CD174" s="1871"/>
      <c r="CE174" s="1871"/>
      <c r="CF174" s="1871"/>
      <c r="CG174" s="1827"/>
      <c r="CH174" s="1827"/>
      <c r="CI174" s="1827"/>
      <c r="CJ174" s="1830"/>
      <c r="CK174" s="1830"/>
      <c r="CL174" s="1830"/>
      <c r="CM174" s="1830"/>
      <c r="CN174" s="1830"/>
      <c r="CO174" s="1830"/>
      <c r="CP174" s="1830"/>
      <c r="CQ174" s="1830"/>
      <c r="CR174" s="1830"/>
      <c r="CS174" s="1830"/>
      <c r="CT174" s="1830"/>
      <c r="CU174" s="1830"/>
      <c r="CV174" s="1830"/>
      <c r="CW174" s="1830"/>
      <c r="CX174" s="1830"/>
      <c r="CY174" s="1830"/>
      <c r="CZ174" s="1826">
        <f t="shared" si="144"/>
        <v>0</v>
      </c>
      <c r="DB174" s="1054" t="s">
        <v>82</v>
      </c>
      <c r="DC174" s="1091">
        <f t="shared" si="145"/>
        <v>0</v>
      </c>
      <c r="DD174" s="1539"/>
      <c r="DE174" s="1539"/>
      <c r="DF174" s="1539"/>
      <c r="DG174" s="1539"/>
      <c r="DH174" s="1539"/>
      <c r="DI174" s="1539"/>
      <c r="DJ174" s="1539"/>
      <c r="DK174" s="1539"/>
      <c r="DL174" s="1539"/>
      <c r="DM174" s="1539"/>
      <c r="DN174" s="1539"/>
      <c r="DO174" s="1539"/>
      <c r="DP174" s="1539"/>
      <c r="DQ174" s="1539"/>
      <c r="DR174" s="1539"/>
      <c r="DS174" s="1596"/>
      <c r="DT174" s="1596"/>
      <c r="DU174" s="1596"/>
      <c r="DV174" s="1596"/>
      <c r="DW174" s="1596"/>
      <c r="DX174" s="1596"/>
      <c r="DY174" s="1596"/>
      <c r="DZ174" s="1596"/>
      <c r="EA174" s="1596"/>
      <c r="EB174" s="1596"/>
      <c r="EC174" s="1596"/>
      <c r="ED174" s="1596"/>
      <c r="EE174" s="1596"/>
      <c r="EF174" s="1596"/>
      <c r="EG174" s="1596"/>
      <c r="EH174" s="1596"/>
      <c r="EI174" s="1268">
        <f t="shared" si="146"/>
        <v>0</v>
      </c>
    </row>
    <row r="175" spans="1:139" ht="15">
      <c r="A175" s="1039" t="s">
        <v>83</v>
      </c>
      <c r="B175" s="1084">
        <f t="shared" si="139"/>
        <v>0</v>
      </c>
      <c r="C175" s="1973"/>
      <c r="D175" s="1972"/>
      <c r="E175" s="1972"/>
      <c r="F175" s="1972"/>
      <c r="G175" s="1972"/>
      <c r="H175" s="1972"/>
      <c r="I175" s="1972"/>
      <c r="J175" s="1972"/>
      <c r="K175" s="1972"/>
      <c r="L175" s="1972"/>
      <c r="M175" s="1972"/>
      <c r="N175" s="1972"/>
      <c r="O175" s="1972"/>
      <c r="P175" s="1972"/>
      <c r="Q175" s="1972"/>
      <c r="R175" s="1987"/>
      <c r="S175" s="1987"/>
      <c r="T175" s="1987"/>
      <c r="U175" s="1987"/>
      <c r="V175" s="1987"/>
      <c r="W175" s="1987"/>
      <c r="X175" s="1987"/>
      <c r="Y175" s="1987"/>
      <c r="Z175" s="1987"/>
      <c r="AA175" s="1987"/>
      <c r="AB175" s="1987"/>
      <c r="AC175" s="1987"/>
      <c r="AD175" s="1987"/>
      <c r="AE175" s="1987"/>
      <c r="AF175" s="1987"/>
      <c r="AG175" s="1973"/>
      <c r="AH175" s="1974">
        <f t="shared" si="140"/>
        <v>0</v>
      </c>
      <c r="AJ175" s="1524" t="s">
        <v>83</v>
      </c>
      <c r="AK175" s="1527">
        <f t="shared" si="141"/>
        <v>0</v>
      </c>
      <c r="AL175" s="1835"/>
      <c r="AM175" s="1838"/>
      <c r="AN175" s="1838"/>
      <c r="AO175" s="1838"/>
      <c r="AP175" s="1838"/>
      <c r="AQ175" s="1838"/>
      <c r="AR175" s="1838"/>
      <c r="AS175" s="1838"/>
      <c r="AT175" s="1838"/>
      <c r="AU175" s="1838"/>
      <c r="AV175" s="1838"/>
      <c r="AW175" s="1838"/>
      <c r="AX175" s="1838"/>
      <c r="AY175" s="1838"/>
      <c r="AZ175" s="1838"/>
      <c r="BA175" s="1873"/>
      <c r="BB175" s="1873"/>
      <c r="BC175" s="1873"/>
      <c r="BD175" s="1873"/>
      <c r="BE175" s="1872"/>
      <c r="BF175" s="1872"/>
      <c r="BG175" s="1872"/>
      <c r="BH175" s="1872"/>
      <c r="BI175" s="1872"/>
      <c r="BJ175" s="1872"/>
      <c r="BK175" s="1872"/>
      <c r="BL175" s="1872"/>
      <c r="BM175" s="1872"/>
      <c r="BN175" s="1872"/>
      <c r="BO175" s="1872"/>
      <c r="BP175" s="1872"/>
      <c r="BQ175" s="1834">
        <f t="shared" si="142"/>
        <v>0</v>
      </c>
      <c r="BS175" s="1621" t="s">
        <v>83</v>
      </c>
      <c r="BT175" s="1622">
        <f t="shared" si="143"/>
        <v>0</v>
      </c>
      <c r="BU175" s="1871"/>
      <c r="BV175" s="1871"/>
      <c r="BW175" s="1871"/>
      <c r="BX175" s="1871"/>
      <c r="BY175" s="1871"/>
      <c r="BZ175" s="1871"/>
      <c r="CA175" s="1871"/>
      <c r="CB175" s="1871"/>
      <c r="CC175" s="1871"/>
      <c r="CD175" s="1871"/>
      <c r="CE175" s="1871"/>
      <c r="CF175" s="1871"/>
      <c r="CG175" s="1830"/>
      <c r="CH175" s="1830"/>
      <c r="CI175" s="1830"/>
      <c r="CJ175" s="1853"/>
      <c r="CK175" s="1853"/>
      <c r="CL175" s="1853"/>
      <c r="CM175" s="1853"/>
      <c r="CN175" s="1853"/>
      <c r="CO175" s="1853"/>
      <c r="CP175" s="1853"/>
      <c r="CQ175" s="1853"/>
      <c r="CR175" s="1853"/>
      <c r="CS175" s="1853"/>
      <c r="CT175" s="1853"/>
      <c r="CU175" s="1853"/>
      <c r="CV175" s="1853"/>
      <c r="CW175" s="1853"/>
      <c r="CX175" s="1853"/>
      <c r="CY175" s="1827"/>
      <c r="CZ175" s="1826">
        <f t="shared" si="144"/>
        <v>0</v>
      </c>
      <c r="DB175" s="1054" t="s">
        <v>83</v>
      </c>
      <c r="DC175" s="1091">
        <f t="shared" si="145"/>
        <v>0</v>
      </c>
      <c r="DD175" s="1539"/>
      <c r="DE175" s="1596"/>
      <c r="DF175" s="1596"/>
      <c r="DG175" s="1596"/>
      <c r="DH175" s="1596"/>
      <c r="DI175" s="1596"/>
      <c r="DJ175" s="1596"/>
      <c r="DK175" s="1596"/>
      <c r="DL175" s="1596"/>
      <c r="DM175" s="1596"/>
      <c r="DN175" s="1596"/>
      <c r="DO175" s="1596"/>
      <c r="DP175" s="1596"/>
      <c r="DQ175" s="1596"/>
      <c r="DR175" s="1596"/>
      <c r="DS175" s="1924"/>
      <c r="DT175" s="1924"/>
      <c r="DU175" s="1924"/>
      <c r="DV175" s="1924"/>
      <c r="DW175" s="1924"/>
      <c r="DX175" s="1924"/>
      <c r="DY175" s="1924"/>
      <c r="DZ175" s="1924"/>
      <c r="EA175" s="1924"/>
      <c r="EB175" s="1924"/>
      <c r="EC175" s="1924"/>
      <c r="ED175" s="1924"/>
      <c r="EE175" s="1924"/>
      <c r="EF175" s="1924"/>
      <c r="EG175" s="1924"/>
      <c r="EH175" s="1539"/>
      <c r="EI175" s="1268">
        <f t="shared" si="146"/>
        <v>0</v>
      </c>
    </row>
    <row r="176" spans="1:139" ht="15">
      <c r="A176" s="1039" t="s">
        <v>84</v>
      </c>
      <c r="B176" s="1084">
        <f t="shared" si="139"/>
        <v>0</v>
      </c>
      <c r="C176" s="1973"/>
      <c r="D176" s="1987"/>
      <c r="E176" s="1987"/>
      <c r="F176" s="1987"/>
      <c r="G176" s="1973"/>
      <c r="H176" s="1973"/>
      <c r="I176" s="1973"/>
      <c r="J176" s="1973"/>
      <c r="K176" s="1973"/>
      <c r="L176" s="1973"/>
      <c r="M176" s="1973"/>
      <c r="N176" s="1973"/>
      <c r="O176" s="1973"/>
      <c r="P176" s="1973"/>
      <c r="Q176" s="1973"/>
      <c r="R176" s="1973"/>
      <c r="S176" s="1973"/>
      <c r="T176" s="1973"/>
      <c r="U176" s="1973"/>
      <c r="V176" s="1973"/>
      <c r="W176" s="1973"/>
      <c r="X176" s="1973"/>
      <c r="Y176" s="1973"/>
      <c r="Z176" s="1973"/>
      <c r="AA176" s="1973"/>
      <c r="AB176" s="1973"/>
      <c r="AC176" s="1973"/>
      <c r="AD176" s="1973"/>
      <c r="AE176" s="1973"/>
      <c r="AF176" s="1973"/>
      <c r="AG176" s="1973"/>
      <c r="AH176" s="1974">
        <f t="shared" si="140"/>
        <v>0</v>
      </c>
      <c r="AJ176" s="1524" t="s">
        <v>84</v>
      </c>
      <c r="AK176" s="1527">
        <f t="shared" si="141"/>
        <v>0</v>
      </c>
      <c r="AL176" s="1835"/>
      <c r="AM176" s="1873"/>
      <c r="AN176" s="1873"/>
      <c r="AO176" s="1873"/>
      <c r="AP176" s="1835"/>
      <c r="AQ176" s="1835"/>
      <c r="AR176" s="1835"/>
      <c r="AS176" s="1835"/>
      <c r="AT176" s="1835"/>
      <c r="AU176" s="1835"/>
      <c r="AV176" s="1835"/>
      <c r="AW176" s="1835"/>
      <c r="AX176" s="1835"/>
      <c r="AY176" s="1835"/>
      <c r="AZ176" s="1835"/>
      <c r="BA176" s="1835"/>
      <c r="BB176" s="1835"/>
      <c r="BC176" s="1835"/>
      <c r="BD176" s="1835"/>
      <c r="BE176" s="1872"/>
      <c r="BF176" s="1872"/>
      <c r="BG176" s="1872"/>
      <c r="BH176" s="1872"/>
      <c r="BI176" s="1872"/>
      <c r="BJ176" s="1872"/>
      <c r="BK176" s="1872"/>
      <c r="BL176" s="1872"/>
      <c r="BM176" s="1872"/>
      <c r="BN176" s="1872"/>
      <c r="BO176" s="1872"/>
      <c r="BP176" s="1872"/>
      <c r="BQ176" s="1834">
        <f t="shared" si="142"/>
        <v>0</v>
      </c>
      <c r="BS176" s="1621" t="s">
        <v>84</v>
      </c>
      <c r="BT176" s="1622">
        <f t="shared" si="143"/>
        <v>0</v>
      </c>
      <c r="BU176" s="1871"/>
      <c r="BV176" s="1871"/>
      <c r="BW176" s="1871"/>
      <c r="BX176" s="1871"/>
      <c r="BY176" s="1871"/>
      <c r="BZ176" s="1871"/>
      <c r="CA176" s="1871"/>
      <c r="CB176" s="1871"/>
      <c r="CC176" s="1871"/>
      <c r="CD176" s="1871"/>
      <c r="CE176" s="1871"/>
      <c r="CF176" s="1871"/>
      <c r="CG176" s="1827"/>
      <c r="CH176" s="1827"/>
      <c r="CI176" s="1827"/>
      <c r="CJ176" s="1827"/>
      <c r="CK176" s="1827"/>
      <c r="CL176" s="1827"/>
      <c r="CM176" s="1827"/>
      <c r="CN176" s="1827"/>
      <c r="CO176" s="1827"/>
      <c r="CP176" s="1827"/>
      <c r="CQ176" s="1827"/>
      <c r="CR176" s="1827"/>
      <c r="CS176" s="1827"/>
      <c r="CT176" s="1827"/>
      <c r="CU176" s="1827"/>
      <c r="CV176" s="1827"/>
      <c r="CW176" s="1827"/>
      <c r="CX176" s="1827"/>
      <c r="CY176" s="1827"/>
      <c r="CZ176" s="1826">
        <f t="shared" si="144"/>
        <v>0</v>
      </c>
      <c r="DB176" s="1054" t="s">
        <v>84</v>
      </c>
      <c r="DC176" s="1091">
        <f t="shared" si="145"/>
        <v>0</v>
      </c>
      <c r="DD176" s="1539"/>
      <c r="DE176" s="1924"/>
      <c r="DF176" s="1924"/>
      <c r="DG176" s="1924"/>
      <c r="DH176" s="1539"/>
      <c r="DI176" s="1539"/>
      <c r="DJ176" s="1539"/>
      <c r="DK176" s="1539"/>
      <c r="DL176" s="1539"/>
      <c r="DM176" s="1539"/>
      <c r="DN176" s="1539"/>
      <c r="DO176" s="1539"/>
      <c r="DP176" s="1539"/>
      <c r="DQ176" s="1539"/>
      <c r="DR176" s="1539"/>
      <c r="DS176" s="1539"/>
      <c r="DT176" s="1539"/>
      <c r="DU176" s="1539"/>
      <c r="DV176" s="1539"/>
      <c r="DW176" s="1539"/>
      <c r="DX176" s="1539"/>
      <c r="DY176" s="1539"/>
      <c r="DZ176" s="1539"/>
      <c r="EA176" s="1539"/>
      <c r="EB176" s="1539"/>
      <c r="EC176" s="1539"/>
      <c r="ED176" s="1539"/>
      <c r="EE176" s="1539"/>
      <c r="EF176" s="1539"/>
      <c r="EG176" s="1539"/>
      <c r="EH176" s="1539"/>
      <c r="EI176" s="1268">
        <f t="shared" si="146"/>
        <v>0</v>
      </c>
    </row>
    <row r="177" spans="1:139" ht="15">
      <c r="A177" s="1988" t="s">
        <v>72</v>
      </c>
      <c r="B177" s="1989">
        <f t="shared" ref="B177:AH177" si="147">SUM(B165:B176)</f>
        <v>0</v>
      </c>
      <c r="C177" s="1974">
        <f t="shared" si="147"/>
        <v>0</v>
      </c>
      <c r="D177" s="1974">
        <f t="shared" si="147"/>
        <v>0</v>
      </c>
      <c r="E177" s="1974">
        <f t="shared" si="147"/>
        <v>0</v>
      </c>
      <c r="F177" s="1974">
        <f t="shared" si="147"/>
        <v>0</v>
      </c>
      <c r="G177" s="1974">
        <f t="shared" si="147"/>
        <v>0</v>
      </c>
      <c r="H177" s="1974">
        <f t="shared" si="147"/>
        <v>0</v>
      </c>
      <c r="I177" s="1974">
        <f t="shared" si="147"/>
        <v>0</v>
      </c>
      <c r="J177" s="1974">
        <f t="shared" si="147"/>
        <v>0</v>
      </c>
      <c r="K177" s="1974">
        <f t="shared" si="147"/>
        <v>0</v>
      </c>
      <c r="L177" s="1974">
        <f t="shared" si="147"/>
        <v>0</v>
      </c>
      <c r="M177" s="1974">
        <f t="shared" si="147"/>
        <v>0</v>
      </c>
      <c r="N177" s="1974">
        <f t="shared" si="147"/>
        <v>0</v>
      </c>
      <c r="O177" s="1974">
        <f t="shared" si="147"/>
        <v>0</v>
      </c>
      <c r="P177" s="1974">
        <f t="shared" si="147"/>
        <v>0</v>
      </c>
      <c r="Q177" s="1974">
        <f t="shared" si="147"/>
        <v>0</v>
      </c>
      <c r="R177" s="1974">
        <f t="shared" si="147"/>
        <v>0</v>
      </c>
      <c r="S177" s="1974">
        <f t="shared" si="147"/>
        <v>0</v>
      </c>
      <c r="T177" s="1974">
        <f t="shared" si="147"/>
        <v>0</v>
      </c>
      <c r="U177" s="1974">
        <f t="shared" si="147"/>
        <v>0</v>
      </c>
      <c r="V177" s="1974">
        <f t="shared" si="147"/>
        <v>0</v>
      </c>
      <c r="W177" s="1974">
        <f t="shared" si="147"/>
        <v>0</v>
      </c>
      <c r="X177" s="1974">
        <f t="shared" si="147"/>
        <v>0</v>
      </c>
      <c r="Y177" s="1974">
        <f t="shared" si="147"/>
        <v>0</v>
      </c>
      <c r="Z177" s="1974">
        <f t="shared" si="147"/>
        <v>0</v>
      </c>
      <c r="AA177" s="1974">
        <f t="shared" si="147"/>
        <v>0</v>
      </c>
      <c r="AB177" s="1974">
        <f t="shared" si="147"/>
        <v>0</v>
      </c>
      <c r="AC177" s="1974">
        <f t="shared" si="147"/>
        <v>0</v>
      </c>
      <c r="AD177" s="1974">
        <f t="shared" si="147"/>
        <v>0</v>
      </c>
      <c r="AE177" s="1974">
        <f t="shared" si="147"/>
        <v>0</v>
      </c>
      <c r="AF177" s="1974">
        <f t="shared" si="147"/>
        <v>0</v>
      </c>
      <c r="AG177" s="1974">
        <f t="shared" si="147"/>
        <v>0</v>
      </c>
      <c r="AH177" s="1974">
        <f t="shared" si="147"/>
        <v>0</v>
      </c>
      <c r="AJ177" s="1837" t="s">
        <v>72</v>
      </c>
      <c r="AK177" s="1836">
        <f t="shared" ref="AK177:BQ177" si="148">SUM(AK165:AK176)</f>
        <v>0</v>
      </c>
      <c r="AL177" s="1834">
        <f t="shared" si="148"/>
        <v>0</v>
      </c>
      <c r="AM177" s="1834">
        <f t="shared" si="148"/>
        <v>0</v>
      </c>
      <c r="AN177" s="1834">
        <f t="shared" si="148"/>
        <v>0</v>
      </c>
      <c r="AO177" s="1834">
        <f t="shared" si="148"/>
        <v>0</v>
      </c>
      <c r="AP177" s="1834">
        <f t="shared" si="148"/>
        <v>0</v>
      </c>
      <c r="AQ177" s="1834">
        <f t="shared" si="148"/>
        <v>0</v>
      </c>
      <c r="AR177" s="1834">
        <f t="shared" si="148"/>
        <v>0</v>
      </c>
      <c r="AS177" s="1834">
        <f t="shared" si="148"/>
        <v>0</v>
      </c>
      <c r="AT177" s="1834">
        <f t="shared" si="148"/>
        <v>0</v>
      </c>
      <c r="AU177" s="1834">
        <f t="shared" si="148"/>
        <v>0</v>
      </c>
      <c r="AV177" s="1834">
        <f t="shared" si="148"/>
        <v>0</v>
      </c>
      <c r="AW177" s="1834">
        <f t="shared" si="148"/>
        <v>0</v>
      </c>
      <c r="AX177" s="1834">
        <f t="shared" si="148"/>
        <v>0</v>
      </c>
      <c r="AY177" s="1834">
        <f t="shared" si="148"/>
        <v>0</v>
      </c>
      <c r="AZ177" s="1834">
        <f t="shared" si="148"/>
        <v>0</v>
      </c>
      <c r="BA177" s="1834">
        <f t="shared" si="148"/>
        <v>0</v>
      </c>
      <c r="BB177" s="1834">
        <f t="shared" si="148"/>
        <v>0</v>
      </c>
      <c r="BC177" s="1834">
        <f t="shared" si="148"/>
        <v>0</v>
      </c>
      <c r="BD177" s="1834">
        <f t="shared" si="148"/>
        <v>0</v>
      </c>
      <c r="BE177" s="1834">
        <f t="shared" si="148"/>
        <v>0</v>
      </c>
      <c r="BF177" s="1834">
        <f t="shared" si="148"/>
        <v>0</v>
      </c>
      <c r="BG177" s="1834">
        <f t="shared" si="148"/>
        <v>0</v>
      </c>
      <c r="BH177" s="1834">
        <f t="shared" si="148"/>
        <v>0</v>
      </c>
      <c r="BI177" s="1834">
        <f t="shared" si="148"/>
        <v>0</v>
      </c>
      <c r="BJ177" s="1834">
        <f t="shared" si="148"/>
        <v>0</v>
      </c>
      <c r="BK177" s="1834">
        <f t="shared" si="148"/>
        <v>0</v>
      </c>
      <c r="BL177" s="1834">
        <f t="shared" si="148"/>
        <v>0</v>
      </c>
      <c r="BM177" s="1834">
        <f t="shared" si="148"/>
        <v>0</v>
      </c>
      <c r="BN177" s="1834">
        <f t="shared" si="148"/>
        <v>0</v>
      </c>
      <c r="BO177" s="1834">
        <f t="shared" si="148"/>
        <v>0</v>
      </c>
      <c r="BP177" s="1834">
        <f t="shared" si="148"/>
        <v>0</v>
      </c>
      <c r="BQ177" s="1834">
        <f t="shared" si="148"/>
        <v>0</v>
      </c>
      <c r="BS177" s="1829" t="s">
        <v>72</v>
      </c>
      <c r="BT177" s="1828">
        <f t="shared" ref="BT177:CZ177" si="149">SUM(BT165:BT176)</f>
        <v>0</v>
      </c>
      <c r="BU177" s="1826">
        <f t="shared" si="149"/>
        <v>0</v>
      </c>
      <c r="BV177" s="1826">
        <f t="shared" si="149"/>
        <v>0</v>
      </c>
      <c r="BW177" s="1826">
        <f t="shared" si="149"/>
        <v>0</v>
      </c>
      <c r="BX177" s="1826">
        <f t="shared" si="149"/>
        <v>0</v>
      </c>
      <c r="BY177" s="1826">
        <f t="shared" si="149"/>
        <v>0</v>
      </c>
      <c r="BZ177" s="1826">
        <f t="shared" si="149"/>
        <v>0</v>
      </c>
      <c r="CA177" s="1826">
        <f t="shared" si="149"/>
        <v>0</v>
      </c>
      <c r="CB177" s="1826">
        <f t="shared" si="149"/>
        <v>0</v>
      </c>
      <c r="CC177" s="1826">
        <f t="shared" si="149"/>
        <v>0</v>
      </c>
      <c r="CD177" s="1826">
        <f t="shared" si="149"/>
        <v>0</v>
      </c>
      <c r="CE177" s="1826">
        <f t="shared" si="149"/>
        <v>0</v>
      </c>
      <c r="CF177" s="1826">
        <f t="shared" si="149"/>
        <v>0</v>
      </c>
      <c r="CG177" s="1826">
        <f t="shared" si="149"/>
        <v>0</v>
      </c>
      <c r="CH177" s="1826">
        <f t="shared" si="149"/>
        <v>0</v>
      </c>
      <c r="CI177" s="1826">
        <f t="shared" si="149"/>
        <v>0</v>
      </c>
      <c r="CJ177" s="1826">
        <f t="shared" si="149"/>
        <v>0</v>
      </c>
      <c r="CK177" s="1826">
        <f t="shared" si="149"/>
        <v>0</v>
      </c>
      <c r="CL177" s="1826">
        <f t="shared" si="149"/>
        <v>0</v>
      </c>
      <c r="CM177" s="1826">
        <f t="shared" si="149"/>
        <v>0</v>
      </c>
      <c r="CN177" s="1826">
        <f t="shared" si="149"/>
        <v>0</v>
      </c>
      <c r="CO177" s="1826">
        <f t="shared" si="149"/>
        <v>0</v>
      </c>
      <c r="CP177" s="1826">
        <f t="shared" si="149"/>
        <v>0</v>
      </c>
      <c r="CQ177" s="1826">
        <f t="shared" si="149"/>
        <v>0</v>
      </c>
      <c r="CR177" s="1826">
        <f t="shared" si="149"/>
        <v>0</v>
      </c>
      <c r="CS177" s="1826">
        <f t="shared" si="149"/>
        <v>0</v>
      </c>
      <c r="CT177" s="1826">
        <f t="shared" si="149"/>
        <v>0</v>
      </c>
      <c r="CU177" s="1826">
        <f t="shared" si="149"/>
        <v>0</v>
      </c>
      <c r="CV177" s="1826">
        <f t="shared" si="149"/>
        <v>0</v>
      </c>
      <c r="CW177" s="1826">
        <f t="shared" si="149"/>
        <v>0</v>
      </c>
      <c r="CX177" s="1826">
        <f t="shared" si="149"/>
        <v>0</v>
      </c>
      <c r="CY177" s="1826">
        <f t="shared" si="149"/>
        <v>0</v>
      </c>
      <c r="CZ177" s="1826">
        <f t="shared" si="149"/>
        <v>0</v>
      </c>
      <c r="DB177" s="1259" t="s">
        <v>72</v>
      </c>
      <c r="DC177" s="1923">
        <f t="shared" ref="DC177:EI177" si="150">SUM(DC165:DC176)</f>
        <v>0</v>
      </c>
      <c r="DD177" s="1268">
        <f t="shared" si="150"/>
        <v>0</v>
      </c>
      <c r="DE177" s="1268">
        <f t="shared" si="150"/>
        <v>0</v>
      </c>
      <c r="DF177" s="1268">
        <f t="shared" si="150"/>
        <v>0</v>
      </c>
      <c r="DG177" s="1268">
        <f t="shared" si="150"/>
        <v>0</v>
      </c>
      <c r="DH177" s="1268">
        <f t="shared" si="150"/>
        <v>0</v>
      </c>
      <c r="DI177" s="1268">
        <f t="shared" si="150"/>
        <v>0</v>
      </c>
      <c r="DJ177" s="1268">
        <f t="shared" si="150"/>
        <v>0</v>
      </c>
      <c r="DK177" s="1268">
        <f t="shared" si="150"/>
        <v>0</v>
      </c>
      <c r="DL177" s="1268">
        <f t="shared" si="150"/>
        <v>0</v>
      </c>
      <c r="DM177" s="1268">
        <f t="shared" si="150"/>
        <v>0</v>
      </c>
      <c r="DN177" s="1268">
        <f t="shared" si="150"/>
        <v>0</v>
      </c>
      <c r="DO177" s="1268">
        <f t="shared" si="150"/>
        <v>0</v>
      </c>
      <c r="DP177" s="1268">
        <f t="shared" si="150"/>
        <v>0</v>
      </c>
      <c r="DQ177" s="1268">
        <f t="shared" si="150"/>
        <v>0</v>
      </c>
      <c r="DR177" s="1268">
        <f t="shared" si="150"/>
        <v>0</v>
      </c>
      <c r="DS177" s="1268">
        <f t="shared" si="150"/>
        <v>0</v>
      </c>
      <c r="DT177" s="1268">
        <f t="shared" si="150"/>
        <v>0</v>
      </c>
      <c r="DU177" s="1268">
        <f t="shared" si="150"/>
        <v>0</v>
      </c>
      <c r="DV177" s="1268">
        <f t="shared" si="150"/>
        <v>0</v>
      </c>
      <c r="DW177" s="1268">
        <f t="shared" si="150"/>
        <v>0</v>
      </c>
      <c r="DX177" s="1268">
        <f t="shared" si="150"/>
        <v>0</v>
      </c>
      <c r="DY177" s="1268">
        <f t="shared" si="150"/>
        <v>0</v>
      </c>
      <c r="DZ177" s="1268">
        <f t="shared" si="150"/>
        <v>0</v>
      </c>
      <c r="EA177" s="1268">
        <f t="shared" si="150"/>
        <v>0</v>
      </c>
      <c r="EB177" s="1268">
        <f t="shared" si="150"/>
        <v>0</v>
      </c>
      <c r="EC177" s="1268">
        <f t="shared" si="150"/>
        <v>0</v>
      </c>
      <c r="ED177" s="1268">
        <f t="shared" si="150"/>
        <v>0</v>
      </c>
      <c r="EE177" s="1268">
        <f t="shared" si="150"/>
        <v>0</v>
      </c>
      <c r="EF177" s="1268">
        <f t="shared" si="150"/>
        <v>0</v>
      </c>
      <c r="EG177" s="1268">
        <f t="shared" si="150"/>
        <v>0</v>
      </c>
      <c r="EH177" s="1268">
        <f t="shared" si="150"/>
        <v>0</v>
      </c>
      <c r="EI177" s="1268">
        <f t="shared" si="150"/>
        <v>0</v>
      </c>
    </row>
    <row r="178" spans="1:139" ht="15">
      <c r="A178" s="1769"/>
      <c r="B178" s="1996"/>
      <c r="C178" s="1997"/>
      <c r="D178" s="1969"/>
      <c r="E178" s="1969"/>
      <c r="F178" s="1969"/>
      <c r="G178" s="1969"/>
      <c r="H178" s="1969"/>
      <c r="I178" s="1969"/>
      <c r="J178" s="1969"/>
      <c r="K178" s="1969"/>
      <c r="L178" s="1969"/>
      <c r="M178" s="1969"/>
      <c r="N178" s="1969"/>
      <c r="O178" s="1969"/>
      <c r="P178" s="1969"/>
      <c r="Q178" s="1969"/>
      <c r="R178" s="1969"/>
      <c r="S178" s="1969"/>
      <c r="T178" s="1969"/>
      <c r="U178" s="1969"/>
      <c r="V178" s="1969"/>
      <c r="W178" s="1969"/>
      <c r="X178" s="1969"/>
      <c r="Y178" s="1969"/>
      <c r="Z178" s="1969"/>
      <c r="AA178" s="1969"/>
      <c r="AB178" s="1969"/>
      <c r="AC178" s="1969"/>
      <c r="AD178" s="1969"/>
      <c r="AE178" s="1969"/>
      <c r="AF178" s="1969"/>
      <c r="AG178" s="1969"/>
      <c r="AH178" s="1969"/>
      <c r="AJ178" s="1765"/>
      <c r="AK178" s="1897"/>
      <c r="AL178" s="1896"/>
      <c r="AM178" s="1895"/>
      <c r="AN178" s="1895"/>
      <c r="AO178" s="1895"/>
      <c r="AP178" s="1895"/>
      <c r="AQ178" s="1895"/>
      <c r="AR178" s="1895"/>
      <c r="AS178" s="1895"/>
      <c r="AT178" s="1895"/>
      <c r="AU178" s="1895"/>
      <c r="AV178" s="1895"/>
      <c r="AW178" s="1895"/>
      <c r="AX178" s="1895"/>
      <c r="AY178" s="1895"/>
      <c r="AZ178" s="1895"/>
      <c r="BA178" s="1895"/>
      <c r="BB178" s="1895"/>
      <c r="BC178" s="1895"/>
      <c r="BD178" s="1895"/>
      <c r="BE178" s="1895"/>
      <c r="BF178" s="1895"/>
      <c r="BG178" s="1895"/>
      <c r="BH178" s="1895"/>
      <c r="BI178" s="1895"/>
      <c r="BJ178" s="1895"/>
      <c r="BK178" s="1895"/>
      <c r="BL178" s="1895"/>
      <c r="BM178" s="1895"/>
      <c r="BN178" s="1895"/>
      <c r="BO178" s="1895"/>
      <c r="BP178" s="1895"/>
      <c r="BQ178" s="1895"/>
      <c r="BS178" s="1894"/>
      <c r="BT178" s="1893"/>
      <c r="BU178" s="1892"/>
      <c r="BV178" s="1891"/>
      <c r="BW178" s="1891"/>
      <c r="BX178" s="1891"/>
      <c r="BY178" s="1891"/>
      <c r="BZ178" s="1891"/>
      <c r="CA178" s="1891"/>
      <c r="CB178" s="1891"/>
      <c r="CC178" s="1891"/>
      <c r="CD178" s="1891"/>
      <c r="CE178" s="1891"/>
      <c r="CF178" s="1891"/>
      <c r="CG178" s="1891"/>
      <c r="CH178" s="1891"/>
      <c r="CI178" s="1891"/>
      <c r="CJ178" s="1891"/>
      <c r="CK178" s="1891"/>
      <c r="CL178" s="1891"/>
      <c r="CM178" s="1891"/>
      <c r="CN178" s="1891"/>
      <c r="CO178" s="1891"/>
      <c r="CP178" s="1891"/>
      <c r="CQ178" s="1891"/>
      <c r="CR178" s="1891"/>
      <c r="CS178" s="1891"/>
      <c r="CT178" s="1891"/>
      <c r="CU178" s="1891"/>
      <c r="CV178" s="1891"/>
      <c r="CW178" s="1891"/>
      <c r="CX178" s="1891"/>
      <c r="CY178" s="1891"/>
      <c r="CZ178" s="1891"/>
      <c r="DB178" s="1922"/>
      <c r="DC178" s="2002"/>
      <c r="DD178" s="2003"/>
      <c r="DE178" s="1686"/>
      <c r="DF178" s="1686"/>
      <c r="DG178" s="1686"/>
      <c r="DH178" s="1686"/>
      <c r="DI178" s="1686"/>
      <c r="DJ178" s="1686"/>
      <c r="DK178" s="1686"/>
      <c r="DL178" s="1686"/>
      <c r="DM178" s="1686"/>
      <c r="DN178" s="1686"/>
      <c r="DO178" s="1686"/>
      <c r="DP178" s="1686"/>
      <c r="DQ178" s="1686"/>
      <c r="DR178" s="1686"/>
      <c r="DS178" s="1686"/>
      <c r="DT178" s="1686"/>
      <c r="DU178" s="1686"/>
      <c r="DV178" s="1686"/>
      <c r="DW178" s="1686"/>
      <c r="DX178" s="1686"/>
      <c r="DY178" s="1686"/>
      <c r="DZ178" s="1686"/>
      <c r="EA178" s="1686"/>
      <c r="EB178" s="1686"/>
      <c r="EC178" s="1686"/>
      <c r="ED178" s="1686"/>
      <c r="EE178" s="1686"/>
      <c r="EF178" s="1686"/>
      <c r="EG178" s="1686"/>
      <c r="EH178" s="1686"/>
      <c r="EI178" s="1686"/>
    </row>
    <row r="179" spans="1:139" ht="15">
      <c r="A179" s="3872" t="s">
        <v>594</v>
      </c>
      <c r="B179" s="3873"/>
      <c r="C179" s="3874"/>
      <c r="D179" s="1970"/>
      <c r="E179" s="1970"/>
      <c r="F179" s="1970"/>
      <c r="G179" s="1970"/>
      <c r="H179" s="1970"/>
      <c r="I179" s="1970"/>
      <c r="J179" s="1970"/>
      <c r="K179" s="1970"/>
      <c r="L179" s="1970"/>
      <c r="M179" s="1971"/>
      <c r="N179" s="1970"/>
      <c r="O179" s="1970"/>
      <c r="P179" s="1970"/>
      <c r="Q179" s="1970"/>
      <c r="R179" s="1970"/>
      <c r="S179" s="1970"/>
      <c r="T179" s="1970"/>
      <c r="U179" s="1970"/>
      <c r="V179" s="1970"/>
      <c r="W179" s="1970"/>
      <c r="X179" s="1970"/>
      <c r="Y179" s="1970"/>
      <c r="Z179" s="1970"/>
      <c r="AA179" s="1970"/>
      <c r="AB179" s="1970"/>
      <c r="AC179" s="1970"/>
      <c r="AD179" s="1970"/>
      <c r="AE179" s="1970"/>
      <c r="AF179" s="1970"/>
      <c r="AG179" s="1970"/>
      <c r="AH179" s="1970"/>
      <c r="AJ179" s="3821" t="s">
        <v>594</v>
      </c>
      <c r="AK179" s="3822"/>
      <c r="AL179" s="3823"/>
      <c r="AM179" s="1839"/>
      <c r="AN179" s="1839"/>
      <c r="AO179" s="1839"/>
      <c r="AP179" s="1839"/>
      <c r="AQ179" s="1839"/>
      <c r="AR179" s="1839"/>
      <c r="AS179" s="1839"/>
      <c r="AT179" s="1839"/>
      <c r="AU179" s="1839"/>
      <c r="AV179" s="1840"/>
      <c r="AW179" s="1839"/>
      <c r="AX179" s="1839"/>
      <c r="AY179" s="1839"/>
      <c r="AZ179" s="1839"/>
      <c r="BA179" s="1839"/>
      <c r="BB179" s="1839"/>
      <c r="BC179" s="1839"/>
      <c r="BD179" s="1839"/>
      <c r="BE179" s="1839"/>
      <c r="BF179" s="1839"/>
      <c r="BG179" s="1839"/>
      <c r="BH179" s="1839"/>
      <c r="BI179" s="1839"/>
      <c r="BJ179" s="1839"/>
      <c r="BK179" s="1839"/>
      <c r="BL179" s="1839"/>
      <c r="BM179" s="1839"/>
      <c r="BN179" s="1839"/>
      <c r="BO179" s="1839"/>
      <c r="BP179" s="1839"/>
      <c r="BQ179" s="1839"/>
      <c r="BS179" s="4035" t="s">
        <v>594</v>
      </c>
      <c r="BT179" s="4036"/>
      <c r="BU179" s="4037"/>
      <c r="BV179" s="1831"/>
      <c r="BW179" s="1831"/>
      <c r="BX179" s="1831"/>
      <c r="BY179" s="1831"/>
      <c r="BZ179" s="1831"/>
      <c r="CA179" s="1831"/>
      <c r="CB179" s="1831"/>
      <c r="CC179" s="1831"/>
      <c r="CD179" s="1831"/>
      <c r="CE179" s="1832"/>
      <c r="CF179" s="1831"/>
      <c r="CG179" s="1831"/>
      <c r="CH179" s="1831"/>
      <c r="CI179" s="1831"/>
      <c r="CJ179" s="1831"/>
      <c r="CK179" s="1831"/>
      <c r="CL179" s="1831"/>
      <c r="CM179" s="1831"/>
      <c r="CN179" s="1831"/>
      <c r="CO179" s="1831"/>
      <c r="CP179" s="1831"/>
      <c r="CQ179" s="1831"/>
      <c r="CR179" s="1831"/>
      <c r="CS179" s="1831"/>
      <c r="CT179" s="1831"/>
      <c r="CU179" s="1831"/>
      <c r="CV179" s="1831"/>
      <c r="CW179" s="1831"/>
      <c r="CX179" s="1831"/>
      <c r="CY179" s="1831"/>
      <c r="CZ179" s="1831"/>
      <c r="DB179" s="4044" t="s">
        <v>594</v>
      </c>
      <c r="DC179" s="4045"/>
      <c r="DD179" s="4046"/>
      <c r="DE179" s="1229"/>
      <c r="DF179" s="1229"/>
      <c r="DG179" s="1229"/>
      <c r="DH179" s="1229"/>
      <c r="DI179" s="1229"/>
      <c r="DJ179" s="1229"/>
      <c r="DK179" s="1229"/>
      <c r="DL179" s="1229"/>
      <c r="DM179" s="1229"/>
      <c r="DN179" s="1920"/>
      <c r="DO179" s="1229"/>
      <c r="DP179" s="1229"/>
      <c r="DQ179" s="1229"/>
      <c r="DR179" s="1229"/>
      <c r="DS179" s="1229"/>
      <c r="DT179" s="1229"/>
      <c r="DU179" s="1229"/>
      <c r="DV179" s="1229"/>
      <c r="DW179" s="1229"/>
      <c r="DX179" s="1229"/>
      <c r="DY179" s="1229"/>
      <c r="DZ179" s="1229"/>
      <c r="EA179" s="1229"/>
      <c r="EB179" s="1229"/>
      <c r="EC179" s="1229"/>
      <c r="ED179" s="1229"/>
      <c r="EE179" s="1229"/>
      <c r="EF179" s="1229"/>
      <c r="EG179" s="1229"/>
      <c r="EH179" s="1229"/>
      <c r="EI179" s="1229"/>
    </row>
    <row r="180" spans="1:139" ht="15">
      <c r="A180" s="1039" t="s">
        <v>70</v>
      </c>
      <c r="B180" s="1039" t="s">
        <v>71</v>
      </c>
      <c r="C180" s="1039">
        <v>1</v>
      </c>
      <c r="D180" s="1039">
        <v>2</v>
      </c>
      <c r="E180" s="1039">
        <v>3</v>
      </c>
      <c r="F180" s="1039">
        <v>4</v>
      </c>
      <c r="G180" s="1039">
        <v>5</v>
      </c>
      <c r="H180" s="1039">
        <v>6</v>
      </c>
      <c r="I180" s="1039">
        <v>7</v>
      </c>
      <c r="J180" s="1039">
        <v>8</v>
      </c>
      <c r="K180" s="1039">
        <v>9</v>
      </c>
      <c r="L180" s="1039">
        <v>10</v>
      </c>
      <c r="M180" s="1039">
        <v>11</v>
      </c>
      <c r="N180" s="1039">
        <v>12</v>
      </c>
      <c r="O180" s="1039">
        <v>13</v>
      </c>
      <c r="P180" s="1039">
        <v>14</v>
      </c>
      <c r="Q180" s="1039">
        <v>15</v>
      </c>
      <c r="R180" s="1039">
        <v>16</v>
      </c>
      <c r="S180" s="1039">
        <v>17</v>
      </c>
      <c r="T180" s="1039">
        <v>18</v>
      </c>
      <c r="U180" s="1039">
        <v>19</v>
      </c>
      <c r="V180" s="1039">
        <v>20</v>
      </c>
      <c r="W180" s="1039">
        <v>21</v>
      </c>
      <c r="X180" s="1039">
        <v>22</v>
      </c>
      <c r="Y180" s="1039">
        <v>23</v>
      </c>
      <c r="Z180" s="1039">
        <v>24</v>
      </c>
      <c r="AA180" s="1039">
        <v>25</v>
      </c>
      <c r="AB180" s="1039">
        <v>26</v>
      </c>
      <c r="AC180" s="1039">
        <v>27</v>
      </c>
      <c r="AD180" s="1039">
        <v>28</v>
      </c>
      <c r="AE180" s="1039">
        <v>29</v>
      </c>
      <c r="AF180" s="1039">
        <v>30</v>
      </c>
      <c r="AG180" s="1039">
        <v>31</v>
      </c>
      <c r="AH180" s="1972" t="s">
        <v>72</v>
      </c>
      <c r="AJ180" s="1524" t="s">
        <v>70</v>
      </c>
      <c r="AK180" s="1524" t="s">
        <v>71</v>
      </c>
      <c r="AL180" s="1524">
        <v>1</v>
      </c>
      <c r="AM180" s="1524">
        <v>2</v>
      </c>
      <c r="AN180" s="1524">
        <v>3</v>
      </c>
      <c r="AO180" s="1524">
        <v>4</v>
      </c>
      <c r="AP180" s="1524">
        <v>5</v>
      </c>
      <c r="AQ180" s="1524">
        <v>6</v>
      </c>
      <c r="AR180" s="1524">
        <v>7</v>
      </c>
      <c r="AS180" s="1524">
        <v>8</v>
      </c>
      <c r="AT180" s="1524">
        <v>9</v>
      </c>
      <c r="AU180" s="1524">
        <v>10</v>
      </c>
      <c r="AV180" s="1524">
        <v>11</v>
      </c>
      <c r="AW180" s="1524">
        <v>12</v>
      </c>
      <c r="AX180" s="1524">
        <v>13</v>
      </c>
      <c r="AY180" s="1524">
        <v>14</v>
      </c>
      <c r="AZ180" s="1524">
        <v>15</v>
      </c>
      <c r="BA180" s="1524">
        <v>16</v>
      </c>
      <c r="BB180" s="1524">
        <v>17</v>
      </c>
      <c r="BC180" s="1524">
        <v>18</v>
      </c>
      <c r="BD180" s="1524">
        <v>19</v>
      </c>
      <c r="BE180" s="1524">
        <v>20</v>
      </c>
      <c r="BF180" s="1524">
        <v>21</v>
      </c>
      <c r="BG180" s="1524">
        <v>22</v>
      </c>
      <c r="BH180" s="1524">
        <v>23</v>
      </c>
      <c r="BI180" s="1524">
        <v>24</v>
      </c>
      <c r="BJ180" s="1524">
        <v>25</v>
      </c>
      <c r="BK180" s="1524">
        <v>26</v>
      </c>
      <c r="BL180" s="1524">
        <v>27</v>
      </c>
      <c r="BM180" s="1524">
        <v>28</v>
      </c>
      <c r="BN180" s="1524">
        <v>29</v>
      </c>
      <c r="BO180" s="1524">
        <v>30</v>
      </c>
      <c r="BP180" s="1524">
        <v>31</v>
      </c>
      <c r="BQ180" s="1838" t="s">
        <v>72</v>
      </c>
      <c r="BS180" s="1621" t="s">
        <v>70</v>
      </c>
      <c r="BT180" s="1621" t="s">
        <v>71</v>
      </c>
      <c r="BU180" s="1621">
        <v>1</v>
      </c>
      <c r="BV180" s="1621">
        <v>2</v>
      </c>
      <c r="BW180" s="1621">
        <v>3</v>
      </c>
      <c r="BX180" s="1621">
        <v>4</v>
      </c>
      <c r="BY180" s="1621">
        <v>5</v>
      </c>
      <c r="BZ180" s="1621">
        <v>6</v>
      </c>
      <c r="CA180" s="1621">
        <v>7</v>
      </c>
      <c r="CB180" s="1621">
        <v>8</v>
      </c>
      <c r="CC180" s="1621">
        <v>9</v>
      </c>
      <c r="CD180" s="1621">
        <v>10</v>
      </c>
      <c r="CE180" s="1621">
        <v>11</v>
      </c>
      <c r="CF180" s="1621">
        <v>12</v>
      </c>
      <c r="CG180" s="1621">
        <v>13</v>
      </c>
      <c r="CH180" s="1621">
        <v>14</v>
      </c>
      <c r="CI180" s="1621">
        <v>15</v>
      </c>
      <c r="CJ180" s="1621">
        <v>16</v>
      </c>
      <c r="CK180" s="1621">
        <v>17</v>
      </c>
      <c r="CL180" s="1621">
        <v>18</v>
      </c>
      <c r="CM180" s="1621">
        <v>19</v>
      </c>
      <c r="CN180" s="1621">
        <v>20</v>
      </c>
      <c r="CO180" s="1621">
        <v>21</v>
      </c>
      <c r="CP180" s="1621">
        <v>22</v>
      </c>
      <c r="CQ180" s="1621">
        <v>23</v>
      </c>
      <c r="CR180" s="1621">
        <v>24</v>
      </c>
      <c r="CS180" s="1621">
        <v>25</v>
      </c>
      <c r="CT180" s="1621">
        <v>26</v>
      </c>
      <c r="CU180" s="1621">
        <v>27</v>
      </c>
      <c r="CV180" s="1621">
        <v>28</v>
      </c>
      <c r="CW180" s="1621">
        <v>29</v>
      </c>
      <c r="CX180" s="1621">
        <v>30</v>
      </c>
      <c r="CY180" s="1621">
        <v>31</v>
      </c>
      <c r="CZ180" s="1830" t="s">
        <v>72</v>
      </c>
      <c r="DB180" s="1054" t="s">
        <v>70</v>
      </c>
      <c r="DC180" s="1054" t="s">
        <v>71</v>
      </c>
      <c r="DD180" s="1054">
        <v>1</v>
      </c>
      <c r="DE180" s="1054">
        <v>2</v>
      </c>
      <c r="DF180" s="1054">
        <v>3</v>
      </c>
      <c r="DG180" s="1054">
        <v>4</v>
      </c>
      <c r="DH180" s="1054">
        <v>5</v>
      </c>
      <c r="DI180" s="1054">
        <v>6</v>
      </c>
      <c r="DJ180" s="1054">
        <v>7</v>
      </c>
      <c r="DK180" s="1054">
        <v>8</v>
      </c>
      <c r="DL180" s="1054">
        <v>9</v>
      </c>
      <c r="DM180" s="1054">
        <v>10</v>
      </c>
      <c r="DN180" s="1054">
        <v>11</v>
      </c>
      <c r="DO180" s="1054">
        <v>12</v>
      </c>
      <c r="DP180" s="1054">
        <v>13</v>
      </c>
      <c r="DQ180" s="1054">
        <v>14</v>
      </c>
      <c r="DR180" s="1054">
        <v>15</v>
      </c>
      <c r="DS180" s="1054">
        <v>16</v>
      </c>
      <c r="DT180" s="1054">
        <v>17</v>
      </c>
      <c r="DU180" s="1054">
        <v>18</v>
      </c>
      <c r="DV180" s="1054">
        <v>19</v>
      </c>
      <c r="DW180" s="1054">
        <v>20</v>
      </c>
      <c r="DX180" s="1054">
        <v>21</v>
      </c>
      <c r="DY180" s="1054">
        <v>22</v>
      </c>
      <c r="DZ180" s="1054">
        <v>23</v>
      </c>
      <c r="EA180" s="1054">
        <v>24</v>
      </c>
      <c r="EB180" s="1054">
        <v>25</v>
      </c>
      <c r="EC180" s="1054">
        <v>26</v>
      </c>
      <c r="ED180" s="1054">
        <v>27</v>
      </c>
      <c r="EE180" s="1054">
        <v>28</v>
      </c>
      <c r="EF180" s="1054">
        <v>29</v>
      </c>
      <c r="EG180" s="1054">
        <v>30</v>
      </c>
      <c r="EH180" s="1054">
        <v>31</v>
      </c>
      <c r="EI180" s="1596" t="s">
        <v>72</v>
      </c>
    </row>
    <row r="181" spans="1:139" ht="15">
      <c r="A181" s="1039" t="s">
        <v>73</v>
      </c>
      <c r="B181" s="1084">
        <f t="shared" ref="B181:B192" si="151">+AH181</f>
        <v>2.306</v>
      </c>
      <c r="C181" s="1973"/>
      <c r="D181" s="1973"/>
      <c r="E181" s="1973"/>
      <c r="F181" s="1973"/>
      <c r="G181" s="1973"/>
      <c r="H181" s="1973"/>
      <c r="I181" s="1973"/>
      <c r="J181" s="1973"/>
      <c r="K181" s="1973"/>
      <c r="L181" s="1973"/>
      <c r="M181" s="1973"/>
      <c r="N181" s="1973"/>
      <c r="O181" s="1973"/>
      <c r="P181" s="1973"/>
      <c r="Q181" s="1973"/>
      <c r="R181" s="1973"/>
      <c r="S181" s="1973"/>
      <c r="T181" s="1973"/>
      <c r="U181" s="1973"/>
      <c r="V181" s="1973"/>
      <c r="W181" s="1973"/>
      <c r="X181" s="1973"/>
      <c r="Y181" s="1973"/>
      <c r="Z181" s="1973">
        <v>0.34399999999999997</v>
      </c>
      <c r="AA181" s="1973"/>
      <c r="AB181" s="1973"/>
      <c r="AC181" s="1973"/>
      <c r="AD181" s="1973">
        <v>1.905</v>
      </c>
      <c r="AE181" s="1973"/>
      <c r="AF181" s="1973">
        <v>5.7000000000000002E-2</v>
      </c>
      <c r="AG181" s="1973"/>
      <c r="AH181" s="1974">
        <f t="shared" ref="AH181:AH192" si="152">SUM(C181:AG181)</f>
        <v>2.306</v>
      </c>
      <c r="AJ181" s="1524" t="s">
        <v>73</v>
      </c>
      <c r="AK181" s="1527">
        <f t="shared" ref="AK181:AK192" si="153">+BQ181</f>
        <v>2.6560000000000001</v>
      </c>
      <c r="AL181" s="1835"/>
      <c r="AM181" s="1835"/>
      <c r="AN181" s="1835"/>
      <c r="AO181" s="1835"/>
      <c r="AP181" s="1835"/>
      <c r="AQ181" s="1835"/>
      <c r="AR181" s="1835"/>
      <c r="AS181" s="1835"/>
      <c r="AT181" s="1835"/>
      <c r="AU181" s="1835"/>
      <c r="AV181" s="1835"/>
      <c r="AW181" s="1835"/>
      <c r="AX181" s="1835"/>
      <c r="AY181" s="1835"/>
      <c r="AZ181" s="1835"/>
      <c r="BA181" s="1835"/>
      <c r="BB181" s="1835"/>
      <c r="BC181" s="1835"/>
      <c r="BD181" s="1835"/>
      <c r="BE181" s="1872"/>
      <c r="BF181" s="1872"/>
      <c r="BG181" s="1872"/>
      <c r="BH181" s="1872"/>
      <c r="BI181" s="1872">
        <v>4.9000000000000002E-2</v>
      </c>
      <c r="BJ181" s="1872"/>
      <c r="BK181" s="1872"/>
      <c r="BL181" s="1872"/>
      <c r="BM181" s="1872">
        <v>2.3660000000000001</v>
      </c>
      <c r="BN181" s="1872"/>
      <c r="BO181" s="1872">
        <v>0.24099999999999999</v>
      </c>
      <c r="BP181" s="1872"/>
      <c r="BQ181" s="1834">
        <f t="shared" ref="BQ181:BQ192" si="154">SUM(AL181:BP181)</f>
        <v>2.6560000000000001</v>
      </c>
      <c r="BS181" s="1621" t="s">
        <v>73</v>
      </c>
      <c r="BT181" s="1622">
        <f t="shared" ref="BT181:BT192" si="155">+CZ181</f>
        <v>0</v>
      </c>
      <c r="BU181" s="1871"/>
      <c r="BV181" s="1871"/>
      <c r="BW181" s="1871"/>
      <c r="BX181" s="1871"/>
      <c r="BY181" s="1871"/>
      <c r="BZ181" s="1871"/>
      <c r="CA181" s="1871"/>
      <c r="CB181" s="1871"/>
      <c r="CC181" s="1871"/>
      <c r="CD181" s="1871"/>
      <c r="CE181" s="1871"/>
      <c r="CF181" s="1871"/>
      <c r="CG181" s="1827"/>
      <c r="CH181" s="1827"/>
      <c r="CI181" s="1827"/>
      <c r="CJ181" s="1827"/>
      <c r="CK181" s="1827"/>
      <c r="CL181" s="1827"/>
      <c r="CM181" s="1827"/>
      <c r="CN181" s="1827"/>
      <c r="CO181" s="1827"/>
      <c r="CP181" s="1827"/>
      <c r="CQ181" s="1827"/>
      <c r="CR181" s="1827"/>
      <c r="CS181" s="1827"/>
      <c r="CT181" s="1827"/>
      <c r="CU181" s="1827"/>
      <c r="CV181" s="1827"/>
      <c r="CW181" s="1827"/>
      <c r="CX181" s="1827"/>
      <c r="CY181" s="1827"/>
      <c r="CZ181" s="1826">
        <f t="shared" ref="CZ181:CZ192" si="156">SUM(BU181:CY181)</f>
        <v>0</v>
      </c>
      <c r="DB181" s="1054" t="s">
        <v>73</v>
      </c>
      <c r="DC181" s="1091">
        <f t="shared" ref="DC181:DC192" si="157">+EI181</f>
        <v>0</v>
      </c>
      <c r="DD181" s="1539"/>
      <c r="DE181" s="1539"/>
      <c r="DF181" s="1539"/>
      <c r="DG181" s="1539"/>
      <c r="DH181" s="1539"/>
      <c r="DI181" s="1539"/>
      <c r="DJ181" s="1539"/>
      <c r="DK181" s="1539"/>
      <c r="DL181" s="1539"/>
      <c r="DM181" s="1539"/>
      <c r="DN181" s="1539"/>
      <c r="DO181" s="1539"/>
      <c r="DP181" s="1539"/>
      <c r="DQ181" s="1539"/>
      <c r="DR181" s="1539"/>
      <c r="DS181" s="1539"/>
      <c r="DT181" s="1539"/>
      <c r="DU181" s="1539"/>
      <c r="DV181" s="1539"/>
      <c r="DW181" s="1539"/>
      <c r="DX181" s="1539"/>
      <c r="DY181" s="1539"/>
      <c r="DZ181" s="1539"/>
      <c r="EA181" s="1539"/>
      <c r="EB181" s="1539"/>
      <c r="EC181" s="1539"/>
      <c r="ED181" s="1539"/>
      <c r="EE181" s="1539"/>
      <c r="EF181" s="1539"/>
      <c r="EG181" s="1539"/>
      <c r="EH181" s="1539"/>
      <c r="EI181" s="1268">
        <f t="shared" ref="EI181:EI192" si="158">SUM(DD181:EH181)</f>
        <v>0</v>
      </c>
    </row>
    <row r="182" spans="1:139" ht="15">
      <c r="A182" s="1039" t="s">
        <v>74</v>
      </c>
      <c r="B182" s="1084">
        <f t="shared" si="151"/>
        <v>0.51</v>
      </c>
      <c r="C182" s="1973">
        <v>0.51</v>
      </c>
      <c r="D182" s="1975"/>
      <c r="E182" s="1975"/>
      <c r="F182" s="1975"/>
      <c r="G182" s="1975"/>
      <c r="H182" s="1975"/>
      <c r="I182" s="1975"/>
      <c r="J182" s="1975"/>
      <c r="K182" s="1975"/>
      <c r="L182" s="1975"/>
      <c r="M182" s="1975"/>
      <c r="N182" s="1975"/>
      <c r="O182" s="1975"/>
      <c r="P182" s="1975"/>
      <c r="Q182" s="1975"/>
      <c r="R182" s="1975"/>
      <c r="S182" s="1975"/>
      <c r="T182" s="1975"/>
      <c r="U182" s="1975"/>
      <c r="V182" s="1975"/>
      <c r="W182" s="1975"/>
      <c r="X182" s="1975"/>
      <c r="Y182" s="1973"/>
      <c r="Z182" s="1973"/>
      <c r="AA182" s="1973"/>
      <c r="AB182" s="1973"/>
      <c r="AC182" s="1973"/>
      <c r="AD182" s="1973"/>
      <c r="AE182" s="1973"/>
      <c r="AF182" s="1973"/>
      <c r="AG182" s="1973"/>
      <c r="AH182" s="1974">
        <f t="shared" si="152"/>
        <v>0.51</v>
      </c>
      <c r="AJ182" s="1524" t="s">
        <v>74</v>
      </c>
      <c r="AK182" s="1527">
        <f t="shared" si="153"/>
        <v>1.0609999999999999</v>
      </c>
      <c r="AL182" s="1835">
        <v>1.0609999999999999</v>
      </c>
      <c r="AM182" s="1889"/>
      <c r="AN182" s="1889"/>
      <c r="AO182" s="1889"/>
      <c r="AP182" s="1889"/>
      <c r="AQ182" s="1889"/>
      <c r="AR182" s="1889"/>
      <c r="AS182" s="1889"/>
      <c r="AT182" s="1889"/>
      <c r="AU182" s="1889"/>
      <c r="AV182" s="1889"/>
      <c r="AW182" s="1889"/>
      <c r="AX182" s="1889"/>
      <c r="AY182" s="1889"/>
      <c r="AZ182" s="1889"/>
      <c r="BA182" s="1889"/>
      <c r="BB182" s="1889"/>
      <c r="BC182" s="1889"/>
      <c r="BD182" s="1889"/>
      <c r="BE182" s="1872"/>
      <c r="BF182" s="1872"/>
      <c r="BG182" s="1872"/>
      <c r="BH182" s="1872"/>
      <c r="BI182" s="1872"/>
      <c r="BJ182" s="1872"/>
      <c r="BK182" s="1872"/>
      <c r="BL182" s="1872"/>
      <c r="BM182" s="1872"/>
      <c r="BN182" s="1872"/>
      <c r="BO182" s="1872"/>
      <c r="BP182" s="1872"/>
      <c r="BQ182" s="1834">
        <f t="shared" si="154"/>
        <v>1.0609999999999999</v>
      </c>
      <c r="BS182" s="1621" t="s">
        <v>74</v>
      </c>
      <c r="BT182" s="1622">
        <f t="shared" si="155"/>
        <v>0</v>
      </c>
      <c r="BU182" s="1871"/>
      <c r="BV182" s="1871"/>
      <c r="BW182" s="1871"/>
      <c r="BX182" s="1871"/>
      <c r="BY182" s="1871"/>
      <c r="BZ182" s="1871"/>
      <c r="CA182" s="1871"/>
      <c r="CB182" s="1871"/>
      <c r="CC182" s="1871"/>
      <c r="CD182" s="1871"/>
      <c r="CE182" s="1871"/>
      <c r="CF182" s="1871"/>
      <c r="CG182" s="1870"/>
      <c r="CH182" s="1870"/>
      <c r="CI182" s="1870"/>
      <c r="CJ182" s="1870"/>
      <c r="CK182" s="1870"/>
      <c r="CL182" s="1870"/>
      <c r="CM182" s="1870"/>
      <c r="CN182" s="1870"/>
      <c r="CO182" s="1870"/>
      <c r="CP182" s="1870"/>
      <c r="CQ182" s="1827"/>
      <c r="CR182" s="1827"/>
      <c r="CS182" s="1827"/>
      <c r="CT182" s="1827"/>
      <c r="CU182" s="1827"/>
      <c r="CV182" s="1827"/>
      <c r="CW182" s="1827"/>
      <c r="CX182" s="1827"/>
      <c r="CY182" s="1827"/>
      <c r="CZ182" s="1826">
        <f t="shared" si="156"/>
        <v>0</v>
      </c>
      <c r="DB182" s="1054" t="s">
        <v>74</v>
      </c>
      <c r="DC182" s="1091">
        <f t="shared" si="157"/>
        <v>0</v>
      </c>
      <c r="DD182" s="1539"/>
      <c r="DE182" s="1540"/>
      <c r="DF182" s="1540"/>
      <c r="DG182" s="1540"/>
      <c r="DH182" s="1540"/>
      <c r="DI182" s="1540"/>
      <c r="DJ182" s="1540"/>
      <c r="DK182" s="1540"/>
      <c r="DL182" s="1540"/>
      <c r="DM182" s="1540"/>
      <c r="DN182" s="1540"/>
      <c r="DO182" s="1540"/>
      <c r="DP182" s="1540"/>
      <c r="DQ182" s="1540"/>
      <c r="DR182" s="1540"/>
      <c r="DS182" s="1540"/>
      <c r="DT182" s="1540"/>
      <c r="DU182" s="1540"/>
      <c r="DV182" s="1540"/>
      <c r="DW182" s="1540"/>
      <c r="DX182" s="1540"/>
      <c r="DY182" s="1540"/>
      <c r="DZ182" s="1539"/>
      <c r="EA182" s="1539"/>
      <c r="EB182" s="1539"/>
      <c r="EC182" s="1539"/>
      <c r="ED182" s="1539"/>
      <c r="EE182" s="1539"/>
      <c r="EF182" s="1539"/>
      <c r="EG182" s="1539"/>
      <c r="EH182" s="1539"/>
      <c r="EI182" s="1268">
        <f t="shared" si="158"/>
        <v>0</v>
      </c>
    </row>
    <row r="183" spans="1:139" ht="15">
      <c r="A183" s="1039" t="s">
        <v>75</v>
      </c>
      <c r="B183" s="1084">
        <f t="shared" si="151"/>
        <v>0</v>
      </c>
      <c r="C183" s="1976"/>
      <c r="D183" s="1976"/>
      <c r="E183" s="1977"/>
      <c r="F183" s="1978"/>
      <c r="G183" s="1979"/>
      <c r="H183" s="1980"/>
      <c r="I183" s="1980"/>
      <c r="J183" s="1976"/>
      <c r="K183" s="1976"/>
      <c r="L183" s="1976"/>
      <c r="M183" s="1976"/>
      <c r="N183" s="1976"/>
      <c r="O183" s="1976"/>
      <c r="P183" s="1980"/>
      <c r="Q183" s="1980"/>
      <c r="R183" s="1980"/>
      <c r="S183" s="1980"/>
      <c r="T183" s="1980"/>
      <c r="U183" s="1980"/>
      <c r="V183" s="1980"/>
      <c r="W183" s="1980"/>
      <c r="X183" s="1980"/>
      <c r="Y183" s="1980"/>
      <c r="Z183" s="1980"/>
      <c r="AA183" s="1980"/>
      <c r="AB183" s="1980"/>
      <c r="AC183" s="1980"/>
      <c r="AD183" s="1980"/>
      <c r="AE183" s="1981"/>
      <c r="AF183" s="1976"/>
      <c r="AG183" s="1976"/>
      <c r="AH183" s="1974">
        <f t="shared" si="152"/>
        <v>0</v>
      </c>
      <c r="AJ183" s="1524" t="s">
        <v>75</v>
      </c>
      <c r="AK183" s="1527">
        <f t="shared" si="153"/>
        <v>0</v>
      </c>
      <c r="AL183" s="1878"/>
      <c r="AM183" s="1878"/>
      <c r="AN183" s="1888"/>
      <c r="AO183" s="1887"/>
      <c r="AP183" s="1886"/>
      <c r="AQ183" s="1879"/>
      <c r="AR183" s="1879"/>
      <c r="AS183" s="1878"/>
      <c r="AT183" s="1878"/>
      <c r="AU183" s="1878"/>
      <c r="AV183" s="1878"/>
      <c r="AW183" s="1878"/>
      <c r="AX183" s="1878"/>
      <c r="AY183" s="1879"/>
      <c r="AZ183" s="1879"/>
      <c r="BA183" s="1879"/>
      <c r="BB183" s="1879"/>
      <c r="BC183" s="1879"/>
      <c r="BD183" s="1879"/>
      <c r="BE183" s="1872"/>
      <c r="BF183" s="1872"/>
      <c r="BG183" s="1872"/>
      <c r="BH183" s="1872"/>
      <c r="BI183" s="1872"/>
      <c r="BJ183" s="1872"/>
      <c r="BK183" s="1872"/>
      <c r="BL183" s="1872"/>
      <c r="BM183" s="1872"/>
      <c r="BN183" s="1872"/>
      <c r="BO183" s="1872"/>
      <c r="BP183" s="1872"/>
      <c r="BQ183" s="1834">
        <f t="shared" si="154"/>
        <v>0</v>
      </c>
      <c r="BS183" s="1621" t="s">
        <v>75</v>
      </c>
      <c r="BT183" s="1622">
        <f t="shared" si="155"/>
        <v>0</v>
      </c>
      <c r="BU183" s="1871"/>
      <c r="BV183" s="1871"/>
      <c r="BW183" s="1871"/>
      <c r="BX183" s="1871"/>
      <c r="BY183" s="1871"/>
      <c r="BZ183" s="1871"/>
      <c r="CA183" s="1871"/>
      <c r="CB183" s="1871"/>
      <c r="CC183" s="1871"/>
      <c r="CD183" s="1871"/>
      <c r="CE183" s="1871"/>
      <c r="CF183" s="1871"/>
      <c r="CG183" s="1862"/>
      <c r="CH183" s="1863"/>
      <c r="CI183" s="1863"/>
      <c r="CJ183" s="1863"/>
      <c r="CK183" s="1863"/>
      <c r="CL183" s="1863"/>
      <c r="CM183" s="1863"/>
      <c r="CN183" s="1863"/>
      <c r="CO183" s="1863"/>
      <c r="CP183" s="1863"/>
      <c r="CQ183" s="1863"/>
      <c r="CR183" s="1863"/>
      <c r="CS183" s="1863"/>
      <c r="CT183" s="1863"/>
      <c r="CU183" s="1863"/>
      <c r="CV183" s="1863"/>
      <c r="CW183" s="1868"/>
      <c r="CX183" s="1862"/>
      <c r="CY183" s="1862"/>
      <c r="CZ183" s="1826">
        <f t="shared" si="156"/>
        <v>0</v>
      </c>
      <c r="DB183" s="1054" t="s">
        <v>75</v>
      </c>
      <c r="DC183" s="1091">
        <f t="shared" si="157"/>
        <v>0</v>
      </c>
      <c r="DD183" s="1925"/>
      <c r="DE183" s="1925"/>
      <c r="DF183" s="1936"/>
      <c r="DG183" s="1935"/>
      <c r="DH183" s="1934"/>
      <c r="DI183" s="1926"/>
      <c r="DJ183" s="1926"/>
      <c r="DK183" s="1925"/>
      <c r="DL183" s="1925"/>
      <c r="DM183" s="1925"/>
      <c r="DN183" s="1925"/>
      <c r="DO183" s="1925"/>
      <c r="DP183" s="1925"/>
      <c r="DQ183" s="1926"/>
      <c r="DR183" s="1926"/>
      <c r="DS183" s="1926"/>
      <c r="DT183" s="1926"/>
      <c r="DU183" s="1926"/>
      <c r="DV183" s="1926"/>
      <c r="DW183" s="1926"/>
      <c r="DX183" s="1926"/>
      <c r="DY183" s="1926"/>
      <c r="DZ183" s="1926"/>
      <c r="EA183" s="1926"/>
      <c r="EB183" s="1926"/>
      <c r="EC183" s="1926"/>
      <c r="ED183" s="1926"/>
      <c r="EE183" s="1926"/>
      <c r="EF183" s="1933"/>
      <c r="EG183" s="1925"/>
      <c r="EH183" s="1925"/>
      <c r="EI183" s="1268">
        <f t="shared" si="158"/>
        <v>0</v>
      </c>
    </row>
    <row r="184" spans="1:139" ht="15">
      <c r="A184" s="1039" t="s">
        <v>76</v>
      </c>
      <c r="B184" s="1084">
        <f t="shared" si="151"/>
        <v>0</v>
      </c>
      <c r="C184" s="1982"/>
      <c r="D184" s="1690"/>
      <c r="E184" s="1983"/>
      <c r="F184" s="1984"/>
      <c r="G184" s="1985"/>
      <c r="H184" s="1986"/>
      <c r="I184" s="1980"/>
      <c r="J184" s="1980"/>
      <c r="K184" s="1980"/>
      <c r="L184" s="1980"/>
      <c r="M184" s="1976"/>
      <c r="N184" s="1976"/>
      <c r="O184" s="1976"/>
      <c r="P184" s="1976"/>
      <c r="Q184" s="1980"/>
      <c r="R184" s="1980"/>
      <c r="S184" s="1980"/>
      <c r="T184" s="1980"/>
      <c r="U184" s="1976"/>
      <c r="V184" s="1980"/>
      <c r="W184" s="1980"/>
      <c r="X184" s="1980"/>
      <c r="Y184" s="1980"/>
      <c r="Z184" s="1980"/>
      <c r="AA184" s="1980"/>
      <c r="AB184" s="1980"/>
      <c r="AC184" s="1976"/>
      <c r="AD184" s="1980"/>
      <c r="AE184" s="1980"/>
      <c r="AF184" s="1976"/>
      <c r="AG184" s="1976"/>
      <c r="AH184" s="1974">
        <f t="shared" si="152"/>
        <v>0</v>
      </c>
      <c r="AJ184" s="1524" t="s">
        <v>76</v>
      </c>
      <c r="AK184" s="1527">
        <f t="shared" si="153"/>
        <v>0</v>
      </c>
      <c r="AL184" s="1885"/>
      <c r="AM184" s="1884"/>
      <c r="AN184" s="1883"/>
      <c r="AO184" s="1882"/>
      <c r="AP184" s="1881"/>
      <c r="AQ184" s="1880"/>
      <c r="AR184" s="1879"/>
      <c r="AS184" s="1879"/>
      <c r="AT184" s="1879"/>
      <c r="AU184" s="1879"/>
      <c r="AV184" s="1878"/>
      <c r="AW184" s="1878"/>
      <c r="AX184" s="1878"/>
      <c r="AY184" s="1878"/>
      <c r="AZ184" s="1879"/>
      <c r="BA184" s="1879"/>
      <c r="BB184" s="1879"/>
      <c r="BC184" s="1879"/>
      <c r="BD184" s="1878"/>
      <c r="BE184" s="1877"/>
      <c r="BF184" s="1877"/>
      <c r="BG184" s="1877"/>
      <c r="BH184" s="1877"/>
      <c r="BI184" s="1877"/>
      <c r="BJ184" s="1877"/>
      <c r="BK184" s="1877"/>
      <c r="BL184" s="1877"/>
      <c r="BM184" s="1877"/>
      <c r="BN184" s="1877"/>
      <c r="BO184" s="1872"/>
      <c r="BP184" s="1872"/>
      <c r="BQ184" s="1834">
        <f t="shared" si="154"/>
        <v>0</v>
      </c>
      <c r="BS184" s="1621" t="s">
        <v>76</v>
      </c>
      <c r="BT184" s="1622">
        <f t="shared" si="155"/>
        <v>0</v>
      </c>
      <c r="BU184" s="1876"/>
      <c r="BV184" s="1876"/>
      <c r="BW184" s="1876"/>
      <c r="BX184" s="1876"/>
      <c r="BY184" s="1876"/>
      <c r="BZ184" s="1876"/>
      <c r="CA184" s="1876"/>
      <c r="CB184" s="1876"/>
      <c r="CC184" s="1876"/>
      <c r="CD184" s="1876"/>
      <c r="CE184" s="1871"/>
      <c r="CF184" s="1871"/>
      <c r="CG184" s="1862"/>
      <c r="CH184" s="1862"/>
      <c r="CI184" s="1863"/>
      <c r="CJ184" s="1863"/>
      <c r="CK184" s="1863"/>
      <c r="CL184" s="1863"/>
      <c r="CM184" s="1862"/>
      <c r="CN184" s="1863"/>
      <c r="CO184" s="1863"/>
      <c r="CP184" s="1863"/>
      <c r="CQ184" s="1863"/>
      <c r="CR184" s="1863"/>
      <c r="CS184" s="1863"/>
      <c r="CT184" s="1863"/>
      <c r="CU184" s="1862"/>
      <c r="CV184" s="1863"/>
      <c r="CW184" s="1863"/>
      <c r="CX184" s="1862"/>
      <c r="CY184" s="1862"/>
      <c r="CZ184" s="1826">
        <f t="shared" si="156"/>
        <v>0</v>
      </c>
      <c r="DB184" s="1054" t="s">
        <v>76</v>
      </c>
      <c r="DC184" s="1091">
        <f t="shared" si="157"/>
        <v>0</v>
      </c>
      <c r="DD184" s="1931"/>
      <c r="DE184" s="1190"/>
      <c r="DF184" s="1930"/>
      <c r="DG184" s="1929"/>
      <c r="DH184" s="1928"/>
      <c r="DI184" s="1927"/>
      <c r="DJ184" s="1926"/>
      <c r="DK184" s="1926"/>
      <c r="DL184" s="1926"/>
      <c r="DM184" s="1926"/>
      <c r="DN184" s="1925"/>
      <c r="DO184" s="1925"/>
      <c r="DP184" s="1925"/>
      <c r="DQ184" s="1925"/>
      <c r="DR184" s="1926"/>
      <c r="DS184" s="1926"/>
      <c r="DT184" s="1926"/>
      <c r="DU184" s="1926"/>
      <c r="DV184" s="1925"/>
      <c r="DW184" s="1926"/>
      <c r="DX184" s="1926"/>
      <c r="DY184" s="1926"/>
      <c r="DZ184" s="1926"/>
      <c r="EA184" s="1926"/>
      <c r="EB184" s="1926"/>
      <c r="EC184" s="1926"/>
      <c r="ED184" s="1925"/>
      <c r="EE184" s="1926"/>
      <c r="EF184" s="1926"/>
      <c r="EG184" s="1925"/>
      <c r="EH184" s="1925"/>
      <c r="EI184" s="1268">
        <f t="shared" si="158"/>
        <v>0</v>
      </c>
    </row>
    <row r="185" spans="1:139" ht="15">
      <c r="A185" s="1039" t="s">
        <v>77</v>
      </c>
      <c r="B185" s="1084">
        <f t="shared" si="151"/>
        <v>0</v>
      </c>
      <c r="C185" s="1973"/>
      <c r="D185" s="1973"/>
      <c r="E185" s="1973"/>
      <c r="F185" s="1973"/>
      <c r="G185" s="1973"/>
      <c r="H185" s="1973"/>
      <c r="I185" s="1973"/>
      <c r="J185" s="1973"/>
      <c r="K185" s="1973"/>
      <c r="L185" s="1973"/>
      <c r="M185" s="1973"/>
      <c r="N185" s="1973"/>
      <c r="O185" s="1973"/>
      <c r="P185" s="1973"/>
      <c r="Q185" s="1973"/>
      <c r="R185" s="1973"/>
      <c r="S185" s="1973"/>
      <c r="T185" s="1973"/>
      <c r="U185" s="1973"/>
      <c r="V185" s="1973"/>
      <c r="W185" s="1973"/>
      <c r="X185" s="1973"/>
      <c r="Y185" s="1973"/>
      <c r="Z185" s="1973"/>
      <c r="AA185" s="1973"/>
      <c r="AB185" s="1973"/>
      <c r="AC185" s="1973"/>
      <c r="AD185" s="1973"/>
      <c r="AE185" s="1973"/>
      <c r="AF185" s="1973"/>
      <c r="AG185" s="1973"/>
      <c r="AH185" s="1974">
        <f t="shared" si="152"/>
        <v>0</v>
      </c>
      <c r="AJ185" s="1524" t="s">
        <v>77</v>
      </c>
      <c r="AK185" s="1527">
        <f t="shared" si="153"/>
        <v>0</v>
      </c>
      <c r="AL185" s="1835"/>
      <c r="AM185" s="1835"/>
      <c r="AN185" s="1835"/>
      <c r="AO185" s="1835"/>
      <c r="AP185" s="1835"/>
      <c r="AQ185" s="1835"/>
      <c r="AR185" s="1835"/>
      <c r="AS185" s="1835"/>
      <c r="AT185" s="1835"/>
      <c r="AU185" s="1835"/>
      <c r="AV185" s="1835"/>
      <c r="AW185" s="1835"/>
      <c r="AX185" s="1835"/>
      <c r="AY185" s="1835"/>
      <c r="AZ185" s="1835"/>
      <c r="BA185" s="1835"/>
      <c r="BB185" s="1835"/>
      <c r="BC185" s="1835"/>
      <c r="BD185" s="1835"/>
      <c r="BE185" s="1877"/>
      <c r="BF185" s="1877"/>
      <c r="BG185" s="1877"/>
      <c r="BH185" s="1872"/>
      <c r="BI185" s="1877"/>
      <c r="BJ185" s="1872"/>
      <c r="BK185" s="1877"/>
      <c r="BL185" s="1872"/>
      <c r="BM185" s="1877"/>
      <c r="BN185" s="1877"/>
      <c r="BO185" s="1877"/>
      <c r="BP185" s="1877"/>
      <c r="BQ185" s="1834">
        <f t="shared" si="154"/>
        <v>0</v>
      </c>
      <c r="BS185" s="1621" t="s">
        <v>77</v>
      </c>
      <c r="BT185" s="1622">
        <f t="shared" si="155"/>
        <v>0</v>
      </c>
      <c r="BU185" s="1876"/>
      <c r="BV185" s="1876"/>
      <c r="BW185" s="1876"/>
      <c r="BX185" s="1871"/>
      <c r="BY185" s="1876"/>
      <c r="BZ185" s="1871"/>
      <c r="CA185" s="1876"/>
      <c r="CB185" s="1871"/>
      <c r="CC185" s="1876"/>
      <c r="CD185" s="1876"/>
      <c r="CE185" s="1876"/>
      <c r="CF185" s="1876"/>
      <c r="CG185" s="1827"/>
      <c r="CH185" s="1827"/>
      <c r="CI185" s="1827"/>
      <c r="CJ185" s="1827"/>
      <c r="CK185" s="1827"/>
      <c r="CL185" s="1827"/>
      <c r="CM185" s="1827"/>
      <c r="CN185" s="1827"/>
      <c r="CO185" s="1827"/>
      <c r="CP185" s="1827"/>
      <c r="CQ185" s="1827"/>
      <c r="CR185" s="1827"/>
      <c r="CS185" s="1827"/>
      <c r="CT185" s="1827"/>
      <c r="CU185" s="1827"/>
      <c r="CV185" s="1827"/>
      <c r="CW185" s="1827"/>
      <c r="CX185" s="1827"/>
      <c r="CY185" s="1827"/>
      <c r="CZ185" s="1826">
        <f t="shared" si="156"/>
        <v>0</v>
      </c>
      <c r="DB185" s="1054" t="s">
        <v>77</v>
      </c>
      <c r="DC185" s="1091">
        <f t="shared" si="157"/>
        <v>0</v>
      </c>
      <c r="DD185" s="1539"/>
      <c r="DE185" s="1539"/>
      <c r="DF185" s="1539"/>
      <c r="DG185" s="1539"/>
      <c r="DH185" s="1539"/>
      <c r="DI185" s="1539"/>
      <c r="DJ185" s="1539"/>
      <c r="DK185" s="1539"/>
      <c r="DL185" s="1539"/>
      <c r="DM185" s="1539"/>
      <c r="DN185" s="1539"/>
      <c r="DO185" s="1539"/>
      <c r="DP185" s="1539"/>
      <c r="DQ185" s="1539"/>
      <c r="DR185" s="1539"/>
      <c r="DS185" s="1539"/>
      <c r="DT185" s="1539"/>
      <c r="DU185" s="1539"/>
      <c r="DV185" s="1539"/>
      <c r="DW185" s="1539"/>
      <c r="DX185" s="1539"/>
      <c r="DY185" s="1539"/>
      <c r="DZ185" s="1539"/>
      <c r="EA185" s="1539"/>
      <c r="EB185" s="1539"/>
      <c r="EC185" s="1539"/>
      <c r="ED185" s="1539"/>
      <c r="EE185" s="1539"/>
      <c r="EF185" s="1539"/>
      <c r="EG185" s="1539"/>
      <c r="EH185" s="1539"/>
      <c r="EI185" s="1268">
        <f t="shared" si="158"/>
        <v>0</v>
      </c>
    </row>
    <row r="186" spans="1:139" ht="15">
      <c r="A186" s="1039" t="s">
        <v>78</v>
      </c>
      <c r="B186" s="1084">
        <f t="shared" si="151"/>
        <v>0</v>
      </c>
      <c r="C186" s="1973"/>
      <c r="D186" s="1973"/>
      <c r="E186" s="1973"/>
      <c r="F186" s="1973"/>
      <c r="G186" s="1973"/>
      <c r="H186" s="1973"/>
      <c r="I186" s="1973"/>
      <c r="J186" s="1973"/>
      <c r="K186" s="1973"/>
      <c r="L186" s="1973"/>
      <c r="M186" s="1973"/>
      <c r="N186" s="1973"/>
      <c r="O186" s="1973"/>
      <c r="P186" s="1973"/>
      <c r="Q186" s="1973"/>
      <c r="R186" s="1973"/>
      <c r="S186" s="1973"/>
      <c r="T186" s="1973"/>
      <c r="U186" s="1973"/>
      <c r="V186" s="1973"/>
      <c r="W186" s="1973"/>
      <c r="X186" s="1973"/>
      <c r="Y186" s="1973"/>
      <c r="Z186" s="1973"/>
      <c r="AA186" s="1973"/>
      <c r="AB186" s="1973"/>
      <c r="AC186" s="1973"/>
      <c r="AD186" s="1973"/>
      <c r="AE186" s="1973"/>
      <c r="AF186" s="1973"/>
      <c r="AG186" s="1973"/>
      <c r="AH186" s="1974">
        <f t="shared" si="152"/>
        <v>0</v>
      </c>
      <c r="AJ186" s="1524" t="s">
        <v>78</v>
      </c>
      <c r="AK186" s="1527">
        <f t="shared" si="153"/>
        <v>0</v>
      </c>
      <c r="AL186" s="1835"/>
      <c r="AM186" s="1835"/>
      <c r="AN186" s="1835"/>
      <c r="AO186" s="1835"/>
      <c r="AP186" s="1835"/>
      <c r="AQ186" s="1835"/>
      <c r="AR186" s="1835"/>
      <c r="AS186" s="1835"/>
      <c r="AT186" s="1835"/>
      <c r="AU186" s="1835"/>
      <c r="AV186" s="1835"/>
      <c r="AW186" s="1835"/>
      <c r="AX186" s="1835"/>
      <c r="AY186" s="1835"/>
      <c r="AZ186" s="1835"/>
      <c r="BA186" s="1835"/>
      <c r="BB186" s="1835"/>
      <c r="BC186" s="1835"/>
      <c r="BD186" s="1835"/>
      <c r="BE186" s="1877"/>
      <c r="BF186" s="1877"/>
      <c r="BG186" s="1877"/>
      <c r="BH186" s="1877"/>
      <c r="BI186" s="1877"/>
      <c r="BJ186" s="1877"/>
      <c r="BK186" s="1877"/>
      <c r="BL186" s="1877"/>
      <c r="BM186" s="1877"/>
      <c r="BN186" s="1877"/>
      <c r="BO186" s="1877"/>
      <c r="BP186" s="1872"/>
      <c r="BQ186" s="1834">
        <f t="shared" si="154"/>
        <v>0</v>
      </c>
      <c r="BS186" s="1621" t="s">
        <v>78</v>
      </c>
      <c r="BT186" s="1622">
        <f t="shared" si="155"/>
        <v>0</v>
      </c>
      <c r="BU186" s="1876"/>
      <c r="BV186" s="1876"/>
      <c r="BW186" s="1876"/>
      <c r="BX186" s="1876"/>
      <c r="BY186" s="1876"/>
      <c r="BZ186" s="1876"/>
      <c r="CA186" s="1876"/>
      <c r="CB186" s="1876"/>
      <c r="CC186" s="1876"/>
      <c r="CD186" s="1876"/>
      <c r="CE186" s="1876"/>
      <c r="CF186" s="1871"/>
      <c r="CG186" s="1827"/>
      <c r="CH186" s="1827"/>
      <c r="CI186" s="1827"/>
      <c r="CJ186" s="1827"/>
      <c r="CK186" s="1827"/>
      <c r="CL186" s="1827"/>
      <c r="CM186" s="1827"/>
      <c r="CN186" s="1827"/>
      <c r="CO186" s="1827"/>
      <c r="CP186" s="1827"/>
      <c r="CQ186" s="1827"/>
      <c r="CR186" s="1827"/>
      <c r="CS186" s="1827"/>
      <c r="CT186" s="1827"/>
      <c r="CU186" s="1827"/>
      <c r="CV186" s="1827"/>
      <c r="CW186" s="1827"/>
      <c r="CX186" s="1827"/>
      <c r="CY186" s="1827"/>
      <c r="CZ186" s="1826">
        <f t="shared" si="156"/>
        <v>0</v>
      </c>
      <c r="DB186" s="1054" t="s">
        <v>78</v>
      </c>
      <c r="DC186" s="1091">
        <f t="shared" si="157"/>
        <v>0</v>
      </c>
      <c r="DD186" s="1539"/>
      <c r="DE186" s="1539"/>
      <c r="DF186" s="1539"/>
      <c r="DG186" s="1539"/>
      <c r="DH186" s="1539"/>
      <c r="DI186" s="1539"/>
      <c r="DJ186" s="1539"/>
      <c r="DK186" s="1539"/>
      <c r="DL186" s="1539"/>
      <c r="DM186" s="1539"/>
      <c r="DN186" s="1539"/>
      <c r="DO186" s="1539"/>
      <c r="DP186" s="1539"/>
      <c r="DQ186" s="1539"/>
      <c r="DR186" s="1539"/>
      <c r="DS186" s="1539"/>
      <c r="DT186" s="1539"/>
      <c r="DU186" s="1539"/>
      <c r="DV186" s="1539"/>
      <c r="DW186" s="1539"/>
      <c r="DX186" s="1539"/>
      <c r="DY186" s="1539"/>
      <c r="DZ186" s="1539"/>
      <c r="EA186" s="1539"/>
      <c r="EB186" s="1539"/>
      <c r="EC186" s="1539"/>
      <c r="ED186" s="1539"/>
      <c r="EE186" s="1539"/>
      <c r="EF186" s="1539"/>
      <c r="EG186" s="1539"/>
      <c r="EH186" s="1539"/>
      <c r="EI186" s="1268">
        <f t="shared" si="158"/>
        <v>0</v>
      </c>
    </row>
    <row r="187" spans="1:139" ht="15">
      <c r="A187" s="1039" t="s">
        <v>79</v>
      </c>
      <c r="B187" s="1084">
        <f t="shared" si="151"/>
        <v>0</v>
      </c>
      <c r="C187" s="1973"/>
      <c r="D187" s="1973"/>
      <c r="E187" s="1973"/>
      <c r="F187" s="1973"/>
      <c r="G187" s="1973"/>
      <c r="H187" s="1973"/>
      <c r="I187" s="1973"/>
      <c r="J187" s="1973"/>
      <c r="K187" s="1973"/>
      <c r="L187" s="1973"/>
      <c r="M187" s="1973"/>
      <c r="N187" s="1973"/>
      <c r="O187" s="1973"/>
      <c r="P187" s="1973"/>
      <c r="Q187" s="1973"/>
      <c r="R187" s="1973"/>
      <c r="S187" s="1973"/>
      <c r="T187" s="1973"/>
      <c r="U187" s="1973"/>
      <c r="V187" s="1973"/>
      <c r="W187" s="1973"/>
      <c r="X187" s="1973"/>
      <c r="Y187" s="1973"/>
      <c r="Z187" s="1973"/>
      <c r="AA187" s="1973"/>
      <c r="AB187" s="1973"/>
      <c r="AC187" s="1973"/>
      <c r="AD187" s="1973"/>
      <c r="AE187" s="1973"/>
      <c r="AF187" s="1973"/>
      <c r="AG187" s="1973"/>
      <c r="AH187" s="1974">
        <f t="shared" si="152"/>
        <v>0</v>
      </c>
      <c r="AJ187" s="1524" t="s">
        <v>79</v>
      </c>
      <c r="AK187" s="1527">
        <f t="shared" si="153"/>
        <v>0</v>
      </c>
      <c r="AL187" s="1835"/>
      <c r="AM187" s="1835"/>
      <c r="AN187" s="1835"/>
      <c r="AO187" s="1835"/>
      <c r="AP187" s="1835"/>
      <c r="AQ187" s="1835"/>
      <c r="AR187" s="1835"/>
      <c r="AS187" s="1835"/>
      <c r="AT187" s="1835"/>
      <c r="AU187" s="1835"/>
      <c r="AV187" s="1835"/>
      <c r="AW187" s="1835"/>
      <c r="AX187" s="1835"/>
      <c r="AY187" s="1835"/>
      <c r="AZ187" s="1835"/>
      <c r="BA187" s="1835"/>
      <c r="BB187" s="1835"/>
      <c r="BC187" s="1835"/>
      <c r="BD187" s="1835"/>
      <c r="BE187" s="1877"/>
      <c r="BF187" s="1877"/>
      <c r="BG187" s="1877"/>
      <c r="BH187" s="1877"/>
      <c r="BI187" s="1877"/>
      <c r="BJ187" s="1877"/>
      <c r="BK187" s="1877"/>
      <c r="BL187" s="1877"/>
      <c r="BM187" s="1877"/>
      <c r="BN187" s="1877"/>
      <c r="BO187" s="1877"/>
      <c r="BP187" s="1877"/>
      <c r="BQ187" s="1834">
        <f t="shared" si="154"/>
        <v>0</v>
      </c>
      <c r="BS187" s="1621" t="s">
        <v>79</v>
      </c>
      <c r="BT187" s="1622">
        <f t="shared" si="155"/>
        <v>0</v>
      </c>
      <c r="BU187" s="1876"/>
      <c r="BV187" s="1876"/>
      <c r="BW187" s="1876"/>
      <c r="BX187" s="1876"/>
      <c r="BY187" s="1876"/>
      <c r="BZ187" s="1876"/>
      <c r="CA187" s="1876"/>
      <c r="CB187" s="1876"/>
      <c r="CC187" s="1876"/>
      <c r="CD187" s="1876"/>
      <c r="CE187" s="1876"/>
      <c r="CF187" s="1876"/>
      <c r="CG187" s="1827"/>
      <c r="CH187" s="1827"/>
      <c r="CI187" s="1827"/>
      <c r="CJ187" s="1827"/>
      <c r="CK187" s="1827"/>
      <c r="CL187" s="1827"/>
      <c r="CM187" s="1827"/>
      <c r="CN187" s="1827"/>
      <c r="CO187" s="1827"/>
      <c r="CP187" s="1827"/>
      <c r="CQ187" s="1827"/>
      <c r="CR187" s="1827"/>
      <c r="CS187" s="1827"/>
      <c r="CT187" s="1827"/>
      <c r="CU187" s="1827"/>
      <c r="CV187" s="1827"/>
      <c r="CW187" s="1827"/>
      <c r="CX187" s="1827"/>
      <c r="CY187" s="1827"/>
      <c r="CZ187" s="1826">
        <f t="shared" si="156"/>
        <v>0</v>
      </c>
      <c r="DB187" s="1054" t="s">
        <v>79</v>
      </c>
      <c r="DC187" s="1091">
        <f t="shared" si="157"/>
        <v>0</v>
      </c>
      <c r="DD187" s="1539"/>
      <c r="DE187" s="1539"/>
      <c r="DF187" s="1539"/>
      <c r="DG187" s="1539"/>
      <c r="DH187" s="1539"/>
      <c r="DI187" s="1539"/>
      <c r="DJ187" s="1539"/>
      <c r="DK187" s="1539"/>
      <c r="DL187" s="1539"/>
      <c r="DM187" s="1539"/>
      <c r="DN187" s="1539"/>
      <c r="DO187" s="1539"/>
      <c r="DP187" s="1539"/>
      <c r="DQ187" s="1539"/>
      <c r="DR187" s="1539"/>
      <c r="DS187" s="1539"/>
      <c r="DT187" s="1539"/>
      <c r="DU187" s="1539"/>
      <c r="DV187" s="1539"/>
      <c r="DW187" s="1539"/>
      <c r="DX187" s="1539"/>
      <c r="DY187" s="1539"/>
      <c r="DZ187" s="1539"/>
      <c r="EA187" s="1539"/>
      <c r="EB187" s="1539"/>
      <c r="EC187" s="1539"/>
      <c r="ED187" s="1539"/>
      <c r="EE187" s="1539"/>
      <c r="EF187" s="1539"/>
      <c r="EG187" s="1539"/>
      <c r="EH187" s="1539"/>
      <c r="EI187" s="1268">
        <f t="shared" si="158"/>
        <v>0</v>
      </c>
    </row>
    <row r="188" spans="1:139" ht="15">
      <c r="A188" s="1039" t="s">
        <v>80</v>
      </c>
      <c r="B188" s="1084">
        <f t="shared" si="151"/>
        <v>0</v>
      </c>
      <c r="C188" s="1973"/>
      <c r="D188" s="1973"/>
      <c r="E188" s="1973"/>
      <c r="F188" s="1973"/>
      <c r="G188" s="1973"/>
      <c r="H188" s="1973"/>
      <c r="I188" s="1973"/>
      <c r="J188" s="1973"/>
      <c r="K188" s="1973"/>
      <c r="L188" s="1973"/>
      <c r="M188" s="1973"/>
      <c r="N188" s="1973"/>
      <c r="O188" s="1973"/>
      <c r="P188" s="1973"/>
      <c r="Q188" s="1973"/>
      <c r="R188" s="1973"/>
      <c r="S188" s="1973"/>
      <c r="T188" s="1973"/>
      <c r="U188" s="1973"/>
      <c r="V188" s="1973"/>
      <c r="W188" s="1973"/>
      <c r="X188" s="1973"/>
      <c r="Y188" s="1973"/>
      <c r="Z188" s="1973"/>
      <c r="AA188" s="1973"/>
      <c r="AB188" s="1973"/>
      <c r="AC188" s="1973"/>
      <c r="AD188" s="1973"/>
      <c r="AE188" s="1973"/>
      <c r="AF188" s="1973"/>
      <c r="AG188" s="1973"/>
      <c r="AH188" s="1974">
        <f t="shared" si="152"/>
        <v>0</v>
      </c>
      <c r="AJ188" s="1524" t="s">
        <v>80</v>
      </c>
      <c r="AK188" s="1527">
        <f t="shared" si="153"/>
        <v>0</v>
      </c>
      <c r="AL188" s="1835"/>
      <c r="AM188" s="1835"/>
      <c r="AN188" s="1835"/>
      <c r="AO188" s="1835"/>
      <c r="AP188" s="1835"/>
      <c r="AQ188" s="1835"/>
      <c r="AR188" s="1835"/>
      <c r="AS188" s="1835"/>
      <c r="AT188" s="1835"/>
      <c r="AU188" s="1835"/>
      <c r="AV188" s="1835"/>
      <c r="AW188" s="1835"/>
      <c r="AX188" s="1835"/>
      <c r="AY188" s="1835"/>
      <c r="AZ188" s="1835"/>
      <c r="BA188" s="1835"/>
      <c r="BB188" s="1835"/>
      <c r="BC188" s="1835"/>
      <c r="BD188" s="1835"/>
      <c r="BE188" s="1872"/>
      <c r="BF188" s="1875"/>
      <c r="BG188" s="1872"/>
      <c r="BH188" s="1872"/>
      <c r="BI188" s="1872"/>
      <c r="BJ188" s="1872"/>
      <c r="BK188" s="1872"/>
      <c r="BL188" s="1872"/>
      <c r="BM188" s="1872"/>
      <c r="BN188" s="1872"/>
      <c r="BO188" s="1872"/>
      <c r="BP188" s="1872"/>
      <c r="BQ188" s="1834">
        <f t="shared" si="154"/>
        <v>0</v>
      </c>
      <c r="BS188" s="1621" t="s">
        <v>80</v>
      </c>
      <c r="BT188" s="1622">
        <f t="shared" si="155"/>
        <v>0</v>
      </c>
      <c r="BU188" s="1871"/>
      <c r="BV188" s="1874"/>
      <c r="BW188" s="1871"/>
      <c r="BX188" s="1871"/>
      <c r="BY188" s="1871"/>
      <c r="BZ188" s="1871"/>
      <c r="CA188" s="1871"/>
      <c r="CB188" s="1871"/>
      <c r="CC188" s="1871"/>
      <c r="CD188" s="1871"/>
      <c r="CE188" s="1871"/>
      <c r="CF188" s="1871"/>
      <c r="CG188" s="1827"/>
      <c r="CH188" s="1827"/>
      <c r="CI188" s="1827"/>
      <c r="CJ188" s="1827"/>
      <c r="CK188" s="1827"/>
      <c r="CL188" s="1827"/>
      <c r="CM188" s="1827"/>
      <c r="CN188" s="1827"/>
      <c r="CO188" s="1827"/>
      <c r="CP188" s="1827"/>
      <c r="CQ188" s="1827"/>
      <c r="CR188" s="1827"/>
      <c r="CS188" s="1827"/>
      <c r="CT188" s="1827"/>
      <c r="CU188" s="1827"/>
      <c r="CV188" s="1827"/>
      <c r="CW188" s="1827"/>
      <c r="CX188" s="1827"/>
      <c r="CY188" s="1827"/>
      <c r="CZ188" s="1826">
        <f t="shared" si="156"/>
        <v>0</v>
      </c>
      <c r="DB188" s="1054" t="s">
        <v>80</v>
      </c>
      <c r="DC188" s="1091">
        <f t="shared" si="157"/>
        <v>0</v>
      </c>
      <c r="DD188" s="1539"/>
      <c r="DE188" s="1539"/>
      <c r="DF188" s="1539"/>
      <c r="DG188" s="1539"/>
      <c r="DH188" s="1539"/>
      <c r="DI188" s="1539"/>
      <c r="DJ188" s="1539"/>
      <c r="DK188" s="1539"/>
      <c r="DL188" s="1539"/>
      <c r="DM188" s="1539"/>
      <c r="DN188" s="1539"/>
      <c r="DO188" s="1539"/>
      <c r="DP188" s="1539"/>
      <c r="DQ188" s="1539"/>
      <c r="DR188" s="1539"/>
      <c r="DS188" s="1539"/>
      <c r="DT188" s="1539"/>
      <c r="DU188" s="1539"/>
      <c r="DV188" s="1539"/>
      <c r="DW188" s="1539"/>
      <c r="DX188" s="1539"/>
      <c r="DY188" s="1539"/>
      <c r="DZ188" s="1539"/>
      <c r="EA188" s="1539"/>
      <c r="EB188" s="1539"/>
      <c r="EC188" s="1539"/>
      <c r="ED188" s="1539"/>
      <c r="EE188" s="1539"/>
      <c r="EF188" s="1539"/>
      <c r="EG188" s="1539"/>
      <c r="EH188" s="1539"/>
      <c r="EI188" s="1268">
        <f t="shared" si="158"/>
        <v>0</v>
      </c>
    </row>
    <row r="189" spans="1:139" ht="15">
      <c r="A189" s="1039" t="s">
        <v>81</v>
      </c>
      <c r="B189" s="1084">
        <f t="shared" si="151"/>
        <v>0</v>
      </c>
      <c r="C189" s="1973"/>
      <c r="D189" s="1973"/>
      <c r="E189" s="1973"/>
      <c r="F189" s="1973"/>
      <c r="G189" s="1973"/>
      <c r="H189" s="1973"/>
      <c r="I189" s="1973"/>
      <c r="J189" s="1973"/>
      <c r="K189" s="1973"/>
      <c r="L189" s="1973"/>
      <c r="M189" s="1973"/>
      <c r="N189" s="1973"/>
      <c r="O189" s="1973"/>
      <c r="P189" s="1973"/>
      <c r="Q189" s="1973"/>
      <c r="R189" s="1973"/>
      <c r="S189" s="1973"/>
      <c r="T189" s="1973"/>
      <c r="U189" s="1973"/>
      <c r="V189" s="1973"/>
      <c r="W189" s="1973"/>
      <c r="X189" s="1973"/>
      <c r="Y189" s="1973"/>
      <c r="Z189" s="1973"/>
      <c r="AA189" s="1973"/>
      <c r="AB189" s="1973"/>
      <c r="AC189" s="1973"/>
      <c r="AD189" s="1973"/>
      <c r="AE189" s="1973"/>
      <c r="AF189" s="1973"/>
      <c r="AG189" s="1973"/>
      <c r="AH189" s="1974">
        <f t="shared" si="152"/>
        <v>0</v>
      </c>
      <c r="AJ189" s="1524" t="s">
        <v>81</v>
      </c>
      <c r="AK189" s="1527">
        <f t="shared" si="153"/>
        <v>0</v>
      </c>
      <c r="AL189" s="1835"/>
      <c r="AM189" s="1835"/>
      <c r="AN189" s="1835"/>
      <c r="AO189" s="1835"/>
      <c r="AP189" s="1835"/>
      <c r="AQ189" s="1835"/>
      <c r="AR189" s="1835"/>
      <c r="AS189" s="1835"/>
      <c r="AT189" s="1835"/>
      <c r="AU189" s="1835"/>
      <c r="AV189" s="1835"/>
      <c r="AW189" s="1835"/>
      <c r="AX189" s="1835"/>
      <c r="AY189" s="1835"/>
      <c r="AZ189" s="1835"/>
      <c r="BA189" s="1835"/>
      <c r="BB189" s="1835"/>
      <c r="BC189" s="1835"/>
      <c r="BD189" s="1835"/>
      <c r="BE189" s="1872"/>
      <c r="BF189" s="1872"/>
      <c r="BG189" s="1872"/>
      <c r="BH189" s="1872"/>
      <c r="BI189" s="1872"/>
      <c r="BJ189" s="1872"/>
      <c r="BK189" s="1872"/>
      <c r="BL189" s="1872"/>
      <c r="BM189" s="1872"/>
      <c r="BN189" s="1872"/>
      <c r="BO189" s="1872"/>
      <c r="BP189" s="1872"/>
      <c r="BQ189" s="1834">
        <f t="shared" si="154"/>
        <v>0</v>
      </c>
      <c r="BS189" s="1621" t="s">
        <v>81</v>
      </c>
      <c r="BT189" s="1622">
        <f t="shared" si="155"/>
        <v>0</v>
      </c>
      <c r="BU189" s="1871"/>
      <c r="BV189" s="1871"/>
      <c r="BW189" s="1871"/>
      <c r="BX189" s="1871"/>
      <c r="BY189" s="1871"/>
      <c r="BZ189" s="1871"/>
      <c r="CA189" s="1871"/>
      <c r="CB189" s="1871"/>
      <c r="CC189" s="1871"/>
      <c r="CD189" s="1871"/>
      <c r="CE189" s="1871"/>
      <c r="CF189" s="1871"/>
      <c r="CG189" s="1827"/>
      <c r="CH189" s="1827"/>
      <c r="CI189" s="1827"/>
      <c r="CJ189" s="1827"/>
      <c r="CK189" s="1827"/>
      <c r="CL189" s="1827"/>
      <c r="CM189" s="1827"/>
      <c r="CN189" s="1827"/>
      <c r="CO189" s="1827"/>
      <c r="CP189" s="1827"/>
      <c r="CQ189" s="1827"/>
      <c r="CR189" s="1827"/>
      <c r="CS189" s="1827"/>
      <c r="CT189" s="1827"/>
      <c r="CU189" s="1827"/>
      <c r="CV189" s="1827"/>
      <c r="CW189" s="1827"/>
      <c r="CX189" s="1827"/>
      <c r="CY189" s="1827"/>
      <c r="CZ189" s="1826">
        <f t="shared" si="156"/>
        <v>0</v>
      </c>
      <c r="DB189" s="1054" t="s">
        <v>81</v>
      </c>
      <c r="DC189" s="1091">
        <f t="shared" si="157"/>
        <v>0</v>
      </c>
      <c r="DD189" s="1539"/>
      <c r="DE189" s="1539"/>
      <c r="DF189" s="1539"/>
      <c r="DG189" s="1539"/>
      <c r="DH189" s="1539"/>
      <c r="DI189" s="1539"/>
      <c r="DJ189" s="1539"/>
      <c r="DK189" s="1539"/>
      <c r="DL189" s="1539"/>
      <c r="DM189" s="1539"/>
      <c r="DN189" s="1539"/>
      <c r="DO189" s="1539"/>
      <c r="DP189" s="1539"/>
      <c r="DQ189" s="1539"/>
      <c r="DR189" s="1539"/>
      <c r="DS189" s="1539"/>
      <c r="DT189" s="1539"/>
      <c r="DU189" s="1539"/>
      <c r="DV189" s="1539"/>
      <c r="DW189" s="1539"/>
      <c r="DX189" s="1539"/>
      <c r="DY189" s="1539"/>
      <c r="DZ189" s="1539"/>
      <c r="EA189" s="1539"/>
      <c r="EB189" s="1539"/>
      <c r="EC189" s="1539"/>
      <c r="ED189" s="1539"/>
      <c r="EE189" s="1539"/>
      <c r="EF189" s="1539"/>
      <c r="EG189" s="1539"/>
      <c r="EH189" s="1539"/>
      <c r="EI189" s="1268">
        <f t="shared" si="158"/>
        <v>0</v>
      </c>
    </row>
    <row r="190" spans="1:139" ht="15">
      <c r="A190" s="1039" t="s">
        <v>82</v>
      </c>
      <c r="B190" s="1084">
        <f t="shared" si="151"/>
        <v>0</v>
      </c>
      <c r="C190" s="1973"/>
      <c r="D190" s="1973"/>
      <c r="E190" s="1973"/>
      <c r="F190" s="1973"/>
      <c r="G190" s="1973"/>
      <c r="H190" s="1973"/>
      <c r="I190" s="1973"/>
      <c r="J190" s="1973"/>
      <c r="K190" s="1973"/>
      <c r="L190" s="1973"/>
      <c r="M190" s="1973"/>
      <c r="N190" s="1973"/>
      <c r="O190" s="1973"/>
      <c r="P190" s="1973"/>
      <c r="Q190" s="1973"/>
      <c r="R190" s="1972"/>
      <c r="S190" s="1972"/>
      <c r="T190" s="1972"/>
      <c r="U190" s="1972"/>
      <c r="V190" s="1972"/>
      <c r="W190" s="1972"/>
      <c r="X190" s="1972"/>
      <c r="Y190" s="1972"/>
      <c r="Z190" s="1972"/>
      <c r="AA190" s="1972"/>
      <c r="AB190" s="1972"/>
      <c r="AC190" s="1972"/>
      <c r="AD190" s="1972"/>
      <c r="AE190" s="1972"/>
      <c r="AF190" s="1972"/>
      <c r="AG190" s="1972"/>
      <c r="AH190" s="1974">
        <f t="shared" si="152"/>
        <v>0</v>
      </c>
      <c r="AJ190" s="1524" t="s">
        <v>82</v>
      </c>
      <c r="AK190" s="1527">
        <f t="shared" si="153"/>
        <v>0</v>
      </c>
      <c r="AL190" s="1835"/>
      <c r="AM190" s="1835"/>
      <c r="AN190" s="1835"/>
      <c r="AO190" s="1835"/>
      <c r="AP190" s="1835"/>
      <c r="AQ190" s="1835"/>
      <c r="AR190" s="1835"/>
      <c r="AS190" s="1835"/>
      <c r="AT190" s="1835"/>
      <c r="AU190" s="1835"/>
      <c r="AV190" s="1835"/>
      <c r="AW190" s="1835"/>
      <c r="AX190" s="1835"/>
      <c r="AY190" s="1835"/>
      <c r="AZ190" s="1835"/>
      <c r="BA190" s="1838"/>
      <c r="BB190" s="1838"/>
      <c r="BC190" s="1838"/>
      <c r="BD190" s="1838"/>
      <c r="BE190" s="1872"/>
      <c r="BF190" s="1872"/>
      <c r="BG190" s="1872"/>
      <c r="BH190" s="1872"/>
      <c r="BI190" s="1872"/>
      <c r="BJ190" s="1872"/>
      <c r="BK190" s="1872"/>
      <c r="BL190" s="1872"/>
      <c r="BM190" s="1872"/>
      <c r="BN190" s="1872"/>
      <c r="BO190" s="1872"/>
      <c r="BP190" s="1872"/>
      <c r="BQ190" s="1834">
        <f t="shared" si="154"/>
        <v>0</v>
      </c>
      <c r="BS190" s="1621" t="s">
        <v>82</v>
      </c>
      <c r="BT190" s="1622">
        <f t="shared" si="155"/>
        <v>0</v>
      </c>
      <c r="BU190" s="1871"/>
      <c r="BV190" s="1871"/>
      <c r="BW190" s="1871"/>
      <c r="BX190" s="1871"/>
      <c r="BY190" s="1871"/>
      <c r="BZ190" s="1871"/>
      <c r="CA190" s="1871"/>
      <c r="CB190" s="1871"/>
      <c r="CC190" s="1871"/>
      <c r="CD190" s="1871"/>
      <c r="CE190" s="1871"/>
      <c r="CF190" s="1871"/>
      <c r="CG190" s="1827"/>
      <c r="CH190" s="1827"/>
      <c r="CI190" s="1827"/>
      <c r="CJ190" s="1830"/>
      <c r="CK190" s="1830"/>
      <c r="CL190" s="1830"/>
      <c r="CM190" s="1830"/>
      <c r="CN190" s="1830"/>
      <c r="CO190" s="1830"/>
      <c r="CP190" s="1830"/>
      <c r="CQ190" s="1830"/>
      <c r="CR190" s="1830"/>
      <c r="CS190" s="1830"/>
      <c r="CT190" s="1830"/>
      <c r="CU190" s="1830"/>
      <c r="CV190" s="1830"/>
      <c r="CW190" s="1830"/>
      <c r="CX190" s="1830"/>
      <c r="CY190" s="1830"/>
      <c r="CZ190" s="1826">
        <f t="shared" si="156"/>
        <v>0</v>
      </c>
      <c r="DB190" s="1054" t="s">
        <v>82</v>
      </c>
      <c r="DC190" s="1091">
        <f t="shared" si="157"/>
        <v>0</v>
      </c>
      <c r="DD190" s="1539"/>
      <c r="DE190" s="1539"/>
      <c r="DF190" s="1539"/>
      <c r="DG190" s="1539"/>
      <c r="DH190" s="1539"/>
      <c r="DI190" s="1539"/>
      <c r="DJ190" s="1539"/>
      <c r="DK190" s="1539"/>
      <c r="DL190" s="1539"/>
      <c r="DM190" s="1539"/>
      <c r="DN190" s="1539"/>
      <c r="DO190" s="1539"/>
      <c r="DP190" s="1539"/>
      <c r="DQ190" s="1539"/>
      <c r="DR190" s="1539"/>
      <c r="DS190" s="1596"/>
      <c r="DT190" s="1596"/>
      <c r="DU190" s="1596"/>
      <c r="DV190" s="1596"/>
      <c r="DW190" s="1596"/>
      <c r="DX190" s="1596"/>
      <c r="DY190" s="1596"/>
      <c r="DZ190" s="1596"/>
      <c r="EA190" s="1596"/>
      <c r="EB190" s="1596"/>
      <c r="EC190" s="1596"/>
      <c r="ED190" s="1596"/>
      <c r="EE190" s="1596"/>
      <c r="EF190" s="1596"/>
      <c r="EG190" s="1596"/>
      <c r="EH190" s="1596"/>
      <c r="EI190" s="1268">
        <f t="shared" si="158"/>
        <v>0</v>
      </c>
    </row>
    <row r="191" spans="1:139" ht="15">
      <c r="A191" s="1039" t="s">
        <v>83</v>
      </c>
      <c r="B191" s="1084">
        <f t="shared" si="151"/>
        <v>0</v>
      </c>
      <c r="C191" s="1973"/>
      <c r="D191" s="1972"/>
      <c r="E191" s="1972"/>
      <c r="F191" s="1972"/>
      <c r="G191" s="1972"/>
      <c r="H191" s="1972"/>
      <c r="I191" s="1972"/>
      <c r="J191" s="1972"/>
      <c r="K191" s="1972"/>
      <c r="L191" s="1972"/>
      <c r="M191" s="1972"/>
      <c r="N191" s="1972"/>
      <c r="O191" s="1972"/>
      <c r="P191" s="1972"/>
      <c r="Q191" s="1972"/>
      <c r="R191" s="1987"/>
      <c r="S191" s="1987"/>
      <c r="T191" s="1987"/>
      <c r="U191" s="1987"/>
      <c r="V191" s="1987"/>
      <c r="W191" s="1987"/>
      <c r="X191" s="1987"/>
      <c r="Y191" s="1987"/>
      <c r="Z191" s="1987"/>
      <c r="AA191" s="1987"/>
      <c r="AB191" s="1987"/>
      <c r="AC191" s="1987"/>
      <c r="AD191" s="1987"/>
      <c r="AE191" s="1987"/>
      <c r="AF191" s="1987"/>
      <c r="AG191" s="1973"/>
      <c r="AH191" s="1974">
        <f t="shared" si="152"/>
        <v>0</v>
      </c>
      <c r="AJ191" s="1524" t="s">
        <v>83</v>
      </c>
      <c r="AK191" s="1527">
        <f t="shared" si="153"/>
        <v>0</v>
      </c>
      <c r="AL191" s="1835"/>
      <c r="AM191" s="1838"/>
      <c r="AN191" s="1838"/>
      <c r="AO191" s="1838"/>
      <c r="AP191" s="1838"/>
      <c r="AQ191" s="1838"/>
      <c r="AR191" s="1838"/>
      <c r="AS191" s="1838"/>
      <c r="AT191" s="1838"/>
      <c r="AU191" s="1838"/>
      <c r="AV191" s="1838"/>
      <c r="AW191" s="1838"/>
      <c r="AX191" s="1838"/>
      <c r="AY191" s="1838"/>
      <c r="AZ191" s="1838"/>
      <c r="BA191" s="1873"/>
      <c r="BB191" s="1873"/>
      <c r="BC191" s="1873"/>
      <c r="BD191" s="1873"/>
      <c r="BE191" s="1872"/>
      <c r="BF191" s="1872"/>
      <c r="BG191" s="1872"/>
      <c r="BH191" s="1872"/>
      <c r="BI191" s="1872"/>
      <c r="BJ191" s="1872"/>
      <c r="BK191" s="1872"/>
      <c r="BL191" s="1872"/>
      <c r="BM191" s="1872"/>
      <c r="BN191" s="1872"/>
      <c r="BO191" s="1872"/>
      <c r="BP191" s="1872"/>
      <c r="BQ191" s="1834">
        <f t="shared" si="154"/>
        <v>0</v>
      </c>
      <c r="BS191" s="1621" t="s">
        <v>83</v>
      </c>
      <c r="BT191" s="1622">
        <f t="shared" si="155"/>
        <v>0</v>
      </c>
      <c r="BU191" s="1871"/>
      <c r="BV191" s="1871"/>
      <c r="BW191" s="1871"/>
      <c r="BX191" s="1871"/>
      <c r="BY191" s="1871"/>
      <c r="BZ191" s="1871"/>
      <c r="CA191" s="1871"/>
      <c r="CB191" s="1871"/>
      <c r="CC191" s="1871"/>
      <c r="CD191" s="1871"/>
      <c r="CE191" s="1871"/>
      <c r="CF191" s="1871"/>
      <c r="CG191" s="1830"/>
      <c r="CH191" s="1830"/>
      <c r="CI191" s="1830"/>
      <c r="CJ191" s="1853"/>
      <c r="CK191" s="1853"/>
      <c r="CL191" s="1853"/>
      <c r="CM191" s="1853"/>
      <c r="CN191" s="1853"/>
      <c r="CO191" s="1853"/>
      <c r="CP191" s="1853"/>
      <c r="CQ191" s="1853"/>
      <c r="CR191" s="1853"/>
      <c r="CS191" s="1853"/>
      <c r="CT191" s="1853"/>
      <c r="CU191" s="1853"/>
      <c r="CV191" s="1853"/>
      <c r="CW191" s="1853"/>
      <c r="CX191" s="1853"/>
      <c r="CY191" s="1827"/>
      <c r="CZ191" s="1826">
        <f t="shared" si="156"/>
        <v>0</v>
      </c>
      <c r="DB191" s="1054" t="s">
        <v>83</v>
      </c>
      <c r="DC191" s="1091">
        <f t="shared" si="157"/>
        <v>0</v>
      </c>
      <c r="DD191" s="1539"/>
      <c r="DE191" s="1596"/>
      <c r="DF191" s="1596"/>
      <c r="DG191" s="1596"/>
      <c r="DH191" s="1596"/>
      <c r="DI191" s="1596"/>
      <c r="DJ191" s="1596"/>
      <c r="DK191" s="1596"/>
      <c r="DL191" s="1596"/>
      <c r="DM191" s="1596"/>
      <c r="DN191" s="1596"/>
      <c r="DO191" s="1596"/>
      <c r="DP191" s="1596"/>
      <c r="DQ191" s="1596"/>
      <c r="DR191" s="1596"/>
      <c r="DS191" s="1924"/>
      <c r="DT191" s="1924"/>
      <c r="DU191" s="1924"/>
      <c r="DV191" s="1924"/>
      <c r="DW191" s="1924"/>
      <c r="DX191" s="1924"/>
      <c r="DY191" s="1924"/>
      <c r="DZ191" s="1924"/>
      <c r="EA191" s="1924"/>
      <c r="EB191" s="1924"/>
      <c r="EC191" s="1924"/>
      <c r="ED191" s="1924"/>
      <c r="EE191" s="1924"/>
      <c r="EF191" s="1924"/>
      <c r="EG191" s="1924"/>
      <c r="EH191" s="1539"/>
      <c r="EI191" s="1268">
        <f t="shared" si="158"/>
        <v>0</v>
      </c>
    </row>
    <row r="192" spans="1:139" ht="15">
      <c r="A192" s="1039" t="s">
        <v>84</v>
      </c>
      <c r="B192" s="1084">
        <f t="shared" si="151"/>
        <v>0</v>
      </c>
      <c r="C192" s="1973"/>
      <c r="D192" s="1987"/>
      <c r="E192" s="1987"/>
      <c r="F192" s="1987"/>
      <c r="G192" s="1973"/>
      <c r="H192" s="1973"/>
      <c r="I192" s="1973"/>
      <c r="J192" s="1973"/>
      <c r="K192" s="1973"/>
      <c r="L192" s="1973"/>
      <c r="M192" s="1973"/>
      <c r="N192" s="1973"/>
      <c r="O192" s="1973"/>
      <c r="P192" s="1973"/>
      <c r="Q192" s="1973"/>
      <c r="R192" s="1973"/>
      <c r="S192" s="1973"/>
      <c r="T192" s="1973"/>
      <c r="U192" s="1973"/>
      <c r="V192" s="1973"/>
      <c r="W192" s="1973"/>
      <c r="X192" s="1973"/>
      <c r="Y192" s="1973"/>
      <c r="Z192" s="1973"/>
      <c r="AA192" s="1973"/>
      <c r="AB192" s="1973"/>
      <c r="AC192" s="1973"/>
      <c r="AD192" s="1973"/>
      <c r="AE192" s="1973"/>
      <c r="AF192" s="1973"/>
      <c r="AG192" s="1973"/>
      <c r="AH192" s="1974">
        <f t="shared" si="152"/>
        <v>0</v>
      </c>
      <c r="AJ192" s="1524" t="s">
        <v>84</v>
      </c>
      <c r="AK192" s="1527">
        <f t="shared" si="153"/>
        <v>0</v>
      </c>
      <c r="AL192" s="1835"/>
      <c r="AM192" s="1873"/>
      <c r="AN192" s="1873"/>
      <c r="AO192" s="1873"/>
      <c r="AP192" s="1835"/>
      <c r="AQ192" s="1835"/>
      <c r="AR192" s="1835"/>
      <c r="AS192" s="1835"/>
      <c r="AT192" s="1835"/>
      <c r="AU192" s="1835"/>
      <c r="AV192" s="1835"/>
      <c r="AW192" s="1835"/>
      <c r="AX192" s="1835"/>
      <c r="AY192" s="1835"/>
      <c r="AZ192" s="1835"/>
      <c r="BA192" s="1835"/>
      <c r="BB192" s="1835"/>
      <c r="BC192" s="1835"/>
      <c r="BD192" s="1835"/>
      <c r="BE192" s="1872"/>
      <c r="BF192" s="1872"/>
      <c r="BG192" s="1872"/>
      <c r="BH192" s="1872"/>
      <c r="BI192" s="1872"/>
      <c r="BJ192" s="1872"/>
      <c r="BK192" s="1872"/>
      <c r="BL192" s="1872"/>
      <c r="BM192" s="1872"/>
      <c r="BN192" s="1872"/>
      <c r="BO192" s="1872"/>
      <c r="BP192" s="1872"/>
      <c r="BQ192" s="1834">
        <f t="shared" si="154"/>
        <v>0</v>
      </c>
      <c r="BS192" s="1621" t="s">
        <v>84</v>
      </c>
      <c r="BT192" s="1622">
        <f t="shared" si="155"/>
        <v>0</v>
      </c>
      <c r="BU192" s="1871"/>
      <c r="BV192" s="1871"/>
      <c r="BW192" s="1871"/>
      <c r="BX192" s="1871"/>
      <c r="BY192" s="1871"/>
      <c r="BZ192" s="1871"/>
      <c r="CA192" s="1871"/>
      <c r="CB192" s="1871"/>
      <c r="CC192" s="1871"/>
      <c r="CD192" s="1871"/>
      <c r="CE192" s="1871"/>
      <c r="CF192" s="1871"/>
      <c r="CG192" s="1827"/>
      <c r="CH192" s="1827"/>
      <c r="CI192" s="1827"/>
      <c r="CJ192" s="1827"/>
      <c r="CK192" s="1827"/>
      <c r="CL192" s="1827"/>
      <c r="CM192" s="1827"/>
      <c r="CN192" s="1827"/>
      <c r="CO192" s="1827"/>
      <c r="CP192" s="1827"/>
      <c r="CQ192" s="1827"/>
      <c r="CR192" s="1827"/>
      <c r="CS192" s="1827"/>
      <c r="CT192" s="1827"/>
      <c r="CU192" s="1827"/>
      <c r="CV192" s="1827"/>
      <c r="CW192" s="1827"/>
      <c r="CX192" s="1827"/>
      <c r="CY192" s="1827"/>
      <c r="CZ192" s="1826">
        <f t="shared" si="156"/>
        <v>0</v>
      </c>
      <c r="DB192" s="1054" t="s">
        <v>84</v>
      </c>
      <c r="DC192" s="1091">
        <f t="shared" si="157"/>
        <v>0</v>
      </c>
      <c r="DD192" s="1539"/>
      <c r="DE192" s="1924"/>
      <c r="DF192" s="1924"/>
      <c r="DG192" s="1924"/>
      <c r="DH192" s="1539"/>
      <c r="DI192" s="1539"/>
      <c r="DJ192" s="1539"/>
      <c r="DK192" s="1539"/>
      <c r="DL192" s="1539"/>
      <c r="DM192" s="1539"/>
      <c r="DN192" s="1539"/>
      <c r="DO192" s="1539"/>
      <c r="DP192" s="1539"/>
      <c r="DQ192" s="1539"/>
      <c r="DR192" s="1539"/>
      <c r="DS192" s="1539"/>
      <c r="DT192" s="1539"/>
      <c r="DU192" s="1539"/>
      <c r="DV192" s="1539"/>
      <c r="DW192" s="1539"/>
      <c r="DX192" s="1539"/>
      <c r="DY192" s="1539"/>
      <c r="DZ192" s="1539"/>
      <c r="EA192" s="1539"/>
      <c r="EB192" s="1539"/>
      <c r="EC192" s="1539"/>
      <c r="ED192" s="1539"/>
      <c r="EE192" s="1539"/>
      <c r="EF192" s="1539"/>
      <c r="EG192" s="1539"/>
      <c r="EH192" s="1539"/>
      <c r="EI192" s="1268">
        <f t="shared" si="158"/>
        <v>0</v>
      </c>
    </row>
    <row r="193" spans="1:139" ht="15">
      <c r="A193" s="1988" t="s">
        <v>72</v>
      </c>
      <c r="B193" s="1989">
        <f t="shared" ref="B193:AH193" si="159">SUM(B181:B192)</f>
        <v>2.8159999999999998</v>
      </c>
      <c r="C193" s="1974">
        <f t="shared" si="159"/>
        <v>0.51</v>
      </c>
      <c r="D193" s="1974">
        <f t="shared" si="159"/>
        <v>0</v>
      </c>
      <c r="E193" s="1974">
        <f t="shared" si="159"/>
        <v>0</v>
      </c>
      <c r="F193" s="1974">
        <f t="shared" si="159"/>
        <v>0</v>
      </c>
      <c r="G193" s="1974">
        <f t="shared" si="159"/>
        <v>0</v>
      </c>
      <c r="H193" s="1974">
        <f t="shared" si="159"/>
        <v>0</v>
      </c>
      <c r="I193" s="1974">
        <f t="shared" si="159"/>
        <v>0</v>
      </c>
      <c r="J193" s="1974">
        <f t="shared" si="159"/>
        <v>0</v>
      </c>
      <c r="K193" s="1974">
        <f t="shared" si="159"/>
        <v>0</v>
      </c>
      <c r="L193" s="1974">
        <f t="shared" si="159"/>
        <v>0</v>
      </c>
      <c r="M193" s="1974">
        <f t="shared" si="159"/>
        <v>0</v>
      </c>
      <c r="N193" s="1974">
        <f t="shared" si="159"/>
        <v>0</v>
      </c>
      <c r="O193" s="1974">
        <f t="shared" si="159"/>
        <v>0</v>
      </c>
      <c r="P193" s="1974">
        <f t="shared" si="159"/>
        <v>0</v>
      </c>
      <c r="Q193" s="1974">
        <f t="shared" si="159"/>
        <v>0</v>
      </c>
      <c r="R193" s="1974">
        <f t="shared" si="159"/>
        <v>0</v>
      </c>
      <c r="S193" s="1974">
        <f t="shared" si="159"/>
        <v>0</v>
      </c>
      <c r="T193" s="1974">
        <f t="shared" si="159"/>
        <v>0</v>
      </c>
      <c r="U193" s="1974">
        <f t="shared" si="159"/>
        <v>0</v>
      </c>
      <c r="V193" s="1974">
        <f t="shared" si="159"/>
        <v>0</v>
      </c>
      <c r="W193" s="1974">
        <f t="shared" si="159"/>
        <v>0</v>
      </c>
      <c r="X193" s="1974">
        <f t="shared" si="159"/>
        <v>0</v>
      </c>
      <c r="Y193" s="1974">
        <f t="shared" si="159"/>
        <v>0</v>
      </c>
      <c r="Z193" s="1974">
        <f t="shared" si="159"/>
        <v>0.34399999999999997</v>
      </c>
      <c r="AA193" s="1974">
        <f t="shared" si="159"/>
        <v>0</v>
      </c>
      <c r="AB193" s="1974">
        <f t="shared" si="159"/>
        <v>0</v>
      </c>
      <c r="AC193" s="1974">
        <f t="shared" si="159"/>
        <v>0</v>
      </c>
      <c r="AD193" s="1974">
        <f t="shared" si="159"/>
        <v>1.905</v>
      </c>
      <c r="AE193" s="1974">
        <f t="shared" si="159"/>
        <v>0</v>
      </c>
      <c r="AF193" s="1974">
        <f t="shared" si="159"/>
        <v>5.7000000000000002E-2</v>
      </c>
      <c r="AG193" s="1974">
        <f t="shared" si="159"/>
        <v>0</v>
      </c>
      <c r="AH193" s="1974">
        <f t="shared" si="159"/>
        <v>2.8159999999999998</v>
      </c>
      <c r="AJ193" s="1837" t="s">
        <v>72</v>
      </c>
      <c r="AK193" s="1836">
        <f t="shared" ref="AK193:BQ193" si="160">SUM(AK181:AK192)</f>
        <v>3.7170000000000001</v>
      </c>
      <c r="AL193" s="1834">
        <f t="shared" si="160"/>
        <v>1.0609999999999999</v>
      </c>
      <c r="AM193" s="1834">
        <f t="shared" si="160"/>
        <v>0</v>
      </c>
      <c r="AN193" s="1834">
        <f t="shared" si="160"/>
        <v>0</v>
      </c>
      <c r="AO193" s="1834">
        <f t="shared" si="160"/>
        <v>0</v>
      </c>
      <c r="AP193" s="1834">
        <f t="shared" si="160"/>
        <v>0</v>
      </c>
      <c r="AQ193" s="1834">
        <f t="shared" si="160"/>
        <v>0</v>
      </c>
      <c r="AR193" s="1834">
        <f t="shared" si="160"/>
        <v>0</v>
      </c>
      <c r="AS193" s="1834">
        <f t="shared" si="160"/>
        <v>0</v>
      </c>
      <c r="AT193" s="1834">
        <f t="shared" si="160"/>
        <v>0</v>
      </c>
      <c r="AU193" s="1834">
        <f t="shared" si="160"/>
        <v>0</v>
      </c>
      <c r="AV193" s="1834">
        <f t="shared" si="160"/>
        <v>0</v>
      </c>
      <c r="AW193" s="1834">
        <f t="shared" si="160"/>
        <v>0</v>
      </c>
      <c r="AX193" s="1834">
        <f t="shared" si="160"/>
        <v>0</v>
      </c>
      <c r="AY193" s="1834">
        <f t="shared" si="160"/>
        <v>0</v>
      </c>
      <c r="AZ193" s="1834">
        <f t="shared" si="160"/>
        <v>0</v>
      </c>
      <c r="BA193" s="1834">
        <f t="shared" si="160"/>
        <v>0</v>
      </c>
      <c r="BB193" s="1834">
        <f t="shared" si="160"/>
        <v>0</v>
      </c>
      <c r="BC193" s="1834">
        <f t="shared" si="160"/>
        <v>0</v>
      </c>
      <c r="BD193" s="1834">
        <f t="shared" si="160"/>
        <v>0</v>
      </c>
      <c r="BE193" s="1834">
        <f t="shared" si="160"/>
        <v>0</v>
      </c>
      <c r="BF193" s="1834">
        <f t="shared" si="160"/>
        <v>0</v>
      </c>
      <c r="BG193" s="1834">
        <f t="shared" si="160"/>
        <v>0</v>
      </c>
      <c r="BH193" s="1834">
        <f t="shared" si="160"/>
        <v>0</v>
      </c>
      <c r="BI193" s="1834">
        <f t="shared" si="160"/>
        <v>4.9000000000000002E-2</v>
      </c>
      <c r="BJ193" s="1834">
        <f t="shared" si="160"/>
        <v>0</v>
      </c>
      <c r="BK193" s="1834">
        <f t="shared" si="160"/>
        <v>0</v>
      </c>
      <c r="BL193" s="1834">
        <f t="shared" si="160"/>
        <v>0</v>
      </c>
      <c r="BM193" s="1834">
        <f t="shared" si="160"/>
        <v>2.3660000000000001</v>
      </c>
      <c r="BN193" s="1834">
        <f t="shared" si="160"/>
        <v>0</v>
      </c>
      <c r="BO193" s="1834">
        <f t="shared" si="160"/>
        <v>0.24099999999999999</v>
      </c>
      <c r="BP193" s="1834">
        <f t="shared" si="160"/>
        <v>0</v>
      </c>
      <c r="BQ193" s="1834">
        <f t="shared" si="160"/>
        <v>3.7170000000000001</v>
      </c>
      <c r="BS193" s="1829" t="s">
        <v>72</v>
      </c>
      <c r="BT193" s="1828">
        <f t="shared" ref="BT193:CZ193" si="161">SUM(BT181:BT192)</f>
        <v>0</v>
      </c>
      <c r="BU193" s="1826">
        <f t="shared" si="161"/>
        <v>0</v>
      </c>
      <c r="BV193" s="1826">
        <f t="shared" si="161"/>
        <v>0</v>
      </c>
      <c r="BW193" s="1826">
        <f t="shared" si="161"/>
        <v>0</v>
      </c>
      <c r="BX193" s="1826">
        <f t="shared" si="161"/>
        <v>0</v>
      </c>
      <c r="BY193" s="1826">
        <f t="shared" si="161"/>
        <v>0</v>
      </c>
      <c r="BZ193" s="1826">
        <f t="shared" si="161"/>
        <v>0</v>
      </c>
      <c r="CA193" s="1826">
        <f t="shared" si="161"/>
        <v>0</v>
      </c>
      <c r="CB193" s="1826">
        <f t="shared" si="161"/>
        <v>0</v>
      </c>
      <c r="CC193" s="1826">
        <f t="shared" si="161"/>
        <v>0</v>
      </c>
      <c r="CD193" s="1826">
        <f t="shared" si="161"/>
        <v>0</v>
      </c>
      <c r="CE193" s="1826">
        <f t="shared" si="161"/>
        <v>0</v>
      </c>
      <c r="CF193" s="1826">
        <f t="shared" si="161"/>
        <v>0</v>
      </c>
      <c r="CG193" s="1826">
        <f t="shared" si="161"/>
        <v>0</v>
      </c>
      <c r="CH193" s="1826">
        <f t="shared" si="161"/>
        <v>0</v>
      </c>
      <c r="CI193" s="1826">
        <f t="shared" si="161"/>
        <v>0</v>
      </c>
      <c r="CJ193" s="1826">
        <f t="shared" si="161"/>
        <v>0</v>
      </c>
      <c r="CK193" s="1826">
        <f t="shared" si="161"/>
        <v>0</v>
      </c>
      <c r="CL193" s="1826">
        <f t="shared" si="161"/>
        <v>0</v>
      </c>
      <c r="CM193" s="1826">
        <f t="shared" si="161"/>
        <v>0</v>
      </c>
      <c r="CN193" s="1826">
        <f t="shared" si="161"/>
        <v>0</v>
      </c>
      <c r="CO193" s="1826">
        <f t="shared" si="161"/>
        <v>0</v>
      </c>
      <c r="CP193" s="1826">
        <f t="shared" si="161"/>
        <v>0</v>
      </c>
      <c r="CQ193" s="1826">
        <f t="shared" si="161"/>
        <v>0</v>
      </c>
      <c r="CR193" s="1826">
        <f t="shared" si="161"/>
        <v>0</v>
      </c>
      <c r="CS193" s="1826">
        <f t="shared" si="161"/>
        <v>0</v>
      </c>
      <c r="CT193" s="1826">
        <f t="shared" si="161"/>
        <v>0</v>
      </c>
      <c r="CU193" s="1826">
        <f t="shared" si="161"/>
        <v>0</v>
      </c>
      <c r="CV193" s="1826">
        <f t="shared" si="161"/>
        <v>0</v>
      </c>
      <c r="CW193" s="1826">
        <f t="shared" si="161"/>
        <v>0</v>
      </c>
      <c r="CX193" s="1826">
        <f t="shared" si="161"/>
        <v>0</v>
      </c>
      <c r="CY193" s="1826">
        <f t="shared" si="161"/>
        <v>0</v>
      </c>
      <c r="CZ193" s="1826">
        <f t="shared" si="161"/>
        <v>0</v>
      </c>
      <c r="DB193" s="1259" t="s">
        <v>72</v>
      </c>
      <c r="DC193" s="1923">
        <f t="shared" ref="DC193:EI193" si="162">SUM(DC181:DC192)</f>
        <v>0</v>
      </c>
      <c r="DD193" s="1268">
        <f t="shared" si="162"/>
        <v>0</v>
      </c>
      <c r="DE193" s="1268">
        <f t="shared" si="162"/>
        <v>0</v>
      </c>
      <c r="DF193" s="1268">
        <f t="shared" si="162"/>
        <v>0</v>
      </c>
      <c r="DG193" s="1268">
        <f t="shared" si="162"/>
        <v>0</v>
      </c>
      <c r="DH193" s="1268">
        <f t="shared" si="162"/>
        <v>0</v>
      </c>
      <c r="DI193" s="1268">
        <f t="shared" si="162"/>
        <v>0</v>
      </c>
      <c r="DJ193" s="1268">
        <f t="shared" si="162"/>
        <v>0</v>
      </c>
      <c r="DK193" s="1268">
        <f t="shared" si="162"/>
        <v>0</v>
      </c>
      <c r="DL193" s="1268">
        <f t="shared" si="162"/>
        <v>0</v>
      </c>
      <c r="DM193" s="1268">
        <f t="shared" si="162"/>
        <v>0</v>
      </c>
      <c r="DN193" s="1268">
        <f t="shared" si="162"/>
        <v>0</v>
      </c>
      <c r="DO193" s="1268">
        <f t="shared" si="162"/>
        <v>0</v>
      </c>
      <c r="DP193" s="1268">
        <f t="shared" si="162"/>
        <v>0</v>
      </c>
      <c r="DQ193" s="1268">
        <f t="shared" si="162"/>
        <v>0</v>
      </c>
      <c r="DR193" s="1268">
        <f t="shared" si="162"/>
        <v>0</v>
      </c>
      <c r="DS193" s="1268">
        <f t="shared" si="162"/>
        <v>0</v>
      </c>
      <c r="DT193" s="1268">
        <f t="shared" si="162"/>
        <v>0</v>
      </c>
      <c r="DU193" s="1268">
        <f t="shared" si="162"/>
        <v>0</v>
      </c>
      <c r="DV193" s="1268">
        <f t="shared" si="162"/>
        <v>0</v>
      </c>
      <c r="DW193" s="1268">
        <f t="shared" si="162"/>
        <v>0</v>
      </c>
      <c r="DX193" s="1268">
        <f t="shared" si="162"/>
        <v>0</v>
      </c>
      <c r="DY193" s="1268">
        <f t="shared" si="162"/>
        <v>0</v>
      </c>
      <c r="DZ193" s="1268">
        <f t="shared" si="162"/>
        <v>0</v>
      </c>
      <c r="EA193" s="1268">
        <f t="shared" si="162"/>
        <v>0</v>
      </c>
      <c r="EB193" s="1268">
        <f t="shared" si="162"/>
        <v>0</v>
      </c>
      <c r="EC193" s="1268">
        <f t="shared" si="162"/>
        <v>0</v>
      </c>
      <c r="ED193" s="1268">
        <f t="shared" si="162"/>
        <v>0</v>
      </c>
      <c r="EE193" s="1268">
        <f t="shared" si="162"/>
        <v>0</v>
      </c>
      <c r="EF193" s="1268">
        <f t="shared" si="162"/>
        <v>0</v>
      </c>
      <c r="EG193" s="1268">
        <f t="shared" si="162"/>
        <v>0</v>
      </c>
      <c r="EH193" s="1268">
        <f t="shared" si="162"/>
        <v>0</v>
      </c>
      <c r="EI193" s="1268">
        <f t="shared" si="162"/>
        <v>0</v>
      </c>
    </row>
    <row r="194" spans="1:139">
      <c r="A194" s="1211"/>
      <c r="B194" s="1211"/>
      <c r="C194" s="1211"/>
      <c r="D194" s="1211"/>
      <c r="E194" s="1211"/>
      <c r="F194" s="1211"/>
      <c r="G194" s="1211"/>
      <c r="H194" s="1211"/>
      <c r="I194" s="1211"/>
      <c r="J194" s="1211"/>
      <c r="K194" s="1211"/>
      <c r="L194" s="1211"/>
      <c r="M194" s="1211"/>
      <c r="N194" s="1211"/>
      <c r="O194" s="1211"/>
      <c r="P194" s="1211"/>
      <c r="Q194" s="1211"/>
      <c r="R194" s="1211"/>
      <c r="S194" s="1211"/>
      <c r="T194" s="1211"/>
      <c r="U194" s="1211"/>
      <c r="V194" s="1211"/>
      <c r="W194" s="1211"/>
      <c r="X194" s="1211"/>
      <c r="Y194" s="1211"/>
      <c r="Z194" s="1211"/>
      <c r="AA194" s="1211"/>
      <c r="AB194" s="1211"/>
      <c r="AC194" s="1211"/>
      <c r="AD194" s="1211"/>
      <c r="AE194" s="1211"/>
      <c r="AF194" s="1211"/>
      <c r="AG194" s="1211"/>
      <c r="AH194" s="1211"/>
      <c r="AJ194" s="1841"/>
      <c r="AK194" s="1841"/>
      <c r="AL194" s="1841"/>
      <c r="AM194" s="1841"/>
      <c r="AN194" s="1841"/>
      <c r="AO194" s="1841"/>
      <c r="AP194" s="1841"/>
      <c r="AQ194" s="1841"/>
      <c r="AR194" s="1841"/>
      <c r="AS194" s="1841"/>
      <c r="AT194" s="1841"/>
      <c r="AU194" s="1841"/>
      <c r="AV194" s="1841"/>
      <c r="AW194" s="1841"/>
      <c r="AX194" s="1841"/>
      <c r="AY194" s="1841"/>
      <c r="AZ194" s="1841"/>
      <c r="BA194" s="1841"/>
      <c r="BB194" s="1841"/>
      <c r="BC194" s="1841"/>
      <c r="BD194" s="1841"/>
      <c r="BE194" s="1841"/>
      <c r="BF194" s="1841"/>
      <c r="BG194" s="1841"/>
      <c r="BH194" s="1841"/>
      <c r="BI194" s="1841"/>
      <c r="BJ194" s="1841"/>
      <c r="BK194" s="1841"/>
      <c r="BL194" s="1841"/>
      <c r="BM194" s="1841"/>
      <c r="BN194" s="1841"/>
      <c r="BO194" s="1841"/>
      <c r="BP194" s="1841"/>
      <c r="BQ194" s="1841"/>
      <c r="BS194" s="1833"/>
      <c r="BT194" s="1833"/>
      <c r="BU194" s="1833"/>
      <c r="BV194" s="1833"/>
      <c r="BW194" s="1833"/>
      <c r="BX194" s="1833"/>
      <c r="BY194" s="1833"/>
      <c r="BZ194" s="1833"/>
      <c r="CA194" s="1833"/>
      <c r="CB194" s="1833"/>
      <c r="CC194" s="1833"/>
      <c r="CD194" s="1833"/>
      <c r="CE194" s="1833"/>
      <c r="CF194" s="1833"/>
      <c r="CG194" s="1833"/>
      <c r="CH194" s="1833"/>
      <c r="CI194" s="1833"/>
      <c r="CJ194" s="1833"/>
      <c r="CK194" s="1833"/>
      <c r="CL194" s="1833"/>
      <c r="CM194" s="1833"/>
      <c r="CN194" s="1833"/>
      <c r="CO194" s="1833"/>
      <c r="CP194" s="1833"/>
      <c r="CQ194" s="1833"/>
      <c r="CR194" s="1833"/>
      <c r="CS194" s="1833"/>
      <c r="CT194" s="1833"/>
      <c r="CU194" s="1833"/>
      <c r="CV194" s="1833"/>
      <c r="CW194" s="1833"/>
      <c r="CX194" s="1833"/>
      <c r="CY194" s="1833"/>
      <c r="CZ194" s="1833"/>
      <c r="DB194" s="1825"/>
      <c r="DC194" s="1825"/>
      <c r="DD194" s="1825"/>
      <c r="DE194" s="1825"/>
      <c r="DF194" s="1825"/>
      <c r="DG194" s="1825"/>
      <c r="DH194" s="1825"/>
      <c r="DI194" s="1825"/>
      <c r="DJ194" s="1825"/>
      <c r="DK194" s="1825"/>
      <c r="DL194" s="1825"/>
      <c r="DM194" s="1825"/>
      <c r="DN194" s="1825"/>
      <c r="DO194" s="1825"/>
      <c r="DP194" s="1825"/>
      <c r="DQ194" s="1825"/>
      <c r="DR194" s="1825"/>
      <c r="DS194" s="1825"/>
      <c r="DT194" s="1825"/>
      <c r="DU194" s="1825"/>
      <c r="DV194" s="1825"/>
      <c r="DW194" s="1825"/>
      <c r="DX194" s="1825"/>
      <c r="DY194" s="1825"/>
      <c r="DZ194" s="1825"/>
      <c r="EA194" s="1825"/>
      <c r="EB194" s="1825"/>
      <c r="EC194" s="1825"/>
      <c r="ED194" s="1825"/>
      <c r="EE194" s="1825"/>
      <c r="EF194" s="1825"/>
      <c r="EG194" s="1825"/>
      <c r="EH194" s="1825"/>
      <c r="EI194" s="1825"/>
    </row>
    <row r="195" spans="1:139" ht="15">
      <c r="A195" s="3872" t="s">
        <v>604</v>
      </c>
      <c r="B195" s="3873"/>
      <c r="C195" s="3874"/>
      <c r="D195" s="1970"/>
      <c r="E195" s="1970"/>
      <c r="F195" s="1970"/>
      <c r="G195" s="1970"/>
      <c r="H195" s="1970"/>
      <c r="I195" s="1970"/>
      <c r="J195" s="1970"/>
      <c r="K195" s="1970"/>
      <c r="L195" s="1970"/>
      <c r="M195" s="1971"/>
      <c r="N195" s="1970"/>
      <c r="O195" s="1970"/>
      <c r="P195" s="1970"/>
      <c r="Q195" s="1970"/>
      <c r="R195" s="1970"/>
      <c r="S195" s="1970"/>
      <c r="T195" s="1970"/>
      <c r="U195" s="1970"/>
      <c r="V195" s="1970"/>
      <c r="W195" s="1970"/>
      <c r="X195" s="1970"/>
      <c r="Y195" s="1970"/>
      <c r="Z195" s="1970"/>
      <c r="AA195" s="1970"/>
      <c r="AB195" s="1970"/>
      <c r="AC195" s="1970"/>
      <c r="AD195" s="1970"/>
      <c r="AE195" s="1970"/>
      <c r="AF195" s="1970"/>
      <c r="AG195" s="1970"/>
      <c r="AH195" s="1970"/>
      <c r="AJ195" s="3821" t="s">
        <v>606</v>
      </c>
      <c r="AK195" s="3822"/>
      <c r="AL195" s="3823"/>
      <c r="AM195" s="1839"/>
      <c r="AN195" s="1839"/>
      <c r="AO195" s="1839"/>
      <c r="AP195" s="1839"/>
      <c r="AQ195" s="1839"/>
      <c r="AR195" s="1839"/>
      <c r="AS195" s="1839"/>
      <c r="AT195" s="1839"/>
      <c r="AU195" s="1839"/>
      <c r="AV195" s="1840"/>
      <c r="AW195" s="1839"/>
      <c r="AX195" s="1839"/>
      <c r="AY195" s="1839"/>
      <c r="AZ195" s="1839"/>
      <c r="BA195" s="1839"/>
      <c r="BB195" s="1839"/>
      <c r="BC195" s="1839"/>
      <c r="BD195" s="1839"/>
      <c r="BE195" s="1839"/>
      <c r="BF195" s="1839"/>
      <c r="BG195" s="1839"/>
      <c r="BH195" s="1839"/>
      <c r="BI195" s="1839"/>
      <c r="BJ195" s="1839"/>
      <c r="BK195" s="1839"/>
      <c r="BL195" s="1839"/>
      <c r="BM195" s="1839"/>
      <c r="BN195" s="1839"/>
      <c r="BO195" s="1839"/>
      <c r="BP195" s="1839"/>
      <c r="BQ195" s="1839"/>
      <c r="BS195" s="4035" t="s">
        <v>599</v>
      </c>
      <c r="BT195" s="4036"/>
      <c r="BU195" s="4037"/>
      <c r="BV195" s="1831"/>
      <c r="BW195" s="1831"/>
      <c r="BX195" s="1831"/>
      <c r="BY195" s="1831"/>
      <c r="BZ195" s="1831"/>
      <c r="CA195" s="1831"/>
      <c r="CB195" s="1831"/>
      <c r="CC195" s="1831"/>
      <c r="CD195" s="1831"/>
      <c r="CE195" s="1832"/>
      <c r="CF195" s="1831"/>
      <c r="CG195" s="1831"/>
      <c r="CH195" s="1831"/>
      <c r="CI195" s="1831"/>
      <c r="CJ195" s="1831"/>
      <c r="CK195" s="1831"/>
      <c r="CL195" s="1831"/>
      <c r="CM195" s="1831"/>
      <c r="CN195" s="1831"/>
      <c r="CO195" s="1831"/>
      <c r="CP195" s="1831"/>
      <c r="CQ195" s="1831"/>
      <c r="CR195" s="1831"/>
      <c r="CS195" s="1831"/>
      <c r="CT195" s="1831"/>
      <c r="CU195" s="1831"/>
      <c r="CV195" s="1831"/>
      <c r="CW195" s="1831"/>
      <c r="CX195" s="1831"/>
      <c r="CY195" s="1831"/>
      <c r="CZ195" s="1831"/>
      <c r="DB195" s="4038" t="s">
        <v>603</v>
      </c>
      <c r="DC195" s="4039"/>
      <c r="DD195" s="4040"/>
      <c r="DE195" s="1823"/>
      <c r="DF195" s="1823"/>
      <c r="DG195" s="1823"/>
      <c r="DH195" s="1823"/>
      <c r="DI195" s="1823"/>
      <c r="DJ195" s="1823"/>
      <c r="DK195" s="1823"/>
      <c r="DL195" s="1823"/>
      <c r="DM195" s="1823"/>
      <c r="DN195" s="1824"/>
      <c r="DO195" s="1823"/>
      <c r="DP195" s="1823"/>
      <c r="DQ195" s="1823"/>
      <c r="DR195" s="1823"/>
      <c r="DS195" s="1823"/>
      <c r="DT195" s="1823"/>
      <c r="DU195" s="1823"/>
      <c r="DV195" s="1823"/>
      <c r="DW195" s="1823"/>
      <c r="DX195" s="1823"/>
      <c r="DY195" s="1823"/>
      <c r="DZ195" s="1823"/>
      <c r="EA195" s="1823"/>
      <c r="EB195" s="1823"/>
      <c r="EC195" s="1823"/>
      <c r="ED195" s="1823"/>
      <c r="EE195" s="1823"/>
      <c r="EF195" s="1823"/>
      <c r="EG195" s="1823"/>
      <c r="EH195" s="1823"/>
      <c r="EI195" s="1823"/>
    </row>
    <row r="196" spans="1:139" ht="15">
      <c r="A196" s="1039" t="s">
        <v>70</v>
      </c>
      <c r="B196" s="1039" t="s">
        <v>71</v>
      </c>
      <c r="C196" s="1039">
        <v>1</v>
      </c>
      <c r="D196" s="1039">
        <v>2</v>
      </c>
      <c r="E196" s="1039">
        <v>3</v>
      </c>
      <c r="F196" s="1039">
        <v>4</v>
      </c>
      <c r="G196" s="1039">
        <v>5</v>
      </c>
      <c r="H196" s="1039">
        <v>6</v>
      </c>
      <c r="I196" s="1039">
        <v>7</v>
      </c>
      <c r="J196" s="1039">
        <v>8</v>
      </c>
      <c r="K196" s="1039">
        <v>9</v>
      </c>
      <c r="L196" s="1039">
        <v>10</v>
      </c>
      <c r="M196" s="1039">
        <v>11</v>
      </c>
      <c r="N196" s="1039">
        <v>12</v>
      </c>
      <c r="O196" s="1039">
        <v>13</v>
      </c>
      <c r="P196" s="1039">
        <v>14</v>
      </c>
      <c r="Q196" s="1039">
        <v>15</v>
      </c>
      <c r="R196" s="1039">
        <v>16</v>
      </c>
      <c r="S196" s="1039">
        <v>17</v>
      </c>
      <c r="T196" s="1039">
        <v>18</v>
      </c>
      <c r="U196" s="1039">
        <v>19</v>
      </c>
      <c r="V196" s="1039">
        <v>20</v>
      </c>
      <c r="W196" s="1039">
        <v>21</v>
      </c>
      <c r="X196" s="1039">
        <v>22</v>
      </c>
      <c r="Y196" s="1039">
        <v>23</v>
      </c>
      <c r="Z196" s="1039">
        <v>24</v>
      </c>
      <c r="AA196" s="1039">
        <v>25</v>
      </c>
      <c r="AB196" s="1039">
        <v>26</v>
      </c>
      <c r="AC196" s="1039">
        <v>27</v>
      </c>
      <c r="AD196" s="1039">
        <v>28</v>
      </c>
      <c r="AE196" s="1039">
        <v>29</v>
      </c>
      <c r="AF196" s="1039">
        <v>30</v>
      </c>
      <c r="AG196" s="1039">
        <v>31</v>
      </c>
      <c r="AH196" s="1972" t="s">
        <v>72</v>
      </c>
      <c r="AJ196" s="1524" t="s">
        <v>70</v>
      </c>
      <c r="AK196" s="1524" t="s">
        <v>71</v>
      </c>
      <c r="AL196" s="1524">
        <v>1</v>
      </c>
      <c r="AM196" s="1524">
        <v>2</v>
      </c>
      <c r="AN196" s="1524">
        <v>3</v>
      </c>
      <c r="AO196" s="1524">
        <v>4</v>
      </c>
      <c r="AP196" s="1524">
        <v>5</v>
      </c>
      <c r="AQ196" s="1524">
        <v>6</v>
      </c>
      <c r="AR196" s="1524">
        <v>7</v>
      </c>
      <c r="AS196" s="1524">
        <v>8</v>
      </c>
      <c r="AT196" s="1524">
        <v>9</v>
      </c>
      <c r="AU196" s="1524">
        <v>10</v>
      </c>
      <c r="AV196" s="1524">
        <v>11</v>
      </c>
      <c r="AW196" s="1524">
        <v>12</v>
      </c>
      <c r="AX196" s="1524">
        <v>13</v>
      </c>
      <c r="AY196" s="1524">
        <v>14</v>
      </c>
      <c r="AZ196" s="1524">
        <v>15</v>
      </c>
      <c r="BA196" s="1524">
        <v>16</v>
      </c>
      <c r="BB196" s="1524">
        <v>17</v>
      </c>
      <c r="BC196" s="1524">
        <v>18</v>
      </c>
      <c r="BD196" s="1524">
        <v>19</v>
      </c>
      <c r="BE196" s="1524">
        <v>20</v>
      </c>
      <c r="BF196" s="1524">
        <v>21</v>
      </c>
      <c r="BG196" s="1524">
        <v>22</v>
      </c>
      <c r="BH196" s="1524">
        <v>23</v>
      </c>
      <c r="BI196" s="1524">
        <v>24</v>
      </c>
      <c r="BJ196" s="1524">
        <v>25</v>
      </c>
      <c r="BK196" s="1524">
        <v>26</v>
      </c>
      <c r="BL196" s="1524">
        <v>27</v>
      </c>
      <c r="BM196" s="1524">
        <v>28</v>
      </c>
      <c r="BN196" s="1524">
        <v>29</v>
      </c>
      <c r="BO196" s="1524">
        <v>30</v>
      </c>
      <c r="BP196" s="1524">
        <v>31</v>
      </c>
      <c r="BQ196" s="1838" t="s">
        <v>72</v>
      </c>
      <c r="BS196" s="1621" t="s">
        <v>70</v>
      </c>
      <c r="BT196" s="1621" t="s">
        <v>71</v>
      </c>
      <c r="BU196" s="1621">
        <v>1</v>
      </c>
      <c r="BV196" s="1621">
        <v>2</v>
      </c>
      <c r="BW196" s="1621">
        <v>3</v>
      </c>
      <c r="BX196" s="1621">
        <v>4</v>
      </c>
      <c r="BY196" s="1621">
        <v>5</v>
      </c>
      <c r="BZ196" s="1621">
        <v>6</v>
      </c>
      <c r="CA196" s="1621">
        <v>7</v>
      </c>
      <c r="CB196" s="1621">
        <v>8</v>
      </c>
      <c r="CC196" s="1621">
        <v>9</v>
      </c>
      <c r="CD196" s="1621">
        <v>10</v>
      </c>
      <c r="CE196" s="1621">
        <v>11</v>
      </c>
      <c r="CF196" s="1621">
        <v>12</v>
      </c>
      <c r="CG196" s="1621">
        <v>13</v>
      </c>
      <c r="CH196" s="1621">
        <v>14</v>
      </c>
      <c r="CI196" s="1621">
        <v>15</v>
      </c>
      <c r="CJ196" s="1621">
        <v>16</v>
      </c>
      <c r="CK196" s="1621">
        <v>17</v>
      </c>
      <c r="CL196" s="1621">
        <v>18</v>
      </c>
      <c r="CM196" s="1621">
        <v>19</v>
      </c>
      <c r="CN196" s="1621">
        <v>20</v>
      </c>
      <c r="CO196" s="1621">
        <v>21</v>
      </c>
      <c r="CP196" s="1621">
        <v>22</v>
      </c>
      <c r="CQ196" s="1621">
        <v>23</v>
      </c>
      <c r="CR196" s="1621">
        <v>24</v>
      </c>
      <c r="CS196" s="1621">
        <v>25</v>
      </c>
      <c r="CT196" s="1621">
        <v>26</v>
      </c>
      <c r="CU196" s="1621">
        <v>27</v>
      </c>
      <c r="CV196" s="1621">
        <v>28</v>
      </c>
      <c r="CW196" s="1621">
        <v>29</v>
      </c>
      <c r="CX196" s="1621">
        <v>30</v>
      </c>
      <c r="CY196" s="1621">
        <v>31</v>
      </c>
      <c r="CZ196" s="1830" t="s">
        <v>72</v>
      </c>
      <c r="DB196" s="1719" t="s">
        <v>70</v>
      </c>
      <c r="DC196" s="1719" t="s">
        <v>71</v>
      </c>
      <c r="DD196" s="1719">
        <v>1</v>
      </c>
      <c r="DE196" s="1719">
        <v>2</v>
      </c>
      <c r="DF196" s="1719">
        <v>3</v>
      </c>
      <c r="DG196" s="1719">
        <v>4</v>
      </c>
      <c r="DH196" s="1719">
        <v>5</v>
      </c>
      <c r="DI196" s="1719">
        <v>6</v>
      </c>
      <c r="DJ196" s="1719">
        <v>7</v>
      </c>
      <c r="DK196" s="1719">
        <v>8</v>
      </c>
      <c r="DL196" s="1719">
        <v>9</v>
      </c>
      <c r="DM196" s="1719">
        <v>10</v>
      </c>
      <c r="DN196" s="1719">
        <v>11</v>
      </c>
      <c r="DO196" s="1719">
        <v>12</v>
      </c>
      <c r="DP196" s="1719">
        <v>13</v>
      </c>
      <c r="DQ196" s="1719">
        <v>14</v>
      </c>
      <c r="DR196" s="1719">
        <v>15</v>
      </c>
      <c r="DS196" s="1719">
        <v>16</v>
      </c>
      <c r="DT196" s="1719">
        <v>17</v>
      </c>
      <c r="DU196" s="1719">
        <v>18</v>
      </c>
      <c r="DV196" s="1719">
        <v>19</v>
      </c>
      <c r="DW196" s="1719">
        <v>20</v>
      </c>
      <c r="DX196" s="1719">
        <v>21</v>
      </c>
      <c r="DY196" s="1719">
        <v>22</v>
      </c>
      <c r="DZ196" s="1719">
        <v>23</v>
      </c>
      <c r="EA196" s="1719">
        <v>24</v>
      </c>
      <c r="EB196" s="1719">
        <v>25</v>
      </c>
      <c r="EC196" s="1719">
        <v>26</v>
      </c>
      <c r="ED196" s="1719">
        <v>27</v>
      </c>
      <c r="EE196" s="1719">
        <v>28</v>
      </c>
      <c r="EF196" s="1719">
        <v>29</v>
      </c>
      <c r="EG196" s="1719">
        <v>30</v>
      </c>
      <c r="EH196" s="1719">
        <v>31</v>
      </c>
      <c r="EI196" s="1822" t="s">
        <v>72</v>
      </c>
    </row>
    <row r="197" spans="1:139" ht="15">
      <c r="A197" s="1039" t="s">
        <v>73</v>
      </c>
      <c r="B197" s="1084">
        <f t="shared" ref="B197:B208" si="163">+AH197</f>
        <v>4.6120000000000001</v>
      </c>
      <c r="C197" s="1973">
        <f t="shared" ref="C197:AG197" si="164">+(C85+C101+C117+C133+C149+C165+C181)</f>
        <v>0</v>
      </c>
      <c r="D197" s="1973">
        <f t="shared" si="164"/>
        <v>0</v>
      </c>
      <c r="E197" s="1973">
        <f t="shared" si="164"/>
        <v>0</v>
      </c>
      <c r="F197" s="1973">
        <f t="shared" si="164"/>
        <v>0</v>
      </c>
      <c r="G197" s="1973">
        <f t="shared" si="164"/>
        <v>0</v>
      </c>
      <c r="H197" s="1973">
        <f t="shared" si="164"/>
        <v>0</v>
      </c>
      <c r="I197" s="1973">
        <f t="shared" si="164"/>
        <v>0</v>
      </c>
      <c r="J197" s="1973">
        <f t="shared" si="164"/>
        <v>0</v>
      </c>
      <c r="K197" s="1973">
        <f t="shared" si="164"/>
        <v>0</v>
      </c>
      <c r="L197" s="1973">
        <f t="shared" si="164"/>
        <v>0</v>
      </c>
      <c r="M197" s="1973">
        <f t="shared" si="164"/>
        <v>0</v>
      </c>
      <c r="N197" s="1973">
        <f t="shared" si="164"/>
        <v>0</v>
      </c>
      <c r="O197" s="1973">
        <f t="shared" si="164"/>
        <v>0</v>
      </c>
      <c r="P197" s="1973">
        <f t="shared" si="164"/>
        <v>0</v>
      </c>
      <c r="Q197" s="1973">
        <f t="shared" si="164"/>
        <v>0</v>
      </c>
      <c r="R197" s="1973">
        <f t="shared" si="164"/>
        <v>0</v>
      </c>
      <c r="S197" s="1973">
        <f t="shared" si="164"/>
        <v>0</v>
      </c>
      <c r="T197" s="1973">
        <f t="shared" si="164"/>
        <v>0</v>
      </c>
      <c r="U197" s="1973">
        <f t="shared" si="164"/>
        <v>0</v>
      </c>
      <c r="V197" s="1973">
        <f t="shared" si="164"/>
        <v>0</v>
      </c>
      <c r="W197" s="1973">
        <f t="shared" si="164"/>
        <v>0</v>
      </c>
      <c r="X197" s="1973">
        <f t="shared" si="164"/>
        <v>0</v>
      </c>
      <c r="Y197" s="1973">
        <f t="shared" si="164"/>
        <v>0</v>
      </c>
      <c r="Z197" s="1973">
        <f t="shared" si="164"/>
        <v>0.68799999999999994</v>
      </c>
      <c r="AA197" s="1973">
        <f t="shared" si="164"/>
        <v>0</v>
      </c>
      <c r="AB197" s="1973">
        <f t="shared" si="164"/>
        <v>0</v>
      </c>
      <c r="AC197" s="1973">
        <f t="shared" si="164"/>
        <v>0</v>
      </c>
      <c r="AD197" s="1973">
        <f t="shared" si="164"/>
        <v>3.81</v>
      </c>
      <c r="AE197" s="1973">
        <f t="shared" si="164"/>
        <v>0</v>
      </c>
      <c r="AF197" s="1973">
        <f t="shared" si="164"/>
        <v>0.114</v>
      </c>
      <c r="AG197" s="1973">
        <f t="shared" si="164"/>
        <v>0</v>
      </c>
      <c r="AH197" s="1974">
        <f t="shared" ref="AH197:AH208" si="165">SUM(C197:AG197)</f>
        <v>4.6120000000000001</v>
      </c>
      <c r="AJ197" s="1524" t="s">
        <v>73</v>
      </c>
      <c r="AK197" s="1527">
        <f t="shared" ref="AK197:AK208" si="166">+BQ197</f>
        <v>5.3120000000000003</v>
      </c>
      <c r="AL197" s="1835">
        <f t="shared" ref="AL197:BP197" si="167">+(AL5+AL21+AL37+AL53+AL69+AL85+AL101+AL117+AL133+AL149+AL165+AL181)</f>
        <v>0</v>
      </c>
      <c r="AM197" s="1835">
        <f t="shared" si="167"/>
        <v>0</v>
      </c>
      <c r="AN197" s="1835">
        <f t="shared" si="167"/>
        <v>0</v>
      </c>
      <c r="AO197" s="1835">
        <f t="shared" si="167"/>
        <v>0</v>
      </c>
      <c r="AP197" s="1835">
        <f t="shared" si="167"/>
        <v>0</v>
      </c>
      <c r="AQ197" s="1835">
        <f t="shared" si="167"/>
        <v>0</v>
      </c>
      <c r="AR197" s="1835">
        <f t="shared" si="167"/>
        <v>0</v>
      </c>
      <c r="AS197" s="1835">
        <f t="shared" si="167"/>
        <v>0</v>
      </c>
      <c r="AT197" s="1835">
        <f t="shared" si="167"/>
        <v>0</v>
      </c>
      <c r="AU197" s="1835">
        <f t="shared" si="167"/>
        <v>0</v>
      </c>
      <c r="AV197" s="1835">
        <f t="shared" si="167"/>
        <v>0</v>
      </c>
      <c r="AW197" s="1835">
        <f t="shared" si="167"/>
        <v>0</v>
      </c>
      <c r="AX197" s="1835">
        <f t="shared" si="167"/>
        <v>0</v>
      </c>
      <c r="AY197" s="1835">
        <f t="shared" si="167"/>
        <v>0</v>
      </c>
      <c r="AZ197" s="1835">
        <f t="shared" si="167"/>
        <v>0</v>
      </c>
      <c r="BA197" s="1835">
        <f t="shared" si="167"/>
        <v>0</v>
      </c>
      <c r="BB197" s="1835">
        <f t="shared" si="167"/>
        <v>0</v>
      </c>
      <c r="BC197" s="1835">
        <f t="shared" si="167"/>
        <v>0</v>
      </c>
      <c r="BD197" s="1835">
        <f t="shared" si="167"/>
        <v>0</v>
      </c>
      <c r="BE197" s="1835">
        <f t="shared" si="167"/>
        <v>0</v>
      </c>
      <c r="BF197" s="1835">
        <f t="shared" si="167"/>
        <v>0</v>
      </c>
      <c r="BG197" s="1835">
        <f t="shared" si="167"/>
        <v>0</v>
      </c>
      <c r="BH197" s="1835">
        <f t="shared" si="167"/>
        <v>0</v>
      </c>
      <c r="BI197" s="1835">
        <f t="shared" si="167"/>
        <v>9.8000000000000004E-2</v>
      </c>
      <c r="BJ197" s="1835">
        <f t="shared" si="167"/>
        <v>0</v>
      </c>
      <c r="BK197" s="1835">
        <f t="shared" si="167"/>
        <v>0</v>
      </c>
      <c r="BL197" s="1835">
        <f t="shared" si="167"/>
        <v>0</v>
      </c>
      <c r="BM197" s="1835">
        <f t="shared" si="167"/>
        <v>4.7320000000000002</v>
      </c>
      <c r="BN197" s="1835">
        <f t="shared" si="167"/>
        <v>0</v>
      </c>
      <c r="BO197" s="1835">
        <f t="shared" si="167"/>
        <v>0.48199999999999998</v>
      </c>
      <c r="BP197" s="1835">
        <f t="shared" si="167"/>
        <v>0</v>
      </c>
      <c r="BQ197" s="1834">
        <f t="shared" ref="BQ197:BQ208" si="168">SUM(AL197:BP197)</f>
        <v>5.3120000000000003</v>
      </c>
      <c r="BS197" s="1621" t="s">
        <v>73</v>
      </c>
      <c r="BT197" s="1622">
        <f t="shared" ref="BT197:BT208" si="169">+CZ197</f>
        <v>0.90300000000000025</v>
      </c>
      <c r="BU197" s="1827">
        <f>+(BU5+BU21+BU37+BU53+BU69+BU85+BU101+BU117+BU133+BU149+BU165+BU181)</f>
        <v>0</v>
      </c>
      <c r="BV197" s="1827">
        <f t="shared" ref="BV197:CY197" si="170">+(BV5+BV21+BV37+BV53+BV69+BV85+BV101+BV117+BV133+BV149+BV165+BV181)</f>
        <v>0</v>
      </c>
      <c r="BW197" s="1827">
        <f t="shared" si="170"/>
        <v>2.1999999999999999E-2</v>
      </c>
      <c r="BX197" s="1827">
        <f t="shared" si="170"/>
        <v>0</v>
      </c>
      <c r="BY197" s="1827">
        <f t="shared" si="170"/>
        <v>0.15</v>
      </c>
      <c r="BZ197" s="1827">
        <f t="shared" si="170"/>
        <v>2.5000000000000001E-2</v>
      </c>
      <c r="CA197" s="1827">
        <f t="shared" si="170"/>
        <v>0.15</v>
      </c>
      <c r="CB197" s="1827">
        <f t="shared" si="170"/>
        <v>0.02</v>
      </c>
      <c r="CC197" s="1827">
        <f t="shared" si="170"/>
        <v>0.03</v>
      </c>
      <c r="CD197" s="1827">
        <f t="shared" si="170"/>
        <v>2.5000000000000008E-2</v>
      </c>
      <c r="CE197" s="1827">
        <f t="shared" si="170"/>
        <v>0</v>
      </c>
      <c r="CF197" s="1827">
        <f t="shared" si="170"/>
        <v>2.7E-2</v>
      </c>
      <c r="CG197" s="1827">
        <f t="shared" si="170"/>
        <v>0</v>
      </c>
      <c r="CH197" s="1827">
        <f t="shared" si="170"/>
        <v>1.0000000000000009E-2</v>
      </c>
      <c r="CI197" s="1827">
        <f t="shared" si="170"/>
        <v>0.11</v>
      </c>
      <c r="CJ197" s="1827">
        <f t="shared" si="170"/>
        <v>0.03</v>
      </c>
      <c r="CK197" s="1827">
        <f t="shared" si="170"/>
        <v>5.1999999999999991E-2</v>
      </c>
      <c r="CL197" s="1827">
        <f t="shared" si="170"/>
        <v>4.0000000000000029E-2</v>
      </c>
      <c r="CM197" s="1827">
        <f t="shared" si="170"/>
        <v>0</v>
      </c>
      <c r="CN197" s="1827">
        <f t="shared" si="170"/>
        <v>1.4999999999999999E-2</v>
      </c>
      <c r="CO197" s="1827">
        <f t="shared" si="170"/>
        <v>1.4999999999999996E-2</v>
      </c>
      <c r="CP197" s="1827">
        <f t="shared" si="170"/>
        <v>0.06</v>
      </c>
      <c r="CQ197" s="1827">
        <f t="shared" si="170"/>
        <v>2.9999999999999888E-3</v>
      </c>
      <c r="CR197" s="1827">
        <f t="shared" si="170"/>
        <v>2.0000000000000018E-2</v>
      </c>
      <c r="CS197" s="1827">
        <f t="shared" si="170"/>
        <v>3.3000000000000002E-2</v>
      </c>
      <c r="CT197" s="1827">
        <f t="shared" si="170"/>
        <v>7.0000000000000001E-3</v>
      </c>
      <c r="CU197" s="1827">
        <f t="shared" si="170"/>
        <v>0</v>
      </c>
      <c r="CV197" s="1827">
        <f t="shared" si="170"/>
        <v>5.0000000000000001E-3</v>
      </c>
      <c r="CW197" s="1827">
        <f t="shared" si="170"/>
        <v>1.0000000000000009E-2</v>
      </c>
      <c r="CX197" s="1827">
        <f t="shared" si="170"/>
        <v>3.2999999999999995E-2</v>
      </c>
      <c r="CY197" s="1827">
        <f t="shared" si="170"/>
        <v>1.0999999999999999E-2</v>
      </c>
      <c r="CZ197" s="1826">
        <f t="shared" ref="CZ197:CZ208" si="171">SUM(BU197:CY197)</f>
        <v>0.90300000000000025</v>
      </c>
      <c r="DB197" s="1719" t="s">
        <v>73</v>
      </c>
      <c r="DC197" s="1821">
        <f t="shared" ref="DC197:DC208" si="172">+EI197</f>
        <v>0</v>
      </c>
      <c r="DD197" s="1818">
        <f t="shared" ref="DD197:EH197" si="173">+(DD5+DD21+DD37+DD53+DD69+DD85+DD101+DD117+DD133+DD149+DD165+DD181)</f>
        <v>0</v>
      </c>
      <c r="DE197" s="1818">
        <f t="shared" si="173"/>
        <v>0</v>
      </c>
      <c r="DF197" s="1818">
        <f t="shared" si="173"/>
        <v>0</v>
      </c>
      <c r="DG197" s="1818">
        <f t="shared" si="173"/>
        <v>0</v>
      </c>
      <c r="DH197" s="1818">
        <f t="shared" si="173"/>
        <v>0</v>
      </c>
      <c r="DI197" s="1818">
        <f t="shared" si="173"/>
        <v>0</v>
      </c>
      <c r="DJ197" s="1818">
        <f t="shared" si="173"/>
        <v>0</v>
      </c>
      <c r="DK197" s="1818">
        <f t="shared" si="173"/>
        <v>0</v>
      </c>
      <c r="DL197" s="1818">
        <f t="shared" si="173"/>
        <v>0</v>
      </c>
      <c r="DM197" s="1818">
        <f t="shared" si="173"/>
        <v>0</v>
      </c>
      <c r="DN197" s="1818">
        <f t="shared" si="173"/>
        <v>0</v>
      </c>
      <c r="DO197" s="1818">
        <f t="shared" si="173"/>
        <v>0</v>
      </c>
      <c r="DP197" s="1818">
        <f t="shared" si="173"/>
        <v>0</v>
      </c>
      <c r="DQ197" s="1818">
        <f t="shared" si="173"/>
        <v>0</v>
      </c>
      <c r="DR197" s="1818">
        <f t="shared" si="173"/>
        <v>0</v>
      </c>
      <c r="DS197" s="1818">
        <f t="shared" si="173"/>
        <v>0</v>
      </c>
      <c r="DT197" s="1818">
        <f t="shared" si="173"/>
        <v>0</v>
      </c>
      <c r="DU197" s="1818">
        <f t="shared" si="173"/>
        <v>0</v>
      </c>
      <c r="DV197" s="1818">
        <f t="shared" si="173"/>
        <v>0</v>
      </c>
      <c r="DW197" s="1818">
        <f t="shared" si="173"/>
        <v>0</v>
      </c>
      <c r="DX197" s="1818">
        <f t="shared" si="173"/>
        <v>0</v>
      </c>
      <c r="DY197" s="1818">
        <f t="shared" si="173"/>
        <v>0</v>
      </c>
      <c r="DZ197" s="1818">
        <f t="shared" si="173"/>
        <v>0</v>
      </c>
      <c r="EA197" s="1818">
        <f t="shared" si="173"/>
        <v>0</v>
      </c>
      <c r="EB197" s="1818">
        <f t="shared" si="173"/>
        <v>0</v>
      </c>
      <c r="EC197" s="1818">
        <f t="shared" si="173"/>
        <v>0</v>
      </c>
      <c r="ED197" s="1818">
        <f t="shared" si="173"/>
        <v>0</v>
      </c>
      <c r="EE197" s="1818">
        <f t="shared" si="173"/>
        <v>0</v>
      </c>
      <c r="EF197" s="1818">
        <f t="shared" si="173"/>
        <v>0</v>
      </c>
      <c r="EG197" s="1818">
        <f t="shared" si="173"/>
        <v>0</v>
      </c>
      <c r="EH197" s="1818">
        <f t="shared" si="173"/>
        <v>0</v>
      </c>
      <c r="EI197" s="1817">
        <f t="shared" ref="EI197:EI208" si="174">SUM(DD197:EH197)</f>
        <v>0</v>
      </c>
    </row>
    <row r="198" spans="1:139" ht="15">
      <c r="A198" s="1039" t="s">
        <v>74</v>
      </c>
      <c r="B198" s="1084">
        <f t="shared" si="163"/>
        <v>1.02</v>
      </c>
      <c r="C198" s="1973">
        <f t="shared" ref="C198:AG198" si="175">+(C86+C102+C118+C134+C150+C166+C182)</f>
        <v>1.02</v>
      </c>
      <c r="D198" s="1973">
        <f t="shared" si="175"/>
        <v>0</v>
      </c>
      <c r="E198" s="1973">
        <f t="shared" si="175"/>
        <v>0</v>
      </c>
      <c r="F198" s="1973">
        <f t="shared" si="175"/>
        <v>0</v>
      </c>
      <c r="G198" s="1973">
        <f t="shared" si="175"/>
        <v>0</v>
      </c>
      <c r="H198" s="1973">
        <f t="shared" si="175"/>
        <v>0</v>
      </c>
      <c r="I198" s="1973">
        <f t="shared" si="175"/>
        <v>0</v>
      </c>
      <c r="J198" s="1973">
        <f t="shared" si="175"/>
        <v>0</v>
      </c>
      <c r="K198" s="1973">
        <f t="shared" si="175"/>
        <v>0</v>
      </c>
      <c r="L198" s="1973">
        <f t="shared" si="175"/>
        <v>0</v>
      </c>
      <c r="M198" s="1973">
        <f t="shared" si="175"/>
        <v>0</v>
      </c>
      <c r="N198" s="1973">
        <f t="shared" si="175"/>
        <v>0</v>
      </c>
      <c r="O198" s="1973">
        <f t="shared" si="175"/>
        <v>0</v>
      </c>
      <c r="P198" s="1973">
        <f t="shared" si="175"/>
        <v>0</v>
      </c>
      <c r="Q198" s="1973">
        <f t="shared" si="175"/>
        <v>0</v>
      </c>
      <c r="R198" s="1973">
        <f t="shared" si="175"/>
        <v>0</v>
      </c>
      <c r="S198" s="1973">
        <f t="shared" si="175"/>
        <v>0</v>
      </c>
      <c r="T198" s="1973">
        <f t="shared" si="175"/>
        <v>0</v>
      </c>
      <c r="U198" s="1973">
        <f t="shared" si="175"/>
        <v>0</v>
      </c>
      <c r="V198" s="1973">
        <f t="shared" si="175"/>
        <v>0</v>
      </c>
      <c r="W198" s="1973">
        <f t="shared" si="175"/>
        <v>0</v>
      </c>
      <c r="X198" s="1973">
        <f t="shared" si="175"/>
        <v>0</v>
      </c>
      <c r="Y198" s="1973">
        <f t="shared" si="175"/>
        <v>0</v>
      </c>
      <c r="Z198" s="1973">
        <f t="shared" si="175"/>
        <v>0</v>
      </c>
      <c r="AA198" s="1973">
        <f t="shared" si="175"/>
        <v>0</v>
      </c>
      <c r="AB198" s="1973">
        <f t="shared" si="175"/>
        <v>0</v>
      </c>
      <c r="AC198" s="1973">
        <f t="shared" si="175"/>
        <v>0</v>
      </c>
      <c r="AD198" s="1973">
        <f t="shared" si="175"/>
        <v>0</v>
      </c>
      <c r="AE198" s="1973">
        <f t="shared" si="175"/>
        <v>0</v>
      </c>
      <c r="AF198" s="1973">
        <f t="shared" si="175"/>
        <v>0</v>
      </c>
      <c r="AG198" s="1973">
        <f t="shared" si="175"/>
        <v>0</v>
      </c>
      <c r="AH198" s="1974">
        <f t="shared" si="165"/>
        <v>1.02</v>
      </c>
      <c r="AJ198" s="1524" t="s">
        <v>74</v>
      </c>
      <c r="AK198" s="1527">
        <f t="shared" si="166"/>
        <v>2.1219999999999999</v>
      </c>
      <c r="AL198" s="1835">
        <f t="shared" ref="AL198:BP198" si="176">+(AL6+AL22+AL38+AL54+AL70+AL86+AL102+AL118+AL134+AL150+AL166+AL182)</f>
        <v>2.1219999999999999</v>
      </c>
      <c r="AM198" s="1835">
        <f t="shared" si="176"/>
        <v>0</v>
      </c>
      <c r="AN198" s="1835">
        <f t="shared" si="176"/>
        <v>0</v>
      </c>
      <c r="AO198" s="1835">
        <f t="shared" si="176"/>
        <v>0</v>
      </c>
      <c r="AP198" s="1835">
        <f t="shared" si="176"/>
        <v>0</v>
      </c>
      <c r="AQ198" s="1835">
        <f t="shared" si="176"/>
        <v>0</v>
      </c>
      <c r="AR198" s="1835">
        <f t="shared" si="176"/>
        <v>0</v>
      </c>
      <c r="AS198" s="1835">
        <f t="shared" si="176"/>
        <v>0</v>
      </c>
      <c r="AT198" s="1835">
        <f t="shared" si="176"/>
        <v>0</v>
      </c>
      <c r="AU198" s="1835">
        <f t="shared" si="176"/>
        <v>0</v>
      </c>
      <c r="AV198" s="1835">
        <f t="shared" si="176"/>
        <v>0</v>
      </c>
      <c r="AW198" s="1835">
        <f t="shared" si="176"/>
        <v>0</v>
      </c>
      <c r="AX198" s="1835">
        <f t="shared" si="176"/>
        <v>0</v>
      </c>
      <c r="AY198" s="1835">
        <f t="shared" si="176"/>
        <v>0</v>
      </c>
      <c r="AZ198" s="1835">
        <f t="shared" si="176"/>
        <v>0</v>
      </c>
      <c r="BA198" s="1835">
        <f t="shared" si="176"/>
        <v>0</v>
      </c>
      <c r="BB198" s="1835">
        <f t="shared" si="176"/>
        <v>0</v>
      </c>
      <c r="BC198" s="1835">
        <f t="shared" si="176"/>
        <v>0</v>
      </c>
      <c r="BD198" s="1835">
        <f t="shared" si="176"/>
        <v>0</v>
      </c>
      <c r="BE198" s="1835">
        <f t="shared" si="176"/>
        <v>0</v>
      </c>
      <c r="BF198" s="1835">
        <f t="shared" si="176"/>
        <v>0</v>
      </c>
      <c r="BG198" s="1835">
        <f t="shared" si="176"/>
        <v>0</v>
      </c>
      <c r="BH198" s="1835">
        <f t="shared" si="176"/>
        <v>0</v>
      </c>
      <c r="BI198" s="1835">
        <f t="shared" si="176"/>
        <v>0</v>
      </c>
      <c r="BJ198" s="1835">
        <f t="shared" si="176"/>
        <v>0</v>
      </c>
      <c r="BK198" s="1835">
        <f t="shared" si="176"/>
        <v>0</v>
      </c>
      <c r="BL198" s="1835">
        <f t="shared" si="176"/>
        <v>0</v>
      </c>
      <c r="BM198" s="1835">
        <f t="shared" si="176"/>
        <v>0</v>
      </c>
      <c r="BN198" s="1835">
        <f t="shared" si="176"/>
        <v>0</v>
      </c>
      <c r="BO198" s="1835">
        <f t="shared" si="176"/>
        <v>0</v>
      </c>
      <c r="BP198" s="1835">
        <f t="shared" si="176"/>
        <v>0</v>
      </c>
      <c r="BQ198" s="1834">
        <f t="shared" si="168"/>
        <v>2.1219999999999999</v>
      </c>
      <c r="BS198" s="1621" t="s">
        <v>74</v>
      </c>
      <c r="BT198" s="1622">
        <f t="shared" si="169"/>
        <v>4.226</v>
      </c>
      <c r="BU198" s="1827">
        <f t="shared" ref="BU198:CY198" si="177">+(BU6+BU22+BU38+BU54+BU70+BU86+BU102+BU118+BU134+BU150+BU166+BU182)</f>
        <v>7.3000000000000009E-2</v>
      </c>
      <c r="BV198" s="1827">
        <f t="shared" si="177"/>
        <v>3.7999999999999999E-2</v>
      </c>
      <c r="BW198" s="1827">
        <f t="shared" si="177"/>
        <v>0.109</v>
      </c>
      <c r="BX198" s="1827">
        <f t="shared" si="177"/>
        <v>8.0000000000000071E-3</v>
      </c>
      <c r="BY198" s="1827">
        <f t="shared" si="177"/>
        <v>2.601</v>
      </c>
      <c r="BZ198" s="1827">
        <f t="shared" si="177"/>
        <v>0</v>
      </c>
      <c r="CA198" s="1827">
        <f t="shared" si="177"/>
        <v>0.16500000000000001</v>
      </c>
      <c r="CB198" s="1827">
        <f t="shared" si="177"/>
        <v>0.127</v>
      </c>
      <c r="CC198" s="1827">
        <f t="shared" si="177"/>
        <v>1.1000000000000003E-2</v>
      </c>
      <c r="CD198" s="1827">
        <f t="shared" si="177"/>
        <v>4.2999999999999997E-2</v>
      </c>
      <c r="CE198" s="1827">
        <f t="shared" si="177"/>
        <v>3.5000000000000003E-2</v>
      </c>
      <c r="CF198" s="1827">
        <f t="shared" si="177"/>
        <v>0.626</v>
      </c>
      <c r="CG198" s="1827">
        <f t="shared" si="177"/>
        <v>0.03</v>
      </c>
      <c r="CH198" s="1827">
        <f t="shared" si="177"/>
        <v>9.5000000000000001E-2</v>
      </c>
      <c r="CI198" s="1827">
        <f t="shared" si="177"/>
        <v>4.0000000000000036E-2</v>
      </c>
      <c r="CJ198" s="1827">
        <f t="shared" si="177"/>
        <v>3.6999999999999998E-2</v>
      </c>
      <c r="CK198" s="1827">
        <f t="shared" si="177"/>
        <v>2.0000000000000004E-2</v>
      </c>
      <c r="CL198" s="1827">
        <f t="shared" si="177"/>
        <v>2.4999999999999911E-2</v>
      </c>
      <c r="CM198" s="1827">
        <f t="shared" si="177"/>
        <v>6.9999999999998952E-3</v>
      </c>
      <c r="CN198" s="1827">
        <f t="shared" si="177"/>
        <v>0</v>
      </c>
      <c r="CO198" s="1827">
        <f t="shared" si="177"/>
        <v>6.5000000000000002E-2</v>
      </c>
      <c r="CP198" s="1827">
        <f t="shared" si="177"/>
        <v>0</v>
      </c>
      <c r="CQ198" s="1827">
        <f t="shared" si="177"/>
        <v>0</v>
      </c>
      <c r="CR198" s="1827">
        <f t="shared" si="177"/>
        <v>0</v>
      </c>
      <c r="CS198" s="1827">
        <f t="shared" si="177"/>
        <v>0</v>
      </c>
      <c r="CT198" s="1827">
        <f t="shared" si="177"/>
        <v>0</v>
      </c>
      <c r="CU198" s="1827">
        <f t="shared" si="177"/>
        <v>9.9999999999999985E-3</v>
      </c>
      <c r="CV198" s="1827">
        <f t="shared" si="177"/>
        <v>6.0999999999999999E-2</v>
      </c>
      <c r="CW198" s="1827">
        <f t="shared" si="177"/>
        <v>0</v>
      </c>
      <c r="CX198" s="1827">
        <f t="shared" si="177"/>
        <v>0</v>
      </c>
      <c r="CY198" s="1827">
        <f t="shared" si="177"/>
        <v>0</v>
      </c>
      <c r="CZ198" s="1826">
        <f t="shared" si="171"/>
        <v>4.226</v>
      </c>
      <c r="DB198" s="1719" t="s">
        <v>74</v>
      </c>
      <c r="DC198" s="1821">
        <f t="shared" si="172"/>
        <v>0</v>
      </c>
      <c r="DD198" s="1818">
        <f t="shared" ref="DD198:EH198" si="178">+(DD6+DD22+DD38+DD54+DD70+DD86+DD102+DD118+DD134+DD150+DD166+DD182)</f>
        <v>0</v>
      </c>
      <c r="DE198" s="1869">
        <f t="shared" si="178"/>
        <v>0</v>
      </c>
      <c r="DF198" s="1869">
        <f t="shared" si="178"/>
        <v>0</v>
      </c>
      <c r="DG198" s="1869">
        <f t="shared" si="178"/>
        <v>0</v>
      </c>
      <c r="DH198" s="1869">
        <f t="shared" si="178"/>
        <v>0</v>
      </c>
      <c r="DI198" s="1869">
        <f t="shared" si="178"/>
        <v>0</v>
      </c>
      <c r="DJ198" s="1869">
        <f t="shared" si="178"/>
        <v>0</v>
      </c>
      <c r="DK198" s="1869">
        <f t="shared" si="178"/>
        <v>0</v>
      </c>
      <c r="DL198" s="1869">
        <f t="shared" si="178"/>
        <v>0</v>
      </c>
      <c r="DM198" s="1869">
        <f t="shared" si="178"/>
        <v>0</v>
      </c>
      <c r="DN198" s="1869">
        <f t="shared" si="178"/>
        <v>0</v>
      </c>
      <c r="DO198" s="1869">
        <f t="shared" si="178"/>
        <v>0</v>
      </c>
      <c r="DP198" s="1869">
        <f t="shared" si="178"/>
        <v>0</v>
      </c>
      <c r="DQ198" s="1869">
        <f t="shared" si="178"/>
        <v>0</v>
      </c>
      <c r="DR198" s="1869">
        <f t="shared" si="178"/>
        <v>0</v>
      </c>
      <c r="DS198" s="1869">
        <f t="shared" si="178"/>
        <v>0</v>
      </c>
      <c r="DT198" s="1869">
        <f t="shared" si="178"/>
        <v>0</v>
      </c>
      <c r="DU198" s="1869">
        <f t="shared" si="178"/>
        <v>0</v>
      </c>
      <c r="DV198" s="1869">
        <f t="shared" si="178"/>
        <v>0</v>
      </c>
      <c r="DW198" s="1869">
        <f t="shared" si="178"/>
        <v>0</v>
      </c>
      <c r="DX198" s="1869">
        <f t="shared" si="178"/>
        <v>0</v>
      </c>
      <c r="DY198" s="1869">
        <f t="shared" si="178"/>
        <v>0</v>
      </c>
      <c r="DZ198" s="1818">
        <f t="shared" si="178"/>
        <v>0</v>
      </c>
      <c r="EA198" s="1818">
        <f t="shared" si="178"/>
        <v>0</v>
      </c>
      <c r="EB198" s="1818">
        <f t="shared" si="178"/>
        <v>0</v>
      </c>
      <c r="EC198" s="1818">
        <f t="shared" si="178"/>
        <v>0</v>
      </c>
      <c r="ED198" s="1818">
        <f t="shared" si="178"/>
        <v>0</v>
      </c>
      <c r="EE198" s="1818">
        <f t="shared" si="178"/>
        <v>0</v>
      </c>
      <c r="EF198" s="1818">
        <f t="shared" si="178"/>
        <v>0</v>
      </c>
      <c r="EG198" s="1818">
        <f t="shared" si="178"/>
        <v>0</v>
      </c>
      <c r="EH198" s="1818">
        <f t="shared" si="178"/>
        <v>0</v>
      </c>
      <c r="EI198" s="1817">
        <f t="shared" si="174"/>
        <v>0</v>
      </c>
    </row>
    <row r="199" spans="1:139" ht="15">
      <c r="A199" s="1039" t="s">
        <v>75</v>
      </c>
      <c r="B199" s="1084">
        <f t="shared" si="163"/>
        <v>0</v>
      </c>
      <c r="C199" s="1973">
        <f t="shared" ref="C199:AG199" si="179">+(C87+C103+C119+C135+C151+C167+C183)</f>
        <v>0</v>
      </c>
      <c r="D199" s="1973">
        <f t="shared" si="179"/>
        <v>0</v>
      </c>
      <c r="E199" s="1973">
        <f t="shared" si="179"/>
        <v>0</v>
      </c>
      <c r="F199" s="1973">
        <f t="shared" si="179"/>
        <v>0</v>
      </c>
      <c r="G199" s="1973">
        <f t="shared" si="179"/>
        <v>0</v>
      </c>
      <c r="H199" s="1973">
        <f t="shared" si="179"/>
        <v>0</v>
      </c>
      <c r="I199" s="1973">
        <f t="shared" si="179"/>
        <v>0</v>
      </c>
      <c r="J199" s="1973">
        <f t="shared" si="179"/>
        <v>0</v>
      </c>
      <c r="K199" s="1973">
        <f t="shared" si="179"/>
        <v>0</v>
      </c>
      <c r="L199" s="1973">
        <f t="shared" si="179"/>
        <v>0</v>
      </c>
      <c r="M199" s="1973">
        <f t="shared" si="179"/>
        <v>0</v>
      </c>
      <c r="N199" s="1973">
        <f t="shared" si="179"/>
        <v>0</v>
      </c>
      <c r="O199" s="1973">
        <f t="shared" si="179"/>
        <v>0</v>
      </c>
      <c r="P199" s="1973">
        <f t="shared" si="179"/>
        <v>0</v>
      </c>
      <c r="Q199" s="1973">
        <f t="shared" si="179"/>
        <v>0</v>
      </c>
      <c r="R199" s="1973">
        <f t="shared" si="179"/>
        <v>0</v>
      </c>
      <c r="S199" s="1973">
        <f t="shared" si="179"/>
        <v>0</v>
      </c>
      <c r="T199" s="1973">
        <f t="shared" si="179"/>
        <v>0</v>
      </c>
      <c r="U199" s="1973">
        <f t="shared" si="179"/>
        <v>0</v>
      </c>
      <c r="V199" s="1973">
        <f t="shared" si="179"/>
        <v>0</v>
      </c>
      <c r="W199" s="1973">
        <f t="shared" si="179"/>
        <v>0</v>
      </c>
      <c r="X199" s="1973">
        <f t="shared" si="179"/>
        <v>0</v>
      </c>
      <c r="Y199" s="1973">
        <f t="shared" si="179"/>
        <v>0</v>
      </c>
      <c r="Z199" s="1973">
        <f t="shared" si="179"/>
        <v>0</v>
      </c>
      <c r="AA199" s="1973">
        <f t="shared" si="179"/>
        <v>0</v>
      </c>
      <c r="AB199" s="1973">
        <f t="shared" si="179"/>
        <v>0</v>
      </c>
      <c r="AC199" s="1973">
        <f t="shared" si="179"/>
        <v>0</v>
      </c>
      <c r="AD199" s="1973">
        <f t="shared" si="179"/>
        <v>0</v>
      </c>
      <c r="AE199" s="1973">
        <f t="shared" si="179"/>
        <v>0</v>
      </c>
      <c r="AF199" s="1973">
        <f t="shared" si="179"/>
        <v>0</v>
      </c>
      <c r="AG199" s="1973">
        <f t="shared" si="179"/>
        <v>0</v>
      </c>
      <c r="AH199" s="1974">
        <f t="shared" si="165"/>
        <v>0</v>
      </c>
      <c r="AJ199" s="1524" t="s">
        <v>75</v>
      </c>
      <c r="AK199" s="1527">
        <f t="shared" si="166"/>
        <v>0</v>
      </c>
      <c r="AL199" s="1835">
        <f t="shared" ref="AL199:BP199" si="180">+(AL7+AL23+AL39+AL55+AL71+AL87+AL103+AL119+AL135+AL151+AL167+AL183)</f>
        <v>0</v>
      </c>
      <c r="AM199" s="1835">
        <f t="shared" si="180"/>
        <v>0</v>
      </c>
      <c r="AN199" s="1835">
        <f t="shared" si="180"/>
        <v>0</v>
      </c>
      <c r="AO199" s="1835">
        <f t="shared" si="180"/>
        <v>0</v>
      </c>
      <c r="AP199" s="1835">
        <f t="shared" si="180"/>
        <v>0</v>
      </c>
      <c r="AQ199" s="1835">
        <f t="shared" si="180"/>
        <v>0</v>
      </c>
      <c r="AR199" s="1835">
        <f t="shared" si="180"/>
        <v>0</v>
      </c>
      <c r="AS199" s="1835">
        <f t="shared" si="180"/>
        <v>0</v>
      </c>
      <c r="AT199" s="1835">
        <f t="shared" si="180"/>
        <v>0</v>
      </c>
      <c r="AU199" s="1835">
        <f t="shared" si="180"/>
        <v>0</v>
      </c>
      <c r="AV199" s="1835">
        <f t="shared" si="180"/>
        <v>0</v>
      </c>
      <c r="AW199" s="1835">
        <f t="shared" si="180"/>
        <v>0</v>
      </c>
      <c r="AX199" s="1835">
        <f t="shared" si="180"/>
        <v>0</v>
      </c>
      <c r="AY199" s="1835">
        <f t="shared" si="180"/>
        <v>0</v>
      </c>
      <c r="AZ199" s="1835">
        <f t="shared" si="180"/>
        <v>0</v>
      </c>
      <c r="BA199" s="1835">
        <f t="shared" si="180"/>
        <v>0</v>
      </c>
      <c r="BB199" s="1835">
        <f t="shared" si="180"/>
        <v>0</v>
      </c>
      <c r="BC199" s="1835">
        <f t="shared" si="180"/>
        <v>0</v>
      </c>
      <c r="BD199" s="1835">
        <f t="shared" si="180"/>
        <v>0</v>
      </c>
      <c r="BE199" s="1835">
        <f t="shared" si="180"/>
        <v>0</v>
      </c>
      <c r="BF199" s="1835">
        <f t="shared" si="180"/>
        <v>0</v>
      </c>
      <c r="BG199" s="1835">
        <f t="shared" si="180"/>
        <v>0</v>
      </c>
      <c r="BH199" s="1835">
        <f t="shared" si="180"/>
        <v>0</v>
      </c>
      <c r="BI199" s="1835">
        <f t="shared" si="180"/>
        <v>0</v>
      </c>
      <c r="BJ199" s="1835">
        <f t="shared" si="180"/>
        <v>0</v>
      </c>
      <c r="BK199" s="1835">
        <f t="shared" si="180"/>
        <v>0</v>
      </c>
      <c r="BL199" s="1835">
        <f t="shared" si="180"/>
        <v>0</v>
      </c>
      <c r="BM199" s="1835">
        <f t="shared" si="180"/>
        <v>0</v>
      </c>
      <c r="BN199" s="1835">
        <f t="shared" si="180"/>
        <v>0</v>
      </c>
      <c r="BO199" s="1835">
        <f t="shared" si="180"/>
        <v>0</v>
      </c>
      <c r="BP199" s="1835">
        <f t="shared" si="180"/>
        <v>0</v>
      </c>
      <c r="BQ199" s="1834">
        <f t="shared" si="168"/>
        <v>0</v>
      </c>
      <c r="BS199" s="1621" t="s">
        <v>75</v>
      </c>
      <c r="BT199" s="1622">
        <f t="shared" si="169"/>
        <v>1.6489999999999996</v>
      </c>
      <c r="BU199" s="1827">
        <f t="shared" ref="BU199:CY199" si="181">+(BU7+BU23+BU39+BU55+BU71+BU87+BU103+BU119+BU135+BU151+BU167+BU183)</f>
        <v>1.9999999999999997E-2</v>
      </c>
      <c r="BV199" s="1827">
        <f t="shared" si="181"/>
        <v>0.01</v>
      </c>
      <c r="BW199" s="1827">
        <f t="shared" si="181"/>
        <v>0</v>
      </c>
      <c r="BX199" s="1827">
        <f t="shared" si="181"/>
        <v>1.319</v>
      </c>
      <c r="BY199" s="1827">
        <f t="shared" si="181"/>
        <v>0.01</v>
      </c>
      <c r="BZ199" s="1827">
        <f t="shared" si="181"/>
        <v>2.4999999999999998E-2</v>
      </c>
      <c r="CA199" s="1827">
        <f t="shared" si="181"/>
        <v>0</v>
      </c>
      <c r="CB199" s="1827">
        <f t="shared" si="181"/>
        <v>0.02</v>
      </c>
      <c r="CC199" s="1827">
        <f t="shared" si="181"/>
        <v>0</v>
      </c>
      <c r="CD199" s="1827">
        <f t="shared" si="181"/>
        <v>0.01</v>
      </c>
      <c r="CE199" s="1827">
        <f t="shared" si="181"/>
        <v>0.04</v>
      </c>
      <c r="CF199" s="1827">
        <f t="shared" si="181"/>
        <v>1.4999999999999999E-2</v>
      </c>
      <c r="CG199" s="1827">
        <f t="shared" si="181"/>
        <v>9.999999999999995E-3</v>
      </c>
      <c r="CH199" s="1827">
        <f t="shared" si="181"/>
        <v>9.999999999999995E-3</v>
      </c>
      <c r="CI199" s="1827">
        <f t="shared" si="181"/>
        <v>2.4999999999999994E-2</v>
      </c>
      <c r="CJ199" s="1827">
        <f t="shared" si="181"/>
        <v>0</v>
      </c>
      <c r="CK199" s="1827">
        <f t="shared" si="181"/>
        <v>0</v>
      </c>
      <c r="CL199" s="1827">
        <f t="shared" si="181"/>
        <v>0</v>
      </c>
      <c r="CM199" s="1827">
        <f t="shared" si="181"/>
        <v>0</v>
      </c>
      <c r="CN199" s="1827">
        <f t="shared" si="181"/>
        <v>0</v>
      </c>
      <c r="CO199" s="1827">
        <f t="shared" si="181"/>
        <v>4.4999999999999998E-2</v>
      </c>
      <c r="CP199" s="1827">
        <f t="shared" si="181"/>
        <v>0.03</v>
      </c>
      <c r="CQ199" s="1827">
        <f t="shared" si="181"/>
        <v>0</v>
      </c>
      <c r="CR199" s="1827">
        <f t="shared" si="181"/>
        <v>0</v>
      </c>
      <c r="CS199" s="1827">
        <f t="shared" si="181"/>
        <v>1.4999999999999999E-2</v>
      </c>
      <c r="CT199" s="1827">
        <f t="shared" si="181"/>
        <v>0</v>
      </c>
      <c r="CU199" s="1827">
        <f t="shared" si="181"/>
        <v>0</v>
      </c>
      <c r="CV199" s="1827">
        <f t="shared" si="181"/>
        <v>0</v>
      </c>
      <c r="CW199" s="1827">
        <f t="shared" si="181"/>
        <v>4.4999999999999984E-2</v>
      </c>
      <c r="CX199" s="1827">
        <f t="shared" si="181"/>
        <v>0</v>
      </c>
      <c r="CY199" s="1827">
        <f t="shared" si="181"/>
        <v>0</v>
      </c>
      <c r="CZ199" s="1826">
        <f t="shared" si="171"/>
        <v>1.6489999999999996</v>
      </c>
      <c r="DB199" s="1719" t="s">
        <v>75</v>
      </c>
      <c r="DC199" s="1821">
        <f t="shared" si="172"/>
        <v>0</v>
      </c>
      <c r="DD199" s="1854">
        <f t="shared" ref="DD199:EH199" si="182">+(DD7+DD23+DD39+DD55+DD71+DD87+DD103+DD119+DD135+DD151+DD167+DD183)</f>
        <v>0</v>
      </c>
      <c r="DE199" s="1854">
        <f t="shared" si="182"/>
        <v>0</v>
      </c>
      <c r="DF199" s="1867">
        <f t="shared" si="182"/>
        <v>0</v>
      </c>
      <c r="DG199" s="1866">
        <f t="shared" si="182"/>
        <v>0</v>
      </c>
      <c r="DH199" s="1865">
        <f t="shared" si="182"/>
        <v>0</v>
      </c>
      <c r="DI199" s="1855">
        <f t="shared" si="182"/>
        <v>0</v>
      </c>
      <c r="DJ199" s="1855">
        <f t="shared" si="182"/>
        <v>0</v>
      </c>
      <c r="DK199" s="1854">
        <f t="shared" si="182"/>
        <v>0</v>
      </c>
      <c r="DL199" s="1854">
        <f t="shared" si="182"/>
        <v>0</v>
      </c>
      <c r="DM199" s="1854">
        <f t="shared" si="182"/>
        <v>0</v>
      </c>
      <c r="DN199" s="1854">
        <f t="shared" si="182"/>
        <v>0</v>
      </c>
      <c r="DO199" s="1854">
        <f t="shared" si="182"/>
        <v>0</v>
      </c>
      <c r="DP199" s="1854">
        <f t="shared" si="182"/>
        <v>0</v>
      </c>
      <c r="DQ199" s="1855">
        <f t="shared" si="182"/>
        <v>0</v>
      </c>
      <c r="DR199" s="1855">
        <f t="shared" si="182"/>
        <v>0</v>
      </c>
      <c r="DS199" s="1855">
        <f t="shared" si="182"/>
        <v>0</v>
      </c>
      <c r="DT199" s="1855">
        <f t="shared" si="182"/>
        <v>0</v>
      </c>
      <c r="DU199" s="1855">
        <f t="shared" si="182"/>
        <v>0</v>
      </c>
      <c r="DV199" s="1855">
        <f t="shared" si="182"/>
        <v>0</v>
      </c>
      <c r="DW199" s="1855">
        <f t="shared" si="182"/>
        <v>0</v>
      </c>
      <c r="DX199" s="1855">
        <f t="shared" si="182"/>
        <v>0</v>
      </c>
      <c r="DY199" s="1855">
        <f t="shared" si="182"/>
        <v>0</v>
      </c>
      <c r="DZ199" s="1855">
        <f t="shared" si="182"/>
        <v>0</v>
      </c>
      <c r="EA199" s="1855">
        <f t="shared" si="182"/>
        <v>0</v>
      </c>
      <c r="EB199" s="1855">
        <f t="shared" si="182"/>
        <v>0</v>
      </c>
      <c r="EC199" s="1855">
        <f t="shared" si="182"/>
        <v>0</v>
      </c>
      <c r="ED199" s="1855">
        <f t="shared" si="182"/>
        <v>0</v>
      </c>
      <c r="EE199" s="1855">
        <f t="shared" si="182"/>
        <v>0</v>
      </c>
      <c r="EF199" s="1864">
        <f t="shared" si="182"/>
        <v>0</v>
      </c>
      <c r="EG199" s="1854">
        <f t="shared" si="182"/>
        <v>0</v>
      </c>
      <c r="EH199" s="1854">
        <f t="shared" si="182"/>
        <v>0</v>
      </c>
      <c r="EI199" s="1817">
        <f t="shared" si="174"/>
        <v>0</v>
      </c>
    </row>
    <row r="200" spans="1:139" ht="15">
      <c r="A200" s="1039" t="s">
        <v>76</v>
      </c>
      <c r="B200" s="1084">
        <f t="shared" si="163"/>
        <v>0</v>
      </c>
      <c r="C200" s="1973">
        <f t="shared" ref="C200:AG200" si="183">+(C88+C104+C120+C136+C152+C168+C184)</f>
        <v>0</v>
      </c>
      <c r="D200" s="1973">
        <f t="shared" si="183"/>
        <v>0</v>
      </c>
      <c r="E200" s="1973">
        <f t="shared" si="183"/>
        <v>0</v>
      </c>
      <c r="F200" s="1973">
        <f t="shared" si="183"/>
        <v>0</v>
      </c>
      <c r="G200" s="1973">
        <f t="shared" si="183"/>
        <v>0</v>
      </c>
      <c r="H200" s="1973">
        <f t="shared" si="183"/>
        <v>0</v>
      </c>
      <c r="I200" s="1973">
        <f t="shared" si="183"/>
        <v>0</v>
      </c>
      <c r="J200" s="1973">
        <f t="shared" si="183"/>
        <v>0</v>
      </c>
      <c r="K200" s="1973">
        <f t="shared" si="183"/>
        <v>0</v>
      </c>
      <c r="L200" s="1973">
        <f t="shared" si="183"/>
        <v>0</v>
      </c>
      <c r="M200" s="1973">
        <f t="shared" si="183"/>
        <v>0</v>
      </c>
      <c r="N200" s="1973">
        <f t="shared" si="183"/>
        <v>0</v>
      </c>
      <c r="O200" s="1973">
        <f t="shared" si="183"/>
        <v>0</v>
      </c>
      <c r="P200" s="1973">
        <f t="shared" si="183"/>
        <v>0</v>
      </c>
      <c r="Q200" s="1973">
        <f t="shared" si="183"/>
        <v>0</v>
      </c>
      <c r="R200" s="1973">
        <f t="shared" si="183"/>
        <v>0</v>
      </c>
      <c r="S200" s="1973">
        <f t="shared" si="183"/>
        <v>0</v>
      </c>
      <c r="T200" s="1973">
        <f t="shared" si="183"/>
        <v>0</v>
      </c>
      <c r="U200" s="1973">
        <f t="shared" si="183"/>
        <v>0</v>
      </c>
      <c r="V200" s="1973">
        <f t="shared" si="183"/>
        <v>0</v>
      </c>
      <c r="W200" s="1973">
        <f t="shared" si="183"/>
        <v>0</v>
      </c>
      <c r="X200" s="1973">
        <f t="shared" si="183"/>
        <v>0</v>
      </c>
      <c r="Y200" s="1973">
        <f t="shared" si="183"/>
        <v>0</v>
      </c>
      <c r="Z200" s="1973">
        <f t="shared" si="183"/>
        <v>0</v>
      </c>
      <c r="AA200" s="1973">
        <f t="shared" si="183"/>
        <v>0</v>
      </c>
      <c r="AB200" s="1973">
        <f t="shared" si="183"/>
        <v>0</v>
      </c>
      <c r="AC200" s="1973">
        <f t="shared" si="183"/>
        <v>0</v>
      </c>
      <c r="AD200" s="1973">
        <f t="shared" si="183"/>
        <v>0</v>
      </c>
      <c r="AE200" s="1973">
        <f t="shared" si="183"/>
        <v>0</v>
      </c>
      <c r="AF200" s="1973">
        <f t="shared" si="183"/>
        <v>0</v>
      </c>
      <c r="AG200" s="1973">
        <f t="shared" si="183"/>
        <v>0</v>
      </c>
      <c r="AH200" s="1974">
        <f t="shared" si="165"/>
        <v>0</v>
      </c>
      <c r="AJ200" s="1524" t="s">
        <v>76</v>
      </c>
      <c r="AK200" s="1527">
        <f t="shared" si="166"/>
        <v>0</v>
      </c>
      <c r="AL200" s="1835">
        <f t="shared" ref="AL200:BP200" si="184">+(AL8+AL24+AL40+AL56+AL72+AL88+AL104+AL120+AL136+AL152+AL168+AL184)</f>
        <v>0</v>
      </c>
      <c r="AM200" s="1835">
        <f t="shared" si="184"/>
        <v>0</v>
      </c>
      <c r="AN200" s="1835">
        <f t="shared" si="184"/>
        <v>0</v>
      </c>
      <c r="AO200" s="1835">
        <f t="shared" si="184"/>
        <v>0</v>
      </c>
      <c r="AP200" s="1835">
        <f t="shared" si="184"/>
        <v>0</v>
      </c>
      <c r="AQ200" s="1835">
        <f t="shared" si="184"/>
        <v>0</v>
      </c>
      <c r="AR200" s="1835">
        <f t="shared" si="184"/>
        <v>0</v>
      </c>
      <c r="AS200" s="1835">
        <f t="shared" si="184"/>
        <v>0</v>
      </c>
      <c r="AT200" s="1835">
        <f t="shared" si="184"/>
        <v>0</v>
      </c>
      <c r="AU200" s="1835">
        <f t="shared" si="184"/>
        <v>0</v>
      </c>
      <c r="AV200" s="1835">
        <f t="shared" si="184"/>
        <v>0</v>
      </c>
      <c r="AW200" s="1835">
        <f t="shared" si="184"/>
        <v>0</v>
      </c>
      <c r="AX200" s="1835">
        <f t="shared" si="184"/>
        <v>0</v>
      </c>
      <c r="AY200" s="1835">
        <f t="shared" si="184"/>
        <v>0</v>
      </c>
      <c r="AZ200" s="1835">
        <f t="shared" si="184"/>
        <v>0</v>
      </c>
      <c r="BA200" s="1835">
        <f t="shared" si="184"/>
        <v>0</v>
      </c>
      <c r="BB200" s="1835">
        <f t="shared" si="184"/>
        <v>0</v>
      </c>
      <c r="BC200" s="1835">
        <f t="shared" si="184"/>
        <v>0</v>
      </c>
      <c r="BD200" s="1835">
        <f t="shared" si="184"/>
        <v>0</v>
      </c>
      <c r="BE200" s="1835">
        <f t="shared" si="184"/>
        <v>0</v>
      </c>
      <c r="BF200" s="1835">
        <f t="shared" si="184"/>
        <v>0</v>
      </c>
      <c r="BG200" s="1835">
        <f t="shared" si="184"/>
        <v>0</v>
      </c>
      <c r="BH200" s="1835">
        <f t="shared" si="184"/>
        <v>0</v>
      </c>
      <c r="BI200" s="1835">
        <f t="shared" si="184"/>
        <v>0</v>
      </c>
      <c r="BJ200" s="1835">
        <f t="shared" si="184"/>
        <v>0</v>
      </c>
      <c r="BK200" s="1835">
        <f t="shared" si="184"/>
        <v>0</v>
      </c>
      <c r="BL200" s="1835">
        <f t="shared" si="184"/>
        <v>0</v>
      </c>
      <c r="BM200" s="1835">
        <f t="shared" si="184"/>
        <v>0</v>
      </c>
      <c r="BN200" s="1835">
        <f t="shared" si="184"/>
        <v>0</v>
      </c>
      <c r="BO200" s="1835">
        <f t="shared" si="184"/>
        <v>0</v>
      </c>
      <c r="BP200" s="1835">
        <f t="shared" si="184"/>
        <v>0</v>
      </c>
      <c r="BQ200" s="1834">
        <f t="shared" si="168"/>
        <v>0</v>
      </c>
      <c r="BS200" s="1621" t="s">
        <v>76</v>
      </c>
      <c r="BT200" s="1622">
        <f t="shared" si="169"/>
        <v>0.26600000000000001</v>
      </c>
      <c r="BU200" s="1827">
        <f t="shared" ref="BU200:CY200" si="185">+(BU8+BU24+BU40+BU56+BU72+BU88+BU104+BU120+BU136+BU152+BU168+BU184)</f>
        <v>0</v>
      </c>
      <c r="BV200" s="1827">
        <f t="shared" si="185"/>
        <v>0</v>
      </c>
      <c r="BW200" s="1827">
        <f t="shared" si="185"/>
        <v>0.02</v>
      </c>
      <c r="BX200" s="1827">
        <f t="shared" si="185"/>
        <v>0</v>
      </c>
      <c r="BY200" s="1827">
        <f t="shared" si="185"/>
        <v>0</v>
      </c>
      <c r="BZ200" s="1827">
        <f t="shared" si="185"/>
        <v>0</v>
      </c>
      <c r="CA200" s="1827">
        <f t="shared" si="185"/>
        <v>0.04</v>
      </c>
      <c r="CB200" s="1827">
        <f t="shared" si="185"/>
        <v>0</v>
      </c>
      <c r="CC200" s="1827">
        <f t="shared" si="185"/>
        <v>0</v>
      </c>
      <c r="CD200" s="1827">
        <f t="shared" si="185"/>
        <v>0</v>
      </c>
      <c r="CE200" s="1827">
        <f t="shared" si="185"/>
        <v>0</v>
      </c>
      <c r="CF200" s="1827">
        <f t="shared" si="185"/>
        <v>0.04</v>
      </c>
      <c r="CG200" s="1827">
        <f t="shared" si="185"/>
        <v>0.02</v>
      </c>
      <c r="CH200" s="1827">
        <f t="shared" si="185"/>
        <v>0.02</v>
      </c>
      <c r="CI200" s="1827">
        <f t="shared" si="185"/>
        <v>0.03</v>
      </c>
      <c r="CJ200" s="1827">
        <f t="shared" si="185"/>
        <v>0.06</v>
      </c>
      <c r="CK200" s="1827">
        <f t="shared" si="185"/>
        <v>0.03</v>
      </c>
      <c r="CL200" s="1827">
        <f t="shared" si="185"/>
        <v>0</v>
      </c>
      <c r="CM200" s="1827">
        <f t="shared" si="185"/>
        <v>0</v>
      </c>
      <c r="CN200" s="1827">
        <f t="shared" si="185"/>
        <v>0</v>
      </c>
      <c r="CO200" s="1827">
        <f t="shared" si="185"/>
        <v>0</v>
      </c>
      <c r="CP200" s="1827">
        <f t="shared" si="185"/>
        <v>0</v>
      </c>
      <c r="CQ200" s="1827">
        <f t="shared" si="185"/>
        <v>0</v>
      </c>
      <c r="CR200" s="1827">
        <f t="shared" si="185"/>
        <v>0</v>
      </c>
      <c r="CS200" s="1827">
        <f t="shared" si="185"/>
        <v>6.0000000000000001E-3</v>
      </c>
      <c r="CT200" s="1827">
        <f t="shared" si="185"/>
        <v>0</v>
      </c>
      <c r="CU200" s="1827">
        <f t="shared" si="185"/>
        <v>0</v>
      </c>
      <c r="CV200" s="1827">
        <f t="shared" si="185"/>
        <v>0</v>
      </c>
      <c r="CW200" s="1827">
        <f t="shared" si="185"/>
        <v>0</v>
      </c>
      <c r="CX200" s="1827">
        <f t="shared" si="185"/>
        <v>0</v>
      </c>
      <c r="CY200" s="1827">
        <f t="shared" si="185"/>
        <v>0</v>
      </c>
      <c r="CZ200" s="1826">
        <f t="shared" si="171"/>
        <v>0.26600000000000001</v>
      </c>
      <c r="DB200" s="1719" t="s">
        <v>76</v>
      </c>
      <c r="DC200" s="1821">
        <f t="shared" si="172"/>
        <v>0</v>
      </c>
      <c r="DD200" s="1861">
        <f t="shared" ref="DD200:EH200" si="186">+(DD8+DD24+DD40+DD56+DD72+DD88+DD104+DD120+DD136+DD152+DD168+DD184)</f>
        <v>0</v>
      </c>
      <c r="DE200" s="1860">
        <f t="shared" si="186"/>
        <v>0</v>
      </c>
      <c r="DF200" s="1859">
        <f t="shared" si="186"/>
        <v>0</v>
      </c>
      <c r="DG200" s="1858">
        <f t="shared" si="186"/>
        <v>0</v>
      </c>
      <c r="DH200" s="1857">
        <f t="shared" si="186"/>
        <v>0</v>
      </c>
      <c r="DI200" s="1856">
        <f t="shared" si="186"/>
        <v>0</v>
      </c>
      <c r="DJ200" s="1855">
        <f t="shared" si="186"/>
        <v>0</v>
      </c>
      <c r="DK200" s="1855">
        <f t="shared" si="186"/>
        <v>0</v>
      </c>
      <c r="DL200" s="1855">
        <f t="shared" si="186"/>
        <v>0</v>
      </c>
      <c r="DM200" s="1855">
        <f t="shared" si="186"/>
        <v>0</v>
      </c>
      <c r="DN200" s="1854">
        <f t="shared" si="186"/>
        <v>0</v>
      </c>
      <c r="DO200" s="1854">
        <f t="shared" si="186"/>
        <v>0</v>
      </c>
      <c r="DP200" s="1854">
        <f t="shared" si="186"/>
        <v>0</v>
      </c>
      <c r="DQ200" s="1854">
        <f t="shared" si="186"/>
        <v>0</v>
      </c>
      <c r="DR200" s="1855">
        <f t="shared" si="186"/>
        <v>0</v>
      </c>
      <c r="DS200" s="1855">
        <f t="shared" si="186"/>
        <v>0</v>
      </c>
      <c r="DT200" s="1855">
        <f t="shared" si="186"/>
        <v>0</v>
      </c>
      <c r="DU200" s="1855">
        <f t="shared" si="186"/>
        <v>0</v>
      </c>
      <c r="DV200" s="1854">
        <f t="shared" si="186"/>
        <v>0</v>
      </c>
      <c r="DW200" s="1855">
        <f t="shared" si="186"/>
        <v>0</v>
      </c>
      <c r="DX200" s="1855">
        <f t="shared" si="186"/>
        <v>0</v>
      </c>
      <c r="DY200" s="1855">
        <f t="shared" si="186"/>
        <v>0</v>
      </c>
      <c r="DZ200" s="1855">
        <f t="shared" si="186"/>
        <v>0</v>
      </c>
      <c r="EA200" s="1855">
        <f t="shared" si="186"/>
        <v>0</v>
      </c>
      <c r="EB200" s="1855">
        <f t="shared" si="186"/>
        <v>0</v>
      </c>
      <c r="EC200" s="1855">
        <f t="shared" si="186"/>
        <v>0</v>
      </c>
      <c r="ED200" s="1854">
        <f t="shared" si="186"/>
        <v>0</v>
      </c>
      <c r="EE200" s="1855">
        <f t="shared" si="186"/>
        <v>0</v>
      </c>
      <c r="EF200" s="1855">
        <f t="shared" si="186"/>
        <v>0</v>
      </c>
      <c r="EG200" s="1854">
        <f t="shared" si="186"/>
        <v>0</v>
      </c>
      <c r="EH200" s="1854">
        <f t="shared" si="186"/>
        <v>0</v>
      </c>
      <c r="EI200" s="1817">
        <f t="shared" si="174"/>
        <v>0</v>
      </c>
    </row>
    <row r="201" spans="1:139" ht="15">
      <c r="A201" s="1039" t="s">
        <v>77</v>
      </c>
      <c r="B201" s="1084">
        <f t="shared" si="163"/>
        <v>0</v>
      </c>
      <c r="C201" s="1973">
        <f t="shared" ref="C201:AG201" si="187">+(C89+C105+C121+C137+C153+C169+C185)</f>
        <v>0</v>
      </c>
      <c r="D201" s="1973">
        <f t="shared" si="187"/>
        <v>0</v>
      </c>
      <c r="E201" s="1973">
        <f t="shared" si="187"/>
        <v>0</v>
      </c>
      <c r="F201" s="1973">
        <f t="shared" si="187"/>
        <v>0</v>
      </c>
      <c r="G201" s="1973">
        <f t="shared" si="187"/>
        <v>0</v>
      </c>
      <c r="H201" s="1973">
        <f t="shared" si="187"/>
        <v>0</v>
      </c>
      <c r="I201" s="1973">
        <f t="shared" si="187"/>
        <v>0</v>
      </c>
      <c r="J201" s="1973">
        <f t="shared" si="187"/>
        <v>0</v>
      </c>
      <c r="K201" s="1973">
        <f t="shared" si="187"/>
        <v>0</v>
      </c>
      <c r="L201" s="1973">
        <f t="shared" si="187"/>
        <v>0</v>
      </c>
      <c r="M201" s="1973">
        <f t="shared" si="187"/>
        <v>0</v>
      </c>
      <c r="N201" s="1973">
        <f t="shared" si="187"/>
        <v>0</v>
      </c>
      <c r="O201" s="1973">
        <f t="shared" si="187"/>
        <v>0</v>
      </c>
      <c r="P201" s="1973">
        <f t="shared" si="187"/>
        <v>0</v>
      </c>
      <c r="Q201" s="1973">
        <f t="shared" si="187"/>
        <v>0</v>
      </c>
      <c r="R201" s="1973">
        <f t="shared" si="187"/>
        <v>0</v>
      </c>
      <c r="S201" s="1973">
        <f t="shared" si="187"/>
        <v>0</v>
      </c>
      <c r="T201" s="1973">
        <f t="shared" si="187"/>
        <v>0</v>
      </c>
      <c r="U201" s="1973">
        <f t="shared" si="187"/>
        <v>0</v>
      </c>
      <c r="V201" s="1973">
        <f t="shared" si="187"/>
        <v>0</v>
      </c>
      <c r="W201" s="1973">
        <f t="shared" si="187"/>
        <v>0</v>
      </c>
      <c r="X201" s="1973">
        <f t="shared" si="187"/>
        <v>0</v>
      </c>
      <c r="Y201" s="1973">
        <f t="shared" si="187"/>
        <v>0</v>
      </c>
      <c r="Z201" s="1973">
        <f t="shared" si="187"/>
        <v>0</v>
      </c>
      <c r="AA201" s="1973">
        <f t="shared" si="187"/>
        <v>0</v>
      </c>
      <c r="AB201" s="1973">
        <f t="shared" si="187"/>
        <v>0</v>
      </c>
      <c r="AC201" s="1973">
        <f t="shared" si="187"/>
        <v>0</v>
      </c>
      <c r="AD201" s="1973">
        <f t="shared" si="187"/>
        <v>0</v>
      </c>
      <c r="AE201" s="1973">
        <f t="shared" si="187"/>
        <v>0</v>
      </c>
      <c r="AF201" s="1973">
        <f t="shared" si="187"/>
        <v>0</v>
      </c>
      <c r="AG201" s="1973">
        <f t="shared" si="187"/>
        <v>0</v>
      </c>
      <c r="AH201" s="1974">
        <f t="shared" si="165"/>
        <v>0</v>
      </c>
      <c r="AJ201" s="1524" t="s">
        <v>77</v>
      </c>
      <c r="AK201" s="1527">
        <f t="shared" si="166"/>
        <v>0</v>
      </c>
      <c r="AL201" s="1835">
        <f t="shared" ref="AL201:BP201" si="188">+(AL9+AL25+AL41+AL57+AL73+AL89+AL105+AL121+AL137+AL153+AL169+AL185)</f>
        <v>0</v>
      </c>
      <c r="AM201" s="1835">
        <f t="shared" si="188"/>
        <v>0</v>
      </c>
      <c r="AN201" s="1835">
        <f t="shared" si="188"/>
        <v>0</v>
      </c>
      <c r="AO201" s="1835">
        <f t="shared" si="188"/>
        <v>0</v>
      </c>
      <c r="AP201" s="1835">
        <f t="shared" si="188"/>
        <v>0</v>
      </c>
      <c r="AQ201" s="1835">
        <f t="shared" si="188"/>
        <v>0</v>
      </c>
      <c r="AR201" s="1835">
        <f t="shared" si="188"/>
        <v>0</v>
      </c>
      <c r="AS201" s="1835">
        <f t="shared" si="188"/>
        <v>0</v>
      </c>
      <c r="AT201" s="1835">
        <f t="shared" si="188"/>
        <v>0</v>
      </c>
      <c r="AU201" s="1835">
        <f t="shared" si="188"/>
        <v>0</v>
      </c>
      <c r="AV201" s="1835">
        <f t="shared" si="188"/>
        <v>0</v>
      </c>
      <c r="AW201" s="1835">
        <f t="shared" si="188"/>
        <v>0</v>
      </c>
      <c r="AX201" s="1835">
        <f t="shared" si="188"/>
        <v>0</v>
      </c>
      <c r="AY201" s="1835">
        <f t="shared" si="188"/>
        <v>0</v>
      </c>
      <c r="AZ201" s="1835">
        <f t="shared" si="188"/>
        <v>0</v>
      </c>
      <c r="BA201" s="1835">
        <f t="shared" si="188"/>
        <v>0</v>
      </c>
      <c r="BB201" s="1835">
        <f t="shared" si="188"/>
        <v>0</v>
      </c>
      <c r="BC201" s="1835">
        <f t="shared" si="188"/>
        <v>0</v>
      </c>
      <c r="BD201" s="1835">
        <f t="shared" si="188"/>
        <v>0</v>
      </c>
      <c r="BE201" s="1835">
        <f t="shared" si="188"/>
        <v>0</v>
      </c>
      <c r="BF201" s="1835">
        <f t="shared" si="188"/>
        <v>0</v>
      </c>
      <c r="BG201" s="1835">
        <f t="shared" si="188"/>
        <v>0</v>
      </c>
      <c r="BH201" s="1835">
        <f t="shared" si="188"/>
        <v>0</v>
      </c>
      <c r="BI201" s="1835">
        <f t="shared" si="188"/>
        <v>0</v>
      </c>
      <c r="BJ201" s="1835">
        <f t="shared" si="188"/>
        <v>0</v>
      </c>
      <c r="BK201" s="1835">
        <f t="shared" si="188"/>
        <v>0</v>
      </c>
      <c r="BL201" s="1835">
        <f t="shared" si="188"/>
        <v>0</v>
      </c>
      <c r="BM201" s="1835">
        <f t="shared" si="188"/>
        <v>0</v>
      </c>
      <c r="BN201" s="1835">
        <f t="shared" si="188"/>
        <v>0</v>
      </c>
      <c r="BO201" s="1835">
        <f t="shared" si="188"/>
        <v>0</v>
      </c>
      <c r="BP201" s="1835">
        <f t="shared" si="188"/>
        <v>0</v>
      </c>
      <c r="BQ201" s="1834">
        <f t="shared" si="168"/>
        <v>0</v>
      </c>
      <c r="BS201" s="1621" t="s">
        <v>77</v>
      </c>
      <c r="BT201" s="1622">
        <f t="shared" si="169"/>
        <v>0</v>
      </c>
      <c r="BU201" s="1827">
        <f t="shared" ref="BU201:CY201" si="189">+(BU9+BU25+BU41+BU57+BU73+BU89+BU105+BU121+BU137+BU153+BU169+BU185)</f>
        <v>0</v>
      </c>
      <c r="BV201" s="1827">
        <f t="shared" si="189"/>
        <v>0</v>
      </c>
      <c r="BW201" s="1827">
        <f t="shared" si="189"/>
        <v>0</v>
      </c>
      <c r="BX201" s="1827">
        <f t="shared" si="189"/>
        <v>0</v>
      </c>
      <c r="BY201" s="1827">
        <f t="shared" si="189"/>
        <v>0</v>
      </c>
      <c r="BZ201" s="1827">
        <f t="shared" si="189"/>
        <v>0</v>
      </c>
      <c r="CA201" s="1827">
        <f t="shared" si="189"/>
        <v>0</v>
      </c>
      <c r="CB201" s="1827">
        <f t="shared" si="189"/>
        <v>0</v>
      </c>
      <c r="CC201" s="1827">
        <f t="shared" si="189"/>
        <v>0</v>
      </c>
      <c r="CD201" s="1827">
        <f t="shared" si="189"/>
        <v>0</v>
      </c>
      <c r="CE201" s="1827">
        <f t="shared" si="189"/>
        <v>0</v>
      </c>
      <c r="CF201" s="1827">
        <f t="shared" si="189"/>
        <v>0</v>
      </c>
      <c r="CG201" s="1827">
        <f t="shared" si="189"/>
        <v>0</v>
      </c>
      <c r="CH201" s="1827">
        <f t="shared" si="189"/>
        <v>0</v>
      </c>
      <c r="CI201" s="1827">
        <f t="shared" si="189"/>
        <v>0</v>
      </c>
      <c r="CJ201" s="1827">
        <f t="shared" si="189"/>
        <v>0</v>
      </c>
      <c r="CK201" s="1827">
        <f t="shared" si="189"/>
        <v>0</v>
      </c>
      <c r="CL201" s="1827">
        <f t="shared" si="189"/>
        <v>0</v>
      </c>
      <c r="CM201" s="1827">
        <f t="shared" si="189"/>
        <v>0</v>
      </c>
      <c r="CN201" s="1827">
        <f t="shared" si="189"/>
        <v>0</v>
      </c>
      <c r="CO201" s="1827">
        <f t="shared" si="189"/>
        <v>0</v>
      </c>
      <c r="CP201" s="1827">
        <f t="shared" si="189"/>
        <v>0</v>
      </c>
      <c r="CQ201" s="1827">
        <f t="shared" si="189"/>
        <v>0</v>
      </c>
      <c r="CR201" s="1827">
        <f t="shared" si="189"/>
        <v>0</v>
      </c>
      <c r="CS201" s="1827">
        <f t="shared" si="189"/>
        <v>0</v>
      </c>
      <c r="CT201" s="1827">
        <f t="shared" si="189"/>
        <v>0</v>
      </c>
      <c r="CU201" s="1827">
        <f t="shared" si="189"/>
        <v>0</v>
      </c>
      <c r="CV201" s="1827">
        <f t="shared" si="189"/>
        <v>0</v>
      </c>
      <c r="CW201" s="1827">
        <f t="shared" si="189"/>
        <v>0</v>
      </c>
      <c r="CX201" s="1827">
        <f t="shared" si="189"/>
        <v>0</v>
      </c>
      <c r="CY201" s="1827">
        <f t="shared" si="189"/>
        <v>0</v>
      </c>
      <c r="CZ201" s="1826">
        <f t="shared" si="171"/>
        <v>0</v>
      </c>
      <c r="DB201" s="1719" t="s">
        <v>77</v>
      </c>
      <c r="DC201" s="1821">
        <f t="shared" si="172"/>
        <v>0</v>
      </c>
      <c r="DD201" s="1818">
        <f t="shared" ref="DD201:EH201" si="190">+(DD9+DD25+DD41+DD57+DD73+DD89+DD105+DD121+DD137+DD153+DD169+DD185)</f>
        <v>0</v>
      </c>
      <c r="DE201" s="1818">
        <f t="shared" si="190"/>
        <v>0</v>
      </c>
      <c r="DF201" s="1818">
        <f t="shared" si="190"/>
        <v>0</v>
      </c>
      <c r="DG201" s="1818">
        <f t="shared" si="190"/>
        <v>0</v>
      </c>
      <c r="DH201" s="1818">
        <f t="shared" si="190"/>
        <v>0</v>
      </c>
      <c r="DI201" s="1818">
        <f t="shared" si="190"/>
        <v>0</v>
      </c>
      <c r="DJ201" s="1818">
        <f t="shared" si="190"/>
        <v>0</v>
      </c>
      <c r="DK201" s="1818">
        <f t="shared" si="190"/>
        <v>0</v>
      </c>
      <c r="DL201" s="1818">
        <f t="shared" si="190"/>
        <v>0</v>
      </c>
      <c r="DM201" s="1818">
        <f t="shared" si="190"/>
        <v>0</v>
      </c>
      <c r="DN201" s="1818">
        <f t="shared" si="190"/>
        <v>0</v>
      </c>
      <c r="DO201" s="1818">
        <f t="shared" si="190"/>
        <v>0</v>
      </c>
      <c r="DP201" s="1818">
        <f t="shared" si="190"/>
        <v>0</v>
      </c>
      <c r="DQ201" s="1818">
        <f t="shared" si="190"/>
        <v>0</v>
      </c>
      <c r="DR201" s="1818">
        <f t="shared" si="190"/>
        <v>0</v>
      </c>
      <c r="DS201" s="1818">
        <f t="shared" si="190"/>
        <v>0</v>
      </c>
      <c r="DT201" s="1818">
        <f t="shared" si="190"/>
        <v>0</v>
      </c>
      <c r="DU201" s="1818">
        <f t="shared" si="190"/>
        <v>0</v>
      </c>
      <c r="DV201" s="1818">
        <f t="shared" si="190"/>
        <v>0</v>
      </c>
      <c r="DW201" s="1818">
        <f t="shared" si="190"/>
        <v>0</v>
      </c>
      <c r="DX201" s="1818">
        <f t="shared" si="190"/>
        <v>0</v>
      </c>
      <c r="DY201" s="1818">
        <f t="shared" si="190"/>
        <v>0</v>
      </c>
      <c r="DZ201" s="1818">
        <f t="shared" si="190"/>
        <v>0</v>
      </c>
      <c r="EA201" s="1818">
        <f t="shared" si="190"/>
        <v>0</v>
      </c>
      <c r="EB201" s="1818">
        <f t="shared" si="190"/>
        <v>0</v>
      </c>
      <c r="EC201" s="1818">
        <f t="shared" si="190"/>
        <v>0</v>
      </c>
      <c r="ED201" s="1818">
        <f t="shared" si="190"/>
        <v>0</v>
      </c>
      <c r="EE201" s="1818">
        <f t="shared" si="190"/>
        <v>0</v>
      </c>
      <c r="EF201" s="1818">
        <f t="shared" si="190"/>
        <v>0</v>
      </c>
      <c r="EG201" s="1818">
        <f t="shared" si="190"/>
        <v>0</v>
      </c>
      <c r="EH201" s="1818">
        <f t="shared" si="190"/>
        <v>0</v>
      </c>
      <c r="EI201" s="1817">
        <f t="shared" si="174"/>
        <v>0</v>
      </c>
    </row>
    <row r="202" spans="1:139" ht="15">
      <c r="A202" s="1039" t="s">
        <v>78</v>
      </c>
      <c r="B202" s="1084">
        <f t="shared" si="163"/>
        <v>0</v>
      </c>
      <c r="C202" s="1973">
        <f t="shared" ref="C202:AG202" si="191">+(C90+C106+C122+C138+C154+C170+C186)</f>
        <v>0</v>
      </c>
      <c r="D202" s="1973">
        <f t="shared" si="191"/>
        <v>0</v>
      </c>
      <c r="E202" s="1973">
        <f t="shared" si="191"/>
        <v>0</v>
      </c>
      <c r="F202" s="1973">
        <f t="shared" si="191"/>
        <v>0</v>
      </c>
      <c r="G202" s="1973">
        <f t="shared" si="191"/>
        <v>0</v>
      </c>
      <c r="H202" s="1973">
        <f t="shared" si="191"/>
        <v>0</v>
      </c>
      <c r="I202" s="1973">
        <f t="shared" si="191"/>
        <v>0</v>
      </c>
      <c r="J202" s="1973">
        <f t="shared" si="191"/>
        <v>0</v>
      </c>
      <c r="K202" s="1973">
        <f t="shared" si="191"/>
        <v>0</v>
      </c>
      <c r="L202" s="1973">
        <f t="shared" si="191"/>
        <v>0</v>
      </c>
      <c r="M202" s="1973">
        <f t="shared" si="191"/>
        <v>0</v>
      </c>
      <c r="N202" s="1973">
        <f t="shared" si="191"/>
        <v>0</v>
      </c>
      <c r="O202" s="1973">
        <f t="shared" si="191"/>
        <v>0</v>
      </c>
      <c r="P202" s="1973">
        <f t="shared" si="191"/>
        <v>0</v>
      </c>
      <c r="Q202" s="1973">
        <f t="shared" si="191"/>
        <v>0</v>
      </c>
      <c r="R202" s="1973">
        <f t="shared" si="191"/>
        <v>0</v>
      </c>
      <c r="S202" s="1973">
        <f t="shared" si="191"/>
        <v>0</v>
      </c>
      <c r="T202" s="1973">
        <f t="shared" si="191"/>
        <v>0</v>
      </c>
      <c r="U202" s="1973">
        <f t="shared" si="191"/>
        <v>0</v>
      </c>
      <c r="V202" s="1973">
        <f t="shared" si="191"/>
        <v>0</v>
      </c>
      <c r="W202" s="1973">
        <f t="shared" si="191"/>
        <v>0</v>
      </c>
      <c r="X202" s="1973">
        <f t="shared" si="191"/>
        <v>0</v>
      </c>
      <c r="Y202" s="1973">
        <f t="shared" si="191"/>
        <v>0</v>
      </c>
      <c r="Z202" s="1973">
        <f t="shared" si="191"/>
        <v>0</v>
      </c>
      <c r="AA202" s="1973">
        <f t="shared" si="191"/>
        <v>0</v>
      </c>
      <c r="AB202" s="1973">
        <f t="shared" si="191"/>
        <v>0</v>
      </c>
      <c r="AC202" s="1973">
        <f t="shared" si="191"/>
        <v>0</v>
      </c>
      <c r="AD202" s="1973">
        <f t="shared" si="191"/>
        <v>0</v>
      </c>
      <c r="AE202" s="1973">
        <f t="shared" si="191"/>
        <v>0</v>
      </c>
      <c r="AF202" s="1973">
        <f t="shared" si="191"/>
        <v>0</v>
      </c>
      <c r="AG202" s="1973">
        <f t="shared" si="191"/>
        <v>0</v>
      </c>
      <c r="AH202" s="1974">
        <f t="shared" si="165"/>
        <v>0</v>
      </c>
      <c r="AJ202" s="1524" t="s">
        <v>78</v>
      </c>
      <c r="AK202" s="1527">
        <f t="shared" si="166"/>
        <v>0</v>
      </c>
      <c r="AL202" s="1835">
        <f t="shared" ref="AL202:BP202" si="192">+(AL10+AL26+AL42+AL58+AL74+AL90+AL106+AL122+AL138+AL154+AL170+AL186)</f>
        <v>0</v>
      </c>
      <c r="AM202" s="1835">
        <f t="shared" si="192"/>
        <v>0</v>
      </c>
      <c r="AN202" s="1835">
        <f t="shared" si="192"/>
        <v>0</v>
      </c>
      <c r="AO202" s="1835">
        <f t="shared" si="192"/>
        <v>0</v>
      </c>
      <c r="AP202" s="1835">
        <f t="shared" si="192"/>
        <v>0</v>
      </c>
      <c r="AQ202" s="1835">
        <f t="shared" si="192"/>
        <v>0</v>
      </c>
      <c r="AR202" s="1835">
        <f t="shared" si="192"/>
        <v>0</v>
      </c>
      <c r="AS202" s="1835">
        <f t="shared" si="192"/>
        <v>0</v>
      </c>
      <c r="AT202" s="1835">
        <f t="shared" si="192"/>
        <v>0</v>
      </c>
      <c r="AU202" s="1835">
        <f t="shared" si="192"/>
        <v>0</v>
      </c>
      <c r="AV202" s="1835">
        <f t="shared" si="192"/>
        <v>0</v>
      </c>
      <c r="AW202" s="1835">
        <f t="shared" si="192"/>
        <v>0</v>
      </c>
      <c r="AX202" s="1835">
        <f t="shared" si="192"/>
        <v>0</v>
      </c>
      <c r="AY202" s="1835">
        <f t="shared" si="192"/>
        <v>0</v>
      </c>
      <c r="AZ202" s="1835">
        <f t="shared" si="192"/>
        <v>0</v>
      </c>
      <c r="BA202" s="1835">
        <f t="shared" si="192"/>
        <v>0</v>
      </c>
      <c r="BB202" s="1835">
        <f t="shared" si="192"/>
        <v>0</v>
      </c>
      <c r="BC202" s="1835">
        <f t="shared" si="192"/>
        <v>0</v>
      </c>
      <c r="BD202" s="1835">
        <f t="shared" si="192"/>
        <v>0</v>
      </c>
      <c r="BE202" s="1835">
        <f t="shared" si="192"/>
        <v>0</v>
      </c>
      <c r="BF202" s="1835">
        <f t="shared" si="192"/>
        <v>0</v>
      </c>
      <c r="BG202" s="1835">
        <f t="shared" si="192"/>
        <v>0</v>
      </c>
      <c r="BH202" s="1835">
        <f t="shared" si="192"/>
        <v>0</v>
      </c>
      <c r="BI202" s="1835">
        <f t="shared" si="192"/>
        <v>0</v>
      </c>
      <c r="BJ202" s="1835">
        <f t="shared" si="192"/>
        <v>0</v>
      </c>
      <c r="BK202" s="1835">
        <f t="shared" si="192"/>
        <v>0</v>
      </c>
      <c r="BL202" s="1835">
        <f t="shared" si="192"/>
        <v>0</v>
      </c>
      <c r="BM202" s="1835">
        <f t="shared" si="192"/>
        <v>0</v>
      </c>
      <c r="BN202" s="1835">
        <f t="shared" si="192"/>
        <v>0</v>
      </c>
      <c r="BO202" s="1835">
        <f t="shared" si="192"/>
        <v>0</v>
      </c>
      <c r="BP202" s="1835">
        <f t="shared" si="192"/>
        <v>0</v>
      </c>
      <c r="BQ202" s="1834">
        <f t="shared" si="168"/>
        <v>0</v>
      </c>
      <c r="BS202" s="1621" t="s">
        <v>78</v>
      </c>
      <c r="BT202" s="1622">
        <f t="shared" si="169"/>
        <v>1.4999999999999999E-2</v>
      </c>
      <c r="BU202" s="1827">
        <f t="shared" ref="BU202:CY202" si="193">+(BU10+BU26+BU42+BU58+BU74+BU90+BU106+BU122+BU138+BU154+BU170+BU186)</f>
        <v>0</v>
      </c>
      <c r="BV202" s="1827">
        <f t="shared" si="193"/>
        <v>0</v>
      </c>
      <c r="BW202" s="1827">
        <f t="shared" si="193"/>
        <v>0</v>
      </c>
      <c r="BX202" s="1827">
        <f t="shared" si="193"/>
        <v>0</v>
      </c>
      <c r="BY202" s="1827">
        <f t="shared" si="193"/>
        <v>0</v>
      </c>
      <c r="BZ202" s="1827">
        <f t="shared" si="193"/>
        <v>0</v>
      </c>
      <c r="CA202" s="1827">
        <f t="shared" si="193"/>
        <v>0</v>
      </c>
      <c r="CB202" s="1827">
        <f t="shared" si="193"/>
        <v>0</v>
      </c>
      <c r="CC202" s="1827">
        <f t="shared" si="193"/>
        <v>0</v>
      </c>
      <c r="CD202" s="1827">
        <f t="shared" si="193"/>
        <v>0</v>
      </c>
      <c r="CE202" s="1827">
        <f t="shared" si="193"/>
        <v>0</v>
      </c>
      <c r="CF202" s="1827">
        <f t="shared" si="193"/>
        <v>0</v>
      </c>
      <c r="CG202" s="1827">
        <f t="shared" si="193"/>
        <v>0</v>
      </c>
      <c r="CH202" s="1827">
        <f t="shared" si="193"/>
        <v>0</v>
      </c>
      <c r="CI202" s="1827">
        <f t="shared" si="193"/>
        <v>0</v>
      </c>
      <c r="CJ202" s="1827">
        <f t="shared" si="193"/>
        <v>0</v>
      </c>
      <c r="CK202" s="1827">
        <f t="shared" si="193"/>
        <v>0</v>
      </c>
      <c r="CL202" s="1827">
        <f t="shared" si="193"/>
        <v>0</v>
      </c>
      <c r="CM202" s="1827">
        <f t="shared" si="193"/>
        <v>0</v>
      </c>
      <c r="CN202" s="1827">
        <f t="shared" si="193"/>
        <v>0</v>
      </c>
      <c r="CO202" s="1827">
        <f t="shared" si="193"/>
        <v>0</v>
      </c>
      <c r="CP202" s="1827">
        <f t="shared" si="193"/>
        <v>0</v>
      </c>
      <c r="CQ202" s="1827">
        <f t="shared" si="193"/>
        <v>1.4999999999999999E-2</v>
      </c>
      <c r="CR202" s="1827">
        <f t="shared" si="193"/>
        <v>0</v>
      </c>
      <c r="CS202" s="1827">
        <f t="shared" si="193"/>
        <v>0</v>
      </c>
      <c r="CT202" s="1827">
        <f t="shared" si="193"/>
        <v>0</v>
      </c>
      <c r="CU202" s="1827">
        <f t="shared" si="193"/>
        <v>0</v>
      </c>
      <c r="CV202" s="1827">
        <f t="shared" si="193"/>
        <v>0</v>
      </c>
      <c r="CW202" s="1827">
        <f t="shared" si="193"/>
        <v>0</v>
      </c>
      <c r="CX202" s="1827">
        <f t="shared" si="193"/>
        <v>0</v>
      </c>
      <c r="CY202" s="1827">
        <f t="shared" si="193"/>
        <v>0</v>
      </c>
      <c r="CZ202" s="1826">
        <f t="shared" si="171"/>
        <v>1.4999999999999999E-2</v>
      </c>
      <c r="DB202" s="1719" t="s">
        <v>78</v>
      </c>
      <c r="DC202" s="1821">
        <f t="shared" si="172"/>
        <v>0</v>
      </c>
      <c r="DD202" s="1818">
        <f t="shared" ref="DD202:EH202" si="194">+(DD10+DD26+DD42+DD58+DD74+DD90+DD106+DD122+DD138+DD154+DD170+DD186)</f>
        <v>0</v>
      </c>
      <c r="DE202" s="1818">
        <f t="shared" si="194"/>
        <v>0</v>
      </c>
      <c r="DF202" s="1818">
        <f t="shared" si="194"/>
        <v>0</v>
      </c>
      <c r="DG202" s="1818">
        <f t="shared" si="194"/>
        <v>0</v>
      </c>
      <c r="DH202" s="1818">
        <f t="shared" si="194"/>
        <v>0</v>
      </c>
      <c r="DI202" s="1818">
        <f t="shared" si="194"/>
        <v>0</v>
      </c>
      <c r="DJ202" s="1818">
        <f t="shared" si="194"/>
        <v>0</v>
      </c>
      <c r="DK202" s="1818">
        <f t="shared" si="194"/>
        <v>0</v>
      </c>
      <c r="DL202" s="1818">
        <f t="shared" si="194"/>
        <v>0</v>
      </c>
      <c r="DM202" s="1818">
        <f t="shared" si="194"/>
        <v>0</v>
      </c>
      <c r="DN202" s="1818">
        <f t="shared" si="194"/>
        <v>0</v>
      </c>
      <c r="DO202" s="1818">
        <f t="shared" si="194"/>
        <v>0</v>
      </c>
      <c r="DP202" s="1818">
        <f t="shared" si="194"/>
        <v>0</v>
      </c>
      <c r="DQ202" s="1818">
        <f t="shared" si="194"/>
        <v>0</v>
      </c>
      <c r="DR202" s="1818">
        <f t="shared" si="194"/>
        <v>0</v>
      </c>
      <c r="DS202" s="1818">
        <f t="shared" si="194"/>
        <v>0</v>
      </c>
      <c r="DT202" s="1818">
        <f t="shared" si="194"/>
        <v>0</v>
      </c>
      <c r="DU202" s="1818">
        <f t="shared" si="194"/>
        <v>0</v>
      </c>
      <c r="DV202" s="1818">
        <f t="shared" si="194"/>
        <v>0</v>
      </c>
      <c r="DW202" s="1818">
        <f t="shared" si="194"/>
        <v>0</v>
      </c>
      <c r="DX202" s="1818">
        <f t="shared" si="194"/>
        <v>0</v>
      </c>
      <c r="DY202" s="1818">
        <f t="shared" si="194"/>
        <v>0</v>
      </c>
      <c r="DZ202" s="1818">
        <f t="shared" si="194"/>
        <v>0</v>
      </c>
      <c r="EA202" s="1818">
        <f t="shared" si="194"/>
        <v>0</v>
      </c>
      <c r="EB202" s="1818">
        <f t="shared" si="194"/>
        <v>0</v>
      </c>
      <c r="EC202" s="1818">
        <f t="shared" si="194"/>
        <v>0</v>
      </c>
      <c r="ED202" s="1818">
        <f t="shared" si="194"/>
        <v>0</v>
      </c>
      <c r="EE202" s="1818">
        <f t="shared" si="194"/>
        <v>0</v>
      </c>
      <c r="EF202" s="1818">
        <f t="shared" si="194"/>
        <v>0</v>
      </c>
      <c r="EG202" s="1818">
        <f t="shared" si="194"/>
        <v>0</v>
      </c>
      <c r="EH202" s="1818">
        <f t="shared" si="194"/>
        <v>0</v>
      </c>
      <c r="EI202" s="1817">
        <f t="shared" si="174"/>
        <v>0</v>
      </c>
    </row>
    <row r="203" spans="1:139" ht="15">
      <c r="A203" s="1039" t="s">
        <v>79</v>
      </c>
      <c r="B203" s="1084">
        <f t="shared" si="163"/>
        <v>0</v>
      </c>
      <c r="C203" s="1973">
        <f t="shared" ref="C203:AG203" si="195">+(C91+C107+C123+C139+C155+C171+C187)</f>
        <v>0</v>
      </c>
      <c r="D203" s="1973">
        <f t="shared" si="195"/>
        <v>0</v>
      </c>
      <c r="E203" s="1973">
        <f t="shared" si="195"/>
        <v>0</v>
      </c>
      <c r="F203" s="1973">
        <f t="shared" si="195"/>
        <v>0</v>
      </c>
      <c r="G203" s="1973">
        <f t="shared" si="195"/>
        <v>0</v>
      </c>
      <c r="H203" s="1973">
        <f t="shared" si="195"/>
        <v>0</v>
      </c>
      <c r="I203" s="1973">
        <f t="shared" si="195"/>
        <v>0</v>
      </c>
      <c r="J203" s="1973">
        <f t="shared" si="195"/>
        <v>0</v>
      </c>
      <c r="K203" s="1973">
        <f t="shared" si="195"/>
        <v>0</v>
      </c>
      <c r="L203" s="1973">
        <f t="shared" si="195"/>
        <v>0</v>
      </c>
      <c r="M203" s="1973">
        <f t="shared" si="195"/>
        <v>0</v>
      </c>
      <c r="N203" s="1973">
        <f t="shared" si="195"/>
        <v>0</v>
      </c>
      <c r="O203" s="1973">
        <f t="shared" si="195"/>
        <v>0</v>
      </c>
      <c r="P203" s="1973">
        <f t="shared" si="195"/>
        <v>0</v>
      </c>
      <c r="Q203" s="1973">
        <f t="shared" si="195"/>
        <v>0</v>
      </c>
      <c r="R203" s="1973">
        <f t="shared" si="195"/>
        <v>0</v>
      </c>
      <c r="S203" s="1973">
        <f t="shared" si="195"/>
        <v>0</v>
      </c>
      <c r="T203" s="1973">
        <f t="shared" si="195"/>
        <v>0</v>
      </c>
      <c r="U203" s="1973">
        <f t="shared" si="195"/>
        <v>0</v>
      </c>
      <c r="V203" s="1973">
        <f t="shared" si="195"/>
        <v>0</v>
      </c>
      <c r="W203" s="1973">
        <f t="shared" si="195"/>
        <v>0</v>
      </c>
      <c r="X203" s="1973">
        <f t="shared" si="195"/>
        <v>0</v>
      </c>
      <c r="Y203" s="1973">
        <f t="shared" si="195"/>
        <v>0</v>
      </c>
      <c r="Z203" s="1973">
        <f t="shared" si="195"/>
        <v>0</v>
      </c>
      <c r="AA203" s="1973">
        <f t="shared" si="195"/>
        <v>0</v>
      </c>
      <c r="AB203" s="1973">
        <f t="shared" si="195"/>
        <v>0</v>
      </c>
      <c r="AC203" s="1973">
        <f t="shared" si="195"/>
        <v>0</v>
      </c>
      <c r="AD203" s="1973">
        <f t="shared" si="195"/>
        <v>0</v>
      </c>
      <c r="AE203" s="1973">
        <f t="shared" si="195"/>
        <v>0</v>
      </c>
      <c r="AF203" s="1973">
        <f t="shared" si="195"/>
        <v>0</v>
      </c>
      <c r="AG203" s="1973">
        <f t="shared" si="195"/>
        <v>0</v>
      </c>
      <c r="AH203" s="1974">
        <f t="shared" si="165"/>
        <v>0</v>
      </c>
      <c r="AJ203" s="1524" t="s">
        <v>79</v>
      </c>
      <c r="AK203" s="1527">
        <f t="shared" si="166"/>
        <v>0</v>
      </c>
      <c r="AL203" s="1835">
        <f t="shared" ref="AL203:BP203" si="196">+(AL11+AL27+AL43+AL59+AL75+AL91+AL107+AL123+AL139+AL155+AL171+AL187)</f>
        <v>0</v>
      </c>
      <c r="AM203" s="1835">
        <f t="shared" si="196"/>
        <v>0</v>
      </c>
      <c r="AN203" s="1835">
        <f t="shared" si="196"/>
        <v>0</v>
      </c>
      <c r="AO203" s="1835">
        <f t="shared" si="196"/>
        <v>0</v>
      </c>
      <c r="AP203" s="1835">
        <f t="shared" si="196"/>
        <v>0</v>
      </c>
      <c r="AQ203" s="1835">
        <f t="shared" si="196"/>
        <v>0</v>
      </c>
      <c r="AR203" s="1835">
        <f t="shared" si="196"/>
        <v>0</v>
      </c>
      <c r="AS203" s="1835">
        <f t="shared" si="196"/>
        <v>0</v>
      </c>
      <c r="AT203" s="1835">
        <f t="shared" si="196"/>
        <v>0</v>
      </c>
      <c r="AU203" s="1835">
        <f t="shared" si="196"/>
        <v>0</v>
      </c>
      <c r="AV203" s="1835">
        <f t="shared" si="196"/>
        <v>0</v>
      </c>
      <c r="AW203" s="1835">
        <f t="shared" si="196"/>
        <v>0</v>
      </c>
      <c r="AX203" s="1835">
        <f t="shared" si="196"/>
        <v>0</v>
      </c>
      <c r="AY203" s="1835">
        <f t="shared" si="196"/>
        <v>0</v>
      </c>
      <c r="AZ203" s="1835">
        <f t="shared" si="196"/>
        <v>0</v>
      </c>
      <c r="BA203" s="1835">
        <f t="shared" si="196"/>
        <v>0</v>
      </c>
      <c r="BB203" s="1835">
        <f t="shared" si="196"/>
        <v>0</v>
      </c>
      <c r="BC203" s="1835">
        <f t="shared" si="196"/>
        <v>0</v>
      </c>
      <c r="BD203" s="1835">
        <f t="shared" si="196"/>
        <v>0</v>
      </c>
      <c r="BE203" s="1835">
        <f t="shared" si="196"/>
        <v>0</v>
      </c>
      <c r="BF203" s="1835">
        <f t="shared" si="196"/>
        <v>0</v>
      </c>
      <c r="BG203" s="1835">
        <f t="shared" si="196"/>
        <v>0</v>
      </c>
      <c r="BH203" s="1835">
        <f t="shared" si="196"/>
        <v>0</v>
      </c>
      <c r="BI203" s="1835">
        <f t="shared" si="196"/>
        <v>0</v>
      </c>
      <c r="BJ203" s="1835">
        <f t="shared" si="196"/>
        <v>0</v>
      </c>
      <c r="BK203" s="1835">
        <f t="shared" si="196"/>
        <v>0</v>
      </c>
      <c r="BL203" s="1835">
        <f t="shared" si="196"/>
        <v>0</v>
      </c>
      <c r="BM203" s="1835">
        <f t="shared" si="196"/>
        <v>0</v>
      </c>
      <c r="BN203" s="1835">
        <f t="shared" si="196"/>
        <v>0</v>
      </c>
      <c r="BO203" s="1835">
        <f t="shared" si="196"/>
        <v>0</v>
      </c>
      <c r="BP203" s="1835">
        <f t="shared" si="196"/>
        <v>0</v>
      </c>
      <c r="BQ203" s="1834">
        <f t="shared" si="168"/>
        <v>0</v>
      </c>
      <c r="BS203" s="1621" t="s">
        <v>79</v>
      </c>
      <c r="BT203" s="1622">
        <f t="shared" si="169"/>
        <v>9.6129999999999995</v>
      </c>
      <c r="BU203" s="1827">
        <f t="shared" ref="BU203:CY203" si="197">+(BU11+BU27+BU43+BU59+BU75+BU91+BU107+BU123+BU139+BU155+BU171+BU187)</f>
        <v>0</v>
      </c>
      <c r="BV203" s="1827">
        <f t="shared" si="197"/>
        <v>0</v>
      </c>
      <c r="BW203" s="1827">
        <f t="shared" si="197"/>
        <v>0</v>
      </c>
      <c r="BX203" s="1827">
        <f t="shared" si="197"/>
        <v>0</v>
      </c>
      <c r="BY203" s="1827">
        <f t="shared" si="197"/>
        <v>8.5000000000000006E-2</v>
      </c>
      <c r="BZ203" s="1827">
        <f t="shared" si="197"/>
        <v>0</v>
      </c>
      <c r="CA203" s="1827">
        <f t="shared" si="197"/>
        <v>0</v>
      </c>
      <c r="CB203" s="1827">
        <f t="shared" si="197"/>
        <v>3.9E-2</v>
      </c>
      <c r="CC203" s="1827">
        <f t="shared" si="197"/>
        <v>0</v>
      </c>
      <c r="CD203" s="1827">
        <f t="shared" si="197"/>
        <v>0</v>
      </c>
      <c r="CE203" s="1827">
        <f t="shared" si="197"/>
        <v>0</v>
      </c>
      <c r="CF203" s="1827">
        <f t="shared" si="197"/>
        <v>0</v>
      </c>
      <c r="CG203" s="1827">
        <f t="shared" si="197"/>
        <v>0</v>
      </c>
      <c r="CH203" s="1827">
        <f t="shared" si="197"/>
        <v>0.15</v>
      </c>
      <c r="CI203" s="1827">
        <f t="shared" si="197"/>
        <v>0</v>
      </c>
      <c r="CJ203" s="1827">
        <f t="shared" si="197"/>
        <v>0</v>
      </c>
      <c r="CK203" s="1827">
        <f t="shared" si="197"/>
        <v>0</v>
      </c>
      <c r="CL203" s="1827">
        <f t="shared" si="197"/>
        <v>0</v>
      </c>
      <c r="CM203" s="1827">
        <f t="shared" si="197"/>
        <v>0.3</v>
      </c>
      <c r="CN203" s="1827">
        <f t="shared" si="197"/>
        <v>0</v>
      </c>
      <c r="CO203" s="1827">
        <f t="shared" si="197"/>
        <v>0</v>
      </c>
      <c r="CP203" s="1827">
        <f t="shared" si="197"/>
        <v>0</v>
      </c>
      <c r="CQ203" s="1827">
        <f t="shared" si="197"/>
        <v>0</v>
      </c>
      <c r="CR203" s="1827">
        <f t="shared" si="197"/>
        <v>0</v>
      </c>
      <c r="CS203" s="1827">
        <f t="shared" si="197"/>
        <v>0</v>
      </c>
      <c r="CT203" s="1827">
        <f t="shared" si="197"/>
        <v>0.8</v>
      </c>
      <c r="CU203" s="1827">
        <f t="shared" si="197"/>
        <v>7.9000000000000001E-2</v>
      </c>
      <c r="CV203" s="1827">
        <f t="shared" si="197"/>
        <v>0</v>
      </c>
      <c r="CW203" s="1827">
        <f t="shared" si="197"/>
        <v>0</v>
      </c>
      <c r="CX203" s="1827">
        <f t="shared" si="197"/>
        <v>7.7599999999999989</v>
      </c>
      <c r="CY203" s="1827">
        <f t="shared" si="197"/>
        <v>0.4</v>
      </c>
      <c r="CZ203" s="1826">
        <f t="shared" si="171"/>
        <v>9.6129999999999995</v>
      </c>
      <c r="DB203" s="1719" t="s">
        <v>79</v>
      </c>
      <c r="DC203" s="1821">
        <f t="shared" si="172"/>
        <v>0</v>
      </c>
      <c r="DD203" s="1818">
        <f t="shared" ref="DD203:EH203" si="198">+(DD11+DD27+DD43+DD59+DD75+DD91+DD107+DD123+DD139+DD155+DD171+DD187)</f>
        <v>0</v>
      </c>
      <c r="DE203" s="1818">
        <f t="shared" si="198"/>
        <v>0</v>
      </c>
      <c r="DF203" s="1818">
        <f t="shared" si="198"/>
        <v>0</v>
      </c>
      <c r="DG203" s="1818">
        <f t="shared" si="198"/>
        <v>0</v>
      </c>
      <c r="DH203" s="1818">
        <f t="shared" si="198"/>
        <v>0</v>
      </c>
      <c r="DI203" s="1818">
        <f t="shared" si="198"/>
        <v>0</v>
      </c>
      <c r="DJ203" s="1818">
        <f t="shared" si="198"/>
        <v>0</v>
      </c>
      <c r="DK203" s="1818">
        <f t="shared" si="198"/>
        <v>0</v>
      </c>
      <c r="DL203" s="1818">
        <f t="shared" si="198"/>
        <v>0</v>
      </c>
      <c r="DM203" s="1818">
        <f t="shared" si="198"/>
        <v>0</v>
      </c>
      <c r="DN203" s="1818">
        <f t="shared" si="198"/>
        <v>0</v>
      </c>
      <c r="DO203" s="1818">
        <f t="shared" si="198"/>
        <v>0</v>
      </c>
      <c r="DP203" s="1818">
        <f t="shared" si="198"/>
        <v>0</v>
      </c>
      <c r="DQ203" s="1818">
        <f t="shared" si="198"/>
        <v>0</v>
      </c>
      <c r="DR203" s="1818">
        <f t="shared" si="198"/>
        <v>0</v>
      </c>
      <c r="DS203" s="1818">
        <f t="shared" si="198"/>
        <v>0</v>
      </c>
      <c r="DT203" s="1818">
        <f t="shared" si="198"/>
        <v>0</v>
      </c>
      <c r="DU203" s="1818">
        <f t="shared" si="198"/>
        <v>0</v>
      </c>
      <c r="DV203" s="1818">
        <f t="shared" si="198"/>
        <v>0</v>
      </c>
      <c r="DW203" s="1818">
        <f t="shared" si="198"/>
        <v>0</v>
      </c>
      <c r="DX203" s="1818">
        <f t="shared" si="198"/>
        <v>0</v>
      </c>
      <c r="DY203" s="1818">
        <f t="shared" si="198"/>
        <v>0</v>
      </c>
      <c r="DZ203" s="1818">
        <f t="shared" si="198"/>
        <v>0</v>
      </c>
      <c r="EA203" s="1818">
        <f t="shared" si="198"/>
        <v>0</v>
      </c>
      <c r="EB203" s="1818">
        <f t="shared" si="198"/>
        <v>0</v>
      </c>
      <c r="EC203" s="1818">
        <f t="shared" si="198"/>
        <v>0</v>
      </c>
      <c r="ED203" s="1818">
        <f t="shared" si="198"/>
        <v>0</v>
      </c>
      <c r="EE203" s="1818">
        <f t="shared" si="198"/>
        <v>0</v>
      </c>
      <c r="EF203" s="1818">
        <f t="shared" si="198"/>
        <v>0</v>
      </c>
      <c r="EG203" s="1818">
        <f t="shared" si="198"/>
        <v>0</v>
      </c>
      <c r="EH203" s="1818">
        <f t="shared" si="198"/>
        <v>0</v>
      </c>
      <c r="EI203" s="1817">
        <f t="shared" si="174"/>
        <v>0</v>
      </c>
    </row>
    <row r="204" spans="1:139" ht="15">
      <c r="A204" s="1039" t="s">
        <v>80</v>
      </c>
      <c r="B204" s="1084">
        <f t="shared" si="163"/>
        <v>0</v>
      </c>
      <c r="C204" s="1973">
        <f t="shared" ref="C204:AG204" si="199">+(C92+C108+C124+C140+C156+C172+C188)</f>
        <v>0</v>
      </c>
      <c r="D204" s="1973">
        <f t="shared" si="199"/>
        <v>0</v>
      </c>
      <c r="E204" s="1973">
        <f t="shared" si="199"/>
        <v>0</v>
      </c>
      <c r="F204" s="1973">
        <f t="shared" si="199"/>
        <v>0</v>
      </c>
      <c r="G204" s="1973">
        <f t="shared" si="199"/>
        <v>0</v>
      </c>
      <c r="H204" s="1973">
        <f t="shared" si="199"/>
        <v>0</v>
      </c>
      <c r="I204" s="1973">
        <f t="shared" si="199"/>
        <v>0</v>
      </c>
      <c r="J204" s="1973">
        <f t="shared" si="199"/>
        <v>0</v>
      </c>
      <c r="K204" s="1973">
        <f t="shared" si="199"/>
        <v>0</v>
      </c>
      <c r="L204" s="1973">
        <f t="shared" si="199"/>
        <v>0</v>
      </c>
      <c r="M204" s="1973">
        <f t="shared" si="199"/>
        <v>0</v>
      </c>
      <c r="N204" s="1973">
        <f t="shared" si="199"/>
        <v>0</v>
      </c>
      <c r="O204" s="1973">
        <f t="shared" si="199"/>
        <v>0</v>
      </c>
      <c r="P204" s="1973">
        <f t="shared" si="199"/>
        <v>0</v>
      </c>
      <c r="Q204" s="1973">
        <f t="shared" si="199"/>
        <v>0</v>
      </c>
      <c r="R204" s="1973">
        <f t="shared" si="199"/>
        <v>0</v>
      </c>
      <c r="S204" s="1973">
        <f t="shared" si="199"/>
        <v>0</v>
      </c>
      <c r="T204" s="1973">
        <f t="shared" si="199"/>
        <v>0</v>
      </c>
      <c r="U204" s="1973">
        <f t="shared" si="199"/>
        <v>0</v>
      </c>
      <c r="V204" s="1973">
        <f t="shared" si="199"/>
        <v>0</v>
      </c>
      <c r="W204" s="1973">
        <f t="shared" si="199"/>
        <v>0</v>
      </c>
      <c r="X204" s="1973">
        <f t="shared" si="199"/>
        <v>0</v>
      </c>
      <c r="Y204" s="1973">
        <f t="shared" si="199"/>
        <v>0</v>
      </c>
      <c r="Z204" s="1973">
        <f t="shared" si="199"/>
        <v>0</v>
      </c>
      <c r="AA204" s="1973">
        <f t="shared" si="199"/>
        <v>0</v>
      </c>
      <c r="AB204" s="1973">
        <f t="shared" si="199"/>
        <v>0</v>
      </c>
      <c r="AC204" s="1973">
        <f t="shared" si="199"/>
        <v>0</v>
      </c>
      <c r="AD204" s="1973">
        <f t="shared" si="199"/>
        <v>0</v>
      </c>
      <c r="AE204" s="1973">
        <f t="shared" si="199"/>
        <v>0</v>
      </c>
      <c r="AF204" s="1973">
        <f t="shared" si="199"/>
        <v>0</v>
      </c>
      <c r="AG204" s="1973">
        <f t="shared" si="199"/>
        <v>0</v>
      </c>
      <c r="AH204" s="1974">
        <f t="shared" si="165"/>
        <v>0</v>
      </c>
      <c r="AJ204" s="1524" t="s">
        <v>80</v>
      </c>
      <c r="AK204" s="1527">
        <f t="shared" si="166"/>
        <v>2.258</v>
      </c>
      <c r="AL204" s="1835">
        <f t="shared" ref="AL204:BP204" si="200">+(AL12+AL28+AL44+AL60+AL76+AL92+AL108+AL124+AL140+AL156+AL172+AL188)</f>
        <v>0</v>
      </c>
      <c r="AM204" s="1835">
        <f t="shared" si="200"/>
        <v>0</v>
      </c>
      <c r="AN204" s="1835">
        <f t="shared" si="200"/>
        <v>0</v>
      </c>
      <c r="AO204" s="1835">
        <f t="shared" si="200"/>
        <v>0</v>
      </c>
      <c r="AP204" s="1835">
        <f t="shared" si="200"/>
        <v>0</v>
      </c>
      <c r="AQ204" s="1835">
        <f t="shared" si="200"/>
        <v>0</v>
      </c>
      <c r="AR204" s="1835">
        <f t="shared" si="200"/>
        <v>0</v>
      </c>
      <c r="AS204" s="1835">
        <f t="shared" si="200"/>
        <v>0</v>
      </c>
      <c r="AT204" s="1835">
        <f t="shared" si="200"/>
        <v>0</v>
      </c>
      <c r="AU204" s="1835">
        <f t="shared" si="200"/>
        <v>0</v>
      </c>
      <c r="AV204" s="1835">
        <f t="shared" si="200"/>
        <v>2.258</v>
      </c>
      <c r="AW204" s="1835">
        <f t="shared" si="200"/>
        <v>0</v>
      </c>
      <c r="AX204" s="1835">
        <f t="shared" si="200"/>
        <v>0</v>
      </c>
      <c r="AY204" s="1835">
        <f t="shared" si="200"/>
        <v>0</v>
      </c>
      <c r="AZ204" s="1835">
        <f t="shared" si="200"/>
        <v>0</v>
      </c>
      <c r="BA204" s="1835">
        <f t="shared" si="200"/>
        <v>0</v>
      </c>
      <c r="BB204" s="1835">
        <f t="shared" si="200"/>
        <v>0</v>
      </c>
      <c r="BC204" s="1835">
        <f t="shared" si="200"/>
        <v>0</v>
      </c>
      <c r="BD204" s="1835">
        <f t="shared" si="200"/>
        <v>0</v>
      </c>
      <c r="BE204" s="1835">
        <f t="shared" si="200"/>
        <v>0</v>
      </c>
      <c r="BF204" s="1835">
        <f t="shared" si="200"/>
        <v>0</v>
      </c>
      <c r="BG204" s="1835">
        <f t="shared" si="200"/>
        <v>0</v>
      </c>
      <c r="BH204" s="1835">
        <f t="shared" si="200"/>
        <v>0</v>
      </c>
      <c r="BI204" s="1835">
        <f t="shared" si="200"/>
        <v>0</v>
      </c>
      <c r="BJ204" s="1835">
        <f t="shared" si="200"/>
        <v>0</v>
      </c>
      <c r="BK204" s="1835">
        <f t="shared" si="200"/>
        <v>0</v>
      </c>
      <c r="BL204" s="1835">
        <f t="shared" si="200"/>
        <v>0</v>
      </c>
      <c r="BM204" s="1835">
        <f t="shared" si="200"/>
        <v>0</v>
      </c>
      <c r="BN204" s="1835">
        <f t="shared" si="200"/>
        <v>0</v>
      </c>
      <c r="BO204" s="1835">
        <f t="shared" si="200"/>
        <v>0</v>
      </c>
      <c r="BP204" s="1835">
        <f t="shared" si="200"/>
        <v>0</v>
      </c>
      <c r="BQ204" s="1834">
        <f t="shared" si="168"/>
        <v>2.258</v>
      </c>
      <c r="BS204" s="1621" t="s">
        <v>80</v>
      </c>
      <c r="BT204" s="1622">
        <f t="shared" si="169"/>
        <v>1.4109999999999998</v>
      </c>
      <c r="BU204" s="1827">
        <f t="shared" ref="BU204:CY204" si="201">+(BU12+BU28+BU44+BU60+BU76+BU92+BU108+BU124+BU140+BU156+BU172+BU188)</f>
        <v>0</v>
      </c>
      <c r="BV204" s="1827">
        <f t="shared" si="201"/>
        <v>0.8</v>
      </c>
      <c r="BW204" s="1827">
        <f t="shared" si="201"/>
        <v>0</v>
      </c>
      <c r="BX204" s="1827">
        <f t="shared" si="201"/>
        <v>0</v>
      </c>
      <c r="BY204" s="1827">
        <f t="shared" si="201"/>
        <v>0.6</v>
      </c>
      <c r="BZ204" s="1827">
        <f t="shared" si="201"/>
        <v>0</v>
      </c>
      <c r="CA204" s="1827">
        <f t="shared" si="201"/>
        <v>0</v>
      </c>
      <c r="CB204" s="1827">
        <f t="shared" si="201"/>
        <v>0</v>
      </c>
      <c r="CC204" s="1827">
        <f t="shared" si="201"/>
        <v>0</v>
      </c>
      <c r="CD204" s="1827">
        <f t="shared" si="201"/>
        <v>0</v>
      </c>
      <c r="CE204" s="1827">
        <f t="shared" si="201"/>
        <v>0</v>
      </c>
      <c r="CF204" s="1827">
        <f t="shared" si="201"/>
        <v>0</v>
      </c>
      <c r="CG204" s="1827">
        <f t="shared" si="201"/>
        <v>1E-3</v>
      </c>
      <c r="CH204" s="1827">
        <f t="shared" si="201"/>
        <v>0</v>
      </c>
      <c r="CI204" s="1827">
        <f t="shared" si="201"/>
        <v>0</v>
      </c>
      <c r="CJ204" s="1827">
        <f t="shared" si="201"/>
        <v>0</v>
      </c>
      <c r="CK204" s="1827">
        <f t="shared" si="201"/>
        <v>0</v>
      </c>
      <c r="CL204" s="1827">
        <f t="shared" si="201"/>
        <v>0</v>
      </c>
      <c r="CM204" s="1827">
        <f t="shared" si="201"/>
        <v>0</v>
      </c>
      <c r="CN204" s="1827">
        <f t="shared" si="201"/>
        <v>0</v>
      </c>
      <c r="CO204" s="1827">
        <f t="shared" si="201"/>
        <v>0</v>
      </c>
      <c r="CP204" s="1827">
        <f t="shared" si="201"/>
        <v>0</v>
      </c>
      <c r="CQ204" s="1827">
        <f t="shared" si="201"/>
        <v>0</v>
      </c>
      <c r="CR204" s="1827">
        <f t="shared" si="201"/>
        <v>0</v>
      </c>
      <c r="CS204" s="1827">
        <f t="shared" si="201"/>
        <v>0</v>
      </c>
      <c r="CT204" s="1827">
        <f t="shared" si="201"/>
        <v>0</v>
      </c>
      <c r="CU204" s="1827">
        <f t="shared" si="201"/>
        <v>0</v>
      </c>
      <c r="CV204" s="1827">
        <f t="shared" si="201"/>
        <v>0</v>
      </c>
      <c r="CW204" s="1827">
        <f t="shared" si="201"/>
        <v>0</v>
      </c>
      <c r="CX204" s="1827">
        <f t="shared" si="201"/>
        <v>0.01</v>
      </c>
      <c r="CY204" s="1827">
        <f t="shared" si="201"/>
        <v>0</v>
      </c>
      <c r="CZ204" s="1826">
        <f t="shared" si="171"/>
        <v>1.4109999999999998</v>
      </c>
      <c r="DB204" s="1719" t="s">
        <v>80</v>
      </c>
      <c r="DC204" s="1821">
        <f t="shared" si="172"/>
        <v>0</v>
      </c>
      <c r="DD204" s="1818">
        <f t="shared" ref="DD204:EH204" si="202">+(DD12+DD28+DD44+DD60+DD76+DD92+DD108+DD124+DD140+DD156+DD172+DD188)</f>
        <v>0</v>
      </c>
      <c r="DE204" s="1818">
        <f t="shared" si="202"/>
        <v>0</v>
      </c>
      <c r="DF204" s="1818">
        <f t="shared" si="202"/>
        <v>0</v>
      </c>
      <c r="DG204" s="1818">
        <f t="shared" si="202"/>
        <v>0</v>
      </c>
      <c r="DH204" s="1818">
        <f t="shared" si="202"/>
        <v>0</v>
      </c>
      <c r="DI204" s="1818">
        <f t="shared" si="202"/>
        <v>0</v>
      </c>
      <c r="DJ204" s="1818">
        <f t="shared" si="202"/>
        <v>0</v>
      </c>
      <c r="DK204" s="1818">
        <f t="shared" si="202"/>
        <v>0</v>
      </c>
      <c r="DL204" s="1818">
        <f t="shared" si="202"/>
        <v>0</v>
      </c>
      <c r="DM204" s="1818">
        <f t="shared" si="202"/>
        <v>0</v>
      </c>
      <c r="DN204" s="1818">
        <f t="shared" si="202"/>
        <v>0</v>
      </c>
      <c r="DO204" s="1818">
        <f t="shared" si="202"/>
        <v>0</v>
      </c>
      <c r="DP204" s="1818">
        <f t="shared" si="202"/>
        <v>0</v>
      </c>
      <c r="DQ204" s="1818">
        <f t="shared" si="202"/>
        <v>0</v>
      </c>
      <c r="DR204" s="1818">
        <f t="shared" si="202"/>
        <v>0</v>
      </c>
      <c r="DS204" s="1818">
        <f t="shared" si="202"/>
        <v>0</v>
      </c>
      <c r="DT204" s="1818">
        <f t="shared" si="202"/>
        <v>0</v>
      </c>
      <c r="DU204" s="1818">
        <f t="shared" si="202"/>
        <v>0</v>
      </c>
      <c r="DV204" s="1818">
        <f t="shared" si="202"/>
        <v>0</v>
      </c>
      <c r="DW204" s="1818">
        <f t="shared" si="202"/>
        <v>0</v>
      </c>
      <c r="DX204" s="1818">
        <f t="shared" si="202"/>
        <v>0</v>
      </c>
      <c r="DY204" s="1818">
        <f t="shared" si="202"/>
        <v>0</v>
      </c>
      <c r="DZ204" s="1818">
        <f t="shared" si="202"/>
        <v>0</v>
      </c>
      <c r="EA204" s="1818">
        <f t="shared" si="202"/>
        <v>0</v>
      </c>
      <c r="EB204" s="1818">
        <f t="shared" si="202"/>
        <v>0</v>
      </c>
      <c r="EC204" s="1818">
        <f t="shared" si="202"/>
        <v>0</v>
      </c>
      <c r="ED204" s="1818">
        <f t="shared" si="202"/>
        <v>0</v>
      </c>
      <c r="EE204" s="1818">
        <f t="shared" si="202"/>
        <v>0</v>
      </c>
      <c r="EF204" s="1818">
        <f t="shared" si="202"/>
        <v>0</v>
      </c>
      <c r="EG204" s="1818">
        <f t="shared" si="202"/>
        <v>0</v>
      </c>
      <c r="EH204" s="1818">
        <f t="shared" si="202"/>
        <v>0</v>
      </c>
      <c r="EI204" s="1817">
        <f t="shared" si="174"/>
        <v>0</v>
      </c>
    </row>
    <row r="205" spans="1:139" ht="15">
      <c r="A205" s="1039" t="s">
        <v>81</v>
      </c>
      <c r="B205" s="1084">
        <f t="shared" si="163"/>
        <v>0</v>
      </c>
      <c r="C205" s="1973">
        <f t="shared" ref="C205:AG205" si="203">+(C93+C109+C125+C141+C157+C173+C189)</f>
        <v>0</v>
      </c>
      <c r="D205" s="1973">
        <f t="shared" si="203"/>
        <v>0</v>
      </c>
      <c r="E205" s="1973">
        <f t="shared" si="203"/>
        <v>0</v>
      </c>
      <c r="F205" s="1973">
        <f t="shared" si="203"/>
        <v>0</v>
      </c>
      <c r="G205" s="1973">
        <f t="shared" si="203"/>
        <v>0</v>
      </c>
      <c r="H205" s="1973">
        <f t="shared" si="203"/>
        <v>0</v>
      </c>
      <c r="I205" s="1973">
        <f t="shared" si="203"/>
        <v>0</v>
      </c>
      <c r="J205" s="1973">
        <f t="shared" si="203"/>
        <v>0</v>
      </c>
      <c r="K205" s="1973">
        <f t="shared" si="203"/>
        <v>0</v>
      </c>
      <c r="L205" s="1973">
        <f t="shared" si="203"/>
        <v>0</v>
      </c>
      <c r="M205" s="1973">
        <f t="shared" si="203"/>
        <v>0</v>
      </c>
      <c r="N205" s="1973">
        <f t="shared" si="203"/>
        <v>0</v>
      </c>
      <c r="O205" s="1973">
        <f t="shared" si="203"/>
        <v>0</v>
      </c>
      <c r="P205" s="1973">
        <f t="shared" si="203"/>
        <v>0</v>
      </c>
      <c r="Q205" s="1973">
        <f t="shared" si="203"/>
        <v>0</v>
      </c>
      <c r="R205" s="1973">
        <f t="shared" si="203"/>
        <v>0</v>
      </c>
      <c r="S205" s="1973">
        <f t="shared" si="203"/>
        <v>0</v>
      </c>
      <c r="T205" s="1973">
        <f t="shared" si="203"/>
        <v>0</v>
      </c>
      <c r="U205" s="1973">
        <f t="shared" si="203"/>
        <v>0</v>
      </c>
      <c r="V205" s="1973">
        <f t="shared" si="203"/>
        <v>0</v>
      </c>
      <c r="W205" s="1973">
        <f t="shared" si="203"/>
        <v>0</v>
      </c>
      <c r="X205" s="1973">
        <f t="shared" si="203"/>
        <v>0</v>
      </c>
      <c r="Y205" s="1973">
        <f t="shared" si="203"/>
        <v>0</v>
      </c>
      <c r="Z205" s="1973">
        <f t="shared" si="203"/>
        <v>0</v>
      </c>
      <c r="AA205" s="1973">
        <f t="shared" si="203"/>
        <v>0</v>
      </c>
      <c r="AB205" s="1973">
        <f t="shared" si="203"/>
        <v>0</v>
      </c>
      <c r="AC205" s="1973">
        <f t="shared" si="203"/>
        <v>0</v>
      </c>
      <c r="AD205" s="1973">
        <f t="shared" si="203"/>
        <v>0</v>
      </c>
      <c r="AE205" s="1973">
        <f t="shared" si="203"/>
        <v>0</v>
      </c>
      <c r="AF205" s="1973">
        <f t="shared" si="203"/>
        <v>0</v>
      </c>
      <c r="AG205" s="1973">
        <f t="shared" si="203"/>
        <v>0</v>
      </c>
      <c r="AH205" s="1974">
        <f t="shared" si="165"/>
        <v>0</v>
      </c>
      <c r="AJ205" s="1524" t="s">
        <v>81</v>
      </c>
      <c r="AK205" s="1527">
        <f t="shared" si="166"/>
        <v>0</v>
      </c>
      <c r="AL205" s="1835">
        <f t="shared" ref="AL205:BP205" si="204">+(AL13+AL29+AL45+AL61+AL77+AL93+AL109+AL125+AL141+AL157+AL173+AL189)</f>
        <v>0</v>
      </c>
      <c r="AM205" s="1835">
        <f t="shared" si="204"/>
        <v>0</v>
      </c>
      <c r="AN205" s="1835">
        <f t="shared" si="204"/>
        <v>0</v>
      </c>
      <c r="AO205" s="1835">
        <f t="shared" si="204"/>
        <v>0</v>
      </c>
      <c r="AP205" s="1835">
        <f t="shared" si="204"/>
        <v>0</v>
      </c>
      <c r="AQ205" s="1835">
        <f t="shared" si="204"/>
        <v>0</v>
      </c>
      <c r="AR205" s="1835">
        <f t="shared" si="204"/>
        <v>0</v>
      </c>
      <c r="AS205" s="1835">
        <f t="shared" si="204"/>
        <v>0</v>
      </c>
      <c r="AT205" s="1835">
        <f t="shared" si="204"/>
        <v>0</v>
      </c>
      <c r="AU205" s="1835">
        <f t="shared" si="204"/>
        <v>0</v>
      </c>
      <c r="AV205" s="1835">
        <f t="shared" si="204"/>
        <v>0</v>
      </c>
      <c r="AW205" s="1835">
        <f t="shared" si="204"/>
        <v>0</v>
      </c>
      <c r="AX205" s="1835">
        <f t="shared" si="204"/>
        <v>0</v>
      </c>
      <c r="AY205" s="1835">
        <f t="shared" si="204"/>
        <v>0</v>
      </c>
      <c r="AZ205" s="1835">
        <f t="shared" si="204"/>
        <v>0</v>
      </c>
      <c r="BA205" s="1835">
        <f t="shared" si="204"/>
        <v>0</v>
      </c>
      <c r="BB205" s="1835">
        <f t="shared" si="204"/>
        <v>0</v>
      </c>
      <c r="BC205" s="1835">
        <f t="shared" si="204"/>
        <v>0</v>
      </c>
      <c r="BD205" s="1835">
        <f t="shared" si="204"/>
        <v>0</v>
      </c>
      <c r="BE205" s="1835">
        <f t="shared" si="204"/>
        <v>0</v>
      </c>
      <c r="BF205" s="1835">
        <f t="shared" si="204"/>
        <v>0</v>
      </c>
      <c r="BG205" s="1835">
        <f t="shared" si="204"/>
        <v>0</v>
      </c>
      <c r="BH205" s="1835">
        <f t="shared" si="204"/>
        <v>0</v>
      </c>
      <c r="BI205" s="1835">
        <f t="shared" si="204"/>
        <v>0</v>
      </c>
      <c r="BJ205" s="1835">
        <f t="shared" si="204"/>
        <v>0</v>
      </c>
      <c r="BK205" s="1835">
        <f t="shared" si="204"/>
        <v>0</v>
      </c>
      <c r="BL205" s="1835">
        <f t="shared" si="204"/>
        <v>0</v>
      </c>
      <c r="BM205" s="1835">
        <f t="shared" si="204"/>
        <v>0</v>
      </c>
      <c r="BN205" s="1835">
        <f t="shared" si="204"/>
        <v>0</v>
      </c>
      <c r="BO205" s="1835">
        <f t="shared" si="204"/>
        <v>0</v>
      </c>
      <c r="BP205" s="1835">
        <f t="shared" si="204"/>
        <v>0</v>
      </c>
      <c r="BQ205" s="1834">
        <f t="shared" si="168"/>
        <v>0</v>
      </c>
      <c r="BS205" s="1621" t="s">
        <v>81</v>
      </c>
      <c r="BT205" s="1622">
        <f t="shared" si="169"/>
        <v>3.0209999999999999</v>
      </c>
      <c r="BU205" s="1827">
        <f t="shared" ref="BU205:CY205" si="205">+(BU13+BU29+BU45+BU61+BU77+BU93+BU109+BU125+BU141+BU157+BU173+BU189)</f>
        <v>0</v>
      </c>
      <c r="BV205" s="1827">
        <f t="shared" si="205"/>
        <v>0</v>
      </c>
      <c r="BW205" s="1827">
        <f t="shared" si="205"/>
        <v>1.2E-2</v>
      </c>
      <c r="BX205" s="1827">
        <f t="shared" si="205"/>
        <v>1.5</v>
      </c>
      <c r="BY205" s="1827">
        <f t="shared" si="205"/>
        <v>0.02</v>
      </c>
      <c r="BZ205" s="1827">
        <f t="shared" si="205"/>
        <v>0</v>
      </c>
      <c r="CA205" s="1827">
        <f t="shared" si="205"/>
        <v>0</v>
      </c>
      <c r="CB205" s="1827">
        <f t="shared" si="205"/>
        <v>0</v>
      </c>
      <c r="CC205" s="1827">
        <f t="shared" si="205"/>
        <v>0.1</v>
      </c>
      <c r="CD205" s="1827">
        <f t="shared" si="205"/>
        <v>1.2</v>
      </c>
      <c r="CE205" s="1827">
        <f t="shared" si="205"/>
        <v>0</v>
      </c>
      <c r="CF205" s="1827">
        <f t="shared" si="205"/>
        <v>0</v>
      </c>
      <c r="CG205" s="1827">
        <f t="shared" si="205"/>
        <v>0.15</v>
      </c>
      <c r="CH205" s="1827">
        <f t="shared" si="205"/>
        <v>0</v>
      </c>
      <c r="CI205" s="1827">
        <f t="shared" si="205"/>
        <v>0</v>
      </c>
      <c r="CJ205" s="1827">
        <f t="shared" si="205"/>
        <v>4.0000000000000001E-3</v>
      </c>
      <c r="CK205" s="1827">
        <f t="shared" si="205"/>
        <v>1.6E-2</v>
      </c>
      <c r="CL205" s="1827">
        <f t="shared" si="205"/>
        <v>0</v>
      </c>
      <c r="CM205" s="1827">
        <f t="shared" si="205"/>
        <v>0</v>
      </c>
      <c r="CN205" s="1827">
        <f t="shared" si="205"/>
        <v>0</v>
      </c>
      <c r="CO205" s="1827">
        <f t="shared" si="205"/>
        <v>0</v>
      </c>
      <c r="CP205" s="1827">
        <f t="shared" si="205"/>
        <v>0</v>
      </c>
      <c r="CQ205" s="1827">
        <f t="shared" si="205"/>
        <v>0</v>
      </c>
      <c r="CR205" s="1827">
        <f t="shared" si="205"/>
        <v>0</v>
      </c>
      <c r="CS205" s="1827">
        <f t="shared" si="205"/>
        <v>0</v>
      </c>
      <c r="CT205" s="1827">
        <f t="shared" si="205"/>
        <v>0</v>
      </c>
      <c r="CU205" s="1827">
        <f t="shared" si="205"/>
        <v>0</v>
      </c>
      <c r="CV205" s="1827">
        <f t="shared" si="205"/>
        <v>0</v>
      </c>
      <c r="CW205" s="1827">
        <f t="shared" si="205"/>
        <v>0</v>
      </c>
      <c r="CX205" s="1827">
        <f t="shared" si="205"/>
        <v>1.9E-2</v>
      </c>
      <c r="CY205" s="1827">
        <f t="shared" si="205"/>
        <v>0</v>
      </c>
      <c r="CZ205" s="1826">
        <f t="shared" si="171"/>
        <v>3.0209999999999999</v>
      </c>
      <c r="DB205" s="1719" t="s">
        <v>81</v>
      </c>
      <c r="DC205" s="1821">
        <f t="shared" si="172"/>
        <v>0</v>
      </c>
      <c r="DD205" s="1818">
        <f t="shared" ref="DD205:EH205" si="206">+(DD13+DD29+DD45+DD61+DD77+DD93+DD109+DD125+DD141+DD157+DD173+DD189)</f>
        <v>0</v>
      </c>
      <c r="DE205" s="1818">
        <f t="shared" si="206"/>
        <v>0</v>
      </c>
      <c r="DF205" s="1818">
        <f t="shared" si="206"/>
        <v>0</v>
      </c>
      <c r="DG205" s="1818">
        <f t="shared" si="206"/>
        <v>0</v>
      </c>
      <c r="DH205" s="1818">
        <f t="shared" si="206"/>
        <v>0</v>
      </c>
      <c r="DI205" s="1818">
        <f t="shared" si="206"/>
        <v>0</v>
      </c>
      <c r="DJ205" s="1818">
        <f t="shared" si="206"/>
        <v>0</v>
      </c>
      <c r="DK205" s="1818">
        <f t="shared" si="206"/>
        <v>0</v>
      </c>
      <c r="DL205" s="1818">
        <f t="shared" si="206"/>
        <v>0</v>
      </c>
      <c r="DM205" s="1818">
        <f t="shared" si="206"/>
        <v>0</v>
      </c>
      <c r="DN205" s="1818">
        <f t="shared" si="206"/>
        <v>0</v>
      </c>
      <c r="DO205" s="1818">
        <f t="shared" si="206"/>
        <v>0</v>
      </c>
      <c r="DP205" s="1818">
        <f t="shared" si="206"/>
        <v>0</v>
      </c>
      <c r="DQ205" s="1818">
        <f t="shared" si="206"/>
        <v>0</v>
      </c>
      <c r="DR205" s="1818">
        <f t="shared" si="206"/>
        <v>0</v>
      </c>
      <c r="DS205" s="1818">
        <f t="shared" si="206"/>
        <v>0</v>
      </c>
      <c r="DT205" s="1818">
        <f t="shared" si="206"/>
        <v>0</v>
      </c>
      <c r="DU205" s="1818">
        <f t="shared" si="206"/>
        <v>0</v>
      </c>
      <c r="DV205" s="1818">
        <f t="shared" si="206"/>
        <v>0</v>
      </c>
      <c r="DW205" s="1818">
        <f t="shared" si="206"/>
        <v>0</v>
      </c>
      <c r="DX205" s="1818">
        <f t="shared" si="206"/>
        <v>0</v>
      </c>
      <c r="DY205" s="1818">
        <f t="shared" si="206"/>
        <v>0</v>
      </c>
      <c r="DZ205" s="1818">
        <f t="shared" si="206"/>
        <v>0</v>
      </c>
      <c r="EA205" s="1818">
        <f t="shared" si="206"/>
        <v>0</v>
      </c>
      <c r="EB205" s="1818">
        <f t="shared" si="206"/>
        <v>0</v>
      </c>
      <c r="EC205" s="1818">
        <f t="shared" si="206"/>
        <v>0</v>
      </c>
      <c r="ED205" s="1818">
        <f t="shared" si="206"/>
        <v>0</v>
      </c>
      <c r="EE205" s="1818">
        <f t="shared" si="206"/>
        <v>0</v>
      </c>
      <c r="EF205" s="1818">
        <f t="shared" si="206"/>
        <v>0</v>
      </c>
      <c r="EG205" s="1818">
        <f t="shared" si="206"/>
        <v>0</v>
      </c>
      <c r="EH205" s="1818">
        <f t="shared" si="206"/>
        <v>0</v>
      </c>
      <c r="EI205" s="1817">
        <f t="shared" si="174"/>
        <v>0</v>
      </c>
    </row>
    <row r="206" spans="1:139" ht="15">
      <c r="A206" s="1039" t="s">
        <v>82</v>
      </c>
      <c r="B206" s="1084">
        <f t="shared" si="163"/>
        <v>0</v>
      </c>
      <c r="C206" s="1973">
        <f t="shared" ref="C206:AG206" si="207">+(C94+C110+C126+C142+C158+C174+C190)</f>
        <v>0</v>
      </c>
      <c r="D206" s="1973">
        <f t="shared" si="207"/>
        <v>0</v>
      </c>
      <c r="E206" s="1973">
        <f t="shared" si="207"/>
        <v>0</v>
      </c>
      <c r="F206" s="1973">
        <f t="shared" si="207"/>
        <v>0</v>
      </c>
      <c r="G206" s="1973">
        <f t="shared" si="207"/>
        <v>0</v>
      </c>
      <c r="H206" s="1973">
        <f t="shared" si="207"/>
        <v>0</v>
      </c>
      <c r="I206" s="1973">
        <f t="shared" si="207"/>
        <v>0</v>
      </c>
      <c r="J206" s="1973">
        <f t="shared" si="207"/>
        <v>0</v>
      </c>
      <c r="K206" s="1973">
        <f t="shared" si="207"/>
        <v>0</v>
      </c>
      <c r="L206" s="1973">
        <f t="shared" si="207"/>
        <v>0</v>
      </c>
      <c r="M206" s="1973">
        <f t="shared" si="207"/>
        <v>0</v>
      </c>
      <c r="N206" s="1973">
        <f t="shared" si="207"/>
        <v>0</v>
      </c>
      <c r="O206" s="1973">
        <f t="shared" si="207"/>
        <v>0</v>
      </c>
      <c r="P206" s="1973">
        <f t="shared" si="207"/>
        <v>0</v>
      </c>
      <c r="Q206" s="1973">
        <f t="shared" si="207"/>
        <v>0</v>
      </c>
      <c r="R206" s="1973">
        <f t="shared" si="207"/>
        <v>0</v>
      </c>
      <c r="S206" s="1973">
        <f t="shared" si="207"/>
        <v>0</v>
      </c>
      <c r="T206" s="1973">
        <f t="shared" si="207"/>
        <v>0</v>
      </c>
      <c r="U206" s="1973">
        <f t="shared" si="207"/>
        <v>0</v>
      </c>
      <c r="V206" s="1973">
        <f t="shared" si="207"/>
        <v>0</v>
      </c>
      <c r="W206" s="1973">
        <f t="shared" si="207"/>
        <v>0</v>
      </c>
      <c r="X206" s="1973">
        <f t="shared" si="207"/>
        <v>0</v>
      </c>
      <c r="Y206" s="1973">
        <f t="shared" si="207"/>
        <v>0</v>
      </c>
      <c r="Z206" s="1973">
        <f t="shared" si="207"/>
        <v>0</v>
      </c>
      <c r="AA206" s="1973">
        <f t="shared" si="207"/>
        <v>0</v>
      </c>
      <c r="AB206" s="1973">
        <f t="shared" si="207"/>
        <v>0</v>
      </c>
      <c r="AC206" s="1973">
        <f t="shared" si="207"/>
        <v>0</v>
      </c>
      <c r="AD206" s="1973">
        <f t="shared" si="207"/>
        <v>0</v>
      </c>
      <c r="AE206" s="1973">
        <f t="shared" si="207"/>
        <v>0</v>
      </c>
      <c r="AF206" s="1973">
        <f t="shared" si="207"/>
        <v>0</v>
      </c>
      <c r="AG206" s="1973">
        <f t="shared" si="207"/>
        <v>0</v>
      </c>
      <c r="AH206" s="1974">
        <f t="shared" si="165"/>
        <v>0</v>
      </c>
      <c r="AJ206" s="1524" t="s">
        <v>82</v>
      </c>
      <c r="AK206" s="1527">
        <f t="shared" si="166"/>
        <v>0</v>
      </c>
      <c r="AL206" s="1835">
        <f t="shared" ref="AL206:BP206" si="208">+(AL14+AL30+AL46+AL62+AL78+AL94+AL110+AL126+AL142+AL158+AL174+AL190)</f>
        <v>0</v>
      </c>
      <c r="AM206" s="1835">
        <f t="shared" si="208"/>
        <v>0</v>
      </c>
      <c r="AN206" s="1835">
        <f t="shared" si="208"/>
        <v>0</v>
      </c>
      <c r="AO206" s="1835">
        <f t="shared" si="208"/>
        <v>0</v>
      </c>
      <c r="AP206" s="1835">
        <f t="shared" si="208"/>
        <v>0</v>
      </c>
      <c r="AQ206" s="1835">
        <f t="shared" si="208"/>
        <v>0</v>
      </c>
      <c r="AR206" s="1835">
        <f t="shared" si="208"/>
        <v>0</v>
      </c>
      <c r="AS206" s="1835">
        <f t="shared" si="208"/>
        <v>0</v>
      </c>
      <c r="AT206" s="1835">
        <f t="shared" si="208"/>
        <v>0</v>
      </c>
      <c r="AU206" s="1835">
        <f t="shared" si="208"/>
        <v>0</v>
      </c>
      <c r="AV206" s="1835">
        <f t="shared" si="208"/>
        <v>0</v>
      </c>
      <c r="AW206" s="1835">
        <f t="shared" si="208"/>
        <v>0</v>
      </c>
      <c r="AX206" s="1835">
        <f t="shared" si="208"/>
        <v>0</v>
      </c>
      <c r="AY206" s="1835">
        <f t="shared" si="208"/>
        <v>0</v>
      </c>
      <c r="AZ206" s="1835">
        <f t="shared" si="208"/>
        <v>0</v>
      </c>
      <c r="BA206" s="1835">
        <f t="shared" si="208"/>
        <v>0</v>
      </c>
      <c r="BB206" s="1835">
        <f t="shared" si="208"/>
        <v>0</v>
      </c>
      <c r="BC206" s="1835">
        <f t="shared" si="208"/>
        <v>0</v>
      </c>
      <c r="BD206" s="1835">
        <f t="shared" si="208"/>
        <v>0</v>
      </c>
      <c r="BE206" s="1835">
        <f t="shared" si="208"/>
        <v>0</v>
      </c>
      <c r="BF206" s="1835">
        <f t="shared" si="208"/>
        <v>0</v>
      </c>
      <c r="BG206" s="1835">
        <f t="shared" si="208"/>
        <v>0</v>
      </c>
      <c r="BH206" s="1835">
        <f t="shared" si="208"/>
        <v>0</v>
      </c>
      <c r="BI206" s="1835">
        <f t="shared" si="208"/>
        <v>0</v>
      </c>
      <c r="BJ206" s="1835">
        <f t="shared" si="208"/>
        <v>0</v>
      </c>
      <c r="BK206" s="1835">
        <f t="shared" si="208"/>
        <v>0</v>
      </c>
      <c r="BL206" s="1835">
        <f t="shared" si="208"/>
        <v>0</v>
      </c>
      <c r="BM206" s="1835">
        <f t="shared" si="208"/>
        <v>0</v>
      </c>
      <c r="BN206" s="1835">
        <f t="shared" si="208"/>
        <v>0</v>
      </c>
      <c r="BO206" s="1835">
        <f t="shared" si="208"/>
        <v>0</v>
      </c>
      <c r="BP206" s="1835">
        <f t="shared" si="208"/>
        <v>0</v>
      </c>
      <c r="BQ206" s="1834">
        <f t="shared" si="168"/>
        <v>0</v>
      </c>
      <c r="BS206" s="1621" t="s">
        <v>82</v>
      </c>
      <c r="BT206" s="1622">
        <f t="shared" si="169"/>
        <v>0.23899999999999999</v>
      </c>
      <c r="BU206" s="1827">
        <f t="shared" ref="BU206:CY206" si="209">+(BU14+BU30+BU46+BU62+BU78+BU94+BU110+BU126+BU142+BU158+BU174+BU190)</f>
        <v>0</v>
      </c>
      <c r="BV206" s="1827">
        <f t="shared" si="209"/>
        <v>0</v>
      </c>
      <c r="BW206" s="1827">
        <f t="shared" si="209"/>
        <v>0</v>
      </c>
      <c r="BX206" s="1827">
        <f t="shared" si="209"/>
        <v>0</v>
      </c>
      <c r="BY206" s="1827">
        <f t="shared" si="209"/>
        <v>0</v>
      </c>
      <c r="BZ206" s="1827">
        <f t="shared" si="209"/>
        <v>0</v>
      </c>
      <c r="CA206" s="1827">
        <f t="shared" si="209"/>
        <v>0</v>
      </c>
      <c r="CB206" s="1827">
        <f t="shared" si="209"/>
        <v>0</v>
      </c>
      <c r="CC206" s="1827">
        <f t="shared" si="209"/>
        <v>0</v>
      </c>
      <c r="CD206" s="1827">
        <f t="shared" si="209"/>
        <v>0</v>
      </c>
      <c r="CE206" s="1827">
        <f t="shared" si="209"/>
        <v>0</v>
      </c>
      <c r="CF206" s="1827">
        <f t="shared" si="209"/>
        <v>0</v>
      </c>
      <c r="CG206" s="1827">
        <f t="shared" si="209"/>
        <v>0</v>
      </c>
      <c r="CH206" s="1827">
        <f t="shared" si="209"/>
        <v>0.01</v>
      </c>
      <c r="CI206" s="1827">
        <f t="shared" si="209"/>
        <v>0</v>
      </c>
      <c r="CJ206" s="1827">
        <f t="shared" si="209"/>
        <v>0.01</v>
      </c>
      <c r="CK206" s="1827">
        <f t="shared" si="209"/>
        <v>0.01</v>
      </c>
      <c r="CL206" s="1827">
        <f t="shared" si="209"/>
        <v>0</v>
      </c>
      <c r="CM206" s="1827">
        <f t="shared" si="209"/>
        <v>1.2E-2</v>
      </c>
      <c r="CN206" s="1827">
        <f t="shared" si="209"/>
        <v>0.02</v>
      </c>
      <c r="CO206" s="1827">
        <f t="shared" si="209"/>
        <v>0</v>
      </c>
      <c r="CP206" s="1827">
        <f t="shared" si="209"/>
        <v>0</v>
      </c>
      <c r="CQ206" s="1827">
        <f t="shared" si="209"/>
        <v>0</v>
      </c>
      <c r="CR206" s="1827">
        <f t="shared" si="209"/>
        <v>0</v>
      </c>
      <c r="CS206" s="1827">
        <f t="shared" si="209"/>
        <v>4.8000000000000001E-2</v>
      </c>
      <c r="CT206" s="1827">
        <f t="shared" si="209"/>
        <v>5.0000000000000001E-3</v>
      </c>
      <c r="CU206" s="1827">
        <f t="shared" si="209"/>
        <v>0</v>
      </c>
      <c r="CV206" s="1827">
        <f t="shared" si="209"/>
        <v>8.0000000000000002E-3</v>
      </c>
      <c r="CW206" s="1827">
        <f t="shared" si="209"/>
        <v>0.01</v>
      </c>
      <c r="CX206" s="1827">
        <f t="shared" si="209"/>
        <v>8.6999999999999994E-2</v>
      </c>
      <c r="CY206" s="1827">
        <f t="shared" si="209"/>
        <v>1.9E-2</v>
      </c>
      <c r="CZ206" s="1826">
        <f t="shared" si="171"/>
        <v>0.23899999999999999</v>
      </c>
      <c r="DB206" s="1719" t="s">
        <v>82</v>
      </c>
      <c r="DC206" s="1821">
        <f t="shared" si="172"/>
        <v>0</v>
      </c>
      <c r="DD206" s="1818">
        <f t="shared" ref="DD206:EH206" si="210">+(DD14+DD30+DD46+DD62+DD78+DD94+DD110+DD126+DD142+DD158+DD174+DD190)</f>
        <v>0</v>
      </c>
      <c r="DE206" s="1818">
        <f t="shared" si="210"/>
        <v>0</v>
      </c>
      <c r="DF206" s="1818">
        <f t="shared" si="210"/>
        <v>0</v>
      </c>
      <c r="DG206" s="1818">
        <f t="shared" si="210"/>
        <v>0</v>
      </c>
      <c r="DH206" s="1818">
        <f t="shared" si="210"/>
        <v>0</v>
      </c>
      <c r="DI206" s="1818">
        <f t="shared" si="210"/>
        <v>0</v>
      </c>
      <c r="DJ206" s="1818">
        <f t="shared" si="210"/>
        <v>0</v>
      </c>
      <c r="DK206" s="1818">
        <f t="shared" si="210"/>
        <v>0</v>
      </c>
      <c r="DL206" s="1818">
        <f t="shared" si="210"/>
        <v>0</v>
      </c>
      <c r="DM206" s="1818">
        <f t="shared" si="210"/>
        <v>0</v>
      </c>
      <c r="DN206" s="1818">
        <f t="shared" si="210"/>
        <v>0</v>
      </c>
      <c r="DO206" s="1818">
        <f t="shared" si="210"/>
        <v>0</v>
      </c>
      <c r="DP206" s="1818">
        <f t="shared" si="210"/>
        <v>0</v>
      </c>
      <c r="DQ206" s="1818">
        <f t="shared" si="210"/>
        <v>0</v>
      </c>
      <c r="DR206" s="1818">
        <f t="shared" si="210"/>
        <v>0</v>
      </c>
      <c r="DS206" s="1822">
        <f t="shared" si="210"/>
        <v>0</v>
      </c>
      <c r="DT206" s="1822">
        <f t="shared" si="210"/>
        <v>0</v>
      </c>
      <c r="DU206" s="1822">
        <f t="shared" si="210"/>
        <v>0</v>
      </c>
      <c r="DV206" s="1822">
        <f t="shared" si="210"/>
        <v>0</v>
      </c>
      <c r="DW206" s="1822">
        <f t="shared" si="210"/>
        <v>0</v>
      </c>
      <c r="DX206" s="1822">
        <f t="shared" si="210"/>
        <v>0</v>
      </c>
      <c r="DY206" s="1822">
        <f t="shared" si="210"/>
        <v>0</v>
      </c>
      <c r="DZ206" s="1822">
        <f t="shared" si="210"/>
        <v>0</v>
      </c>
      <c r="EA206" s="1822">
        <f t="shared" si="210"/>
        <v>0</v>
      </c>
      <c r="EB206" s="1822">
        <f t="shared" si="210"/>
        <v>0</v>
      </c>
      <c r="EC206" s="1822">
        <f t="shared" si="210"/>
        <v>0</v>
      </c>
      <c r="ED206" s="1822">
        <f t="shared" si="210"/>
        <v>0</v>
      </c>
      <c r="EE206" s="1822">
        <f t="shared" si="210"/>
        <v>0</v>
      </c>
      <c r="EF206" s="1822">
        <f t="shared" si="210"/>
        <v>0</v>
      </c>
      <c r="EG206" s="1822">
        <f t="shared" si="210"/>
        <v>0</v>
      </c>
      <c r="EH206" s="1822">
        <f t="shared" si="210"/>
        <v>0</v>
      </c>
      <c r="EI206" s="1817">
        <f t="shared" si="174"/>
        <v>0</v>
      </c>
    </row>
    <row r="207" spans="1:139" ht="15">
      <c r="A207" s="1039" t="s">
        <v>83</v>
      </c>
      <c r="B207" s="1084">
        <f t="shared" si="163"/>
        <v>0</v>
      </c>
      <c r="C207" s="1973">
        <f t="shared" ref="C207:AG207" si="211">+(C95+C111+C127+C143+C159+C175+C191)</f>
        <v>0</v>
      </c>
      <c r="D207" s="1973">
        <f t="shared" si="211"/>
        <v>0</v>
      </c>
      <c r="E207" s="1973">
        <f t="shared" si="211"/>
        <v>0</v>
      </c>
      <c r="F207" s="1973">
        <f t="shared" si="211"/>
        <v>0</v>
      </c>
      <c r="G207" s="1973">
        <f t="shared" si="211"/>
        <v>0</v>
      </c>
      <c r="H207" s="1973">
        <f t="shared" si="211"/>
        <v>0</v>
      </c>
      <c r="I207" s="1973">
        <f t="shared" si="211"/>
        <v>0</v>
      </c>
      <c r="J207" s="1973">
        <f t="shared" si="211"/>
        <v>0</v>
      </c>
      <c r="K207" s="1973">
        <f t="shared" si="211"/>
        <v>0</v>
      </c>
      <c r="L207" s="1973">
        <f t="shared" si="211"/>
        <v>0</v>
      </c>
      <c r="M207" s="1973">
        <f t="shared" si="211"/>
        <v>0</v>
      </c>
      <c r="N207" s="1973">
        <f t="shared" si="211"/>
        <v>0</v>
      </c>
      <c r="O207" s="1973">
        <f t="shared" si="211"/>
        <v>0</v>
      </c>
      <c r="P207" s="1973">
        <f t="shared" si="211"/>
        <v>0</v>
      </c>
      <c r="Q207" s="1973">
        <f t="shared" si="211"/>
        <v>0</v>
      </c>
      <c r="R207" s="1973">
        <f t="shared" si="211"/>
        <v>0</v>
      </c>
      <c r="S207" s="1973">
        <f t="shared" si="211"/>
        <v>0</v>
      </c>
      <c r="T207" s="1973">
        <f t="shared" si="211"/>
        <v>0</v>
      </c>
      <c r="U207" s="1973">
        <f t="shared" si="211"/>
        <v>0</v>
      </c>
      <c r="V207" s="1973">
        <f t="shared" si="211"/>
        <v>0</v>
      </c>
      <c r="W207" s="1973">
        <f t="shared" si="211"/>
        <v>0</v>
      </c>
      <c r="X207" s="1973">
        <f t="shared" si="211"/>
        <v>0</v>
      </c>
      <c r="Y207" s="1973">
        <f t="shared" si="211"/>
        <v>0</v>
      </c>
      <c r="Z207" s="1973">
        <f t="shared" si="211"/>
        <v>0</v>
      </c>
      <c r="AA207" s="1973">
        <f t="shared" si="211"/>
        <v>0</v>
      </c>
      <c r="AB207" s="1973">
        <f t="shared" si="211"/>
        <v>0</v>
      </c>
      <c r="AC207" s="1973">
        <f t="shared" si="211"/>
        <v>0</v>
      </c>
      <c r="AD207" s="1973">
        <f t="shared" si="211"/>
        <v>0</v>
      </c>
      <c r="AE207" s="1973">
        <f t="shared" si="211"/>
        <v>0</v>
      </c>
      <c r="AF207" s="1973">
        <f t="shared" si="211"/>
        <v>0</v>
      </c>
      <c r="AG207" s="1973">
        <f t="shared" si="211"/>
        <v>0</v>
      </c>
      <c r="AH207" s="1974">
        <f t="shared" si="165"/>
        <v>0</v>
      </c>
      <c r="AJ207" s="1524" t="s">
        <v>83</v>
      </c>
      <c r="AK207" s="1527">
        <f t="shared" si="166"/>
        <v>0</v>
      </c>
      <c r="AL207" s="1835">
        <f t="shared" ref="AL207:BP207" si="212">+(AL15+AL31+AL47+AL63+AL79+AL95+AL111+AL127+AL143+AL159+AL175+AL191)</f>
        <v>0</v>
      </c>
      <c r="AM207" s="1835">
        <f t="shared" si="212"/>
        <v>0</v>
      </c>
      <c r="AN207" s="1835">
        <f t="shared" si="212"/>
        <v>0</v>
      </c>
      <c r="AO207" s="1835">
        <f t="shared" si="212"/>
        <v>0</v>
      </c>
      <c r="AP207" s="1835">
        <f t="shared" si="212"/>
        <v>0</v>
      </c>
      <c r="AQ207" s="1835">
        <f t="shared" si="212"/>
        <v>0</v>
      </c>
      <c r="AR207" s="1835">
        <f t="shared" si="212"/>
        <v>0</v>
      </c>
      <c r="AS207" s="1835">
        <f t="shared" si="212"/>
        <v>0</v>
      </c>
      <c r="AT207" s="1835">
        <f t="shared" si="212"/>
        <v>0</v>
      </c>
      <c r="AU207" s="1835">
        <f t="shared" si="212"/>
        <v>0</v>
      </c>
      <c r="AV207" s="1835">
        <f t="shared" si="212"/>
        <v>0</v>
      </c>
      <c r="AW207" s="1835">
        <f t="shared" si="212"/>
        <v>0</v>
      </c>
      <c r="AX207" s="1835">
        <f t="shared" si="212"/>
        <v>0</v>
      </c>
      <c r="AY207" s="1835">
        <f t="shared" si="212"/>
        <v>0</v>
      </c>
      <c r="AZ207" s="1835">
        <f t="shared" si="212"/>
        <v>0</v>
      </c>
      <c r="BA207" s="1835">
        <f t="shared" si="212"/>
        <v>0</v>
      </c>
      <c r="BB207" s="1835">
        <f t="shared" si="212"/>
        <v>0</v>
      </c>
      <c r="BC207" s="1835">
        <f t="shared" si="212"/>
        <v>0</v>
      </c>
      <c r="BD207" s="1835">
        <f t="shared" si="212"/>
        <v>0</v>
      </c>
      <c r="BE207" s="1835">
        <f t="shared" si="212"/>
        <v>0</v>
      </c>
      <c r="BF207" s="1835">
        <f t="shared" si="212"/>
        <v>0</v>
      </c>
      <c r="BG207" s="1835">
        <f t="shared" si="212"/>
        <v>0</v>
      </c>
      <c r="BH207" s="1835">
        <f t="shared" si="212"/>
        <v>0</v>
      </c>
      <c r="BI207" s="1835">
        <f t="shared" si="212"/>
        <v>0</v>
      </c>
      <c r="BJ207" s="1835">
        <f t="shared" si="212"/>
        <v>0</v>
      </c>
      <c r="BK207" s="1835">
        <f t="shared" si="212"/>
        <v>0</v>
      </c>
      <c r="BL207" s="1835">
        <f t="shared" si="212"/>
        <v>0</v>
      </c>
      <c r="BM207" s="1835">
        <f t="shared" si="212"/>
        <v>0</v>
      </c>
      <c r="BN207" s="1835">
        <f t="shared" si="212"/>
        <v>0</v>
      </c>
      <c r="BO207" s="1835">
        <f t="shared" si="212"/>
        <v>0</v>
      </c>
      <c r="BP207" s="1835">
        <f t="shared" si="212"/>
        <v>0</v>
      </c>
      <c r="BQ207" s="1834">
        <f t="shared" si="168"/>
        <v>0</v>
      </c>
      <c r="BS207" s="1621" t="s">
        <v>83</v>
      </c>
      <c r="BT207" s="1622">
        <f t="shared" si="169"/>
        <v>0.79300000000000015</v>
      </c>
      <c r="BU207" s="1827">
        <f t="shared" ref="BU207:CY207" si="213">+(BU15+BU31+BU47+BU63+BU79+BU95+BU111+BU127+BU143+BU159+BU175+BU191)</f>
        <v>0.01</v>
      </c>
      <c r="BV207" s="1827">
        <f t="shared" si="213"/>
        <v>0</v>
      </c>
      <c r="BW207" s="1827">
        <f t="shared" si="213"/>
        <v>0</v>
      </c>
      <c r="BX207" s="1827">
        <f t="shared" si="213"/>
        <v>0</v>
      </c>
      <c r="BY207" s="1827">
        <f t="shared" si="213"/>
        <v>0</v>
      </c>
      <c r="BZ207" s="1827">
        <f t="shared" si="213"/>
        <v>0</v>
      </c>
      <c r="CA207" s="1827">
        <f t="shared" si="213"/>
        <v>0</v>
      </c>
      <c r="CB207" s="1827">
        <f t="shared" si="213"/>
        <v>0.11</v>
      </c>
      <c r="CC207" s="1827">
        <f t="shared" si="213"/>
        <v>0</v>
      </c>
      <c r="CD207" s="1827">
        <f t="shared" si="213"/>
        <v>0</v>
      </c>
      <c r="CE207" s="1827">
        <f t="shared" si="213"/>
        <v>0.503</v>
      </c>
      <c r="CF207" s="1827">
        <f t="shared" si="213"/>
        <v>0</v>
      </c>
      <c r="CG207" s="1827">
        <f t="shared" si="213"/>
        <v>0.06</v>
      </c>
      <c r="CH207" s="1827">
        <f t="shared" si="213"/>
        <v>0</v>
      </c>
      <c r="CI207" s="1827">
        <f t="shared" si="213"/>
        <v>0</v>
      </c>
      <c r="CJ207" s="1827">
        <f t="shared" si="213"/>
        <v>0</v>
      </c>
      <c r="CK207" s="1827">
        <f t="shared" si="213"/>
        <v>0</v>
      </c>
      <c r="CL207" s="1827">
        <f t="shared" si="213"/>
        <v>0</v>
      </c>
      <c r="CM207" s="1827">
        <f t="shared" si="213"/>
        <v>0</v>
      </c>
      <c r="CN207" s="1827">
        <f t="shared" si="213"/>
        <v>0</v>
      </c>
      <c r="CO207" s="1827">
        <f t="shared" si="213"/>
        <v>0</v>
      </c>
      <c r="CP207" s="1827">
        <f t="shared" si="213"/>
        <v>0</v>
      </c>
      <c r="CQ207" s="1827">
        <f t="shared" si="213"/>
        <v>0.03</v>
      </c>
      <c r="CR207" s="1827">
        <f t="shared" si="213"/>
        <v>0</v>
      </c>
      <c r="CS207" s="1827">
        <f t="shared" si="213"/>
        <v>0</v>
      </c>
      <c r="CT207" s="1827">
        <f t="shared" si="213"/>
        <v>0.06</v>
      </c>
      <c r="CU207" s="1827">
        <f t="shared" si="213"/>
        <v>0</v>
      </c>
      <c r="CV207" s="1827">
        <f t="shared" si="213"/>
        <v>0.02</v>
      </c>
      <c r="CW207" s="1827">
        <f t="shared" si="213"/>
        <v>0</v>
      </c>
      <c r="CX207" s="1827">
        <f t="shared" si="213"/>
        <v>0</v>
      </c>
      <c r="CY207" s="1827">
        <f t="shared" si="213"/>
        <v>0</v>
      </c>
      <c r="CZ207" s="1826">
        <f t="shared" si="171"/>
        <v>0.79300000000000015</v>
      </c>
      <c r="DB207" s="1719" t="s">
        <v>83</v>
      </c>
      <c r="DC207" s="1821">
        <f t="shared" si="172"/>
        <v>0</v>
      </c>
      <c r="DD207" s="1818">
        <f t="shared" ref="DD207:EH207" si="214">+(DD15+DD31+DD47+DD63+DD79+DD95+DD111+DD127+DD143+DD159+DD175+DD191)</f>
        <v>0</v>
      </c>
      <c r="DE207" s="1822">
        <f t="shared" si="214"/>
        <v>0</v>
      </c>
      <c r="DF207" s="1822">
        <f t="shared" si="214"/>
        <v>0</v>
      </c>
      <c r="DG207" s="1822">
        <f t="shared" si="214"/>
        <v>0</v>
      </c>
      <c r="DH207" s="1822">
        <f t="shared" si="214"/>
        <v>0</v>
      </c>
      <c r="DI207" s="1822">
        <f t="shared" si="214"/>
        <v>0</v>
      </c>
      <c r="DJ207" s="1822">
        <f t="shared" si="214"/>
        <v>0</v>
      </c>
      <c r="DK207" s="1822">
        <f t="shared" si="214"/>
        <v>0</v>
      </c>
      <c r="DL207" s="1822">
        <f t="shared" si="214"/>
        <v>0</v>
      </c>
      <c r="DM207" s="1822">
        <f t="shared" si="214"/>
        <v>0</v>
      </c>
      <c r="DN207" s="1822">
        <f t="shared" si="214"/>
        <v>0</v>
      </c>
      <c r="DO207" s="1822">
        <f t="shared" si="214"/>
        <v>0</v>
      </c>
      <c r="DP207" s="1822">
        <f t="shared" si="214"/>
        <v>0</v>
      </c>
      <c r="DQ207" s="1822">
        <f t="shared" si="214"/>
        <v>0</v>
      </c>
      <c r="DR207" s="1822">
        <f t="shared" si="214"/>
        <v>0</v>
      </c>
      <c r="DS207" s="1852">
        <f t="shared" si="214"/>
        <v>0</v>
      </c>
      <c r="DT207" s="1852">
        <f t="shared" si="214"/>
        <v>0</v>
      </c>
      <c r="DU207" s="1852">
        <f t="shared" si="214"/>
        <v>0</v>
      </c>
      <c r="DV207" s="1852">
        <f t="shared" si="214"/>
        <v>0</v>
      </c>
      <c r="DW207" s="1852">
        <f t="shared" si="214"/>
        <v>0</v>
      </c>
      <c r="DX207" s="1852">
        <f t="shared" si="214"/>
        <v>0</v>
      </c>
      <c r="DY207" s="1852">
        <f t="shared" si="214"/>
        <v>0</v>
      </c>
      <c r="DZ207" s="1852">
        <f t="shared" si="214"/>
        <v>0</v>
      </c>
      <c r="EA207" s="1852">
        <f t="shared" si="214"/>
        <v>0</v>
      </c>
      <c r="EB207" s="1852">
        <f t="shared" si="214"/>
        <v>0</v>
      </c>
      <c r="EC207" s="1852">
        <f t="shared" si="214"/>
        <v>0</v>
      </c>
      <c r="ED207" s="1852">
        <f t="shared" si="214"/>
        <v>0</v>
      </c>
      <c r="EE207" s="1852">
        <f t="shared" si="214"/>
        <v>0</v>
      </c>
      <c r="EF207" s="1852">
        <f t="shared" si="214"/>
        <v>0</v>
      </c>
      <c r="EG207" s="1852">
        <f t="shared" si="214"/>
        <v>0</v>
      </c>
      <c r="EH207" s="1818">
        <f t="shared" si="214"/>
        <v>0</v>
      </c>
      <c r="EI207" s="1817">
        <f t="shared" si="174"/>
        <v>0</v>
      </c>
    </row>
    <row r="208" spans="1:139" ht="15">
      <c r="A208" s="1039" t="s">
        <v>84</v>
      </c>
      <c r="B208" s="1084">
        <f t="shared" si="163"/>
        <v>0</v>
      </c>
      <c r="C208" s="1973">
        <f t="shared" ref="C208:AG208" si="215">+(C96+C112+C128+C144+C160+C176+C192)</f>
        <v>0</v>
      </c>
      <c r="D208" s="1973">
        <f t="shared" si="215"/>
        <v>0</v>
      </c>
      <c r="E208" s="1973">
        <f t="shared" si="215"/>
        <v>0</v>
      </c>
      <c r="F208" s="1973">
        <f t="shared" si="215"/>
        <v>0</v>
      </c>
      <c r="G208" s="1973">
        <f t="shared" si="215"/>
        <v>0</v>
      </c>
      <c r="H208" s="1973">
        <f t="shared" si="215"/>
        <v>0</v>
      </c>
      <c r="I208" s="1973">
        <f t="shared" si="215"/>
        <v>0</v>
      </c>
      <c r="J208" s="1973">
        <f t="shared" si="215"/>
        <v>0</v>
      </c>
      <c r="K208" s="1973">
        <f t="shared" si="215"/>
        <v>0</v>
      </c>
      <c r="L208" s="1973">
        <f t="shared" si="215"/>
        <v>0</v>
      </c>
      <c r="M208" s="1973">
        <f t="shared" si="215"/>
        <v>0</v>
      </c>
      <c r="N208" s="1973">
        <f t="shared" si="215"/>
        <v>0</v>
      </c>
      <c r="O208" s="1973">
        <f t="shared" si="215"/>
        <v>0</v>
      </c>
      <c r="P208" s="1973">
        <f t="shared" si="215"/>
        <v>0</v>
      </c>
      <c r="Q208" s="1973">
        <f t="shared" si="215"/>
        <v>0</v>
      </c>
      <c r="R208" s="1973">
        <f t="shared" si="215"/>
        <v>0</v>
      </c>
      <c r="S208" s="1973">
        <f t="shared" si="215"/>
        <v>0</v>
      </c>
      <c r="T208" s="1973">
        <f t="shared" si="215"/>
        <v>0</v>
      </c>
      <c r="U208" s="1973">
        <f t="shared" si="215"/>
        <v>0</v>
      </c>
      <c r="V208" s="1973">
        <f t="shared" si="215"/>
        <v>0</v>
      </c>
      <c r="W208" s="1973">
        <f t="shared" si="215"/>
        <v>0</v>
      </c>
      <c r="X208" s="1973">
        <f t="shared" si="215"/>
        <v>0</v>
      </c>
      <c r="Y208" s="1973">
        <f t="shared" si="215"/>
        <v>0</v>
      </c>
      <c r="Z208" s="1973">
        <f t="shared" si="215"/>
        <v>0</v>
      </c>
      <c r="AA208" s="1973">
        <f t="shared" si="215"/>
        <v>0</v>
      </c>
      <c r="AB208" s="1973">
        <f t="shared" si="215"/>
        <v>0</v>
      </c>
      <c r="AC208" s="1973">
        <f t="shared" si="215"/>
        <v>0</v>
      </c>
      <c r="AD208" s="1973">
        <f t="shared" si="215"/>
        <v>0</v>
      </c>
      <c r="AE208" s="1973">
        <f t="shared" si="215"/>
        <v>0</v>
      </c>
      <c r="AF208" s="1973">
        <f t="shared" si="215"/>
        <v>0</v>
      </c>
      <c r="AG208" s="1973">
        <f t="shared" si="215"/>
        <v>0</v>
      </c>
      <c r="AH208" s="1974">
        <f t="shared" si="165"/>
        <v>0</v>
      </c>
      <c r="AJ208" s="1524" t="s">
        <v>84</v>
      </c>
      <c r="AK208" s="1527">
        <f t="shared" si="166"/>
        <v>0</v>
      </c>
      <c r="AL208" s="1835">
        <f t="shared" ref="AL208:BP208" si="216">+(AL16+AL32+AL48+AL64+AL80+AL96+AL112+AL128+AL144+AL160+AL176+AL192)</f>
        <v>0</v>
      </c>
      <c r="AM208" s="1835">
        <f t="shared" si="216"/>
        <v>0</v>
      </c>
      <c r="AN208" s="1835">
        <f t="shared" si="216"/>
        <v>0</v>
      </c>
      <c r="AO208" s="1835">
        <f t="shared" si="216"/>
        <v>0</v>
      </c>
      <c r="AP208" s="1835">
        <f t="shared" si="216"/>
        <v>0</v>
      </c>
      <c r="AQ208" s="1835">
        <f t="shared" si="216"/>
        <v>0</v>
      </c>
      <c r="AR208" s="1835">
        <f t="shared" si="216"/>
        <v>0</v>
      </c>
      <c r="AS208" s="1835">
        <f t="shared" si="216"/>
        <v>0</v>
      </c>
      <c r="AT208" s="1835">
        <f t="shared" si="216"/>
        <v>0</v>
      </c>
      <c r="AU208" s="1835">
        <f t="shared" si="216"/>
        <v>0</v>
      </c>
      <c r="AV208" s="1835">
        <f t="shared" si="216"/>
        <v>0</v>
      </c>
      <c r="AW208" s="1835">
        <f t="shared" si="216"/>
        <v>0</v>
      </c>
      <c r="AX208" s="1835">
        <f t="shared" si="216"/>
        <v>0</v>
      </c>
      <c r="AY208" s="1835">
        <f t="shared" si="216"/>
        <v>0</v>
      </c>
      <c r="AZ208" s="1835">
        <f t="shared" si="216"/>
        <v>0</v>
      </c>
      <c r="BA208" s="1835">
        <f t="shared" si="216"/>
        <v>0</v>
      </c>
      <c r="BB208" s="1835">
        <f t="shared" si="216"/>
        <v>0</v>
      </c>
      <c r="BC208" s="1835">
        <f t="shared" si="216"/>
        <v>0</v>
      </c>
      <c r="BD208" s="1835">
        <f t="shared" si="216"/>
        <v>0</v>
      </c>
      <c r="BE208" s="1835">
        <f t="shared" si="216"/>
        <v>0</v>
      </c>
      <c r="BF208" s="1835">
        <f t="shared" si="216"/>
        <v>0</v>
      </c>
      <c r="BG208" s="1835">
        <f t="shared" si="216"/>
        <v>0</v>
      </c>
      <c r="BH208" s="1835">
        <f t="shared" si="216"/>
        <v>0</v>
      </c>
      <c r="BI208" s="1835">
        <f t="shared" si="216"/>
        <v>0</v>
      </c>
      <c r="BJ208" s="1835">
        <f t="shared" si="216"/>
        <v>0</v>
      </c>
      <c r="BK208" s="1835">
        <f t="shared" si="216"/>
        <v>0</v>
      </c>
      <c r="BL208" s="1835">
        <f t="shared" si="216"/>
        <v>0</v>
      </c>
      <c r="BM208" s="1835">
        <f t="shared" si="216"/>
        <v>0</v>
      </c>
      <c r="BN208" s="1835">
        <f t="shared" si="216"/>
        <v>0</v>
      </c>
      <c r="BO208" s="1835">
        <f t="shared" si="216"/>
        <v>0</v>
      </c>
      <c r="BP208" s="1835">
        <f t="shared" si="216"/>
        <v>0</v>
      </c>
      <c r="BQ208" s="1834">
        <f t="shared" si="168"/>
        <v>0</v>
      </c>
      <c r="BS208" s="1621" t="s">
        <v>84</v>
      </c>
      <c r="BT208" s="1622">
        <f t="shared" si="169"/>
        <v>0.496</v>
      </c>
      <c r="BU208" s="1827">
        <f t="shared" ref="BU208:CY208" si="217">+(BU16+BU32+BU48+BU64+BU80+BU96+BU112+BU128+BU144+BU160+BU176+BU192)</f>
        <v>0</v>
      </c>
      <c r="BV208" s="1827">
        <f t="shared" si="217"/>
        <v>0</v>
      </c>
      <c r="BW208" s="1827">
        <f t="shared" si="217"/>
        <v>2E-3</v>
      </c>
      <c r="BX208" s="1827">
        <f t="shared" si="217"/>
        <v>1.2E-2</v>
      </c>
      <c r="BY208" s="1827">
        <f t="shared" si="217"/>
        <v>2.4999999999999998E-2</v>
      </c>
      <c r="BZ208" s="1827">
        <f t="shared" si="217"/>
        <v>0</v>
      </c>
      <c r="CA208" s="1827">
        <f t="shared" si="217"/>
        <v>0</v>
      </c>
      <c r="CB208" s="1827">
        <f t="shared" si="217"/>
        <v>4.0000000000000001E-3</v>
      </c>
      <c r="CC208" s="1827">
        <f t="shared" si="217"/>
        <v>0</v>
      </c>
      <c r="CD208" s="1827">
        <f t="shared" si="217"/>
        <v>0.38500000000000001</v>
      </c>
      <c r="CE208" s="1827">
        <f t="shared" si="217"/>
        <v>0.01</v>
      </c>
      <c r="CF208" s="1827">
        <f t="shared" si="217"/>
        <v>0</v>
      </c>
      <c r="CG208" s="1827">
        <f t="shared" si="217"/>
        <v>5.0000000000000001E-3</v>
      </c>
      <c r="CH208" s="1827">
        <f t="shared" si="217"/>
        <v>0</v>
      </c>
      <c r="CI208" s="1827">
        <f t="shared" si="217"/>
        <v>0</v>
      </c>
      <c r="CJ208" s="1827">
        <f t="shared" si="217"/>
        <v>0.03</v>
      </c>
      <c r="CK208" s="1827">
        <f t="shared" si="217"/>
        <v>0</v>
      </c>
      <c r="CL208" s="1827">
        <f t="shared" si="217"/>
        <v>0</v>
      </c>
      <c r="CM208" s="1827">
        <f t="shared" si="217"/>
        <v>0</v>
      </c>
      <c r="CN208" s="1827">
        <f t="shared" si="217"/>
        <v>1.4999999999999999E-2</v>
      </c>
      <c r="CO208" s="1827">
        <f t="shared" si="217"/>
        <v>0</v>
      </c>
      <c r="CP208" s="1827">
        <f t="shared" si="217"/>
        <v>0</v>
      </c>
      <c r="CQ208" s="1827">
        <f t="shared" si="217"/>
        <v>0</v>
      </c>
      <c r="CR208" s="1827">
        <f t="shared" si="217"/>
        <v>0</v>
      </c>
      <c r="CS208" s="1827">
        <f t="shared" si="217"/>
        <v>8.0000000000000002E-3</v>
      </c>
      <c r="CT208" s="1827">
        <f t="shared" si="217"/>
        <v>0</v>
      </c>
      <c r="CU208" s="1827">
        <f t="shared" si="217"/>
        <v>0</v>
      </c>
      <c r="CV208" s="1827">
        <f t="shared" si="217"/>
        <v>0</v>
      </c>
      <c r="CW208" s="1827">
        <f t="shared" si="217"/>
        <v>0</v>
      </c>
      <c r="CX208" s="1827">
        <f t="shared" si="217"/>
        <v>0</v>
      </c>
      <c r="CY208" s="1827">
        <f t="shared" si="217"/>
        <v>0</v>
      </c>
      <c r="CZ208" s="1826">
        <f t="shared" si="171"/>
        <v>0.496</v>
      </c>
      <c r="DB208" s="1719" t="s">
        <v>84</v>
      </c>
      <c r="DC208" s="1821">
        <f t="shared" si="172"/>
        <v>0</v>
      </c>
      <c r="DD208" s="1818">
        <f t="shared" ref="DD208:EH208" si="218">+(DD16+DD32+DD48+DD64+DD80+DD96+DD112+DD128+DD144+DD160+DD176+DD192)</f>
        <v>0</v>
      </c>
      <c r="DE208" s="1852">
        <f t="shared" si="218"/>
        <v>0</v>
      </c>
      <c r="DF208" s="1852">
        <f t="shared" si="218"/>
        <v>0</v>
      </c>
      <c r="DG208" s="1852">
        <f t="shared" si="218"/>
        <v>0</v>
      </c>
      <c r="DH208" s="1818">
        <f t="shared" si="218"/>
        <v>0</v>
      </c>
      <c r="DI208" s="1818">
        <f t="shared" si="218"/>
        <v>0</v>
      </c>
      <c r="DJ208" s="1818">
        <f t="shared" si="218"/>
        <v>0</v>
      </c>
      <c r="DK208" s="1818">
        <f t="shared" si="218"/>
        <v>0</v>
      </c>
      <c r="DL208" s="1818">
        <f t="shared" si="218"/>
        <v>0</v>
      </c>
      <c r="DM208" s="1818">
        <f t="shared" si="218"/>
        <v>0</v>
      </c>
      <c r="DN208" s="1818">
        <f t="shared" si="218"/>
        <v>0</v>
      </c>
      <c r="DO208" s="1818">
        <f t="shared" si="218"/>
        <v>0</v>
      </c>
      <c r="DP208" s="1818">
        <f t="shared" si="218"/>
        <v>0</v>
      </c>
      <c r="DQ208" s="1818">
        <f t="shared" si="218"/>
        <v>0</v>
      </c>
      <c r="DR208" s="1818">
        <f t="shared" si="218"/>
        <v>0</v>
      </c>
      <c r="DS208" s="1818">
        <f t="shared" si="218"/>
        <v>0</v>
      </c>
      <c r="DT208" s="1818">
        <f t="shared" si="218"/>
        <v>0</v>
      </c>
      <c r="DU208" s="1818">
        <f t="shared" si="218"/>
        <v>0</v>
      </c>
      <c r="DV208" s="1818">
        <f t="shared" si="218"/>
        <v>0</v>
      </c>
      <c r="DW208" s="1818">
        <f t="shared" si="218"/>
        <v>0</v>
      </c>
      <c r="DX208" s="1818">
        <f t="shared" si="218"/>
        <v>0</v>
      </c>
      <c r="DY208" s="1818">
        <f t="shared" si="218"/>
        <v>0</v>
      </c>
      <c r="DZ208" s="1818">
        <f t="shared" si="218"/>
        <v>0</v>
      </c>
      <c r="EA208" s="1818">
        <f t="shared" si="218"/>
        <v>0</v>
      </c>
      <c r="EB208" s="1818">
        <f t="shared" si="218"/>
        <v>0</v>
      </c>
      <c r="EC208" s="1818">
        <f t="shared" si="218"/>
        <v>0</v>
      </c>
      <c r="ED208" s="1818">
        <f t="shared" si="218"/>
        <v>0</v>
      </c>
      <c r="EE208" s="1818">
        <f t="shared" si="218"/>
        <v>0</v>
      </c>
      <c r="EF208" s="1818">
        <f t="shared" si="218"/>
        <v>0</v>
      </c>
      <c r="EG208" s="1818">
        <f t="shared" si="218"/>
        <v>0</v>
      </c>
      <c r="EH208" s="1818">
        <f t="shared" si="218"/>
        <v>0</v>
      </c>
      <c r="EI208" s="1817">
        <f t="shared" si="174"/>
        <v>0</v>
      </c>
    </row>
    <row r="209" spans="1:139" ht="15">
      <c r="A209" s="1988" t="s">
        <v>72</v>
      </c>
      <c r="B209" s="1989">
        <f t="shared" ref="B209:AH209" si="219">SUM(B197:B208)</f>
        <v>5.6319999999999997</v>
      </c>
      <c r="C209" s="1973">
        <f t="shared" si="219"/>
        <v>1.02</v>
      </c>
      <c r="D209" s="1973">
        <f t="shared" si="219"/>
        <v>0</v>
      </c>
      <c r="E209" s="1973">
        <f t="shared" si="219"/>
        <v>0</v>
      </c>
      <c r="F209" s="1973">
        <f t="shared" si="219"/>
        <v>0</v>
      </c>
      <c r="G209" s="1973">
        <f t="shared" si="219"/>
        <v>0</v>
      </c>
      <c r="H209" s="1973">
        <f t="shared" si="219"/>
        <v>0</v>
      </c>
      <c r="I209" s="1973">
        <f t="shared" si="219"/>
        <v>0</v>
      </c>
      <c r="J209" s="1973">
        <f t="shared" si="219"/>
        <v>0</v>
      </c>
      <c r="K209" s="1973">
        <f t="shared" si="219"/>
        <v>0</v>
      </c>
      <c r="L209" s="1973">
        <f t="shared" si="219"/>
        <v>0</v>
      </c>
      <c r="M209" s="1973">
        <f t="shared" si="219"/>
        <v>0</v>
      </c>
      <c r="N209" s="1973">
        <f t="shared" si="219"/>
        <v>0</v>
      </c>
      <c r="O209" s="1973">
        <f t="shared" si="219"/>
        <v>0</v>
      </c>
      <c r="P209" s="1973">
        <f t="shared" si="219"/>
        <v>0</v>
      </c>
      <c r="Q209" s="1973">
        <f t="shared" si="219"/>
        <v>0</v>
      </c>
      <c r="R209" s="1973">
        <f t="shared" si="219"/>
        <v>0</v>
      </c>
      <c r="S209" s="1973">
        <f t="shared" si="219"/>
        <v>0</v>
      </c>
      <c r="T209" s="1973">
        <f t="shared" si="219"/>
        <v>0</v>
      </c>
      <c r="U209" s="1973">
        <f t="shared" si="219"/>
        <v>0</v>
      </c>
      <c r="V209" s="1973">
        <f t="shared" si="219"/>
        <v>0</v>
      </c>
      <c r="W209" s="1973">
        <f t="shared" si="219"/>
        <v>0</v>
      </c>
      <c r="X209" s="1973">
        <f t="shared" si="219"/>
        <v>0</v>
      </c>
      <c r="Y209" s="1973">
        <f t="shared" si="219"/>
        <v>0</v>
      </c>
      <c r="Z209" s="1973">
        <f t="shared" si="219"/>
        <v>0.68799999999999994</v>
      </c>
      <c r="AA209" s="1973">
        <f t="shared" si="219"/>
        <v>0</v>
      </c>
      <c r="AB209" s="1973">
        <f t="shared" si="219"/>
        <v>0</v>
      </c>
      <c r="AC209" s="1973">
        <f t="shared" si="219"/>
        <v>0</v>
      </c>
      <c r="AD209" s="1973">
        <f t="shared" si="219"/>
        <v>3.81</v>
      </c>
      <c r="AE209" s="1973">
        <f t="shared" si="219"/>
        <v>0</v>
      </c>
      <c r="AF209" s="1973">
        <f t="shared" si="219"/>
        <v>0.114</v>
      </c>
      <c r="AG209" s="1973">
        <f t="shared" si="219"/>
        <v>0</v>
      </c>
      <c r="AH209" s="1974">
        <f t="shared" si="219"/>
        <v>5.6319999999999997</v>
      </c>
      <c r="AJ209" s="1837" t="s">
        <v>72</v>
      </c>
      <c r="AK209" s="1836">
        <f t="shared" ref="AK209:BQ209" si="220">SUM(AK197:AK208)</f>
        <v>9.6920000000000002</v>
      </c>
      <c r="AL209" s="1835">
        <f t="shared" si="220"/>
        <v>2.1219999999999999</v>
      </c>
      <c r="AM209" s="1835">
        <f t="shared" si="220"/>
        <v>0</v>
      </c>
      <c r="AN209" s="1835">
        <f t="shared" si="220"/>
        <v>0</v>
      </c>
      <c r="AO209" s="1835">
        <f t="shared" si="220"/>
        <v>0</v>
      </c>
      <c r="AP209" s="1835">
        <f t="shared" si="220"/>
        <v>0</v>
      </c>
      <c r="AQ209" s="1835">
        <f t="shared" si="220"/>
        <v>0</v>
      </c>
      <c r="AR209" s="1835">
        <f t="shared" si="220"/>
        <v>0</v>
      </c>
      <c r="AS209" s="1835">
        <f t="shared" si="220"/>
        <v>0</v>
      </c>
      <c r="AT209" s="1835">
        <f t="shared" si="220"/>
        <v>0</v>
      </c>
      <c r="AU209" s="1835">
        <f t="shared" si="220"/>
        <v>0</v>
      </c>
      <c r="AV209" s="1835">
        <f t="shared" si="220"/>
        <v>2.258</v>
      </c>
      <c r="AW209" s="1835">
        <f t="shared" si="220"/>
        <v>0</v>
      </c>
      <c r="AX209" s="1835">
        <f t="shared" si="220"/>
        <v>0</v>
      </c>
      <c r="AY209" s="1835">
        <f t="shared" si="220"/>
        <v>0</v>
      </c>
      <c r="AZ209" s="1835">
        <f t="shared" si="220"/>
        <v>0</v>
      </c>
      <c r="BA209" s="1835">
        <f t="shared" si="220"/>
        <v>0</v>
      </c>
      <c r="BB209" s="1835">
        <f t="shared" si="220"/>
        <v>0</v>
      </c>
      <c r="BC209" s="1835">
        <f t="shared" si="220"/>
        <v>0</v>
      </c>
      <c r="BD209" s="1835">
        <f t="shared" si="220"/>
        <v>0</v>
      </c>
      <c r="BE209" s="1835">
        <f t="shared" si="220"/>
        <v>0</v>
      </c>
      <c r="BF209" s="1835">
        <f t="shared" si="220"/>
        <v>0</v>
      </c>
      <c r="BG209" s="1835">
        <f t="shared" si="220"/>
        <v>0</v>
      </c>
      <c r="BH209" s="1835">
        <f t="shared" si="220"/>
        <v>0</v>
      </c>
      <c r="BI209" s="1835">
        <f t="shared" si="220"/>
        <v>9.8000000000000004E-2</v>
      </c>
      <c r="BJ209" s="1835">
        <f t="shared" si="220"/>
        <v>0</v>
      </c>
      <c r="BK209" s="1835">
        <f t="shared" si="220"/>
        <v>0</v>
      </c>
      <c r="BL209" s="1835">
        <f t="shared" si="220"/>
        <v>0</v>
      </c>
      <c r="BM209" s="1835">
        <f t="shared" si="220"/>
        <v>4.7320000000000002</v>
      </c>
      <c r="BN209" s="1835">
        <f t="shared" si="220"/>
        <v>0</v>
      </c>
      <c r="BO209" s="1835">
        <f t="shared" si="220"/>
        <v>0.48199999999999998</v>
      </c>
      <c r="BP209" s="1835">
        <f t="shared" si="220"/>
        <v>0</v>
      </c>
      <c r="BQ209" s="1834">
        <f t="shared" si="220"/>
        <v>9.6920000000000002</v>
      </c>
      <c r="BS209" s="1829" t="s">
        <v>72</v>
      </c>
      <c r="BT209" s="1828">
        <f>SUM(BT197:BT208)</f>
        <v>22.632000000000001</v>
      </c>
      <c r="BU209" s="1826">
        <f t="shared" ref="BU209:CY209" si="221">+(BU17+BU33+BU49+BU65+BU81+BU97+BU113+BU129+BU145+BU161+BU177+BU193)</f>
        <v>0.10299999999999999</v>
      </c>
      <c r="BV209" s="1826">
        <f t="shared" si="221"/>
        <v>0.84800000000000009</v>
      </c>
      <c r="BW209" s="1826">
        <f t="shared" si="221"/>
        <v>0.16500000000000001</v>
      </c>
      <c r="BX209" s="1826">
        <f t="shared" si="221"/>
        <v>2.839</v>
      </c>
      <c r="BY209" s="1826">
        <f t="shared" si="221"/>
        <v>3.4909999999999997</v>
      </c>
      <c r="BZ209" s="1826">
        <f t="shared" si="221"/>
        <v>4.9999999999999996E-2</v>
      </c>
      <c r="CA209" s="1826">
        <f t="shared" si="221"/>
        <v>0.35499999999999998</v>
      </c>
      <c r="CB209" s="1826">
        <f t="shared" si="221"/>
        <v>0.31999999999999995</v>
      </c>
      <c r="CC209" s="1826">
        <f t="shared" si="221"/>
        <v>0.14100000000000001</v>
      </c>
      <c r="CD209" s="1826">
        <f t="shared" si="221"/>
        <v>1.663</v>
      </c>
      <c r="CE209" s="1826">
        <f t="shared" si="221"/>
        <v>0.58800000000000008</v>
      </c>
      <c r="CF209" s="1826">
        <f t="shared" si="221"/>
        <v>0.70799999999999996</v>
      </c>
      <c r="CG209" s="1826">
        <f t="shared" si="221"/>
        <v>0.27599999999999997</v>
      </c>
      <c r="CH209" s="1826">
        <f t="shared" si="221"/>
        <v>0.29499999999999998</v>
      </c>
      <c r="CI209" s="1826">
        <f t="shared" si="221"/>
        <v>0.20500000000000002</v>
      </c>
      <c r="CJ209" s="1826">
        <f t="shared" si="221"/>
        <v>0.17099999999999999</v>
      </c>
      <c r="CK209" s="1826">
        <f t="shared" si="221"/>
        <v>0.128</v>
      </c>
      <c r="CL209" s="1826">
        <f t="shared" si="221"/>
        <v>6.4999999999999933E-2</v>
      </c>
      <c r="CM209" s="1826">
        <f t="shared" si="221"/>
        <v>0.31899999999999989</v>
      </c>
      <c r="CN209" s="1826">
        <f t="shared" si="221"/>
        <v>0.05</v>
      </c>
      <c r="CO209" s="1826">
        <f t="shared" si="221"/>
        <v>0.125</v>
      </c>
      <c r="CP209" s="1826">
        <f t="shared" si="221"/>
        <v>0.09</v>
      </c>
      <c r="CQ209" s="1826">
        <f t="shared" si="221"/>
        <v>4.7999999999999987E-2</v>
      </c>
      <c r="CR209" s="1826">
        <f t="shared" si="221"/>
        <v>2.0000000000000018E-2</v>
      </c>
      <c r="CS209" s="1826">
        <f t="shared" si="221"/>
        <v>0.10999999999999999</v>
      </c>
      <c r="CT209" s="1826">
        <f t="shared" si="221"/>
        <v>0.87200000000000011</v>
      </c>
      <c r="CU209" s="1826">
        <f t="shared" si="221"/>
        <v>8.8999999999999996E-2</v>
      </c>
      <c r="CV209" s="1826">
        <f t="shared" si="221"/>
        <v>9.4E-2</v>
      </c>
      <c r="CW209" s="1826">
        <f t="shared" si="221"/>
        <v>6.4999999999999988E-2</v>
      </c>
      <c r="CX209" s="1826">
        <f t="shared" si="221"/>
        <v>7.9089999999999989</v>
      </c>
      <c r="CY209" s="1826">
        <f t="shared" si="221"/>
        <v>0.43000000000000005</v>
      </c>
      <c r="CZ209" s="1826">
        <f>SUM(CZ197:CZ208)</f>
        <v>22.632000000000001</v>
      </c>
      <c r="DB209" s="1820" t="s">
        <v>72</v>
      </c>
      <c r="DC209" s="1819">
        <f>SUM(DC197:DC208)</f>
        <v>0</v>
      </c>
      <c r="DD209" s="1817">
        <f t="shared" ref="DD209:EH209" si="222">+(DD17+DD33+DD49+DD65+DD81+DD97+DD113+DD129+DD145+DD161+DD177+DD193)</f>
        <v>0</v>
      </c>
      <c r="DE209" s="1817">
        <f t="shared" si="222"/>
        <v>0</v>
      </c>
      <c r="DF209" s="1817">
        <f t="shared" si="222"/>
        <v>0</v>
      </c>
      <c r="DG209" s="1817">
        <f t="shared" si="222"/>
        <v>0</v>
      </c>
      <c r="DH209" s="1817">
        <f t="shared" si="222"/>
        <v>0</v>
      </c>
      <c r="DI209" s="1817">
        <f t="shared" si="222"/>
        <v>0</v>
      </c>
      <c r="DJ209" s="1817">
        <f t="shared" si="222"/>
        <v>0</v>
      </c>
      <c r="DK209" s="1817">
        <f t="shared" si="222"/>
        <v>0</v>
      </c>
      <c r="DL209" s="1817">
        <f t="shared" si="222"/>
        <v>0</v>
      </c>
      <c r="DM209" s="1817">
        <f t="shared" si="222"/>
        <v>0</v>
      </c>
      <c r="DN209" s="1817">
        <f t="shared" si="222"/>
        <v>0</v>
      </c>
      <c r="DO209" s="1817">
        <f t="shared" si="222"/>
        <v>0</v>
      </c>
      <c r="DP209" s="1817">
        <f t="shared" si="222"/>
        <v>0</v>
      </c>
      <c r="DQ209" s="1817">
        <f t="shared" si="222"/>
        <v>0</v>
      </c>
      <c r="DR209" s="1817">
        <f t="shared" si="222"/>
        <v>0</v>
      </c>
      <c r="DS209" s="1817">
        <f t="shared" si="222"/>
        <v>0</v>
      </c>
      <c r="DT209" s="1817">
        <f t="shared" si="222"/>
        <v>0</v>
      </c>
      <c r="DU209" s="1817">
        <f t="shared" si="222"/>
        <v>0</v>
      </c>
      <c r="DV209" s="1817">
        <f t="shared" si="222"/>
        <v>0</v>
      </c>
      <c r="DW209" s="1817">
        <f t="shared" si="222"/>
        <v>0</v>
      </c>
      <c r="DX209" s="1817">
        <f t="shared" si="222"/>
        <v>0</v>
      </c>
      <c r="DY209" s="1817">
        <f t="shared" si="222"/>
        <v>0</v>
      </c>
      <c r="DZ209" s="1817">
        <f t="shared" si="222"/>
        <v>0</v>
      </c>
      <c r="EA209" s="1817">
        <f t="shared" si="222"/>
        <v>0</v>
      </c>
      <c r="EB209" s="1817">
        <f t="shared" si="222"/>
        <v>0</v>
      </c>
      <c r="EC209" s="1817">
        <f t="shared" si="222"/>
        <v>0</v>
      </c>
      <c r="ED209" s="1817">
        <f t="shared" si="222"/>
        <v>0</v>
      </c>
      <c r="EE209" s="1817">
        <f t="shared" si="222"/>
        <v>0</v>
      </c>
      <c r="EF209" s="1817">
        <f t="shared" si="222"/>
        <v>0</v>
      </c>
      <c r="EG209" s="1817">
        <f t="shared" si="222"/>
        <v>0</v>
      </c>
      <c r="EH209" s="1817">
        <f t="shared" si="222"/>
        <v>0</v>
      </c>
      <c r="EI209" s="1817">
        <f>SUM(EI197:EI208)</f>
        <v>0</v>
      </c>
    </row>
    <row r="211" spans="1:139" ht="15">
      <c r="AJ211" s="3821" t="s">
        <v>602</v>
      </c>
      <c r="AK211" s="3822"/>
      <c r="AL211" s="3823"/>
      <c r="AM211" s="1839"/>
      <c r="AN211" s="1839"/>
      <c r="AO211" s="1839"/>
      <c r="AP211" s="1839"/>
      <c r="AQ211" s="1839"/>
      <c r="AR211" s="1839"/>
      <c r="AS211" s="1839"/>
      <c r="AT211" s="1839"/>
      <c r="AU211" s="1839"/>
      <c r="AV211" s="1840"/>
      <c r="AW211" s="1839"/>
      <c r="AX211" s="1839"/>
      <c r="AY211" s="1839"/>
      <c r="AZ211" s="1839"/>
      <c r="BA211" s="1839"/>
      <c r="BB211" s="1839"/>
      <c r="BC211" s="1839"/>
      <c r="BD211" s="1839"/>
      <c r="BE211" s="1839"/>
      <c r="BF211" s="1839"/>
      <c r="BG211" s="1839"/>
      <c r="BH211" s="1839"/>
      <c r="BI211" s="1839"/>
      <c r="BJ211" s="1839"/>
      <c r="BK211" s="1839"/>
      <c r="BL211" s="1839"/>
      <c r="BM211" s="1839"/>
      <c r="BN211" s="1839"/>
      <c r="BO211" s="1839"/>
      <c r="BP211" s="1839"/>
      <c r="BQ211" s="1839"/>
      <c r="DB211" s="4038" t="s">
        <v>602</v>
      </c>
      <c r="DC211" s="4039"/>
      <c r="DD211" s="4040"/>
      <c r="DE211" s="1823"/>
      <c r="DF211" s="1823"/>
      <c r="DG211" s="1823"/>
      <c r="DH211" s="1823"/>
      <c r="DI211" s="1823"/>
      <c r="DJ211" s="1823"/>
      <c r="DK211" s="1823"/>
      <c r="DL211" s="1823"/>
      <c r="DM211" s="1823"/>
      <c r="DN211" s="1824"/>
      <c r="DO211" s="1823"/>
      <c r="DP211" s="1823"/>
      <c r="DQ211" s="1823"/>
      <c r="DR211" s="1823"/>
      <c r="DS211" s="1823"/>
      <c r="DT211" s="1823"/>
      <c r="DU211" s="1823"/>
      <c r="DV211" s="1823"/>
      <c r="DW211" s="1823"/>
      <c r="DX211" s="1823"/>
      <c r="DY211" s="1823"/>
      <c r="DZ211" s="1823"/>
      <c r="EA211" s="1823"/>
      <c r="EB211" s="1823"/>
      <c r="EC211" s="1823"/>
      <c r="ED211" s="1823"/>
      <c r="EE211" s="1823"/>
      <c r="EF211" s="1823"/>
      <c r="EG211" s="1823"/>
      <c r="EH211" s="1823"/>
      <c r="EI211" s="1823"/>
    </row>
    <row r="212" spans="1:139" ht="15">
      <c r="AJ212" s="1524" t="s">
        <v>70</v>
      </c>
      <c r="AK212" s="1524" t="s">
        <v>71</v>
      </c>
      <c r="AL212" s="1524">
        <v>1</v>
      </c>
      <c r="AM212" s="1524">
        <v>2</v>
      </c>
      <c r="AN212" s="1524">
        <v>3</v>
      </c>
      <c r="AO212" s="1524">
        <v>4</v>
      </c>
      <c r="AP212" s="1524">
        <v>5</v>
      </c>
      <c r="AQ212" s="1524">
        <v>6</v>
      </c>
      <c r="AR212" s="1524">
        <v>7</v>
      </c>
      <c r="AS212" s="1524">
        <v>8</v>
      </c>
      <c r="AT212" s="1524">
        <v>9</v>
      </c>
      <c r="AU212" s="1524">
        <v>10</v>
      </c>
      <c r="AV212" s="1524">
        <v>11</v>
      </c>
      <c r="AW212" s="1524">
        <v>12</v>
      </c>
      <c r="AX212" s="1524">
        <v>13</v>
      </c>
      <c r="AY212" s="1524">
        <v>14</v>
      </c>
      <c r="AZ212" s="1524">
        <v>15</v>
      </c>
      <c r="BA212" s="1524">
        <v>16</v>
      </c>
      <c r="BB212" s="1524">
        <v>17</v>
      </c>
      <c r="BC212" s="1524">
        <v>18</v>
      </c>
      <c r="BD212" s="1524">
        <v>19</v>
      </c>
      <c r="BE212" s="1524">
        <v>20</v>
      </c>
      <c r="BF212" s="1524">
        <v>21</v>
      </c>
      <c r="BG212" s="1524">
        <v>22</v>
      </c>
      <c r="BH212" s="1524">
        <v>23</v>
      </c>
      <c r="BI212" s="1524">
        <v>24</v>
      </c>
      <c r="BJ212" s="1524">
        <v>25</v>
      </c>
      <c r="BK212" s="1524">
        <v>26</v>
      </c>
      <c r="BL212" s="1524">
        <v>27</v>
      </c>
      <c r="BM212" s="1524">
        <v>28</v>
      </c>
      <c r="BN212" s="1524">
        <v>29</v>
      </c>
      <c r="BO212" s="1524">
        <v>30</v>
      </c>
      <c r="BP212" s="1524">
        <v>31</v>
      </c>
      <c r="BQ212" s="1838" t="s">
        <v>72</v>
      </c>
      <c r="DB212" s="1719" t="s">
        <v>70</v>
      </c>
      <c r="DC212" s="1719" t="s">
        <v>71</v>
      </c>
      <c r="DD212" s="1719">
        <v>1</v>
      </c>
      <c r="DE212" s="1719">
        <v>2</v>
      </c>
      <c r="DF212" s="1719">
        <v>3</v>
      </c>
      <c r="DG212" s="1719">
        <v>4</v>
      </c>
      <c r="DH212" s="1719">
        <v>5</v>
      </c>
      <c r="DI212" s="1719">
        <v>6</v>
      </c>
      <c r="DJ212" s="1719">
        <v>7</v>
      </c>
      <c r="DK212" s="1719">
        <v>8</v>
      </c>
      <c r="DL212" s="1719">
        <v>9</v>
      </c>
      <c r="DM212" s="1719">
        <v>10</v>
      </c>
      <c r="DN212" s="1719">
        <v>11</v>
      </c>
      <c r="DO212" s="1719">
        <v>12</v>
      </c>
      <c r="DP212" s="1719">
        <v>13</v>
      </c>
      <c r="DQ212" s="1719">
        <v>14</v>
      </c>
      <c r="DR212" s="1719">
        <v>15</v>
      </c>
      <c r="DS212" s="1719">
        <v>16</v>
      </c>
      <c r="DT212" s="1719">
        <v>17</v>
      </c>
      <c r="DU212" s="1719">
        <v>18</v>
      </c>
      <c r="DV212" s="1719">
        <v>19</v>
      </c>
      <c r="DW212" s="1719">
        <v>20</v>
      </c>
      <c r="DX212" s="1719">
        <v>21</v>
      </c>
      <c r="DY212" s="1719">
        <v>22</v>
      </c>
      <c r="DZ212" s="1719">
        <v>23</v>
      </c>
      <c r="EA212" s="1719">
        <v>24</v>
      </c>
      <c r="EB212" s="1719">
        <v>25</v>
      </c>
      <c r="EC212" s="1719">
        <v>26</v>
      </c>
      <c r="ED212" s="1719">
        <v>27</v>
      </c>
      <c r="EE212" s="1719">
        <v>28</v>
      </c>
      <c r="EF212" s="1719">
        <v>29</v>
      </c>
      <c r="EG212" s="1719">
        <v>30</v>
      </c>
      <c r="EH212" s="1719">
        <v>31</v>
      </c>
      <c r="EI212" s="1822" t="s">
        <v>72</v>
      </c>
    </row>
    <row r="213" spans="1:139" ht="15">
      <c r="AJ213" s="1524" t="s">
        <v>73</v>
      </c>
      <c r="AK213" s="1527">
        <f t="shared" ref="AK213:AK224" si="223">+BQ213</f>
        <v>0</v>
      </c>
      <c r="AL213" s="1835">
        <f t="shared" ref="AL213:BP213" si="224">+(AL5+AL21+AL37)</f>
        <v>0</v>
      </c>
      <c r="AM213" s="1835">
        <f t="shared" si="224"/>
        <v>0</v>
      </c>
      <c r="AN213" s="1835">
        <f t="shared" si="224"/>
        <v>0</v>
      </c>
      <c r="AO213" s="1835">
        <f t="shared" si="224"/>
        <v>0</v>
      </c>
      <c r="AP213" s="1835">
        <f t="shared" si="224"/>
        <v>0</v>
      </c>
      <c r="AQ213" s="1835">
        <f t="shared" si="224"/>
        <v>0</v>
      </c>
      <c r="AR213" s="1835">
        <f t="shared" si="224"/>
        <v>0</v>
      </c>
      <c r="AS213" s="1835">
        <f t="shared" si="224"/>
        <v>0</v>
      </c>
      <c r="AT213" s="1835">
        <f t="shared" si="224"/>
        <v>0</v>
      </c>
      <c r="AU213" s="1835">
        <f t="shared" si="224"/>
        <v>0</v>
      </c>
      <c r="AV213" s="1835">
        <f t="shared" si="224"/>
        <v>0</v>
      </c>
      <c r="AW213" s="1835">
        <f t="shared" si="224"/>
        <v>0</v>
      </c>
      <c r="AX213" s="1835">
        <f t="shared" si="224"/>
        <v>0</v>
      </c>
      <c r="AY213" s="1835">
        <f t="shared" si="224"/>
        <v>0</v>
      </c>
      <c r="AZ213" s="1835">
        <f t="shared" si="224"/>
        <v>0</v>
      </c>
      <c r="BA213" s="1835">
        <f t="shared" si="224"/>
        <v>0</v>
      </c>
      <c r="BB213" s="1835">
        <f t="shared" si="224"/>
        <v>0</v>
      </c>
      <c r="BC213" s="1835">
        <f t="shared" si="224"/>
        <v>0</v>
      </c>
      <c r="BD213" s="1835">
        <f t="shared" si="224"/>
        <v>0</v>
      </c>
      <c r="BE213" s="1835">
        <f t="shared" si="224"/>
        <v>0</v>
      </c>
      <c r="BF213" s="1835">
        <f t="shared" si="224"/>
        <v>0</v>
      </c>
      <c r="BG213" s="1835">
        <f t="shared" si="224"/>
        <v>0</v>
      </c>
      <c r="BH213" s="1835">
        <f t="shared" si="224"/>
        <v>0</v>
      </c>
      <c r="BI213" s="1835">
        <f t="shared" si="224"/>
        <v>0</v>
      </c>
      <c r="BJ213" s="1835">
        <f t="shared" si="224"/>
        <v>0</v>
      </c>
      <c r="BK213" s="1835">
        <f t="shared" si="224"/>
        <v>0</v>
      </c>
      <c r="BL213" s="1835">
        <f t="shared" si="224"/>
        <v>0</v>
      </c>
      <c r="BM213" s="1835">
        <f t="shared" si="224"/>
        <v>0</v>
      </c>
      <c r="BN213" s="1835">
        <f t="shared" si="224"/>
        <v>0</v>
      </c>
      <c r="BO213" s="1835">
        <f t="shared" si="224"/>
        <v>0</v>
      </c>
      <c r="BP213" s="1835">
        <f t="shared" si="224"/>
        <v>0</v>
      </c>
      <c r="BQ213" s="1834">
        <f t="shared" ref="BQ213:BQ224" si="225">SUM(AL213:BP213)</f>
        <v>0</v>
      </c>
      <c r="DB213" s="1719" t="s">
        <v>73</v>
      </c>
      <c r="DC213" s="1821">
        <f t="shared" ref="DC213:DC224" si="226">+EI213</f>
        <v>0</v>
      </c>
      <c r="DD213" s="1818">
        <f t="shared" ref="DD213:EH213" si="227">+(DD5+DD21+DD37)</f>
        <v>0</v>
      </c>
      <c r="DE213" s="1818">
        <f t="shared" si="227"/>
        <v>0</v>
      </c>
      <c r="DF213" s="1818">
        <f t="shared" si="227"/>
        <v>0</v>
      </c>
      <c r="DG213" s="1818">
        <f t="shared" si="227"/>
        <v>0</v>
      </c>
      <c r="DH213" s="1818">
        <f t="shared" si="227"/>
        <v>0</v>
      </c>
      <c r="DI213" s="1818">
        <f t="shared" si="227"/>
        <v>0</v>
      </c>
      <c r="DJ213" s="1818">
        <f t="shared" si="227"/>
        <v>0</v>
      </c>
      <c r="DK213" s="1818">
        <f t="shared" si="227"/>
        <v>0</v>
      </c>
      <c r="DL213" s="1818">
        <f t="shared" si="227"/>
        <v>0</v>
      </c>
      <c r="DM213" s="1818">
        <f t="shared" si="227"/>
        <v>0</v>
      </c>
      <c r="DN213" s="1818">
        <f t="shared" si="227"/>
        <v>0</v>
      </c>
      <c r="DO213" s="1818">
        <f t="shared" si="227"/>
        <v>0</v>
      </c>
      <c r="DP213" s="1818">
        <f t="shared" si="227"/>
        <v>0</v>
      </c>
      <c r="DQ213" s="1818">
        <f t="shared" si="227"/>
        <v>0</v>
      </c>
      <c r="DR213" s="1818">
        <f t="shared" si="227"/>
        <v>0</v>
      </c>
      <c r="DS213" s="1818">
        <f t="shared" si="227"/>
        <v>0</v>
      </c>
      <c r="DT213" s="1818">
        <f t="shared" si="227"/>
        <v>0</v>
      </c>
      <c r="DU213" s="1818">
        <f t="shared" si="227"/>
        <v>0</v>
      </c>
      <c r="DV213" s="1818">
        <f t="shared" si="227"/>
        <v>0</v>
      </c>
      <c r="DW213" s="1818">
        <f t="shared" si="227"/>
        <v>0</v>
      </c>
      <c r="DX213" s="1818">
        <f t="shared" si="227"/>
        <v>0</v>
      </c>
      <c r="DY213" s="1818">
        <f t="shared" si="227"/>
        <v>0</v>
      </c>
      <c r="DZ213" s="1818">
        <f t="shared" si="227"/>
        <v>0</v>
      </c>
      <c r="EA213" s="1818">
        <f t="shared" si="227"/>
        <v>0</v>
      </c>
      <c r="EB213" s="1818">
        <f t="shared" si="227"/>
        <v>0</v>
      </c>
      <c r="EC213" s="1818">
        <f t="shared" si="227"/>
        <v>0</v>
      </c>
      <c r="ED213" s="1818">
        <f t="shared" si="227"/>
        <v>0</v>
      </c>
      <c r="EE213" s="1818">
        <f t="shared" si="227"/>
        <v>0</v>
      </c>
      <c r="EF213" s="1818">
        <f t="shared" si="227"/>
        <v>0</v>
      </c>
      <c r="EG213" s="1818">
        <f t="shared" si="227"/>
        <v>0</v>
      </c>
      <c r="EH213" s="1818">
        <f t="shared" si="227"/>
        <v>0</v>
      </c>
      <c r="EI213" s="1817">
        <f t="shared" ref="EI213:EI224" si="228">SUM(DD213:EH213)</f>
        <v>0</v>
      </c>
    </row>
    <row r="214" spans="1:139" ht="15">
      <c r="AJ214" s="1524" t="s">
        <v>74</v>
      </c>
      <c r="AK214" s="1527">
        <f t="shared" si="223"/>
        <v>0</v>
      </c>
      <c r="AL214" s="1835">
        <f t="shared" ref="AL214:BP214" si="229">+(AL6+AL22+AL38)</f>
        <v>0</v>
      </c>
      <c r="AM214" s="1835">
        <f t="shared" si="229"/>
        <v>0</v>
      </c>
      <c r="AN214" s="1835">
        <f t="shared" si="229"/>
        <v>0</v>
      </c>
      <c r="AO214" s="1835">
        <f t="shared" si="229"/>
        <v>0</v>
      </c>
      <c r="AP214" s="1835">
        <f t="shared" si="229"/>
        <v>0</v>
      </c>
      <c r="AQ214" s="1835">
        <f t="shared" si="229"/>
        <v>0</v>
      </c>
      <c r="AR214" s="1835">
        <f t="shared" si="229"/>
        <v>0</v>
      </c>
      <c r="AS214" s="1835">
        <f t="shared" si="229"/>
        <v>0</v>
      </c>
      <c r="AT214" s="1835">
        <f t="shared" si="229"/>
        <v>0</v>
      </c>
      <c r="AU214" s="1835">
        <f t="shared" si="229"/>
        <v>0</v>
      </c>
      <c r="AV214" s="1835">
        <f t="shared" si="229"/>
        <v>0</v>
      </c>
      <c r="AW214" s="1835">
        <f t="shared" si="229"/>
        <v>0</v>
      </c>
      <c r="AX214" s="1835">
        <f t="shared" si="229"/>
        <v>0</v>
      </c>
      <c r="AY214" s="1835">
        <f t="shared" si="229"/>
        <v>0</v>
      </c>
      <c r="AZ214" s="1835">
        <f t="shared" si="229"/>
        <v>0</v>
      </c>
      <c r="BA214" s="1835">
        <f t="shared" si="229"/>
        <v>0</v>
      </c>
      <c r="BB214" s="1835">
        <f t="shared" si="229"/>
        <v>0</v>
      </c>
      <c r="BC214" s="1835">
        <f t="shared" si="229"/>
        <v>0</v>
      </c>
      <c r="BD214" s="1835">
        <f t="shared" si="229"/>
        <v>0</v>
      </c>
      <c r="BE214" s="1835">
        <f t="shared" si="229"/>
        <v>0</v>
      </c>
      <c r="BF214" s="1835">
        <f t="shared" si="229"/>
        <v>0</v>
      </c>
      <c r="BG214" s="1835">
        <f t="shared" si="229"/>
        <v>0</v>
      </c>
      <c r="BH214" s="1835">
        <f t="shared" si="229"/>
        <v>0</v>
      </c>
      <c r="BI214" s="1835">
        <f t="shared" si="229"/>
        <v>0</v>
      </c>
      <c r="BJ214" s="1835">
        <f t="shared" si="229"/>
        <v>0</v>
      </c>
      <c r="BK214" s="1835">
        <f t="shared" si="229"/>
        <v>0</v>
      </c>
      <c r="BL214" s="1835">
        <f t="shared" si="229"/>
        <v>0</v>
      </c>
      <c r="BM214" s="1835">
        <f t="shared" si="229"/>
        <v>0</v>
      </c>
      <c r="BN214" s="1835">
        <f t="shared" si="229"/>
        <v>0</v>
      </c>
      <c r="BO214" s="1835">
        <f t="shared" si="229"/>
        <v>0</v>
      </c>
      <c r="BP214" s="1835">
        <f t="shared" si="229"/>
        <v>0</v>
      </c>
      <c r="BQ214" s="1834">
        <f t="shared" si="225"/>
        <v>0</v>
      </c>
      <c r="DB214" s="1719" t="s">
        <v>74</v>
      </c>
      <c r="DC214" s="1821">
        <f t="shared" si="226"/>
        <v>0</v>
      </c>
      <c r="DD214" s="1818">
        <f t="shared" ref="DD214:EH214" si="230">+(DD6+DD22+DD38)</f>
        <v>0</v>
      </c>
      <c r="DE214" s="1818">
        <f t="shared" si="230"/>
        <v>0</v>
      </c>
      <c r="DF214" s="1818">
        <f t="shared" si="230"/>
        <v>0</v>
      </c>
      <c r="DG214" s="1818">
        <f t="shared" si="230"/>
        <v>0</v>
      </c>
      <c r="DH214" s="1818">
        <f t="shared" si="230"/>
        <v>0</v>
      </c>
      <c r="DI214" s="1818">
        <f t="shared" si="230"/>
        <v>0</v>
      </c>
      <c r="DJ214" s="1818">
        <f t="shared" si="230"/>
        <v>0</v>
      </c>
      <c r="DK214" s="1818">
        <f t="shared" si="230"/>
        <v>0</v>
      </c>
      <c r="DL214" s="1818">
        <f t="shared" si="230"/>
        <v>0</v>
      </c>
      <c r="DM214" s="1818">
        <f t="shared" si="230"/>
        <v>0</v>
      </c>
      <c r="DN214" s="1818">
        <f t="shared" si="230"/>
        <v>0</v>
      </c>
      <c r="DO214" s="1818">
        <f t="shared" si="230"/>
        <v>0</v>
      </c>
      <c r="DP214" s="1818">
        <f t="shared" si="230"/>
        <v>0</v>
      </c>
      <c r="DQ214" s="1818">
        <f t="shared" si="230"/>
        <v>0</v>
      </c>
      <c r="DR214" s="1818">
        <f t="shared" si="230"/>
        <v>0</v>
      </c>
      <c r="DS214" s="1818">
        <f t="shared" si="230"/>
        <v>0</v>
      </c>
      <c r="DT214" s="1818">
        <f t="shared" si="230"/>
        <v>0</v>
      </c>
      <c r="DU214" s="1818">
        <f t="shared" si="230"/>
        <v>0</v>
      </c>
      <c r="DV214" s="1818">
        <f t="shared" si="230"/>
        <v>0</v>
      </c>
      <c r="DW214" s="1818">
        <f t="shared" si="230"/>
        <v>0</v>
      </c>
      <c r="DX214" s="1818">
        <f t="shared" si="230"/>
        <v>0</v>
      </c>
      <c r="DY214" s="1818">
        <f t="shared" si="230"/>
        <v>0</v>
      </c>
      <c r="DZ214" s="1818">
        <f t="shared" si="230"/>
        <v>0</v>
      </c>
      <c r="EA214" s="1818">
        <f t="shared" si="230"/>
        <v>0</v>
      </c>
      <c r="EB214" s="1818">
        <f t="shared" si="230"/>
        <v>0</v>
      </c>
      <c r="EC214" s="1818">
        <f t="shared" si="230"/>
        <v>0</v>
      </c>
      <c r="ED214" s="1818">
        <f t="shared" si="230"/>
        <v>0</v>
      </c>
      <c r="EE214" s="1818">
        <f t="shared" si="230"/>
        <v>0</v>
      </c>
      <c r="EF214" s="1818">
        <f t="shared" si="230"/>
        <v>0</v>
      </c>
      <c r="EG214" s="1818">
        <f t="shared" si="230"/>
        <v>0</v>
      </c>
      <c r="EH214" s="1818">
        <f t="shared" si="230"/>
        <v>0</v>
      </c>
      <c r="EI214" s="1817">
        <f t="shared" si="228"/>
        <v>0</v>
      </c>
    </row>
    <row r="215" spans="1:139" ht="15">
      <c r="AJ215" s="1524" t="s">
        <v>75</v>
      </c>
      <c r="AK215" s="1527">
        <f t="shared" si="223"/>
        <v>0</v>
      </c>
      <c r="AL215" s="1835">
        <f t="shared" ref="AL215:BP215" si="231">+(AL7+AL23+AL39)</f>
        <v>0</v>
      </c>
      <c r="AM215" s="1835">
        <f t="shared" si="231"/>
        <v>0</v>
      </c>
      <c r="AN215" s="1835">
        <f t="shared" si="231"/>
        <v>0</v>
      </c>
      <c r="AO215" s="1835">
        <f t="shared" si="231"/>
        <v>0</v>
      </c>
      <c r="AP215" s="1835">
        <f t="shared" si="231"/>
        <v>0</v>
      </c>
      <c r="AQ215" s="1835">
        <f t="shared" si="231"/>
        <v>0</v>
      </c>
      <c r="AR215" s="1835">
        <f t="shared" si="231"/>
        <v>0</v>
      </c>
      <c r="AS215" s="1835">
        <f t="shared" si="231"/>
        <v>0</v>
      </c>
      <c r="AT215" s="1835">
        <f t="shared" si="231"/>
        <v>0</v>
      </c>
      <c r="AU215" s="1835">
        <f t="shared" si="231"/>
        <v>0</v>
      </c>
      <c r="AV215" s="1835">
        <f t="shared" si="231"/>
        <v>0</v>
      </c>
      <c r="AW215" s="1835">
        <f t="shared" si="231"/>
        <v>0</v>
      </c>
      <c r="AX215" s="1835">
        <f t="shared" si="231"/>
        <v>0</v>
      </c>
      <c r="AY215" s="1835">
        <f t="shared" si="231"/>
        <v>0</v>
      </c>
      <c r="AZ215" s="1835">
        <f t="shared" si="231"/>
        <v>0</v>
      </c>
      <c r="BA215" s="1835">
        <f t="shared" si="231"/>
        <v>0</v>
      </c>
      <c r="BB215" s="1835">
        <f t="shared" si="231"/>
        <v>0</v>
      </c>
      <c r="BC215" s="1835">
        <f t="shared" si="231"/>
        <v>0</v>
      </c>
      <c r="BD215" s="1835">
        <f t="shared" si="231"/>
        <v>0</v>
      </c>
      <c r="BE215" s="1835">
        <f t="shared" si="231"/>
        <v>0</v>
      </c>
      <c r="BF215" s="1835">
        <f t="shared" si="231"/>
        <v>0</v>
      </c>
      <c r="BG215" s="1835">
        <f t="shared" si="231"/>
        <v>0</v>
      </c>
      <c r="BH215" s="1835">
        <f t="shared" si="231"/>
        <v>0</v>
      </c>
      <c r="BI215" s="1835">
        <f t="shared" si="231"/>
        <v>0</v>
      </c>
      <c r="BJ215" s="1835">
        <f t="shared" si="231"/>
        <v>0</v>
      </c>
      <c r="BK215" s="1835">
        <f t="shared" si="231"/>
        <v>0</v>
      </c>
      <c r="BL215" s="1835">
        <f t="shared" si="231"/>
        <v>0</v>
      </c>
      <c r="BM215" s="1835">
        <f t="shared" si="231"/>
        <v>0</v>
      </c>
      <c r="BN215" s="1835">
        <f t="shared" si="231"/>
        <v>0</v>
      </c>
      <c r="BO215" s="1835">
        <f t="shared" si="231"/>
        <v>0</v>
      </c>
      <c r="BP215" s="1835">
        <f t="shared" si="231"/>
        <v>0</v>
      </c>
      <c r="BQ215" s="1834">
        <f t="shared" si="225"/>
        <v>0</v>
      </c>
      <c r="DB215" s="1719" t="s">
        <v>75</v>
      </c>
      <c r="DC215" s="1821">
        <f t="shared" si="226"/>
        <v>0</v>
      </c>
      <c r="DD215" s="1818">
        <f t="shared" ref="DD215:EH215" si="232">+(DD7+DD23+DD39)</f>
        <v>0</v>
      </c>
      <c r="DE215" s="1818">
        <f t="shared" si="232"/>
        <v>0</v>
      </c>
      <c r="DF215" s="1818">
        <f t="shared" si="232"/>
        <v>0</v>
      </c>
      <c r="DG215" s="1818">
        <f t="shared" si="232"/>
        <v>0</v>
      </c>
      <c r="DH215" s="1818">
        <f t="shared" si="232"/>
        <v>0</v>
      </c>
      <c r="DI215" s="1818">
        <f t="shared" si="232"/>
        <v>0</v>
      </c>
      <c r="DJ215" s="1818">
        <f t="shared" si="232"/>
        <v>0</v>
      </c>
      <c r="DK215" s="1818">
        <f t="shared" si="232"/>
        <v>0</v>
      </c>
      <c r="DL215" s="1818">
        <f t="shared" si="232"/>
        <v>0</v>
      </c>
      <c r="DM215" s="1818">
        <f t="shared" si="232"/>
        <v>0</v>
      </c>
      <c r="DN215" s="1818">
        <f t="shared" si="232"/>
        <v>0</v>
      </c>
      <c r="DO215" s="1818">
        <f t="shared" si="232"/>
        <v>0</v>
      </c>
      <c r="DP215" s="1818">
        <f t="shared" si="232"/>
        <v>0</v>
      </c>
      <c r="DQ215" s="1818">
        <f t="shared" si="232"/>
        <v>0</v>
      </c>
      <c r="DR215" s="1818">
        <f t="shared" si="232"/>
        <v>0</v>
      </c>
      <c r="DS215" s="1818">
        <f t="shared" si="232"/>
        <v>0</v>
      </c>
      <c r="DT215" s="1818">
        <f t="shared" si="232"/>
        <v>0</v>
      </c>
      <c r="DU215" s="1818">
        <f t="shared" si="232"/>
        <v>0</v>
      </c>
      <c r="DV215" s="1818">
        <f t="shared" si="232"/>
        <v>0</v>
      </c>
      <c r="DW215" s="1818">
        <f t="shared" si="232"/>
        <v>0</v>
      </c>
      <c r="DX215" s="1818">
        <f t="shared" si="232"/>
        <v>0</v>
      </c>
      <c r="DY215" s="1818">
        <f t="shared" si="232"/>
        <v>0</v>
      </c>
      <c r="DZ215" s="1818">
        <f t="shared" si="232"/>
        <v>0</v>
      </c>
      <c r="EA215" s="1818">
        <f t="shared" si="232"/>
        <v>0</v>
      </c>
      <c r="EB215" s="1818">
        <f t="shared" si="232"/>
        <v>0</v>
      </c>
      <c r="EC215" s="1818">
        <f t="shared" si="232"/>
        <v>0</v>
      </c>
      <c r="ED215" s="1818">
        <f t="shared" si="232"/>
        <v>0</v>
      </c>
      <c r="EE215" s="1818">
        <f t="shared" si="232"/>
        <v>0</v>
      </c>
      <c r="EF215" s="1818">
        <f t="shared" si="232"/>
        <v>0</v>
      </c>
      <c r="EG215" s="1818">
        <f t="shared" si="232"/>
        <v>0</v>
      </c>
      <c r="EH215" s="1818">
        <f t="shared" si="232"/>
        <v>0</v>
      </c>
      <c r="EI215" s="1817">
        <f t="shared" si="228"/>
        <v>0</v>
      </c>
    </row>
    <row r="216" spans="1:139" ht="15">
      <c r="AJ216" s="1524" t="s">
        <v>76</v>
      </c>
      <c r="AK216" s="1527">
        <f t="shared" si="223"/>
        <v>0</v>
      </c>
      <c r="AL216" s="1835">
        <f t="shared" ref="AL216:BP216" si="233">+(AL8+AL24+AL40)</f>
        <v>0</v>
      </c>
      <c r="AM216" s="1835">
        <f t="shared" si="233"/>
        <v>0</v>
      </c>
      <c r="AN216" s="1835">
        <f t="shared" si="233"/>
        <v>0</v>
      </c>
      <c r="AO216" s="1835">
        <f t="shared" si="233"/>
        <v>0</v>
      </c>
      <c r="AP216" s="1835">
        <f t="shared" si="233"/>
        <v>0</v>
      </c>
      <c r="AQ216" s="1835">
        <f t="shared" si="233"/>
        <v>0</v>
      </c>
      <c r="AR216" s="1835">
        <f t="shared" si="233"/>
        <v>0</v>
      </c>
      <c r="AS216" s="1835">
        <f t="shared" si="233"/>
        <v>0</v>
      </c>
      <c r="AT216" s="1835">
        <f t="shared" si="233"/>
        <v>0</v>
      </c>
      <c r="AU216" s="1835">
        <f t="shared" si="233"/>
        <v>0</v>
      </c>
      <c r="AV216" s="1835">
        <f t="shared" si="233"/>
        <v>0</v>
      </c>
      <c r="AW216" s="1835">
        <f t="shared" si="233"/>
        <v>0</v>
      </c>
      <c r="AX216" s="1835">
        <f t="shared" si="233"/>
        <v>0</v>
      </c>
      <c r="AY216" s="1835">
        <f t="shared" si="233"/>
        <v>0</v>
      </c>
      <c r="AZ216" s="1835">
        <f t="shared" si="233"/>
        <v>0</v>
      </c>
      <c r="BA216" s="1835">
        <f t="shared" si="233"/>
        <v>0</v>
      </c>
      <c r="BB216" s="1835">
        <f t="shared" si="233"/>
        <v>0</v>
      </c>
      <c r="BC216" s="1835">
        <f t="shared" si="233"/>
        <v>0</v>
      </c>
      <c r="BD216" s="1835">
        <f t="shared" si="233"/>
        <v>0</v>
      </c>
      <c r="BE216" s="1835">
        <f t="shared" si="233"/>
        <v>0</v>
      </c>
      <c r="BF216" s="1835">
        <f t="shared" si="233"/>
        <v>0</v>
      </c>
      <c r="BG216" s="1835">
        <f t="shared" si="233"/>
        <v>0</v>
      </c>
      <c r="BH216" s="1835">
        <f t="shared" si="233"/>
        <v>0</v>
      </c>
      <c r="BI216" s="1835">
        <f t="shared" si="233"/>
        <v>0</v>
      </c>
      <c r="BJ216" s="1835">
        <f t="shared" si="233"/>
        <v>0</v>
      </c>
      <c r="BK216" s="1835">
        <f t="shared" si="233"/>
        <v>0</v>
      </c>
      <c r="BL216" s="1835">
        <f t="shared" si="233"/>
        <v>0</v>
      </c>
      <c r="BM216" s="1835">
        <f t="shared" si="233"/>
        <v>0</v>
      </c>
      <c r="BN216" s="1835">
        <f t="shared" si="233"/>
        <v>0</v>
      </c>
      <c r="BO216" s="1835">
        <f t="shared" si="233"/>
        <v>0</v>
      </c>
      <c r="BP216" s="1835">
        <f t="shared" si="233"/>
        <v>0</v>
      </c>
      <c r="BQ216" s="1834">
        <f t="shared" si="225"/>
        <v>0</v>
      </c>
      <c r="DB216" s="1719" t="s">
        <v>76</v>
      </c>
      <c r="DC216" s="1821">
        <f t="shared" si="226"/>
        <v>0</v>
      </c>
      <c r="DD216" s="1818">
        <f t="shared" ref="DD216:EH216" si="234">+(DD8+DD24+DD40)</f>
        <v>0</v>
      </c>
      <c r="DE216" s="1818">
        <f t="shared" si="234"/>
        <v>0</v>
      </c>
      <c r="DF216" s="1818">
        <f t="shared" si="234"/>
        <v>0</v>
      </c>
      <c r="DG216" s="1818">
        <f t="shared" si="234"/>
        <v>0</v>
      </c>
      <c r="DH216" s="1818">
        <f t="shared" si="234"/>
        <v>0</v>
      </c>
      <c r="DI216" s="1818">
        <f t="shared" si="234"/>
        <v>0</v>
      </c>
      <c r="DJ216" s="1818">
        <f t="shared" si="234"/>
        <v>0</v>
      </c>
      <c r="DK216" s="1818">
        <f t="shared" si="234"/>
        <v>0</v>
      </c>
      <c r="DL216" s="1818">
        <f t="shared" si="234"/>
        <v>0</v>
      </c>
      <c r="DM216" s="1818">
        <f t="shared" si="234"/>
        <v>0</v>
      </c>
      <c r="DN216" s="1818">
        <f t="shared" si="234"/>
        <v>0</v>
      </c>
      <c r="DO216" s="1818">
        <f t="shared" si="234"/>
        <v>0</v>
      </c>
      <c r="DP216" s="1818">
        <f t="shared" si="234"/>
        <v>0</v>
      </c>
      <c r="DQ216" s="1818">
        <f t="shared" si="234"/>
        <v>0</v>
      </c>
      <c r="DR216" s="1818">
        <f t="shared" si="234"/>
        <v>0</v>
      </c>
      <c r="DS216" s="1818">
        <f t="shared" si="234"/>
        <v>0</v>
      </c>
      <c r="DT216" s="1818">
        <f t="shared" si="234"/>
        <v>0</v>
      </c>
      <c r="DU216" s="1818">
        <f t="shared" si="234"/>
        <v>0</v>
      </c>
      <c r="DV216" s="1818">
        <f t="shared" si="234"/>
        <v>0</v>
      </c>
      <c r="DW216" s="1818">
        <f t="shared" si="234"/>
        <v>0</v>
      </c>
      <c r="DX216" s="1818">
        <f t="shared" si="234"/>
        <v>0</v>
      </c>
      <c r="DY216" s="1818">
        <f t="shared" si="234"/>
        <v>0</v>
      </c>
      <c r="DZ216" s="1818">
        <f t="shared" si="234"/>
        <v>0</v>
      </c>
      <c r="EA216" s="1818">
        <f t="shared" si="234"/>
        <v>0</v>
      </c>
      <c r="EB216" s="1818">
        <f t="shared" si="234"/>
        <v>0</v>
      </c>
      <c r="EC216" s="1818">
        <f t="shared" si="234"/>
        <v>0</v>
      </c>
      <c r="ED216" s="1818">
        <f t="shared" si="234"/>
        <v>0</v>
      </c>
      <c r="EE216" s="1818">
        <f t="shared" si="234"/>
        <v>0</v>
      </c>
      <c r="EF216" s="1818">
        <f t="shared" si="234"/>
        <v>0</v>
      </c>
      <c r="EG216" s="1818">
        <f t="shared" si="234"/>
        <v>0</v>
      </c>
      <c r="EH216" s="1818">
        <f t="shared" si="234"/>
        <v>0</v>
      </c>
      <c r="EI216" s="1817">
        <f t="shared" si="228"/>
        <v>0</v>
      </c>
    </row>
    <row r="217" spans="1:139" ht="15">
      <c r="AJ217" s="1524" t="s">
        <v>77</v>
      </c>
      <c r="AK217" s="1527">
        <f t="shared" si="223"/>
        <v>0</v>
      </c>
      <c r="AL217" s="1835">
        <f t="shared" ref="AL217:BP217" si="235">+(AL9+AL25+AL41)</f>
        <v>0</v>
      </c>
      <c r="AM217" s="1835">
        <f t="shared" si="235"/>
        <v>0</v>
      </c>
      <c r="AN217" s="1835">
        <f t="shared" si="235"/>
        <v>0</v>
      </c>
      <c r="AO217" s="1835">
        <f t="shared" si="235"/>
        <v>0</v>
      </c>
      <c r="AP217" s="1835">
        <f t="shared" si="235"/>
        <v>0</v>
      </c>
      <c r="AQ217" s="1835">
        <f t="shared" si="235"/>
        <v>0</v>
      </c>
      <c r="AR217" s="1835">
        <f t="shared" si="235"/>
        <v>0</v>
      </c>
      <c r="AS217" s="1835">
        <f t="shared" si="235"/>
        <v>0</v>
      </c>
      <c r="AT217" s="1835">
        <f t="shared" si="235"/>
        <v>0</v>
      </c>
      <c r="AU217" s="1835">
        <f t="shared" si="235"/>
        <v>0</v>
      </c>
      <c r="AV217" s="1835">
        <f t="shared" si="235"/>
        <v>0</v>
      </c>
      <c r="AW217" s="1835">
        <f t="shared" si="235"/>
        <v>0</v>
      </c>
      <c r="AX217" s="1835">
        <f t="shared" si="235"/>
        <v>0</v>
      </c>
      <c r="AY217" s="1835">
        <f t="shared" si="235"/>
        <v>0</v>
      </c>
      <c r="AZ217" s="1835">
        <f t="shared" si="235"/>
        <v>0</v>
      </c>
      <c r="BA217" s="1835">
        <f t="shared" si="235"/>
        <v>0</v>
      </c>
      <c r="BB217" s="1835">
        <f t="shared" si="235"/>
        <v>0</v>
      </c>
      <c r="BC217" s="1835">
        <f t="shared" si="235"/>
        <v>0</v>
      </c>
      <c r="BD217" s="1835">
        <f t="shared" si="235"/>
        <v>0</v>
      </c>
      <c r="BE217" s="1835">
        <f t="shared" si="235"/>
        <v>0</v>
      </c>
      <c r="BF217" s="1835">
        <f t="shared" si="235"/>
        <v>0</v>
      </c>
      <c r="BG217" s="1835">
        <f t="shared" si="235"/>
        <v>0</v>
      </c>
      <c r="BH217" s="1835">
        <f t="shared" si="235"/>
        <v>0</v>
      </c>
      <c r="BI217" s="1835">
        <f t="shared" si="235"/>
        <v>0</v>
      </c>
      <c r="BJ217" s="1835">
        <f t="shared" si="235"/>
        <v>0</v>
      </c>
      <c r="BK217" s="1835">
        <f t="shared" si="235"/>
        <v>0</v>
      </c>
      <c r="BL217" s="1835">
        <f t="shared" si="235"/>
        <v>0</v>
      </c>
      <c r="BM217" s="1835">
        <f t="shared" si="235"/>
        <v>0</v>
      </c>
      <c r="BN217" s="1835">
        <f t="shared" si="235"/>
        <v>0</v>
      </c>
      <c r="BO217" s="1835">
        <f t="shared" si="235"/>
        <v>0</v>
      </c>
      <c r="BP217" s="1835">
        <f t="shared" si="235"/>
        <v>0</v>
      </c>
      <c r="BQ217" s="1834">
        <f t="shared" si="225"/>
        <v>0</v>
      </c>
      <c r="DB217" s="1719" t="s">
        <v>77</v>
      </c>
      <c r="DC217" s="1821">
        <f t="shared" si="226"/>
        <v>0</v>
      </c>
      <c r="DD217" s="1818">
        <f t="shared" ref="DD217:EH217" si="236">+(DD9+DD25+DD41)</f>
        <v>0</v>
      </c>
      <c r="DE217" s="1818">
        <f t="shared" si="236"/>
        <v>0</v>
      </c>
      <c r="DF217" s="1818">
        <f t="shared" si="236"/>
        <v>0</v>
      </c>
      <c r="DG217" s="1818">
        <f t="shared" si="236"/>
        <v>0</v>
      </c>
      <c r="DH217" s="1818">
        <f t="shared" si="236"/>
        <v>0</v>
      </c>
      <c r="DI217" s="1818">
        <f t="shared" si="236"/>
        <v>0</v>
      </c>
      <c r="DJ217" s="1818">
        <f t="shared" si="236"/>
        <v>0</v>
      </c>
      <c r="DK217" s="1818">
        <f t="shared" si="236"/>
        <v>0</v>
      </c>
      <c r="DL217" s="1818">
        <f t="shared" si="236"/>
        <v>0</v>
      </c>
      <c r="DM217" s="1818">
        <f t="shared" si="236"/>
        <v>0</v>
      </c>
      <c r="DN217" s="1818">
        <f t="shared" si="236"/>
        <v>0</v>
      </c>
      <c r="DO217" s="1818">
        <f t="shared" si="236"/>
        <v>0</v>
      </c>
      <c r="DP217" s="1818">
        <f t="shared" si="236"/>
        <v>0</v>
      </c>
      <c r="DQ217" s="1818">
        <f t="shared" si="236"/>
        <v>0</v>
      </c>
      <c r="DR217" s="1818">
        <f t="shared" si="236"/>
        <v>0</v>
      </c>
      <c r="DS217" s="1818">
        <f t="shared" si="236"/>
        <v>0</v>
      </c>
      <c r="DT217" s="1818">
        <f t="shared" si="236"/>
        <v>0</v>
      </c>
      <c r="DU217" s="1818">
        <f t="shared" si="236"/>
        <v>0</v>
      </c>
      <c r="DV217" s="1818">
        <f t="shared" si="236"/>
        <v>0</v>
      </c>
      <c r="DW217" s="1818">
        <f t="shared" si="236"/>
        <v>0</v>
      </c>
      <c r="DX217" s="1818">
        <f t="shared" si="236"/>
        <v>0</v>
      </c>
      <c r="DY217" s="1818">
        <f t="shared" si="236"/>
        <v>0</v>
      </c>
      <c r="DZ217" s="1818">
        <f t="shared" si="236"/>
        <v>0</v>
      </c>
      <c r="EA217" s="1818">
        <f t="shared" si="236"/>
        <v>0</v>
      </c>
      <c r="EB217" s="1818">
        <f t="shared" si="236"/>
        <v>0</v>
      </c>
      <c r="EC217" s="1818">
        <f t="shared" si="236"/>
        <v>0</v>
      </c>
      <c r="ED217" s="1818">
        <f t="shared" si="236"/>
        <v>0</v>
      </c>
      <c r="EE217" s="1818">
        <f t="shared" si="236"/>
        <v>0</v>
      </c>
      <c r="EF217" s="1818">
        <f t="shared" si="236"/>
        <v>0</v>
      </c>
      <c r="EG217" s="1818">
        <f t="shared" si="236"/>
        <v>0</v>
      </c>
      <c r="EH217" s="1818">
        <f t="shared" si="236"/>
        <v>0</v>
      </c>
      <c r="EI217" s="1817">
        <f t="shared" si="228"/>
        <v>0</v>
      </c>
    </row>
    <row r="218" spans="1:139" ht="15">
      <c r="AJ218" s="1524" t="s">
        <v>78</v>
      </c>
      <c r="AK218" s="1527">
        <f t="shared" si="223"/>
        <v>0</v>
      </c>
      <c r="AL218" s="1835">
        <f t="shared" ref="AL218:BP218" si="237">+(AL10+AL26+AL42)</f>
        <v>0</v>
      </c>
      <c r="AM218" s="1835">
        <f t="shared" si="237"/>
        <v>0</v>
      </c>
      <c r="AN218" s="1835">
        <f t="shared" si="237"/>
        <v>0</v>
      </c>
      <c r="AO218" s="1835">
        <f t="shared" si="237"/>
        <v>0</v>
      </c>
      <c r="AP218" s="1835">
        <f t="shared" si="237"/>
        <v>0</v>
      </c>
      <c r="AQ218" s="1835">
        <f t="shared" si="237"/>
        <v>0</v>
      </c>
      <c r="AR218" s="1835">
        <f t="shared" si="237"/>
        <v>0</v>
      </c>
      <c r="AS218" s="1835">
        <f t="shared" si="237"/>
        <v>0</v>
      </c>
      <c r="AT218" s="1835">
        <f t="shared" si="237"/>
        <v>0</v>
      </c>
      <c r="AU218" s="1835">
        <f t="shared" si="237"/>
        <v>0</v>
      </c>
      <c r="AV218" s="1835">
        <f t="shared" si="237"/>
        <v>0</v>
      </c>
      <c r="AW218" s="1835">
        <f t="shared" si="237"/>
        <v>0</v>
      </c>
      <c r="AX218" s="1835">
        <f t="shared" si="237"/>
        <v>0</v>
      </c>
      <c r="AY218" s="1835">
        <f t="shared" si="237"/>
        <v>0</v>
      </c>
      <c r="AZ218" s="1835">
        <f t="shared" si="237"/>
        <v>0</v>
      </c>
      <c r="BA218" s="1835">
        <f t="shared" si="237"/>
        <v>0</v>
      </c>
      <c r="BB218" s="1835">
        <f t="shared" si="237"/>
        <v>0</v>
      </c>
      <c r="BC218" s="1835">
        <f t="shared" si="237"/>
        <v>0</v>
      </c>
      <c r="BD218" s="1835">
        <f t="shared" si="237"/>
        <v>0</v>
      </c>
      <c r="BE218" s="1835">
        <f t="shared" si="237"/>
        <v>0</v>
      </c>
      <c r="BF218" s="1835">
        <f t="shared" si="237"/>
        <v>0</v>
      </c>
      <c r="BG218" s="1835">
        <f t="shared" si="237"/>
        <v>0</v>
      </c>
      <c r="BH218" s="1835">
        <f t="shared" si="237"/>
        <v>0</v>
      </c>
      <c r="BI218" s="1835">
        <f t="shared" si="237"/>
        <v>0</v>
      </c>
      <c r="BJ218" s="1835">
        <f t="shared" si="237"/>
        <v>0</v>
      </c>
      <c r="BK218" s="1835">
        <f t="shared" si="237"/>
        <v>0</v>
      </c>
      <c r="BL218" s="1835">
        <f t="shared" si="237"/>
        <v>0</v>
      </c>
      <c r="BM218" s="1835">
        <f t="shared" si="237"/>
        <v>0</v>
      </c>
      <c r="BN218" s="1835">
        <f t="shared" si="237"/>
        <v>0</v>
      </c>
      <c r="BO218" s="1835">
        <f t="shared" si="237"/>
        <v>0</v>
      </c>
      <c r="BP218" s="1835">
        <f t="shared" si="237"/>
        <v>0</v>
      </c>
      <c r="BQ218" s="1834">
        <f t="shared" si="225"/>
        <v>0</v>
      </c>
      <c r="DB218" s="1719" t="s">
        <v>78</v>
      </c>
      <c r="DC218" s="1821">
        <f t="shared" si="226"/>
        <v>0</v>
      </c>
      <c r="DD218" s="1818">
        <f t="shared" ref="DD218:EH218" si="238">+(DD10+DD26+DD42)</f>
        <v>0</v>
      </c>
      <c r="DE218" s="1818">
        <f t="shared" si="238"/>
        <v>0</v>
      </c>
      <c r="DF218" s="1818">
        <f t="shared" si="238"/>
        <v>0</v>
      </c>
      <c r="DG218" s="1818">
        <f t="shared" si="238"/>
        <v>0</v>
      </c>
      <c r="DH218" s="1818">
        <f t="shared" si="238"/>
        <v>0</v>
      </c>
      <c r="DI218" s="1818">
        <f t="shared" si="238"/>
        <v>0</v>
      </c>
      <c r="DJ218" s="1818">
        <f t="shared" si="238"/>
        <v>0</v>
      </c>
      <c r="DK218" s="1818">
        <f t="shared" si="238"/>
        <v>0</v>
      </c>
      <c r="DL218" s="1818">
        <f t="shared" si="238"/>
        <v>0</v>
      </c>
      <c r="DM218" s="1818">
        <f t="shared" si="238"/>
        <v>0</v>
      </c>
      <c r="DN218" s="1818">
        <f t="shared" si="238"/>
        <v>0</v>
      </c>
      <c r="DO218" s="1818">
        <f t="shared" si="238"/>
        <v>0</v>
      </c>
      <c r="DP218" s="1818">
        <f t="shared" si="238"/>
        <v>0</v>
      </c>
      <c r="DQ218" s="1818">
        <f t="shared" si="238"/>
        <v>0</v>
      </c>
      <c r="DR218" s="1818">
        <f t="shared" si="238"/>
        <v>0</v>
      </c>
      <c r="DS218" s="1818">
        <f t="shared" si="238"/>
        <v>0</v>
      </c>
      <c r="DT218" s="1818">
        <f t="shared" si="238"/>
        <v>0</v>
      </c>
      <c r="DU218" s="1818">
        <f t="shared" si="238"/>
        <v>0</v>
      </c>
      <c r="DV218" s="1818">
        <f t="shared" si="238"/>
        <v>0</v>
      </c>
      <c r="DW218" s="1818">
        <f t="shared" si="238"/>
        <v>0</v>
      </c>
      <c r="DX218" s="1818">
        <f t="shared" si="238"/>
        <v>0</v>
      </c>
      <c r="DY218" s="1818">
        <f t="shared" si="238"/>
        <v>0</v>
      </c>
      <c r="DZ218" s="1818">
        <f t="shared" si="238"/>
        <v>0</v>
      </c>
      <c r="EA218" s="1818">
        <f t="shared" si="238"/>
        <v>0</v>
      </c>
      <c r="EB218" s="1818">
        <f t="shared" si="238"/>
        <v>0</v>
      </c>
      <c r="EC218" s="1818">
        <f t="shared" si="238"/>
        <v>0</v>
      </c>
      <c r="ED218" s="1818">
        <f t="shared" si="238"/>
        <v>0</v>
      </c>
      <c r="EE218" s="1818">
        <f t="shared" si="238"/>
        <v>0</v>
      </c>
      <c r="EF218" s="1818">
        <f t="shared" si="238"/>
        <v>0</v>
      </c>
      <c r="EG218" s="1818">
        <f t="shared" si="238"/>
        <v>0</v>
      </c>
      <c r="EH218" s="1818">
        <f t="shared" si="238"/>
        <v>0</v>
      </c>
      <c r="EI218" s="1817">
        <f t="shared" si="228"/>
        <v>0</v>
      </c>
    </row>
    <row r="219" spans="1:139" ht="15">
      <c r="AJ219" s="1524" t="s">
        <v>79</v>
      </c>
      <c r="AK219" s="1527">
        <f t="shared" si="223"/>
        <v>0</v>
      </c>
      <c r="AL219" s="1835">
        <f t="shared" ref="AL219:BP219" si="239">+(AL11+AL27+AL43)</f>
        <v>0</v>
      </c>
      <c r="AM219" s="1835">
        <f t="shared" si="239"/>
        <v>0</v>
      </c>
      <c r="AN219" s="1835">
        <f t="shared" si="239"/>
        <v>0</v>
      </c>
      <c r="AO219" s="1835">
        <f t="shared" si="239"/>
        <v>0</v>
      </c>
      <c r="AP219" s="1835">
        <f t="shared" si="239"/>
        <v>0</v>
      </c>
      <c r="AQ219" s="1835">
        <f t="shared" si="239"/>
        <v>0</v>
      </c>
      <c r="AR219" s="1835">
        <f t="shared" si="239"/>
        <v>0</v>
      </c>
      <c r="AS219" s="1835">
        <f t="shared" si="239"/>
        <v>0</v>
      </c>
      <c r="AT219" s="1835">
        <f t="shared" si="239"/>
        <v>0</v>
      </c>
      <c r="AU219" s="1835">
        <f t="shared" si="239"/>
        <v>0</v>
      </c>
      <c r="AV219" s="1835">
        <f t="shared" si="239"/>
        <v>0</v>
      </c>
      <c r="AW219" s="1835">
        <f t="shared" si="239"/>
        <v>0</v>
      </c>
      <c r="AX219" s="1835">
        <f t="shared" si="239"/>
        <v>0</v>
      </c>
      <c r="AY219" s="1835">
        <f t="shared" si="239"/>
        <v>0</v>
      </c>
      <c r="AZ219" s="1835">
        <f t="shared" si="239"/>
        <v>0</v>
      </c>
      <c r="BA219" s="1835">
        <f t="shared" si="239"/>
        <v>0</v>
      </c>
      <c r="BB219" s="1835">
        <f t="shared" si="239"/>
        <v>0</v>
      </c>
      <c r="BC219" s="1835">
        <f t="shared" si="239"/>
        <v>0</v>
      </c>
      <c r="BD219" s="1835">
        <f t="shared" si="239"/>
        <v>0</v>
      </c>
      <c r="BE219" s="1835">
        <f t="shared" si="239"/>
        <v>0</v>
      </c>
      <c r="BF219" s="1835">
        <f t="shared" si="239"/>
        <v>0</v>
      </c>
      <c r="BG219" s="1835">
        <f t="shared" si="239"/>
        <v>0</v>
      </c>
      <c r="BH219" s="1835">
        <f t="shared" si="239"/>
        <v>0</v>
      </c>
      <c r="BI219" s="1835">
        <f t="shared" si="239"/>
        <v>0</v>
      </c>
      <c r="BJ219" s="1835">
        <f t="shared" si="239"/>
        <v>0</v>
      </c>
      <c r="BK219" s="1835">
        <f t="shared" si="239"/>
        <v>0</v>
      </c>
      <c r="BL219" s="1835">
        <f t="shared" si="239"/>
        <v>0</v>
      </c>
      <c r="BM219" s="1835">
        <f t="shared" si="239"/>
        <v>0</v>
      </c>
      <c r="BN219" s="1835">
        <f t="shared" si="239"/>
        <v>0</v>
      </c>
      <c r="BO219" s="1835">
        <f t="shared" si="239"/>
        <v>0</v>
      </c>
      <c r="BP219" s="1835">
        <f t="shared" si="239"/>
        <v>0</v>
      </c>
      <c r="BQ219" s="1834">
        <f t="shared" si="225"/>
        <v>0</v>
      </c>
      <c r="DB219" s="1719" t="s">
        <v>79</v>
      </c>
      <c r="DC219" s="1821">
        <f t="shared" si="226"/>
        <v>0</v>
      </c>
      <c r="DD219" s="1818">
        <f t="shared" ref="DD219:EH219" si="240">+(DD11+DD27+DD43)</f>
        <v>0</v>
      </c>
      <c r="DE219" s="1818">
        <f t="shared" si="240"/>
        <v>0</v>
      </c>
      <c r="DF219" s="1818">
        <f t="shared" si="240"/>
        <v>0</v>
      </c>
      <c r="DG219" s="1818">
        <f t="shared" si="240"/>
        <v>0</v>
      </c>
      <c r="DH219" s="1818">
        <f t="shared" si="240"/>
        <v>0</v>
      </c>
      <c r="DI219" s="1818">
        <f t="shared" si="240"/>
        <v>0</v>
      </c>
      <c r="DJ219" s="1818">
        <f t="shared" si="240"/>
        <v>0</v>
      </c>
      <c r="DK219" s="1818">
        <f t="shared" si="240"/>
        <v>0</v>
      </c>
      <c r="DL219" s="1818">
        <f t="shared" si="240"/>
        <v>0</v>
      </c>
      <c r="DM219" s="1818">
        <f t="shared" si="240"/>
        <v>0</v>
      </c>
      <c r="DN219" s="1818">
        <f t="shared" si="240"/>
        <v>0</v>
      </c>
      <c r="DO219" s="1818">
        <f t="shared" si="240"/>
        <v>0</v>
      </c>
      <c r="DP219" s="1818">
        <f t="shared" si="240"/>
        <v>0</v>
      </c>
      <c r="DQ219" s="1818">
        <f t="shared" si="240"/>
        <v>0</v>
      </c>
      <c r="DR219" s="1818">
        <f t="shared" si="240"/>
        <v>0</v>
      </c>
      <c r="DS219" s="1818">
        <f t="shared" si="240"/>
        <v>0</v>
      </c>
      <c r="DT219" s="1818">
        <f t="shared" si="240"/>
        <v>0</v>
      </c>
      <c r="DU219" s="1818">
        <f t="shared" si="240"/>
        <v>0</v>
      </c>
      <c r="DV219" s="1818">
        <f t="shared" si="240"/>
        <v>0</v>
      </c>
      <c r="DW219" s="1818">
        <f t="shared" si="240"/>
        <v>0</v>
      </c>
      <c r="DX219" s="1818">
        <f t="shared" si="240"/>
        <v>0</v>
      </c>
      <c r="DY219" s="1818">
        <f t="shared" si="240"/>
        <v>0</v>
      </c>
      <c r="DZ219" s="1818">
        <f t="shared" si="240"/>
        <v>0</v>
      </c>
      <c r="EA219" s="1818">
        <f t="shared" si="240"/>
        <v>0</v>
      </c>
      <c r="EB219" s="1818">
        <f t="shared" si="240"/>
        <v>0</v>
      </c>
      <c r="EC219" s="1818">
        <f t="shared" si="240"/>
        <v>0</v>
      </c>
      <c r="ED219" s="1818">
        <f t="shared" si="240"/>
        <v>0</v>
      </c>
      <c r="EE219" s="1818">
        <f t="shared" si="240"/>
        <v>0</v>
      </c>
      <c r="EF219" s="1818">
        <f t="shared" si="240"/>
        <v>0</v>
      </c>
      <c r="EG219" s="1818">
        <f t="shared" si="240"/>
        <v>0</v>
      </c>
      <c r="EH219" s="1818">
        <f t="shared" si="240"/>
        <v>0</v>
      </c>
      <c r="EI219" s="1817">
        <f t="shared" si="228"/>
        <v>0</v>
      </c>
    </row>
    <row r="220" spans="1:139" ht="15">
      <c r="AJ220" s="1524" t="s">
        <v>80</v>
      </c>
      <c r="AK220" s="1527">
        <f t="shared" si="223"/>
        <v>0</v>
      </c>
      <c r="AL220" s="1835">
        <f t="shared" ref="AL220:BP220" si="241">+(AL12+AL28+AL44)</f>
        <v>0</v>
      </c>
      <c r="AM220" s="1835">
        <f t="shared" si="241"/>
        <v>0</v>
      </c>
      <c r="AN220" s="1835">
        <f t="shared" si="241"/>
        <v>0</v>
      </c>
      <c r="AO220" s="1835">
        <f t="shared" si="241"/>
        <v>0</v>
      </c>
      <c r="AP220" s="1835">
        <f t="shared" si="241"/>
        <v>0</v>
      </c>
      <c r="AQ220" s="1835">
        <f t="shared" si="241"/>
        <v>0</v>
      </c>
      <c r="AR220" s="1835">
        <f t="shared" si="241"/>
        <v>0</v>
      </c>
      <c r="AS220" s="1835">
        <f t="shared" si="241"/>
        <v>0</v>
      </c>
      <c r="AT220" s="1835">
        <f t="shared" si="241"/>
        <v>0</v>
      </c>
      <c r="AU220" s="1835">
        <f t="shared" si="241"/>
        <v>0</v>
      </c>
      <c r="AV220" s="1835">
        <f t="shared" si="241"/>
        <v>0</v>
      </c>
      <c r="AW220" s="1835">
        <f t="shared" si="241"/>
        <v>0</v>
      </c>
      <c r="AX220" s="1835">
        <f t="shared" si="241"/>
        <v>0</v>
      </c>
      <c r="AY220" s="1835">
        <f t="shared" si="241"/>
        <v>0</v>
      </c>
      <c r="AZ220" s="1835">
        <f t="shared" si="241"/>
        <v>0</v>
      </c>
      <c r="BA220" s="1835">
        <f t="shared" si="241"/>
        <v>0</v>
      </c>
      <c r="BB220" s="1835">
        <f t="shared" si="241"/>
        <v>0</v>
      </c>
      <c r="BC220" s="1835">
        <f t="shared" si="241"/>
        <v>0</v>
      </c>
      <c r="BD220" s="1835">
        <f t="shared" si="241"/>
        <v>0</v>
      </c>
      <c r="BE220" s="1835">
        <f t="shared" si="241"/>
        <v>0</v>
      </c>
      <c r="BF220" s="1835">
        <f t="shared" si="241"/>
        <v>0</v>
      </c>
      <c r="BG220" s="1835">
        <f t="shared" si="241"/>
        <v>0</v>
      </c>
      <c r="BH220" s="1835">
        <f t="shared" si="241"/>
        <v>0</v>
      </c>
      <c r="BI220" s="1835">
        <f t="shared" si="241"/>
        <v>0</v>
      </c>
      <c r="BJ220" s="1835">
        <f t="shared" si="241"/>
        <v>0</v>
      </c>
      <c r="BK220" s="1835">
        <f t="shared" si="241"/>
        <v>0</v>
      </c>
      <c r="BL220" s="1835">
        <f t="shared" si="241"/>
        <v>0</v>
      </c>
      <c r="BM220" s="1835">
        <f t="shared" si="241"/>
        <v>0</v>
      </c>
      <c r="BN220" s="1835">
        <f t="shared" si="241"/>
        <v>0</v>
      </c>
      <c r="BO220" s="1835">
        <f t="shared" si="241"/>
        <v>0</v>
      </c>
      <c r="BP220" s="1835">
        <f t="shared" si="241"/>
        <v>0</v>
      </c>
      <c r="BQ220" s="1834">
        <f t="shared" si="225"/>
        <v>0</v>
      </c>
      <c r="DB220" s="1719" t="s">
        <v>80</v>
      </c>
      <c r="DC220" s="1821">
        <f t="shared" si="226"/>
        <v>0</v>
      </c>
      <c r="DD220" s="1818">
        <f t="shared" ref="DD220:EH220" si="242">+(DD12+DD28+DD44)</f>
        <v>0</v>
      </c>
      <c r="DE220" s="1818">
        <f t="shared" si="242"/>
        <v>0</v>
      </c>
      <c r="DF220" s="1818">
        <f t="shared" si="242"/>
        <v>0</v>
      </c>
      <c r="DG220" s="1818">
        <f t="shared" si="242"/>
        <v>0</v>
      </c>
      <c r="DH220" s="1818">
        <f t="shared" si="242"/>
        <v>0</v>
      </c>
      <c r="DI220" s="1818">
        <f t="shared" si="242"/>
        <v>0</v>
      </c>
      <c r="DJ220" s="1818">
        <f t="shared" si="242"/>
        <v>0</v>
      </c>
      <c r="DK220" s="1818">
        <f t="shared" si="242"/>
        <v>0</v>
      </c>
      <c r="DL220" s="1818">
        <f t="shared" si="242"/>
        <v>0</v>
      </c>
      <c r="DM220" s="1818">
        <f t="shared" si="242"/>
        <v>0</v>
      </c>
      <c r="DN220" s="1818">
        <f t="shared" si="242"/>
        <v>0</v>
      </c>
      <c r="DO220" s="1818">
        <f t="shared" si="242"/>
        <v>0</v>
      </c>
      <c r="DP220" s="1818">
        <f t="shared" si="242"/>
        <v>0</v>
      </c>
      <c r="DQ220" s="1818">
        <f t="shared" si="242"/>
        <v>0</v>
      </c>
      <c r="DR220" s="1818">
        <f t="shared" si="242"/>
        <v>0</v>
      </c>
      <c r="DS220" s="1818">
        <f t="shared" si="242"/>
        <v>0</v>
      </c>
      <c r="DT220" s="1818">
        <f t="shared" si="242"/>
        <v>0</v>
      </c>
      <c r="DU220" s="1818">
        <f t="shared" si="242"/>
        <v>0</v>
      </c>
      <c r="DV220" s="1818">
        <f t="shared" si="242"/>
        <v>0</v>
      </c>
      <c r="DW220" s="1818">
        <f t="shared" si="242"/>
        <v>0</v>
      </c>
      <c r="DX220" s="1818">
        <f t="shared" si="242"/>
        <v>0</v>
      </c>
      <c r="DY220" s="1818">
        <f t="shared" si="242"/>
        <v>0</v>
      </c>
      <c r="DZ220" s="1818">
        <f t="shared" si="242"/>
        <v>0</v>
      </c>
      <c r="EA220" s="1818">
        <f t="shared" si="242"/>
        <v>0</v>
      </c>
      <c r="EB220" s="1818">
        <f t="shared" si="242"/>
        <v>0</v>
      </c>
      <c r="EC220" s="1818">
        <f t="shared" si="242"/>
        <v>0</v>
      </c>
      <c r="ED220" s="1818">
        <f t="shared" si="242"/>
        <v>0</v>
      </c>
      <c r="EE220" s="1818">
        <f t="shared" si="242"/>
        <v>0</v>
      </c>
      <c r="EF220" s="1818">
        <f t="shared" si="242"/>
        <v>0</v>
      </c>
      <c r="EG220" s="1818">
        <f t="shared" si="242"/>
        <v>0</v>
      </c>
      <c r="EH220" s="1818">
        <f t="shared" si="242"/>
        <v>0</v>
      </c>
      <c r="EI220" s="1817">
        <f t="shared" si="228"/>
        <v>0</v>
      </c>
    </row>
    <row r="221" spans="1:139" ht="15">
      <c r="AJ221" s="1524" t="s">
        <v>81</v>
      </c>
      <c r="AK221" s="1527">
        <f t="shared" si="223"/>
        <v>0</v>
      </c>
      <c r="AL221" s="1835">
        <f t="shared" ref="AL221:BP221" si="243">+(AL13+AL29+AL45)</f>
        <v>0</v>
      </c>
      <c r="AM221" s="1835">
        <f t="shared" si="243"/>
        <v>0</v>
      </c>
      <c r="AN221" s="1835">
        <f t="shared" si="243"/>
        <v>0</v>
      </c>
      <c r="AO221" s="1835">
        <f t="shared" si="243"/>
        <v>0</v>
      </c>
      <c r="AP221" s="1835">
        <f t="shared" si="243"/>
        <v>0</v>
      </c>
      <c r="AQ221" s="1835">
        <f t="shared" si="243"/>
        <v>0</v>
      </c>
      <c r="AR221" s="1835">
        <f t="shared" si="243"/>
        <v>0</v>
      </c>
      <c r="AS221" s="1835">
        <f t="shared" si="243"/>
        <v>0</v>
      </c>
      <c r="AT221" s="1835">
        <f t="shared" si="243"/>
        <v>0</v>
      </c>
      <c r="AU221" s="1835">
        <f t="shared" si="243"/>
        <v>0</v>
      </c>
      <c r="AV221" s="1835">
        <f t="shared" si="243"/>
        <v>0</v>
      </c>
      <c r="AW221" s="1835">
        <f t="shared" si="243"/>
        <v>0</v>
      </c>
      <c r="AX221" s="1835">
        <f t="shared" si="243"/>
        <v>0</v>
      </c>
      <c r="AY221" s="1835">
        <f t="shared" si="243"/>
        <v>0</v>
      </c>
      <c r="AZ221" s="1835">
        <f t="shared" si="243"/>
        <v>0</v>
      </c>
      <c r="BA221" s="1835">
        <f t="shared" si="243"/>
        <v>0</v>
      </c>
      <c r="BB221" s="1835">
        <f t="shared" si="243"/>
        <v>0</v>
      </c>
      <c r="BC221" s="1835">
        <f t="shared" si="243"/>
        <v>0</v>
      </c>
      <c r="BD221" s="1835">
        <f t="shared" si="243"/>
        <v>0</v>
      </c>
      <c r="BE221" s="1835">
        <f t="shared" si="243"/>
        <v>0</v>
      </c>
      <c r="BF221" s="1835">
        <f t="shared" si="243"/>
        <v>0</v>
      </c>
      <c r="BG221" s="1835">
        <f t="shared" si="243"/>
        <v>0</v>
      </c>
      <c r="BH221" s="1835">
        <f t="shared" si="243"/>
        <v>0</v>
      </c>
      <c r="BI221" s="1835">
        <f t="shared" si="243"/>
        <v>0</v>
      </c>
      <c r="BJ221" s="1835">
        <f t="shared" si="243"/>
        <v>0</v>
      </c>
      <c r="BK221" s="1835">
        <f t="shared" si="243"/>
        <v>0</v>
      </c>
      <c r="BL221" s="1835">
        <f t="shared" si="243"/>
        <v>0</v>
      </c>
      <c r="BM221" s="1835">
        <f t="shared" si="243"/>
        <v>0</v>
      </c>
      <c r="BN221" s="1835">
        <f t="shared" si="243"/>
        <v>0</v>
      </c>
      <c r="BO221" s="1835">
        <f t="shared" si="243"/>
        <v>0</v>
      </c>
      <c r="BP221" s="1835">
        <f t="shared" si="243"/>
        <v>0</v>
      </c>
      <c r="BQ221" s="1834">
        <f t="shared" si="225"/>
        <v>0</v>
      </c>
      <c r="DB221" s="1719" t="s">
        <v>81</v>
      </c>
      <c r="DC221" s="1821">
        <f t="shared" si="226"/>
        <v>0</v>
      </c>
      <c r="DD221" s="1818">
        <f t="shared" ref="DD221:EH221" si="244">+(DD13+DD29+DD45)</f>
        <v>0</v>
      </c>
      <c r="DE221" s="1818">
        <f t="shared" si="244"/>
        <v>0</v>
      </c>
      <c r="DF221" s="1818">
        <f t="shared" si="244"/>
        <v>0</v>
      </c>
      <c r="DG221" s="1818">
        <f t="shared" si="244"/>
        <v>0</v>
      </c>
      <c r="DH221" s="1818">
        <f t="shared" si="244"/>
        <v>0</v>
      </c>
      <c r="DI221" s="1818">
        <f t="shared" si="244"/>
        <v>0</v>
      </c>
      <c r="DJ221" s="1818">
        <f t="shared" si="244"/>
        <v>0</v>
      </c>
      <c r="DK221" s="1818">
        <f t="shared" si="244"/>
        <v>0</v>
      </c>
      <c r="DL221" s="1818">
        <f t="shared" si="244"/>
        <v>0</v>
      </c>
      <c r="DM221" s="1818">
        <f t="shared" si="244"/>
        <v>0</v>
      </c>
      <c r="DN221" s="1818">
        <f t="shared" si="244"/>
        <v>0</v>
      </c>
      <c r="DO221" s="1818">
        <f t="shared" si="244"/>
        <v>0</v>
      </c>
      <c r="DP221" s="1818">
        <f t="shared" si="244"/>
        <v>0</v>
      </c>
      <c r="DQ221" s="1818">
        <f t="shared" si="244"/>
        <v>0</v>
      </c>
      <c r="DR221" s="1818">
        <f t="shared" si="244"/>
        <v>0</v>
      </c>
      <c r="DS221" s="1818">
        <f t="shared" si="244"/>
        <v>0</v>
      </c>
      <c r="DT221" s="1818">
        <f t="shared" si="244"/>
        <v>0</v>
      </c>
      <c r="DU221" s="1818">
        <f t="shared" si="244"/>
        <v>0</v>
      </c>
      <c r="DV221" s="1818">
        <f t="shared" si="244"/>
        <v>0</v>
      </c>
      <c r="DW221" s="1818">
        <f t="shared" si="244"/>
        <v>0</v>
      </c>
      <c r="DX221" s="1818">
        <f t="shared" si="244"/>
        <v>0</v>
      </c>
      <c r="DY221" s="1818">
        <f t="shared" si="244"/>
        <v>0</v>
      </c>
      <c r="DZ221" s="1818">
        <f t="shared" si="244"/>
        <v>0</v>
      </c>
      <c r="EA221" s="1818">
        <f t="shared" si="244"/>
        <v>0</v>
      </c>
      <c r="EB221" s="1818">
        <f t="shared" si="244"/>
        <v>0</v>
      </c>
      <c r="EC221" s="1818">
        <f t="shared" si="244"/>
        <v>0</v>
      </c>
      <c r="ED221" s="1818">
        <f t="shared" si="244"/>
        <v>0</v>
      </c>
      <c r="EE221" s="1818">
        <f t="shared" si="244"/>
        <v>0</v>
      </c>
      <c r="EF221" s="1818">
        <f t="shared" si="244"/>
        <v>0</v>
      </c>
      <c r="EG221" s="1818">
        <f t="shared" si="244"/>
        <v>0</v>
      </c>
      <c r="EH221" s="1818">
        <f t="shared" si="244"/>
        <v>0</v>
      </c>
      <c r="EI221" s="1817">
        <f t="shared" si="228"/>
        <v>0</v>
      </c>
    </row>
    <row r="222" spans="1:139" ht="15">
      <c r="AJ222" s="1524" t="s">
        <v>82</v>
      </c>
      <c r="AK222" s="1527">
        <f t="shared" si="223"/>
        <v>0</v>
      </c>
      <c r="AL222" s="1835">
        <f t="shared" ref="AL222:BP222" si="245">+(AL14+AL30+AL46)</f>
        <v>0</v>
      </c>
      <c r="AM222" s="1835">
        <f t="shared" si="245"/>
        <v>0</v>
      </c>
      <c r="AN222" s="1835">
        <f t="shared" si="245"/>
        <v>0</v>
      </c>
      <c r="AO222" s="1835">
        <f t="shared" si="245"/>
        <v>0</v>
      </c>
      <c r="AP222" s="1835">
        <f t="shared" si="245"/>
        <v>0</v>
      </c>
      <c r="AQ222" s="1835">
        <f t="shared" si="245"/>
        <v>0</v>
      </c>
      <c r="AR222" s="1835">
        <f t="shared" si="245"/>
        <v>0</v>
      </c>
      <c r="AS222" s="1835">
        <f t="shared" si="245"/>
        <v>0</v>
      </c>
      <c r="AT222" s="1835">
        <f t="shared" si="245"/>
        <v>0</v>
      </c>
      <c r="AU222" s="1835">
        <f t="shared" si="245"/>
        <v>0</v>
      </c>
      <c r="AV222" s="1835">
        <f t="shared" si="245"/>
        <v>0</v>
      </c>
      <c r="AW222" s="1835">
        <f t="shared" si="245"/>
        <v>0</v>
      </c>
      <c r="AX222" s="1835">
        <f t="shared" si="245"/>
        <v>0</v>
      </c>
      <c r="AY222" s="1835">
        <f t="shared" si="245"/>
        <v>0</v>
      </c>
      <c r="AZ222" s="1835">
        <f t="shared" si="245"/>
        <v>0</v>
      </c>
      <c r="BA222" s="1835">
        <f t="shared" si="245"/>
        <v>0</v>
      </c>
      <c r="BB222" s="1835">
        <f t="shared" si="245"/>
        <v>0</v>
      </c>
      <c r="BC222" s="1835">
        <f t="shared" si="245"/>
        <v>0</v>
      </c>
      <c r="BD222" s="1835">
        <f t="shared" si="245"/>
        <v>0</v>
      </c>
      <c r="BE222" s="1835">
        <f t="shared" si="245"/>
        <v>0</v>
      </c>
      <c r="BF222" s="1835">
        <f t="shared" si="245"/>
        <v>0</v>
      </c>
      <c r="BG222" s="1835">
        <f t="shared" si="245"/>
        <v>0</v>
      </c>
      <c r="BH222" s="1835">
        <f t="shared" si="245"/>
        <v>0</v>
      </c>
      <c r="BI222" s="1835">
        <f t="shared" si="245"/>
        <v>0</v>
      </c>
      <c r="BJ222" s="1835">
        <f t="shared" si="245"/>
        <v>0</v>
      </c>
      <c r="BK222" s="1835">
        <f t="shared" si="245"/>
        <v>0</v>
      </c>
      <c r="BL222" s="1835">
        <f t="shared" si="245"/>
        <v>0</v>
      </c>
      <c r="BM222" s="1835">
        <f t="shared" si="245"/>
        <v>0</v>
      </c>
      <c r="BN222" s="1835">
        <f t="shared" si="245"/>
        <v>0</v>
      </c>
      <c r="BO222" s="1835">
        <f t="shared" si="245"/>
        <v>0</v>
      </c>
      <c r="BP222" s="1835">
        <f t="shared" si="245"/>
        <v>0</v>
      </c>
      <c r="BQ222" s="1834">
        <f t="shared" si="225"/>
        <v>0</v>
      </c>
      <c r="DB222" s="1719" t="s">
        <v>82</v>
      </c>
      <c r="DC222" s="1821">
        <f t="shared" si="226"/>
        <v>0</v>
      </c>
      <c r="DD222" s="1818">
        <f t="shared" ref="DD222:EH222" si="246">+(DD14+DD30+DD46)</f>
        <v>0</v>
      </c>
      <c r="DE222" s="1818">
        <f t="shared" si="246"/>
        <v>0</v>
      </c>
      <c r="DF222" s="1818">
        <f t="shared" si="246"/>
        <v>0</v>
      </c>
      <c r="DG222" s="1818">
        <f t="shared" si="246"/>
        <v>0</v>
      </c>
      <c r="DH222" s="1818">
        <f t="shared" si="246"/>
        <v>0</v>
      </c>
      <c r="DI222" s="1818">
        <f t="shared" si="246"/>
        <v>0</v>
      </c>
      <c r="DJ222" s="1818">
        <f t="shared" si="246"/>
        <v>0</v>
      </c>
      <c r="DK222" s="1818">
        <f t="shared" si="246"/>
        <v>0</v>
      </c>
      <c r="DL222" s="1818">
        <f t="shared" si="246"/>
        <v>0</v>
      </c>
      <c r="DM222" s="1818">
        <f t="shared" si="246"/>
        <v>0</v>
      </c>
      <c r="DN222" s="1818">
        <f t="shared" si="246"/>
        <v>0</v>
      </c>
      <c r="DO222" s="1818">
        <f t="shared" si="246"/>
        <v>0</v>
      </c>
      <c r="DP222" s="1818">
        <f t="shared" si="246"/>
        <v>0</v>
      </c>
      <c r="DQ222" s="1818">
        <f t="shared" si="246"/>
        <v>0</v>
      </c>
      <c r="DR222" s="1818">
        <f t="shared" si="246"/>
        <v>0</v>
      </c>
      <c r="DS222" s="1818">
        <f t="shared" si="246"/>
        <v>0</v>
      </c>
      <c r="DT222" s="1818">
        <f t="shared" si="246"/>
        <v>0</v>
      </c>
      <c r="DU222" s="1818">
        <f t="shared" si="246"/>
        <v>0</v>
      </c>
      <c r="DV222" s="1818">
        <f t="shared" si="246"/>
        <v>0</v>
      </c>
      <c r="DW222" s="1818">
        <f t="shared" si="246"/>
        <v>0</v>
      </c>
      <c r="DX222" s="1818">
        <f t="shared" si="246"/>
        <v>0</v>
      </c>
      <c r="DY222" s="1818">
        <f t="shared" si="246"/>
        <v>0</v>
      </c>
      <c r="DZ222" s="1818">
        <f t="shared" si="246"/>
        <v>0</v>
      </c>
      <c r="EA222" s="1818">
        <f t="shared" si="246"/>
        <v>0</v>
      </c>
      <c r="EB222" s="1818">
        <f t="shared" si="246"/>
        <v>0</v>
      </c>
      <c r="EC222" s="1818">
        <f t="shared" si="246"/>
        <v>0</v>
      </c>
      <c r="ED222" s="1818">
        <f t="shared" si="246"/>
        <v>0</v>
      </c>
      <c r="EE222" s="1818">
        <f t="shared" si="246"/>
        <v>0</v>
      </c>
      <c r="EF222" s="1818">
        <f t="shared" si="246"/>
        <v>0</v>
      </c>
      <c r="EG222" s="1818">
        <f t="shared" si="246"/>
        <v>0</v>
      </c>
      <c r="EH222" s="1818">
        <f t="shared" si="246"/>
        <v>0</v>
      </c>
      <c r="EI222" s="1817">
        <f t="shared" si="228"/>
        <v>0</v>
      </c>
    </row>
    <row r="223" spans="1:139" ht="15">
      <c r="AJ223" s="1524" t="s">
        <v>83</v>
      </c>
      <c r="AK223" s="1527">
        <f t="shared" si="223"/>
        <v>0</v>
      </c>
      <c r="AL223" s="1835">
        <f t="shared" ref="AL223:BP223" si="247">+(AL15+AL31+AL47)</f>
        <v>0</v>
      </c>
      <c r="AM223" s="1835">
        <f t="shared" si="247"/>
        <v>0</v>
      </c>
      <c r="AN223" s="1835">
        <f t="shared" si="247"/>
        <v>0</v>
      </c>
      <c r="AO223" s="1835">
        <f t="shared" si="247"/>
        <v>0</v>
      </c>
      <c r="AP223" s="1835">
        <f t="shared" si="247"/>
        <v>0</v>
      </c>
      <c r="AQ223" s="1835">
        <f t="shared" si="247"/>
        <v>0</v>
      </c>
      <c r="AR223" s="1835">
        <f t="shared" si="247"/>
        <v>0</v>
      </c>
      <c r="AS223" s="1835">
        <f t="shared" si="247"/>
        <v>0</v>
      </c>
      <c r="AT223" s="1835">
        <f t="shared" si="247"/>
        <v>0</v>
      </c>
      <c r="AU223" s="1835">
        <f t="shared" si="247"/>
        <v>0</v>
      </c>
      <c r="AV223" s="1835">
        <f t="shared" si="247"/>
        <v>0</v>
      </c>
      <c r="AW223" s="1835">
        <f t="shared" si="247"/>
        <v>0</v>
      </c>
      <c r="AX223" s="1835">
        <f t="shared" si="247"/>
        <v>0</v>
      </c>
      <c r="AY223" s="1835">
        <f t="shared" si="247"/>
        <v>0</v>
      </c>
      <c r="AZ223" s="1835">
        <f t="shared" si="247"/>
        <v>0</v>
      </c>
      <c r="BA223" s="1835">
        <f t="shared" si="247"/>
        <v>0</v>
      </c>
      <c r="BB223" s="1835">
        <f t="shared" si="247"/>
        <v>0</v>
      </c>
      <c r="BC223" s="1835">
        <f t="shared" si="247"/>
        <v>0</v>
      </c>
      <c r="BD223" s="1835">
        <f t="shared" si="247"/>
        <v>0</v>
      </c>
      <c r="BE223" s="1835">
        <f t="shared" si="247"/>
        <v>0</v>
      </c>
      <c r="BF223" s="1835">
        <f t="shared" si="247"/>
        <v>0</v>
      </c>
      <c r="BG223" s="1835">
        <f t="shared" si="247"/>
        <v>0</v>
      </c>
      <c r="BH223" s="1835">
        <f t="shared" si="247"/>
        <v>0</v>
      </c>
      <c r="BI223" s="1835">
        <f t="shared" si="247"/>
        <v>0</v>
      </c>
      <c r="BJ223" s="1835">
        <f t="shared" si="247"/>
        <v>0</v>
      </c>
      <c r="BK223" s="1835">
        <f t="shared" si="247"/>
        <v>0</v>
      </c>
      <c r="BL223" s="1835">
        <f t="shared" si="247"/>
        <v>0</v>
      </c>
      <c r="BM223" s="1835">
        <f t="shared" si="247"/>
        <v>0</v>
      </c>
      <c r="BN223" s="1835">
        <f t="shared" si="247"/>
        <v>0</v>
      </c>
      <c r="BO223" s="1835">
        <f t="shared" si="247"/>
        <v>0</v>
      </c>
      <c r="BP223" s="1835">
        <f t="shared" si="247"/>
        <v>0</v>
      </c>
      <c r="BQ223" s="1834">
        <f t="shared" si="225"/>
        <v>0</v>
      </c>
      <c r="DB223" s="1719" t="s">
        <v>83</v>
      </c>
      <c r="DC223" s="1821">
        <f t="shared" si="226"/>
        <v>0</v>
      </c>
      <c r="DD223" s="1818">
        <f t="shared" ref="DD223:EH223" si="248">+(DD15+DD31+DD47)</f>
        <v>0</v>
      </c>
      <c r="DE223" s="1818">
        <f t="shared" si="248"/>
        <v>0</v>
      </c>
      <c r="DF223" s="1818">
        <f t="shared" si="248"/>
        <v>0</v>
      </c>
      <c r="DG223" s="1818">
        <f t="shared" si="248"/>
        <v>0</v>
      </c>
      <c r="DH223" s="1818">
        <f t="shared" si="248"/>
        <v>0</v>
      </c>
      <c r="DI223" s="1818">
        <f t="shared" si="248"/>
        <v>0</v>
      </c>
      <c r="DJ223" s="1818">
        <f t="shared" si="248"/>
        <v>0</v>
      </c>
      <c r="DK223" s="1818">
        <f t="shared" si="248"/>
        <v>0</v>
      </c>
      <c r="DL223" s="1818">
        <f t="shared" si="248"/>
        <v>0</v>
      </c>
      <c r="DM223" s="1818">
        <f t="shared" si="248"/>
        <v>0</v>
      </c>
      <c r="DN223" s="1818">
        <f t="shared" si="248"/>
        <v>0</v>
      </c>
      <c r="DO223" s="1818">
        <f t="shared" si="248"/>
        <v>0</v>
      </c>
      <c r="DP223" s="1818">
        <f t="shared" si="248"/>
        <v>0</v>
      </c>
      <c r="DQ223" s="1818">
        <f t="shared" si="248"/>
        <v>0</v>
      </c>
      <c r="DR223" s="1818">
        <f t="shared" si="248"/>
        <v>0</v>
      </c>
      <c r="DS223" s="1818">
        <f t="shared" si="248"/>
        <v>0</v>
      </c>
      <c r="DT223" s="1818">
        <f t="shared" si="248"/>
        <v>0</v>
      </c>
      <c r="DU223" s="1818">
        <f t="shared" si="248"/>
        <v>0</v>
      </c>
      <c r="DV223" s="1818">
        <f t="shared" si="248"/>
        <v>0</v>
      </c>
      <c r="DW223" s="1818">
        <f t="shared" si="248"/>
        <v>0</v>
      </c>
      <c r="DX223" s="1818">
        <f t="shared" si="248"/>
        <v>0</v>
      </c>
      <c r="DY223" s="1818">
        <f t="shared" si="248"/>
        <v>0</v>
      </c>
      <c r="DZ223" s="1818">
        <f t="shared" si="248"/>
        <v>0</v>
      </c>
      <c r="EA223" s="1818">
        <f t="shared" si="248"/>
        <v>0</v>
      </c>
      <c r="EB223" s="1818">
        <f t="shared" si="248"/>
        <v>0</v>
      </c>
      <c r="EC223" s="1818">
        <f t="shared" si="248"/>
        <v>0</v>
      </c>
      <c r="ED223" s="1818">
        <f t="shared" si="248"/>
        <v>0</v>
      </c>
      <c r="EE223" s="1818">
        <f t="shared" si="248"/>
        <v>0</v>
      </c>
      <c r="EF223" s="1818">
        <f t="shared" si="248"/>
        <v>0</v>
      </c>
      <c r="EG223" s="1818">
        <f t="shared" si="248"/>
        <v>0</v>
      </c>
      <c r="EH223" s="1818">
        <f t="shared" si="248"/>
        <v>0</v>
      </c>
      <c r="EI223" s="1817">
        <f t="shared" si="228"/>
        <v>0</v>
      </c>
    </row>
    <row r="224" spans="1:139" ht="15">
      <c r="AJ224" s="1524" t="s">
        <v>84</v>
      </c>
      <c r="AK224" s="1527">
        <f t="shared" si="223"/>
        <v>0</v>
      </c>
      <c r="AL224" s="1835">
        <f t="shared" ref="AL224:BP224" si="249">+(AL16+AL32+AL48)</f>
        <v>0</v>
      </c>
      <c r="AM224" s="1835">
        <f t="shared" si="249"/>
        <v>0</v>
      </c>
      <c r="AN224" s="1835">
        <f t="shared" si="249"/>
        <v>0</v>
      </c>
      <c r="AO224" s="1835">
        <f t="shared" si="249"/>
        <v>0</v>
      </c>
      <c r="AP224" s="1835">
        <f t="shared" si="249"/>
        <v>0</v>
      </c>
      <c r="AQ224" s="1835">
        <f t="shared" si="249"/>
        <v>0</v>
      </c>
      <c r="AR224" s="1835">
        <f t="shared" si="249"/>
        <v>0</v>
      </c>
      <c r="AS224" s="1835">
        <f t="shared" si="249"/>
        <v>0</v>
      </c>
      <c r="AT224" s="1835">
        <f t="shared" si="249"/>
        <v>0</v>
      </c>
      <c r="AU224" s="1835">
        <f t="shared" si="249"/>
        <v>0</v>
      </c>
      <c r="AV224" s="1835">
        <f t="shared" si="249"/>
        <v>0</v>
      </c>
      <c r="AW224" s="1835">
        <f t="shared" si="249"/>
        <v>0</v>
      </c>
      <c r="AX224" s="1835">
        <f t="shared" si="249"/>
        <v>0</v>
      </c>
      <c r="AY224" s="1835">
        <f t="shared" si="249"/>
        <v>0</v>
      </c>
      <c r="AZ224" s="1835">
        <f t="shared" si="249"/>
        <v>0</v>
      </c>
      <c r="BA224" s="1835">
        <f t="shared" si="249"/>
        <v>0</v>
      </c>
      <c r="BB224" s="1835">
        <f t="shared" si="249"/>
        <v>0</v>
      </c>
      <c r="BC224" s="1835">
        <f t="shared" si="249"/>
        <v>0</v>
      </c>
      <c r="BD224" s="1835">
        <f t="shared" si="249"/>
        <v>0</v>
      </c>
      <c r="BE224" s="1835">
        <f t="shared" si="249"/>
        <v>0</v>
      </c>
      <c r="BF224" s="1835">
        <f t="shared" si="249"/>
        <v>0</v>
      </c>
      <c r="BG224" s="1835">
        <f t="shared" si="249"/>
        <v>0</v>
      </c>
      <c r="BH224" s="1835">
        <f t="shared" si="249"/>
        <v>0</v>
      </c>
      <c r="BI224" s="1835">
        <f t="shared" si="249"/>
        <v>0</v>
      </c>
      <c r="BJ224" s="1835">
        <f t="shared" si="249"/>
        <v>0</v>
      </c>
      <c r="BK224" s="1835">
        <f t="shared" si="249"/>
        <v>0</v>
      </c>
      <c r="BL224" s="1835">
        <f t="shared" si="249"/>
        <v>0</v>
      </c>
      <c r="BM224" s="1835">
        <f t="shared" si="249"/>
        <v>0</v>
      </c>
      <c r="BN224" s="1835">
        <f t="shared" si="249"/>
        <v>0</v>
      </c>
      <c r="BO224" s="1835">
        <f t="shared" si="249"/>
        <v>0</v>
      </c>
      <c r="BP224" s="1835">
        <f t="shared" si="249"/>
        <v>0</v>
      </c>
      <c r="BQ224" s="1834">
        <f t="shared" si="225"/>
        <v>0</v>
      </c>
      <c r="DB224" s="1719" t="s">
        <v>84</v>
      </c>
      <c r="DC224" s="1821">
        <f t="shared" si="226"/>
        <v>0</v>
      </c>
      <c r="DD224" s="1818">
        <f t="shared" ref="DD224:EH224" si="250">+(DD16+DD32+DD48)</f>
        <v>0</v>
      </c>
      <c r="DE224" s="1818">
        <f t="shared" si="250"/>
        <v>0</v>
      </c>
      <c r="DF224" s="1818">
        <f t="shared" si="250"/>
        <v>0</v>
      </c>
      <c r="DG224" s="1818">
        <f t="shared" si="250"/>
        <v>0</v>
      </c>
      <c r="DH224" s="1818">
        <f t="shared" si="250"/>
        <v>0</v>
      </c>
      <c r="DI224" s="1818">
        <f t="shared" si="250"/>
        <v>0</v>
      </c>
      <c r="DJ224" s="1818">
        <f t="shared" si="250"/>
        <v>0</v>
      </c>
      <c r="DK224" s="1818">
        <f t="shared" si="250"/>
        <v>0</v>
      </c>
      <c r="DL224" s="1818">
        <f t="shared" si="250"/>
        <v>0</v>
      </c>
      <c r="DM224" s="1818">
        <f t="shared" si="250"/>
        <v>0</v>
      </c>
      <c r="DN224" s="1818">
        <f t="shared" si="250"/>
        <v>0</v>
      </c>
      <c r="DO224" s="1818">
        <f t="shared" si="250"/>
        <v>0</v>
      </c>
      <c r="DP224" s="1818">
        <f t="shared" si="250"/>
        <v>0</v>
      </c>
      <c r="DQ224" s="1818">
        <f t="shared" si="250"/>
        <v>0</v>
      </c>
      <c r="DR224" s="1818">
        <f t="shared" si="250"/>
        <v>0</v>
      </c>
      <c r="DS224" s="1818">
        <f t="shared" si="250"/>
        <v>0</v>
      </c>
      <c r="DT224" s="1818">
        <f t="shared" si="250"/>
        <v>0</v>
      </c>
      <c r="DU224" s="1818">
        <f t="shared" si="250"/>
        <v>0</v>
      </c>
      <c r="DV224" s="1818">
        <f t="shared" si="250"/>
        <v>0</v>
      </c>
      <c r="DW224" s="1818">
        <f t="shared" si="250"/>
        <v>0</v>
      </c>
      <c r="DX224" s="1818">
        <f t="shared" si="250"/>
        <v>0</v>
      </c>
      <c r="DY224" s="1818">
        <f t="shared" si="250"/>
        <v>0</v>
      </c>
      <c r="DZ224" s="1818">
        <f t="shared" si="250"/>
        <v>0</v>
      </c>
      <c r="EA224" s="1818">
        <f t="shared" si="250"/>
        <v>0</v>
      </c>
      <c r="EB224" s="1818">
        <f t="shared" si="250"/>
        <v>0</v>
      </c>
      <c r="EC224" s="1818">
        <f t="shared" si="250"/>
        <v>0</v>
      </c>
      <c r="ED224" s="1818">
        <f t="shared" si="250"/>
        <v>0</v>
      </c>
      <c r="EE224" s="1818">
        <f t="shared" si="250"/>
        <v>0</v>
      </c>
      <c r="EF224" s="1818">
        <f t="shared" si="250"/>
        <v>0</v>
      </c>
      <c r="EG224" s="1818">
        <f t="shared" si="250"/>
        <v>0</v>
      </c>
      <c r="EH224" s="1818">
        <f t="shared" si="250"/>
        <v>0</v>
      </c>
      <c r="EI224" s="1817">
        <f t="shared" si="228"/>
        <v>0</v>
      </c>
    </row>
    <row r="225" spans="36:139" ht="15">
      <c r="AJ225" s="1837" t="s">
        <v>72</v>
      </c>
      <c r="AK225" s="1836">
        <f t="shared" ref="AK225:BQ225" si="251">SUM(AK213:AK224)</f>
        <v>0</v>
      </c>
      <c r="AL225" s="1835">
        <f t="shared" si="251"/>
        <v>0</v>
      </c>
      <c r="AM225" s="1835">
        <f t="shared" si="251"/>
        <v>0</v>
      </c>
      <c r="AN225" s="1835">
        <f t="shared" si="251"/>
        <v>0</v>
      </c>
      <c r="AO225" s="1835">
        <f t="shared" si="251"/>
        <v>0</v>
      </c>
      <c r="AP225" s="1835">
        <f t="shared" si="251"/>
        <v>0</v>
      </c>
      <c r="AQ225" s="1835">
        <f t="shared" si="251"/>
        <v>0</v>
      </c>
      <c r="AR225" s="1835">
        <f t="shared" si="251"/>
        <v>0</v>
      </c>
      <c r="AS225" s="1835">
        <f t="shared" si="251"/>
        <v>0</v>
      </c>
      <c r="AT225" s="1835">
        <f t="shared" si="251"/>
        <v>0</v>
      </c>
      <c r="AU225" s="1835">
        <f t="shared" si="251"/>
        <v>0</v>
      </c>
      <c r="AV225" s="1835">
        <f t="shared" si="251"/>
        <v>0</v>
      </c>
      <c r="AW225" s="1835">
        <f t="shared" si="251"/>
        <v>0</v>
      </c>
      <c r="AX225" s="1835">
        <f t="shared" si="251"/>
        <v>0</v>
      </c>
      <c r="AY225" s="1835">
        <f t="shared" si="251"/>
        <v>0</v>
      </c>
      <c r="AZ225" s="1835">
        <f t="shared" si="251"/>
        <v>0</v>
      </c>
      <c r="BA225" s="1835">
        <f t="shared" si="251"/>
        <v>0</v>
      </c>
      <c r="BB225" s="1835">
        <f t="shared" si="251"/>
        <v>0</v>
      </c>
      <c r="BC225" s="1835">
        <f t="shared" si="251"/>
        <v>0</v>
      </c>
      <c r="BD225" s="1835">
        <f t="shared" si="251"/>
        <v>0</v>
      </c>
      <c r="BE225" s="1835">
        <f t="shared" si="251"/>
        <v>0</v>
      </c>
      <c r="BF225" s="1835">
        <f t="shared" si="251"/>
        <v>0</v>
      </c>
      <c r="BG225" s="1835">
        <f t="shared" si="251"/>
        <v>0</v>
      </c>
      <c r="BH225" s="1835">
        <f t="shared" si="251"/>
        <v>0</v>
      </c>
      <c r="BI225" s="1835">
        <f t="shared" si="251"/>
        <v>0</v>
      </c>
      <c r="BJ225" s="1835">
        <f t="shared" si="251"/>
        <v>0</v>
      </c>
      <c r="BK225" s="1835">
        <f t="shared" si="251"/>
        <v>0</v>
      </c>
      <c r="BL225" s="1835">
        <f t="shared" si="251"/>
        <v>0</v>
      </c>
      <c r="BM225" s="1835">
        <f t="shared" si="251"/>
        <v>0</v>
      </c>
      <c r="BN225" s="1835">
        <f t="shared" si="251"/>
        <v>0</v>
      </c>
      <c r="BO225" s="1835">
        <f t="shared" si="251"/>
        <v>0</v>
      </c>
      <c r="BP225" s="1835">
        <f t="shared" si="251"/>
        <v>0</v>
      </c>
      <c r="BQ225" s="1834">
        <f t="shared" si="251"/>
        <v>0</v>
      </c>
      <c r="DB225" s="1820" t="s">
        <v>72</v>
      </c>
      <c r="DC225" s="1819">
        <f>SUM(DC213:DC224)</f>
        <v>0</v>
      </c>
      <c r="DD225" s="1817">
        <f t="shared" ref="DD225:EH225" si="252">+(DD33+DD49+DD65+DD81+DD97+DD113+DD129+DD145+DD161+DD177+DD193+DD209)</f>
        <v>0</v>
      </c>
      <c r="DE225" s="1817">
        <f t="shared" si="252"/>
        <v>0</v>
      </c>
      <c r="DF225" s="1817">
        <f t="shared" si="252"/>
        <v>0</v>
      </c>
      <c r="DG225" s="1817">
        <f t="shared" si="252"/>
        <v>0</v>
      </c>
      <c r="DH225" s="1817">
        <f t="shared" si="252"/>
        <v>0</v>
      </c>
      <c r="DI225" s="1817">
        <f t="shared" si="252"/>
        <v>0</v>
      </c>
      <c r="DJ225" s="1817">
        <f t="shared" si="252"/>
        <v>0</v>
      </c>
      <c r="DK225" s="1817">
        <f t="shared" si="252"/>
        <v>0</v>
      </c>
      <c r="DL225" s="1817">
        <f t="shared" si="252"/>
        <v>0</v>
      </c>
      <c r="DM225" s="1817">
        <f t="shared" si="252"/>
        <v>0</v>
      </c>
      <c r="DN225" s="1817">
        <f t="shared" si="252"/>
        <v>0</v>
      </c>
      <c r="DO225" s="1817">
        <f t="shared" si="252"/>
        <v>0</v>
      </c>
      <c r="DP225" s="1817">
        <f t="shared" si="252"/>
        <v>0</v>
      </c>
      <c r="DQ225" s="1817">
        <f t="shared" si="252"/>
        <v>0</v>
      </c>
      <c r="DR225" s="1817">
        <f t="shared" si="252"/>
        <v>0</v>
      </c>
      <c r="DS225" s="1817">
        <f t="shared" si="252"/>
        <v>0</v>
      </c>
      <c r="DT225" s="1817">
        <f t="shared" si="252"/>
        <v>0</v>
      </c>
      <c r="DU225" s="1817">
        <f t="shared" si="252"/>
        <v>0</v>
      </c>
      <c r="DV225" s="1817">
        <f t="shared" si="252"/>
        <v>0</v>
      </c>
      <c r="DW225" s="1817">
        <f t="shared" si="252"/>
        <v>0</v>
      </c>
      <c r="DX225" s="1817">
        <f t="shared" si="252"/>
        <v>0</v>
      </c>
      <c r="DY225" s="1817">
        <f t="shared" si="252"/>
        <v>0</v>
      </c>
      <c r="DZ225" s="1817">
        <f t="shared" si="252"/>
        <v>0</v>
      </c>
      <c r="EA225" s="1817">
        <f t="shared" si="252"/>
        <v>0</v>
      </c>
      <c r="EB225" s="1817">
        <f t="shared" si="252"/>
        <v>0</v>
      </c>
      <c r="EC225" s="1817">
        <f t="shared" si="252"/>
        <v>0</v>
      </c>
      <c r="ED225" s="1817">
        <f t="shared" si="252"/>
        <v>0</v>
      </c>
      <c r="EE225" s="1817">
        <f t="shared" si="252"/>
        <v>0</v>
      </c>
      <c r="EF225" s="1817">
        <f t="shared" si="252"/>
        <v>0</v>
      </c>
      <c r="EG225" s="1817">
        <f t="shared" si="252"/>
        <v>0</v>
      </c>
      <c r="EH225" s="1817">
        <f t="shared" si="252"/>
        <v>0</v>
      </c>
      <c r="EI225" s="1817">
        <f>SUM(EI213:EI224)</f>
        <v>0</v>
      </c>
    </row>
    <row r="227" spans="36:139" ht="15">
      <c r="AJ227" s="3821" t="s">
        <v>601</v>
      </c>
      <c r="AK227" s="3822"/>
      <c r="AL227" s="3823"/>
      <c r="AM227" s="1839"/>
      <c r="AN227" s="1839"/>
      <c r="AO227" s="1839"/>
      <c r="AP227" s="1839"/>
      <c r="AQ227" s="1839"/>
      <c r="AR227" s="1839"/>
      <c r="AS227" s="1839"/>
      <c r="AT227" s="1839"/>
      <c r="AU227" s="1839"/>
      <c r="AV227" s="1840"/>
      <c r="AW227" s="1839"/>
      <c r="AX227" s="1839"/>
      <c r="AY227" s="1839"/>
      <c r="AZ227" s="1839"/>
      <c r="BA227" s="1839"/>
      <c r="BB227" s="1839"/>
      <c r="BC227" s="1839"/>
      <c r="BD227" s="1839"/>
      <c r="BE227" s="1839"/>
      <c r="BF227" s="1839"/>
      <c r="BG227" s="1839"/>
      <c r="BH227" s="1839"/>
      <c r="BI227" s="1839"/>
      <c r="BJ227" s="1839"/>
      <c r="BK227" s="1839"/>
      <c r="BL227" s="1839"/>
      <c r="BM227" s="1839"/>
      <c r="BN227" s="1839"/>
      <c r="BO227" s="1839"/>
      <c r="BP227" s="1839"/>
      <c r="BQ227" s="1839"/>
      <c r="DB227" s="4038" t="s">
        <v>601</v>
      </c>
      <c r="DC227" s="4039"/>
      <c r="DD227" s="4040"/>
      <c r="DE227" s="1823"/>
      <c r="DF227" s="1823"/>
      <c r="DG227" s="1823"/>
      <c r="DH227" s="1823"/>
      <c r="DI227" s="1823"/>
      <c r="DJ227" s="1823"/>
      <c r="DK227" s="1823"/>
      <c r="DL227" s="1823"/>
      <c r="DM227" s="1823"/>
      <c r="DN227" s="1824"/>
      <c r="DO227" s="1823"/>
      <c r="DP227" s="1823"/>
      <c r="DQ227" s="1823"/>
      <c r="DR227" s="1823"/>
      <c r="DS227" s="1823"/>
      <c r="DT227" s="1823"/>
      <c r="DU227" s="1823"/>
      <c r="DV227" s="1823"/>
      <c r="DW227" s="1823"/>
      <c r="DX227" s="1823"/>
      <c r="DY227" s="1823"/>
      <c r="DZ227" s="1823"/>
      <c r="EA227" s="1823"/>
      <c r="EB227" s="1823"/>
      <c r="EC227" s="1823"/>
      <c r="ED227" s="1823"/>
      <c r="EE227" s="1823"/>
      <c r="EF227" s="1823"/>
      <c r="EG227" s="1823"/>
      <c r="EH227" s="1823"/>
      <c r="EI227" s="1823"/>
    </row>
    <row r="228" spans="36:139" ht="15">
      <c r="AJ228" s="1524" t="s">
        <v>70</v>
      </c>
      <c r="AK228" s="1524" t="s">
        <v>71</v>
      </c>
      <c r="AL228" s="1524">
        <v>1</v>
      </c>
      <c r="AM228" s="1524">
        <v>2</v>
      </c>
      <c r="AN228" s="1524">
        <v>3</v>
      </c>
      <c r="AO228" s="1524">
        <v>4</v>
      </c>
      <c r="AP228" s="1524">
        <v>5</v>
      </c>
      <c r="AQ228" s="1524">
        <v>6</v>
      </c>
      <c r="AR228" s="1524">
        <v>7</v>
      </c>
      <c r="AS228" s="1524">
        <v>8</v>
      </c>
      <c r="AT228" s="1524">
        <v>9</v>
      </c>
      <c r="AU228" s="1524">
        <v>10</v>
      </c>
      <c r="AV228" s="1524">
        <v>11</v>
      </c>
      <c r="AW228" s="1524">
        <v>12</v>
      </c>
      <c r="AX228" s="1524">
        <v>13</v>
      </c>
      <c r="AY228" s="1524">
        <v>14</v>
      </c>
      <c r="AZ228" s="1524">
        <v>15</v>
      </c>
      <c r="BA228" s="1524">
        <v>16</v>
      </c>
      <c r="BB228" s="1524">
        <v>17</v>
      </c>
      <c r="BC228" s="1524">
        <v>18</v>
      </c>
      <c r="BD228" s="1524">
        <v>19</v>
      </c>
      <c r="BE228" s="1524">
        <v>20</v>
      </c>
      <c r="BF228" s="1524">
        <v>21</v>
      </c>
      <c r="BG228" s="1524">
        <v>22</v>
      </c>
      <c r="BH228" s="1524">
        <v>23</v>
      </c>
      <c r="BI228" s="1524">
        <v>24</v>
      </c>
      <c r="BJ228" s="1524">
        <v>25</v>
      </c>
      <c r="BK228" s="1524">
        <v>26</v>
      </c>
      <c r="BL228" s="1524">
        <v>27</v>
      </c>
      <c r="BM228" s="1524">
        <v>28</v>
      </c>
      <c r="BN228" s="1524">
        <v>29</v>
      </c>
      <c r="BO228" s="1524">
        <v>30</v>
      </c>
      <c r="BP228" s="1524">
        <v>31</v>
      </c>
      <c r="BQ228" s="1838" t="s">
        <v>72</v>
      </c>
      <c r="DB228" s="1719" t="s">
        <v>70</v>
      </c>
      <c r="DC228" s="1719" t="s">
        <v>71</v>
      </c>
      <c r="DD228" s="1719">
        <v>1</v>
      </c>
      <c r="DE228" s="1719">
        <v>2</v>
      </c>
      <c r="DF228" s="1719">
        <v>3</v>
      </c>
      <c r="DG228" s="1719">
        <v>4</v>
      </c>
      <c r="DH228" s="1719">
        <v>5</v>
      </c>
      <c r="DI228" s="1719">
        <v>6</v>
      </c>
      <c r="DJ228" s="1719">
        <v>7</v>
      </c>
      <c r="DK228" s="1719">
        <v>8</v>
      </c>
      <c r="DL228" s="1719">
        <v>9</v>
      </c>
      <c r="DM228" s="1719">
        <v>10</v>
      </c>
      <c r="DN228" s="1719">
        <v>11</v>
      </c>
      <c r="DO228" s="1719">
        <v>12</v>
      </c>
      <c r="DP228" s="1719">
        <v>13</v>
      </c>
      <c r="DQ228" s="1719">
        <v>14</v>
      </c>
      <c r="DR228" s="1719">
        <v>15</v>
      </c>
      <c r="DS228" s="1719">
        <v>16</v>
      </c>
      <c r="DT228" s="1719">
        <v>17</v>
      </c>
      <c r="DU228" s="1719">
        <v>18</v>
      </c>
      <c r="DV228" s="1719">
        <v>19</v>
      </c>
      <c r="DW228" s="1719">
        <v>20</v>
      </c>
      <c r="DX228" s="1719">
        <v>21</v>
      </c>
      <c r="DY228" s="1719">
        <v>22</v>
      </c>
      <c r="DZ228" s="1719">
        <v>23</v>
      </c>
      <c r="EA228" s="1719">
        <v>24</v>
      </c>
      <c r="EB228" s="1719">
        <v>25</v>
      </c>
      <c r="EC228" s="1719">
        <v>26</v>
      </c>
      <c r="ED228" s="1719">
        <v>27</v>
      </c>
      <c r="EE228" s="1719">
        <v>28</v>
      </c>
      <c r="EF228" s="1719">
        <v>29</v>
      </c>
      <c r="EG228" s="1719">
        <v>30</v>
      </c>
      <c r="EH228" s="1719">
        <v>31</v>
      </c>
      <c r="EI228" s="1822" t="s">
        <v>72</v>
      </c>
    </row>
    <row r="229" spans="36:139" ht="15">
      <c r="AJ229" s="1524" t="s">
        <v>73</v>
      </c>
      <c r="AK229" s="1527">
        <f t="shared" ref="AK229:AK240" si="253">+BQ229</f>
        <v>0</v>
      </c>
      <c r="AL229" s="1835">
        <f t="shared" ref="AL229:BP229" si="254">+(AL53+AL69)</f>
        <v>0</v>
      </c>
      <c r="AM229" s="1835">
        <f t="shared" si="254"/>
        <v>0</v>
      </c>
      <c r="AN229" s="1835">
        <f t="shared" si="254"/>
        <v>0</v>
      </c>
      <c r="AO229" s="1835">
        <f t="shared" si="254"/>
        <v>0</v>
      </c>
      <c r="AP229" s="1835">
        <f t="shared" si="254"/>
        <v>0</v>
      </c>
      <c r="AQ229" s="1835">
        <f t="shared" si="254"/>
        <v>0</v>
      </c>
      <c r="AR229" s="1835">
        <f t="shared" si="254"/>
        <v>0</v>
      </c>
      <c r="AS229" s="1835">
        <f t="shared" si="254"/>
        <v>0</v>
      </c>
      <c r="AT229" s="1835">
        <f t="shared" si="254"/>
        <v>0</v>
      </c>
      <c r="AU229" s="1835">
        <f t="shared" si="254"/>
        <v>0</v>
      </c>
      <c r="AV229" s="1835">
        <f t="shared" si="254"/>
        <v>0</v>
      </c>
      <c r="AW229" s="1835">
        <f t="shared" si="254"/>
        <v>0</v>
      </c>
      <c r="AX229" s="1835">
        <f t="shared" si="254"/>
        <v>0</v>
      </c>
      <c r="AY229" s="1835">
        <f t="shared" si="254"/>
        <v>0</v>
      </c>
      <c r="AZ229" s="1835">
        <f t="shared" si="254"/>
        <v>0</v>
      </c>
      <c r="BA229" s="1835">
        <f t="shared" si="254"/>
        <v>0</v>
      </c>
      <c r="BB229" s="1835">
        <f t="shared" si="254"/>
        <v>0</v>
      </c>
      <c r="BC229" s="1835">
        <f t="shared" si="254"/>
        <v>0</v>
      </c>
      <c r="BD229" s="1835">
        <f t="shared" si="254"/>
        <v>0</v>
      </c>
      <c r="BE229" s="1835">
        <f t="shared" si="254"/>
        <v>0</v>
      </c>
      <c r="BF229" s="1835">
        <f t="shared" si="254"/>
        <v>0</v>
      </c>
      <c r="BG229" s="1835">
        <f t="shared" si="254"/>
        <v>0</v>
      </c>
      <c r="BH229" s="1835">
        <f t="shared" si="254"/>
        <v>0</v>
      </c>
      <c r="BI229" s="1835">
        <f t="shared" si="254"/>
        <v>0</v>
      </c>
      <c r="BJ229" s="1835">
        <f t="shared" si="254"/>
        <v>0</v>
      </c>
      <c r="BK229" s="1835">
        <f t="shared" si="254"/>
        <v>0</v>
      </c>
      <c r="BL229" s="1835">
        <f t="shared" si="254"/>
        <v>0</v>
      </c>
      <c r="BM229" s="1835">
        <f t="shared" si="254"/>
        <v>0</v>
      </c>
      <c r="BN229" s="1835">
        <f t="shared" si="254"/>
        <v>0</v>
      </c>
      <c r="BO229" s="1835">
        <f t="shared" si="254"/>
        <v>0</v>
      </c>
      <c r="BP229" s="1835">
        <f t="shared" si="254"/>
        <v>0</v>
      </c>
      <c r="BQ229" s="1834">
        <f t="shared" ref="BQ229:BQ240" si="255">SUM(AL229:BP229)</f>
        <v>0</v>
      </c>
      <c r="DB229" s="1719" t="s">
        <v>73</v>
      </c>
      <c r="DC229" s="1821">
        <f t="shared" ref="DC229:DC240" si="256">+EI229</f>
        <v>0</v>
      </c>
      <c r="DD229" s="1818">
        <f t="shared" ref="DD229:EH229" si="257">+(DD53+DD69)</f>
        <v>0</v>
      </c>
      <c r="DE229" s="1818">
        <f t="shared" si="257"/>
        <v>0</v>
      </c>
      <c r="DF229" s="1818">
        <f t="shared" si="257"/>
        <v>0</v>
      </c>
      <c r="DG229" s="1818">
        <f t="shared" si="257"/>
        <v>0</v>
      </c>
      <c r="DH229" s="1818">
        <f t="shared" si="257"/>
        <v>0</v>
      </c>
      <c r="DI229" s="1818">
        <f t="shared" si="257"/>
        <v>0</v>
      </c>
      <c r="DJ229" s="1818">
        <f t="shared" si="257"/>
        <v>0</v>
      </c>
      <c r="DK229" s="1818">
        <f t="shared" si="257"/>
        <v>0</v>
      </c>
      <c r="DL229" s="1818">
        <f t="shared" si="257"/>
        <v>0</v>
      </c>
      <c r="DM229" s="1818">
        <f t="shared" si="257"/>
        <v>0</v>
      </c>
      <c r="DN229" s="1818">
        <f t="shared" si="257"/>
        <v>0</v>
      </c>
      <c r="DO229" s="1818">
        <f t="shared" si="257"/>
        <v>0</v>
      </c>
      <c r="DP229" s="1818">
        <f t="shared" si="257"/>
        <v>0</v>
      </c>
      <c r="DQ229" s="1818">
        <f t="shared" si="257"/>
        <v>0</v>
      </c>
      <c r="DR229" s="1818">
        <f t="shared" si="257"/>
        <v>0</v>
      </c>
      <c r="DS229" s="1818">
        <f t="shared" si="257"/>
        <v>0</v>
      </c>
      <c r="DT229" s="1818">
        <f t="shared" si="257"/>
        <v>0</v>
      </c>
      <c r="DU229" s="1818">
        <f t="shared" si="257"/>
        <v>0</v>
      </c>
      <c r="DV229" s="1818">
        <f t="shared" si="257"/>
        <v>0</v>
      </c>
      <c r="DW229" s="1818">
        <f t="shared" si="257"/>
        <v>0</v>
      </c>
      <c r="DX229" s="1818">
        <f t="shared" si="257"/>
        <v>0</v>
      </c>
      <c r="DY229" s="1818">
        <f t="shared" si="257"/>
        <v>0</v>
      </c>
      <c r="DZ229" s="1818">
        <f t="shared" si="257"/>
        <v>0</v>
      </c>
      <c r="EA229" s="1818">
        <f t="shared" si="257"/>
        <v>0</v>
      </c>
      <c r="EB229" s="1818">
        <f t="shared" si="257"/>
        <v>0</v>
      </c>
      <c r="EC229" s="1818">
        <f t="shared" si="257"/>
        <v>0</v>
      </c>
      <c r="ED229" s="1818">
        <f t="shared" si="257"/>
        <v>0</v>
      </c>
      <c r="EE229" s="1818">
        <f t="shared" si="257"/>
        <v>0</v>
      </c>
      <c r="EF229" s="1818">
        <f t="shared" si="257"/>
        <v>0</v>
      </c>
      <c r="EG229" s="1818">
        <f t="shared" si="257"/>
        <v>0</v>
      </c>
      <c r="EH229" s="1818">
        <f t="shared" si="257"/>
        <v>0</v>
      </c>
      <c r="EI229" s="1817">
        <f t="shared" ref="EI229:EI240" si="258">SUM(DD229:EH229)</f>
        <v>0</v>
      </c>
    </row>
    <row r="230" spans="36:139" ht="15">
      <c r="AJ230" s="1524" t="s">
        <v>74</v>
      </c>
      <c r="AK230" s="1527">
        <f t="shared" si="253"/>
        <v>0</v>
      </c>
      <c r="AL230" s="1835">
        <f t="shared" ref="AL230:BP230" si="259">+(AL54+AL70)</f>
        <v>0</v>
      </c>
      <c r="AM230" s="1835">
        <f t="shared" si="259"/>
        <v>0</v>
      </c>
      <c r="AN230" s="1835">
        <f t="shared" si="259"/>
        <v>0</v>
      </c>
      <c r="AO230" s="1835">
        <f t="shared" si="259"/>
        <v>0</v>
      </c>
      <c r="AP230" s="1835">
        <f t="shared" si="259"/>
        <v>0</v>
      </c>
      <c r="AQ230" s="1835">
        <f t="shared" si="259"/>
        <v>0</v>
      </c>
      <c r="AR230" s="1835">
        <f t="shared" si="259"/>
        <v>0</v>
      </c>
      <c r="AS230" s="1835">
        <f t="shared" si="259"/>
        <v>0</v>
      </c>
      <c r="AT230" s="1835">
        <f t="shared" si="259"/>
        <v>0</v>
      </c>
      <c r="AU230" s="1835">
        <f t="shared" si="259"/>
        <v>0</v>
      </c>
      <c r="AV230" s="1835">
        <f t="shared" si="259"/>
        <v>0</v>
      </c>
      <c r="AW230" s="1835">
        <f t="shared" si="259"/>
        <v>0</v>
      </c>
      <c r="AX230" s="1835">
        <f t="shared" si="259"/>
        <v>0</v>
      </c>
      <c r="AY230" s="1835">
        <f t="shared" si="259"/>
        <v>0</v>
      </c>
      <c r="AZ230" s="1835">
        <f t="shared" si="259"/>
        <v>0</v>
      </c>
      <c r="BA230" s="1835">
        <f t="shared" si="259"/>
        <v>0</v>
      </c>
      <c r="BB230" s="1835">
        <f t="shared" si="259"/>
        <v>0</v>
      </c>
      <c r="BC230" s="1835">
        <f t="shared" si="259"/>
        <v>0</v>
      </c>
      <c r="BD230" s="1835">
        <f t="shared" si="259"/>
        <v>0</v>
      </c>
      <c r="BE230" s="1835">
        <f t="shared" si="259"/>
        <v>0</v>
      </c>
      <c r="BF230" s="1835">
        <f t="shared" si="259"/>
        <v>0</v>
      </c>
      <c r="BG230" s="1835">
        <f t="shared" si="259"/>
        <v>0</v>
      </c>
      <c r="BH230" s="1835">
        <f t="shared" si="259"/>
        <v>0</v>
      </c>
      <c r="BI230" s="1835">
        <f t="shared" si="259"/>
        <v>0</v>
      </c>
      <c r="BJ230" s="1835">
        <f t="shared" si="259"/>
        <v>0</v>
      </c>
      <c r="BK230" s="1835">
        <f t="shared" si="259"/>
        <v>0</v>
      </c>
      <c r="BL230" s="1835">
        <f t="shared" si="259"/>
        <v>0</v>
      </c>
      <c r="BM230" s="1835">
        <f t="shared" si="259"/>
        <v>0</v>
      </c>
      <c r="BN230" s="1835">
        <f t="shared" si="259"/>
        <v>0</v>
      </c>
      <c r="BO230" s="1835">
        <f t="shared" si="259"/>
        <v>0</v>
      </c>
      <c r="BP230" s="1835">
        <f t="shared" si="259"/>
        <v>0</v>
      </c>
      <c r="BQ230" s="1834">
        <f t="shared" si="255"/>
        <v>0</v>
      </c>
      <c r="DB230" s="1719" t="s">
        <v>74</v>
      </c>
      <c r="DC230" s="1821">
        <f t="shared" si="256"/>
        <v>0</v>
      </c>
      <c r="DD230" s="1818">
        <f t="shared" ref="DD230:EH230" si="260">+(DD54+DD70)</f>
        <v>0</v>
      </c>
      <c r="DE230" s="1818">
        <f t="shared" si="260"/>
        <v>0</v>
      </c>
      <c r="DF230" s="1818">
        <f t="shared" si="260"/>
        <v>0</v>
      </c>
      <c r="DG230" s="1818">
        <f t="shared" si="260"/>
        <v>0</v>
      </c>
      <c r="DH230" s="1818">
        <f t="shared" si="260"/>
        <v>0</v>
      </c>
      <c r="DI230" s="1818">
        <f t="shared" si="260"/>
        <v>0</v>
      </c>
      <c r="DJ230" s="1818">
        <f t="shared" si="260"/>
        <v>0</v>
      </c>
      <c r="DK230" s="1818">
        <f t="shared" si="260"/>
        <v>0</v>
      </c>
      <c r="DL230" s="1818">
        <f t="shared" si="260"/>
        <v>0</v>
      </c>
      <c r="DM230" s="1818">
        <f t="shared" si="260"/>
        <v>0</v>
      </c>
      <c r="DN230" s="1818">
        <f t="shared" si="260"/>
        <v>0</v>
      </c>
      <c r="DO230" s="1818">
        <f t="shared" si="260"/>
        <v>0</v>
      </c>
      <c r="DP230" s="1818">
        <f t="shared" si="260"/>
        <v>0</v>
      </c>
      <c r="DQ230" s="1818">
        <f t="shared" si="260"/>
        <v>0</v>
      </c>
      <c r="DR230" s="1818">
        <f t="shared" si="260"/>
        <v>0</v>
      </c>
      <c r="DS230" s="1818">
        <f t="shared" si="260"/>
        <v>0</v>
      </c>
      <c r="DT230" s="1818">
        <f t="shared" si="260"/>
        <v>0</v>
      </c>
      <c r="DU230" s="1818">
        <f t="shared" si="260"/>
        <v>0</v>
      </c>
      <c r="DV230" s="1818">
        <f t="shared" si="260"/>
        <v>0</v>
      </c>
      <c r="DW230" s="1818">
        <f t="shared" si="260"/>
        <v>0</v>
      </c>
      <c r="DX230" s="1818">
        <f t="shared" si="260"/>
        <v>0</v>
      </c>
      <c r="DY230" s="1818">
        <f t="shared" si="260"/>
        <v>0</v>
      </c>
      <c r="DZ230" s="1818">
        <f t="shared" si="260"/>
        <v>0</v>
      </c>
      <c r="EA230" s="1818">
        <f t="shared" si="260"/>
        <v>0</v>
      </c>
      <c r="EB230" s="1818">
        <f t="shared" si="260"/>
        <v>0</v>
      </c>
      <c r="EC230" s="1818">
        <f t="shared" si="260"/>
        <v>0</v>
      </c>
      <c r="ED230" s="1818">
        <f t="shared" si="260"/>
        <v>0</v>
      </c>
      <c r="EE230" s="1818">
        <f t="shared" si="260"/>
        <v>0</v>
      </c>
      <c r="EF230" s="1818">
        <f t="shared" si="260"/>
        <v>0</v>
      </c>
      <c r="EG230" s="1818">
        <f t="shared" si="260"/>
        <v>0</v>
      </c>
      <c r="EH230" s="1818">
        <f t="shared" si="260"/>
        <v>0</v>
      </c>
      <c r="EI230" s="1817">
        <f t="shared" si="258"/>
        <v>0</v>
      </c>
    </row>
    <row r="231" spans="36:139" ht="15">
      <c r="AJ231" s="1524" t="s">
        <v>75</v>
      </c>
      <c r="AK231" s="1527">
        <f t="shared" si="253"/>
        <v>0</v>
      </c>
      <c r="AL231" s="1835">
        <f t="shared" ref="AL231:BP231" si="261">+(AL55+AL71)</f>
        <v>0</v>
      </c>
      <c r="AM231" s="1835">
        <f t="shared" si="261"/>
        <v>0</v>
      </c>
      <c r="AN231" s="1835">
        <f t="shared" si="261"/>
        <v>0</v>
      </c>
      <c r="AO231" s="1835">
        <f t="shared" si="261"/>
        <v>0</v>
      </c>
      <c r="AP231" s="1835">
        <f t="shared" si="261"/>
        <v>0</v>
      </c>
      <c r="AQ231" s="1835">
        <f t="shared" si="261"/>
        <v>0</v>
      </c>
      <c r="AR231" s="1835">
        <f t="shared" si="261"/>
        <v>0</v>
      </c>
      <c r="AS231" s="1835">
        <f t="shared" si="261"/>
        <v>0</v>
      </c>
      <c r="AT231" s="1835">
        <f t="shared" si="261"/>
        <v>0</v>
      </c>
      <c r="AU231" s="1835">
        <f t="shared" si="261"/>
        <v>0</v>
      </c>
      <c r="AV231" s="1835">
        <f t="shared" si="261"/>
        <v>0</v>
      </c>
      <c r="AW231" s="1835">
        <f t="shared" si="261"/>
        <v>0</v>
      </c>
      <c r="AX231" s="1835">
        <f t="shared" si="261"/>
        <v>0</v>
      </c>
      <c r="AY231" s="1835">
        <f t="shared" si="261"/>
        <v>0</v>
      </c>
      <c r="AZ231" s="1835">
        <f t="shared" si="261"/>
        <v>0</v>
      </c>
      <c r="BA231" s="1835">
        <f t="shared" si="261"/>
        <v>0</v>
      </c>
      <c r="BB231" s="1835">
        <f t="shared" si="261"/>
        <v>0</v>
      </c>
      <c r="BC231" s="1835">
        <f t="shared" si="261"/>
        <v>0</v>
      </c>
      <c r="BD231" s="1835">
        <f t="shared" si="261"/>
        <v>0</v>
      </c>
      <c r="BE231" s="1835">
        <f t="shared" si="261"/>
        <v>0</v>
      </c>
      <c r="BF231" s="1835">
        <f t="shared" si="261"/>
        <v>0</v>
      </c>
      <c r="BG231" s="1835">
        <f t="shared" si="261"/>
        <v>0</v>
      </c>
      <c r="BH231" s="1835">
        <f t="shared" si="261"/>
        <v>0</v>
      </c>
      <c r="BI231" s="1835">
        <f t="shared" si="261"/>
        <v>0</v>
      </c>
      <c r="BJ231" s="1835">
        <f t="shared" si="261"/>
        <v>0</v>
      </c>
      <c r="BK231" s="1835">
        <f t="shared" si="261"/>
        <v>0</v>
      </c>
      <c r="BL231" s="1835">
        <f t="shared" si="261"/>
        <v>0</v>
      </c>
      <c r="BM231" s="1835">
        <f t="shared" si="261"/>
        <v>0</v>
      </c>
      <c r="BN231" s="1835">
        <f t="shared" si="261"/>
        <v>0</v>
      </c>
      <c r="BO231" s="1835">
        <f t="shared" si="261"/>
        <v>0</v>
      </c>
      <c r="BP231" s="1835">
        <f t="shared" si="261"/>
        <v>0</v>
      </c>
      <c r="BQ231" s="1834">
        <f t="shared" si="255"/>
        <v>0</v>
      </c>
      <c r="DB231" s="1719" t="s">
        <v>75</v>
      </c>
      <c r="DC231" s="1821">
        <f t="shared" si="256"/>
        <v>0</v>
      </c>
      <c r="DD231" s="1818">
        <f t="shared" ref="DD231:EH231" si="262">+(DD55+DD71)</f>
        <v>0</v>
      </c>
      <c r="DE231" s="1818">
        <f t="shared" si="262"/>
        <v>0</v>
      </c>
      <c r="DF231" s="1818">
        <f t="shared" si="262"/>
        <v>0</v>
      </c>
      <c r="DG231" s="1818">
        <f t="shared" si="262"/>
        <v>0</v>
      </c>
      <c r="DH231" s="1818">
        <f t="shared" si="262"/>
        <v>0</v>
      </c>
      <c r="DI231" s="1818">
        <f t="shared" si="262"/>
        <v>0</v>
      </c>
      <c r="DJ231" s="1818">
        <f t="shared" si="262"/>
        <v>0</v>
      </c>
      <c r="DK231" s="1818">
        <f t="shared" si="262"/>
        <v>0</v>
      </c>
      <c r="DL231" s="1818">
        <f t="shared" si="262"/>
        <v>0</v>
      </c>
      <c r="DM231" s="1818">
        <f t="shared" si="262"/>
        <v>0</v>
      </c>
      <c r="DN231" s="1818">
        <f t="shared" si="262"/>
        <v>0</v>
      </c>
      <c r="DO231" s="1818">
        <f t="shared" si="262"/>
        <v>0</v>
      </c>
      <c r="DP231" s="1818">
        <f t="shared" si="262"/>
        <v>0</v>
      </c>
      <c r="DQ231" s="1818">
        <f t="shared" si="262"/>
        <v>0</v>
      </c>
      <c r="DR231" s="1818">
        <f t="shared" si="262"/>
        <v>0</v>
      </c>
      <c r="DS231" s="1818">
        <f t="shared" si="262"/>
        <v>0</v>
      </c>
      <c r="DT231" s="1818">
        <f t="shared" si="262"/>
        <v>0</v>
      </c>
      <c r="DU231" s="1818">
        <f t="shared" si="262"/>
        <v>0</v>
      </c>
      <c r="DV231" s="1818">
        <f t="shared" si="262"/>
        <v>0</v>
      </c>
      <c r="DW231" s="1818">
        <f t="shared" si="262"/>
        <v>0</v>
      </c>
      <c r="DX231" s="1818">
        <f t="shared" si="262"/>
        <v>0</v>
      </c>
      <c r="DY231" s="1818">
        <f t="shared" si="262"/>
        <v>0</v>
      </c>
      <c r="DZ231" s="1818">
        <f t="shared" si="262"/>
        <v>0</v>
      </c>
      <c r="EA231" s="1818">
        <f t="shared" si="262"/>
        <v>0</v>
      </c>
      <c r="EB231" s="1818">
        <f t="shared" si="262"/>
        <v>0</v>
      </c>
      <c r="EC231" s="1818">
        <f t="shared" si="262"/>
        <v>0</v>
      </c>
      <c r="ED231" s="1818">
        <f t="shared" si="262"/>
        <v>0</v>
      </c>
      <c r="EE231" s="1818">
        <f t="shared" si="262"/>
        <v>0</v>
      </c>
      <c r="EF231" s="1818">
        <f t="shared" si="262"/>
        <v>0</v>
      </c>
      <c r="EG231" s="1818">
        <f t="shared" si="262"/>
        <v>0</v>
      </c>
      <c r="EH231" s="1818">
        <f t="shared" si="262"/>
        <v>0</v>
      </c>
      <c r="EI231" s="1817">
        <f t="shared" si="258"/>
        <v>0</v>
      </c>
    </row>
    <row r="232" spans="36:139" ht="15">
      <c r="AJ232" s="1524" t="s">
        <v>76</v>
      </c>
      <c r="AK232" s="1527">
        <f t="shared" si="253"/>
        <v>0</v>
      </c>
      <c r="AL232" s="1835">
        <f t="shared" ref="AL232:BP232" si="263">+(AL56+AL72)</f>
        <v>0</v>
      </c>
      <c r="AM232" s="1835">
        <f t="shared" si="263"/>
        <v>0</v>
      </c>
      <c r="AN232" s="1835">
        <f t="shared" si="263"/>
        <v>0</v>
      </c>
      <c r="AO232" s="1835">
        <f t="shared" si="263"/>
        <v>0</v>
      </c>
      <c r="AP232" s="1835">
        <f t="shared" si="263"/>
        <v>0</v>
      </c>
      <c r="AQ232" s="1835">
        <f t="shared" si="263"/>
        <v>0</v>
      </c>
      <c r="AR232" s="1835">
        <f t="shared" si="263"/>
        <v>0</v>
      </c>
      <c r="AS232" s="1835">
        <f t="shared" si="263"/>
        <v>0</v>
      </c>
      <c r="AT232" s="1835">
        <f t="shared" si="263"/>
        <v>0</v>
      </c>
      <c r="AU232" s="1835">
        <f t="shared" si="263"/>
        <v>0</v>
      </c>
      <c r="AV232" s="1835">
        <f t="shared" si="263"/>
        <v>0</v>
      </c>
      <c r="AW232" s="1835">
        <f t="shared" si="263"/>
        <v>0</v>
      </c>
      <c r="AX232" s="1835">
        <f t="shared" si="263"/>
        <v>0</v>
      </c>
      <c r="AY232" s="1835">
        <f t="shared" si="263"/>
        <v>0</v>
      </c>
      <c r="AZ232" s="1835">
        <f t="shared" si="263"/>
        <v>0</v>
      </c>
      <c r="BA232" s="1835">
        <f t="shared" si="263"/>
        <v>0</v>
      </c>
      <c r="BB232" s="1835">
        <f t="shared" si="263"/>
        <v>0</v>
      </c>
      <c r="BC232" s="1835">
        <f t="shared" si="263"/>
        <v>0</v>
      </c>
      <c r="BD232" s="1835">
        <f t="shared" si="263"/>
        <v>0</v>
      </c>
      <c r="BE232" s="1835">
        <f t="shared" si="263"/>
        <v>0</v>
      </c>
      <c r="BF232" s="1835">
        <f t="shared" si="263"/>
        <v>0</v>
      </c>
      <c r="BG232" s="1835">
        <f t="shared" si="263"/>
        <v>0</v>
      </c>
      <c r="BH232" s="1835">
        <f t="shared" si="263"/>
        <v>0</v>
      </c>
      <c r="BI232" s="1835">
        <f t="shared" si="263"/>
        <v>0</v>
      </c>
      <c r="BJ232" s="1835">
        <f t="shared" si="263"/>
        <v>0</v>
      </c>
      <c r="BK232" s="1835">
        <f t="shared" si="263"/>
        <v>0</v>
      </c>
      <c r="BL232" s="1835">
        <f t="shared" si="263"/>
        <v>0</v>
      </c>
      <c r="BM232" s="1835">
        <f t="shared" si="263"/>
        <v>0</v>
      </c>
      <c r="BN232" s="1835">
        <f t="shared" si="263"/>
        <v>0</v>
      </c>
      <c r="BO232" s="1835">
        <f t="shared" si="263"/>
        <v>0</v>
      </c>
      <c r="BP232" s="1835">
        <f t="shared" si="263"/>
        <v>0</v>
      </c>
      <c r="BQ232" s="1834">
        <f t="shared" si="255"/>
        <v>0</v>
      </c>
      <c r="DB232" s="1719" t="s">
        <v>76</v>
      </c>
      <c r="DC232" s="1821">
        <f t="shared" si="256"/>
        <v>0</v>
      </c>
      <c r="DD232" s="1818">
        <f t="shared" ref="DD232:EH232" si="264">+(DD56+DD72)</f>
        <v>0</v>
      </c>
      <c r="DE232" s="1818">
        <f t="shared" si="264"/>
        <v>0</v>
      </c>
      <c r="DF232" s="1818">
        <f t="shared" si="264"/>
        <v>0</v>
      </c>
      <c r="DG232" s="1818">
        <f t="shared" si="264"/>
        <v>0</v>
      </c>
      <c r="DH232" s="1818">
        <f t="shared" si="264"/>
        <v>0</v>
      </c>
      <c r="DI232" s="1818">
        <f t="shared" si="264"/>
        <v>0</v>
      </c>
      <c r="DJ232" s="1818">
        <f t="shared" si="264"/>
        <v>0</v>
      </c>
      <c r="DK232" s="1818">
        <f t="shared" si="264"/>
        <v>0</v>
      </c>
      <c r="DL232" s="1818">
        <f t="shared" si="264"/>
        <v>0</v>
      </c>
      <c r="DM232" s="1818">
        <f t="shared" si="264"/>
        <v>0</v>
      </c>
      <c r="DN232" s="1818">
        <f t="shared" si="264"/>
        <v>0</v>
      </c>
      <c r="DO232" s="1818">
        <f t="shared" si="264"/>
        <v>0</v>
      </c>
      <c r="DP232" s="1818">
        <f t="shared" si="264"/>
        <v>0</v>
      </c>
      <c r="DQ232" s="1818">
        <f t="shared" si="264"/>
        <v>0</v>
      </c>
      <c r="DR232" s="1818">
        <f t="shared" si="264"/>
        <v>0</v>
      </c>
      <c r="DS232" s="1818">
        <f t="shared" si="264"/>
        <v>0</v>
      </c>
      <c r="DT232" s="1818">
        <f t="shared" si="264"/>
        <v>0</v>
      </c>
      <c r="DU232" s="1818">
        <f t="shared" si="264"/>
        <v>0</v>
      </c>
      <c r="DV232" s="1818">
        <f t="shared" si="264"/>
        <v>0</v>
      </c>
      <c r="DW232" s="1818">
        <f t="shared" si="264"/>
        <v>0</v>
      </c>
      <c r="DX232" s="1818">
        <f t="shared" si="264"/>
        <v>0</v>
      </c>
      <c r="DY232" s="1818">
        <f t="shared" si="264"/>
        <v>0</v>
      </c>
      <c r="DZ232" s="1818">
        <f t="shared" si="264"/>
        <v>0</v>
      </c>
      <c r="EA232" s="1818">
        <f t="shared" si="264"/>
        <v>0</v>
      </c>
      <c r="EB232" s="1818">
        <f t="shared" si="264"/>
        <v>0</v>
      </c>
      <c r="EC232" s="1818">
        <f t="shared" si="264"/>
        <v>0</v>
      </c>
      <c r="ED232" s="1818">
        <f t="shared" si="264"/>
        <v>0</v>
      </c>
      <c r="EE232" s="1818">
        <f t="shared" si="264"/>
        <v>0</v>
      </c>
      <c r="EF232" s="1818">
        <f t="shared" si="264"/>
        <v>0</v>
      </c>
      <c r="EG232" s="1818">
        <f t="shared" si="264"/>
        <v>0</v>
      </c>
      <c r="EH232" s="1818">
        <f t="shared" si="264"/>
        <v>0</v>
      </c>
      <c r="EI232" s="1817">
        <f t="shared" si="258"/>
        <v>0</v>
      </c>
    </row>
    <row r="233" spans="36:139" ht="15">
      <c r="AJ233" s="1524" t="s">
        <v>77</v>
      </c>
      <c r="AK233" s="1527">
        <f t="shared" si="253"/>
        <v>0</v>
      </c>
      <c r="AL233" s="1835">
        <f t="shared" ref="AL233:BP233" si="265">+(AL57+AL73)</f>
        <v>0</v>
      </c>
      <c r="AM233" s="1835">
        <f t="shared" si="265"/>
        <v>0</v>
      </c>
      <c r="AN233" s="1835">
        <f t="shared" si="265"/>
        <v>0</v>
      </c>
      <c r="AO233" s="1835">
        <f t="shared" si="265"/>
        <v>0</v>
      </c>
      <c r="AP233" s="1835">
        <f t="shared" si="265"/>
        <v>0</v>
      </c>
      <c r="AQ233" s="1835">
        <f t="shared" si="265"/>
        <v>0</v>
      </c>
      <c r="AR233" s="1835">
        <f t="shared" si="265"/>
        <v>0</v>
      </c>
      <c r="AS233" s="1835">
        <f t="shared" si="265"/>
        <v>0</v>
      </c>
      <c r="AT233" s="1835">
        <f t="shared" si="265"/>
        <v>0</v>
      </c>
      <c r="AU233" s="1835">
        <f t="shared" si="265"/>
        <v>0</v>
      </c>
      <c r="AV233" s="1835">
        <f t="shared" si="265"/>
        <v>0</v>
      </c>
      <c r="AW233" s="1835">
        <f t="shared" si="265"/>
        <v>0</v>
      </c>
      <c r="AX233" s="1835">
        <f t="shared" si="265"/>
        <v>0</v>
      </c>
      <c r="AY233" s="1835">
        <f t="shared" si="265"/>
        <v>0</v>
      </c>
      <c r="AZ233" s="1835">
        <f t="shared" si="265"/>
        <v>0</v>
      </c>
      <c r="BA233" s="1835">
        <f t="shared" si="265"/>
        <v>0</v>
      </c>
      <c r="BB233" s="1835">
        <f t="shared" si="265"/>
        <v>0</v>
      </c>
      <c r="BC233" s="1835">
        <f t="shared" si="265"/>
        <v>0</v>
      </c>
      <c r="BD233" s="1835">
        <f t="shared" si="265"/>
        <v>0</v>
      </c>
      <c r="BE233" s="1835">
        <f t="shared" si="265"/>
        <v>0</v>
      </c>
      <c r="BF233" s="1835">
        <f t="shared" si="265"/>
        <v>0</v>
      </c>
      <c r="BG233" s="1835">
        <f t="shared" si="265"/>
        <v>0</v>
      </c>
      <c r="BH233" s="1835">
        <f t="shared" si="265"/>
        <v>0</v>
      </c>
      <c r="BI233" s="1835">
        <f t="shared" si="265"/>
        <v>0</v>
      </c>
      <c r="BJ233" s="1835">
        <f t="shared" si="265"/>
        <v>0</v>
      </c>
      <c r="BK233" s="1835">
        <f t="shared" si="265"/>
        <v>0</v>
      </c>
      <c r="BL233" s="1835">
        <f t="shared" si="265"/>
        <v>0</v>
      </c>
      <c r="BM233" s="1835">
        <f t="shared" si="265"/>
        <v>0</v>
      </c>
      <c r="BN233" s="1835">
        <f t="shared" si="265"/>
        <v>0</v>
      </c>
      <c r="BO233" s="1835">
        <f t="shared" si="265"/>
        <v>0</v>
      </c>
      <c r="BP233" s="1835">
        <f t="shared" si="265"/>
        <v>0</v>
      </c>
      <c r="BQ233" s="1834">
        <f t="shared" si="255"/>
        <v>0</v>
      </c>
      <c r="DB233" s="1719" t="s">
        <v>77</v>
      </c>
      <c r="DC233" s="1821">
        <f t="shared" si="256"/>
        <v>0</v>
      </c>
      <c r="DD233" s="1818">
        <f t="shared" ref="DD233:EH233" si="266">+(DD57+DD73)</f>
        <v>0</v>
      </c>
      <c r="DE233" s="1818">
        <f t="shared" si="266"/>
        <v>0</v>
      </c>
      <c r="DF233" s="1818">
        <f t="shared" si="266"/>
        <v>0</v>
      </c>
      <c r="DG233" s="1818">
        <f t="shared" si="266"/>
        <v>0</v>
      </c>
      <c r="DH233" s="1818">
        <f t="shared" si="266"/>
        <v>0</v>
      </c>
      <c r="DI233" s="1818">
        <f t="shared" si="266"/>
        <v>0</v>
      </c>
      <c r="DJ233" s="1818">
        <f t="shared" si="266"/>
        <v>0</v>
      </c>
      <c r="DK233" s="1818">
        <f t="shared" si="266"/>
        <v>0</v>
      </c>
      <c r="DL233" s="1818">
        <f t="shared" si="266"/>
        <v>0</v>
      </c>
      <c r="DM233" s="1818">
        <f t="shared" si="266"/>
        <v>0</v>
      </c>
      <c r="DN233" s="1818">
        <f t="shared" si="266"/>
        <v>0</v>
      </c>
      <c r="DO233" s="1818">
        <f t="shared" si="266"/>
        <v>0</v>
      </c>
      <c r="DP233" s="1818">
        <f t="shared" si="266"/>
        <v>0</v>
      </c>
      <c r="DQ233" s="1818">
        <f t="shared" si="266"/>
        <v>0</v>
      </c>
      <c r="DR233" s="1818">
        <f t="shared" si="266"/>
        <v>0</v>
      </c>
      <c r="DS233" s="1818">
        <f t="shared" si="266"/>
        <v>0</v>
      </c>
      <c r="DT233" s="1818">
        <f t="shared" si="266"/>
        <v>0</v>
      </c>
      <c r="DU233" s="1818">
        <f t="shared" si="266"/>
        <v>0</v>
      </c>
      <c r="DV233" s="1818">
        <f t="shared" si="266"/>
        <v>0</v>
      </c>
      <c r="DW233" s="1818">
        <f t="shared" si="266"/>
        <v>0</v>
      </c>
      <c r="DX233" s="1818">
        <f t="shared" si="266"/>
        <v>0</v>
      </c>
      <c r="DY233" s="1818">
        <f t="shared" si="266"/>
        <v>0</v>
      </c>
      <c r="DZ233" s="1818">
        <f t="shared" si="266"/>
        <v>0</v>
      </c>
      <c r="EA233" s="1818">
        <f t="shared" si="266"/>
        <v>0</v>
      </c>
      <c r="EB233" s="1818">
        <f t="shared" si="266"/>
        <v>0</v>
      </c>
      <c r="EC233" s="1818">
        <f t="shared" si="266"/>
        <v>0</v>
      </c>
      <c r="ED233" s="1818">
        <f t="shared" si="266"/>
        <v>0</v>
      </c>
      <c r="EE233" s="1818">
        <f t="shared" si="266"/>
        <v>0</v>
      </c>
      <c r="EF233" s="1818">
        <f t="shared" si="266"/>
        <v>0</v>
      </c>
      <c r="EG233" s="1818">
        <f t="shared" si="266"/>
        <v>0</v>
      </c>
      <c r="EH233" s="1818">
        <f t="shared" si="266"/>
        <v>0</v>
      </c>
      <c r="EI233" s="1817">
        <f t="shared" si="258"/>
        <v>0</v>
      </c>
    </row>
    <row r="234" spans="36:139" ht="15">
      <c r="AJ234" s="1524" t="s">
        <v>78</v>
      </c>
      <c r="AK234" s="1527">
        <f t="shared" si="253"/>
        <v>0</v>
      </c>
      <c r="AL234" s="1835">
        <f t="shared" ref="AL234:BP234" si="267">+(AL58+AL74)</f>
        <v>0</v>
      </c>
      <c r="AM234" s="1835">
        <f t="shared" si="267"/>
        <v>0</v>
      </c>
      <c r="AN234" s="1835">
        <f t="shared" si="267"/>
        <v>0</v>
      </c>
      <c r="AO234" s="1835">
        <f t="shared" si="267"/>
        <v>0</v>
      </c>
      <c r="AP234" s="1835">
        <f t="shared" si="267"/>
        <v>0</v>
      </c>
      <c r="AQ234" s="1835">
        <f t="shared" si="267"/>
        <v>0</v>
      </c>
      <c r="AR234" s="1835">
        <f t="shared" si="267"/>
        <v>0</v>
      </c>
      <c r="AS234" s="1835">
        <f t="shared" si="267"/>
        <v>0</v>
      </c>
      <c r="AT234" s="1835">
        <f t="shared" si="267"/>
        <v>0</v>
      </c>
      <c r="AU234" s="1835">
        <f t="shared" si="267"/>
        <v>0</v>
      </c>
      <c r="AV234" s="1835">
        <f t="shared" si="267"/>
        <v>0</v>
      </c>
      <c r="AW234" s="1835">
        <f t="shared" si="267"/>
        <v>0</v>
      </c>
      <c r="AX234" s="1835">
        <f t="shared" si="267"/>
        <v>0</v>
      </c>
      <c r="AY234" s="1835">
        <f t="shared" si="267"/>
        <v>0</v>
      </c>
      <c r="AZ234" s="1835">
        <f t="shared" si="267"/>
        <v>0</v>
      </c>
      <c r="BA234" s="1835">
        <f t="shared" si="267"/>
        <v>0</v>
      </c>
      <c r="BB234" s="1835">
        <f t="shared" si="267"/>
        <v>0</v>
      </c>
      <c r="BC234" s="1835">
        <f t="shared" si="267"/>
        <v>0</v>
      </c>
      <c r="BD234" s="1835">
        <f t="shared" si="267"/>
        <v>0</v>
      </c>
      <c r="BE234" s="1835">
        <f t="shared" si="267"/>
        <v>0</v>
      </c>
      <c r="BF234" s="1835">
        <f t="shared" si="267"/>
        <v>0</v>
      </c>
      <c r="BG234" s="1835">
        <f t="shared" si="267"/>
        <v>0</v>
      </c>
      <c r="BH234" s="1835">
        <f t="shared" si="267"/>
        <v>0</v>
      </c>
      <c r="BI234" s="1835">
        <f t="shared" si="267"/>
        <v>0</v>
      </c>
      <c r="BJ234" s="1835">
        <f t="shared" si="267"/>
        <v>0</v>
      </c>
      <c r="BK234" s="1835">
        <f t="shared" si="267"/>
        <v>0</v>
      </c>
      <c r="BL234" s="1835">
        <f t="shared" si="267"/>
        <v>0</v>
      </c>
      <c r="BM234" s="1835">
        <f t="shared" si="267"/>
        <v>0</v>
      </c>
      <c r="BN234" s="1835">
        <f t="shared" si="267"/>
        <v>0</v>
      </c>
      <c r="BO234" s="1835">
        <f t="shared" si="267"/>
        <v>0</v>
      </c>
      <c r="BP234" s="1835">
        <f t="shared" si="267"/>
        <v>0</v>
      </c>
      <c r="BQ234" s="1834">
        <f t="shared" si="255"/>
        <v>0</v>
      </c>
      <c r="DB234" s="1719" t="s">
        <v>78</v>
      </c>
      <c r="DC234" s="1821">
        <f t="shared" si="256"/>
        <v>0</v>
      </c>
      <c r="DD234" s="1818">
        <f t="shared" ref="DD234:EH234" si="268">+(DD58+DD74)</f>
        <v>0</v>
      </c>
      <c r="DE234" s="1818">
        <f t="shared" si="268"/>
        <v>0</v>
      </c>
      <c r="DF234" s="1818">
        <f t="shared" si="268"/>
        <v>0</v>
      </c>
      <c r="DG234" s="1818">
        <f t="shared" si="268"/>
        <v>0</v>
      </c>
      <c r="DH234" s="1818">
        <f t="shared" si="268"/>
        <v>0</v>
      </c>
      <c r="DI234" s="1818">
        <f t="shared" si="268"/>
        <v>0</v>
      </c>
      <c r="DJ234" s="1818">
        <f t="shared" si="268"/>
        <v>0</v>
      </c>
      <c r="DK234" s="1818">
        <f t="shared" si="268"/>
        <v>0</v>
      </c>
      <c r="DL234" s="1818">
        <f t="shared" si="268"/>
        <v>0</v>
      </c>
      <c r="DM234" s="1818">
        <f t="shared" si="268"/>
        <v>0</v>
      </c>
      <c r="DN234" s="1818">
        <f t="shared" si="268"/>
        <v>0</v>
      </c>
      <c r="DO234" s="1818">
        <f t="shared" si="268"/>
        <v>0</v>
      </c>
      <c r="DP234" s="1818">
        <f t="shared" si="268"/>
        <v>0</v>
      </c>
      <c r="DQ234" s="1818">
        <f t="shared" si="268"/>
        <v>0</v>
      </c>
      <c r="DR234" s="1818">
        <f t="shared" si="268"/>
        <v>0</v>
      </c>
      <c r="DS234" s="1818">
        <f t="shared" si="268"/>
        <v>0</v>
      </c>
      <c r="DT234" s="1818">
        <f t="shared" si="268"/>
        <v>0</v>
      </c>
      <c r="DU234" s="1818">
        <f t="shared" si="268"/>
        <v>0</v>
      </c>
      <c r="DV234" s="1818">
        <f t="shared" si="268"/>
        <v>0</v>
      </c>
      <c r="DW234" s="1818">
        <f t="shared" si="268"/>
        <v>0</v>
      </c>
      <c r="DX234" s="1818">
        <f t="shared" si="268"/>
        <v>0</v>
      </c>
      <c r="DY234" s="1818">
        <f t="shared" si="268"/>
        <v>0</v>
      </c>
      <c r="DZ234" s="1818">
        <f t="shared" si="268"/>
        <v>0</v>
      </c>
      <c r="EA234" s="1818">
        <f t="shared" si="268"/>
        <v>0</v>
      </c>
      <c r="EB234" s="1818">
        <f t="shared" si="268"/>
        <v>0</v>
      </c>
      <c r="EC234" s="1818">
        <f t="shared" si="268"/>
        <v>0</v>
      </c>
      <c r="ED234" s="1818">
        <f t="shared" si="268"/>
        <v>0</v>
      </c>
      <c r="EE234" s="1818">
        <f t="shared" si="268"/>
        <v>0</v>
      </c>
      <c r="EF234" s="1818">
        <f t="shared" si="268"/>
        <v>0</v>
      </c>
      <c r="EG234" s="1818">
        <f t="shared" si="268"/>
        <v>0</v>
      </c>
      <c r="EH234" s="1818">
        <f t="shared" si="268"/>
        <v>0</v>
      </c>
      <c r="EI234" s="1817">
        <f t="shared" si="258"/>
        <v>0</v>
      </c>
    </row>
    <row r="235" spans="36:139" ht="15">
      <c r="AJ235" s="1524" t="s">
        <v>79</v>
      </c>
      <c r="AK235" s="1527">
        <f t="shared" si="253"/>
        <v>0</v>
      </c>
      <c r="AL235" s="1835">
        <f t="shared" ref="AL235:BP235" si="269">+(AL59+AL75)</f>
        <v>0</v>
      </c>
      <c r="AM235" s="1835">
        <f t="shared" si="269"/>
        <v>0</v>
      </c>
      <c r="AN235" s="1835">
        <f t="shared" si="269"/>
        <v>0</v>
      </c>
      <c r="AO235" s="1835">
        <f t="shared" si="269"/>
        <v>0</v>
      </c>
      <c r="AP235" s="1835">
        <f t="shared" si="269"/>
        <v>0</v>
      </c>
      <c r="AQ235" s="1835">
        <f t="shared" si="269"/>
        <v>0</v>
      </c>
      <c r="AR235" s="1835">
        <f t="shared" si="269"/>
        <v>0</v>
      </c>
      <c r="AS235" s="1835">
        <f t="shared" si="269"/>
        <v>0</v>
      </c>
      <c r="AT235" s="1835">
        <f t="shared" si="269"/>
        <v>0</v>
      </c>
      <c r="AU235" s="1835">
        <f t="shared" si="269"/>
        <v>0</v>
      </c>
      <c r="AV235" s="1835">
        <f t="shared" si="269"/>
        <v>0</v>
      </c>
      <c r="AW235" s="1835">
        <f t="shared" si="269"/>
        <v>0</v>
      </c>
      <c r="AX235" s="1835">
        <f t="shared" si="269"/>
        <v>0</v>
      </c>
      <c r="AY235" s="1835">
        <f t="shared" si="269"/>
        <v>0</v>
      </c>
      <c r="AZ235" s="1835">
        <f t="shared" si="269"/>
        <v>0</v>
      </c>
      <c r="BA235" s="1835">
        <f t="shared" si="269"/>
        <v>0</v>
      </c>
      <c r="BB235" s="1835">
        <f t="shared" si="269"/>
        <v>0</v>
      </c>
      <c r="BC235" s="1835">
        <f t="shared" si="269"/>
        <v>0</v>
      </c>
      <c r="BD235" s="1835">
        <f t="shared" si="269"/>
        <v>0</v>
      </c>
      <c r="BE235" s="1835">
        <f t="shared" si="269"/>
        <v>0</v>
      </c>
      <c r="BF235" s="1835">
        <f t="shared" si="269"/>
        <v>0</v>
      </c>
      <c r="BG235" s="1835">
        <f t="shared" si="269"/>
        <v>0</v>
      </c>
      <c r="BH235" s="1835">
        <f t="shared" si="269"/>
        <v>0</v>
      </c>
      <c r="BI235" s="1835">
        <f t="shared" si="269"/>
        <v>0</v>
      </c>
      <c r="BJ235" s="1835">
        <f t="shared" si="269"/>
        <v>0</v>
      </c>
      <c r="BK235" s="1835">
        <f t="shared" si="269"/>
        <v>0</v>
      </c>
      <c r="BL235" s="1835">
        <f t="shared" si="269"/>
        <v>0</v>
      </c>
      <c r="BM235" s="1835">
        <f t="shared" si="269"/>
        <v>0</v>
      </c>
      <c r="BN235" s="1835">
        <f t="shared" si="269"/>
        <v>0</v>
      </c>
      <c r="BO235" s="1835">
        <f t="shared" si="269"/>
        <v>0</v>
      </c>
      <c r="BP235" s="1835">
        <f t="shared" si="269"/>
        <v>0</v>
      </c>
      <c r="BQ235" s="1834">
        <f t="shared" si="255"/>
        <v>0</v>
      </c>
      <c r="DB235" s="1719" t="s">
        <v>79</v>
      </c>
      <c r="DC235" s="1821">
        <f t="shared" si="256"/>
        <v>0</v>
      </c>
      <c r="DD235" s="1818">
        <f t="shared" ref="DD235:EH235" si="270">+(DD59+DD75)</f>
        <v>0</v>
      </c>
      <c r="DE235" s="1818">
        <f t="shared" si="270"/>
        <v>0</v>
      </c>
      <c r="DF235" s="1818">
        <f t="shared" si="270"/>
        <v>0</v>
      </c>
      <c r="DG235" s="1818">
        <f t="shared" si="270"/>
        <v>0</v>
      </c>
      <c r="DH235" s="1818">
        <f t="shared" si="270"/>
        <v>0</v>
      </c>
      <c r="DI235" s="1818">
        <f t="shared" si="270"/>
        <v>0</v>
      </c>
      <c r="DJ235" s="1818">
        <f t="shared" si="270"/>
        <v>0</v>
      </c>
      <c r="DK235" s="1818">
        <f t="shared" si="270"/>
        <v>0</v>
      </c>
      <c r="DL235" s="1818">
        <f t="shared" si="270"/>
        <v>0</v>
      </c>
      <c r="DM235" s="1818">
        <f t="shared" si="270"/>
        <v>0</v>
      </c>
      <c r="DN235" s="1818">
        <f t="shared" si="270"/>
        <v>0</v>
      </c>
      <c r="DO235" s="1818">
        <f t="shared" si="270"/>
        <v>0</v>
      </c>
      <c r="DP235" s="1818">
        <f t="shared" si="270"/>
        <v>0</v>
      </c>
      <c r="DQ235" s="1818">
        <f t="shared" si="270"/>
        <v>0</v>
      </c>
      <c r="DR235" s="1818">
        <f t="shared" si="270"/>
        <v>0</v>
      </c>
      <c r="DS235" s="1818">
        <f t="shared" si="270"/>
        <v>0</v>
      </c>
      <c r="DT235" s="1818">
        <f t="shared" si="270"/>
        <v>0</v>
      </c>
      <c r="DU235" s="1818">
        <f t="shared" si="270"/>
        <v>0</v>
      </c>
      <c r="DV235" s="1818">
        <f t="shared" si="270"/>
        <v>0</v>
      </c>
      <c r="DW235" s="1818">
        <f t="shared" si="270"/>
        <v>0</v>
      </c>
      <c r="DX235" s="1818">
        <f t="shared" si="270"/>
        <v>0</v>
      </c>
      <c r="DY235" s="1818">
        <f t="shared" si="270"/>
        <v>0</v>
      </c>
      <c r="DZ235" s="1818">
        <f t="shared" si="270"/>
        <v>0</v>
      </c>
      <c r="EA235" s="1818">
        <f t="shared" si="270"/>
        <v>0</v>
      </c>
      <c r="EB235" s="1818">
        <f t="shared" si="270"/>
        <v>0</v>
      </c>
      <c r="EC235" s="1818">
        <f t="shared" si="270"/>
        <v>0</v>
      </c>
      <c r="ED235" s="1818">
        <f t="shared" si="270"/>
        <v>0</v>
      </c>
      <c r="EE235" s="1818">
        <f t="shared" si="270"/>
        <v>0</v>
      </c>
      <c r="EF235" s="1818">
        <f t="shared" si="270"/>
        <v>0</v>
      </c>
      <c r="EG235" s="1818">
        <f t="shared" si="270"/>
        <v>0</v>
      </c>
      <c r="EH235" s="1818">
        <f t="shared" si="270"/>
        <v>0</v>
      </c>
      <c r="EI235" s="1817">
        <f t="shared" si="258"/>
        <v>0</v>
      </c>
    </row>
    <row r="236" spans="36:139" ht="15">
      <c r="AJ236" s="1524" t="s">
        <v>80</v>
      </c>
      <c r="AK236" s="1527">
        <f t="shared" si="253"/>
        <v>2.258</v>
      </c>
      <c r="AL236" s="1835">
        <f t="shared" ref="AL236:BP236" si="271">+(AL60+AL76)</f>
        <v>0</v>
      </c>
      <c r="AM236" s="1835">
        <f t="shared" si="271"/>
        <v>0</v>
      </c>
      <c r="AN236" s="1835">
        <f t="shared" si="271"/>
        <v>0</v>
      </c>
      <c r="AO236" s="1835">
        <f t="shared" si="271"/>
        <v>0</v>
      </c>
      <c r="AP236" s="1835">
        <f t="shared" si="271"/>
        <v>0</v>
      </c>
      <c r="AQ236" s="1835">
        <f t="shared" si="271"/>
        <v>0</v>
      </c>
      <c r="AR236" s="1835">
        <f t="shared" si="271"/>
        <v>0</v>
      </c>
      <c r="AS236" s="1835">
        <f t="shared" si="271"/>
        <v>0</v>
      </c>
      <c r="AT236" s="1835">
        <f t="shared" si="271"/>
        <v>0</v>
      </c>
      <c r="AU236" s="1835">
        <f t="shared" si="271"/>
        <v>0</v>
      </c>
      <c r="AV236" s="1835">
        <f t="shared" si="271"/>
        <v>2.258</v>
      </c>
      <c r="AW236" s="1835">
        <f t="shared" si="271"/>
        <v>0</v>
      </c>
      <c r="AX236" s="1835">
        <f t="shared" si="271"/>
        <v>0</v>
      </c>
      <c r="AY236" s="1835">
        <f t="shared" si="271"/>
        <v>0</v>
      </c>
      <c r="AZ236" s="1835">
        <f t="shared" si="271"/>
        <v>0</v>
      </c>
      <c r="BA236" s="1835">
        <f t="shared" si="271"/>
        <v>0</v>
      </c>
      <c r="BB236" s="1835">
        <f t="shared" si="271"/>
        <v>0</v>
      </c>
      <c r="BC236" s="1835">
        <f t="shared" si="271"/>
        <v>0</v>
      </c>
      <c r="BD236" s="1835">
        <f t="shared" si="271"/>
        <v>0</v>
      </c>
      <c r="BE236" s="1835">
        <f t="shared" si="271"/>
        <v>0</v>
      </c>
      <c r="BF236" s="1835">
        <f t="shared" si="271"/>
        <v>0</v>
      </c>
      <c r="BG236" s="1835">
        <f t="shared" si="271"/>
        <v>0</v>
      </c>
      <c r="BH236" s="1835">
        <f t="shared" si="271"/>
        <v>0</v>
      </c>
      <c r="BI236" s="1835">
        <f t="shared" si="271"/>
        <v>0</v>
      </c>
      <c r="BJ236" s="1835">
        <f t="shared" si="271"/>
        <v>0</v>
      </c>
      <c r="BK236" s="1835">
        <f t="shared" si="271"/>
        <v>0</v>
      </c>
      <c r="BL236" s="1835">
        <f t="shared" si="271"/>
        <v>0</v>
      </c>
      <c r="BM236" s="1835">
        <f t="shared" si="271"/>
        <v>0</v>
      </c>
      <c r="BN236" s="1835">
        <f t="shared" si="271"/>
        <v>0</v>
      </c>
      <c r="BO236" s="1835">
        <f t="shared" si="271"/>
        <v>0</v>
      </c>
      <c r="BP236" s="1835">
        <f t="shared" si="271"/>
        <v>0</v>
      </c>
      <c r="BQ236" s="1834">
        <f t="shared" si="255"/>
        <v>2.258</v>
      </c>
      <c r="DB236" s="1719" t="s">
        <v>80</v>
      </c>
      <c r="DC236" s="1821">
        <f t="shared" si="256"/>
        <v>0</v>
      </c>
      <c r="DD236" s="1818">
        <f t="shared" ref="DD236:EH236" si="272">+(DD60+DD76)</f>
        <v>0</v>
      </c>
      <c r="DE236" s="1818">
        <f t="shared" si="272"/>
        <v>0</v>
      </c>
      <c r="DF236" s="1818">
        <f t="shared" si="272"/>
        <v>0</v>
      </c>
      <c r="DG236" s="1818">
        <f t="shared" si="272"/>
        <v>0</v>
      </c>
      <c r="DH236" s="1818">
        <f t="shared" si="272"/>
        <v>0</v>
      </c>
      <c r="DI236" s="1818">
        <f t="shared" si="272"/>
        <v>0</v>
      </c>
      <c r="DJ236" s="1818">
        <f t="shared" si="272"/>
        <v>0</v>
      </c>
      <c r="DK236" s="1818">
        <f t="shared" si="272"/>
        <v>0</v>
      </c>
      <c r="DL236" s="1818">
        <f t="shared" si="272"/>
        <v>0</v>
      </c>
      <c r="DM236" s="1818">
        <f t="shared" si="272"/>
        <v>0</v>
      </c>
      <c r="DN236" s="1818">
        <f t="shared" si="272"/>
        <v>0</v>
      </c>
      <c r="DO236" s="1818">
        <f t="shared" si="272"/>
        <v>0</v>
      </c>
      <c r="DP236" s="1818">
        <f t="shared" si="272"/>
        <v>0</v>
      </c>
      <c r="DQ236" s="1818">
        <f t="shared" si="272"/>
        <v>0</v>
      </c>
      <c r="DR236" s="1818">
        <f t="shared" si="272"/>
        <v>0</v>
      </c>
      <c r="DS236" s="1818">
        <f t="shared" si="272"/>
        <v>0</v>
      </c>
      <c r="DT236" s="1818">
        <f t="shared" si="272"/>
        <v>0</v>
      </c>
      <c r="DU236" s="1818">
        <f t="shared" si="272"/>
        <v>0</v>
      </c>
      <c r="DV236" s="1818">
        <f t="shared" si="272"/>
        <v>0</v>
      </c>
      <c r="DW236" s="1818">
        <f t="shared" si="272"/>
        <v>0</v>
      </c>
      <c r="DX236" s="1818">
        <f t="shared" si="272"/>
        <v>0</v>
      </c>
      <c r="DY236" s="1818">
        <f t="shared" si="272"/>
        <v>0</v>
      </c>
      <c r="DZ236" s="1818">
        <f t="shared" si="272"/>
        <v>0</v>
      </c>
      <c r="EA236" s="1818">
        <f t="shared" si="272"/>
        <v>0</v>
      </c>
      <c r="EB236" s="1818">
        <f t="shared" si="272"/>
        <v>0</v>
      </c>
      <c r="EC236" s="1818">
        <f t="shared" si="272"/>
        <v>0</v>
      </c>
      <c r="ED236" s="1818">
        <f t="shared" si="272"/>
        <v>0</v>
      </c>
      <c r="EE236" s="1818">
        <f t="shared" si="272"/>
        <v>0</v>
      </c>
      <c r="EF236" s="1818">
        <f t="shared" si="272"/>
        <v>0</v>
      </c>
      <c r="EG236" s="1818">
        <f t="shared" si="272"/>
        <v>0</v>
      </c>
      <c r="EH236" s="1818">
        <f t="shared" si="272"/>
        <v>0</v>
      </c>
      <c r="EI236" s="1817">
        <f t="shared" si="258"/>
        <v>0</v>
      </c>
    </row>
    <row r="237" spans="36:139" ht="15">
      <c r="AJ237" s="1524" t="s">
        <v>81</v>
      </c>
      <c r="AK237" s="1527">
        <f t="shared" si="253"/>
        <v>0</v>
      </c>
      <c r="AL237" s="1835">
        <f t="shared" ref="AL237:BP237" si="273">+(AL61+AL77)</f>
        <v>0</v>
      </c>
      <c r="AM237" s="1835">
        <f t="shared" si="273"/>
        <v>0</v>
      </c>
      <c r="AN237" s="1835">
        <f t="shared" si="273"/>
        <v>0</v>
      </c>
      <c r="AO237" s="1835">
        <f t="shared" si="273"/>
        <v>0</v>
      </c>
      <c r="AP237" s="1835">
        <f t="shared" si="273"/>
        <v>0</v>
      </c>
      <c r="AQ237" s="1835">
        <f t="shared" si="273"/>
        <v>0</v>
      </c>
      <c r="AR237" s="1835">
        <f t="shared" si="273"/>
        <v>0</v>
      </c>
      <c r="AS237" s="1835">
        <f t="shared" si="273"/>
        <v>0</v>
      </c>
      <c r="AT237" s="1835">
        <f t="shared" si="273"/>
        <v>0</v>
      </c>
      <c r="AU237" s="1835">
        <f t="shared" si="273"/>
        <v>0</v>
      </c>
      <c r="AV237" s="1835">
        <f t="shared" si="273"/>
        <v>0</v>
      </c>
      <c r="AW237" s="1835">
        <f t="shared" si="273"/>
        <v>0</v>
      </c>
      <c r="AX237" s="1835">
        <f t="shared" si="273"/>
        <v>0</v>
      </c>
      <c r="AY237" s="1835">
        <f t="shared" si="273"/>
        <v>0</v>
      </c>
      <c r="AZ237" s="1835">
        <f t="shared" si="273"/>
        <v>0</v>
      </c>
      <c r="BA237" s="1835">
        <f t="shared" si="273"/>
        <v>0</v>
      </c>
      <c r="BB237" s="1835">
        <f t="shared" si="273"/>
        <v>0</v>
      </c>
      <c r="BC237" s="1835">
        <f t="shared" si="273"/>
        <v>0</v>
      </c>
      <c r="BD237" s="1835">
        <f t="shared" si="273"/>
        <v>0</v>
      </c>
      <c r="BE237" s="1835">
        <f t="shared" si="273"/>
        <v>0</v>
      </c>
      <c r="BF237" s="1835">
        <f t="shared" si="273"/>
        <v>0</v>
      </c>
      <c r="BG237" s="1835">
        <f t="shared" si="273"/>
        <v>0</v>
      </c>
      <c r="BH237" s="1835">
        <f t="shared" si="273"/>
        <v>0</v>
      </c>
      <c r="BI237" s="1835">
        <f t="shared" si="273"/>
        <v>0</v>
      </c>
      <c r="BJ237" s="1835">
        <f t="shared" si="273"/>
        <v>0</v>
      </c>
      <c r="BK237" s="1835">
        <f t="shared" si="273"/>
        <v>0</v>
      </c>
      <c r="BL237" s="1835">
        <f t="shared" si="273"/>
        <v>0</v>
      </c>
      <c r="BM237" s="1835">
        <f t="shared" si="273"/>
        <v>0</v>
      </c>
      <c r="BN237" s="1835">
        <f t="shared" si="273"/>
        <v>0</v>
      </c>
      <c r="BO237" s="1835">
        <f t="shared" si="273"/>
        <v>0</v>
      </c>
      <c r="BP237" s="1835">
        <f t="shared" si="273"/>
        <v>0</v>
      </c>
      <c r="BQ237" s="1834">
        <f t="shared" si="255"/>
        <v>0</v>
      </c>
      <c r="DB237" s="1719" t="s">
        <v>81</v>
      </c>
      <c r="DC237" s="1821">
        <f t="shared" si="256"/>
        <v>0</v>
      </c>
      <c r="DD237" s="1818">
        <f t="shared" ref="DD237:EH237" si="274">+(DD61+DD77)</f>
        <v>0</v>
      </c>
      <c r="DE237" s="1818">
        <f t="shared" si="274"/>
        <v>0</v>
      </c>
      <c r="DF237" s="1818">
        <f t="shared" si="274"/>
        <v>0</v>
      </c>
      <c r="DG237" s="1818">
        <f t="shared" si="274"/>
        <v>0</v>
      </c>
      <c r="DH237" s="1818">
        <f t="shared" si="274"/>
        <v>0</v>
      </c>
      <c r="DI237" s="1818">
        <f t="shared" si="274"/>
        <v>0</v>
      </c>
      <c r="DJ237" s="1818">
        <f t="shared" si="274"/>
        <v>0</v>
      </c>
      <c r="DK237" s="1818">
        <f t="shared" si="274"/>
        <v>0</v>
      </c>
      <c r="DL237" s="1818">
        <f t="shared" si="274"/>
        <v>0</v>
      </c>
      <c r="DM237" s="1818">
        <f t="shared" si="274"/>
        <v>0</v>
      </c>
      <c r="DN237" s="1818">
        <f t="shared" si="274"/>
        <v>0</v>
      </c>
      <c r="DO237" s="1818">
        <f t="shared" si="274"/>
        <v>0</v>
      </c>
      <c r="DP237" s="1818">
        <f t="shared" si="274"/>
        <v>0</v>
      </c>
      <c r="DQ237" s="1818">
        <f t="shared" si="274"/>
        <v>0</v>
      </c>
      <c r="DR237" s="1818">
        <f t="shared" si="274"/>
        <v>0</v>
      </c>
      <c r="DS237" s="1818">
        <f t="shared" si="274"/>
        <v>0</v>
      </c>
      <c r="DT237" s="1818">
        <f t="shared" si="274"/>
        <v>0</v>
      </c>
      <c r="DU237" s="1818">
        <f t="shared" si="274"/>
        <v>0</v>
      </c>
      <c r="DV237" s="1818">
        <f t="shared" si="274"/>
        <v>0</v>
      </c>
      <c r="DW237" s="1818">
        <f t="shared" si="274"/>
        <v>0</v>
      </c>
      <c r="DX237" s="1818">
        <f t="shared" si="274"/>
        <v>0</v>
      </c>
      <c r="DY237" s="1818">
        <f t="shared" si="274"/>
        <v>0</v>
      </c>
      <c r="DZ237" s="1818">
        <f t="shared" si="274"/>
        <v>0</v>
      </c>
      <c r="EA237" s="1818">
        <f t="shared" si="274"/>
        <v>0</v>
      </c>
      <c r="EB237" s="1818">
        <f t="shared" si="274"/>
        <v>0</v>
      </c>
      <c r="EC237" s="1818">
        <f t="shared" si="274"/>
        <v>0</v>
      </c>
      <c r="ED237" s="1818">
        <f t="shared" si="274"/>
        <v>0</v>
      </c>
      <c r="EE237" s="1818">
        <f t="shared" si="274"/>
        <v>0</v>
      </c>
      <c r="EF237" s="1818">
        <f t="shared" si="274"/>
        <v>0</v>
      </c>
      <c r="EG237" s="1818">
        <f t="shared" si="274"/>
        <v>0</v>
      </c>
      <c r="EH237" s="1818">
        <f t="shared" si="274"/>
        <v>0</v>
      </c>
      <c r="EI237" s="1817">
        <f t="shared" si="258"/>
        <v>0</v>
      </c>
    </row>
    <row r="238" spans="36:139" ht="15">
      <c r="AJ238" s="1524" t="s">
        <v>82</v>
      </c>
      <c r="AK238" s="1527">
        <f t="shared" si="253"/>
        <v>0</v>
      </c>
      <c r="AL238" s="1835">
        <f t="shared" ref="AL238:BP238" si="275">+(AL62+AL78)</f>
        <v>0</v>
      </c>
      <c r="AM238" s="1835">
        <f t="shared" si="275"/>
        <v>0</v>
      </c>
      <c r="AN238" s="1835">
        <f t="shared" si="275"/>
        <v>0</v>
      </c>
      <c r="AO238" s="1835">
        <f t="shared" si="275"/>
        <v>0</v>
      </c>
      <c r="AP238" s="1835">
        <f t="shared" si="275"/>
        <v>0</v>
      </c>
      <c r="AQ238" s="1835">
        <f t="shared" si="275"/>
        <v>0</v>
      </c>
      <c r="AR238" s="1835">
        <f t="shared" si="275"/>
        <v>0</v>
      </c>
      <c r="AS238" s="1835">
        <f t="shared" si="275"/>
        <v>0</v>
      </c>
      <c r="AT238" s="1835">
        <f t="shared" si="275"/>
        <v>0</v>
      </c>
      <c r="AU238" s="1835">
        <f t="shared" si="275"/>
        <v>0</v>
      </c>
      <c r="AV238" s="1835">
        <f t="shared" si="275"/>
        <v>0</v>
      </c>
      <c r="AW238" s="1835">
        <f t="shared" si="275"/>
        <v>0</v>
      </c>
      <c r="AX238" s="1835">
        <f t="shared" si="275"/>
        <v>0</v>
      </c>
      <c r="AY238" s="1835">
        <f t="shared" si="275"/>
        <v>0</v>
      </c>
      <c r="AZ238" s="1835">
        <f t="shared" si="275"/>
        <v>0</v>
      </c>
      <c r="BA238" s="1835">
        <f t="shared" si="275"/>
        <v>0</v>
      </c>
      <c r="BB238" s="1835">
        <f t="shared" si="275"/>
        <v>0</v>
      </c>
      <c r="BC238" s="1835">
        <f t="shared" si="275"/>
        <v>0</v>
      </c>
      <c r="BD238" s="1835">
        <f t="shared" si="275"/>
        <v>0</v>
      </c>
      <c r="BE238" s="1835">
        <f t="shared" si="275"/>
        <v>0</v>
      </c>
      <c r="BF238" s="1835">
        <f t="shared" si="275"/>
        <v>0</v>
      </c>
      <c r="BG238" s="1835">
        <f t="shared" si="275"/>
        <v>0</v>
      </c>
      <c r="BH238" s="1835">
        <f t="shared" si="275"/>
        <v>0</v>
      </c>
      <c r="BI238" s="1835">
        <f t="shared" si="275"/>
        <v>0</v>
      </c>
      <c r="BJ238" s="1835">
        <f t="shared" si="275"/>
        <v>0</v>
      </c>
      <c r="BK238" s="1835">
        <f t="shared" si="275"/>
        <v>0</v>
      </c>
      <c r="BL238" s="1835">
        <f t="shared" si="275"/>
        <v>0</v>
      </c>
      <c r="BM238" s="1835">
        <f t="shared" si="275"/>
        <v>0</v>
      </c>
      <c r="BN238" s="1835">
        <f t="shared" si="275"/>
        <v>0</v>
      </c>
      <c r="BO238" s="1835">
        <f t="shared" si="275"/>
        <v>0</v>
      </c>
      <c r="BP238" s="1835">
        <f t="shared" si="275"/>
        <v>0</v>
      </c>
      <c r="BQ238" s="1834">
        <f t="shared" si="255"/>
        <v>0</v>
      </c>
      <c r="DB238" s="1719" t="s">
        <v>82</v>
      </c>
      <c r="DC238" s="1821">
        <f t="shared" si="256"/>
        <v>0</v>
      </c>
      <c r="DD238" s="1818">
        <f t="shared" ref="DD238:EH238" si="276">+(DD62+DD78)</f>
        <v>0</v>
      </c>
      <c r="DE238" s="1818">
        <f t="shared" si="276"/>
        <v>0</v>
      </c>
      <c r="DF238" s="1818">
        <f t="shared" si="276"/>
        <v>0</v>
      </c>
      <c r="DG238" s="1818">
        <f t="shared" si="276"/>
        <v>0</v>
      </c>
      <c r="DH238" s="1818">
        <f t="shared" si="276"/>
        <v>0</v>
      </c>
      <c r="DI238" s="1818">
        <f t="shared" si="276"/>
        <v>0</v>
      </c>
      <c r="DJ238" s="1818">
        <f t="shared" si="276"/>
        <v>0</v>
      </c>
      <c r="DK238" s="1818">
        <f t="shared" si="276"/>
        <v>0</v>
      </c>
      <c r="DL238" s="1818">
        <f t="shared" si="276"/>
        <v>0</v>
      </c>
      <c r="DM238" s="1818">
        <f t="shared" si="276"/>
        <v>0</v>
      </c>
      <c r="DN238" s="1818">
        <f t="shared" si="276"/>
        <v>0</v>
      </c>
      <c r="DO238" s="1818">
        <f t="shared" si="276"/>
        <v>0</v>
      </c>
      <c r="DP238" s="1818">
        <f t="shared" si="276"/>
        <v>0</v>
      </c>
      <c r="DQ238" s="1818">
        <f t="shared" si="276"/>
        <v>0</v>
      </c>
      <c r="DR238" s="1818">
        <f t="shared" si="276"/>
        <v>0</v>
      </c>
      <c r="DS238" s="1818">
        <f t="shared" si="276"/>
        <v>0</v>
      </c>
      <c r="DT238" s="1818">
        <f t="shared" si="276"/>
        <v>0</v>
      </c>
      <c r="DU238" s="1818">
        <f t="shared" si="276"/>
        <v>0</v>
      </c>
      <c r="DV238" s="1818">
        <f t="shared" si="276"/>
        <v>0</v>
      </c>
      <c r="DW238" s="1818">
        <f t="shared" si="276"/>
        <v>0</v>
      </c>
      <c r="DX238" s="1818">
        <f t="shared" si="276"/>
        <v>0</v>
      </c>
      <c r="DY238" s="1818">
        <f t="shared" si="276"/>
        <v>0</v>
      </c>
      <c r="DZ238" s="1818">
        <f t="shared" si="276"/>
        <v>0</v>
      </c>
      <c r="EA238" s="1818">
        <f t="shared" si="276"/>
        <v>0</v>
      </c>
      <c r="EB238" s="1818">
        <f t="shared" si="276"/>
        <v>0</v>
      </c>
      <c r="EC238" s="1818">
        <f t="shared" si="276"/>
        <v>0</v>
      </c>
      <c r="ED238" s="1818">
        <f t="shared" si="276"/>
        <v>0</v>
      </c>
      <c r="EE238" s="1818">
        <f t="shared" si="276"/>
        <v>0</v>
      </c>
      <c r="EF238" s="1818">
        <f t="shared" si="276"/>
        <v>0</v>
      </c>
      <c r="EG238" s="1818">
        <f t="shared" si="276"/>
        <v>0</v>
      </c>
      <c r="EH238" s="1818">
        <f t="shared" si="276"/>
        <v>0</v>
      </c>
      <c r="EI238" s="1817">
        <f t="shared" si="258"/>
        <v>0</v>
      </c>
    </row>
    <row r="239" spans="36:139" ht="15">
      <c r="AJ239" s="1524" t="s">
        <v>83</v>
      </c>
      <c r="AK239" s="1527">
        <f t="shared" si="253"/>
        <v>0</v>
      </c>
      <c r="AL239" s="1835">
        <f t="shared" ref="AL239:BP239" si="277">+(AL63+AL79)</f>
        <v>0</v>
      </c>
      <c r="AM239" s="1835">
        <f t="shared" si="277"/>
        <v>0</v>
      </c>
      <c r="AN239" s="1835">
        <f t="shared" si="277"/>
        <v>0</v>
      </c>
      <c r="AO239" s="1835">
        <f t="shared" si="277"/>
        <v>0</v>
      </c>
      <c r="AP239" s="1835">
        <f t="shared" si="277"/>
        <v>0</v>
      </c>
      <c r="AQ239" s="1835">
        <f t="shared" si="277"/>
        <v>0</v>
      </c>
      <c r="AR239" s="1835">
        <f t="shared" si="277"/>
        <v>0</v>
      </c>
      <c r="AS239" s="1835">
        <f t="shared" si="277"/>
        <v>0</v>
      </c>
      <c r="AT239" s="1835">
        <f t="shared" si="277"/>
        <v>0</v>
      </c>
      <c r="AU239" s="1835">
        <f t="shared" si="277"/>
        <v>0</v>
      </c>
      <c r="AV239" s="1835">
        <f t="shared" si="277"/>
        <v>0</v>
      </c>
      <c r="AW239" s="1835">
        <f t="shared" si="277"/>
        <v>0</v>
      </c>
      <c r="AX239" s="1835">
        <f t="shared" si="277"/>
        <v>0</v>
      </c>
      <c r="AY239" s="1835">
        <f t="shared" si="277"/>
        <v>0</v>
      </c>
      <c r="AZ239" s="1835">
        <f t="shared" si="277"/>
        <v>0</v>
      </c>
      <c r="BA239" s="1835">
        <f t="shared" si="277"/>
        <v>0</v>
      </c>
      <c r="BB239" s="1835">
        <f t="shared" si="277"/>
        <v>0</v>
      </c>
      <c r="BC239" s="1835">
        <f t="shared" si="277"/>
        <v>0</v>
      </c>
      <c r="BD239" s="1835">
        <f t="shared" si="277"/>
        <v>0</v>
      </c>
      <c r="BE239" s="1835">
        <f t="shared" si="277"/>
        <v>0</v>
      </c>
      <c r="BF239" s="1835">
        <f t="shared" si="277"/>
        <v>0</v>
      </c>
      <c r="BG239" s="1835">
        <f t="shared" si="277"/>
        <v>0</v>
      </c>
      <c r="BH239" s="1835">
        <f t="shared" si="277"/>
        <v>0</v>
      </c>
      <c r="BI239" s="1835">
        <f t="shared" si="277"/>
        <v>0</v>
      </c>
      <c r="BJ239" s="1835">
        <f t="shared" si="277"/>
        <v>0</v>
      </c>
      <c r="BK239" s="1835">
        <f t="shared" si="277"/>
        <v>0</v>
      </c>
      <c r="BL239" s="1835">
        <f t="shared" si="277"/>
        <v>0</v>
      </c>
      <c r="BM239" s="1835">
        <f t="shared" si="277"/>
        <v>0</v>
      </c>
      <c r="BN239" s="1835">
        <f t="shared" si="277"/>
        <v>0</v>
      </c>
      <c r="BO239" s="1835">
        <f t="shared" si="277"/>
        <v>0</v>
      </c>
      <c r="BP239" s="1835">
        <f t="shared" si="277"/>
        <v>0</v>
      </c>
      <c r="BQ239" s="1834">
        <f t="shared" si="255"/>
        <v>0</v>
      </c>
      <c r="DB239" s="1719" t="s">
        <v>83</v>
      </c>
      <c r="DC239" s="1821">
        <f t="shared" si="256"/>
        <v>0</v>
      </c>
      <c r="DD239" s="1818">
        <f t="shared" ref="DD239:EH239" si="278">+(DD63+DD79)</f>
        <v>0</v>
      </c>
      <c r="DE239" s="1818">
        <f t="shared" si="278"/>
        <v>0</v>
      </c>
      <c r="DF239" s="1818">
        <f t="shared" si="278"/>
        <v>0</v>
      </c>
      <c r="DG239" s="1818">
        <f t="shared" si="278"/>
        <v>0</v>
      </c>
      <c r="DH239" s="1818">
        <f t="shared" si="278"/>
        <v>0</v>
      </c>
      <c r="DI239" s="1818">
        <f t="shared" si="278"/>
        <v>0</v>
      </c>
      <c r="DJ239" s="1818">
        <f t="shared" si="278"/>
        <v>0</v>
      </c>
      <c r="DK239" s="1818">
        <f t="shared" si="278"/>
        <v>0</v>
      </c>
      <c r="DL239" s="1818">
        <f t="shared" si="278"/>
        <v>0</v>
      </c>
      <c r="DM239" s="1818">
        <f t="shared" si="278"/>
        <v>0</v>
      </c>
      <c r="DN239" s="1818">
        <f t="shared" si="278"/>
        <v>0</v>
      </c>
      <c r="DO239" s="1818">
        <f t="shared" si="278"/>
        <v>0</v>
      </c>
      <c r="DP239" s="1818">
        <f t="shared" si="278"/>
        <v>0</v>
      </c>
      <c r="DQ239" s="1818">
        <f t="shared" si="278"/>
        <v>0</v>
      </c>
      <c r="DR239" s="1818">
        <f t="shared" si="278"/>
        <v>0</v>
      </c>
      <c r="DS239" s="1818">
        <f t="shared" si="278"/>
        <v>0</v>
      </c>
      <c r="DT239" s="1818">
        <f t="shared" si="278"/>
        <v>0</v>
      </c>
      <c r="DU239" s="1818">
        <f t="shared" si="278"/>
        <v>0</v>
      </c>
      <c r="DV239" s="1818">
        <f t="shared" si="278"/>
        <v>0</v>
      </c>
      <c r="DW239" s="1818">
        <f t="shared" si="278"/>
        <v>0</v>
      </c>
      <c r="DX239" s="1818">
        <f t="shared" si="278"/>
        <v>0</v>
      </c>
      <c r="DY239" s="1818">
        <f t="shared" si="278"/>
        <v>0</v>
      </c>
      <c r="DZ239" s="1818">
        <f t="shared" si="278"/>
        <v>0</v>
      </c>
      <c r="EA239" s="1818">
        <f t="shared" si="278"/>
        <v>0</v>
      </c>
      <c r="EB239" s="1818">
        <f t="shared" si="278"/>
        <v>0</v>
      </c>
      <c r="EC239" s="1818">
        <f t="shared" si="278"/>
        <v>0</v>
      </c>
      <c r="ED239" s="1818">
        <f t="shared" si="278"/>
        <v>0</v>
      </c>
      <c r="EE239" s="1818">
        <f t="shared" si="278"/>
        <v>0</v>
      </c>
      <c r="EF239" s="1818">
        <f t="shared" si="278"/>
        <v>0</v>
      </c>
      <c r="EG239" s="1818">
        <f t="shared" si="278"/>
        <v>0</v>
      </c>
      <c r="EH239" s="1818">
        <f t="shared" si="278"/>
        <v>0</v>
      </c>
      <c r="EI239" s="1817">
        <f t="shared" si="258"/>
        <v>0</v>
      </c>
    </row>
    <row r="240" spans="36:139" ht="15">
      <c r="AJ240" s="1524" t="s">
        <v>84</v>
      </c>
      <c r="AK240" s="1527">
        <f t="shared" si="253"/>
        <v>0</v>
      </c>
      <c r="AL240" s="1835">
        <f t="shared" ref="AL240:BP240" si="279">+(AL64+AL80)</f>
        <v>0</v>
      </c>
      <c r="AM240" s="1835">
        <f t="shared" si="279"/>
        <v>0</v>
      </c>
      <c r="AN240" s="1835">
        <f t="shared" si="279"/>
        <v>0</v>
      </c>
      <c r="AO240" s="1835">
        <f t="shared" si="279"/>
        <v>0</v>
      </c>
      <c r="AP240" s="1835">
        <f t="shared" si="279"/>
        <v>0</v>
      </c>
      <c r="AQ240" s="1835">
        <f t="shared" si="279"/>
        <v>0</v>
      </c>
      <c r="AR240" s="1835">
        <f t="shared" si="279"/>
        <v>0</v>
      </c>
      <c r="AS240" s="1835">
        <f t="shared" si="279"/>
        <v>0</v>
      </c>
      <c r="AT240" s="1835">
        <f t="shared" si="279"/>
        <v>0</v>
      </c>
      <c r="AU240" s="1835">
        <f t="shared" si="279"/>
        <v>0</v>
      </c>
      <c r="AV240" s="1835">
        <f t="shared" si="279"/>
        <v>0</v>
      </c>
      <c r="AW240" s="1835">
        <f t="shared" si="279"/>
        <v>0</v>
      </c>
      <c r="AX240" s="1835">
        <f t="shared" si="279"/>
        <v>0</v>
      </c>
      <c r="AY240" s="1835">
        <f t="shared" si="279"/>
        <v>0</v>
      </c>
      <c r="AZ240" s="1835">
        <f t="shared" si="279"/>
        <v>0</v>
      </c>
      <c r="BA240" s="1835">
        <f t="shared" si="279"/>
        <v>0</v>
      </c>
      <c r="BB240" s="1835">
        <f t="shared" si="279"/>
        <v>0</v>
      </c>
      <c r="BC240" s="1835">
        <f t="shared" si="279"/>
        <v>0</v>
      </c>
      <c r="BD240" s="1835">
        <f t="shared" si="279"/>
        <v>0</v>
      </c>
      <c r="BE240" s="1835">
        <f t="shared" si="279"/>
        <v>0</v>
      </c>
      <c r="BF240" s="1835">
        <f t="shared" si="279"/>
        <v>0</v>
      </c>
      <c r="BG240" s="1835">
        <f t="shared" si="279"/>
        <v>0</v>
      </c>
      <c r="BH240" s="1835">
        <f t="shared" si="279"/>
        <v>0</v>
      </c>
      <c r="BI240" s="1835">
        <f t="shared" si="279"/>
        <v>0</v>
      </c>
      <c r="BJ240" s="1835">
        <f t="shared" si="279"/>
        <v>0</v>
      </c>
      <c r="BK240" s="1835">
        <f t="shared" si="279"/>
        <v>0</v>
      </c>
      <c r="BL240" s="1835">
        <f t="shared" si="279"/>
        <v>0</v>
      </c>
      <c r="BM240" s="1835">
        <f t="shared" si="279"/>
        <v>0</v>
      </c>
      <c r="BN240" s="1835">
        <f t="shared" si="279"/>
        <v>0</v>
      </c>
      <c r="BO240" s="1835">
        <f t="shared" si="279"/>
        <v>0</v>
      </c>
      <c r="BP240" s="1835">
        <f t="shared" si="279"/>
        <v>0</v>
      </c>
      <c r="BQ240" s="1834">
        <f t="shared" si="255"/>
        <v>0</v>
      </c>
      <c r="DB240" s="1719" t="s">
        <v>84</v>
      </c>
      <c r="DC240" s="1821">
        <f t="shared" si="256"/>
        <v>0</v>
      </c>
      <c r="DD240" s="1818">
        <f t="shared" ref="DD240:EH240" si="280">+(DD64+DD80)</f>
        <v>0</v>
      </c>
      <c r="DE240" s="1818">
        <f t="shared" si="280"/>
        <v>0</v>
      </c>
      <c r="DF240" s="1818">
        <f t="shared" si="280"/>
        <v>0</v>
      </c>
      <c r="DG240" s="1818">
        <f t="shared" si="280"/>
        <v>0</v>
      </c>
      <c r="DH240" s="1818">
        <f t="shared" si="280"/>
        <v>0</v>
      </c>
      <c r="DI240" s="1818">
        <f t="shared" si="280"/>
        <v>0</v>
      </c>
      <c r="DJ240" s="1818">
        <f t="shared" si="280"/>
        <v>0</v>
      </c>
      <c r="DK240" s="1818">
        <f t="shared" si="280"/>
        <v>0</v>
      </c>
      <c r="DL240" s="1818">
        <f t="shared" si="280"/>
        <v>0</v>
      </c>
      <c r="DM240" s="1818">
        <f t="shared" si="280"/>
        <v>0</v>
      </c>
      <c r="DN240" s="1818">
        <f t="shared" si="280"/>
        <v>0</v>
      </c>
      <c r="DO240" s="1818">
        <f t="shared" si="280"/>
        <v>0</v>
      </c>
      <c r="DP240" s="1818">
        <f t="shared" si="280"/>
        <v>0</v>
      </c>
      <c r="DQ240" s="1818">
        <f t="shared" si="280"/>
        <v>0</v>
      </c>
      <c r="DR240" s="1818">
        <f t="shared" si="280"/>
        <v>0</v>
      </c>
      <c r="DS240" s="1818">
        <f t="shared" si="280"/>
        <v>0</v>
      </c>
      <c r="DT240" s="1818">
        <f t="shared" si="280"/>
        <v>0</v>
      </c>
      <c r="DU240" s="1818">
        <f t="shared" si="280"/>
        <v>0</v>
      </c>
      <c r="DV240" s="1818">
        <f t="shared" si="280"/>
        <v>0</v>
      </c>
      <c r="DW240" s="1818">
        <f t="shared" si="280"/>
        <v>0</v>
      </c>
      <c r="DX240" s="1818">
        <f t="shared" si="280"/>
        <v>0</v>
      </c>
      <c r="DY240" s="1818">
        <f t="shared" si="280"/>
        <v>0</v>
      </c>
      <c r="DZ240" s="1818">
        <f t="shared" si="280"/>
        <v>0</v>
      </c>
      <c r="EA240" s="1818">
        <f t="shared" si="280"/>
        <v>0</v>
      </c>
      <c r="EB240" s="1818">
        <f t="shared" si="280"/>
        <v>0</v>
      </c>
      <c r="EC240" s="1818">
        <f t="shared" si="280"/>
        <v>0</v>
      </c>
      <c r="ED240" s="1818">
        <f t="shared" si="280"/>
        <v>0</v>
      </c>
      <c r="EE240" s="1818">
        <f t="shared" si="280"/>
        <v>0</v>
      </c>
      <c r="EF240" s="1818">
        <f t="shared" si="280"/>
        <v>0</v>
      </c>
      <c r="EG240" s="1818">
        <f t="shared" si="280"/>
        <v>0</v>
      </c>
      <c r="EH240" s="1818">
        <f t="shared" si="280"/>
        <v>0</v>
      </c>
      <c r="EI240" s="1817">
        <f t="shared" si="258"/>
        <v>0</v>
      </c>
    </row>
    <row r="241" spans="36:139" ht="15">
      <c r="AJ241" s="1837" t="s">
        <v>72</v>
      </c>
      <c r="AK241" s="1836">
        <f t="shared" ref="AK241:BQ241" si="281">SUM(AK229:AK240)</f>
        <v>2.258</v>
      </c>
      <c r="AL241" s="1835">
        <f t="shared" si="281"/>
        <v>0</v>
      </c>
      <c r="AM241" s="1835">
        <f t="shared" si="281"/>
        <v>0</v>
      </c>
      <c r="AN241" s="1835">
        <f t="shared" si="281"/>
        <v>0</v>
      </c>
      <c r="AO241" s="1835">
        <f t="shared" si="281"/>
        <v>0</v>
      </c>
      <c r="AP241" s="1835">
        <f t="shared" si="281"/>
        <v>0</v>
      </c>
      <c r="AQ241" s="1835">
        <f t="shared" si="281"/>
        <v>0</v>
      </c>
      <c r="AR241" s="1835">
        <f t="shared" si="281"/>
        <v>0</v>
      </c>
      <c r="AS241" s="1835">
        <f t="shared" si="281"/>
        <v>0</v>
      </c>
      <c r="AT241" s="1835">
        <f t="shared" si="281"/>
        <v>0</v>
      </c>
      <c r="AU241" s="1835">
        <f t="shared" si="281"/>
        <v>0</v>
      </c>
      <c r="AV241" s="1835">
        <f t="shared" si="281"/>
        <v>2.258</v>
      </c>
      <c r="AW241" s="1835">
        <f t="shared" si="281"/>
        <v>0</v>
      </c>
      <c r="AX241" s="1835">
        <f t="shared" si="281"/>
        <v>0</v>
      </c>
      <c r="AY241" s="1835">
        <f t="shared" si="281"/>
        <v>0</v>
      </c>
      <c r="AZ241" s="1835">
        <f t="shared" si="281"/>
        <v>0</v>
      </c>
      <c r="BA241" s="1835">
        <f t="shared" si="281"/>
        <v>0</v>
      </c>
      <c r="BB241" s="1835">
        <f t="shared" si="281"/>
        <v>0</v>
      </c>
      <c r="BC241" s="1835">
        <f t="shared" si="281"/>
        <v>0</v>
      </c>
      <c r="BD241" s="1835">
        <f t="shared" si="281"/>
        <v>0</v>
      </c>
      <c r="BE241" s="1835">
        <f t="shared" si="281"/>
        <v>0</v>
      </c>
      <c r="BF241" s="1835">
        <f t="shared" si="281"/>
        <v>0</v>
      </c>
      <c r="BG241" s="1835">
        <f t="shared" si="281"/>
        <v>0</v>
      </c>
      <c r="BH241" s="1835">
        <f t="shared" si="281"/>
        <v>0</v>
      </c>
      <c r="BI241" s="1835">
        <f t="shared" si="281"/>
        <v>0</v>
      </c>
      <c r="BJ241" s="1835">
        <f t="shared" si="281"/>
        <v>0</v>
      </c>
      <c r="BK241" s="1835">
        <f t="shared" si="281"/>
        <v>0</v>
      </c>
      <c r="BL241" s="1835">
        <f t="shared" si="281"/>
        <v>0</v>
      </c>
      <c r="BM241" s="1835">
        <f t="shared" si="281"/>
        <v>0</v>
      </c>
      <c r="BN241" s="1835">
        <f t="shared" si="281"/>
        <v>0</v>
      </c>
      <c r="BO241" s="1835">
        <f t="shared" si="281"/>
        <v>0</v>
      </c>
      <c r="BP241" s="1835">
        <f t="shared" si="281"/>
        <v>0</v>
      </c>
      <c r="BQ241" s="1834">
        <f t="shared" si="281"/>
        <v>2.258</v>
      </c>
      <c r="DB241" s="1820" t="s">
        <v>72</v>
      </c>
      <c r="DC241" s="1819">
        <f>SUM(DC229:DC240)</f>
        <v>0</v>
      </c>
      <c r="DD241" s="1817">
        <f t="shared" ref="DD241:EH241" si="282">+(DD49+DD65+DD81+DD97+DD113+DD129+DD145+DD161+DD177+DD193+DD209+DD225)</f>
        <v>0</v>
      </c>
      <c r="DE241" s="1817">
        <f t="shared" si="282"/>
        <v>0</v>
      </c>
      <c r="DF241" s="1817">
        <f t="shared" si="282"/>
        <v>0</v>
      </c>
      <c r="DG241" s="1817">
        <f t="shared" si="282"/>
        <v>0</v>
      </c>
      <c r="DH241" s="1817">
        <f t="shared" si="282"/>
        <v>0</v>
      </c>
      <c r="DI241" s="1817">
        <f t="shared" si="282"/>
        <v>0</v>
      </c>
      <c r="DJ241" s="1817">
        <f t="shared" si="282"/>
        <v>0</v>
      </c>
      <c r="DK241" s="1817">
        <f t="shared" si="282"/>
        <v>0</v>
      </c>
      <c r="DL241" s="1817">
        <f t="shared" si="282"/>
        <v>0</v>
      </c>
      <c r="DM241" s="1817">
        <f t="shared" si="282"/>
        <v>0</v>
      </c>
      <c r="DN241" s="1817">
        <f t="shared" si="282"/>
        <v>0</v>
      </c>
      <c r="DO241" s="1817">
        <f t="shared" si="282"/>
        <v>0</v>
      </c>
      <c r="DP241" s="1817">
        <f t="shared" si="282"/>
        <v>0</v>
      </c>
      <c r="DQ241" s="1817">
        <f t="shared" si="282"/>
        <v>0</v>
      </c>
      <c r="DR241" s="1817">
        <f t="shared" si="282"/>
        <v>0</v>
      </c>
      <c r="DS241" s="1817">
        <f t="shared" si="282"/>
        <v>0</v>
      </c>
      <c r="DT241" s="1817">
        <f t="shared" si="282"/>
        <v>0</v>
      </c>
      <c r="DU241" s="1817">
        <f t="shared" si="282"/>
        <v>0</v>
      </c>
      <c r="DV241" s="1817">
        <f t="shared" si="282"/>
        <v>0</v>
      </c>
      <c r="DW241" s="1817">
        <f t="shared" si="282"/>
        <v>0</v>
      </c>
      <c r="DX241" s="1817">
        <f t="shared" si="282"/>
        <v>0</v>
      </c>
      <c r="DY241" s="1817">
        <f t="shared" si="282"/>
        <v>0</v>
      </c>
      <c r="DZ241" s="1817">
        <f t="shared" si="282"/>
        <v>0</v>
      </c>
      <c r="EA241" s="1817">
        <f t="shared" si="282"/>
        <v>0</v>
      </c>
      <c r="EB241" s="1817">
        <f t="shared" si="282"/>
        <v>0</v>
      </c>
      <c r="EC241" s="1817">
        <f t="shared" si="282"/>
        <v>0</v>
      </c>
      <c r="ED241" s="1817">
        <f t="shared" si="282"/>
        <v>0</v>
      </c>
      <c r="EE241" s="1817">
        <f t="shared" si="282"/>
        <v>0</v>
      </c>
      <c r="EF241" s="1817">
        <f t="shared" si="282"/>
        <v>0</v>
      </c>
      <c r="EG241" s="1817">
        <f t="shared" si="282"/>
        <v>0</v>
      </c>
      <c r="EH241" s="1817">
        <f t="shared" si="282"/>
        <v>0</v>
      </c>
      <c r="EI241" s="1817">
        <f>SUM(EI229:EI240)</f>
        <v>0</v>
      </c>
    </row>
    <row r="243" spans="36:139" ht="15">
      <c r="AJ243" s="3821" t="s">
        <v>604</v>
      </c>
      <c r="AK243" s="3822"/>
      <c r="AL243" s="3823"/>
      <c r="AM243" s="1839"/>
      <c r="AN243" s="1839"/>
      <c r="AO243" s="1839"/>
      <c r="AP243" s="1839"/>
      <c r="AQ243" s="1839"/>
      <c r="AR243" s="1839"/>
      <c r="AS243" s="1839"/>
      <c r="AT243" s="1839"/>
      <c r="AU243" s="1839"/>
      <c r="AV243" s="1840"/>
      <c r="AW243" s="1839"/>
      <c r="AX243" s="1839"/>
      <c r="AY243" s="1839"/>
      <c r="AZ243" s="1839"/>
      <c r="BA243" s="1839"/>
      <c r="BB243" s="1839"/>
      <c r="BC243" s="1839"/>
      <c r="BD243" s="1839"/>
      <c r="BE243" s="1839"/>
      <c r="BF243" s="1839"/>
      <c r="BG243" s="1839"/>
      <c r="BH243" s="1839"/>
      <c r="BI243" s="1839"/>
      <c r="BJ243" s="1839"/>
      <c r="BK243" s="1839"/>
      <c r="BL243" s="1839"/>
      <c r="BM243" s="1839"/>
      <c r="BN243" s="1839"/>
      <c r="BO243" s="1839"/>
      <c r="BP243" s="1839"/>
      <c r="BQ243" s="1839"/>
    </row>
    <row r="244" spans="36:139" ht="15">
      <c r="AJ244" s="1524" t="s">
        <v>70</v>
      </c>
      <c r="AK244" s="1524" t="s">
        <v>71</v>
      </c>
      <c r="AL244" s="1524">
        <v>1</v>
      </c>
      <c r="AM244" s="1524">
        <v>2</v>
      </c>
      <c r="AN244" s="1524">
        <v>3</v>
      </c>
      <c r="AO244" s="1524">
        <v>4</v>
      </c>
      <c r="AP244" s="1524">
        <v>5</v>
      </c>
      <c r="AQ244" s="1524">
        <v>6</v>
      </c>
      <c r="AR244" s="1524">
        <v>7</v>
      </c>
      <c r="AS244" s="1524">
        <v>8</v>
      </c>
      <c r="AT244" s="1524">
        <v>9</v>
      </c>
      <c r="AU244" s="1524">
        <v>10</v>
      </c>
      <c r="AV244" s="1524">
        <v>11</v>
      </c>
      <c r="AW244" s="1524">
        <v>12</v>
      </c>
      <c r="AX244" s="1524">
        <v>13</v>
      </c>
      <c r="AY244" s="1524">
        <v>14</v>
      </c>
      <c r="AZ244" s="1524">
        <v>15</v>
      </c>
      <c r="BA244" s="1524">
        <v>16</v>
      </c>
      <c r="BB244" s="1524">
        <v>17</v>
      </c>
      <c r="BC244" s="1524">
        <v>18</v>
      </c>
      <c r="BD244" s="1524">
        <v>19</v>
      </c>
      <c r="BE244" s="1524">
        <v>20</v>
      </c>
      <c r="BF244" s="1524">
        <v>21</v>
      </c>
      <c r="BG244" s="1524">
        <v>22</v>
      </c>
      <c r="BH244" s="1524">
        <v>23</v>
      </c>
      <c r="BI244" s="1524">
        <v>24</v>
      </c>
      <c r="BJ244" s="1524">
        <v>25</v>
      </c>
      <c r="BK244" s="1524">
        <v>26</v>
      </c>
      <c r="BL244" s="1524">
        <v>27</v>
      </c>
      <c r="BM244" s="1524">
        <v>28</v>
      </c>
      <c r="BN244" s="1524">
        <v>29</v>
      </c>
      <c r="BO244" s="1524">
        <v>30</v>
      </c>
      <c r="BP244" s="1524">
        <v>31</v>
      </c>
      <c r="BQ244" s="1838" t="s">
        <v>72</v>
      </c>
    </row>
    <row r="245" spans="36:139" ht="15">
      <c r="AJ245" s="1524" t="s">
        <v>73</v>
      </c>
      <c r="AK245" s="1527">
        <f t="shared" ref="AK245:AK256" si="283">+BQ245</f>
        <v>5.3120000000000003</v>
      </c>
      <c r="AL245" s="1835">
        <f t="shared" ref="AL245:BP245" si="284">+(AL85+AL101+AL117+AL133+AL149+AL165+AL181)</f>
        <v>0</v>
      </c>
      <c r="AM245" s="1835">
        <f t="shared" si="284"/>
        <v>0</v>
      </c>
      <c r="AN245" s="1835">
        <f t="shared" si="284"/>
        <v>0</v>
      </c>
      <c r="AO245" s="1835">
        <f t="shared" si="284"/>
        <v>0</v>
      </c>
      <c r="AP245" s="1835">
        <f t="shared" si="284"/>
        <v>0</v>
      </c>
      <c r="AQ245" s="1835">
        <f t="shared" si="284"/>
        <v>0</v>
      </c>
      <c r="AR245" s="1835">
        <f t="shared" si="284"/>
        <v>0</v>
      </c>
      <c r="AS245" s="1835">
        <f t="shared" si="284"/>
        <v>0</v>
      </c>
      <c r="AT245" s="1835">
        <f t="shared" si="284"/>
        <v>0</v>
      </c>
      <c r="AU245" s="1835">
        <f t="shared" si="284"/>
        <v>0</v>
      </c>
      <c r="AV245" s="1835">
        <f t="shared" si="284"/>
        <v>0</v>
      </c>
      <c r="AW245" s="1835">
        <f t="shared" si="284"/>
        <v>0</v>
      </c>
      <c r="AX245" s="1835">
        <f t="shared" si="284"/>
        <v>0</v>
      </c>
      <c r="AY245" s="1835">
        <f t="shared" si="284"/>
        <v>0</v>
      </c>
      <c r="AZ245" s="1835">
        <f t="shared" si="284"/>
        <v>0</v>
      </c>
      <c r="BA245" s="1835">
        <f t="shared" si="284"/>
        <v>0</v>
      </c>
      <c r="BB245" s="1835">
        <f t="shared" si="284"/>
        <v>0</v>
      </c>
      <c r="BC245" s="1835">
        <f t="shared" si="284"/>
        <v>0</v>
      </c>
      <c r="BD245" s="1835">
        <f t="shared" si="284"/>
        <v>0</v>
      </c>
      <c r="BE245" s="1835">
        <f t="shared" si="284"/>
        <v>0</v>
      </c>
      <c r="BF245" s="1835">
        <f t="shared" si="284"/>
        <v>0</v>
      </c>
      <c r="BG245" s="1835">
        <f t="shared" si="284"/>
        <v>0</v>
      </c>
      <c r="BH245" s="1835">
        <f t="shared" si="284"/>
        <v>0</v>
      </c>
      <c r="BI245" s="1835">
        <f t="shared" si="284"/>
        <v>9.8000000000000004E-2</v>
      </c>
      <c r="BJ245" s="1835">
        <f t="shared" si="284"/>
        <v>0</v>
      </c>
      <c r="BK245" s="1835">
        <f t="shared" si="284"/>
        <v>0</v>
      </c>
      <c r="BL245" s="1835">
        <f t="shared" si="284"/>
        <v>0</v>
      </c>
      <c r="BM245" s="1835">
        <f t="shared" si="284"/>
        <v>4.7320000000000002</v>
      </c>
      <c r="BN245" s="1835">
        <f t="shared" si="284"/>
        <v>0</v>
      </c>
      <c r="BO245" s="1835">
        <f t="shared" si="284"/>
        <v>0.48199999999999998</v>
      </c>
      <c r="BP245" s="1835">
        <f t="shared" si="284"/>
        <v>0</v>
      </c>
      <c r="BQ245" s="1834">
        <f t="shared" ref="BQ245:BQ256" si="285">SUM(AL245:BP245)</f>
        <v>5.3120000000000003</v>
      </c>
    </row>
    <row r="246" spans="36:139" ht="15">
      <c r="AJ246" s="1524" t="s">
        <v>74</v>
      </c>
      <c r="AK246" s="1527">
        <f t="shared" si="283"/>
        <v>2.1219999999999999</v>
      </c>
      <c r="AL246" s="1835">
        <f t="shared" ref="AL246:BP246" si="286">+(AL86+AL102+AL118+AL134+AL150+AL166+AL182)</f>
        <v>2.1219999999999999</v>
      </c>
      <c r="AM246" s="1835">
        <f t="shared" si="286"/>
        <v>0</v>
      </c>
      <c r="AN246" s="1835">
        <f t="shared" si="286"/>
        <v>0</v>
      </c>
      <c r="AO246" s="1835">
        <f t="shared" si="286"/>
        <v>0</v>
      </c>
      <c r="AP246" s="1835">
        <f t="shared" si="286"/>
        <v>0</v>
      </c>
      <c r="AQ246" s="1835">
        <f t="shared" si="286"/>
        <v>0</v>
      </c>
      <c r="AR246" s="1835">
        <f t="shared" si="286"/>
        <v>0</v>
      </c>
      <c r="AS246" s="1835">
        <f t="shared" si="286"/>
        <v>0</v>
      </c>
      <c r="AT246" s="1835">
        <f t="shared" si="286"/>
        <v>0</v>
      </c>
      <c r="AU246" s="1835">
        <f t="shared" si="286"/>
        <v>0</v>
      </c>
      <c r="AV246" s="1835">
        <f t="shared" si="286"/>
        <v>0</v>
      </c>
      <c r="AW246" s="1835">
        <f t="shared" si="286"/>
        <v>0</v>
      </c>
      <c r="AX246" s="1835">
        <f t="shared" si="286"/>
        <v>0</v>
      </c>
      <c r="AY246" s="1835">
        <f t="shared" si="286"/>
        <v>0</v>
      </c>
      <c r="AZ246" s="1835">
        <f t="shared" si="286"/>
        <v>0</v>
      </c>
      <c r="BA246" s="1835">
        <f t="shared" si="286"/>
        <v>0</v>
      </c>
      <c r="BB246" s="1835">
        <f t="shared" si="286"/>
        <v>0</v>
      </c>
      <c r="BC246" s="1835">
        <f t="shared" si="286"/>
        <v>0</v>
      </c>
      <c r="BD246" s="1835">
        <f t="shared" si="286"/>
        <v>0</v>
      </c>
      <c r="BE246" s="1835">
        <f t="shared" si="286"/>
        <v>0</v>
      </c>
      <c r="BF246" s="1835">
        <f t="shared" si="286"/>
        <v>0</v>
      </c>
      <c r="BG246" s="1835">
        <f t="shared" si="286"/>
        <v>0</v>
      </c>
      <c r="BH246" s="1835">
        <f t="shared" si="286"/>
        <v>0</v>
      </c>
      <c r="BI246" s="1835">
        <f t="shared" si="286"/>
        <v>0</v>
      </c>
      <c r="BJ246" s="1835">
        <f t="shared" si="286"/>
        <v>0</v>
      </c>
      <c r="BK246" s="1835">
        <f t="shared" si="286"/>
        <v>0</v>
      </c>
      <c r="BL246" s="1835">
        <f t="shared" si="286"/>
        <v>0</v>
      </c>
      <c r="BM246" s="1835">
        <f t="shared" si="286"/>
        <v>0</v>
      </c>
      <c r="BN246" s="1835">
        <f t="shared" si="286"/>
        <v>0</v>
      </c>
      <c r="BO246" s="1835">
        <f t="shared" si="286"/>
        <v>0</v>
      </c>
      <c r="BP246" s="1835">
        <f t="shared" si="286"/>
        <v>0</v>
      </c>
      <c r="BQ246" s="1834">
        <f t="shared" si="285"/>
        <v>2.1219999999999999</v>
      </c>
    </row>
    <row r="247" spans="36:139" ht="15">
      <c r="AJ247" s="1524" t="s">
        <v>75</v>
      </c>
      <c r="AK247" s="1527">
        <f t="shared" si="283"/>
        <v>0</v>
      </c>
      <c r="AL247" s="1835">
        <f t="shared" ref="AL247:BP247" si="287">+(AL87+AL103+AL119+AL135+AL151+AL167+AL183)</f>
        <v>0</v>
      </c>
      <c r="AM247" s="1835">
        <f t="shared" si="287"/>
        <v>0</v>
      </c>
      <c r="AN247" s="1835">
        <f t="shared" si="287"/>
        <v>0</v>
      </c>
      <c r="AO247" s="1835">
        <f t="shared" si="287"/>
        <v>0</v>
      </c>
      <c r="AP247" s="1835">
        <f t="shared" si="287"/>
        <v>0</v>
      </c>
      <c r="AQ247" s="1835">
        <f t="shared" si="287"/>
        <v>0</v>
      </c>
      <c r="AR247" s="1835">
        <f t="shared" si="287"/>
        <v>0</v>
      </c>
      <c r="AS247" s="1835">
        <f t="shared" si="287"/>
        <v>0</v>
      </c>
      <c r="AT247" s="1835">
        <f t="shared" si="287"/>
        <v>0</v>
      </c>
      <c r="AU247" s="1835">
        <f t="shared" si="287"/>
        <v>0</v>
      </c>
      <c r="AV247" s="1835">
        <f t="shared" si="287"/>
        <v>0</v>
      </c>
      <c r="AW247" s="1835">
        <f t="shared" si="287"/>
        <v>0</v>
      </c>
      <c r="AX247" s="1835">
        <f t="shared" si="287"/>
        <v>0</v>
      </c>
      <c r="AY247" s="1835">
        <f t="shared" si="287"/>
        <v>0</v>
      </c>
      <c r="AZ247" s="1835">
        <f t="shared" si="287"/>
        <v>0</v>
      </c>
      <c r="BA247" s="1835">
        <f t="shared" si="287"/>
        <v>0</v>
      </c>
      <c r="BB247" s="1835">
        <f t="shared" si="287"/>
        <v>0</v>
      </c>
      <c r="BC247" s="1835">
        <f t="shared" si="287"/>
        <v>0</v>
      </c>
      <c r="BD247" s="1835">
        <f t="shared" si="287"/>
        <v>0</v>
      </c>
      <c r="BE247" s="1835">
        <f t="shared" si="287"/>
        <v>0</v>
      </c>
      <c r="BF247" s="1835">
        <f t="shared" si="287"/>
        <v>0</v>
      </c>
      <c r="BG247" s="1835">
        <f t="shared" si="287"/>
        <v>0</v>
      </c>
      <c r="BH247" s="1835">
        <f t="shared" si="287"/>
        <v>0</v>
      </c>
      <c r="BI247" s="1835">
        <f t="shared" si="287"/>
        <v>0</v>
      </c>
      <c r="BJ247" s="1835">
        <f t="shared" si="287"/>
        <v>0</v>
      </c>
      <c r="BK247" s="1835">
        <f t="shared" si="287"/>
        <v>0</v>
      </c>
      <c r="BL247" s="1835">
        <f t="shared" si="287"/>
        <v>0</v>
      </c>
      <c r="BM247" s="1835">
        <f t="shared" si="287"/>
        <v>0</v>
      </c>
      <c r="BN247" s="1835">
        <f t="shared" si="287"/>
        <v>0</v>
      </c>
      <c r="BO247" s="1835">
        <f t="shared" si="287"/>
        <v>0</v>
      </c>
      <c r="BP247" s="1835">
        <f t="shared" si="287"/>
        <v>0</v>
      </c>
      <c r="BQ247" s="1834">
        <f t="shared" si="285"/>
        <v>0</v>
      </c>
    </row>
    <row r="248" spans="36:139" ht="15">
      <c r="AJ248" s="1524" t="s">
        <v>76</v>
      </c>
      <c r="AK248" s="1527">
        <f t="shared" si="283"/>
        <v>0</v>
      </c>
      <c r="AL248" s="1835">
        <f t="shared" ref="AL248:BP248" si="288">+(AL88+AL104+AL120+AL136+AL152+AL168+AL184)</f>
        <v>0</v>
      </c>
      <c r="AM248" s="1835">
        <f t="shared" si="288"/>
        <v>0</v>
      </c>
      <c r="AN248" s="1835">
        <f t="shared" si="288"/>
        <v>0</v>
      </c>
      <c r="AO248" s="1835">
        <f t="shared" si="288"/>
        <v>0</v>
      </c>
      <c r="AP248" s="1835">
        <f t="shared" si="288"/>
        <v>0</v>
      </c>
      <c r="AQ248" s="1835">
        <f t="shared" si="288"/>
        <v>0</v>
      </c>
      <c r="AR248" s="1835">
        <f t="shared" si="288"/>
        <v>0</v>
      </c>
      <c r="AS248" s="1835">
        <f t="shared" si="288"/>
        <v>0</v>
      </c>
      <c r="AT248" s="1835">
        <f t="shared" si="288"/>
        <v>0</v>
      </c>
      <c r="AU248" s="1835">
        <f t="shared" si="288"/>
        <v>0</v>
      </c>
      <c r="AV248" s="1835">
        <f t="shared" si="288"/>
        <v>0</v>
      </c>
      <c r="AW248" s="1835">
        <f t="shared" si="288"/>
        <v>0</v>
      </c>
      <c r="AX248" s="1835">
        <f t="shared" si="288"/>
        <v>0</v>
      </c>
      <c r="AY248" s="1835">
        <f t="shared" si="288"/>
        <v>0</v>
      </c>
      <c r="AZ248" s="1835">
        <f t="shared" si="288"/>
        <v>0</v>
      </c>
      <c r="BA248" s="1835">
        <f t="shared" si="288"/>
        <v>0</v>
      </c>
      <c r="BB248" s="1835">
        <f t="shared" si="288"/>
        <v>0</v>
      </c>
      <c r="BC248" s="1835">
        <f t="shared" si="288"/>
        <v>0</v>
      </c>
      <c r="BD248" s="1835">
        <f t="shared" si="288"/>
        <v>0</v>
      </c>
      <c r="BE248" s="1835">
        <f t="shared" si="288"/>
        <v>0</v>
      </c>
      <c r="BF248" s="1835">
        <f t="shared" si="288"/>
        <v>0</v>
      </c>
      <c r="BG248" s="1835">
        <f t="shared" si="288"/>
        <v>0</v>
      </c>
      <c r="BH248" s="1835">
        <f t="shared" si="288"/>
        <v>0</v>
      </c>
      <c r="BI248" s="1835">
        <f t="shared" si="288"/>
        <v>0</v>
      </c>
      <c r="BJ248" s="1835">
        <f t="shared" si="288"/>
        <v>0</v>
      </c>
      <c r="BK248" s="1835">
        <f t="shared" si="288"/>
        <v>0</v>
      </c>
      <c r="BL248" s="1835">
        <f t="shared" si="288"/>
        <v>0</v>
      </c>
      <c r="BM248" s="1835">
        <f t="shared" si="288"/>
        <v>0</v>
      </c>
      <c r="BN248" s="1835">
        <f t="shared" si="288"/>
        <v>0</v>
      </c>
      <c r="BO248" s="1835">
        <f t="shared" si="288"/>
        <v>0</v>
      </c>
      <c r="BP248" s="1835">
        <f t="shared" si="288"/>
        <v>0</v>
      </c>
      <c r="BQ248" s="1834">
        <f t="shared" si="285"/>
        <v>0</v>
      </c>
    </row>
    <row r="249" spans="36:139" ht="15">
      <c r="AJ249" s="1524" t="s">
        <v>77</v>
      </c>
      <c r="AK249" s="1527">
        <f t="shared" si="283"/>
        <v>0</v>
      </c>
      <c r="AL249" s="1835">
        <f t="shared" ref="AL249:BP249" si="289">+(AL89+AL105+AL121+AL137+AL153+AL169+AL185)</f>
        <v>0</v>
      </c>
      <c r="AM249" s="1835">
        <f t="shared" si="289"/>
        <v>0</v>
      </c>
      <c r="AN249" s="1835">
        <f t="shared" si="289"/>
        <v>0</v>
      </c>
      <c r="AO249" s="1835">
        <f t="shared" si="289"/>
        <v>0</v>
      </c>
      <c r="AP249" s="1835">
        <f t="shared" si="289"/>
        <v>0</v>
      </c>
      <c r="AQ249" s="1835">
        <f t="shared" si="289"/>
        <v>0</v>
      </c>
      <c r="AR249" s="1835">
        <f t="shared" si="289"/>
        <v>0</v>
      </c>
      <c r="AS249" s="1835">
        <f t="shared" si="289"/>
        <v>0</v>
      </c>
      <c r="AT249" s="1835">
        <f t="shared" si="289"/>
        <v>0</v>
      </c>
      <c r="AU249" s="1835">
        <f t="shared" si="289"/>
        <v>0</v>
      </c>
      <c r="AV249" s="1835">
        <f t="shared" si="289"/>
        <v>0</v>
      </c>
      <c r="AW249" s="1835">
        <f t="shared" si="289"/>
        <v>0</v>
      </c>
      <c r="AX249" s="1835">
        <f t="shared" si="289"/>
        <v>0</v>
      </c>
      <c r="AY249" s="1835">
        <f t="shared" si="289"/>
        <v>0</v>
      </c>
      <c r="AZ249" s="1835">
        <f t="shared" si="289"/>
        <v>0</v>
      </c>
      <c r="BA249" s="1835">
        <f t="shared" si="289"/>
        <v>0</v>
      </c>
      <c r="BB249" s="1835">
        <f t="shared" si="289"/>
        <v>0</v>
      </c>
      <c r="BC249" s="1835">
        <f t="shared" si="289"/>
        <v>0</v>
      </c>
      <c r="BD249" s="1835">
        <f t="shared" si="289"/>
        <v>0</v>
      </c>
      <c r="BE249" s="1835">
        <f t="shared" si="289"/>
        <v>0</v>
      </c>
      <c r="BF249" s="1835">
        <f t="shared" si="289"/>
        <v>0</v>
      </c>
      <c r="BG249" s="1835">
        <f t="shared" si="289"/>
        <v>0</v>
      </c>
      <c r="BH249" s="1835">
        <f t="shared" si="289"/>
        <v>0</v>
      </c>
      <c r="BI249" s="1835">
        <f t="shared" si="289"/>
        <v>0</v>
      </c>
      <c r="BJ249" s="1835">
        <f t="shared" si="289"/>
        <v>0</v>
      </c>
      <c r="BK249" s="1835">
        <f t="shared" si="289"/>
        <v>0</v>
      </c>
      <c r="BL249" s="1835">
        <f t="shared" si="289"/>
        <v>0</v>
      </c>
      <c r="BM249" s="1835">
        <f t="shared" si="289"/>
        <v>0</v>
      </c>
      <c r="BN249" s="1835">
        <f t="shared" si="289"/>
        <v>0</v>
      </c>
      <c r="BO249" s="1835">
        <f t="shared" si="289"/>
        <v>0</v>
      </c>
      <c r="BP249" s="1835">
        <f t="shared" si="289"/>
        <v>0</v>
      </c>
      <c r="BQ249" s="1834">
        <f t="shared" si="285"/>
        <v>0</v>
      </c>
    </row>
    <row r="250" spans="36:139" ht="15">
      <c r="AJ250" s="1524" t="s">
        <v>78</v>
      </c>
      <c r="AK250" s="1527">
        <f t="shared" si="283"/>
        <v>0</v>
      </c>
      <c r="AL250" s="1835">
        <f t="shared" ref="AL250:BP250" si="290">+(AL90+AL106+AL122+AL138+AL154+AL170+AL186)</f>
        <v>0</v>
      </c>
      <c r="AM250" s="1835">
        <f t="shared" si="290"/>
        <v>0</v>
      </c>
      <c r="AN250" s="1835">
        <f t="shared" si="290"/>
        <v>0</v>
      </c>
      <c r="AO250" s="1835">
        <f t="shared" si="290"/>
        <v>0</v>
      </c>
      <c r="AP250" s="1835">
        <f t="shared" si="290"/>
        <v>0</v>
      </c>
      <c r="AQ250" s="1835">
        <f t="shared" si="290"/>
        <v>0</v>
      </c>
      <c r="AR250" s="1835">
        <f t="shared" si="290"/>
        <v>0</v>
      </c>
      <c r="AS250" s="1835">
        <f t="shared" si="290"/>
        <v>0</v>
      </c>
      <c r="AT250" s="1835">
        <f t="shared" si="290"/>
        <v>0</v>
      </c>
      <c r="AU250" s="1835">
        <f t="shared" si="290"/>
        <v>0</v>
      </c>
      <c r="AV250" s="1835">
        <f t="shared" si="290"/>
        <v>0</v>
      </c>
      <c r="AW250" s="1835">
        <f t="shared" si="290"/>
        <v>0</v>
      </c>
      <c r="AX250" s="1835">
        <f t="shared" si="290"/>
        <v>0</v>
      </c>
      <c r="AY250" s="1835">
        <f t="shared" si="290"/>
        <v>0</v>
      </c>
      <c r="AZ250" s="1835">
        <f t="shared" si="290"/>
        <v>0</v>
      </c>
      <c r="BA250" s="1835">
        <f t="shared" si="290"/>
        <v>0</v>
      </c>
      <c r="BB250" s="1835">
        <f t="shared" si="290"/>
        <v>0</v>
      </c>
      <c r="BC250" s="1835">
        <f t="shared" si="290"/>
        <v>0</v>
      </c>
      <c r="BD250" s="1835">
        <f t="shared" si="290"/>
        <v>0</v>
      </c>
      <c r="BE250" s="1835">
        <f t="shared" si="290"/>
        <v>0</v>
      </c>
      <c r="BF250" s="1835">
        <f t="shared" si="290"/>
        <v>0</v>
      </c>
      <c r="BG250" s="1835">
        <f t="shared" si="290"/>
        <v>0</v>
      </c>
      <c r="BH250" s="1835">
        <f t="shared" si="290"/>
        <v>0</v>
      </c>
      <c r="BI250" s="1835">
        <f t="shared" si="290"/>
        <v>0</v>
      </c>
      <c r="BJ250" s="1835">
        <f t="shared" si="290"/>
        <v>0</v>
      </c>
      <c r="BK250" s="1835">
        <f t="shared" si="290"/>
        <v>0</v>
      </c>
      <c r="BL250" s="1835">
        <f t="shared" si="290"/>
        <v>0</v>
      </c>
      <c r="BM250" s="1835">
        <f t="shared" si="290"/>
        <v>0</v>
      </c>
      <c r="BN250" s="1835">
        <f t="shared" si="290"/>
        <v>0</v>
      </c>
      <c r="BO250" s="1835">
        <f t="shared" si="290"/>
        <v>0</v>
      </c>
      <c r="BP250" s="1835">
        <f t="shared" si="290"/>
        <v>0</v>
      </c>
      <c r="BQ250" s="1834">
        <f t="shared" si="285"/>
        <v>0</v>
      </c>
    </row>
    <row r="251" spans="36:139" ht="15">
      <c r="AJ251" s="1524" t="s">
        <v>79</v>
      </c>
      <c r="AK251" s="1527">
        <f t="shared" si="283"/>
        <v>0</v>
      </c>
      <c r="AL251" s="1835">
        <f t="shared" ref="AL251:BP251" si="291">+(AL91+AL107+AL123+AL139+AL155+AL171+AL187)</f>
        <v>0</v>
      </c>
      <c r="AM251" s="1835">
        <f t="shared" si="291"/>
        <v>0</v>
      </c>
      <c r="AN251" s="1835">
        <f t="shared" si="291"/>
        <v>0</v>
      </c>
      <c r="AO251" s="1835">
        <f t="shared" si="291"/>
        <v>0</v>
      </c>
      <c r="AP251" s="1835">
        <f t="shared" si="291"/>
        <v>0</v>
      </c>
      <c r="AQ251" s="1835">
        <f t="shared" si="291"/>
        <v>0</v>
      </c>
      <c r="AR251" s="1835">
        <f t="shared" si="291"/>
        <v>0</v>
      </c>
      <c r="AS251" s="1835">
        <f t="shared" si="291"/>
        <v>0</v>
      </c>
      <c r="AT251" s="1835">
        <f t="shared" si="291"/>
        <v>0</v>
      </c>
      <c r="AU251" s="1835">
        <f t="shared" si="291"/>
        <v>0</v>
      </c>
      <c r="AV251" s="1835">
        <f t="shared" si="291"/>
        <v>0</v>
      </c>
      <c r="AW251" s="1835">
        <f t="shared" si="291"/>
        <v>0</v>
      </c>
      <c r="AX251" s="1835">
        <f t="shared" si="291"/>
        <v>0</v>
      </c>
      <c r="AY251" s="1835">
        <f t="shared" si="291"/>
        <v>0</v>
      </c>
      <c r="AZ251" s="1835">
        <f t="shared" si="291"/>
        <v>0</v>
      </c>
      <c r="BA251" s="1835">
        <f t="shared" si="291"/>
        <v>0</v>
      </c>
      <c r="BB251" s="1835">
        <f t="shared" si="291"/>
        <v>0</v>
      </c>
      <c r="BC251" s="1835">
        <f t="shared" si="291"/>
        <v>0</v>
      </c>
      <c r="BD251" s="1835">
        <f t="shared" si="291"/>
        <v>0</v>
      </c>
      <c r="BE251" s="1835">
        <f t="shared" si="291"/>
        <v>0</v>
      </c>
      <c r="BF251" s="1835">
        <f t="shared" si="291"/>
        <v>0</v>
      </c>
      <c r="BG251" s="1835">
        <f t="shared" si="291"/>
        <v>0</v>
      </c>
      <c r="BH251" s="1835">
        <f t="shared" si="291"/>
        <v>0</v>
      </c>
      <c r="BI251" s="1835">
        <f t="shared" si="291"/>
        <v>0</v>
      </c>
      <c r="BJ251" s="1835">
        <f t="shared" si="291"/>
        <v>0</v>
      </c>
      <c r="BK251" s="1835">
        <f t="shared" si="291"/>
        <v>0</v>
      </c>
      <c r="BL251" s="1835">
        <f t="shared" si="291"/>
        <v>0</v>
      </c>
      <c r="BM251" s="1835">
        <f t="shared" si="291"/>
        <v>0</v>
      </c>
      <c r="BN251" s="1835">
        <f t="shared" si="291"/>
        <v>0</v>
      </c>
      <c r="BO251" s="1835">
        <f t="shared" si="291"/>
        <v>0</v>
      </c>
      <c r="BP251" s="1835">
        <f t="shared" si="291"/>
        <v>0</v>
      </c>
      <c r="BQ251" s="1834">
        <f t="shared" si="285"/>
        <v>0</v>
      </c>
    </row>
    <row r="252" spans="36:139" ht="15">
      <c r="AJ252" s="1524" t="s">
        <v>80</v>
      </c>
      <c r="AK252" s="1527">
        <f t="shared" si="283"/>
        <v>0</v>
      </c>
      <c r="AL252" s="1835">
        <f t="shared" ref="AL252:BP252" si="292">+(AL92+AL108+AL124+AL140+AL156+AL172+AL188)</f>
        <v>0</v>
      </c>
      <c r="AM252" s="1835">
        <f t="shared" si="292"/>
        <v>0</v>
      </c>
      <c r="AN252" s="1835">
        <f t="shared" si="292"/>
        <v>0</v>
      </c>
      <c r="AO252" s="1835">
        <f t="shared" si="292"/>
        <v>0</v>
      </c>
      <c r="AP252" s="1835">
        <f t="shared" si="292"/>
        <v>0</v>
      </c>
      <c r="AQ252" s="1835">
        <f t="shared" si="292"/>
        <v>0</v>
      </c>
      <c r="AR252" s="1835">
        <f t="shared" si="292"/>
        <v>0</v>
      </c>
      <c r="AS252" s="1835">
        <f t="shared" si="292"/>
        <v>0</v>
      </c>
      <c r="AT252" s="1835">
        <f t="shared" si="292"/>
        <v>0</v>
      </c>
      <c r="AU252" s="1835">
        <f t="shared" si="292"/>
        <v>0</v>
      </c>
      <c r="AV252" s="1835">
        <f t="shared" si="292"/>
        <v>0</v>
      </c>
      <c r="AW252" s="1835">
        <f t="shared" si="292"/>
        <v>0</v>
      </c>
      <c r="AX252" s="1835">
        <f t="shared" si="292"/>
        <v>0</v>
      </c>
      <c r="AY252" s="1835">
        <f t="shared" si="292"/>
        <v>0</v>
      </c>
      <c r="AZ252" s="1835">
        <f t="shared" si="292"/>
        <v>0</v>
      </c>
      <c r="BA252" s="1835">
        <f t="shared" si="292"/>
        <v>0</v>
      </c>
      <c r="BB252" s="1835">
        <f t="shared" si="292"/>
        <v>0</v>
      </c>
      <c r="BC252" s="1835">
        <f t="shared" si="292"/>
        <v>0</v>
      </c>
      <c r="BD252" s="1835">
        <f t="shared" si="292"/>
        <v>0</v>
      </c>
      <c r="BE252" s="1835">
        <f t="shared" si="292"/>
        <v>0</v>
      </c>
      <c r="BF252" s="1835">
        <f t="shared" si="292"/>
        <v>0</v>
      </c>
      <c r="BG252" s="1835">
        <f t="shared" si="292"/>
        <v>0</v>
      </c>
      <c r="BH252" s="1835">
        <f t="shared" si="292"/>
        <v>0</v>
      </c>
      <c r="BI252" s="1835">
        <f t="shared" si="292"/>
        <v>0</v>
      </c>
      <c r="BJ252" s="1835">
        <f t="shared" si="292"/>
        <v>0</v>
      </c>
      <c r="BK252" s="1835">
        <f t="shared" si="292"/>
        <v>0</v>
      </c>
      <c r="BL252" s="1835">
        <f t="shared" si="292"/>
        <v>0</v>
      </c>
      <c r="BM252" s="1835">
        <f t="shared" si="292"/>
        <v>0</v>
      </c>
      <c r="BN252" s="1835">
        <f t="shared" si="292"/>
        <v>0</v>
      </c>
      <c r="BO252" s="1835">
        <f t="shared" si="292"/>
        <v>0</v>
      </c>
      <c r="BP252" s="1835">
        <f t="shared" si="292"/>
        <v>0</v>
      </c>
      <c r="BQ252" s="1834">
        <f t="shared" si="285"/>
        <v>0</v>
      </c>
    </row>
    <row r="253" spans="36:139" ht="15">
      <c r="AJ253" s="1524" t="s">
        <v>81</v>
      </c>
      <c r="AK253" s="1527">
        <f t="shared" si="283"/>
        <v>0</v>
      </c>
      <c r="AL253" s="1835">
        <f t="shared" ref="AL253:BP253" si="293">+(AL93+AL109+AL125+AL141+AL157+AL173+AL189)</f>
        <v>0</v>
      </c>
      <c r="AM253" s="1835">
        <f t="shared" si="293"/>
        <v>0</v>
      </c>
      <c r="AN253" s="1835">
        <f t="shared" si="293"/>
        <v>0</v>
      </c>
      <c r="AO253" s="1835">
        <f t="shared" si="293"/>
        <v>0</v>
      </c>
      <c r="AP253" s="1835">
        <f t="shared" si="293"/>
        <v>0</v>
      </c>
      <c r="AQ253" s="1835">
        <f t="shared" si="293"/>
        <v>0</v>
      </c>
      <c r="AR253" s="1835">
        <f t="shared" si="293"/>
        <v>0</v>
      </c>
      <c r="AS253" s="1835">
        <f t="shared" si="293"/>
        <v>0</v>
      </c>
      <c r="AT253" s="1835">
        <f t="shared" si="293"/>
        <v>0</v>
      </c>
      <c r="AU253" s="1835">
        <f t="shared" si="293"/>
        <v>0</v>
      </c>
      <c r="AV253" s="1835">
        <f t="shared" si="293"/>
        <v>0</v>
      </c>
      <c r="AW253" s="1835">
        <f t="shared" si="293"/>
        <v>0</v>
      </c>
      <c r="AX253" s="1835">
        <f t="shared" si="293"/>
        <v>0</v>
      </c>
      <c r="AY253" s="1835">
        <f t="shared" si="293"/>
        <v>0</v>
      </c>
      <c r="AZ253" s="1835">
        <f t="shared" si="293"/>
        <v>0</v>
      </c>
      <c r="BA253" s="1835">
        <f t="shared" si="293"/>
        <v>0</v>
      </c>
      <c r="BB253" s="1835">
        <f t="shared" si="293"/>
        <v>0</v>
      </c>
      <c r="BC253" s="1835">
        <f t="shared" si="293"/>
        <v>0</v>
      </c>
      <c r="BD253" s="1835">
        <f t="shared" si="293"/>
        <v>0</v>
      </c>
      <c r="BE253" s="1835">
        <f t="shared" si="293"/>
        <v>0</v>
      </c>
      <c r="BF253" s="1835">
        <f t="shared" si="293"/>
        <v>0</v>
      </c>
      <c r="BG253" s="1835">
        <f t="shared" si="293"/>
        <v>0</v>
      </c>
      <c r="BH253" s="1835">
        <f t="shared" si="293"/>
        <v>0</v>
      </c>
      <c r="BI253" s="1835">
        <f t="shared" si="293"/>
        <v>0</v>
      </c>
      <c r="BJ253" s="1835">
        <f t="shared" si="293"/>
        <v>0</v>
      </c>
      <c r="BK253" s="1835">
        <f t="shared" si="293"/>
        <v>0</v>
      </c>
      <c r="BL253" s="1835">
        <f t="shared" si="293"/>
        <v>0</v>
      </c>
      <c r="BM253" s="1835">
        <f t="shared" si="293"/>
        <v>0</v>
      </c>
      <c r="BN253" s="1835">
        <f t="shared" si="293"/>
        <v>0</v>
      </c>
      <c r="BO253" s="1835">
        <f t="shared" si="293"/>
        <v>0</v>
      </c>
      <c r="BP253" s="1835">
        <f t="shared" si="293"/>
        <v>0</v>
      </c>
      <c r="BQ253" s="1834">
        <f t="shared" si="285"/>
        <v>0</v>
      </c>
    </row>
    <row r="254" spans="36:139" ht="15">
      <c r="AJ254" s="1524" t="s">
        <v>82</v>
      </c>
      <c r="AK254" s="1527">
        <f t="shared" si="283"/>
        <v>0</v>
      </c>
      <c r="AL254" s="1835">
        <f t="shared" ref="AL254:BP254" si="294">+(AL94+AL110+AL126+AL142+AL158+AL174+AL190)</f>
        <v>0</v>
      </c>
      <c r="AM254" s="1835">
        <f t="shared" si="294"/>
        <v>0</v>
      </c>
      <c r="AN254" s="1835">
        <f t="shared" si="294"/>
        <v>0</v>
      </c>
      <c r="AO254" s="1835">
        <f t="shared" si="294"/>
        <v>0</v>
      </c>
      <c r="AP254" s="1835">
        <f t="shared" si="294"/>
        <v>0</v>
      </c>
      <c r="AQ254" s="1835">
        <f t="shared" si="294"/>
        <v>0</v>
      </c>
      <c r="AR254" s="1835">
        <f t="shared" si="294"/>
        <v>0</v>
      </c>
      <c r="AS254" s="1835">
        <f t="shared" si="294"/>
        <v>0</v>
      </c>
      <c r="AT254" s="1835">
        <f t="shared" si="294"/>
        <v>0</v>
      </c>
      <c r="AU254" s="1835">
        <f t="shared" si="294"/>
        <v>0</v>
      </c>
      <c r="AV254" s="1835">
        <f t="shared" si="294"/>
        <v>0</v>
      </c>
      <c r="AW254" s="1835">
        <f t="shared" si="294"/>
        <v>0</v>
      </c>
      <c r="AX254" s="1835">
        <f t="shared" si="294"/>
        <v>0</v>
      </c>
      <c r="AY254" s="1835">
        <f t="shared" si="294"/>
        <v>0</v>
      </c>
      <c r="AZ254" s="1835">
        <f t="shared" si="294"/>
        <v>0</v>
      </c>
      <c r="BA254" s="1835">
        <f t="shared" si="294"/>
        <v>0</v>
      </c>
      <c r="BB254" s="1835">
        <f t="shared" si="294"/>
        <v>0</v>
      </c>
      <c r="BC254" s="1835">
        <f t="shared" si="294"/>
        <v>0</v>
      </c>
      <c r="BD254" s="1835">
        <f t="shared" si="294"/>
        <v>0</v>
      </c>
      <c r="BE254" s="1835">
        <f t="shared" si="294"/>
        <v>0</v>
      </c>
      <c r="BF254" s="1835">
        <f t="shared" si="294"/>
        <v>0</v>
      </c>
      <c r="BG254" s="1835">
        <f t="shared" si="294"/>
        <v>0</v>
      </c>
      <c r="BH254" s="1835">
        <f t="shared" si="294"/>
        <v>0</v>
      </c>
      <c r="BI254" s="1835">
        <f t="shared" si="294"/>
        <v>0</v>
      </c>
      <c r="BJ254" s="1835">
        <f t="shared" si="294"/>
        <v>0</v>
      </c>
      <c r="BK254" s="1835">
        <f t="shared" si="294"/>
        <v>0</v>
      </c>
      <c r="BL254" s="1835">
        <f t="shared" si="294"/>
        <v>0</v>
      </c>
      <c r="BM254" s="1835">
        <f t="shared" si="294"/>
        <v>0</v>
      </c>
      <c r="BN254" s="1835">
        <f t="shared" si="294"/>
        <v>0</v>
      </c>
      <c r="BO254" s="1835">
        <f t="shared" si="294"/>
        <v>0</v>
      </c>
      <c r="BP254" s="1835">
        <f t="shared" si="294"/>
        <v>0</v>
      </c>
      <c r="BQ254" s="1834">
        <f t="shared" si="285"/>
        <v>0</v>
      </c>
    </row>
    <row r="255" spans="36:139" ht="15">
      <c r="AJ255" s="1524" t="s">
        <v>83</v>
      </c>
      <c r="AK255" s="1527">
        <f t="shared" si="283"/>
        <v>0</v>
      </c>
      <c r="AL255" s="1835">
        <f t="shared" ref="AL255:BP255" si="295">+(AL95+AL111+AL127+AL143+AL159+AL175+AL191)</f>
        <v>0</v>
      </c>
      <c r="AM255" s="1835">
        <f t="shared" si="295"/>
        <v>0</v>
      </c>
      <c r="AN255" s="1835">
        <f t="shared" si="295"/>
        <v>0</v>
      </c>
      <c r="AO255" s="1835">
        <f t="shared" si="295"/>
        <v>0</v>
      </c>
      <c r="AP255" s="1835">
        <f t="shared" si="295"/>
        <v>0</v>
      </c>
      <c r="AQ255" s="1835">
        <f t="shared" si="295"/>
        <v>0</v>
      </c>
      <c r="AR255" s="1835">
        <f t="shared" si="295"/>
        <v>0</v>
      </c>
      <c r="AS255" s="1835">
        <f t="shared" si="295"/>
        <v>0</v>
      </c>
      <c r="AT255" s="1835">
        <f t="shared" si="295"/>
        <v>0</v>
      </c>
      <c r="AU255" s="1835">
        <f t="shared" si="295"/>
        <v>0</v>
      </c>
      <c r="AV255" s="1835">
        <f t="shared" si="295"/>
        <v>0</v>
      </c>
      <c r="AW255" s="1835">
        <f t="shared" si="295"/>
        <v>0</v>
      </c>
      <c r="AX255" s="1835">
        <f t="shared" si="295"/>
        <v>0</v>
      </c>
      <c r="AY255" s="1835">
        <f t="shared" si="295"/>
        <v>0</v>
      </c>
      <c r="AZ255" s="1835">
        <f t="shared" si="295"/>
        <v>0</v>
      </c>
      <c r="BA255" s="1835">
        <f t="shared" si="295"/>
        <v>0</v>
      </c>
      <c r="BB255" s="1835">
        <f t="shared" si="295"/>
        <v>0</v>
      </c>
      <c r="BC255" s="1835">
        <f t="shared" si="295"/>
        <v>0</v>
      </c>
      <c r="BD255" s="1835">
        <f t="shared" si="295"/>
        <v>0</v>
      </c>
      <c r="BE255" s="1835">
        <f t="shared" si="295"/>
        <v>0</v>
      </c>
      <c r="BF255" s="1835">
        <f t="shared" si="295"/>
        <v>0</v>
      </c>
      <c r="BG255" s="1835">
        <f t="shared" si="295"/>
        <v>0</v>
      </c>
      <c r="BH255" s="1835">
        <f t="shared" si="295"/>
        <v>0</v>
      </c>
      <c r="BI255" s="1835">
        <f t="shared" si="295"/>
        <v>0</v>
      </c>
      <c r="BJ255" s="1835">
        <f t="shared" si="295"/>
        <v>0</v>
      </c>
      <c r="BK255" s="1835">
        <f t="shared" si="295"/>
        <v>0</v>
      </c>
      <c r="BL255" s="1835">
        <f t="shared" si="295"/>
        <v>0</v>
      </c>
      <c r="BM255" s="1835">
        <f t="shared" si="295"/>
        <v>0</v>
      </c>
      <c r="BN255" s="1835">
        <f t="shared" si="295"/>
        <v>0</v>
      </c>
      <c r="BO255" s="1835">
        <f t="shared" si="295"/>
        <v>0</v>
      </c>
      <c r="BP255" s="1835">
        <f t="shared" si="295"/>
        <v>0</v>
      </c>
      <c r="BQ255" s="1834">
        <f t="shared" si="285"/>
        <v>0</v>
      </c>
    </row>
    <row r="256" spans="36:139" ht="15">
      <c r="AJ256" s="1524" t="s">
        <v>84</v>
      </c>
      <c r="AK256" s="1527">
        <f t="shared" si="283"/>
        <v>0</v>
      </c>
      <c r="AL256" s="1835">
        <f t="shared" ref="AL256:BP256" si="296">+(AL96+AL112+AL128+AL144+AL160+AL176+AL192)</f>
        <v>0</v>
      </c>
      <c r="AM256" s="1835">
        <f t="shared" si="296"/>
        <v>0</v>
      </c>
      <c r="AN256" s="1835">
        <f t="shared" si="296"/>
        <v>0</v>
      </c>
      <c r="AO256" s="1835">
        <f t="shared" si="296"/>
        <v>0</v>
      </c>
      <c r="AP256" s="1835">
        <f t="shared" si="296"/>
        <v>0</v>
      </c>
      <c r="AQ256" s="1835">
        <f t="shared" si="296"/>
        <v>0</v>
      </c>
      <c r="AR256" s="1835">
        <f t="shared" si="296"/>
        <v>0</v>
      </c>
      <c r="AS256" s="1835">
        <f t="shared" si="296"/>
        <v>0</v>
      </c>
      <c r="AT256" s="1835">
        <f t="shared" si="296"/>
        <v>0</v>
      </c>
      <c r="AU256" s="1835">
        <f t="shared" si="296"/>
        <v>0</v>
      </c>
      <c r="AV256" s="1835">
        <f t="shared" si="296"/>
        <v>0</v>
      </c>
      <c r="AW256" s="1835">
        <f t="shared" si="296"/>
        <v>0</v>
      </c>
      <c r="AX256" s="1835">
        <f t="shared" si="296"/>
        <v>0</v>
      </c>
      <c r="AY256" s="1835">
        <f t="shared" si="296"/>
        <v>0</v>
      </c>
      <c r="AZ256" s="1835">
        <f t="shared" si="296"/>
        <v>0</v>
      </c>
      <c r="BA256" s="1835">
        <f t="shared" si="296"/>
        <v>0</v>
      </c>
      <c r="BB256" s="1835">
        <f t="shared" si="296"/>
        <v>0</v>
      </c>
      <c r="BC256" s="1835">
        <f t="shared" si="296"/>
        <v>0</v>
      </c>
      <c r="BD256" s="1835">
        <f t="shared" si="296"/>
        <v>0</v>
      </c>
      <c r="BE256" s="1835">
        <f t="shared" si="296"/>
        <v>0</v>
      </c>
      <c r="BF256" s="1835">
        <f t="shared" si="296"/>
        <v>0</v>
      </c>
      <c r="BG256" s="1835">
        <f t="shared" si="296"/>
        <v>0</v>
      </c>
      <c r="BH256" s="1835">
        <f t="shared" si="296"/>
        <v>0</v>
      </c>
      <c r="BI256" s="1835">
        <f t="shared" si="296"/>
        <v>0</v>
      </c>
      <c r="BJ256" s="1835">
        <f t="shared" si="296"/>
        <v>0</v>
      </c>
      <c r="BK256" s="1835">
        <f t="shared" si="296"/>
        <v>0</v>
      </c>
      <c r="BL256" s="1835">
        <f t="shared" si="296"/>
        <v>0</v>
      </c>
      <c r="BM256" s="1835">
        <f t="shared" si="296"/>
        <v>0</v>
      </c>
      <c r="BN256" s="1835">
        <f t="shared" si="296"/>
        <v>0</v>
      </c>
      <c r="BO256" s="1835">
        <f t="shared" si="296"/>
        <v>0</v>
      </c>
      <c r="BP256" s="1835">
        <f t="shared" si="296"/>
        <v>0</v>
      </c>
      <c r="BQ256" s="1834">
        <f t="shared" si="285"/>
        <v>0</v>
      </c>
    </row>
    <row r="257" spans="36:69" ht="15">
      <c r="AJ257" s="1837" t="s">
        <v>72</v>
      </c>
      <c r="AK257" s="1836">
        <f t="shared" ref="AK257:BQ257" si="297">SUM(AK245:AK256)</f>
        <v>7.4340000000000002</v>
      </c>
      <c r="AL257" s="1835">
        <f t="shared" si="297"/>
        <v>2.1219999999999999</v>
      </c>
      <c r="AM257" s="1835">
        <f t="shared" si="297"/>
        <v>0</v>
      </c>
      <c r="AN257" s="1835">
        <f t="shared" si="297"/>
        <v>0</v>
      </c>
      <c r="AO257" s="1835">
        <f t="shared" si="297"/>
        <v>0</v>
      </c>
      <c r="AP257" s="1835">
        <f t="shared" si="297"/>
        <v>0</v>
      </c>
      <c r="AQ257" s="1835">
        <f t="shared" si="297"/>
        <v>0</v>
      </c>
      <c r="AR257" s="1835">
        <f t="shared" si="297"/>
        <v>0</v>
      </c>
      <c r="AS257" s="1835">
        <f t="shared" si="297"/>
        <v>0</v>
      </c>
      <c r="AT257" s="1835">
        <f t="shared" si="297"/>
        <v>0</v>
      </c>
      <c r="AU257" s="1835">
        <f t="shared" si="297"/>
        <v>0</v>
      </c>
      <c r="AV257" s="1835">
        <f t="shared" si="297"/>
        <v>0</v>
      </c>
      <c r="AW257" s="1835">
        <f t="shared" si="297"/>
        <v>0</v>
      </c>
      <c r="AX257" s="1835">
        <f t="shared" si="297"/>
        <v>0</v>
      </c>
      <c r="AY257" s="1835">
        <f t="shared" si="297"/>
        <v>0</v>
      </c>
      <c r="AZ257" s="1835">
        <f t="shared" si="297"/>
        <v>0</v>
      </c>
      <c r="BA257" s="1835">
        <f t="shared" si="297"/>
        <v>0</v>
      </c>
      <c r="BB257" s="1835">
        <f t="shared" si="297"/>
        <v>0</v>
      </c>
      <c r="BC257" s="1835">
        <f t="shared" si="297"/>
        <v>0</v>
      </c>
      <c r="BD257" s="1835">
        <f t="shared" si="297"/>
        <v>0</v>
      </c>
      <c r="BE257" s="1835">
        <f t="shared" si="297"/>
        <v>0</v>
      </c>
      <c r="BF257" s="1835">
        <f t="shared" si="297"/>
        <v>0</v>
      </c>
      <c r="BG257" s="1835">
        <f t="shared" si="297"/>
        <v>0</v>
      </c>
      <c r="BH257" s="1835">
        <f t="shared" si="297"/>
        <v>0</v>
      </c>
      <c r="BI257" s="1835">
        <f t="shared" si="297"/>
        <v>9.8000000000000004E-2</v>
      </c>
      <c r="BJ257" s="1835">
        <f t="shared" si="297"/>
        <v>0</v>
      </c>
      <c r="BK257" s="1835">
        <f t="shared" si="297"/>
        <v>0</v>
      </c>
      <c r="BL257" s="1835">
        <f t="shared" si="297"/>
        <v>0</v>
      </c>
      <c r="BM257" s="1835">
        <f t="shared" si="297"/>
        <v>4.7320000000000002</v>
      </c>
      <c r="BN257" s="1835">
        <f t="shared" si="297"/>
        <v>0</v>
      </c>
      <c r="BO257" s="1835">
        <f t="shared" si="297"/>
        <v>0.48199999999999998</v>
      </c>
      <c r="BP257" s="1835">
        <f t="shared" si="297"/>
        <v>0</v>
      </c>
      <c r="BQ257" s="1834">
        <f t="shared" si="297"/>
        <v>7.4340000000000002</v>
      </c>
    </row>
  </sheetData>
  <mergeCells count="64">
    <mergeCell ref="A3:C3"/>
    <mergeCell ref="A19:C19"/>
    <mergeCell ref="A1:T1"/>
    <mergeCell ref="A35:C35"/>
    <mergeCell ref="AJ115:AL115"/>
    <mergeCell ref="A147:C147"/>
    <mergeCell ref="AJ1:BC1"/>
    <mergeCell ref="AJ3:AL3"/>
    <mergeCell ref="AJ19:AL19"/>
    <mergeCell ref="AJ35:AL35"/>
    <mergeCell ref="AJ51:AL51"/>
    <mergeCell ref="AJ67:AL67"/>
    <mergeCell ref="AJ83:AL83"/>
    <mergeCell ref="AJ99:AL99"/>
    <mergeCell ref="AJ131:AL131"/>
    <mergeCell ref="A99:C99"/>
    <mergeCell ref="A115:C115"/>
    <mergeCell ref="A131:C131"/>
    <mergeCell ref="A51:C51"/>
    <mergeCell ref="A67:C67"/>
    <mergeCell ref="A83:C83"/>
    <mergeCell ref="DB1:DU1"/>
    <mergeCell ref="DB3:DD3"/>
    <mergeCell ref="DB19:DD19"/>
    <mergeCell ref="DB131:DD131"/>
    <mergeCell ref="BS1:CL1"/>
    <mergeCell ref="BS3:BU3"/>
    <mergeCell ref="BS19:BU19"/>
    <mergeCell ref="BS131:BU131"/>
    <mergeCell ref="BS35:BU35"/>
    <mergeCell ref="BS51:BU51"/>
    <mergeCell ref="BS67:BU67"/>
    <mergeCell ref="BS83:BU83"/>
    <mergeCell ref="BS99:BU99"/>
    <mergeCell ref="BS115:BU115"/>
    <mergeCell ref="EK1:FD1"/>
    <mergeCell ref="A195:C195"/>
    <mergeCell ref="AJ195:AL195"/>
    <mergeCell ref="BS195:BU195"/>
    <mergeCell ref="DB195:DD195"/>
    <mergeCell ref="A163:C163"/>
    <mergeCell ref="AJ163:AL163"/>
    <mergeCell ref="BS163:BU163"/>
    <mergeCell ref="DB163:DD163"/>
    <mergeCell ref="A179:C179"/>
    <mergeCell ref="DB35:DD35"/>
    <mergeCell ref="DB51:DD51"/>
    <mergeCell ref="DB67:DD67"/>
    <mergeCell ref="DB83:DD83"/>
    <mergeCell ref="DB99:DD99"/>
    <mergeCell ref="DB115:DD115"/>
    <mergeCell ref="AJ227:AL227"/>
    <mergeCell ref="AJ243:AL243"/>
    <mergeCell ref="DB211:DD211"/>
    <mergeCell ref="DB227:DD227"/>
    <mergeCell ref="EK3:EM3"/>
    <mergeCell ref="EK19:EM19"/>
    <mergeCell ref="AJ211:AL211"/>
    <mergeCell ref="DB147:DD147"/>
    <mergeCell ref="BS147:BU147"/>
    <mergeCell ref="AJ147:AL147"/>
    <mergeCell ref="AJ179:AL179"/>
    <mergeCell ref="BS179:BU179"/>
    <mergeCell ref="DB179:DD179"/>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dimension ref="A1:P215"/>
  <sheetViews>
    <sheetView topLeftCell="A157" workbookViewId="0">
      <selection activeCell="C1" sqref="C1"/>
    </sheetView>
  </sheetViews>
  <sheetFormatPr baseColWidth="10" defaultRowHeight="14.4"/>
  <cols>
    <col min="1" max="1" width="11.44140625" style="2058"/>
    <col min="2" max="2" width="18.88671875" style="2059" bestFit="1" customWidth="1"/>
    <col min="3" max="4" width="11.44140625" style="2058"/>
    <col min="5" max="6" width="11.44140625" style="2142"/>
    <col min="7" max="8" width="12.88671875" style="2142" bestFit="1" customWidth="1"/>
    <col min="9" max="9" width="13.109375" style="2125" customWidth="1"/>
    <col min="10" max="10" width="15.33203125" style="2059" customWidth="1"/>
    <col min="11" max="254" width="11.44140625" style="2059"/>
    <col min="255" max="255" width="20.5546875" style="2059" customWidth="1"/>
    <col min="256" max="260" width="11.44140625" style="2059"/>
    <col min="261" max="261" width="1.88671875" style="2059" customWidth="1"/>
    <col min="262" max="510" width="11.44140625" style="2059"/>
    <col min="511" max="511" width="20.5546875" style="2059" customWidth="1"/>
    <col min="512" max="516" width="11.44140625" style="2059"/>
    <col min="517" max="517" width="1.88671875" style="2059" customWidth="1"/>
    <col min="518" max="766" width="11.44140625" style="2059"/>
    <col min="767" max="767" width="20.5546875" style="2059" customWidth="1"/>
    <col min="768" max="772" width="11.44140625" style="2059"/>
    <col min="773" max="773" width="1.88671875" style="2059" customWidth="1"/>
    <col min="774" max="1022" width="11.44140625" style="2059"/>
    <col min="1023" max="1023" width="20.5546875" style="2059" customWidth="1"/>
    <col min="1024" max="1028" width="11.44140625" style="2059"/>
    <col min="1029" max="1029" width="1.88671875" style="2059" customWidth="1"/>
    <col min="1030" max="1278" width="11.44140625" style="2059"/>
    <col min="1279" max="1279" width="20.5546875" style="2059" customWidth="1"/>
    <col min="1280" max="1284" width="11.44140625" style="2059"/>
    <col min="1285" max="1285" width="1.88671875" style="2059" customWidth="1"/>
    <col min="1286" max="1534" width="11.44140625" style="2059"/>
    <col min="1535" max="1535" width="20.5546875" style="2059" customWidth="1"/>
    <col min="1536" max="1540" width="11.44140625" style="2059"/>
    <col min="1541" max="1541" width="1.88671875" style="2059" customWidth="1"/>
    <col min="1542" max="1790" width="11.44140625" style="2059"/>
    <col min="1791" max="1791" width="20.5546875" style="2059" customWidth="1"/>
    <col min="1792" max="1796" width="11.44140625" style="2059"/>
    <col min="1797" max="1797" width="1.88671875" style="2059" customWidth="1"/>
    <col min="1798" max="2046" width="11.44140625" style="2059"/>
    <col min="2047" max="2047" width="20.5546875" style="2059" customWidth="1"/>
    <col min="2048" max="2052" width="11.44140625" style="2059"/>
    <col min="2053" max="2053" width="1.88671875" style="2059" customWidth="1"/>
    <col min="2054" max="2302" width="11.44140625" style="2059"/>
    <col min="2303" max="2303" width="20.5546875" style="2059" customWidth="1"/>
    <col min="2304" max="2308" width="11.44140625" style="2059"/>
    <col min="2309" max="2309" width="1.88671875" style="2059" customWidth="1"/>
    <col min="2310" max="2558" width="11.44140625" style="2059"/>
    <col min="2559" max="2559" width="20.5546875" style="2059" customWidth="1"/>
    <col min="2560" max="2564" width="11.44140625" style="2059"/>
    <col min="2565" max="2565" width="1.88671875" style="2059" customWidth="1"/>
    <col min="2566" max="2814" width="11.44140625" style="2059"/>
    <col min="2815" max="2815" width="20.5546875" style="2059" customWidth="1"/>
    <col min="2816" max="2820" width="11.44140625" style="2059"/>
    <col min="2821" max="2821" width="1.88671875" style="2059" customWidth="1"/>
    <col min="2822" max="3070" width="11.44140625" style="2059"/>
    <col min="3071" max="3071" width="20.5546875" style="2059" customWidth="1"/>
    <col min="3072" max="3076" width="11.44140625" style="2059"/>
    <col min="3077" max="3077" width="1.88671875" style="2059" customWidth="1"/>
    <col min="3078" max="3326" width="11.44140625" style="2059"/>
    <col min="3327" max="3327" width="20.5546875" style="2059" customWidth="1"/>
    <col min="3328" max="3332" width="11.44140625" style="2059"/>
    <col min="3333" max="3333" width="1.88671875" style="2059" customWidth="1"/>
    <col min="3334" max="3582" width="11.44140625" style="2059"/>
    <col min="3583" max="3583" width="20.5546875" style="2059" customWidth="1"/>
    <col min="3584" max="3588" width="11.44140625" style="2059"/>
    <col min="3589" max="3589" width="1.88671875" style="2059" customWidth="1"/>
    <col min="3590" max="3838" width="11.44140625" style="2059"/>
    <col min="3839" max="3839" width="20.5546875" style="2059" customWidth="1"/>
    <col min="3840" max="3844" width="11.44140625" style="2059"/>
    <col min="3845" max="3845" width="1.88671875" style="2059" customWidth="1"/>
    <col min="3846" max="4094" width="11.44140625" style="2059"/>
    <col min="4095" max="4095" width="20.5546875" style="2059" customWidth="1"/>
    <col min="4096" max="4100" width="11.44140625" style="2059"/>
    <col min="4101" max="4101" width="1.88671875" style="2059" customWidth="1"/>
    <col min="4102" max="4350" width="11.44140625" style="2059"/>
    <col min="4351" max="4351" width="20.5546875" style="2059" customWidth="1"/>
    <col min="4352" max="4356" width="11.44140625" style="2059"/>
    <col min="4357" max="4357" width="1.88671875" style="2059" customWidth="1"/>
    <col min="4358" max="4606" width="11.44140625" style="2059"/>
    <col min="4607" max="4607" width="20.5546875" style="2059" customWidth="1"/>
    <col min="4608" max="4612" width="11.44140625" style="2059"/>
    <col min="4613" max="4613" width="1.88671875" style="2059" customWidth="1"/>
    <col min="4614" max="4862" width="11.44140625" style="2059"/>
    <col min="4863" max="4863" width="20.5546875" style="2059" customWidth="1"/>
    <col min="4864" max="4868" width="11.44140625" style="2059"/>
    <col min="4869" max="4869" width="1.88671875" style="2059" customWidth="1"/>
    <col min="4870" max="5118" width="11.44140625" style="2059"/>
    <col min="5119" max="5119" width="20.5546875" style="2059" customWidth="1"/>
    <col min="5120" max="5124" width="11.44140625" style="2059"/>
    <col min="5125" max="5125" width="1.88671875" style="2059" customWidth="1"/>
    <col min="5126" max="5374" width="11.44140625" style="2059"/>
    <col min="5375" max="5375" width="20.5546875" style="2059" customWidth="1"/>
    <col min="5376" max="5380" width="11.44140625" style="2059"/>
    <col min="5381" max="5381" width="1.88671875" style="2059" customWidth="1"/>
    <col min="5382" max="5630" width="11.44140625" style="2059"/>
    <col min="5631" max="5631" width="20.5546875" style="2059" customWidth="1"/>
    <col min="5632" max="5636" width="11.44140625" style="2059"/>
    <col min="5637" max="5637" width="1.88671875" style="2059" customWidth="1"/>
    <col min="5638" max="5886" width="11.44140625" style="2059"/>
    <col min="5887" max="5887" width="20.5546875" style="2059" customWidth="1"/>
    <col min="5888" max="5892" width="11.44140625" style="2059"/>
    <col min="5893" max="5893" width="1.88671875" style="2059" customWidth="1"/>
    <col min="5894" max="6142" width="11.44140625" style="2059"/>
    <col min="6143" max="6143" width="20.5546875" style="2059" customWidth="1"/>
    <col min="6144" max="6148" width="11.44140625" style="2059"/>
    <col min="6149" max="6149" width="1.88671875" style="2059" customWidth="1"/>
    <col min="6150" max="6398" width="11.44140625" style="2059"/>
    <col min="6399" max="6399" width="20.5546875" style="2059" customWidth="1"/>
    <col min="6400" max="6404" width="11.44140625" style="2059"/>
    <col min="6405" max="6405" width="1.88671875" style="2059" customWidth="1"/>
    <col min="6406" max="6654" width="11.44140625" style="2059"/>
    <col min="6655" max="6655" width="20.5546875" style="2059" customWidth="1"/>
    <col min="6656" max="6660" width="11.44140625" style="2059"/>
    <col min="6661" max="6661" width="1.88671875" style="2059" customWidth="1"/>
    <col min="6662" max="6910" width="11.44140625" style="2059"/>
    <col min="6911" max="6911" width="20.5546875" style="2059" customWidth="1"/>
    <col min="6912" max="6916" width="11.44140625" style="2059"/>
    <col min="6917" max="6917" width="1.88671875" style="2059" customWidth="1"/>
    <col min="6918" max="7166" width="11.44140625" style="2059"/>
    <col min="7167" max="7167" width="20.5546875" style="2059" customWidth="1"/>
    <col min="7168" max="7172" width="11.44140625" style="2059"/>
    <col min="7173" max="7173" width="1.88671875" style="2059" customWidth="1"/>
    <col min="7174" max="7422" width="11.44140625" style="2059"/>
    <col min="7423" max="7423" width="20.5546875" style="2059" customWidth="1"/>
    <col min="7424" max="7428" width="11.44140625" style="2059"/>
    <col min="7429" max="7429" width="1.88671875" style="2059" customWidth="1"/>
    <col min="7430" max="7678" width="11.44140625" style="2059"/>
    <col min="7679" max="7679" width="20.5546875" style="2059" customWidth="1"/>
    <col min="7680" max="7684" width="11.44140625" style="2059"/>
    <col min="7685" max="7685" width="1.88671875" style="2059" customWidth="1"/>
    <col min="7686" max="7934" width="11.44140625" style="2059"/>
    <col min="7935" max="7935" width="20.5546875" style="2059" customWidth="1"/>
    <col min="7936" max="7940" width="11.44140625" style="2059"/>
    <col min="7941" max="7941" width="1.88671875" style="2059" customWidth="1"/>
    <col min="7942" max="8190" width="11.44140625" style="2059"/>
    <col min="8191" max="8191" width="20.5546875" style="2059" customWidth="1"/>
    <col min="8192" max="8196" width="11.44140625" style="2059"/>
    <col min="8197" max="8197" width="1.88671875" style="2059" customWidth="1"/>
    <col min="8198" max="8446" width="11.44140625" style="2059"/>
    <col min="8447" max="8447" width="20.5546875" style="2059" customWidth="1"/>
    <col min="8448" max="8452" width="11.44140625" style="2059"/>
    <col min="8453" max="8453" width="1.88671875" style="2059" customWidth="1"/>
    <col min="8454" max="8702" width="11.44140625" style="2059"/>
    <col min="8703" max="8703" width="20.5546875" style="2059" customWidth="1"/>
    <col min="8704" max="8708" width="11.44140625" style="2059"/>
    <col min="8709" max="8709" width="1.88671875" style="2059" customWidth="1"/>
    <col min="8710" max="8958" width="11.44140625" style="2059"/>
    <col min="8959" max="8959" width="20.5546875" style="2059" customWidth="1"/>
    <col min="8960" max="8964" width="11.44140625" style="2059"/>
    <col min="8965" max="8965" width="1.88671875" style="2059" customWidth="1"/>
    <col min="8966" max="9214" width="11.44140625" style="2059"/>
    <col min="9215" max="9215" width="20.5546875" style="2059" customWidth="1"/>
    <col min="9216" max="9220" width="11.44140625" style="2059"/>
    <col min="9221" max="9221" width="1.88671875" style="2059" customWidth="1"/>
    <col min="9222" max="9470" width="11.44140625" style="2059"/>
    <col min="9471" max="9471" width="20.5546875" style="2059" customWidth="1"/>
    <col min="9472" max="9476" width="11.44140625" style="2059"/>
    <col min="9477" max="9477" width="1.88671875" style="2059" customWidth="1"/>
    <col min="9478" max="9726" width="11.44140625" style="2059"/>
    <col min="9727" max="9727" width="20.5546875" style="2059" customWidth="1"/>
    <col min="9728" max="9732" width="11.44140625" style="2059"/>
    <col min="9733" max="9733" width="1.88671875" style="2059" customWidth="1"/>
    <col min="9734" max="9982" width="11.44140625" style="2059"/>
    <col min="9983" max="9983" width="20.5546875" style="2059" customWidth="1"/>
    <col min="9984" max="9988" width="11.44140625" style="2059"/>
    <col min="9989" max="9989" width="1.88671875" style="2059" customWidth="1"/>
    <col min="9990" max="10238" width="11.44140625" style="2059"/>
    <col min="10239" max="10239" width="20.5546875" style="2059" customWidth="1"/>
    <col min="10240" max="10244" width="11.44140625" style="2059"/>
    <col min="10245" max="10245" width="1.88671875" style="2059" customWidth="1"/>
    <col min="10246" max="10494" width="11.44140625" style="2059"/>
    <col min="10495" max="10495" width="20.5546875" style="2059" customWidth="1"/>
    <col min="10496" max="10500" width="11.44140625" style="2059"/>
    <col min="10501" max="10501" width="1.88671875" style="2059" customWidth="1"/>
    <col min="10502" max="10750" width="11.44140625" style="2059"/>
    <col min="10751" max="10751" width="20.5546875" style="2059" customWidth="1"/>
    <col min="10752" max="10756" width="11.44140625" style="2059"/>
    <col min="10757" max="10757" width="1.88671875" style="2059" customWidth="1"/>
    <col min="10758" max="11006" width="11.44140625" style="2059"/>
    <col min="11007" max="11007" width="20.5546875" style="2059" customWidth="1"/>
    <col min="11008" max="11012" width="11.44140625" style="2059"/>
    <col min="11013" max="11013" width="1.88671875" style="2059" customWidth="1"/>
    <col min="11014" max="11262" width="11.44140625" style="2059"/>
    <col min="11263" max="11263" width="20.5546875" style="2059" customWidth="1"/>
    <col min="11264" max="11268" width="11.44140625" style="2059"/>
    <col min="11269" max="11269" width="1.88671875" style="2059" customWidth="1"/>
    <col min="11270" max="11518" width="11.44140625" style="2059"/>
    <col min="11519" max="11519" width="20.5546875" style="2059" customWidth="1"/>
    <col min="11520" max="11524" width="11.44140625" style="2059"/>
    <col min="11525" max="11525" width="1.88671875" style="2059" customWidth="1"/>
    <col min="11526" max="11774" width="11.44140625" style="2059"/>
    <col min="11775" max="11775" width="20.5546875" style="2059" customWidth="1"/>
    <col min="11776" max="11780" width="11.44140625" style="2059"/>
    <col min="11781" max="11781" width="1.88671875" style="2059" customWidth="1"/>
    <col min="11782" max="12030" width="11.44140625" style="2059"/>
    <col min="12031" max="12031" width="20.5546875" style="2059" customWidth="1"/>
    <col min="12032" max="12036" width="11.44140625" style="2059"/>
    <col min="12037" max="12037" width="1.88671875" style="2059" customWidth="1"/>
    <col min="12038" max="12286" width="11.44140625" style="2059"/>
    <col min="12287" max="12287" width="20.5546875" style="2059" customWidth="1"/>
    <col min="12288" max="12292" width="11.44140625" style="2059"/>
    <col min="12293" max="12293" width="1.88671875" style="2059" customWidth="1"/>
    <col min="12294" max="12542" width="11.44140625" style="2059"/>
    <col min="12543" max="12543" width="20.5546875" style="2059" customWidth="1"/>
    <col min="12544" max="12548" width="11.44140625" style="2059"/>
    <col min="12549" max="12549" width="1.88671875" style="2059" customWidth="1"/>
    <col min="12550" max="12798" width="11.44140625" style="2059"/>
    <col min="12799" max="12799" width="20.5546875" style="2059" customWidth="1"/>
    <col min="12800" max="12804" width="11.44140625" style="2059"/>
    <col min="12805" max="12805" width="1.88671875" style="2059" customWidth="1"/>
    <col min="12806" max="13054" width="11.44140625" style="2059"/>
    <col min="13055" max="13055" width="20.5546875" style="2059" customWidth="1"/>
    <col min="13056" max="13060" width="11.44140625" style="2059"/>
    <col min="13061" max="13061" width="1.88671875" style="2059" customWidth="1"/>
    <col min="13062" max="13310" width="11.44140625" style="2059"/>
    <col min="13311" max="13311" width="20.5546875" style="2059" customWidth="1"/>
    <col min="13312" max="13316" width="11.44140625" style="2059"/>
    <col min="13317" max="13317" width="1.88671875" style="2059" customWidth="1"/>
    <col min="13318" max="13566" width="11.44140625" style="2059"/>
    <col min="13567" max="13567" width="20.5546875" style="2059" customWidth="1"/>
    <col min="13568" max="13572" width="11.44140625" style="2059"/>
    <col min="13573" max="13573" width="1.88671875" style="2059" customWidth="1"/>
    <col min="13574" max="13822" width="11.44140625" style="2059"/>
    <col min="13823" max="13823" width="20.5546875" style="2059" customWidth="1"/>
    <col min="13824" max="13828" width="11.44140625" style="2059"/>
    <col min="13829" max="13829" width="1.88671875" style="2059" customWidth="1"/>
    <col min="13830" max="14078" width="11.44140625" style="2059"/>
    <col min="14079" max="14079" width="20.5546875" style="2059" customWidth="1"/>
    <col min="14080" max="14084" width="11.44140625" style="2059"/>
    <col min="14085" max="14085" width="1.88671875" style="2059" customWidth="1"/>
    <col min="14086" max="14334" width="11.44140625" style="2059"/>
    <col min="14335" max="14335" width="20.5546875" style="2059" customWidth="1"/>
    <col min="14336" max="14340" width="11.44140625" style="2059"/>
    <col min="14341" max="14341" width="1.88671875" style="2059" customWidth="1"/>
    <col min="14342" max="14590" width="11.44140625" style="2059"/>
    <col min="14591" max="14591" width="20.5546875" style="2059" customWidth="1"/>
    <col min="14592" max="14596" width="11.44140625" style="2059"/>
    <col min="14597" max="14597" width="1.88671875" style="2059" customWidth="1"/>
    <col min="14598" max="14846" width="11.44140625" style="2059"/>
    <col min="14847" max="14847" width="20.5546875" style="2059" customWidth="1"/>
    <col min="14848" max="14852" width="11.44140625" style="2059"/>
    <col min="14853" max="14853" width="1.88671875" style="2059" customWidth="1"/>
    <col min="14854" max="15102" width="11.44140625" style="2059"/>
    <col min="15103" max="15103" width="20.5546875" style="2059" customWidth="1"/>
    <col min="15104" max="15108" width="11.44140625" style="2059"/>
    <col min="15109" max="15109" width="1.88671875" style="2059" customWidth="1"/>
    <col min="15110" max="15358" width="11.44140625" style="2059"/>
    <col min="15359" max="15359" width="20.5546875" style="2059" customWidth="1"/>
    <col min="15360" max="15364" width="11.44140625" style="2059"/>
    <col min="15365" max="15365" width="1.88671875" style="2059" customWidth="1"/>
    <col min="15366" max="15614" width="11.44140625" style="2059"/>
    <col min="15615" max="15615" width="20.5546875" style="2059" customWidth="1"/>
    <col min="15616" max="15620" width="11.44140625" style="2059"/>
    <col min="15621" max="15621" width="1.88671875" style="2059" customWidth="1"/>
    <col min="15622" max="15870" width="11.44140625" style="2059"/>
    <col min="15871" max="15871" width="20.5546875" style="2059" customWidth="1"/>
    <col min="15872" max="15876" width="11.44140625" style="2059"/>
    <col min="15877" max="15877" width="1.88671875" style="2059" customWidth="1"/>
    <col min="15878" max="16126" width="11.44140625" style="2059"/>
    <col min="16127" max="16127" width="20.5546875" style="2059" customWidth="1"/>
    <col min="16128" max="16132" width="11.44140625" style="2059"/>
    <col min="16133" max="16133" width="1.88671875" style="2059" customWidth="1"/>
    <col min="16134" max="16384" width="11.44140625" style="2059"/>
  </cols>
  <sheetData>
    <row r="1" spans="1:12">
      <c r="K1" s="3350">
        <f>+J4+J5</f>
        <v>29072.986000000012</v>
      </c>
      <c r="L1" s="3351" t="s">
        <v>1418</v>
      </c>
    </row>
    <row r="2" spans="1:12">
      <c r="E2" s="2059"/>
      <c r="F2" s="2431" t="s">
        <v>680</v>
      </c>
      <c r="G2" s="2432"/>
      <c r="I2" s="2432"/>
      <c r="J2" s="2433"/>
    </row>
    <row r="3" spans="1:12">
      <c r="E3" s="2059"/>
      <c r="F3" s="2139" t="s">
        <v>8</v>
      </c>
      <c r="G3" s="2142" t="s">
        <v>941</v>
      </c>
      <c r="I3" s="2139" t="s">
        <v>681</v>
      </c>
      <c r="J3" s="2139" t="s">
        <v>50</v>
      </c>
      <c r="K3" s="2461" t="s">
        <v>328</v>
      </c>
    </row>
    <row r="4" spans="1:12">
      <c r="A4" s="2060" t="s">
        <v>682</v>
      </c>
      <c r="E4" s="2061" t="s">
        <v>152</v>
      </c>
      <c r="F4" s="2140">
        <v>640.09199999999998</v>
      </c>
      <c r="G4" s="2142">
        <v>344.67099999999999</v>
      </c>
      <c r="I4" s="2140">
        <v>13405</v>
      </c>
      <c r="J4" s="2140">
        <f>+I4+F4+G4</f>
        <v>14389.763000000001</v>
      </c>
    </row>
    <row r="5" spans="1:12">
      <c r="A5" s="2060" t="s">
        <v>683</v>
      </c>
      <c r="E5" s="2062" t="s">
        <v>153</v>
      </c>
      <c r="F5" s="2141">
        <f>SUM(F11:F569)</f>
        <v>581.14299999999969</v>
      </c>
      <c r="G5" s="2141">
        <f t="shared" ref="G5" si="0">SUM(G11:G569)</f>
        <v>232.02200000000008</v>
      </c>
      <c r="H5" s="2141">
        <f>SUM(H11:H569)</f>
        <v>9.0549999999999997</v>
      </c>
      <c r="I5" s="2141">
        <f>SUM(I11:I569)</f>
        <v>13861.003000000012</v>
      </c>
      <c r="J5" s="2143">
        <f>+I5+F5+G5+H5</f>
        <v>14683.223000000013</v>
      </c>
    </row>
    <row r="6" spans="1:12">
      <c r="B6" s="2063"/>
      <c r="D6" s="2059"/>
      <c r="E6" s="2061" t="s">
        <v>154</v>
      </c>
      <c r="F6" s="2140">
        <f>+F4-F5</f>
        <v>58.949000000000296</v>
      </c>
      <c r="G6" s="2140">
        <f>+G4-G5</f>
        <v>112.64899999999992</v>
      </c>
      <c r="H6" s="2140">
        <f>+H5</f>
        <v>9.0549999999999997</v>
      </c>
      <c r="I6" s="2140">
        <f>+I4-I5</f>
        <v>-456.00300000001153</v>
      </c>
      <c r="J6" s="2140">
        <f>+I6+F6+G6+H6</f>
        <v>-275.35000000001133</v>
      </c>
    </row>
    <row r="7" spans="1:12">
      <c r="B7" s="2063"/>
      <c r="D7" s="2437"/>
      <c r="E7" s="2461" t="s">
        <v>328</v>
      </c>
      <c r="F7" s="2438"/>
      <c r="G7" s="2438"/>
      <c r="H7" s="2438" t="s">
        <v>1059</v>
      </c>
    </row>
    <row r="9" spans="1:12" ht="15" thickBot="1">
      <c r="A9" s="2151"/>
      <c r="B9" s="2430"/>
      <c r="C9" s="2151"/>
      <c r="D9" s="2430"/>
      <c r="E9" s="4047" t="s">
        <v>833</v>
      </c>
      <c r="F9" s="4047"/>
      <c r="G9" s="4047"/>
      <c r="H9" s="702"/>
    </row>
    <row r="10" spans="1:12" ht="28.2" thickBot="1">
      <c r="A10" s="2434" t="s">
        <v>133</v>
      </c>
      <c r="B10" s="2434" t="s">
        <v>131</v>
      </c>
      <c r="C10" s="2434" t="s">
        <v>157</v>
      </c>
      <c r="D10" s="2434" t="s">
        <v>1037</v>
      </c>
      <c r="E10" s="2434" t="s">
        <v>695</v>
      </c>
      <c r="F10" s="3492" t="s">
        <v>8</v>
      </c>
      <c r="G10" s="3493" t="s">
        <v>443</v>
      </c>
      <c r="H10" s="3494" t="s">
        <v>1569</v>
      </c>
      <c r="I10" s="3495" t="s">
        <v>834</v>
      </c>
      <c r="J10" s="3496" t="s">
        <v>72</v>
      </c>
    </row>
    <row r="11" spans="1:12">
      <c r="A11" s="3497">
        <v>960819</v>
      </c>
      <c r="B11" s="3498" t="s">
        <v>979</v>
      </c>
      <c r="C11" s="3497">
        <v>2388</v>
      </c>
      <c r="D11" s="3497">
        <v>11</v>
      </c>
      <c r="E11" s="3497" t="s">
        <v>836</v>
      </c>
      <c r="F11" s="3499">
        <v>73.8</v>
      </c>
      <c r="G11" s="3499">
        <v>6.6159999999999997</v>
      </c>
      <c r="H11" s="3499"/>
      <c r="I11" s="3499">
        <v>195.99299999999999</v>
      </c>
      <c r="J11" s="2125">
        <f t="shared" ref="J11:J74" si="1">SUM(F11:I11)</f>
        <v>276.40899999999999</v>
      </c>
    </row>
    <row r="12" spans="1:12">
      <c r="A12" s="2435">
        <v>961338</v>
      </c>
      <c r="B12" s="2436" t="s">
        <v>1570</v>
      </c>
      <c r="C12" s="2435">
        <v>3025</v>
      </c>
      <c r="D12" s="2435">
        <v>11.98</v>
      </c>
      <c r="E12" s="2435" t="s">
        <v>836</v>
      </c>
      <c r="F12" s="3500">
        <v>0.88</v>
      </c>
      <c r="G12" s="3500">
        <v>9.65</v>
      </c>
      <c r="H12" s="3500"/>
      <c r="I12" s="3500">
        <v>253.26499999999999</v>
      </c>
      <c r="J12" s="2125">
        <f t="shared" si="1"/>
        <v>263.79499999999996</v>
      </c>
    </row>
    <row r="13" spans="1:12">
      <c r="A13" s="2477">
        <v>955397</v>
      </c>
      <c r="B13" s="2478" t="s">
        <v>838</v>
      </c>
      <c r="C13" s="2477">
        <v>1918</v>
      </c>
      <c r="D13" s="2477">
        <v>11.3</v>
      </c>
      <c r="E13" s="2477" t="s">
        <v>836</v>
      </c>
      <c r="F13" s="3501">
        <v>10.237</v>
      </c>
      <c r="G13" s="3501">
        <v>0.53800000000000003</v>
      </c>
      <c r="H13" s="3501"/>
      <c r="I13" s="3501">
        <v>244.63</v>
      </c>
      <c r="J13" s="2125">
        <f t="shared" si="1"/>
        <v>255.405</v>
      </c>
    </row>
    <row r="14" spans="1:12">
      <c r="A14" s="2477">
        <v>960920</v>
      </c>
      <c r="B14" s="2478" t="s">
        <v>964</v>
      </c>
      <c r="C14" s="2477">
        <v>2232</v>
      </c>
      <c r="D14" s="2477">
        <v>11.98</v>
      </c>
      <c r="E14" s="2477" t="s">
        <v>780</v>
      </c>
      <c r="F14" s="3501"/>
      <c r="G14" s="3501"/>
      <c r="H14" s="3501"/>
      <c r="I14" s="3501">
        <v>249.214</v>
      </c>
      <c r="J14" s="2125">
        <f t="shared" si="1"/>
        <v>249.214</v>
      </c>
    </row>
    <row r="15" spans="1:12">
      <c r="A15" s="2435">
        <v>961309</v>
      </c>
      <c r="B15" s="2436" t="s">
        <v>1571</v>
      </c>
      <c r="C15" s="2435">
        <v>3024</v>
      </c>
      <c r="D15" s="2435">
        <v>11.95</v>
      </c>
      <c r="E15" s="2435" t="s">
        <v>836</v>
      </c>
      <c r="F15" s="3500"/>
      <c r="G15" s="3500">
        <v>9.2390000000000008</v>
      </c>
      <c r="H15" s="3500"/>
      <c r="I15" s="3500">
        <v>238.73599999999999</v>
      </c>
      <c r="J15" s="2125">
        <f t="shared" si="1"/>
        <v>247.97499999999999</v>
      </c>
    </row>
    <row r="16" spans="1:12">
      <c r="A16" s="2477">
        <v>960549</v>
      </c>
      <c r="B16" s="2478" t="s">
        <v>844</v>
      </c>
      <c r="C16" s="2477">
        <v>2163</v>
      </c>
      <c r="D16" s="2477">
        <v>11</v>
      </c>
      <c r="E16" s="2477" t="s">
        <v>836</v>
      </c>
      <c r="F16" s="3501">
        <v>9.85</v>
      </c>
      <c r="G16" s="3501">
        <v>1.5920000000000001</v>
      </c>
      <c r="H16" s="3501"/>
      <c r="I16" s="3501">
        <v>229.27</v>
      </c>
      <c r="J16" s="2125">
        <f t="shared" si="1"/>
        <v>240.71200000000002</v>
      </c>
    </row>
    <row r="17" spans="1:10">
      <c r="A17" s="2435">
        <v>961308</v>
      </c>
      <c r="B17" s="2436" t="s">
        <v>1572</v>
      </c>
      <c r="C17" s="2435">
        <v>3020</v>
      </c>
      <c r="D17" s="2435">
        <v>11.95</v>
      </c>
      <c r="E17" s="2435" t="s">
        <v>836</v>
      </c>
      <c r="F17" s="3500"/>
      <c r="G17" s="3500">
        <v>2.42</v>
      </c>
      <c r="H17" s="3500"/>
      <c r="I17" s="3500">
        <v>236.07900000000001</v>
      </c>
      <c r="J17" s="2125">
        <f t="shared" si="1"/>
        <v>238.499</v>
      </c>
    </row>
    <row r="18" spans="1:10">
      <c r="A18" s="2477">
        <v>955425</v>
      </c>
      <c r="B18" s="2478" t="s">
        <v>839</v>
      </c>
      <c r="C18" s="2477">
        <v>1928</v>
      </c>
      <c r="D18" s="2477">
        <v>11.95</v>
      </c>
      <c r="E18" s="2477" t="s">
        <v>836</v>
      </c>
      <c r="F18" s="3501">
        <v>14.696</v>
      </c>
      <c r="G18" s="3501">
        <v>2.3759999999999999</v>
      </c>
      <c r="H18" s="3501"/>
      <c r="I18" s="3501">
        <v>218.44200000000001</v>
      </c>
      <c r="J18" s="2125">
        <f t="shared" si="1"/>
        <v>235.51400000000001</v>
      </c>
    </row>
    <row r="19" spans="1:10">
      <c r="A19" s="2477">
        <v>959387</v>
      </c>
      <c r="B19" s="2478" t="s">
        <v>684</v>
      </c>
      <c r="C19" s="2477">
        <v>1424</v>
      </c>
      <c r="D19" s="2477">
        <v>8.1</v>
      </c>
      <c r="E19" s="2477" t="s">
        <v>836</v>
      </c>
      <c r="F19" s="3501">
        <v>31.411999999999999</v>
      </c>
      <c r="G19" s="3501">
        <v>4.9630000000000001</v>
      </c>
      <c r="H19" s="3501"/>
      <c r="I19" s="3501">
        <v>191.863</v>
      </c>
      <c r="J19" s="2125">
        <f t="shared" si="1"/>
        <v>228.238</v>
      </c>
    </row>
    <row r="20" spans="1:10">
      <c r="A20" s="2435">
        <v>961155</v>
      </c>
      <c r="B20" s="2436" t="s">
        <v>1573</v>
      </c>
      <c r="C20" s="2435">
        <v>1575</v>
      </c>
      <c r="D20" s="2435">
        <v>11.6</v>
      </c>
      <c r="E20" s="2435" t="s">
        <v>836</v>
      </c>
      <c r="F20" s="3500"/>
      <c r="G20" s="3500">
        <v>6.2270000000000003</v>
      </c>
      <c r="H20" s="3500"/>
      <c r="I20" s="3500">
        <v>218.96700000000001</v>
      </c>
      <c r="J20" s="2125">
        <f t="shared" si="1"/>
        <v>225.19400000000002</v>
      </c>
    </row>
    <row r="21" spans="1:10">
      <c r="A21" s="2435">
        <v>960814</v>
      </c>
      <c r="B21" s="2436" t="s">
        <v>891</v>
      </c>
      <c r="C21" s="2435">
        <v>2975</v>
      </c>
      <c r="D21" s="2435">
        <v>11.95</v>
      </c>
      <c r="E21" s="2435" t="s">
        <v>836</v>
      </c>
      <c r="F21" s="3500"/>
      <c r="G21" s="3500">
        <v>4.1500000000000004</v>
      </c>
      <c r="H21" s="3500"/>
      <c r="I21" s="3500">
        <v>218.08</v>
      </c>
      <c r="J21" s="2125">
        <f t="shared" si="1"/>
        <v>222.23000000000002</v>
      </c>
    </row>
    <row r="22" spans="1:10">
      <c r="A22" s="2435">
        <v>954871</v>
      </c>
      <c r="B22" s="2436" t="s">
        <v>970</v>
      </c>
      <c r="C22" s="2435">
        <v>2318</v>
      </c>
      <c r="D22" s="2435">
        <v>8.35</v>
      </c>
      <c r="E22" s="2435" t="s">
        <v>836</v>
      </c>
      <c r="F22" s="3500">
        <v>0.71399999999999997</v>
      </c>
      <c r="G22" s="3500">
        <v>1.714</v>
      </c>
      <c r="H22" s="3500"/>
      <c r="I22" s="3500">
        <v>216.86600000000001</v>
      </c>
      <c r="J22" s="2125">
        <f t="shared" si="1"/>
        <v>219.29400000000001</v>
      </c>
    </row>
    <row r="23" spans="1:10">
      <c r="A23" s="2435">
        <v>960106</v>
      </c>
      <c r="B23" s="2436" t="s">
        <v>853</v>
      </c>
      <c r="C23" s="2435">
        <v>2134</v>
      </c>
      <c r="D23" s="2435">
        <v>11.5</v>
      </c>
      <c r="E23" s="2435" t="s">
        <v>836</v>
      </c>
      <c r="F23" s="3500"/>
      <c r="G23" s="3500">
        <v>0.93200000000000005</v>
      </c>
      <c r="H23" s="3500"/>
      <c r="I23" s="3500">
        <v>212.07400000000001</v>
      </c>
      <c r="J23" s="2125">
        <f t="shared" si="1"/>
        <v>213.006</v>
      </c>
    </row>
    <row r="24" spans="1:10">
      <c r="A24" s="2477">
        <v>959393</v>
      </c>
      <c r="B24" s="2478" t="s">
        <v>901</v>
      </c>
      <c r="C24" s="2477">
        <v>1991</v>
      </c>
      <c r="D24" s="2477">
        <v>8.3000000000000007</v>
      </c>
      <c r="E24" s="2477" t="s">
        <v>836</v>
      </c>
      <c r="F24" s="3501">
        <v>43.77</v>
      </c>
      <c r="G24" s="3501">
        <v>10.118</v>
      </c>
      <c r="H24" s="3501"/>
      <c r="I24" s="3501">
        <v>157.38800000000001</v>
      </c>
      <c r="J24" s="2125">
        <f t="shared" si="1"/>
        <v>211.27600000000001</v>
      </c>
    </row>
    <row r="25" spans="1:10">
      <c r="A25" s="2477">
        <v>955064</v>
      </c>
      <c r="B25" s="2478" t="s">
        <v>837</v>
      </c>
      <c r="C25" s="2477">
        <v>1889</v>
      </c>
      <c r="D25" s="2477">
        <v>10.15</v>
      </c>
      <c r="E25" s="2477" t="s">
        <v>836</v>
      </c>
      <c r="F25" s="3501">
        <v>5.6230000000000002</v>
      </c>
      <c r="G25" s="3501">
        <v>1.429</v>
      </c>
      <c r="H25" s="3501"/>
      <c r="I25" s="3501">
        <v>201.35400000000001</v>
      </c>
      <c r="J25" s="2125">
        <f t="shared" si="1"/>
        <v>208.40600000000001</v>
      </c>
    </row>
    <row r="26" spans="1:10">
      <c r="A26" s="2435">
        <v>954081</v>
      </c>
      <c r="B26" s="2436" t="s">
        <v>973</v>
      </c>
      <c r="C26" s="2435">
        <v>2255</v>
      </c>
      <c r="D26" s="2435">
        <v>8</v>
      </c>
      <c r="E26" s="2435" t="s">
        <v>780</v>
      </c>
      <c r="F26" s="3500">
        <v>10.018000000000001</v>
      </c>
      <c r="G26" s="3500">
        <v>4.3220000000000001</v>
      </c>
      <c r="H26" s="3500"/>
      <c r="I26" s="3500">
        <v>187.441</v>
      </c>
      <c r="J26" s="2125">
        <f t="shared" si="1"/>
        <v>201.78100000000001</v>
      </c>
    </row>
    <row r="27" spans="1:10">
      <c r="A27" s="2435">
        <v>958588</v>
      </c>
      <c r="B27" s="2436" t="s">
        <v>966</v>
      </c>
      <c r="C27" s="2435">
        <v>710</v>
      </c>
      <c r="D27" s="2435">
        <v>8.18</v>
      </c>
      <c r="E27" s="2435" t="s">
        <v>836</v>
      </c>
      <c r="F27" s="3500"/>
      <c r="G27" s="3500">
        <v>2.637</v>
      </c>
      <c r="H27" s="3500"/>
      <c r="I27" s="3500">
        <v>191.97800000000001</v>
      </c>
      <c r="J27" s="2125">
        <f t="shared" si="1"/>
        <v>194.61500000000001</v>
      </c>
    </row>
    <row r="28" spans="1:10">
      <c r="A28" s="2477">
        <v>960756</v>
      </c>
      <c r="B28" s="2478" t="s">
        <v>975</v>
      </c>
      <c r="C28" s="2477">
        <v>2111</v>
      </c>
      <c r="D28" s="2477">
        <v>9</v>
      </c>
      <c r="E28" s="2477" t="s">
        <v>836</v>
      </c>
      <c r="F28" s="3501"/>
      <c r="G28" s="3501">
        <v>5.5060000000000002</v>
      </c>
      <c r="H28" s="3501"/>
      <c r="I28" s="3501">
        <v>179.863</v>
      </c>
      <c r="J28" s="2125">
        <f t="shared" si="1"/>
        <v>185.369</v>
      </c>
    </row>
    <row r="29" spans="1:10">
      <c r="A29" s="2435">
        <v>960925</v>
      </c>
      <c r="B29" s="2436" t="s">
        <v>967</v>
      </c>
      <c r="C29" s="2435">
        <v>3021</v>
      </c>
      <c r="D29" s="2435">
        <v>12</v>
      </c>
      <c r="E29" s="2435" t="s">
        <v>836</v>
      </c>
      <c r="F29" s="3500">
        <v>1.02</v>
      </c>
      <c r="G29" s="3500">
        <v>7.875</v>
      </c>
      <c r="H29" s="3500"/>
      <c r="I29" s="3500">
        <v>171.542</v>
      </c>
      <c r="J29" s="2125">
        <f t="shared" si="1"/>
        <v>180.43700000000001</v>
      </c>
    </row>
    <row r="30" spans="1:10">
      <c r="A30" s="2435">
        <v>955079</v>
      </c>
      <c r="B30" s="2436" t="s">
        <v>889</v>
      </c>
      <c r="C30" s="2435">
        <v>1890</v>
      </c>
      <c r="D30" s="2435">
        <v>11.2</v>
      </c>
      <c r="E30" s="2435" t="s">
        <v>836</v>
      </c>
      <c r="F30" s="3500">
        <v>17.241</v>
      </c>
      <c r="G30" s="3500"/>
      <c r="H30" s="3500"/>
      <c r="I30" s="3500">
        <v>158.673</v>
      </c>
      <c r="J30" s="2125">
        <f t="shared" si="1"/>
        <v>175.91399999999999</v>
      </c>
    </row>
    <row r="31" spans="1:10">
      <c r="A31" s="2435">
        <v>959319</v>
      </c>
      <c r="B31" s="2436" t="s">
        <v>968</v>
      </c>
      <c r="C31" s="2435">
        <v>2851</v>
      </c>
      <c r="D31" s="2435">
        <v>10</v>
      </c>
      <c r="E31" s="2435" t="s">
        <v>836</v>
      </c>
      <c r="F31" s="3500">
        <v>22.7</v>
      </c>
      <c r="G31" s="3500">
        <v>0.33</v>
      </c>
      <c r="H31" s="3500"/>
      <c r="I31" s="3500">
        <v>152.381</v>
      </c>
      <c r="J31" s="2125">
        <f t="shared" si="1"/>
        <v>175.411</v>
      </c>
    </row>
    <row r="32" spans="1:10">
      <c r="A32" s="2477">
        <v>961332</v>
      </c>
      <c r="B32" s="2478" t="s">
        <v>1574</v>
      </c>
      <c r="C32" s="2477">
        <v>1620</v>
      </c>
      <c r="D32" s="2477">
        <v>11.95</v>
      </c>
      <c r="E32" s="2477" t="s">
        <v>836</v>
      </c>
      <c r="F32" s="3501">
        <v>8.9209999999999994</v>
      </c>
      <c r="G32" s="3501">
        <v>7.7240000000000002</v>
      </c>
      <c r="H32" s="3501"/>
      <c r="I32" s="3501">
        <v>156.80799999999999</v>
      </c>
      <c r="J32" s="2125">
        <f t="shared" si="1"/>
        <v>173.453</v>
      </c>
    </row>
    <row r="33" spans="1:10">
      <c r="A33" s="2477">
        <v>956818</v>
      </c>
      <c r="B33" s="2478" t="s">
        <v>971</v>
      </c>
      <c r="C33" s="2477">
        <v>1388</v>
      </c>
      <c r="D33" s="2477">
        <v>11</v>
      </c>
      <c r="E33" s="2477" t="s">
        <v>836</v>
      </c>
      <c r="F33" s="3501">
        <v>10.78</v>
      </c>
      <c r="G33" s="3501">
        <v>8.2729999999999997</v>
      </c>
      <c r="H33" s="3501"/>
      <c r="I33" s="3501">
        <v>153.59200000000001</v>
      </c>
      <c r="J33" s="2125">
        <f t="shared" si="1"/>
        <v>172.64500000000001</v>
      </c>
    </row>
    <row r="34" spans="1:10">
      <c r="A34" s="2435">
        <v>960816</v>
      </c>
      <c r="B34" s="2436" t="s">
        <v>983</v>
      </c>
      <c r="C34" s="2435">
        <v>3004</v>
      </c>
      <c r="D34" s="2435">
        <v>11</v>
      </c>
      <c r="E34" s="2435" t="s">
        <v>836</v>
      </c>
      <c r="F34" s="3500">
        <v>7.375</v>
      </c>
      <c r="G34" s="3500">
        <v>7.76</v>
      </c>
      <c r="H34" s="3500"/>
      <c r="I34" s="3500">
        <v>153.601</v>
      </c>
      <c r="J34" s="2125">
        <f t="shared" si="1"/>
        <v>168.73599999999999</v>
      </c>
    </row>
    <row r="35" spans="1:10">
      <c r="A35" s="2435">
        <v>955442</v>
      </c>
      <c r="B35" s="2436" t="s">
        <v>969</v>
      </c>
      <c r="C35" s="2435">
        <v>1935</v>
      </c>
      <c r="D35" s="2435">
        <v>11</v>
      </c>
      <c r="E35" s="2435" t="s">
        <v>836</v>
      </c>
      <c r="F35" s="3500">
        <v>8.9849999999999994</v>
      </c>
      <c r="G35" s="3500">
        <v>0.29399999999999998</v>
      </c>
      <c r="H35" s="3500"/>
      <c r="I35" s="3500">
        <v>156.96199999999999</v>
      </c>
      <c r="J35" s="2125">
        <f t="shared" si="1"/>
        <v>166.24099999999999</v>
      </c>
    </row>
    <row r="36" spans="1:10">
      <c r="A36" s="2435">
        <v>961642</v>
      </c>
      <c r="B36" s="2436" t="s">
        <v>902</v>
      </c>
      <c r="C36" s="2435">
        <v>1551</v>
      </c>
      <c r="D36" s="2435">
        <v>11.5</v>
      </c>
      <c r="E36" s="2435" t="s">
        <v>836</v>
      </c>
      <c r="F36" s="3500"/>
      <c r="G36" s="3500"/>
      <c r="H36" s="3500"/>
      <c r="I36" s="3500">
        <v>162.529</v>
      </c>
      <c r="J36" s="2125">
        <f t="shared" si="1"/>
        <v>162.529</v>
      </c>
    </row>
    <row r="37" spans="1:10">
      <c r="A37" s="2435">
        <v>960116</v>
      </c>
      <c r="B37" s="2436" t="s">
        <v>972</v>
      </c>
      <c r="C37" s="2435">
        <v>2169</v>
      </c>
      <c r="D37" s="2435">
        <v>8.1</v>
      </c>
      <c r="E37" s="2435" t="s">
        <v>836</v>
      </c>
      <c r="F37" s="3500">
        <v>17.295999999999999</v>
      </c>
      <c r="G37" s="3500"/>
      <c r="H37" s="3500"/>
      <c r="I37" s="3500">
        <v>143.393</v>
      </c>
      <c r="J37" s="2125">
        <f t="shared" si="1"/>
        <v>160.68899999999999</v>
      </c>
    </row>
    <row r="38" spans="1:10">
      <c r="A38" s="2435">
        <v>959089</v>
      </c>
      <c r="B38" s="2436" t="s">
        <v>846</v>
      </c>
      <c r="C38" s="2435">
        <v>2156</v>
      </c>
      <c r="D38" s="2435">
        <v>11.8</v>
      </c>
      <c r="E38" s="2435" t="s">
        <v>836</v>
      </c>
      <c r="F38" s="3500"/>
      <c r="G38" s="3500">
        <v>2.972</v>
      </c>
      <c r="H38" s="3500"/>
      <c r="I38" s="3500">
        <v>156.77600000000001</v>
      </c>
      <c r="J38" s="2125">
        <f t="shared" si="1"/>
        <v>159.74800000000002</v>
      </c>
    </row>
    <row r="39" spans="1:10">
      <c r="A39" s="2435">
        <v>956935</v>
      </c>
      <c r="B39" s="2436" t="s">
        <v>856</v>
      </c>
      <c r="C39" s="2435">
        <v>1997</v>
      </c>
      <c r="D39" s="2435">
        <v>11</v>
      </c>
      <c r="E39" s="2435" t="s">
        <v>836</v>
      </c>
      <c r="F39" s="3500"/>
      <c r="G39" s="3500">
        <v>0.17599999999999999</v>
      </c>
      <c r="H39" s="3500"/>
      <c r="I39" s="3500">
        <v>158.01</v>
      </c>
      <c r="J39" s="2125">
        <f t="shared" si="1"/>
        <v>158.18599999999998</v>
      </c>
    </row>
    <row r="40" spans="1:10">
      <c r="A40" s="2477">
        <v>961036</v>
      </c>
      <c r="B40" s="2478" t="s">
        <v>1575</v>
      </c>
      <c r="C40" s="2477">
        <v>1574</v>
      </c>
      <c r="D40" s="2477">
        <v>12</v>
      </c>
      <c r="E40" s="2477" t="s">
        <v>836</v>
      </c>
      <c r="F40" s="3501"/>
      <c r="G40" s="3501">
        <v>2.3980000000000001</v>
      </c>
      <c r="H40" s="3501"/>
      <c r="I40" s="3501">
        <v>155.30099999999999</v>
      </c>
      <c r="J40" s="2125">
        <f t="shared" si="1"/>
        <v>157.69899999999998</v>
      </c>
    </row>
    <row r="41" spans="1:10">
      <c r="A41" s="2477">
        <v>957990</v>
      </c>
      <c r="B41" s="2478" t="s">
        <v>849</v>
      </c>
      <c r="C41" s="2477">
        <v>2113</v>
      </c>
      <c r="D41" s="2477">
        <v>11.8</v>
      </c>
      <c r="E41" s="2477" t="s">
        <v>836</v>
      </c>
      <c r="F41" s="3501"/>
      <c r="G41" s="3501"/>
      <c r="H41" s="3501"/>
      <c r="I41" s="3501">
        <v>154.392</v>
      </c>
      <c r="J41" s="2125">
        <f t="shared" si="1"/>
        <v>154.392</v>
      </c>
    </row>
    <row r="42" spans="1:10">
      <c r="A42" s="2435">
        <v>959047</v>
      </c>
      <c r="B42" s="2436" t="s">
        <v>840</v>
      </c>
      <c r="C42" s="2435">
        <v>2058</v>
      </c>
      <c r="D42" s="2435">
        <v>11.9</v>
      </c>
      <c r="E42" s="2435" t="s">
        <v>836</v>
      </c>
      <c r="F42" s="3500"/>
      <c r="G42" s="3500"/>
      <c r="H42" s="3500"/>
      <c r="I42" s="3500">
        <v>153.72800000000001</v>
      </c>
      <c r="J42" s="2125">
        <f t="shared" si="1"/>
        <v>153.72800000000001</v>
      </c>
    </row>
    <row r="43" spans="1:10">
      <c r="A43" s="2477">
        <v>953859</v>
      </c>
      <c r="B43" s="2478" t="s">
        <v>835</v>
      </c>
      <c r="C43" s="2477">
        <v>625</v>
      </c>
      <c r="D43" s="2477">
        <v>10</v>
      </c>
      <c r="E43" s="2477" t="s">
        <v>836</v>
      </c>
      <c r="F43" s="3501"/>
      <c r="G43" s="3501"/>
      <c r="H43" s="3501"/>
      <c r="I43" s="3501">
        <v>153.435</v>
      </c>
      <c r="J43" s="2125">
        <f t="shared" si="1"/>
        <v>153.435</v>
      </c>
    </row>
    <row r="44" spans="1:10">
      <c r="A44" s="2435">
        <v>952489</v>
      </c>
      <c r="B44" s="2436" t="s">
        <v>841</v>
      </c>
      <c r="C44" s="2435">
        <v>1778</v>
      </c>
      <c r="D44" s="2435">
        <v>9.5</v>
      </c>
      <c r="E44" s="2435" t="s">
        <v>836</v>
      </c>
      <c r="F44" s="3500"/>
      <c r="G44" s="3500">
        <v>0.29799999999999999</v>
      </c>
      <c r="H44" s="3500"/>
      <c r="I44" s="3500">
        <v>151.51300000000001</v>
      </c>
      <c r="J44" s="2125">
        <f t="shared" si="1"/>
        <v>151.81100000000001</v>
      </c>
    </row>
    <row r="45" spans="1:10">
      <c r="A45" s="2435">
        <v>960815</v>
      </c>
      <c r="B45" s="2436" t="s">
        <v>878</v>
      </c>
      <c r="C45" s="2435">
        <v>2701</v>
      </c>
      <c r="D45" s="2435">
        <v>11.95</v>
      </c>
      <c r="E45" s="2435" t="s">
        <v>836</v>
      </c>
      <c r="F45" s="3500"/>
      <c r="G45" s="3500"/>
      <c r="H45" s="3500"/>
      <c r="I45" s="3500">
        <v>143.24299999999999</v>
      </c>
      <c r="J45" s="2125">
        <f t="shared" si="1"/>
        <v>143.24299999999999</v>
      </c>
    </row>
    <row r="46" spans="1:10">
      <c r="A46" s="2435">
        <v>959035</v>
      </c>
      <c r="B46" s="2436" t="s">
        <v>977</v>
      </c>
      <c r="C46" s="2435">
        <v>2958</v>
      </c>
      <c r="D46" s="2435">
        <v>11.2</v>
      </c>
      <c r="E46" s="2435" t="s">
        <v>836</v>
      </c>
      <c r="F46" s="3500"/>
      <c r="G46" s="3500">
        <v>1.5569999999999999</v>
      </c>
      <c r="H46" s="3500"/>
      <c r="I46" s="3500">
        <v>141.327</v>
      </c>
      <c r="J46" s="2125">
        <f t="shared" si="1"/>
        <v>142.88399999999999</v>
      </c>
    </row>
    <row r="47" spans="1:10">
      <c r="A47" s="2435">
        <v>957988</v>
      </c>
      <c r="B47" s="2436" t="s">
        <v>855</v>
      </c>
      <c r="C47" s="2435">
        <v>2108</v>
      </c>
      <c r="D47" s="2435">
        <v>11</v>
      </c>
      <c r="E47" s="2435" t="s">
        <v>836</v>
      </c>
      <c r="F47" s="3500">
        <v>12.368</v>
      </c>
      <c r="G47" s="3500"/>
      <c r="H47" s="3500"/>
      <c r="I47" s="3500">
        <v>129.04400000000001</v>
      </c>
      <c r="J47" s="2125">
        <f t="shared" si="1"/>
        <v>141.41200000000001</v>
      </c>
    </row>
    <row r="48" spans="1:10">
      <c r="A48" s="2477">
        <v>959495</v>
      </c>
      <c r="B48" s="2478" t="s">
        <v>904</v>
      </c>
      <c r="C48" s="2477">
        <v>2166</v>
      </c>
      <c r="D48" s="2477">
        <v>11.4</v>
      </c>
      <c r="E48" s="2477" t="s">
        <v>836</v>
      </c>
      <c r="F48" s="3501"/>
      <c r="G48" s="3501">
        <v>1.8380000000000001</v>
      </c>
      <c r="H48" s="3501"/>
      <c r="I48" s="3501">
        <v>135.666</v>
      </c>
      <c r="J48" s="2125">
        <f t="shared" si="1"/>
        <v>137.50399999999999</v>
      </c>
    </row>
    <row r="49" spans="1:10">
      <c r="A49" s="2435">
        <v>954820</v>
      </c>
      <c r="B49" s="2436" t="s">
        <v>847</v>
      </c>
      <c r="C49" s="2435">
        <v>1919</v>
      </c>
      <c r="D49" s="2435">
        <v>9.65</v>
      </c>
      <c r="E49" s="2435" t="s">
        <v>836</v>
      </c>
      <c r="F49" s="3500"/>
      <c r="G49" s="3500"/>
      <c r="H49" s="3500"/>
      <c r="I49" s="3500">
        <v>135.87799999999999</v>
      </c>
      <c r="J49" s="2125">
        <f t="shared" si="1"/>
        <v>135.87799999999999</v>
      </c>
    </row>
    <row r="50" spans="1:10">
      <c r="A50" s="2435">
        <v>957818</v>
      </c>
      <c r="B50" s="2436" t="s">
        <v>861</v>
      </c>
      <c r="C50" s="2435">
        <v>2096</v>
      </c>
      <c r="D50" s="2435">
        <v>11.2</v>
      </c>
      <c r="E50" s="2435" t="s">
        <v>836</v>
      </c>
      <c r="F50" s="3500"/>
      <c r="G50" s="3500"/>
      <c r="H50" s="3500"/>
      <c r="I50" s="3500">
        <v>135.70699999999999</v>
      </c>
      <c r="J50" s="2125">
        <f t="shared" si="1"/>
        <v>135.70699999999999</v>
      </c>
    </row>
    <row r="51" spans="1:10">
      <c r="A51" s="2477">
        <v>957819</v>
      </c>
      <c r="B51" s="2478" t="s">
        <v>974</v>
      </c>
      <c r="C51" s="2477">
        <v>2100</v>
      </c>
      <c r="D51" s="2477">
        <v>11.77</v>
      </c>
      <c r="E51" s="2477" t="s">
        <v>836</v>
      </c>
      <c r="F51" s="3501">
        <v>15.404999999999999</v>
      </c>
      <c r="G51" s="3501">
        <v>5.9880000000000004</v>
      </c>
      <c r="H51" s="3501"/>
      <c r="I51" s="3501">
        <v>109.179</v>
      </c>
      <c r="J51" s="2125">
        <f t="shared" si="1"/>
        <v>130.572</v>
      </c>
    </row>
    <row r="52" spans="1:10">
      <c r="A52" s="2477">
        <v>960972</v>
      </c>
      <c r="B52" s="2478" t="s">
        <v>976</v>
      </c>
      <c r="C52" s="2477">
        <v>2165</v>
      </c>
      <c r="D52" s="2477">
        <v>8.1999999999999993</v>
      </c>
      <c r="E52" s="2477" t="s">
        <v>836</v>
      </c>
      <c r="F52" s="3501"/>
      <c r="G52" s="3501">
        <v>13.547000000000001</v>
      </c>
      <c r="H52" s="3501"/>
      <c r="I52" s="3501">
        <v>113.426</v>
      </c>
      <c r="J52" s="2125">
        <f t="shared" si="1"/>
        <v>126.973</v>
      </c>
    </row>
    <row r="53" spans="1:10">
      <c r="A53" s="2477">
        <v>961055</v>
      </c>
      <c r="B53" s="2478" t="s">
        <v>1577</v>
      </c>
      <c r="C53" s="2477">
        <v>2455</v>
      </c>
      <c r="D53" s="2477">
        <v>11.99</v>
      </c>
      <c r="E53" s="2477" t="s">
        <v>836</v>
      </c>
      <c r="F53" s="3501"/>
      <c r="G53" s="3501"/>
      <c r="H53" s="3501"/>
      <c r="I53" s="3501">
        <v>124.60299999999999</v>
      </c>
      <c r="J53" s="2125">
        <f t="shared" si="1"/>
        <v>124.60299999999999</v>
      </c>
    </row>
    <row r="54" spans="1:10">
      <c r="A54" s="2435">
        <v>30579</v>
      </c>
      <c r="B54" s="2436" t="s">
        <v>890</v>
      </c>
      <c r="C54" s="2435">
        <v>671</v>
      </c>
      <c r="D54" s="2435">
        <v>7.6</v>
      </c>
      <c r="E54" s="2435" t="s">
        <v>836</v>
      </c>
      <c r="F54" s="3500">
        <v>5.37</v>
      </c>
      <c r="G54" s="3500"/>
      <c r="H54" s="3500"/>
      <c r="I54" s="3500">
        <v>118.32</v>
      </c>
      <c r="J54" s="2125">
        <f t="shared" si="1"/>
        <v>123.69</v>
      </c>
    </row>
    <row r="55" spans="1:10">
      <c r="A55" s="2435">
        <v>958753</v>
      </c>
      <c r="B55" s="2436" t="s">
        <v>868</v>
      </c>
      <c r="C55" s="2435">
        <v>2153</v>
      </c>
      <c r="D55" s="2435">
        <v>11.9</v>
      </c>
      <c r="E55" s="2435" t="s">
        <v>836</v>
      </c>
      <c r="F55" s="3500"/>
      <c r="G55" s="3500"/>
      <c r="H55" s="3500"/>
      <c r="I55" s="3500">
        <v>118.301</v>
      </c>
      <c r="J55" s="2125">
        <f t="shared" si="1"/>
        <v>118.301</v>
      </c>
    </row>
    <row r="56" spans="1:10">
      <c r="A56" s="2435">
        <v>953743</v>
      </c>
      <c r="B56" s="2436" t="s">
        <v>981</v>
      </c>
      <c r="C56" s="2435">
        <v>2811</v>
      </c>
      <c r="D56" s="2435">
        <v>9.3000000000000007</v>
      </c>
      <c r="E56" s="2435" t="s">
        <v>836</v>
      </c>
      <c r="F56" s="3500">
        <v>2.423</v>
      </c>
      <c r="G56" s="3500">
        <v>2.883</v>
      </c>
      <c r="H56" s="3500"/>
      <c r="I56" s="3500">
        <v>108.56399999999999</v>
      </c>
      <c r="J56" s="2125">
        <f t="shared" si="1"/>
        <v>113.86999999999999</v>
      </c>
    </row>
    <row r="57" spans="1:10">
      <c r="A57" s="2477">
        <v>959355</v>
      </c>
      <c r="B57" s="2478" t="s">
        <v>848</v>
      </c>
      <c r="C57" s="2477">
        <v>1607</v>
      </c>
      <c r="D57" s="2477">
        <v>11.98</v>
      </c>
      <c r="E57" s="2477" t="s">
        <v>836</v>
      </c>
      <c r="F57" s="3501">
        <v>0.47499999999999998</v>
      </c>
      <c r="G57" s="3501">
        <v>0.65400000000000003</v>
      </c>
      <c r="H57" s="3501"/>
      <c r="I57" s="3501">
        <v>112.70399999999999</v>
      </c>
      <c r="J57" s="2125">
        <f t="shared" si="1"/>
        <v>113.833</v>
      </c>
    </row>
    <row r="58" spans="1:10">
      <c r="A58" s="2435">
        <v>960354</v>
      </c>
      <c r="B58" s="2436" t="s">
        <v>986</v>
      </c>
      <c r="C58" s="2435">
        <v>3026</v>
      </c>
      <c r="D58" s="2435">
        <v>10.4</v>
      </c>
      <c r="E58" s="2435" t="s">
        <v>836</v>
      </c>
      <c r="F58" s="3500">
        <v>2.1930000000000001</v>
      </c>
      <c r="G58" s="3500">
        <v>5.1079999999999997</v>
      </c>
      <c r="H58" s="3500"/>
      <c r="I58" s="3500">
        <v>106.11</v>
      </c>
      <c r="J58" s="2125">
        <f t="shared" si="1"/>
        <v>113.411</v>
      </c>
    </row>
    <row r="59" spans="1:10">
      <c r="A59" s="2435">
        <v>960125</v>
      </c>
      <c r="B59" s="2436" t="s">
        <v>852</v>
      </c>
      <c r="C59" s="2435">
        <v>2132</v>
      </c>
      <c r="D59" s="2435">
        <v>11.95</v>
      </c>
      <c r="E59" s="2435" t="s">
        <v>836</v>
      </c>
      <c r="F59" s="3500"/>
      <c r="G59" s="3500"/>
      <c r="H59" s="3500"/>
      <c r="I59" s="3500">
        <v>113.39400000000001</v>
      </c>
      <c r="J59" s="2125">
        <f t="shared" si="1"/>
        <v>113.39400000000001</v>
      </c>
    </row>
    <row r="60" spans="1:10">
      <c r="A60" s="2435">
        <v>959508</v>
      </c>
      <c r="B60" s="2436" t="s">
        <v>992</v>
      </c>
      <c r="C60" s="2435">
        <v>1604</v>
      </c>
      <c r="D60" s="2435">
        <v>8.3000000000000007</v>
      </c>
      <c r="E60" s="2435" t="s">
        <v>836</v>
      </c>
      <c r="F60" s="3500">
        <v>66</v>
      </c>
      <c r="G60" s="3500">
        <v>2.4900000000000002</v>
      </c>
      <c r="H60" s="3500"/>
      <c r="I60" s="3500">
        <v>39.594999999999999</v>
      </c>
      <c r="J60" s="2125">
        <f t="shared" si="1"/>
        <v>108.08499999999999</v>
      </c>
    </row>
    <row r="61" spans="1:10">
      <c r="A61" s="2477">
        <v>961147</v>
      </c>
      <c r="B61" s="2478" t="s">
        <v>1578</v>
      </c>
      <c r="C61" s="2477">
        <v>3074</v>
      </c>
      <c r="D61" s="2477">
        <v>11.98</v>
      </c>
      <c r="E61" s="2477" t="s">
        <v>836</v>
      </c>
      <c r="F61" s="3501">
        <v>22.95</v>
      </c>
      <c r="G61" s="3501">
        <v>1.8740000000000001</v>
      </c>
      <c r="H61" s="3501"/>
      <c r="I61" s="3501">
        <v>82.543999999999997</v>
      </c>
      <c r="J61" s="2125">
        <f t="shared" si="1"/>
        <v>107.36799999999999</v>
      </c>
    </row>
    <row r="62" spans="1:10">
      <c r="A62" s="2477">
        <v>960879</v>
      </c>
      <c r="B62" s="2478" t="s">
        <v>1092</v>
      </c>
      <c r="C62" s="2477">
        <v>3048</v>
      </c>
      <c r="D62" s="2477">
        <v>8.1999999999999993</v>
      </c>
      <c r="E62" s="2477" t="s">
        <v>836</v>
      </c>
      <c r="F62" s="3501">
        <v>91.38</v>
      </c>
      <c r="G62" s="3501"/>
      <c r="H62" s="3501"/>
      <c r="I62" s="3501">
        <v>14</v>
      </c>
      <c r="J62" s="2125">
        <f t="shared" si="1"/>
        <v>105.38</v>
      </c>
    </row>
    <row r="63" spans="1:10">
      <c r="A63" s="2477">
        <v>961339</v>
      </c>
      <c r="B63" s="2478" t="s">
        <v>1576</v>
      </c>
      <c r="C63" s="2477">
        <v>1669</v>
      </c>
      <c r="D63" s="2477">
        <v>11.95</v>
      </c>
      <c r="E63" s="2477" t="s">
        <v>836</v>
      </c>
      <c r="F63" s="3501"/>
      <c r="G63" s="3501">
        <v>3.968</v>
      </c>
      <c r="H63" s="3501"/>
      <c r="I63" s="3501">
        <v>97.671999999999997</v>
      </c>
      <c r="J63" s="2125">
        <f t="shared" si="1"/>
        <v>101.64</v>
      </c>
    </row>
    <row r="64" spans="1:10">
      <c r="A64" s="2435">
        <v>959023</v>
      </c>
      <c r="B64" s="2436" t="s">
        <v>978</v>
      </c>
      <c r="C64" s="2435">
        <v>118</v>
      </c>
      <c r="D64" s="2435">
        <v>8.6</v>
      </c>
      <c r="E64" s="2435" t="s">
        <v>836</v>
      </c>
      <c r="F64" s="3500">
        <v>12.069000000000001</v>
      </c>
      <c r="G64" s="3500">
        <v>0.24199999999999999</v>
      </c>
      <c r="H64" s="3500"/>
      <c r="I64" s="3500">
        <v>88.563999999999993</v>
      </c>
      <c r="J64" s="2125">
        <f t="shared" si="1"/>
        <v>100.875</v>
      </c>
    </row>
    <row r="65" spans="1:10">
      <c r="A65" s="2435">
        <v>953860</v>
      </c>
      <c r="B65" s="2436" t="s">
        <v>870</v>
      </c>
      <c r="C65" s="2435">
        <v>1230</v>
      </c>
      <c r="D65" s="2435">
        <v>10.3</v>
      </c>
      <c r="E65" s="2435" t="s">
        <v>836</v>
      </c>
      <c r="F65" s="3500"/>
      <c r="G65" s="3500"/>
      <c r="H65" s="3500"/>
      <c r="I65" s="3500">
        <v>99.55</v>
      </c>
      <c r="J65" s="2125">
        <f t="shared" si="1"/>
        <v>99.55</v>
      </c>
    </row>
    <row r="66" spans="1:10">
      <c r="A66" s="2435">
        <v>957820</v>
      </c>
      <c r="B66" s="2436" t="s">
        <v>862</v>
      </c>
      <c r="C66" s="2435">
        <v>2072</v>
      </c>
      <c r="D66" s="2435">
        <v>11.4</v>
      </c>
      <c r="E66" s="2435" t="s">
        <v>836</v>
      </c>
      <c r="F66" s="3500">
        <v>4.8659999999999997</v>
      </c>
      <c r="G66" s="3500">
        <v>1.085</v>
      </c>
      <c r="H66" s="3500"/>
      <c r="I66" s="3500">
        <v>91.286000000000001</v>
      </c>
      <c r="J66" s="2125">
        <f t="shared" si="1"/>
        <v>97.236999999999995</v>
      </c>
    </row>
    <row r="67" spans="1:10">
      <c r="A67" s="2477">
        <v>954964</v>
      </c>
      <c r="B67" s="2478" t="s">
        <v>980</v>
      </c>
      <c r="C67" s="2477">
        <v>1394</v>
      </c>
      <c r="D67" s="2477">
        <v>10.8</v>
      </c>
      <c r="E67" s="2477" t="s">
        <v>836</v>
      </c>
      <c r="F67" s="3501"/>
      <c r="G67" s="3501"/>
      <c r="H67" s="3501"/>
      <c r="I67" s="3501">
        <v>94.281000000000006</v>
      </c>
      <c r="J67" s="2125">
        <f t="shared" si="1"/>
        <v>94.281000000000006</v>
      </c>
    </row>
    <row r="68" spans="1:10">
      <c r="A68" s="2477">
        <v>959206</v>
      </c>
      <c r="B68" s="2478" t="s">
        <v>850</v>
      </c>
      <c r="C68" s="2477">
        <v>434</v>
      </c>
      <c r="D68" s="2477">
        <v>9.6300000000000008</v>
      </c>
      <c r="E68" s="2477" t="s">
        <v>836</v>
      </c>
      <c r="F68" s="3501"/>
      <c r="G68" s="3501"/>
      <c r="H68" s="3501"/>
      <c r="I68" s="3501">
        <v>92.02</v>
      </c>
      <c r="J68" s="2125">
        <f t="shared" si="1"/>
        <v>92.02</v>
      </c>
    </row>
    <row r="69" spans="1:10">
      <c r="A69" s="2435">
        <v>960321</v>
      </c>
      <c r="B69" s="2436" t="s">
        <v>857</v>
      </c>
      <c r="C69" s="2435">
        <v>1946</v>
      </c>
      <c r="D69" s="2435">
        <v>8.1</v>
      </c>
      <c r="E69" s="2435" t="s">
        <v>836</v>
      </c>
      <c r="F69" s="3500"/>
      <c r="G69" s="3500">
        <v>17.355</v>
      </c>
      <c r="H69" s="3500"/>
      <c r="I69" s="3500">
        <v>73.974000000000004</v>
      </c>
      <c r="J69" s="2125">
        <f t="shared" si="1"/>
        <v>91.329000000000008</v>
      </c>
    </row>
    <row r="70" spans="1:10">
      <c r="A70" s="2477">
        <v>960880</v>
      </c>
      <c r="B70" s="2478" t="s">
        <v>873</v>
      </c>
      <c r="C70" s="2477">
        <v>809</v>
      </c>
      <c r="D70" s="2477">
        <v>9</v>
      </c>
      <c r="E70" s="2477" t="s">
        <v>836</v>
      </c>
      <c r="F70" s="3501">
        <v>6.3209999999999997</v>
      </c>
      <c r="G70" s="3501"/>
      <c r="H70" s="3501"/>
      <c r="I70" s="3501">
        <v>84.549000000000007</v>
      </c>
      <c r="J70" s="2125">
        <f t="shared" si="1"/>
        <v>90.87</v>
      </c>
    </row>
    <row r="71" spans="1:10">
      <c r="A71" s="2477">
        <v>960962</v>
      </c>
      <c r="B71" s="2478" t="s">
        <v>915</v>
      </c>
      <c r="C71" s="2477">
        <v>3016</v>
      </c>
      <c r="D71" s="2477">
        <v>11.99</v>
      </c>
      <c r="E71" s="2477" t="s">
        <v>836</v>
      </c>
      <c r="F71" s="3501"/>
      <c r="G71" s="3501">
        <v>3.73</v>
      </c>
      <c r="H71" s="3501"/>
      <c r="I71" s="3501">
        <v>87.078000000000003</v>
      </c>
      <c r="J71" s="2125">
        <f t="shared" si="1"/>
        <v>90.808000000000007</v>
      </c>
    </row>
    <row r="72" spans="1:10">
      <c r="A72" s="2477">
        <v>961656</v>
      </c>
      <c r="B72" s="2478" t="s">
        <v>995</v>
      </c>
      <c r="C72" s="2477">
        <v>400</v>
      </c>
      <c r="D72" s="2477">
        <v>8.75</v>
      </c>
      <c r="E72" s="2477" t="s">
        <v>836</v>
      </c>
      <c r="F72" s="3501"/>
      <c r="G72" s="3501">
        <v>0.60599999999999998</v>
      </c>
      <c r="H72" s="3501"/>
      <c r="I72" s="3501">
        <v>86.477000000000004</v>
      </c>
      <c r="J72" s="2125">
        <f t="shared" si="1"/>
        <v>87.082999999999998</v>
      </c>
    </row>
    <row r="73" spans="1:10">
      <c r="A73" s="2435">
        <v>955396</v>
      </c>
      <c r="B73" s="2436" t="s">
        <v>203</v>
      </c>
      <c r="C73" s="2435">
        <v>2836</v>
      </c>
      <c r="D73" s="2435">
        <v>11.95</v>
      </c>
      <c r="E73" s="2435" t="s">
        <v>836</v>
      </c>
      <c r="F73" s="3500"/>
      <c r="G73" s="3500">
        <v>2.0670000000000002</v>
      </c>
      <c r="H73" s="3500">
        <v>9.0549999999999997</v>
      </c>
      <c r="I73" s="3500">
        <v>72.631</v>
      </c>
      <c r="J73" s="2125">
        <f t="shared" si="1"/>
        <v>83.753</v>
      </c>
    </row>
    <row r="74" spans="1:10">
      <c r="A74" s="2435">
        <v>957535</v>
      </c>
      <c r="B74" s="2436" t="s">
        <v>988</v>
      </c>
      <c r="C74" s="2435">
        <v>50</v>
      </c>
      <c r="D74" s="2435">
        <v>9.1</v>
      </c>
      <c r="E74" s="2435" t="s">
        <v>836</v>
      </c>
      <c r="F74" s="3500"/>
      <c r="G74" s="3500">
        <v>2.3119999999999998</v>
      </c>
      <c r="H74" s="3500"/>
      <c r="I74" s="3500">
        <v>80.703000000000003</v>
      </c>
      <c r="J74" s="2125">
        <f t="shared" si="1"/>
        <v>83.015000000000001</v>
      </c>
    </row>
    <row r="75" spans="1:10">
      <c r="A75" s="2477">
        <v>31199</v>
      </c>
      <c r="B75" s="2478" t="s">
        <v>304</v>
      </c>
      <c r="C75" s="2477">
        <v>573</v>
      </c>
      <c r="D75" s="2477">
        <v>8.1999999999999993</v>
      </c>
      <c r="E75" s="2477" t="s">
        <v>836</v>
      </c>
      <c r="F75" s="3501"/>
      <c r="G75" s="3501">
        <v>4.8940000000000001</v>
      </c>
      <c r="H75" s="3501"/>
      <c r="I75" s="3501">
        <v>76.195999999999998</v>
      </c>
      <c r="J75" s="2125">
        <f t="shared" ref="J75:J138" si="2">SUM(F75:I75)</f>
        <v>81.09</v>
      </c>
    </row>
    <row r="76" spans="1:10">
      <c r="A76" s="2435">
        <v>955408</v>
      </c>
      <c r="B76" s="2436" t="s">
        <v>875</v>
      </c>
      <c r="C76" s="2435">
        <v>1921</v>
      </c>
      <c r="D76" s="2435">
        <v>10</v>
      </c>
      <c r="E76" s="2435" t="s">
        <v>836</v>
      </c>
      <c r="F76" s="3500"/>
      <c r="G76" s="3500"/>
      <c r="H76" s="3500"/>
      <c r="I76" s="3500">
        <v>78.751999999999995</v>
      </c>
      <c r="J76" s="2125">
        <f t="shared" si="2"/>
        <v>78.751999999999995</v>
      </c>
    </row>
    <row r="77" spans="1:10">
      <c r="A77" s="2477">
        <v>961133</v>
      </c>
      <c r="B77" s="2478" t="s">
        <v>1579</v>
      </c>
      <c r="C77" s="2477">
        <v>2971</v>
      </c>
      <c r="D77" s="2477">
        <v>11.98</v>
      </c>
      <c r="E77" s="2477" t="s">
        <v>836</v>
      </c>
      <c r="F77" s="3501"/>
      <c r="G77" s="3501">
        <v>0.38100000000000001</v>
      </c>
      <c r="H77" s="3501"/>
      <c r="I77" s="3501">
        <v>77.457999999999998</v>
      </c>
      <c r="J77" s="2125">
        <f t="shared" si="2"/>
        <v>77.838999999999999</v>
      </c>
    </row>
    <row r="78" spans="1:10">
      <c r="A78" s="2435">
        <v>954876</v>
      </c>
      <c r="B78" s="2436" t="s">
        <v>985</v>
      </c>
      <c r="C78" s="2435">
        <v>2846</v>
      </c>
      <c r="D78" s="2435">
        <v>10.8</v>
      </c>
      <c r="E78" s="2435" t="s">
        <v>836</v>
      </c>
      <c r="F78" s="3500"/>
      <c r="G78" s="3500">
        <v>4.7469999999999999</v>
      </c>
      <c r="H78" s="3500"/>
      <c r="I78" s="3500">
        <v>72.153000000000006</v>
      </c>
      <c r="J78" s="2125">
        <f t="shared" si="2"/>
        <v>76.900000000000006</v>
      </c>
    </row>
    <row r="79" spans="1:10">
      <c r="A79" s="2435">
        <v>961324</v>
      </c>
      <c r="B79" s="2436" t="s">
        <v>1580</v>
      </c>
      <c r="C79" s="2435">
        <v>1668</v>
      </c>
      <c r="D79" s="2435">
        <v>11.98</v>
      </c>
      <c r="E79" s="2435" t="s">
        <v>836</v>
      </c>
      <c r="F79" s="3500"/>
      <c r="G79" s="3500"/>
      <c r="H79" s="3500"/>
      <c r="I79" s="3500">
        <v>75.430000000000007</v>
      </c>
      <c r="J79" s="2125">
        <f t="shared" si="2"/>
        <v>75.430000000000007</v>
      </c>
    </row>
    <row r="80" spans="1:10">
      <c r="A80" s="2435">
        <v>960997</v>
      </c>
      <c r="B80" s="2436" t="s">
        <v>1581</v>
      </c>
      <c r="C80" s="2435">
        <v>3034</v>
      </c>
      <c r="D80" s="2435">
        <v>11.85</v>
      </c>
      <c r="E80" s="2435" t="s">
        <v>836</v>
      </c>
      <c r="F80" s="3500"/>
      <c r="G80" s="3500">
        <v>1.018</v>
      </c>
      <c r="H80" s="3500"/>
      <c r="I80" s="3500">
        <v>73.662999999999997</v>
      </c>
      <c r="J80" s="2125">
        <f t="shared" si="2"/>
        <v>74.680999999999997</v>
      </c>
    </row>
    <row r="81" spans="1:10">
      <c r="A81" s="2477">
        <v>957371</v>
      </c>
      <c r="B81" s="2478" t="s">
        <v>994</v>
      </c>
      <c r="C81" s="2477">
        <v>761</v>
      </c>
      <c r="D81" s="2477">
        <v>9.9600000000000009</v>
      </c>
      <c r="E81" s="2477" t="s">
        <v>836</v>
      </c>
      <c r="F81" s="3501"/>
      <c r="G81" s="3501"/>
      <c r="H81" s="3501"/>
      <c r="I81" s="3501">
        <v>74.628</v>
      </c>
      <c r="J81" s="2125">
        <f t="shared" si="2"/>
        <v>74.628</v>
      </c>
    </row>
    <row r="82" spans="1:10">
      <c r="A82" s="2477">
        <v>959761</v>
      </c>
      <c r="B82" s="2478" t="s">
        <v>879</v>
      </c>
      <c r="C82" s="2477">
        <v>1380</v>
      </c>
      <c r="D82" s="2477">
        <v>8.3000000000000007</v>
      </c>
      <c r="E82" s="2477" t="s">
        <v>836</v>
      </c>
      <c r="F82" s="3501"/>
      <c r="G82" s="3501">
        <v>1.1080000000000001</v>
      </c>
      <c r="H82" s="3501"/>
      <c r="I82" s="3501">
        <v>72.608000000000004</v>
      </c>
      <c r="J82" s="2125">
        <f t="shared" si="2"/>
        <v>73.716000000000008</v>
      </c>
    </row>
    <row r="83" spans="1:10">
      <c r="A83" s="2477">
        <v>960520</v>
      </c>
      <c r="B83" s="2478" t="s">
        <v>982</v>
      </c>
      <c r="C83" s="2477">
        <v>2000</v>
      </c>
      <c r="D83" s="2477">
        <v>11.9</v>
      </c>
      <c r="E83" s="2477" t="s">
        <v>836</v>
      </c>
      <c r="F83" s="3501"/>
      <c r="G83" s="3501">
        <v>2.585</v>
      </c>
      <c r="H83" s="3501"/>
      <c r="I83" s="3501">
        <v>70.94</v>
      </c>
      <c r="J83" s="2125">
        <f t="shared" si="2"/>
        <v>73.524999999999991</v>
      </c>
    </row>
    <row r="84" spans="1:10">
      <c r="A84" s="2435">
        <v>956916</v>
      </c>
      <c r="B84" s="2436" t="s">
        <v>851</v>
      </c>
      <c r="C84" s="2435">
        <v>1886</v>
      </c>
      <c r="D84" s="2435">
        <v>9.85</v>
      </c>
      <c r="E84" s="2435" t="s">
        <v>836</v>
      </c>
      <c r="F84" s="3500"/>
      <c r="G84" s="3500">
        <v>2.5409999999999999</v>
      </c>
      <c r="H84" s="3500"/>
      <c r="I84" s="3500">
        <v>66.644000000000005</v>
      </c>
      <c r="J84" s="2125">
        <f t="shared" si="2"/>
        <v>69.185000000000002</v>
      </c>
    </row>
    <row r="85" spans="1:10">
      <c r="A85" s="2435">
        <v>959808</v>
      </c>
      <c r="B85" s="2436" t="s">
        <v>984</v>
      </c>
      <c r="C85" s="2435">
        <v>266</v>
      </c>
      <c r="D85" s="2435">
        <v>8.27</v>
      </c>
      <c r="E85" s="2435" t="s">
        <v>836</v>
      </c>
      <c r="F85" s="3500"/>
      <c r="G85" s="3500">
        <v>2.073</v>
      </c>
      <c r="H85" s="3500"/>
      <c r="I85" s="3500">
        <v>66.697000000000003</v>
      </c>
      <c r="J85" s="2125">
        <f t="shared" si="2"/>
        <v>68.77</v>
      </c>
    </row>
    <row r="86" spans="1:10">
      <c r="A86" s="2477">
        <v>957251</v>
      </c>
      <c r="B86" s="2478" t="s">
        <v>872</v>
      </c>
      <c r="C86" s="2477">
        <v>1927</v>
      </c>
      <c r="D86" s="2477">
        <v>11.1</v>
      </c>
      <c r="E86" s="2477" t="s">
        <v>836</v>
      </c>
      <c r="F86" s="3501"/>
      <c r="G86" s="3501">
        <v>1.379</v>
      </c>
      <c r="H86" s="3501"/>
      <c r="I86" s="3501">
        <v>67.379000000000005</v>
      </c>
      <c r="J86" s="2125">
        <f t="shared" si="2"/>
        <v>68.75800000000001</v>
      </c>
    </row>
    <row r="87" spans="1:10">
      <c r="A87" s="2477">
        <v>959386</v>
      </c>
      <c r="B87" s="2478" t="s">
        <v>920</v>
      </c>
      <c r="C87" s="2477">
        <v>1444</v>
      </c>
      <c r="D87" s="2477">
        <v>8.1199999999999992</v>
      </c>
      <c r="E87" s="2477" t="s">
        <v>836</v>
      </c>
      <c r="F87" s="3501"/>
      <c r="G87" s="3501">
        <v>0.23899999999999999</v>
      </c>
      <c r="H87" s="3501"/>
      <c r="I87" s="3501">
        <v>67.631</v>
      </c>
      <c r="J87" s="2125">
        <f t="shared" si="2"/>
        <v>67.87</v>
      </c>
    </row>
    <row r="88" spans="1:10">
      <c r="A88" s="2435">
        <v>959343</v>
      </c>
      <c r="B88" s="2436" t="s">
        <v>884</v>
      </c>
      <c r="C88" s="2435">
        <v>2106</v>
      </c>
      <c r="D88" s="2435">
        <v>8.1999999999999993</v>
      </c>
      <c r="E88" s="2435" t="s">
        <v>836</v>
      </c>
      <c r="F88" s="3500"/>
      <c r="G88" s="3500"/>
      <c r="H88" s="3500"/>
      <c r="I88" s="3500">
        <v>66.194999999999993</v>
      </c>
      <c r="J88" s="2125">
        <f t="shared" si="2"/>
        <v>66.194999999999993</v>
      </c>
    </row>
    <row r="89" spans="1:10">
      <c r="A89" s="2435">
        <v>958186</v>
      </c>
      <c r="B89" s="2436" t="s">
        <v>1018</v>
      </c>
      <c r="C89" s="2435">
        <v>1943</v>
      </c>
      <c r="D89" s="2435">
        <v>9.0500000000000007</v>
      </c>
      <c r="E89" s="2435" t="s">
        <v>836</v>
      </c>
      <c r="F89" s="3500"/>
      <c r="G89" s="3500"/>
      <c r="H89" s="3500"/>
      <c r="I89" s="3500">
        <v>66.174999999999997</v>
      </c>
      <c r="J89" s="2125">
        <f t="shared" si="2"/>
        <v>66.174999999999997</v>
      </c>
    </row>
    <row r="90" spans="1:10">
      <c r="A90" s="2435">
        <v>959485</v>
      </c>
      <c r="B90" s="2436" t="s">
        <v>860</v>
      </c>
      <c r="C90" s="2435">
        <v>2108</v>
      </c>
      <c r="D90" s="2435">
        <v>9.6999999999999993</v>
      </c>
      <c r="E90" s="2435" t="s">
        <v>836</v>
      </c>
      <c r="F90" s="3500"/>
      <c r="G90" s="3500">
        <v>0.377</v>
      </c>
      <c r="H90" s="3500"/>
      <c r="I90" s="3500">
        <v>63.884999999999998</v>
      </c>
      <c r="J90" s="2125">
        <f t="shared" si="2"/>
        <v>64.262</v>
      </c>
    </row>
    <row r="91" spans="1:10">
      <c r="A91" s="2477">
        <v>959608</v>
      </c>
      <c r="B91" s="2478" t="s">
        <v>900</v>
      </c>
      <c r="C91" s="2477">
        <v>2172</v>
      </c>
      <c r="D91" s="2477">
        <v>11.98</v>
      </c>
      <c r="E91" s="2477" t="s">
        <v>836</v>
      </c>
      <c r="F91" s="3501"/>
      <c r="G91" s="3501">
        <v>1.502</v>
      </c>
      <c r="H91" s="3501"/>
      <c r="I91" s="3501">
        <v>62.554000000000002</v>
      </c>
      <c r="J91" s="2125">
        <f t="shared" si="2"/>
        <v>64.055999999999997</v>
      </c>
    </row>
    <row r="92" spans="1:10">
      <c r="A92" s="2477">
        <v>959107</v>
      </c>
      <c r="B92" s="2478" t="s">
        <v>914</v>
      </c>
      <c r="C92" s="2477">
        <v>2989</v>
      </c>
      <c r="D92" s="2477">
        <v>8.1999999999999993</v>
      </c>
      <c r="E92" s="2477" t="s">
        <v>836</v>
      </c>
      <c r="F92" s="3501"/>
      <c r="G92" s="3501">
        <v>0.52300000000000002</v>
      </c>
      <c r="H92" s="3501"/>
      <c r="I92" s="3501">
        <v>63.524000000000001</v>
      </c>
      <c r="J92" s="2125">
        <f t="shared" si="2"/>
        <v>64.046999999999997</v>
      </c>
    </row>
    <row r="93" spans="1:10">
      <c r="A93" s="2477">
        <v>959027</v>
      </c>
      <c r="B93" s="2478" t="s">
        <v>928</v>
      </c>
      <c r="C93" s="2477">
        <v>372</v>
      </c>
      <c r="D93" s="2477">
        <v>8.57</v>
      </c>
      <c r="E93" s="2477" t="s">
        <v>836</v>
      </c>
      <c r="F93" s="3501"/>
      <c r="G93" s="3501">
        <v>0.40300000000000002</v>
      </c>
      <c r="H93" s="3501"/>
      <c r="I93" s="3501">
        <v>62.091999999999999</v>
      </c>
      <c r="J93" s="2125">
        <f t="shared" si="2"/>
        <v>62.494999999999997</v>
      </c>
    </row>
    <row r="94" spans="1:10">
      <c r="A94" s="2435">
        <v>956892</v>
      </c>
      <c r="B94" s="2436" t="s">
        <v>993</v>
      </c>
      <c r="C94" s="2435">
        <v>446</v>
      </c>
      <c r="D94" s="2435">
        <v>8.1999999999999993</v>
      </c>
      <c r="E94" s="2435" t="s">
        <v>836</v>
      </c>
      <c r="F94" s="3500"/>
      <c r="G94" s="3500">
        <v>5.2949999999999999</v>
      </c>
      <c r="H94" s="3500"/>
      <c r="I94" s="3500">
        <v>56.884999999999998</v>
      </c>
      <c r="J94" s="2125">
        <f t="shared" si="2"/>
        <v>62.18</v>
      </c>
    </row>
    <row r="95" spans="1:10">
      <c r="A95" s="2435">
        <v>960011</v>
      </c>
      <c r="B95" s="2436" t="s">
        <v>843</v>
      </c>
      <c r="C95" s="2435">
        <v>527</v>
      </c>
      <c r="D95" s="2435">
        <v>8.1999999999999993</v>
      </c>
      <c r="E95" s="2435" t="s">
        <v>836</v>
      </c>
      <c r="F95" s="3500"/>
      <c r="G95" s="3500"/>
      <c r="H95" s="3500"/>
      <c r="I95" s="3500">
        <v>62.018999999999998</v>
      </c>
      <c r="J95" s="2125">
        <f t="shared" si="2"/>
        <v>62.018999999999998</v>
      </c>
    </row>
    <row r="96" spans="1:10">
      <c r="A96" s="2435">
        <v>958331</v>
      </c>
      <c r="B96" s="2436" t="s">
        <v>867</v>
      </c>
      <c r="C96" s="2435">
        <v>2039</v>
      </c>
      <c r="D96" s="2435">
        <v>8.06</v>
      </c>
      <c r="E96" s="2435" t="s">
        <v>836</v>
      </c>
      <c r="F96" s="3500"/>
      <c r="G96" s="3500"/>
      <c r="H96" s="3500"/>
      <c r="I96" s="3500">
        <v>60.365000000000002</v>
      </c>
      <c r="J96" s="2125">
        <f t="shared" si="2"/>
        <v>60.365000000000002</v>
      </c>
    </row>
    <row r="97" spans="1:10">
      <c r="A97" s="2435">
        <v>959379</v>
      </c>
      <c r="B97" s="2436" t="s">
        <v>887</v>
      </c>
      <c r="C97" s="2435">
        <v>2107</v>
      </c>
      <c r="D97" s="2435">
        <v>8.49</v>
      </c>
      <c r="E97" s="2435" t="s">
        <v>836</v>
      </c>
      <c r="F97" s="3500"/>
      <c r="G97" s="3500"/>
      <c r="H97" s="3500"/>
      <c r="I97" s="3500">
        <v>60.03</v>
      </c>
      <c r="J97" s="2125">
        <f t="shared" si="2"/>
        <v>60.03</v>
      </c>
    </row>
    <row r="98" spans="1:10">
      <c r="A98" s="2435">
        <v>954447</v>
      </c>
      <c r="B98" s="2436" t="s">
        <v>881</v>
      </c>
      <c r="C98" s="2435">
        <v>2246</v>
      </c>
      <c r="D98" s="2435">
        <v>10.65</v>
      </c>
      <c r="E98" s="2435" t="s">
        <v>836</v>
      </c>
      <c r="F98" s="3500"/>
      <c r="G98" s="3500"/>
      <c r="H98" s="3500"/>
      <c r="I98" s="3500">
        <v>56.021000000000001</v>
      </c>
      <c r="J98" s="2125">
        <f t="shared" si="2"/>
        <v>56.021000000000001</v>
      </c>
    </row>
    <row r="99" spans="1:10">
      <c r="A99" s="2435">
        <v>957719</v>
      </c>
      <c r="B99" s="2436" t="s">
        <v>912</v>
      </c>
      <c r="C99" s="2435">
        <v>2093</v>
      </c>
      <c r="D99" s="2435">
        <v>7.7</v>
      </c>
      <c r="E99" s="2435" t="s">
        <v>836</v>
      </c>
      <c r="F99" s="3500"/>
      <c r="G99" s="3500"/>
      <c r="H99" s="3500"/>
      <c r="I99" s="3500">
        <v>55.41</v>
      </c>
      <c r="J99" s="2125">
        <f t="shared" si="2"/>
        <v>55.41</v>
      </c>
    </row>
    <row r="100" spans="1:10">
      <c r="A100" s="2477">
        <v>960062</v>
      </c>
      <c r="B100" s="2478" t="s">
        <v>869</v>
      </c>
      <c r="C100" s="2477">
        <v>694</v>
      </c>
      <c r="D100" s="2477">
        <v>8</v>
      </c>
      <c r="E100" s="2477" t="s">
        <v>836</v>
      </c>
      <c r="F100" s="3501"/>
      <c r="G100" s="3501"/>
      <c r="H100" s="3501"/>
      <c r="I100" s="3501">
        <v>55.276000000000003</v>
      </c>
      <c r="J100" s="2125">
        <f t="shared" si="2"/>
        <v>55.276000000000003</v>
      </c>
    </row>
    <row r="101" spans="1:10">
      <c r="A101" s="2477">
        <v>953505</v>
      </c>
      <c r="B101" s="2478" t="s">
        <v>918</v>
      </c>
      <c r="C101" s="2477">
        <v>113</v>
      </c>
      <c r="D101" s="2477">
        <v>7</v>
      </c>
      <c r="E101" s="2477" t="s">
        <v>836</v>
      </c>
      <c r="F101" s="3501"/>
      <c r="G101" s="3501">
        <v>1.4470000000000001</v>
      </c>
      <c r="H101" s="3501"/>
      <c r="I101" s="3501">
        <v>53.468000000000004</v>
      </c>
      <c r="J101" s="2125">
        <f t="shared" si="2"/>
        <v>54.915000000000006</v>
      </c>
    </row>
    <row r="102" spans="1:10">
      <c r="A102" s="2477">
        <v>959043</v>
      </c>
      <c r="B102" s="2478" t="s">
        <v>1007</v>
      </c>
      <c r="C102" s="2477">
        <v>172</v>
      </c>
      <c r="D102" s="2477">
        <v>8.5</v>
      </c>
      <c r="E102" s="2477" t="s">
        <v>836</v>
      </c>
      <c r="F102" s="3501"/>
      <c r="G102" s="3501">
        <v>3.6930000000000001</v>
      </c>
      <c r="H102" s="3501"/>
      <c r="I102" s="3501">
        <v>50.732999999999997</v>
      </c>
      <c r="J102" s="2125">
        <f t="shared" si="2"/>
        <v>54.425999999999995</v>
      </c>
    </row>
    <row r="103" spans="1:10">
      <c r="A103" s="2477">
        <v>955372</v>
      </c>
      <c r="B103" s="2478" t="s">
        <v>845</v>
      </c>
      <c r="C103" s="2477">
        <v>1862</v>
      </c>
      <c r="D103" s="2477">
        <v>8.64</v>
      </c>
      <c r="E103" s="2477" t="s">
        <v>836</v>
      </c>
      <c r="F103" s="3501"/>
      <c r="G103" s="3501"/>
      <c r="H103" s="3501"/>
      <c r="I103" s="3501">
        <v>51.877000000000002</v>
      </c>
      <c r="J103" s="2125">
        <f t="shared" si="2"/>
        <v>51.877000000000002</v>
      </c>
    </row>
    <row r="104" spans="1:10">
      <c r="A104" s="2477">
        <v>959390</v>
      </c>
      <c r="B104" s="2478" t="s">
        <v>932</v>
      </c>
      <c r="C104" s="2477">
        <v>1446</v>
      </c>
      <c r="D104" s="2477">
        <v>8.16</v>
      </c>
      <c r="E104" s="2477" t="s">
        <v>836</v>
      </c>
      <c r="F104" s="3501"/>
      <c r="G104" s="3501"/>
      <c r="H104" s="3501"/>
      <c r="I104" s="3501">
        <v>51.47</v>
      </c>
      <c r="J104" s="2125">
        <f t="shared" si="2"/>
        <v>51.47</v>
      </c>
    </row>
    <row r="105" spans="1:10">
      <c r="A105" s="2477">
        <v>960056</v>
      </c>
      <c r="B105" s="2478" t="s">
        <v>987</v>
      </c>
      <c r="C105" s="2477">
        <v>2131</v>
      </c>
      <c r="D105" s="2477">
        <v>11.98</v>
      </c>
      <c r="E105" s="2477" t="s">
        <v>836</v>
      </c>
      <c r="F105" s="3501"/>
      <c r="G105" s="3501"/>
      <c r="H105" s="3501"/>
      <c r="I105" s="3501">
        <v>50.795000000000002</v>
      </c>
      <c r="J105" s="2125">
        <f t="shared" si="2"/>
        <v>50.795000000000002</v>
      </c>
    </row>
    <row r="106" spans="1:10">
      <c r="A106" s="2435">
        <v>959360</v>
      </c>
      <c r="B106" s="2436" t="s">
        <v>858</v>
      </c>
      <c r="C106" s="2435">
        <v>1931</v>
      </c>
      <c r="D106" s="2435">
        <v>8.5</v>
      </c>
      <c r="E106" s="2435" t="s">
        <v>836</v>
      </c>
      <c r="F106" s="3500"/>
      <c r="G106" s="3500"/>
      <c r="H106" s="3500"/>
      <c r="I106" s="3500">
        <v>50.274999999999999</v>
      </c>
      <c r="J106" s="2125">
        <f t="shared" si="2"/>
        <v>50.274999999999999</v>
      </c>
    </row>
    <row r="107" spans="1:10">
      <c r="A107" s="2435">
        <v>954972</v>
      </c>
      <c r="B107" s="2436" t="s">
        <v>863</v>
      </c>
      <c r="C107" s="2435">
        <v>1858</v>
      </c>
      <c r="D107" s="2435">
        <v>10.3</v>
      </c>
      <c r="E107" s="2435" t="s">
        <v>836</v>
      </c>
      <c r="F107" s="3500"/>
      <c r="G107" s="3500"/>
      <c r="H107" s="3500"/>
      <c r="I107" s="3500">
        <v>50.185000000000002</v>
      </c>
      <c r="J107" s="2125">
        <f t="shared" si="2"/>
        <v>50.185000000000002</v>
      </c>
    </row>
    <row r="108" spans="1:10">
      <c r="A108" s="2435">
        <v>959105</v>
      </c>
      <c r="B108" s="2436" t="s">
        <v>989</v>
      </c>
      <c r="C108" s="2435">
        <v>1465</v>
      </c>
      <c r="D108" s="2435">
        <v>8.1999999999999993</v>
      </c>
      <c r="E108" s="2435" t="s">
        <v>836</v>
      </c>
      <c r="F108" s="3500"/>
      <c r="G108" s="3500">
        <v>3.38</v>
      </c>
      <c r="H108" s="3500"/>
      <c r="I108" s="3500">
        <v>44.807000000000002</v>
      </c>
      <c r="J108" s="2125">
        <f t="shared" si="2"/>
        <v>48.187000000000005</v>
      </c>
    </row>
    <row r="109" spans="1:10">
      <c r="A109" s="2435">
        <v>961035</v>
      </c>
      <c r="B109" s="2436" t="s">
        <v>1582</v>
      </c>
      <c r="C109" s="2435">
        <v>947</v>
      </c>
      <c r="D109" s="2435">
        <v>8.57</v>
      </c>
      <c r="E109" s="2435" t="s">
        <v>836</v>
      </c>
      <c r="F109" s="3500"/>
      <c r="G109" s="3500"/>
      <c r="H109" s="3500"/>
      <c r="I109" s="3500">
        <v>47.104999999999997</v>
      </c>
      <c r="J109" s="2125">
        <f t="shared" si="2"/>
        <v>47.104999999999997</v>
      </c>
    </row>
    <row r="110" spans="1:10">
      <c r="A110" s="2435">
        <v>959326</v>
      </c>
      <c r="B110" s="2436" t="s">
        <v>990</v>
      </c>
      <c r="C110" s="2435">
        <v>208</v>
      </c>
      <c r="D110" s="2435">
        <v>8.4</v>
      </c>
      <c r="E110" s="2435" t="s">
        <v>836</v>
      </c>
      <c r="F110" s="3500"/>
      <c r="G110" s="3500">
        <v>1.1180000000000001</v>
      </c>
      <c r="H110" s="3500"/>
      <c r="I110" s="3500">
        <v>45.142000000000003</v>
      </c>
      <c r="J110" s="2125">
        <f t="shared" si="2"/>
        <v>46.260000000000005</v>
      </c>
    </row>
    <row r="111" spans="1:10">
      <c r="A111" s="2435">
        <v>959193</v>
      </c>
      <c r="B111" s="2436" t="s">
        <v>926</v>
      </c>
      <c r="C111" s="2435">
        <v>1603</v>
      </c>
      <c r="D111" s="2435">
        <v>8.1</v>
      </c>
      <c r="E111" s="2435" t="s">
        <v>836</v>
      </c>
      <c r="F111" s="3500"/>
      <c r="G111" s="3500">
        <v>0.88900000000000001</v>
      </c>
      <c r="H111" s="3500"/>
      <c r="I111" s="3500">
        <v>45.304000000000002</v>
      </c>
      <c r="J111" s="2125">
        <f t="shared" si="2"/>
        <v>46.193000000000005</v>
      </c>
    </row>
    <row r="112" spans="1:10">
      <c r="A112" s="2435">
        <v>960964</v>
      </c>
      <c r="B112" s="2436" t="s">
        <v>1030</v>
      </c>
      <c r="C112" s="2435">
        <v>1570</v>
      </c>
      <c r="D112" s="2435">
        <v>11.9</v>
      </c>
      <c r="E112" s="2435" t="s">
        <v>836</v>
      </c>
      <c r="F112" s="3500"/>
      <c r="G112" s="3500"/>
      <c r="H112" s="3500"/>
      <c r="I112" s="3500">
        <v>45.95</v>
      </c>
      <c r="J112" s="2125">
        <f t="shared" si="2"/>
        <v>45.95</v>
      </c>
    </row>
    <row r="113" spans="1:10">
      <c r="A113" s="2435">
        <v>961564</v>
      </c>
      <c r="B113" s="2436" t="s">
        <v>1583</v>
      </c>
      <c r="C113" s="2435">
        <v>2255</v>
      </c>
      <c r="D113" s="2435">
        <v>11.98</v>
      </c>
      <c r="E113" s="2435" t="s">
        <v>836</v>
      </c>
      <c r="F113" s="3500"/>
      <c r="G113" s="3500"/>
      <c r="H113" s="3500"/>
      <c r="I113" s="3500">
        <v>45.73</v>
      </c>
      <c r="J113" s="2125">
        <f t="shared" si="2"/>
        <v>45.73</v>
      </c>
    </row>
    <row r="114" spans="1:10">
      <c r="A114" s="2435">
        <v>955519</v>
      </c>
      <c r="B114" s="2436" t="s">
        <v>999</v>
      </c>
      <c r="C114" s="2435">
        <v>1951</v>
      </c>
      <c r="D114" s="2435">
        <v>9.35</v>
      </c>
      <c r="E114" s="2435" t="s">
        <v>836</v>
      </c>
      <c r="F114" s="3500"/>
      <c r="G114" s="3500"/>
      <c r="H114" s="3500"/>
      <c r="I114" s="3500">
        <v>45.29</v>
      </c>
      <c r="J114" s="2125">
        <f t="shared" si="2"/>
        <v>45.29</v>
      </c>
    </row>
    <row r="115" spans="1:10">
      <c r="A115" s="2435">
        <v>959362</v>
      </c>
      <c r="B115" s="2436" t="s">
        <v>991</v>
      </c>
      <c r="C115" s="2435">
        <v>289</v>
      </c>
      <c r="D115" s="2435">
        <v>8.06</v>
      </c>
      <c r="E115" s="2435" t="s">
        <v>836</v>
      </c>
      <c r="F115" s="3500"/>
      <c r="G115" s="3500">
        <v>0.28000000000000003</v>
      </c>
      <c r="H115" s="3500"/>
      <c r="I115" s="3500">
        <v>43.875</v>
      </c>
      <c r="J115" s="2125">
        <f t="shared" si="2"/>
        <v>44.155000000000001</v>
      </c>
    </row>
    <row r="116" spans="1:10">
      <c r="A116" s="2435">
        <v>959585</v>
      </c>
      <c r="B116" s="2436" t="s">
        <v>916</v>
      </c>
      <c r="C116" s="2435">
        <v>492</v>
      </c>
      <c r="D116" s="2435">
        <v>8.2799999999999994</v>
      </c>
      <c r="E116" s="2435" t="s">
        <v>836</v>
      </c>
      <c r="F116" s="3500"/>
      <c r="G116" s="3500"/>
      <c r="H116" s="3500"/>
      <c r="I116" s="3500">
        <v>43.944000000000003</v>
      </c>
      <c r="J116" s="2125">
        <f t="shared" si="2"/>
        <v>43.944000000000003</v>
      </c>
    </row>
    <row r="117" spans="1:10">
      <c r="A117" s="2435">
        <v>957706</v>
      </c>
      <c r="B117" s="2436" t="s">
        <v>921</v>
      </c>
      <c r="C117" s="2435">
        <v>1522</v>
      </c>
      <c r="D117" s="2435">
        <v>5.3</v>
      </c>
      <c r="E117" s="2435" t="s">
        <v>836</v>
      </c>
      <c r="F117" s="3500"/>
      <c r="G117" s="3500"/>
      <c r="H117" s="3500"/>
      <c r="I117" s="3500">
        <v>43.515000000000001</v>
      </c>
      <c r="J117" s="2125">
        <f t="shared" si="2"/>
        <v>43.515000000000001</v>
      </c>
    </row>
    <row r="118" spans="1:10">
      <c r="A118" s="2477">
        <v>958760</v>
      </c>
      <c r="B118" s="2478" t="s">
        <v>866</v>
      </c>
      <c r="C118" s="2477">
        <v>2096</v>
      </c>
      <c r="D118" s="2477">
        <v>10.85</v>
      </c>
      <c r="E118" s="2477" t="s">
        <v>836</v>
      </c>
      <c r="F118" s="3501"/>
      <c r="G118" s="3501"/>
      <c r="H118" s="3501"/>
      <c r="I118" s="3501">
        <v>43.5</v>
      </c>
      <c r="J118" s="2125">
        <f t="shared" si="2"/>
        <v>43.5</v>
      </c>
    </row>
    <row r="119" spans="1:10">
      <c r="A119" s="2435">
        <v>955411</v>
      </c>
      <c r="B119" s="2436" t="s">
        <v>908</v>
      </c>
      <c r="C119" s="2435">
        <v>1916</v>
      </c>
      <c r="D119" s="2435">
        <v>10.8</v>
      </c>
      <c r="E119" s="2435" t="s">
        <v>836</v>
      </c>
      <c r="F119" s="3500"/>
      <c r="G119" s="3500"/>
      <c r="H119" s="3500"/>
      <c r="I119" s="3500">
        <v>41.073999999999998</v>
      </c>
      <c r="J119" s="2125">
        <f t="shared" si="2"/>
        <v>41.073999999999998</v>
      </c>
    </row>
    <row r="120" spans="1:10">
      <c r="A120" s="2477">
        <v>959332</v>
      </c>
      <c r="B120" s="2478" t="s">
        <v>929</v>
      </c>
      <c r="C120" s="2477">
        <v>116</v>
      </c>
      <c r="D120" s="2477">
        <v>8.17</v>
      </c>
      <c r="E120" s="2477" t="s">
        <v>836</v>
      </c>
      <c r="F120" s="3501"/>
      <c r="G120" s="3501"/>
      <c r="H120" s="3501"/>
      <c r="I120" s="3501">
        <v>41.058</v>
      </c>
      <c r="J120" s="2125">
        <f t="shared" si="2"/>
        <v>41.058</v>
      </c>
    </row>
    <row r="121" spans="1:10">
      <c r="A121" s="2477">
        <v>959210</v>
      </c>
      <c r="B121" s="2478" t="s">
        <v>898</v>
      </c>
      <c r="C121" s="2477">
        <v>50</v>
      </c>
      <c r="D121" s="2477">
        <v>8.1</v>
      </c>
      <c r="E121" s="2477" t="s">
        <v>836</v>
      </c>
      <c r="F121" s="3501"/>
      <c r="G121" s="3501"/>
      <c r="H121" s="3501"/>
      <c r="I121" s="3501">
        <v>40.613</v>
      </c>
      <c r="J121" s="2125">
        <f t="shared" si="2"/>
        <v>40.613</v>
      </c>
    </row>
    <row r="122" spans="1:10">
      <c r="A122" s="2435">
        <v>961619</v>
      </c>
      <c r="B122" s="2436" t="s">
        <v>1000</v>
      </c>
      <c r="C122" s="2435">
        <v>3029</v>
      </c>
      <c r="D122" s="2435">
        <v>11.99</v>
      </c>
      <c r="E122" s="2435" t="s">
        <v>836</v>
      </c>
      <c r="F122" s="3500"/>
      <c r="G122" s="3500"/>
      <c r="H122" s="3500"/>
      <c r="I122" s="3500">
        <v>40.052</v>
      </c>
      <c r="J122" s="2125">
        <f t="shared" si="2"/>
        <v>40.052</v>
      </c>
    </row>
    <row r="123" spans="1:10">
      <c r="A123" s="2477">
        <v>956006</v>
      </c>
      <c r="B123" s="2478" t="s">
        <v>1019</v>
      </c>
      <c r="C123" s="2477">
        <v>716</v>
      </c>
      <c r="D123" s="2477">
        <v>7.1</v>
      </c>
      <c r="E123" s="2477" t="s">
        <v>780</v>
      </c>
      <c r="F123" s="3501"/>
      <c r="G123" s="3501">
        <v>1.0189999999999999</v>
      </c>
      <c r="H123" s="3501"/>
      <c r="I123" s="3501">
        <v>38.875999999999998</v>
      </c>
      <c r="J123" s="2125">
        <f t="shared" si="2"/>
        <v>39.894999999999996</v>
      </c>
    </row>
    <row r="124" spans="1:10">
      <c r="A124" s="2435">
        <v>959483</v>
      </c>
      <c r="B124" s="2436" t="s">
        <v>883</v>
      </c>
      <c r="C124" s="2435">
        <v>2023</v>
      </c>
      <c r="D124" s="2435">
        <v>8.02</v>
      </c>
      <c r="E124" s="2435" t="s">
        <v>836</v>
      </c>
      <c r="F124" s="3500"/>
      <c r="G124" s="3500"/>
      <c r="H124" s="3500"/>
      <c r="I124" s="3500">
        <v>38.722999999999999</v>
      </c>
      <c r="J124" s="2125">
        <f t="shared" si="2"/>
        <v>38.722999999999999</v>
      </c>
    </row>
    <row r="125" spans="1:10">
      <c r="A125" s="2435">
        <v>959371</v>
      </c>
      <c r="B125" s="2436" t="s">
        <v>1001</v>
      </c>
      <c r="C125" s="2435">
        <v>1616</v>
      </c>
      <c r="D125" s="2435">
        <v>9.6</v>
      </c>
      <c r="E125" s="2435" t="s">
        <v>836</v>
      </c>
      <c r="F125" s="3500">
        <v>38.555</v>
      </c>
      <c r="G125" s="3500"/>
      <c r="H125" s="3500"/>
      <c r="I125" s="3500"/>
      <c r="J125" s="2125">
        <f t="shared" si="2"/>
        <v>38.555</v>
      </c>
    </row>
    <row r="126" spans="1:10">
      <c r="A126" s="2477">
        <v>959404</v>
      </c>
      <c r="B126" s="2478" t="s">
        <v>871</v>
      </c>
      <c r="C126" s="2477">
        <v>2110</v>
      </c>
      <c r="D126" s="2477">
        <v>8.1</v>
      </c>
      <c r="E126" s="2477" t="s">
        <v>836</v>
      </c>
      <c r="F126" s="3501"/>
      <c r="G126" s="3501">
        <v>8.5999999999999993E-2</v>
      </c>
      <c r="H126" s="3501"/>
      <c r="I126" s="3501">
        <v>38.454000000000001</v>
      </c>
      <c r="J126" s="2125">
        <f t="shared" si="2"/>
        <v>38.54</v>
      </c>
    </row>
    <row r="127" spans="1:10">
      <c r="A127" s="2477">
        <v>959408</v>
      </c>
      <c r="B127" s="2478" t="s">
        <v>893</v>
      </c>
      <c r="C127" s="2477">
        <v>1732</v>
      </c>
      <c r="D127" s="2477">
        <v>8.3000000000000007</v>
      </c>
      <c r="E127" s="2477" t="s">
        <v>780</v>
      </c>
      <c r="F127" s="3501"/>
      <c r="G127" s="3501"/>
      <c r="H127" s="3501"/>
      <c r="I127" s="3501">
        <v>37.29</v>
      </c>
      <c r="J127" s="2125">
        <f t="shared" si="2"/>
        <v>37.29</v>
      </c>
    </row>
    <row r="128" spans="1:10">
      <c r="A128" s="2435">
        <v>958003</v>
      </c>
      <c r="B128" s="2436" t="s">
        <v>996</v>
      </c>
      <c r="C128" s="2435">
        <v>2890</v>
      </c>
      <c r="D128" s="2435">
        <v>11.1</v>
      </c>
      <c r="E128" s="2435" t="s">
        <v>836</v>
      </c>
      <c r="F128" s="3500"/>
      <c r="G128" s="3500"/>
      <c r="H128" s="3500"/>
      <c r="I128" s="3500">
        <v>36.906999999999996</v>
      </c>
      <c r="J128" s="2125">
        <f t="shared" si="2"/>
        <v>36.906999999999996</v>
      </c>
    </row>
    <row r="129" spans="1:10">
      <c r="A129" s="2477">
        <v>954656</v>
      </c>
      <c r="B129" s="2478" t="s">
        <v>899</v>
      </c>
      <c r="C129" s="2477">
        <v>745</v>
      </c>
      <c r="D129" s="2477">
        <v>8.4</v>
      </c>
      <c r="E129" s="2477" t="s">
        <v>836</v>
      </c>
      <c r="F129" s="3501"/>
      <c r="G129" s="3501"/>
      <c r="H129" s="3501"/>
      <c r="I129" s="3501">
        <v>36.67</v>
      </c>
      <c r="J129" s="2125">
        <f t="shared" si="2"/>
        <v>36.67</v>
      </c>
    </row>
    <row r="130" spans="1:10">
      <c r="A130" s="2477">
        <v>960335</v>
      </c>
      <c r="B130" s="2478" t="s">
        <v>903</v>
      </c>
      <c r="C130" s="2477">
        <v>396</v>
      </c>
      <c r="D130" s="2477">
        <v>8.5</v>
      </c>
      <c r="E130" s="2477" t="s">
        <v>836</v>
      </c>
      <c r="F130" s="3501"/>
      <c r="G130" s="3501"/>
      <c r="H130" s="3501"/>
      <c r="I130" s="3501">
        <v>35.9</v>
      </c>
      <c r="J130" s="2125">
        <f t="shared" si="2"/>
        <v>35.9</v>
      </c>
    </row>
    <row r="131" spans="1:10">
      <c r="A131" s="2477">
        <v>957769</v>
      </c>
      <c r="B131" s="2478" t="s">
        <v>876</v>
      </c>
      <c r="C131" s="2477">
        <v>337</v>
      </c>
      <c r="D131" s="2477">
        <v>8.6999999999999993</v>
      </c>
      <c r="E131" s="2477" t="s">
        <v>836</v>
      </c>
      <c r="F131" s="3501"/>
      <c r="G131" s="3501"/>
      <c r="H131" s="3501"/>
      <c r="I131" s="3501">
        <v>35.534999999999997</v>
      </c>
      <c r="J131" s="2125">
        <f t="shared" si="2"/>
        <v>35.534999999999997</v>
      </c>
    </row>
    <row r="132" spans="1:10">
      <c r="A132" s="2435">
        <v>958255</v>
      </c>
      <c r="B132" s="2436" t="s">
        <v>997</v>
      </c>
      <c r="C132" s="2435">
        <v>1845</v>
      </c>
      <c r="D132" s="2435">
        <v>8.4</v>
      </c>
      <c r="E132" s="2435" t="s">
        <v>836</v>
      </c>
      <c r="F132" s="3500">
        <v>5.3760000000000003</v>
      </c>
      <c r="G132" s="3500"/>
      <c r="H132" s="3500"/>
      <c r="I132" s="3500">
        <v>29.888999999999999</v>
      </c>
      <c r="J132" s="2125">
        <f t="shared" si="2"/>
        <v>35.265000000000001</v>
      </c>
    </row>
    <row r="133" spans="1:10">
      <c r="A133" s="2477">
        <v>959388</v>
      </c>
      <c r="B133" s="2478" t="s">
        <v>998</v>
      </c>
      <c r="C133" s="2477">
        <v>1557</v>
      </c>
      <c r="D133" s="2477">
        <v>8.1999999999999993</v>
      </c>
      <c r="E133" s="2477" t="s">
        <v>836</v>
      </c>
      <c r="F133" s="3501"/>
      <c r="G133" s="3501"/>
      <c r="H133" s="3501"/>
      <c r="I133" s="3501">
        <v>34.32</v>
      </c>
      <c r="J133" s="2125">
        <f t="shared" si="2"/>
        <v>34.32</v>
      </c>
    </row>
    <row r="134" spans="1:10">
      <c r="A134" s="2435">
        <v>961637</v>
      </c>
      <c r="B134" s="2436" t="s">
        <v>1095</v>
      </c>
      <c r="C134" s="2435">
        <v>659</v>
      </c>
      <c r="D134" s="2435">
        <v>8.16</v>
      </c>
      <c r="E134" s="2435" t="s">
        <v>780</v>
      </c>
      <c r="F134" s="3500"/>
      <c r="G134" s="3500"/>
      <c r="H134" s="3500"/>
      <c r="I134" s="3500">
        <v>34.058999999999997</v>
      </c>
      <c r="J134" s="2125">
        <f t="shared" si="2"/>
        <v>34.058999999999997</v>
      </c>
    </row>
    <row r="135" spans="1:10">
      <c r="A135" s="2477">
        <v>959744</v>
      </c>
      <c r="B135" s="2478" t="s">
        <v>865</v>
      </c>
      <c r="C135" s="2477">
        <v>182</v>
      </c>
      <c r="D135" s="2477">
        <v>8.15</v>
      </c>
      <c r="E135" s="2477" t="s">
        <v>836</v>
      </c>
      <c r="F135" s="3501"/>
      <c r="G135" s="3501"/>
      <c r="H135" s="3501"/>
      <c r="I135" s="3501">
        <v>32.869999999999997</v>
      </c>
      <c r="J135" s="2125">
        <f t="shared" si="2"/>
        <v>32.869999999999997</v>
      </c>
    </row>
    <row r="136" spans="1:10">
      <c r="A136" s="2477">
        <v>959197</v>
      </c>
      <c r="B136" s="2478" t="s">
        <v>907</v>
      </c>
      <c r="C136" s="2477">
        <v>2158</v>
      </c>
      <c r="D136" s="2477">
        <v>9.1</v>
      </c>
      <c r="E136" s="2477" t="s">
        <v>836</v>
      </c>
      <c r="F136" s="3501"/>
      <c r="G136" s="3501"/>
      <c r="H136" s="3501"/>
      <c r="I136" s="3501">
        <v>32.817</v>
      </c>
      <c r="J136" s="2125">
        <f t="shared" si="2"/>
        <v>32.817</v>
      </c>
    </row>
    <row r="137" spans="1:10">
      <c r="A137" s="2435">
        <v>954625</v>
      </c>
      <c r="B137" s="2436" t="s">
        <v>892</v>
      </c>
      <c r="C137" s="2435">
        <v>1106</v>
      </c>
      <c r="D137" s="2435">
        <v>8.8000000000000007</v>
      </c>
      <c r="E137" s="2435" t="s">
        <v>836</v>
      </c>
      <c r="F137" s="3500"/>
      <c r="G137" s="3500">
        <v>0.56699999999999995</v>
      </c>
      <c r="H137" s="3500"/>
      <c r="I137" s="3500">
        <v>31.495000000000001</v>
      </c>
      <c r="J137" s="2125">
        <f t="shared" si="2"/>
        <v>32.061999999999998</v>
      </c>
    </row>
    <row r="138" spans="1:10">
      <c r="A138" s="2477">
        <v>958899</v>
      </c>
      <c r="B138" s="2478" t="s">
        <v>880</v>
      </c>
      <c r="C138" s="2477">
        <v>2145</v>
      </c>
      <c r="D138" s="2477">
        <v>8.5</v>
      </c>
      <c r="E138" s="2477" t="s">
        <v>836</v>
      </c>
      <c r="F138" s="3501"/>
      <c r="G138" s="3501"/>
      <c r="H138" s="3501"/>
      <c r="I138" s="3501">
        <v>31.614000000000001</v>
      </c>
      <c r="J138" s="2125">
        <f t="shared" si="2"/>
        <v>31.614000000000001</v>
      </c>
    </row>
    <row r="139" spans="1:10">
      <c r="A139" s="2435">
        <v>960002</v>
      </c>
      <c r="B139" s="2436" t="s">
        <v>934</v>
      </c>
      <c r="C139" s="2435">
        <v>831</v>
      </c>
      <c r="D139" s="2435">
        <v>9.6</v>
      </c>
      <c r="E139" s="2435" t="s">
        <v>836</v>
      </c>
      <c r="F139" s="3500">
        <v>7.3999999999999996E-2</v>
      </c>
      <c r="G139" s="3500"/>
      <c r="H139" s="3500"/>
      <c r="I139" s="3500">
        <v>29.998999999999999</v>
      </c>
      <c r="J139" s="2125">
        <f t="shared" ref="J139:J202" si="3">SUM(F139:I139)</f>
        <v>30.073</v>
      </c>
    </row>
    <row r="140" spans="1:10">
      <c r="A140" s="2435">
        <v>959352</v>
      </c>
      <c r="B140" s="2436" t="s">
        <v>888</v>
      </c>
      <c r="C140" s="2435">
        <v>1136</v>
      </c>
      <c r="D140" s="2435">
        <v>8.6300000000000008</v>
      </c>
      <c r="E140" s="2435" t="s">
        <v>836</v>
      </c>
      <c r="F140" s="3500"/>
      <c r="G140" s="3500"/>
      <c r="H140" s="3500"/>
      <c r="I140" s="3500">
        <v>29.61</v>
      </c>
      <c r="J140" s="2125">
        <f t="shared" si="3"/>
        <v>29.61</v>
      </c>
    </row>
    <row r="141" spans="1:10">
      <c r="A141" s="2477">
        <v>953663</v>
      </c>
      <c r="B141" s="2478" t="s">
        <v>864</v>
      </c>
      <c r="C141" s="2477">
        <v>510</v>
      </c>
      <c r="D141" s="2477">
        <v>7.7</v>
      </c>
      <c r="E141" s="2477" t="s">
        <v>836</v>
      </c>
      <c r="F141" s="3501"/>
      <c r="G141" s="3501"/>
      <c r="H141" s="3501"/>
      <c r="I141" s="3501">
        <v>29.06</v>
      </c>
      <c r="J141" s="2125">
        <f t="shared" si="3"/>
        <v>29.06</v>
      </c>
    </row>
    <row r="142" spans="1:10">
      <c r="A142" s="2477">
        <v>959383</v>
      </c>
      <c r="B142" s="2478" t="s">
        <v>910</v>
      </c>
      <c r="C142" s="2477">
        <v>1189</v>
      </c>
      <c r="D142" s="2477">
        <v>8.5</v>
      </c>
      <c r="E142" s="2477" t="s">
        <v>836</v>
      </c>
      <c r="F142" s="3501"/>
      <c r="G142" s="3501"/>
      <c r="H142" s="3501"/>
      <c r="I142" s="3501">
        <v>29</v>
      </c>
      <c r="J142" s="2125">
        <f t="shared" si="3"/>
        <v>29</v>
      </c>
    </row>
    <row r="143" spans="1:10">
      <c r="A143" s="2477">
        <v>957811</v>
      </c>
      <c r="B143" s="2478" t="s">
        <v>919</v>
      </c>
      <c r="C143" s="2477">
        <v>2055</v>
      </c>
      <c r="D143" s="2477">
        <v>8.1999999999999993</v>
      </c>
      <c r="E143" s="2477" t="s">
        <v>836</v>
      </c>
      <c r="F143" s="3501"/>
      <c r="G143" s="3501"/>
      <c r="H143" s="3501"/>
      <c r="I143" s="3501">
        <v>28.895</v>
      </c>
      <c r="J143" s="2125">
        <f t="shared" si="3"/>
        <v>28.895</v>
      </c>
    </row>
    <row r="144" spans="1:10">
      <c r="A144" s="2435">
        <v>961127</v>
      </c>
      <c r="B144" s="2436" t="s">
        <v>874</v>
      </c>
      <c r="C144" s="2435">
        <v>915</v>
      </c>
      <c r="D144" s="2435">
        <v>8.9</v>
      </c>
      <c r="E144" s="2435" t="s">
        <v>836</v>
      </c>
      <c r="F144" s="3500"/>
      <c r="G144" s="3500"/>
      <c r="H144" s="3500"/>
      <c r="I144" s="3500">
        <v>28.21</v>
      </c>
      <c r="J144" s="2125">
        <f t="shared" si="3"/>
        <v>28.21</v>
      </c>
    </row>
    <row r="145" spans="1:10">
      <c r="A145" s="2435">
        <v>955340</v>
      </c>
      <c r="B145" s="2436" t="s">
        <v>854</v>
      </c>
      <c r="C145" s="2435">
        <v>1187</v>
      </c>
      <c r="D145" s="2435">
        <v>9</v>
      </c>
      <c r="E145" s="2435" t="s">
        <v>836</v>
      </c>
      <c r="F145" s="3500"/>
      <c r="G145" s="3500"/>
      <c r="H145" s="3500"/>
      <c r="I145" s="3500">
        <v>27.21</v>
      </c>
      <c r="J145" s="2125">
        <f t="shared" si="3"/>
        <v>27.21</v>
      </c>
    </row>
    <row r="146" spans="1:10">
      <c r="A146" s="2477">
        <v>957502</v>
      </c>
      <c r="B146" s="2478" t="s">
        <v>207</v>
      </c>
      <c r="C146" s="2477">
        <v>2063</v>
      </c>
      <c r="D146" s="2477">
        <v>8.5</v>
      </c>
      <c r="E146" s="2477" t="s">
        <v>836</v>
      </c>
      <c r="F146" s="3501"/>
      <c r="G146" s="3501"/>
      <c r="H146" s="3501"/>
      <c r="I146" s="3501">
        <v>26.69</v>
      </c>
      <c r="J146" s="2125">
        <f t="shared" si="3"/>
        <v>26.69</v>
      </c>
    </row>
    <row r="147" spans="1:10">
      <c r="A147" s="2477">
        <v>959998</v>
      </c>
      <c r="B147" s="2478" t="s">
        <v>1004</v>
      </c>
      <c r="C147" s="2477">
        <v>1447</v>
      </c>
      <c r="D147" s="2477">
        <v>8.1199999999999992</v>
      </c>
      <c r="E147" s="2477" t="s">
        <v>836</v>
      </c>
      <c r="F147" s="3501"/>
      <c r="G147" s="3501">
        <v>0.54900000000000004</v>
      </c>
      <c r="H147" s="3501"/>
      <c r="I147" s="3501">
        <v>25.861000000000001</v>
      </c>
      <c r="J147" s="2125">
        <f t="shared" si="3"/>
        <v>26.41</v>
      </c>
    </row>
    <row r="148" spans="1:10">
      <c r="A148" s="2477">
        <v>955389</v>
      </c>
      <c r="B148" s="2478" t="s">
        <v>913</v>
      </c>
      <c r="C148" s="2477">
        <v>1925</v>
      </c>
      <c r="D148" s="2477">
        <v>8.3000000000000007</v>
      </c>
      <c r="E148" s="2477" t="s">
        <v>836</v>
      </c>
      <c r="F148" s="3501"/>
      <c r="G148" s="3501"/>
      <c r="H148" s="3501"/>
      <c r="I148" s="3501">
        <v>26.3</v>
      </c>
      <c r="J148" s="2125">
        <f t="shared" si="3"/>
        <v>26.3</v>
      </c>
    </row>
    <row r="149" spans="1:10">
      <c r="A149" s="2435">
        <v>959957</v>
      </c>
      <c r="B149" s="2436" t="s">
        <v>936</v>
      </c>
      <c r="C149" s="2435">
        <v>195</v>
      </c>
      <c r="D149" s="2435">
        <v>8.1</v>
      </c>
      <c r="E149" s="2435" t="s">
        <v>836</v>
      </c>
      <c r="F149" s="3500"/>
      <c r="G149" s="3500"/>
      <c r="H149" s="3500"/>
      <c r="I149" s="3500">
        <v>25.52</v>
      </c>
      <c r="J149" s="2125">
        <f t="shared" si="3"/>
        <v>25.52</v>
      </c>
    </row>
    <row r="150" spans="1:10">
      <c r="A150" s="2477">
        <v>955410</v>
      </c>
      <c r="B150" s="2478" t="s">
        <v>933</v>
      </c>
      <c r="C150" s="2477">
        <v>1935</v>
      </c>
      <c r="D150" s="2477">
        <v>8.1999999999999993</v>
      </c>
      <c r="E150" s="2477" t="s">
        <v>836</v>
      </c>
      <c r="F150" s="3501"/>
      <c r="G150" s="3501"/>
      <c r="H150" s="3501"/>
      <c r="I150" s="3501">
        <v>25.37</v>
      </c>
      <c r="J150" s="2125">
        <f t="shared" si="3"/>
        <v>25.37</v>
      </c>
    </row>
    <row r="151" spans="1:10">
      <c r="A151" s="2477">
        <v>951724</v>
      </c>
      <c r="B151" s="2478" t="s">
        <v>905</v>
      </c>
      <c r="C151" s="2477">
        <v>1724</v>
      </c>
      <c r="D151" s="2477">
        <v>8.23</v>
      </c>
      <c r="E151" s="2477" t="s">
        <v>836</v>
      </c>
      <c r="F151" s="3501"/>
      <c r="G151" s="3501"/>
      <c r="H151" s="3501"/>
      <c r="I151" s="3501">
        <v>25</v>
      </c>
      <c r="J151" s="2125">
        <f t="shared" si="3"/>
        <v>25</v>
      </c>
    </row>
    <row r="152" spans="1:10">
      <c r="A152" s="2477">
        <v>959617</v>
      </c>
      <c r="B152" s="2478" t="s">
        <v>1002</v>
      </c>
      <c r="C152" s="2477">
        <v>1459</v>
      </c>
      <c r="D152" s="2477">
        <v>8.1199999999999992</v>
      </c>
      <c r="E152" s="2477" t="s">
        <v>836</v>
      </c>
      <c r="F152" s="3501"/>
      <c r="G152" s="3501"/>
      <c r="H152" s="3501"/>
      <c r="I152" s="3501">
        <v>24.675000000000001</v>
      </c>
      <c r="J152" s="2125">
        <f t="shared" si="3"/>
        <v>24.675000000000001</v>
      </c>
    </row>
    <row r="153" spans="1:10">
      <c r="A153" s="2435">
        <v>955154</v>
      </c>
      <c r="B153" s="2436" t="s">
        <v>909</v>
      </c>
      <c r="C153" s="2435">
        <v>1908</v>
      </c>
      <c r="D153" s="2435">
        <v>8.9</v>
      </c>
      <c r="E153" s="2435" t="s">
        <v>836</v>
      </c>
      <c r="F153" s="3500"/>
      <c r="G153" s="3500"/>
      <c r="H153" s="3500"/>
      <c r="I153" s="3500">
        <v>24.44</v>
      </c>
      <c r="J153" s="2125">
        <f t="shared" si="3"/>
        <v>24.44</v>
      </c>
    </row>
    <row r="154" spans="1:10">
      <c r="A154" s="2477">
        <v>957834</v>
      </c>
      <c r="B154" s="2478" t="s">
        <v>1096</v>
      </c>
      <c r="C154" s="2477">
        <v>2101</v>
      </c>
      <c r="D154" s="2477">
        <v>11.7</v>
      </c>
      <c r="E154" s="2477" t="s">
        <v>836</v>
      </c>
      <c r="F154" s="3501"/>
      <c r="G154" s="3501">
        <v>0.104</v>
      </c>
      <c r="H154" s="3501"/>
      <c r="I154" s="3501">
        <v>24.126000000000001</v>
      </c>
      <c r="J154" s="2125">
        <f t="shared" si="3"/>
        <v>24.23</v>
      </c>
    </row>
    <row r="155" spans="1:10">
      <c r="A155" s="2435">
        <v>957703</v>
      </c>
      <c r="B155" s="2436" t="s">
        <v>877</v>
      </c>
      <c r="C155" s="2435">
        <v>2046</v>
      </c>
      <c r="D155" s="2435">
        <v>8.4</v>
      </c>
      <c r="E155" s="2435" t="s">
        <v>836</v>
      </c>
      <c r="F155" s="3500"/>
      <c r="G155" s="3500"/>
      <c r="H155" s="3500"/>
      <c r="I155" s="3500">
        <v>24.1</v>
      </c>
      <c r="J155" s="2125">
        <f t="shared" si="3"/>
        <v>24.1</v>
      </c>
    </row>
    <row r="156" spans="1:10">
      <c r="A156" s="2477">
        <v>5227</v>
      </c>
      <c r="B156" s="2478" t="s">
        <v>1003</v>
      </c>
      <c r="C156" s="2477">
        <v>453</v>
      </c>
      <c r="D156" s="2477">
        <v>5.75</v>
      </c>
      <c r="E156" s="2477" t="s">
        <v>836</v>
      </c>
      <c r="F156" s="3501"/>
      <c r="G156" s="3501"/>
      <c r="H156" s="3501"/>
      <c r="I156" s="3501">
        <v>24.004999999999999</v>
      </c>
      <c r="J156" s="2125">
        <f t="shared" si="3"/>
        <v>24.004999999999999</v>
      </c>
    </row>
    <row r="157" spans="1:10">
      <c r="A157" s="2477">
        <v>959046</v>
      </c>
      <c r="B157" s="2478" t="s">
        <v>1093</v>
      </c>
      <c r="C157" s="2477">
        <v>1627</v>
      </c>
      <c r="D157" s="2477">
        <v>9.3000000000000007</v>
      </c>
      <c r="E157" s="2477" t="s">
        <v>836</v>
      </c>
      <c r="F157" s="3501"/>
      <c r="G157" s="3501">
        <v>6.6059999999999999</v>
      </c>
      <c r="H157" s="3501"/>
      <c r="I157" s="3501">
        <v>16.984000000000002</v>
      </c>
      <c r="J157" s="2125">
        <f t="shared" si="3"/>
        <v>23.590000000000003</v>
      </c>
    </row>
    <row r="158" spans="1:10">
      <c r="A158" s="2435">
        <v>959198</v>
      </c>
      <c r="B158" s="2436" t="s">
        <v>897</v>
      </c>
      <c r="C158" s="2435">
        <v>1712</v>
      </c>
      <c r="D158" s="2435">
        <v>8.3699999999999992</v>
      </c>
      <c r="E158" s="2435" t="s">
        <v>836</v>
      </c>
      <c r="F158" s="3500"/>
      <c r="G158" s="3500"/>
      <c r="H158" s="3500"/>
      <c r="I158" s="3500">
        <v>22</v>
      </c>
      <c r="J158" s="2125">
        <f t="shared" si="3"/>
        <v>22</v>
      </c>
    </row>
    <row r="159" spans="1:10">
      <c r="A159" s="2477">
        <v>959104</v>
      </c>
      <c r="B159" s="2478" t="s">
        <v>1005</v>
      </c>
      <c r="C159" s="2477">
        <v>293</v>
      </c>
      <c r="D159" s="2477">
        <v>8.32</v>
      </c>
      <c r="E159" s="2477" t="s">
        <v>836</v>
      </c>
      <c r="F159" s="3501"/>
      <c r="G159" s="3501"/>
      <c r="H159" s="3501"/>
      <c r="I159" s="3501">
        <v>21.97</v>
      </c>
      <c r="J159" s="2125">
        <f t="shared" si="3"/>
        <v>21.97</v>
      </c>
    </row>
    <row r="160" spans="1:10">
      <c r="A160" s="2477">
        <v>960096</v>
      </c>
      <c r="B160" s="2478" t="s">
        <v>896</v>
      </c>
      <c r="C160" s="2477">
        <v>2113</v>
      </c>
      <c r="D160" s="2477">
        <v>8.1999999999999993</v>
      </c>
      <c r="E160" s="2477" t="s">
        <v>836</v>
      </c>
      <c r="F160" s="3501"/>
      <c r="G160" s="3501">
        <v>1.38</v>
      </c>
      <c r="H160" s="3501"/>
      <c r="I160" s="3501">
        <v>20.567</v>
      </c>
      <c r="J160" s="2125">
        <f t="shared" si="3"/>
        <v>21.946999999999999</v>
      </c>
    </row>
    <row r="161" spans="1:10">
      <c r="A161" s="2435">
        <v>960803</v>
      </c>
      <c r="B161" s="2436" t="s">
        <v>1006</v>
      </c>
      <c r="C161" s="2435">
        <v>1690</v>
      </c>
      <c r="D161" s="2435">
        <v>9.3000000000000007</v>
      </c>
      <c r="E161" s="2435" t="s">
        <v>836</v>
      </c>
      <c r="F161" s="3500"/>
      <c r="G161" s="3500"/>
      <c r="H161" s="3500"/>
      <c r="I161" s="3500">
        <v>21</v>
      </c>
      <c r="J161" s="2125">
        <f t="shared" si="3"/>
        <v>21</v>
      </c>
    </row>
    <row r="162" spans="1:10">
      <c r="A162" s="2477">
        <v>955101</v>
      </c>
      <c r="B162" s="2478" t="s">
        <v>1012</v>
      </c>
      <c r="C162" s="2477">
        <v>1384</v>
      </c>
      <c r="D162" s="2477">
        <v>8.06</v>
      </c>
      <c r="E162" s="2477" t="s">
        <v>836</v>
      </c>
      <c r="F162" s="3501"/>
      <c r="G162" s="3501"/>
      <c r="H162" s="3501"/>
      <c r="I162" s="3501">
        <v>20.795999999999999</v>
      </c>
      <c r="J162" s="2125">
        <f t="shared" si="3"/>
        <v>20.795999999999999</v>
      </c>
    </row>
    <row r="163" spans="1:10">
      <c r="A163" s="2435">
        <v>959589</v>
      </c>
      <c r="B163" s="2436" t="s">
        <v>306</v>
      </c>
      <c r="C163" s="2435">
        <v>143</v>
      </c>
      <c r="D163" s="2435">
        <v>8.3000000000000007</v>
      </c>
      <c r="E163" s="2435" t="s">
        <v>836</v>
      </c>
      <c r="F163" s="3500"/>
      <c r="G163" s="3500"/>
      <c r="H163" s="3500"/>
      <c r="I163" s="3500">
        <v>20.53</v>
      </c>
      <c r="J163" s="2125">
        <f t="shared" si="3"/>
        <v>20.53</v>
      </c>
    </row>
    <row r="164" spans="1:10">
      <c r="A164" s="2435">
        <v>958890</v>
      </c>
      <c r="B164" s="2436" t="s">
        <v>1009</v>
      </c>
      <c r="C164" s="2435">
        <v>2899</v>
      </c>
      <c r="D164" s="2435">
        <v>8.1</v>
      </c>
      <c r="E164" s="2435" t="s">
        <v>836</v>
      </c>
      <c r="F164" s="3500"/>
      <c r="G164" s="3500"/>
      <c r="H164" s="3500"/>
      <c r="I164" s="3500">
        <v>20.5</v>
      </c>
      <c r="J164" s="2125">
        <f t="shared" si="3"/>
        <v>20.5</v>
      </c>
    </row>
    <row r="165" spans="1:10">
      <c r="A165" s="2477">
        <v>959484</v>
      </c>
      <c r="B165" s="2478" t="s">
        <v>894</v>
      </c>
      <c r="C165" s="2477">
        <v>2109</v>
      </c>
      <c r="D165" s="2477">
        <v>8.1999999999999993</v>
      </c>
      <c r="E165" s="2477" t="s">
        <v>836</v>
      </c>
      <c r="F165" s="3501"/>
      <c r="G165" s="3501"/>
      <c r="H165" s="3501"/>
      <c r="I165" s="3501">
        <v>20.25</v>
      </c>
      <c r="J165" s="2125">
        <f t="shared" si="3"/>
        <v>20.25</v>
      </c>
    </row>
    <row r="166" spans="1:10">
      <c r="A166" s="2435">
        <v>958603</v>
      </c>
      <c r="B166" s="2436" t="s">
        <v>1028</v>
      </c>
      <c r="C166" s="2435">
        <v>148</v>
      </c>
      <c r="D166" s="2435">
        <v>8</v>
      </c>
      <c r="E166" s="2435" t="s">
        <v>836</v>
      </c>
      <c r="F166" s="3500"/>
      <c r="G166" s="3500"/>
      <c r="H166" s="3500"/>
      <c r="I166" s="3500">
        <v>20.18</v>
      </c>
      <c r="J166" s="2125">
        <f t="shared" si="3"/>
        <v>20.18</v>
      </c>
    </row>
    <row r="167" spans="1:10">
      <c r="A167" s="2477">
        <v>959409</v>
      </c>
      <c r="B167" s="2478" t="s">
        <v>882</v>
      </c>
      <c r="C167" s="2477">
        <v>2114</v>
      </c>
      <c r="D167" s="2477">
        <v>8.5</v>
      </c>
      <c r="E167" s="2477" t="s">
        <v>836</v>
      </c>
      <c r="F167" s="3501"/>
      <c r="G167" s="3501"/>
      <c r="H167" s="3501"/>
      <c r="I167" s="3501">
        <v>19.98</v>
      </c>
      <c r="J167" s="2125">
        <f t="shared" si="3"/>
        <v>19.98</v>
      </c>
    </row>
    <row r="168" spans="1:10">
      <c r="A168" s="2477">
        <v>959010</v>
      </c>
      <c r="B168" s="2478" t="s">
        <v>895</v>
      </c>
      <c r="C168" s="2477">
        <v>414</v>
      </c>
      <c r="D168" s="2477">
        <v>8.27</v>
      </c>
      <c r="E168" s="2477" t="s">
        <v>836</v>
      </c>
      <c r="F168" s="3501"/>
      <c r="G168" s="3501"/>
      <c r="H168" s="3501"/>
      <c r="I168" s="3501">
        <v>19.28</v>
      </c>
      <c r="J168" s="2125">
        <f t="shared" si="3"/>
        <v>19.28</v>
      </c>
    </row>
    <row r="169" spans="1:10">
      <c r="A169" s="2477">
        <v>959487</v>
      </c>
      <c r="B169" s="2478" t="s">
        <v>906</v>
      </c>
      <c r="C169" s="2477">
        <v>2162</v>
      </c>
      <c r="D169" s="2477">
        <v>11.88</v>
      </c>
      <c r="E169" s="2477" t="s">
        <v>836</v>
      </c>
      <c r="F169" s="3501"/>
      <c r="G169" s="3501"/>
      <c r="H169" s="3501"/>
      <c r="I169" s="3501">
        <v>19.23</v>
      </c>
      <c r="J169" s="2125">
        <f t="shared" si="3"/>
        <v>19.23</v>
      </c>
    </row>
    <row r="170" spans="1:10">
      <c r="A170" s="2435">
        <v>961645</v>
      </c>
      <c r="B170" s="2436" t="s">
        <v>1584</v>
      </c>
      <c r="C170" s="2435">
        <v>862</v>
      </c>
      <c r="D170" s="2435">
        <v>11.98</v>
      </c>
      <c r="E170" s="2435" t="s">
        <v>836</v>
      </c>
      <c r="F170" s="3500"/>
      <c r="G170" s="3500"/>
      <c r="H170" s="3500"/>
      <c r="I170" s="3500">
        <v>19.082000000000001</v>
      </c>
      <c r="J170" s="2125">
        <f t="shared" si="3"/>
        <v>19.082000000000001</v>
      </c>
    </row>
    <row r="171" spans="1:10">
      <c r="A171" s="2435">
        <v>955793</v>
      </c>
      <c r="B171" s="2436" t="s">
        <v>1008</v>
      </c>
      <c r="C171" s="2435">
        <v>1425</v>
      </c>
      <c r="D171" s="2435">
        <v>8.35</v>
      </c>
      <c r="E171" s="2435" t="s">
        <v>836</v>
      </c>
      <c r="F171" s="3500"/>
      <c r="G171" s="3500"/>
      <c r="H171" s="3500"/>
      <c r="I171" s="3500">
        <v>19</v>
      </c>
      <c r="J171" s="2125">
        <f t="shared" si="3"/>
        <v>19</v>
      </c>
    </row>
    <row r="172" spans="1:10">
      <c r="A172" s="2477">
        <v>961601</v>
      </c>
      <c r="B172" s="2478" t="s">
        <v>1594</v>
      </c>
      <c r="C172" s="2477">
        <v>157</v>
      </c>
      <c r="D172" s="2477">
        <v>8.0500000000000007</v>
      </c>
      <c r="E172" s="2477" t="s">
        <v>836</v>
      </c>
      <c r="F172" s="3501"/>
      <c r="G172" s="3501"/>
      <c r="H172" s="3501"/>
      <c r="I172" s="3501">
        <v>17.87</v>
      </c>
      <c r="J172" s="2125">
        <f t="shared" si="3"/>
        <v>17.87</v>
      </c>
    </row>
    <row r="173" spans="1:10">
      <c r="A173" s="2477">
        <v>958604</v>
      </c>
      <c r="B173" s="2478" t="s">
        <v>1010</v>
      </c>
      <c r="C173" s="2477">
        <v>2141</v>
      </c>
      <c r="D173" s="2477">
        <v>8.1</v>
      </c>
      <c r="E173" s="2477" t="s">
        <v>836</v>
      </c>
      <c r="F173" s="3501"/>
      <c r="G173" s="3501"/>
      <c r="H173" s="3501"/>
      <c r="I173" s="3501">
        <v>17.260000000000002</v>
      </c>
      <c r="J173" s="2125">
        <f t="shared" si="3"/>
        <v>17.260000000000002</v>
      </c>
    </row>
    <row r="174" spans="1:10">
      <c r="A174" s="2435">
        <v>5591</v>
      </c>
      <c r="B174" s="2436" t="s">
        <v>1011</v>
      </c>
      <c r="C174" s="2435">
        <v>314</v>
      </c>
      <c r="D174" s="2435">
        <v>7.3</v>
      </c>
      <c r="E174" s="2435" t="s">
        <v>836</v>
      </c>
      <c r="F174" s="3500"/>
      <c r="G174" s="3500">
        <v>0.39400000000000002</v>
      </c>
      <c r="H174" s="3500"/>
      <c r="I174" s="3500">
        <v>16.600999999999999</v>
      </c>
      <c r="J174" s="2125">
        <f t="shared" si="3"/>
        <v>16.994999999999997</v>
      </c>
    </row>
    <row r="175" spans="1:10">
      <c r="A175" s="2435">
        <v>959618</v>
      </c>
      <c r="B175" s="2436" t="s">
        <v>940</v>
      </c>
      <c r="C175" s="2435">
        <v>1514</v>
      </c>
      <c r="D175" s="2435">
        <v>8.15</v>
      </c>
      <c r="E175" s="2435" t="s">
        <v>836</v>
      </c>
      <c r="F175" s="3500"/>
      <c r="G175" s="3500">
        <v>2.4E-2</v>
      </c>
      <c r="H175" s="3500"/>
      <c r="I175" s="3500">
        <v>16.263000000000002</v>
      </c>
      <c r="J175" s="2125">
        <f t="shared" si="3"/>
        <v>16.287000000000003</v>
      </c>
    </row>
    <row r="176" spans="1:10">
      <c r="A176" s="2435">
        <v>958634</v>
      </c>
      <c r="B176" s="2436" t="s">
        <v>927</v>
      </c>
      <c r="C176" s="2435">
        <v>2037</v>
      </c>
      <c r="D176" s="2435">
        <v>7.6</v>
      </c>
      <c r="E176" s="2435" t="s">
        <v>836</v>
      </c>
      <c r="F176" s="3500"/>
      <c r="G176" s="3500"/>
      <c r="H176" s="3500"/>
      <c r="I176" s="3500">
        <v>16.260000000000002</v>
      </c>
      <c r="J176" s="2125">
        <f t="shared" si="3"/>
        <v>16.260000000000002</v>
      </c>
    </row>
    <row r="177" spans="1:10">
      <c r="A177" s="2435">
        <v>955932</v>
      </c>
      <c r="B177" s="2436" t="s">
        <v>1014</v>
      </c>
      <c r="C177" s="2435">
        <v>1413</v>
      </c>
      <c r="D177" s="2435">
        <v>8.1999999999999993</v>
      </c>
      <c r="E177" s="2435" t="s">
        <v>836</v>
      </c>
      <c r="F177" s="3500"/>
      <c r="G177" s="3500"/>
      <c r="H177" s="3500"/>
      <c r="I177" s="3500">
        <v>16.09</v>
      </c>
      <c r="J177" s="2125">
        <f t="shared" si="3"/>
        <v>16.09</v>
      </c>
    </row>
    <row r="178" spans="1:10">
      <c r="A178" s="2435">
        <v>958892</v>
      </c>
      <c r="B178" s="2436" t="s">
        <v>1021</v>
      </c>
      <c r="C178" s="2435">
        <v>2897</v>
      </c>
      <c r="D178" s="2435">
        <v>8.1300000000000008</v>
      </c>
      <c r="E178" s="2435" t="s">
        <v>836</v>
      </c>
      <c r="F178" s="3500"/>
      <c r="G178" s="3500"/>
      <c r="H178" s="3500"/>
      <c r="I178" s="3500">
        <v>15.98</v>
      </c>
      <c r="J178" s="2125">
        <f t="shared" si="3"/>
        <v>15.98</v>
      </c>
    </row>
    <row r="179" spans="1:10">
      <c r="A179" s="2477">
        <v>961061</v>
      </c>
      <c r="B179" s="2478" t="s">
        <v>1595</v>
      </c>
      <c r="C179" s="2477">
        <v>2247</v>
      </c>
      <c r="D179" s="2477">
        <v>11.99</v>
      </c>
      <c r="E179" s="2477" t="s">
        <v>836</v>
      </c>
      <c r="F179" s="3501"/>
      <c r="G179" s="3501"/>
      <c r="H179" s="3501"/>
      <c r="I179" s="3501">
        <v>15.58</v>
      </c>
      <c r="J179" s="2125">
        <f t="shared" si="3"/>
        <v>15.58</v>
      </c>
    </row>
    <row r="180" spans="1:10">
      <c r="A180" s="2435">
        <v>959385</v>
      </c>
      <c r="B180" s="2436" t="s">
        <v>1013</v>
      </c>
      <c r="C180" s="2435">
        <v>141</v>
      </c>
      <c r="D180" s="2435">
        <v>8.5500000000000007</v>
      </c>
      <c r="E180" s="2435" t="s">
        <v>836</v>
      </c>
      <c r="F180" s="3500"/>
      <c r="G180" s="3500"/>
      <c r="H180" s="3500"/>
      <c r="I180" s="3500">
        <v>15.125</v>
      </c>
      <c r="J180" s="2125">
        <f t="shared" si="3"/>
        <v>15.125</v>
      </c>
    </row>
    <row r="181" spans="1:10">
      <c r="A181" s="2435">
        <v>960935</v>
      </c>
      <c r="B181" s="2436" t="s">
        <v>885</v>
      </c>
      <c r="C181" s="2435">
        <v>1042</v>
      </c>
      <c r="D181" s="2435">
        <v>7.05</v>
      </c>
      <c r="E181" s="2435" t="s">
        <v>836</v>
      </c>
      <c r="F181" s="3500"/>
      <c r="G181" s="3500"/>
      <c r="H181" s="3500"/>
      <c r="I181" s="3500">
        <v>15.01</v>
      </c>
      <c r="J181" s="2125">
        <f t="shared" si="3"/>
        <v>15.01</v>
      </c>
    </row>
    <row r="182" spans="1:10">
      <c r="A182" s="2435">
        <v>958891</v>
      </c>
      <c r="B182" s="2436" t="s">
        <v>1015</v>
      </c>
      <c r="C182" s="2435">
        <v>2893</v>
      </c>
      <c r="D182" s="2435">
        <v>8.1</v>
      </c>
      <c r="E182" s="2435" t="s">
        <v>836</v>
      </c>
      <c r="F182" s="3500"/>
      <c r="G182" s="3500"/>
      <c r="H182" s="3500"/>
      <c r="I182" s="3500">
        <v>14.94</v>
      </c>
      <c r="J182" s="2125">
        <f t="shared" si="3"/>
        <v>14.94</v>
      </c>
    </row>
    <row r="183" spans="1:10">
      <c r="A183" s="2477">
        <v>952465</v>
      </c>
      <c r="B183" s="2478" t="s">
        <v>886</v>
      </c>
      <c r="C183" s="2477">
        <v>1791</v>
      </c>
      <c r="D183" s="2477">
        <v>11</v>
      </c>
      <c r="E183" s="2477" t="s">
        <v>836</v>
      </c>
      <c r="F183" s="3501"/>
      <c r="G183" s="3501"/>
      <c r="H183" s="3501"/>
      <c r="I183" s="3501">
        <v>14.87</v>
      </c>
      <c r="J183" s="2125">
        <f t="shared" si="3"/>
        <v>14.87</v>
      </c>
    </row>
    <row r="184" spans="1:10">
      <c r="A184" s="2435">
        <v>958595</v>
      </c>
      <c r="B184" s="2436" t="s">
        <v>1094</v>
      </c>
      <c r="C184" s="2435">
        <v>605</v>
      </c>
      <c r="D184" s="2435">
        <v>7.6</v>
      </c>
      <c r="E184" s="2435" t="s">
        <v>836</v>
      </c>
      <c r="F184" s="3500"/>
      <c r="G184" s="3500"/>
      <c r="H184" s="3500"/>
      <c r="I184" s="3500">
        <v>14.19</v>
      </c>
      <c r="J184" s="2125">
        <f t="shared" si="3"/>
        <v>14.19</v>
      </c>
    </row>
    <row r="185" spans="1:10">
      <c r="A185" s="2477">
        <v>959091</v>
      </c>
      <c r="B185" s="2478" t="s">
        <v>1016</v>
      </c>
      <c r="C185" s="2477">
        <v>2898</v>
      </c>
      <c r="D185" s="2477">
        <v>8.15</v>
      </c>
      <c r="E185" s="2477" t="s">
        <v>836</v>
      </c>
      <c r="F185" s="3501"/>
      <c r="G185" s="3501"/>
      <c r="H185" s="3501"/>
      <c r="I185" s="3501">
        <v>13.57</v>
      </c>
      <c r="J185" s="2125">
        <f t="shared" si="3"/>
        <v>13.57</v>
      </c>
    </row>
    <row r="186" spans="1:10">
      <c r="A186" s="2477">
        <v>952520</v>
      </c>
      <c r="B186" s="2478" t="s">
        <v>925</v>
      </c>
      <c r="C186" s="2477">
        <v>1774</v>
      </c>
      <c r="D186" s="2477">
        <v>7.6</v>
      </c>
      <c r="E186" s="2477" t="s">
        <v>836</v>
      </c>
      <c r="F186" s="3501"/>
      <c r="G186" s="3501"/>
      <c r="H186" s="3501"/>
      <c r="I186" s="3501">
        <v>13.241</v>
      </c>
      <c r="J186" s="2125">
        <f t="shared" si="3"/>
        <v>13.241</v>
      </c>
    </row>
    <row r="187" spans="1:10">
      <c r="A187" s="2435">
        <v>960353</v>
      </c>
      <c r="B187" s="2436" t="s">
        <v>1017</v>
      </c>
      <c r="C187" s="2435">
        <v>1549</v>
      </c>
      <c r="D187" s="2435">
        <v>8.02</v>
      </c>
      <c r="E187" s="2435" t="s">
        <v>836</v>
      </c>
      <c r="F187" s="3500"/>
      <c r="G187" s="3500"/>
      <c r="H187" s="3500"/>
      <c r="I187" s="3500">
        <v>13.115</v>
      </c>
      <c r="J187" s="2125">
        <f t="shared" si="3"/>
        <v>13.115</v>
      </c>
    </row>
    <row r="188" spans="1:10">
      <c r="A188" s="2477">
        <v>960297</v>
      </c>
      <c r="B188" s="2478" t="s">
        <v>1020</v>
      </c>
      <c r="C188" s="2477">
        <v>243</v>
      </c>
      <c r="D188" s="2477">
        <v>8.16</v>
      </c>
      <c r="E188" s="2477" t="s">
        <v>836</v>
      </c>
      <c r="F188" s="3501"/>
      <c r="G188" s="3501"/>
      <c r="H188" s="3501"/>
      <c r="I188" s="3501">
        <v>12.98</v>
      </c>
      <c r="J188" s="2125">
        <f t="shared" si="3"/>
        <v>12.98</v>
      </c>
    </row>
    <row r="189" spans="1:10">
      <c r="A189" s="2477">
        <v>959213</v>
      </c>
      <c r="B189" s="2478" t="s">
        <v>1022</v>
      </c>
      <c r="C189" s="2477">
        <v>2095</v>
      </c>
      <c r="D189" s="2477">
        <v>8.5</v>
      </c>
      <c r="E189" s="2477" t="s">
        <v>836</v>
      </c>
      <c r="F189" s="3501"/>
      <c r="G189" s="3501"/>
      <c r="H189" s="3501"/>
      <c r="I189" s="3501">
        <v>12.44</v>
      </c>
      <c r="J189" s="2125">
        <f t="shared" si="3"/>
        <v>12.44</v>
      </c>
    </row>
    <row r="190" spans="1:10">
      <c r="A190" s="2435">
        <v>959111</v>
      </c>
      <c r="B190" s="2436" t="s">
        <v>938</v>
      </c>
      <c r="C190" s="2435">
        <v>2089</v>
      </c>
      <c r="D190" s="2435">
        <v>9.1</v>
      </c>
      <c r="E190" s="2435" t="s">
        <v>836</v>
      </c>
      <c r="F190" s="3500"/>
      <c r="G190" s="3500">
        <v>0.66</v>
      </c>
      <c r="H190" s="3500"/>
      <c r="I190" s="3500">
        <v>11.694000000000001</v>
      </c>
      <c r="J190" s="2125">
        <f t="shared" si="3"/>
        <v>12.354000000000001</v>
      </c>
    </row>
    <row r="191" spans="1:10">
      <c r="A191" s="2435">
        <v>956551</v>
      </c>
      <c r="B191" s="2436" t="s">
        <v>1024</v>
      </c>
      <c r="C191" s="2435">
        <v>996</v>
      </c>
      <c r="D191" s="2435">
        <v>8.1999999999999993</v>
      </c>
      <c r="E191" s="2435" t="s">
        <v>836</v>
      </c>
      <c r="F191" s="3500"/>
      <c r="G191" s="3500"/>
      <c r="H191" s="3500"/>
      <c r="I191" s="3500">
        <v>12.092000000000001</v>
      </c>
      <c r="J191" s="2125">
        <f t="shared" si="3"/>
        <v>12.092000000000001</v>
      </c>
    </row>
    <row r="192" spans="1:10">
      <c r="A192" s="2477">
        <v>958759</v>
      </c>
      <c r="B192" s="2478" t="s">
        <v>1023</v>
      </c>
      <c r="C192" s="2477">
        <v>460</v>
      </c>
      <c r="D192" s="2477">
        <v>8.1199999999999992</v>
      </c>
      <c r="E192" s="2477" t="s">
        <v>836</v>
      </c>
      <c r="F192" s="3501"/>
      <c r="G192" s="3501"/>
      <c r="H192" s="3501"/>
      <c r="I192" s="3501">
        <v>11.76</v>
      </c>
      <c r="J192" s="2125">
        <f t="shared" si="3"/>
        <v>11.76</v>
      </c>
    </row>
    <row r="193" spans="1:10">
      <c r="A193" s="2477">
        <v>955444</v>
      </c>
      <c r="B193" s="2478" t="s">
        <v>917</v>
      </c>
      <c r="C193" s="2477">
        <v>1926</v>
      </c>
      <c r="D193" s="2477">
        <v>8.1999999999999993</v>
      </c>
      <c r="E193" s="2477" t="s">
        <v>836</v>
      </c>
      <c r="F193" s="3501"/>
      <c r="G193" s="3501"/>
      <c r="H193" s="3501"/>
      <c r="I193" s="3501">
        <v>11.67</v>
      </c>
      <c r="J193" s="2125">
        <f t="shared" si="3"/>
        <v>11.67</v>
      </c>
    </row>
    <row r="194" spans="1:10">
      <c r="A194" s="2435">
        <v>960868</v>
      </c>
      <c r="B194" s="2436" t="s">
        <v>922</v>
      </c>
      <c r="C194" s="2435">
        <v>169</v>
      </c>
      <c r="D194" s="2435">
        <v>8</v>
      </c>
      <c r="E194" s="2435" t="s">
        <v>836</v>
      </c>
      <c r="F194" s="3500"/>
      <c r="G194" s="3500"/>
      <c r="H194" s="3500"/>
      <c r="I194" s="3500">
        <v>11.59</v>
      </c>
      <c r="J194" s="2125">
        <f t="shared" si="3"/>
        <v>11.59</v>
      </c>
    </row>
    <row r="195" spans="1:10">
      <c r="A195" s="2477">
        <v>956395</v>
      </c>
      <c r="B195" s="2478" t="s">
        <v>930</v>
      </c>
      <c r="C195" s="2477">
        <v>1984</v>
      </c>
      <c r="D195" s="2477">
        <v>8.06</v>
      </c>
      <c r="E195" s="2477" t="s">
        <v>836</v>
      </c>
      <c r="F195" s="3501"/>
      <c r="G195" s="3501"/>
      <c r="H195" s="3501"/>
      <c r="I195" s="3501">
        <v>10.603</v>
      </c>
      <c r="J195" s="2125">
        <f t="shared" si="3"/>
        <v>10.603</v>
      </c>
    </row>
    <row r="196" spans="1:10">
      <c r="A196" s="2477">
        <v>957520</v>
      </c>
      <c r="B196" s="2478" t="s">
        <v>935</v>
      </c>
      <c r="C196" s="2477">
        <v>2008</v>
      </c>
      <c r="D196" s="2477">
        <v>8.1999999999999993</v>
      </c>
      <c r="E196" s="2477" t="s">
        <v>836</v>
      </c>
      <c r="F196" s="3501"/>
      <c r="G196" s="3501"/>
      <c r="H196" s="3501"/>
      <c r="I196" s="3501">
        <v>10.590999999999999</v>
      </c>
      <c r="J196" s="2125">
        <f t="shared" si="3"/>
        <v>10.590999999999999</v>
      </c>
    </row>
    <row r="197" spans="1:10">
      <c r="A197" s="2477">
        <v>959586</v>
      </c>
      <c r="B197" s="2478" t="s">
        <v>1025</v>
      </c>
      <c r="C197" s="2477">
        <v>2879</v>
      </c>
      <c r="D197" s="2477">
        <v>8.1300000000000008</v>
      </c>
      <c r="E197" s="2477" t="s">
        <v>836</v>
      </c>
      <c r="F197" s="3501"/>
      <c r="G197" s="3501"/>
      <c r="H197" s="3501"/>
      <c r="I197" s="3501">
        <v>10.135</v>
      </c>
      <c r="J197" s="2125">
        <f t="shared" si="3"/>
        <v>10.135</v>
      </c>
    </row>
    <row r="198" spans="1:10">
      <c r="A198" s="2435">
        <v>959996</v>
      </c>
      <c r="B198" s="2436" t="s">
        <v>1097</v>
      </c>
      <c r="C198" s="2435">
        <v>313</v>
      </c>
      <c r="D198" s="2435">
        <v>8.1999999999999993</v>
      </c>
      <c r="E198" s="2435" t="s">
        <v>836</v>
      </c>
      <c r="F198" s="3500"/>
      <c r="G198" s="3500"/>
      <c r="H198" s="3500"/>
      <c r="I198" s="3500">
        <v>10</v>
      </c>
      <c r="J198" s="2125">
        <f t="shared" si="3"/>
        <v>10</v>
      </c>
    </row>
    <row r="199" spans="1:10">
      <c r="A199" s="2435">
        <v>955412</v>
      </c>
      <c r="B199" s="2436" t="s">
        <v>911</v>
      </c>
      <c r="C199" s="2435">
        <v>1938</v>
      </c>
      <c r="D199" s="2435">
        <v>7</v>
      </c>
      <c r="E199" s="2435" t="s">
        <v>780</v>
      </c>
      <c r="F199" s="3500"/>
      <c r="G199" s="3500"/>
      <c r="H199" s="3500"/>
      <c r="I199" s="3500">
        <v>9.73</v>
      </c>
      <c r="J199" s="2125">
        <f t="shared" si="3"/>
        <v>9.73</v>
      </c>
    </row>
    <row r="200" spans="1:10">
      <c r="A200" s="2435">
        <v>953557</v>
      </c>
      <c r="B200" s="2436" t="s">
        <v>1026</v>
      </c>
      <c r="C200" s="2435">
        <v>554</v>
      </c>
      <c r="D200" s="2435">
        <v>8.6</v>
      </c>
      <c r="E200" s="2435" t="s">
        <v>836</v>
      </c>
      <c r="F200" s="3500"/>
      <c r="G200" s="3500"/>
      <c r="H200" s="3500"/>
      <c r="I200" s="3500">
        <v>9.1039999999999992</v>
      </c>
      <c r="J200" s="2125">
        <f t="shared" si="3"/>
        <v>9.1039999999999992</v>
      </c>
    </row>
    <row r="201" spans="1:10">
      <c r="A201" s="2477">
        <v>959997</v>
      </c>
      <c r="B201" s="2478" t="s">
        <v>1027</v>
      </c>
      <c r="C201" s="2477">
        <v>2345</v>
      </c>
      <c r="D201" s="2477">
        <v>8.08</v>
      </c>
      <c r="E201" s="2477" t="s">
        <v>836</v>
      </c>
      <c r="F201" s="3501"/>
      <c r="G201" s="3501">
        <v>0.32800000000000001</v>
      </c>
      <c r="H201" s="3501"/>
      <c r="I201" s="3501">
        <v>7.867</v>
      </c>
      <c r="J201" s="2125">
        <f t="shared" si="3"/>
        <v>8.1950000000000003</v>
      </c>
    </row>
    <row r="202" spans="1:10">
      <c r="A202" s="2477">
        <v>958094</v>
      </c>
      <c r="B202" s="2478" t="s">
        <v>1029</v>
      </c>
      <c r="C202" s="2477">
        <v>2203</v>
      </c>
      <c r="D202" s="2477">
        <v>7.4</v>
      </c>
      <c r="E202" s="2477" t="s">
        <v>836</v>
      </c>
      <c r="F202" s="3501"/>
      <c r="G202" s="3501"/>
      <c r="H202" s="3501"/>
      <c r="I202" s="3501">
        <v>8.01</v>
      </c>
      <c r="J202" s="2125">
        <f t="shared" si="3"/>
        <v>8.01</v>
      </c>
    </row>
    <row r="203" spans="1:10">
      <c r="A203" s="2435">
        <v>960301</v>
      </c>
      <c r="B203" s="2436" t="s">
        <v>923</v>
      </c>
      <c r="C203" s="2435">
        <v>827</v>
      </c>
      <c r="D203" s="2435">
        <v>10.8</v>
      </c>
      <c r="E203" s="2435" t="s">
        <v>836</v>
      </c>
      <c r="F203" s="3500"/>
      <c r="G203" s="3500"/>
      <c r="H203" s="3500"/>
      <c r="I203" s="3500">
        <v>7.6849999999999996</v>
      </c>
      <c r="J203" s="2125">
        <f t="shared" ref="J203:J215" si="4">SUM(F203:I203)</f>
        <v>7.6849999999999996</v>
      </c>
    </row>
    <row r="204" spans="1:10">
      <c r="A204" s="2435">
        <v>959410</v>
      </c>
      <c r="B204" s="2436" t="s">
        <v>937</v>
      </c>
      <c r="C204" s="2435">
        <v>1949</v>
      </c>
      <c r="D204" s="2435">
        <v>8.06</v>
      </c>
      <c r="E204" s="2435" t="s">
        <v>836</v>
      </c>
      <c r="F204" s="3500"/>
      <c r="G204" s="3500"/>
      <c r="H204" s="3500"/>
      <c r="I204" s="3500">
        <v>6.84</v>
      </c>
      <c r="J204" s="2125">
        <f t="shared" si="4"/>
        <v>6.84</v>
      </c>
    </row>
    <row r="205" spans="1:10">
      <c r="A205" s="2435">
        <v>959510</v>
      </c>
      <c r="B205" s="2436" t="s">
        <v>924</v>
      </c>
      <c r="C205" s="2435">
        <v>270</v>
      </c>
      <c r="D205" s="2435">
        <v>9.6</v>
      </c>
      <c r="E205" s="2435" t="s">
        <v>836</v>
      </c>
      <c r="F205" s="3500"/>
      <c r="G205" s="3500"/>
      <c r="H205" s="3500"/>
      <c r="I205" s="3500">
        <v>5.7750000000000004</v>
      </c>
      <c r="J205" s="2125">
        <f t="shared" si="4"/>
        <v>5.7750000000000004</v>
      </c>
    </row>
    <row r="206" spans="1:10">
      <c r="A206" s="2435">
        <v>956564</v>
      </c>
      <c r="B206" s="2436" t="s">
        <v>1031</v>
      </c>
      <c r="C206" s="2435">
        <v>798</v>
      </c>
      <c r="D206" s="2435">
        <v>8.1999999999999993</v>
      </c>
      <c r="E206" s="2435" t="s">
        <v>836</v>
      </c>
      <c r="F206" s="3500"/>
      <c r="G206" s="3500"/>
      <c r="H206" s="3500"/>
      <c r="I206" s="3500">
        <v>5.0819999999999999</v>
      </c>
      <c r="J206" s="2125">
        <f t="shared" si="4"/>
        <v>5.0819999999999999</v>
      </c>
    </row>
    <row r="207" spans="1:10">
      <c r="A207" s="2435">
        <v>955508</v>
      </c>
      <c r="B207" s="2436" t="s">
        <v>1032</v>
      </c>
      <c r="C207" s="2435">
        <v>1391</v>
      </c>
      <c r="D207" s="2435">
        <v>8</v>
      </c>
      <c r="E207" s="2435" t="s">
        <v>836</v>
      </c>
      <c r="F207" s="3500"/>
      <c r="G207" s="3500"/>
      <c r="H207" s="3500"/>
      <c r="I207" s="3500">
        <v>4.53</v>
      </c>
      <c r="J207" s="2125">
        <f t="shared" si="4"/>
        <v>4.53</v>
      </c>
    </row>
    <row r="208" spans="1:10">
      <c r="A208" s="2477">
        <v>959774</v>
      </c>
      <c r="B208" s="2478" t="s">
        <v>931</v>
      </c>
      <c r="C208" s="2477">
        <v>1453</v>
      </c>
      <c r="D208" s="2477">
        <v>8.23</v>
      </c>
      <c r="E208" s="2477" t="s">
        <v>836</v>
      </c>
      <c r="F208" s="3501"/>
      <c r="G208" s="3501"/>
      <c r="H208" s="3501"/>
      <c r="I208" s="3501">
        <v>3</v>
      </c>
      <c r="J208" s="2125">
        <f t="shared" si="4"/>
        <v>3</v>
      </c>
    </row>
    <row r="209" spans="1:16">
      <c r="A209" s="2435">
        <v>961125</v>
      </c>
      <c r="B209" s="2436" t="s">
        <v>1585</v>
      </c>
      <c r="C209" s="2435">
        <v>2261</v>
      </c>
      <c r="D209" s="2435">
        <v>11.9</v>
      </c>
      <c r="E209" s="2435" t="s">
        <v>836</v>
      </c>
      <c r="F209" s="3500"/>
      <c r="G209" s="3500"/>
      <c r="H209" s="3500"/>
      <c r="I209" s="3500">
        <v>1.84</v>
      </c>
      <c r="J209" s="2125">
        <f t="shared" si="4"/>
        <v>1.84</v>
      </c>
    </row>
    <row r="210" spans="1:16">
      <c r="A210" s="2435">
        <v>961041</v>
      </c>
      <c r="B210" s="2436" t="s">
        <v>1098</v>
      </c>
      <c r="C210" s="2435">
        <v>913</v>
      </c>
      <c r="D210" s="2435">
        <v>8.1</v>
      </c>
      <c r="E210" s="2435" t="s">
        <v>836</v>
      </c>
      <c r="F210" s="3500"/>
      <c r="G210" s="3500">
        <v>0.6</v>
      </c>
      <c r="H210" s="3500"/>
      <c r="I210" s="3500">
        <v>1.04</v>
      </c>
      <c r="J210" s="2125">
        <f t="shared" si="4"/>
        <v>1.6400000000000001</v>
      </c>
    </row>
    <row r="211" spans="1:16">
      <c r="A211" s="2477">
        <v>20965</v>
      </c>
      <c r="B211" s="2478" t="s">
        <v>939</v>
      </c>
      <c r="C211" s="2477">
        <v>449</v>
      </c>
      <c r="D211" s="2477">
        <v>5.75</v>
      </c>
      <c r="E211" s="2477" t="s">
        <v>836</v>
      </c>
      <c r="F211" s="3501"/>
      <c r="G211" s="3501"/>
      <c r="H211" s="3501"/>
      <c r="I211" s="3501">
        <v>1</v>
      </c>
      <c r="J211" s="2125">
        <f t="shared" si="4"/>
        <v>1</v>
      </c>
    </row>
    <row r="212" spans="1:16">
      <c r="A212" s="2477">
        <v>957513</v>
      </c>
      <c r="B212" s="2478" t="s">
        <v>1033</v>
      </c>
      <c r="C212" s="2477">
        <v>123</v>
      </c>
      <c r="D212" s="2477">
        <v>6.8</v>
      </c>
      <c r="E212" s="2477" t="s">
        <v>836</v>
      </c>
      <c r="F212" s="3501"/>
      <c r="G212" s="3501"/>
      <c r="H212" s="3501"/>
      <c r="I212" s="3501">
        <v>0.75</v>
      </c>
      <c r="J212" s="2125">
        <f t="shared" si="4"/>
        <v>0.75</v>
      </c>
    </row>
    <row r="213" spans="1:16">
      <c r="A213" s="2477">
        <v>955572</v>
      </c>
      <c r="B213" s="2478" t="s">
        <v>1034</v>
      </c>
      <c r="C213" s="2477">
        <v>1537</v>
      </c>
      <c r="D213" s="2477">
        <v>6.16</v>
      </c>
      <c r="E213" s="2477" t="s">
        <v>836</v>
      </c>
      <c r="F213" s="3501"/>
      <c r="G213" s="3501"/>
      <c r="H213" s="3501"/>
      <c r="I213" s="3501">
        <v>0.67</v>
      </c>
      <c r="J213" s="2125">
        <f t="shared" si="4"/>
        <v>0.67</v>
      </c>
    </row>
    <row r="214" spans="1:16">
      <c r="A214" s="2058">
        <v>19236</v>
      </c>
      <c r="B214" s="2059" t="s">
        <v>1035</v>
      </c>
      <c r="C214" s="2058">
        <v>1347</v>
      </c>
      <c r="D214" s="2058">
        <v>8.6</v>
      </c>
      <c r="E214" s="2142" t="s">
        <v>836</v>
      </c>
      <c r="I214" s="2125">
        <v>0.62</v>
      </c>
      <c r="J214" s="2125">
        <f t="shared" si="4"/>
        <v>0.62</v>
      </c>
      <c r="K214" s="2125">
        <f>SUM(J11:J224)</f>
        <v>14683.223000000007</v>
      </c>
      <c r="L214" s="2125">
        <f>SUM(F11:F235)</f>
        <v>581.14299999999969</v>
      </c>
      <c r="M214" s="2125">
        <f>SUM(G11:G295)</f>
        <v>232.02200000000008</v>
      </c>
      <c r="N214" s="2125">
        <f>SUM(H11:H260)</f>
        <v>9.0549999999999997</v>
      </c>
      <c r="O214" s="2125">
        <f>SUM(I11:I277)</f>
        <v>13861.003000000012</v>
      </c>
      <c r="P214" s="2125">
        <f>SUM(J11:J269)</f>
        <v>14683.223000000007</v>
      </c>
    </row>
    <row r="215" spans="1:16">
      <c r="A215" s="2058">
        <v>957501</v>
      </c>
      <c r="B215" s="2059" t="s">
        <v>1036</v>
      </c>
      <c r="C215" s="2058">
        <v>2062</v>
      </c>
      <c r="D215" s="2058">
        <v>6.1</v>
      </c>
      <c r="E215" s="2142" t="s">
        <v>836</v>
      </c>
      <c r="I215" s="2125">
        <v>0.2</v>
      </c>
      <c r="J215" s="2125">
        <f t="shared" si="4"/>
        <v>0.2</v>
      </c>
    </row>
  </sheetData>
  <mergeCells count="1">
    <mergeCell ref="E9:G9"/>
  </mergeCells>
  <pageMargins left="0.70866141732283472" right="0.70866141732283472" top="0.74803149606299213" bottom="0.74803149606299213" header="0.31496062992125984" footer="0.31496062992125984"/>
  <pageSetup orientation="landscape" r:id="rId1"/>
  <drawing r:id="rId2"/>
  <legacyDrawing r:id="rId3"/>
</worksheet>
</file>

<file path=xl/worksheets/sheet24.xml><?xml version="1.0" encoding="utf-8"?>
<worksheet xmlns="http://schemas.openxmlformats.org/spreadsheetml/2006/main" xmlns:r="http://schemas.openxmlformats.org/officeDocument/2006/relationships">
  <dimension ref="A1:BF540"/>
  <sheetViews>
    <sheetView zoomScale="40" zoomScaleNormal="40" workbookViewId="0">
      <selection activeCell="AG187" sqref="AG187"/>
    </sheetView>
  </sheetViews>
  <sheetFormatPr baseColWidth="10" defaultRowHeight="13.2"/>
  <cols>
    <col min="1" max="1" width="16.44140625" customWidth="1"/>
    <col min="2" max="2" width="15.88671875" customWidth="1"/>
    <col min="3" max="3" width="28.6640625" customWidth="1"/>
    <col min="4" max="4" width="5.44140625" bestFit="1" customWidth="1"/>
    <col min="5" max="5" width="11" customWidth="1"/>
    <col min="6" max="6" width="11.109375" customWidth="1"/>
    <col min="7" max="8" width="12.44140625" customWidth="1"/>
    <col min="9" max="9" width="11.88671875" customWidth="1"/>
    <col min="10" max="10" width="15" customWidth="1"/>
    <col min="11" max="11" width="12.44140625" bestFit="1" customWidth="1"/>
    <col min="12" max="12" width="4.5546875" customWidth="1"/>
    <col min="13" max="13" width="12.88671875" customWidth="1"/>
    <col min="14" max="14" width="15.5546875" bestFit="1" customWidth="1"/>
    <col min="15" max="15" width="23.33203125" bestFit="1" customWidth="1"/>
    <col min="16" max="16" width="4.88671875" bestFit="1" customWidth="1"/>
    <col min="17" max="17" width="28.6640625" customWidth="1"/>
    <col min="18" max="18" width="16.109375" customWidth="1"/>
    <col min="19" max="19" width="14.33203125" customWidth="1"/>
    <col min="20" max="22" width="14.6640625" customWidth="1"/>
    <col min="23" max="23" width="6.109375" bestFit="1" customWidth="1"/>
    <col min="24" max="24" width="10.109375" bestFit="1" customWidth="1"/>
    <col min="25" max="26" width="9.33203125" customWidth="1"/>
    <col min="27" max="27" width="26.33203125" customWidth="1"/>
    <col min="28" max="28" width="18.88671875" customWidth="1"/>
    <col min="29" max="29" width="15.5546875" customWidth="1"/>
    <col min="30" max="30" width="15.88671875" customWidth="1"/>
    <col min="31" max="31" width="20.5546875" bestFit="1" customWidth="1"/>
    <col min="32" max="32" width="14.109375" bestFit="1" customWidth="1"/>
    <col min="33" max="33" width="12.6640625" customWidth="1"/>
    <col min="34" max="34" width="14" bestFit="1" customWidth="1"/>
    <col min="35" max="35" width="17.5546875" customWidth="1"/>
    <col min="36" max="36" width="13.88671875" customWidth="1"/>
    <col min="37" max="38" width="13.109375" customWidth="1"/>
    <col min="39" max="39" width="23" bestFit="1" customWidth="1"/>
    <col min="40" max="40" width="13.109375" customWidth="1"/>
    <col min="41" max="41" width="21.109375" bestFit="1" customWidth="1"/>
    <col min="42" max="47" width="13.109375" customWidth="1"/>
    <col min="48" max="48" width="13.5546875" customWidth="1"/>
    <col min="49" max="50" width="12.88671875" customWidth="1"/>
    <col min="51" max="51" width="23" bestFit="1" customWidth="1"/>
    <col min="52" max="52" width="12.88671875" customWidth="1"/>
    <col min="53" max="54" width="4.88671875" bestFit="1" customWidth="1"/>
    <col min="55" max="56" width="6.5546875" bestFit="1" customWidth="1"/>
    <col min="57" max="59" width="6.88671875" bestFit="1" customWidth="1"/>
    <col min="60" max="60" width="6.5546875" bestFit="1" customWidth="1"/>
    <col min="61" max="61" width="6.88671875" bestFit="1" customWidth="1"/>
    <col min="62" max="63" width="8.109375" bestFit="1" customWidth="1"/>
    <col min="64" max="64" width="4.88671875" bestFit="1" customWidth="1"/>
    <col min="65" max="65" width="6.88671875" bestFit="1" customWidth="1"/>
    <col min="66" max="66" width="8.109375" bestFit="1" customWidth="1"/>
    <col min="67" max="67" width="6.88671875" bestFit="1" customWidth="1"/>
    <col min="68" max="68" width="8.109375" bestFit="1" customWidth="1"/>
    <col min="69" max="69" width="6.88671875" bestFit="1" customWidth="1"/>
    <col min="70" max="70" width="6.5546875" bestFit="1" customWidth="1"/>
    <col min="71" max="71" width="6.88671875" bestFit="1" customWidth="1"/>
    <col min="72" max="78" width="4.88671875" bestFit="1" customWidth="1"/>
    <col min="79" max="80" width="8.109375" bestFit="1" customWidth="1"/>
    <col min="81" max="81" width="6.5546875" bestFit="1" customWidth="1"/>
    <col min="82" max="82" width="8.109375" bestFit="1" customWidth="1"/>
    <col min="83" max="83" width="4.88671875" bestFit="1" customWidth="1"/>
    <col min="84" max="84" width="11.109375" bestFit="1" customWidth="1"/>
  </cols>
  <sheetData>
    <row r="1" spans="1:50" s="2130" customFormat="1">
      <c r="AI1"/>
      <c r="AJ1"/>
      <c r="AK1"/>
      <c r="AL1"/>
      <c r="AM1"/>
      <c r="AN1"/>
      <c r="AO1"/>
      <c r="AP1"/>
      <c r="AQ1"/>
      <c r="AR1"/>
      <c r="AS1"/>
      <c r="AT1"/>
      <c r="AU1"/>
      <c r="AV1"/>
      <c r="AW1"/>
      <c r="AX1"/>
    </row>
    <row r="4" spans="1:50" ht="30">
      <c r="M4" s="2586" t="s">
        <v>1131</v>
      </c>
      <c r="N4" s="2586"/>
      <c r="O4" s="2586"/>
      <c r="P4" s="2586"/>
      <c r="Q4" s="2586"/>
      <c r="R4" s="2587"/>
      <c r="S4" s="2586"/>
      <c r="T4" s="2586"/>
      <c r="U4" s="2586"/>
      <c r="V4" s="2586"/>
      <c r="W4" s="2588"/>
      <c r="AM4" s="2568" t="s">
        <v>1424</v>
      </c>
      <c r="AN4" s="2568"/>
      <c r="AO4" s="2568"/>
      <c r="AP4" s="2568"/>
      <c r="AQ4" s="2568"/>
      <c r="AR4" s="2569"/>
      <c r="AS4" s="2568"/>
      <c r="AT4" s="2568"/>
      <c r="AU4" s="2568"/>
      <c r="AV4" s="2568"/>
      <c r="AW4" s="2570"/>
    </row>
    <row r="5" spans="1:50" ht="30.6" thickBot="1">
      <c r="A5" s="2529" t="s">
        <v>1045</v>
      </c>
      <c r="B5" s="2530"/>
      <c r="C5" s="2530"/>
      <c r="D5" s="2530"/>
      <c r="E5" s="2530"/>
      <c r="F5" s="2530"/>
      <c r="G5" s="2530"/>
      <c r="H5" s="2530"/>
      <c r="I5" s="2530"/>
      <c r="J5" s="2530"/>
      <c r="K5" s="2531"/>
      <c r="M5" s="2586" t="s">
        <v>1132</v>
      </c>
      <c r="N5" s="2588"/>
      <c r="O5" s="2588"/>
      <c r="P5" s="2588"/>
      <c r="Q5" s="2589"/>
      <c r="R5" s="2587" t="s">
        <v>943</v>
      </c>
      <c r="S5" s="2588"/>
      <c r="T5" s="2588"/>
      <c r="U5" s="2588"/>
      <c r="V5" s="2588"/>
      <c r="W5" s="2588"/>
      <c r="Y5" s="2568" t="s">
        <v>1064</v>
      </c>
      <c r="Z5" s="2568"/>
      <c r="AA5" s="2568"/>
      <c r="AB5" s="2568"/>
      <c r="AC5" s="2568"/>
      <c r="AD5" s="2569"/>
      <c r="AE5" s="2568"/>
      <c r="AF5" s="2568"/>
      <c r="AG5" s="2568"/>
      <c r="AH5" s="2568"/>
      <c r="AI5" s="2570"/>
      <c r="AM5" s="2568" t="s">
        <v>1425</v>
      </c>
      <c r="AN5" s="2570"/>
      <c r="AO5" s="2570"/>
      <c r="AP5" s="2570"/>
      <c r="AQ5" s="2572"/>
      <c r="AR5" s="2569" t="s">
        <v>261</v>
      </c>
      <c r="AS5" s="2570"/>
      <c r="AT5" s="2570"/>
      <c r="AU5" s="2570"/>
      <c r="AV5" s="2570"/>
      <c r="AW5" s="2570"/>
    </row>
    <row r="6" spans="1:50" ht="30.6" thickBot="1">
      <c r="A6" s="2532" t="s">
        <v>1046</v>
      </c>
      <c r="B6" s="2530"/>
      <c r="C6" s="2530"/>
      <c r="D6" s="2530"/>
      <c r="E6" s="2530"/>
      <c r="F6" s="2533" t="s">
        <v>943</v>
      </c>
      <c r="G6" s="2530"/>
      <c r="H6" s="2530"/>
      <c r="I6" s="2530"/>
      <c r="J6" s="2530"/>
      <c r="K6" s="2531"/>
      <c r="M6" s="3297" t="s">
        <v>1413</v>
      </c>
      <c r="N6" s="3298"/>
      <c r="O6" s="3298"/>
      <c r="P6" s="3298"/>
      <c r="Q6" s="4074" t="s">
        <v>152</v>
      </c>
      <c r="R6" s="4075"/>
      <c r="S6" s="4074" t="s">
        <v>153</v>
      </c>
      <c r="T6" s="4075"/>
      <c r="U6" s="2591" t="s">
        <v>154</v>
      </c>
      <c r="V6" s="2592"/>
      <c r="W6" s="2593" t="s">
        <v>132</v>
      </c>
      <c r="Y6" s="2568" t="s">
        <v>1244</v>
      </c>
      <c r="Z6" s="2570"/>
      <c r="AA6" s="2570"/>
      <c r="AB6" s="2570"/>
      <c r="AC6" s="2569" t="s">
        <v>1243</v>
      </c>
      <c r="AD6" s="2570"/>
      <c r="AE6" s="2570"/>
      <c r="AF6" s="2570"/>
      <c r="AG6" s="2570"/>
      <c r="AH6" s="2570"/>
      <c r="AI6" s="2570"/>
      <c r="AM6" s="3292" t="s">
        <v>1411</v>
      </c>
      <c r="AN6" s="2636"/>
      <c r="AO6" s="2636"/>
      <c r="AP6" s="2636"/>
      <c r="AQ6" s="4048" t="s">
        <v>152</v>
      </c>
      <c r="AR6" s="4049"/>
      <c r="AS6" s="4048" t="s">
        <v>153</v>
      </c>
      <c r="AT6" s="4049"/>
      <c r="AU6" s="3361" t="s">
        <v>154</v>
      </c>
      <c r="AV6" s="3362"/>
      <c r="AW6" s="2575" t="s">
        <v>132</v>
      </c>
    </row>
    <row r="7" spans="1:50" ht="29.4" thickBot="1">
      <c r="A7" s="2531"/>
      <c r="B7" s="2531"/>
      <c r="C7" s="2531"/>
      <c r="D7" s="2531"/>
      <c r="E7" s="2531"/>
      <c r="F7" s="2531"/>
      <c r="G7" s="2531"/>
      <c r="H7" s="2531"/>
      <c r="I7" s="2531"/>
      <c r="J7" s="2531"/>
      <c r="K7" s="2531"/>
      <c r="M7" s="2594" t="s">
        <v>223</v>
      </c>
      <c r="N7" s="2594" t="s">
        <v>224</v>
      </c>
      <c r="O7" s="2594" t="s">
        <v>225</v>
      </c>
      <c r="P7" s="2594" t="s">
        <v>157</v>
      </c>
      <c r="Q7" s="2594" t="s">
        <v>944</v>
      </c>
      <c r="R7" s="2594" t="s">
        <v>945</v>
      </c>
      <c r="S7" s="2594" t="s">
        <v>946</v>
      </c>
      <c r="T7" s="2594" t="s">
        <v>947</v>
      </c>
      <c r="U7" s="2594" t="s">
        <v>948</v>
      </c>
      <c r="V7" s="2594" t="s">
        <v>949</v>
      </c>
      <c r="W7" s="2588"/>
      <c r="Y7" s="2571"/>
      <c r="Z7" s="2572"/>
      <c r="AA7" s="2572"/>
      <c r="AB7" s="2572"/>
      <c r="AC7" s="4048" t="s">
        <v>152</v>
      </c>
      <c r="AD7" s="4049"/>
      <c r="AE7" s="4048" t="s">
        <v>153</v>
      </c>
      <c r="AF7" s="4049"/>
      <c r="AG7" s="2573" t="s">
        <v>154</v>
      </c>
      <c r="AH7" s="2574"/>
      <c r="AI7" s="2575" t="s">
        <v>132</v>
      </c>
      <c r="AM7" s="2576" t="s">
        <v>223</v>
      </c>
      <c r="AN7" s="2576" t="s">
        <v>224</v>
      </c>
      <c r="AO7" s="2576" t="s">
        <v>225</v>
      </c>
      <c r="AP7" s="2576" t="s">
        <v>157</v>
      </c>
      <c r="AQ7" s="2576" t="s">
        <v>944</v>
      </c>
      <c r="AR7" s="2576"/>
      <c r="AS7" s="2576" t="s">
        <v>946</v>
      </c>
      <c r="AT7" s="2576"/>
      <c r="AU7" s="2576" t="s">
        <v>948</v>
      </c>
      <c r="AV7" s="2576"/>
      <c r="AW7" s="2570"/>
    </row>
    <row r="8" spans="1:50" ht="28.8">
      <c r="A8" s="2534"/>
      <c r="B8" s="2535"/>
      <c r="C8" s="2535"/>
      <c r="D8" s="2535"/>
      <c r="E8" s="4078" t="s">
        <v>152</v>
      </c>
      <c r="F8" s="4079"/>
      <c r="G8" s="4078" t="s">
        <v>153</v>
      </c>
      <c r="H8" s="4079"/>
      <c r="I8" s="2536" t="s">
        <v>154</v>
      </c>
      <c r="J8" s="2537"/>
      <c r="K8" s="2531"/>
      <c r="M8" s="2595"/>
      <c r="N8" s="2595">
        <v>956591</v>
      </c>
      <c r="O8" s="2595" t="s">
        <v>1388</v>
      </c>
      <c r="P8" s="2596">
        <v>1954</v>
      </c>
      <c r="Q8" s="2595">
        <v>0</v>
      </c>
      <c r="R8" s="2595">
        <v>67.849999999999994</v>
      </c>
      <c r="S8" s="2595">
        <v>0</v>
      </c>
      <c r="T8" s="2595">
        <v>67.849000000000004</v>
      </c>
      <c r="U8" s="2595"/>
      <c r="V8" s="2595">
        <f t="shared" ref="V8:V9" si="0">(R8-T8)</f>
        <v>9.9999999999056399E-4</v>
      </c>
      <c r="W8" s="2588"/>
      <c r="Y8" s="2576" t="s">
        <v>223</v>
      </c>
      <c r="Z8" s="2576" t="s">
        <v>224</v>
      </c>
      <c r="AA8" s="2576" t="s">
        <v>225</v>
      </c>
      <c r="AB8" s="2576" t="s">
        <v>157</v>
      </c>
      <c r="AC8" s="2576" t="s">
        <v>944</v>
      </c>
      <c r="AD8" s="2576" t="s">
        <v>945</v>
      </c>
      <c r="AE8" s="2576" t="s">
        <v>946</v>
      </c>
      <c r="AF8" s="2576" t="s">
        <v>947</v>
      </c>
      <c r="AG8" s="2576" t="s">
        <v>948</v>
      </c>
      <c r="AH8" s="2576" t="s">
        <v>949</v>
      </c>
      <c r="AI8" s="2570"/>
      <c r="AM8" s="2577">
        <v>1</v>
      </c>
      <c r="AN8" s="2577">
        <v>913581</v>
      </c>
      <c r="AO8" s="2577" t="s">
        <v>1426</v>
      </c>
      <c r="AP8" s="2578"/>
      <c r="AQ8" s="2577">
        <v>0</v>
      </c>
      <c r="AR8" s="2577"/>
      <c r="AS8" s="2577">
        <v>0</v>
      </c>
      <c r="AT8" s="2577">
        <v>0</v>
      </c>
      <c r="AU8" s="2577">
        <f t="shared" ref="AU8:AU55" si="1">(AQ8-AS8)</f>
        <v>0</v>
      </c>
      <c r="AV8" s="2577">
        <f t="shared" ref="AV8" si="2">(AR8-AT8)</f>
        <v>0</v>
      </c>
      <c r="AW8" s="2570"/>
    </row>
    <row r="9" spans="1:50" ht="28.8">
      <c r="A9" s="2538" t="s">
        <v>223</v>
      </c>
      <c r="B9" s="2538" t="s">
        <v>224</v>
      </c>
      <c r="C9" s="2538" t="s">
        <v>225</v>
      </c>
      <c r="D9" s="2538" t="s">
        <v>157</v>
      </c>
      <c r="E9" s="2538" t="s">
        <v>944</v>
      </c>
      <c r="F9" s="2538" t="s">
        <v>945</v>
      </c>
      <c r="G9" s="2538" t="s">
        <v>946</v>
      </c>
      <c r="H9" s="2538" t="s">
        <v>947</v>
      </c>
      <c r="I9" s="2539" t="s">
        <v>948</v>
      </c>
      <c r="J9" s="2539" t="s">
        <v>949</v>
      </c>
      <c r="K9" s="2540" t="s">
        <v>132</v>
      </c>
      <c r="M9" s="2595"/>
      <c r="N9" s="2595">
        <v>910840</v>
      </c>
      <c r="O9" s="2595" t="s">
        <v>202</v>
      </c>
      <c r="P9" s="2596"/>
      <c r="Q9" s="2595">
        <v>0</v>
      </c>
      <c r="R9" s="2595">
        <v>432.15</v>
      </c>
      <c r="S9" s="2595">
        <v>20.454999999999998</v>
      </c>
      <c r="T9" s="2595">
        <v>411.69499999999999</v>
      </c>
      <c r="U9" s="2595"/>
      <c r="V9" s="2595">
        <f t="shared" si="0"/>
        <v>20.454999999999984</v>
      </c>
      <c r="W9" s="2588"/>
      <c r="Y9" s="2577"/>
      <c r="Z9" s="2577">
        <v>924702</v>
      </c>
      <c r="AA9" s="2577" t="s">
        <v>1245</v>
      </c>
      <c r="AB9" s="2578"/>
      <c r="AC9" s="2577">
        <v>30</v>
      </c>
      <c r="AD9" s="2577">
        <v>270</v>
      </c>
      <c r="AE9" s="2577">
        <v>5.3419999999999996</v>
      </c>
      <c r="AF9" s="2550">
        <v>291.42099999999999</v>
      </c>
      <c r="AG9" s="2577">
        <f>(AC9-AE9)</f>
        <v>24.658000000000001</v>
      </c>
      <c r="AH9" s="2577">
        <f t="shared" ref="AH9:AH13" si="3">(AD9-AF9)</f>
        <v>-21.420999999999992</v>
      </c>
      <c r="AI9" s="2570"/>
      <c r="AJ9" s="3515">
        <v>41939</v>
      </c>
      <c r="AM9" s="2577">
        <v>2</v>
      </c>
      <c r="AN9" s="2577">
        <v>913587</v>
      </c>
      <c r="AO9" s="2577" t="s">
        <v>1427</v>
      </c>
      <c r="AP9" s="2578"/>
      <c r="AQ9" s="2577"/>
      <c r="AR9" s="2577"/>
      <c r="AS9" s="2577"/>
      <c r="AT9" s="2577"/>
      <c r="AU9" s="2577">
        <f t="shared" si="1"/>
        <v>0</v>
      </c>
      <c r="AV9" s="2577"/>
      <c r="AW9" s="2570"/>
    </row>
    <row r="10" spans="1:50">
      <c r="A10" s="2541"/>
      <c r="B10" s="2541">
        <v>959036</v>
      </c>
      <c r="C10" s="2542" t="s">
        <v>415</v>
      </c>
      <c r="D10" s="2543"/>
      <c r="E10" s="2541">
        <v>100</v>
      </c>
      <c r="F10" s="2541">
        <v>900</v>
      </c>
      <c r="G10" s="2541">
        <v>100</v>
      </c>
      <c r="H10" s="2541">
        <v>669.40700000000004</v>
      </c>
      <c r="I10" s="2541">
        <f>(E10-G10)</f>
        <v>0</v>
      </c>
      <c r="J10" s="2541">
        <f t="shared" ref="J10:J12" si="4">(F10-H10)</f>
        <v>230.59299999999996</v>
      </c>
      <c r="K10" s="2531"/>
      <c r="M10" s="2595"/>
      <c r="N10" s="2595"/>
      <c r="O10" s="2595"/>
      <c r="P10" s="2596"/>
      <c r="Q10" s="2595"/>
      <c r="R10" s="2595"/>
      <c r="S10" s="2595"/>
      <c r="T10" s="2595"/>
      <c r="U10" s="2595"/>
      <c r="V10" s="2595">
        <f t="shared" ref="V10" si="5">(R10-T10)</f>
        <v>0</v>
      </c>
      <c r="W10" s="2588"/>
      <c r="Y10" s="2577"/>
      <c r="Z10" s="2577">
        <v>31293</v>
      </c>
      <c r="AA10" s="2577" t="s">
        <v>1246</v>
      </c>
      <c r="AB10" s="2578"/>
      <c r="AC10" s="2577">
        <v>20</v>
      </c>
      <c r="AD10" s="2577">
        <v>380</v>
      </c>
      <c r="AE10" s="2577">
        <v>33.119999999999997</v>
      </c>
      <c r="AF10" s="2550">
        <v>366.07499999999999</v>
      </c>
      <c r="AG10" s="2577">
        <f t="shared" ref="AG10:AG13" si="6">(AC10-AE10)</f>
        <v>-13.119999999999997</v>
      </c>
      <c r="AH10" s="2577">
        <f t="shared" si="3"/>
        <v>13.925000000000011</v>
      </c>
      <c r="AI10" s="2570"/>
      <c r="AM10" s="2577">
        <v>3</v>
      </c>
      <c r="AN10" s="2577">
        <v>913594</v>
      </c>
      <c r="AO10" s="2577" t="s">
        <v>1428</v>
      </c>
      <c r="AP10" s="2578"/>
      <c r="AQ10" s="2577"/>
      <c r="AR10" s="2577"/>
      <c r="AS10" s="2577"/>
      <c r="AT10" s="2577"/>
      <c r="AU10" s="2577">
        <f t="shared" si="1"/>
        <v>0</v>
      </c>
      <c r="AV10" s="2577"/>
      <c r="AW10" s="2570"/>
    </row>
    <row r="11" spans="1:50">
      <c r="A11" s="2541"/>
      <c r="B11" s="2541">
        <v>910399</v>
      </c>
      <c r="C11" s="2542" t="s">
        <v>418</v>
      </c>
      <c r="D11" s="2543"/>
      <c r="E11" s="2541">
        <v>40</v>
      </c>
      <c r="F11" s="2541">
        <v>460</v>
      </c>
      <c r="G11" s="2541">
        <v>8.7509999999999994</v>
      </c>
      <c r="H11" s="2541">
        <v>460</v>
      </c>
      <c r="I11" s="2541">
        <f t="shared" ref="I11:I12" si="7">(E11-G11)</f>
        <v>31.249000000000002</v>
      </c>
      <c r="J11" s="2541">
        <f t="shared" si="4"/>
        <v>0</v>
      </c>
      <c r="K11" s="2531"/>
      <c r="M11" s="2597"/>
      <c r="N11" s="2597"/>
      <c r="O11" s="2597"/>
      <c r="P11" s="2598"/>
      <c r="Q11" s="2599">
        <f t="shared" ref="Q11:V11" si="8">SUM(Q8:Q10)</f>
        <v>0</v>
      </c>
      <c r="R11" s="2599">
        <f t="shared" si="8"/>
        <v>500</v>
      </c>
      <c r="S11" s="2599">
        <f t="shared" si="8"/>
        <v>20.454999999999998</v>
      </c>
      <c r="T11" s="2599">
        <f t="shared" si="8"/>
        <v>479.54399999999998</v>
      </c>
      <c r="U11" s="2599">
        <f t="shared" si="8"/>
        <v>0</v>
      </c>
      <c r="V11" s="2599">
        <f t="shared" si="8"/>
        <v>20.455999999999975</v>
      </c>
      <c r="W11" s="2588"/>
      <c r="Y11" s="2577"/>
      <c r="Z11" s="2577">
        <v>923163</v>
      </c>
      <c r="AA11" s="2577" t="s">
        <v>1247</v>
      </c>
      <c r="AB11" s="2578"/>
      <c r="AC11" s="2577">
        <v>20</v>
      </c>
      <c r="AD11" s="2577">
        <v>380</v>
      </c>
      <c r="AE11" s="2577">
        <v>7.0410000000000004</v>
      </c>
      <c r="AF11" s="2550">
        <v>390.21100000000001</v>
      </c>
      <c r="AG11" s="2577">
        <f t="shared" si="6"/>
        <v>12.959</v>
      </c>
      <c r="AH11" s="3141">
        <f t="shared" si="3"/>
        <v>-10.211000000000013</v>
      </c>
      <c r="AI11" s="2570"/>
      <c r="AM11" s="2577">
        <v>4</v>
      </c>
      <c r="AN11" s="2577">
        <v>956794</v>
      </c>
      <c r="AO11" s="2577" t="s">
        <v>1429</v>
      </c>
      <c r="AP11" s="2578"/>
      <c r="AQ11" s="2577"/>
      <c r="AR11" s="2577"/>
      <c r="AS11" s="2577"/>
      <c r="AT11" s="2577"/>
      <c r="AU11" s="2577">
        <f t="shared" si="1"/>
        <v>0</v>
      </c>
      <c r="AV11" s="2577"/>
      <c r="AW11" s="2570"/>
    </row>
    <row r="12" spans="1:50">
      <c r="A12" s="2541"/>
      <c r="B12" s="2541"/>
      <c r="C12" s="2542"/>
      <c r="D12" s="2543"/>
      <c r="E12" s="2541"/>
      <c r="F12" s="2541"/>
      <c r="G12" s="2541"/>
      <c r="H12" s="2541"/>
      <c r="I12" s="2541">
        <f t="shared" si="7"/>
        <v>0</v>
      </c>
      <c r="J12" s="2541">
        <f t="shared" si="4"/>
        <v>0</v>
      </c>
      <c r="K12" s="2531"/>
      <c r="Y12" s="2577"/>
      <c r="Z12" s="2577">
        <v>910624</v>
      </c>
      <c r="AA12" s="2577" t="s">
        <v>1248</v>
      </c>
      <c r="AB12" s="2578"/>
      <c r="AC12" s="2577">
        <v>30</v>
      </c>
      <c r="AD12" s="2577">
        <v>320</v>
      </c>
      <c r="AE12" s="2577">
        <v>14.089</v>
      </c>
      <c r="AF12" s="2550">
        <v>335.911</v>
      </c>
      <c r="AG12" s="2577">
        <f t="shared" si="6"/>
        <v>15.911</v>
      </c>
      <c r="AH12" s="3141">
        <f t="shared" si="3"/>
        <v>-15.911000000000001</v>
      </c>
      <c r="AI12" s="2570"/>
      <c r="AM12" s="2577">
        <v>5</v>
      </c>
      <c r="AN12" s="2577">
        <v>801</v>
      </c>
      <c r="AO12" s="2577" t="s">
        <v>1430</v>
      </c>
      <c r="AP12" s="2578"/>
      <c r="AQ12" s="2577"/>
      <c r="AR12" s="2577"/>
      <c r="AS12" s="2577"/>
      <c r="AT12" s="2577"/>
      <c r="AU12" s="2577">
        <f t="shared" si="1"/>
        <v>0</v>
      </c>
      <c r="AV12" s="2577"/>
      <c r="AW12" s="2570"/>
    </row>
    <row r="13" spans="1:50" ht="30">
      <c r="A13" s="2544"/>
      <c r="B13" s="2544"/>
      <c r="C13" s="2544"/>
      <c r="D13" s="2545"/>
      <c r="E13" s="2546">
        <f t="shared" ref="E13:J13" si="9">SUM(E10:E12)</f>
        <v>140</v>
      </c>
      <c r="F13" s="2546">
        <f t="shared" si="9"/>
        <v>1360</v>
      </c>
      <c r="G13" s="2546">
        <f t="shared" si="9"/>
        <v>108.751</v>
      </c>
      <c r="H13" s="2546">
        <f t="shared" si="9"/>
        <v>1129.4070000000002</v>
      </c>
      <c r="I13" s="2546">
        <f t="shared" si="9"/>
        <v>31.249000000000002</v>
      </c>
      <c r="J13" s="2546">
        <f t="shared" si="9"/>
        <v>230.59299999999996</v>
      </c>
      <c r="K13" s="2531"/>
      <c r="M13" s="2586" t="s">
        <v>1131</v>
      </c>
      <c r="N13" s="2586"/>
      <c r="O13" s="2586"/>
      <c r="P13" s="2586"/>
      <c r="Q13" s="2586"/>
      <c r="R13" s="2587"/>
      <c r="S13" s="2586"/>
      <c r="T13" s="2586"/>
      <c r="U13" s="2586"/>
      <c r="V13" s="2586"/>
      <c r="W13" s="2588"/>
      <c r="Y13" s="2577"/>
      <c r="Z13" s="2577">
        <v>960545</v>
      </c>
      <c r="AA13" s="2577" t="s">
        <v>1249</v>
      </c>
      <c r="AB13" s="2578"/>
      <c r="AC13" s="2577">
        <v>20</v>
      </c>
      <c r="AD13" s="2577">
        <v>380</v>
      </c>
      <c r="AE13" s="2577">
        <v>21.082999999999998</v>
      </c>
      <c r="AF13" s="2550">
        <v>378.91699999999997</v>
      </c>
      <c r="AG13" s="2577">
        <f t="shared" si="6"/>
        <v>-1.0829999999999984</v>
      </c>
      <c r="AH13" s="2577">
        <f t="shared" si="3"/>
        <v>1.0830000000000268</v>
      </c>
      <c r="AI13" s="2570"/>
      <c r="AM13" s="2577">
        <v>6</v>
      </c>
      <c r="AN13" s="2577">
        <v>913577</v>
      </c>
      <c r="AO13" s="2577" t="s">
        <v>1305</v>
      </c>
      <c r="AP13" s="2578"/>
      <c r="AQ13" s="2577"/>
      <c r="AR13" s="2577"/>
      <c r="AS13" s="2577"/>
      <c r="AT13" s="2577"/>
      <c r="AU13" s="2577">
        <f t="shared" si="1"/>
        <v>0</v>
      </c>
      <c r="AV13" s="2577"/>
      <c r="AW13" s="2570"/>
    </row>
    <row r="14" spans="1:50" ht="30.6" thickBot="1">
      <c r="M14" s="2586" t="s">
        <v>1133</v>
      </c>
      <c r="N14" s="2588"/>
      <c r="O14" s="2588"/>
      <c r="P14" s="2588"/>
      <c r="Q14" s="2589"/>
      <c r="R14" s="2587" t="s">
        <v>943</v>
      </c>
      <c r="S14" s="2588"/>
      <c r="T14" s="2588"/>
      <c r="U14" s="2588"/>
      <c r="V14" s="2588"/>
      <c r="W14" s="2588"/>
      <c r="Y14" s="2577"/>
      <c r="Z14" s="2577"/>
      <c r="AA14" s="2577"/>
      <c r="AB14" s="2578"/>
      <c r="AC14" s="2577"/>
      <c r="AD14" s="2577"/>
      <c r="AE14" s="2577"/>
      <c r="AF14" s="2577"/>
      <c r="AG14" s="2577"/>
      <c r="AH14" s="2577"/>
      <c r="AI14" s="2570"/>
      <c r="AM14" s="2577">
        <v>7</v>
      </c>
      <c r="AN14" s="2577">
        <v>954327</v>
      </c>
      <c r="AO14" s="2577" t="s">
        <v>1303</v>
      </c>
      <c r="AP14" s="2578"/>
      <c r="AQ14" s="2577"/>
      <c r="AR14" s="2577"/>
      <c r="AS14" s="2577"/>
      <c r="AT14" s="2577"/>
      <c r="AU14" s="2577">
        <f t="shared" si="1"/>
        <v>0</v>
      </c>
      <c r="AV14" s="2577"/>
      <c r="AW14" s="2570"/>
    </row>
    <row r="15" spans="1:50" ht="14.4">
      <c r="M15" s="3296" t="s">
        <v>1412</v>
      </c>
      <c r="N15" s="2589"/>
      <c r="O15" s="2589"/>
      <c r="P15" s="2589"/>
      <c r="Q15" s="4076" t="s">
        <v>152</v>
      </c>
      <c r="R15" s="4077"/>
      <c r="S15" s="4076" t="s">
        <v>153</v>
      </c>
      <c r="T15" s="4077"/>
      <c r="U15" s="2591" t="s">
        <v>154</v>
      </c>
      <c r="V15" s="2592"/>
      <c r="W15" s="2593" t="s">
        <v>132</v>
      </c>
      <c r="Y15" s="2579"/>
      <c r="Z15" s="2579"/>
      <c r="AA15" s="2579"/>
      <c r="AB15" s="2580"/>
      <c r="AC15" s="2581">
        <f t="shared" ref="AC15:AH15" si="10">SUM(AC9:AC13)</f>
        <v>120</v>
      </c>
      <c r="AD15" s="2581">
        <f t="shared" si="10"/>
        <v>1730</v>
      </c>
      <c r="AE15" s="2581">
        <f t="shared" si="10"/>
        <v>80.674999999999997</v>
      </c>
      <c r="AF15" s="2581">
        <f t="shared" si="10"/>
        <v>1762.5349999999999</v>
      </c>
      <c r="AG15" s="2581">
        <f t="shared" si="10"/>
        <v>39.325000000000003</v>
      </c>
      <c r="AH15" s="2581">
        <f t="shared" si="10"/>
        <v>-32.534999999999968</v>
      </c>
      <c r="AI15" s="2570"/>
      <c r="AM15" s="2577">
        <v>8</v>
      </c>
      <c r="AN15" s="2577">
        <v>952008</v>
      </c>
      <c r="AO15" s="2577" t="s">
        <v>1431</v>
      </c>
      <c r="AP15" s="2578"/>
      <c r="AQ15" s="2577"/>
      <c r="AR15" s="2577"/>
      <c r="AS15" s="2577"/>
      <c r="AT15" s="2577"/>
      <c r="AU15" s="2577">
        <f t="shared" si="1"/>
        <v>0</v>
      </c>
      <c r="AV15" s="2577"/>
      <c r="AW15" s="2570"/>
    </row>
    <row r="16" spans="1:50" ht="30">
      <c r="A16" s="2529" t="s">
        <v>1042</v>
      </c>
      <c r="B16" s="2530"/>
      <c r="C16" s="2530"/>
      <c r="D16" s="2530"/>
      <c r="E16" s="2530"/>
      <c r="F16" s="2530"/>
      <c r="G16" s="2530"/>
      <c r="H16" s="2530"/>
      <c r="I16" s="2530"/>
      <c r="J16" s="2530"/>
      <c r="K16" s="2531"/>
      <c r="M16" s="2594" t="s">
        <v>223</v>
      </c>
      <c r="N16" s="2594" t="s">
        <v>224</v>
      </c>
      <c r="O16" s="2594" t="s">
        <v>225</v>
      </c>
      <c r="P16" s="2594" t="s">
        <v>157</v>
      </c>
      <c r="Q16" s="2594" t="s">
        <v>944</v>
      </c>
      <c r="R16" s="2594" t="s">
        <v>945</v>
      </c>
      <c r="S16" s="2594" t="s">
        <v>946</v>
      </c>
      <c r="T16" s="2594" t="s">
        <v>947</v>
      </c>
      <c r="U16" s="2594" t="s">
        <v>948</v>
      </c>
      <c r="V16" s="2594" t="s">
        <v>949</v>
      </c>
      <c r="W16" s="2588"/>
      <c r="AM16" s="2577">
        <v>9</v>
      </c>
      <c r="AN16" s="2577">
        <v>3036</v>
      </c>
      <c r="AO16" s="2577" t="s">
        <v>1432</v>
      </c>
      <c r="AP16" s="2578"/>
      <c r="AQ16" s="2577"/>
      <c r="AR16" s="2577"/>
      <c r="AS16" s="2577"/>
      <c r="AT16" s="2577"/>
      <c r="AU16" s="2577">
        <f t="shared" si="1"/>
        <v>0</v>
      </c>
      <c r="AV16" s="2577"/>
      <c r="AW16" s="2570"/>
    </row>
    <row r="17" spans="1:49" ht="30">
      <c r="A17" s="2532" t="s">
        <v>1043</v>
      </c>
      <c r="B17" s="2530"/>
      <c r="C17" s="2530"/>
      <c r="D17" s="2530"/>
      <c r="E17" s="2530"/>
      <c r="F17" s="2533" t="s">
        <v>943</v>
      </c>
      <c r="G17" s="2530"/>
      <c r="H17" s="2530"/>
      <c r="I17" s="2530"/>
      <c r="J17" s="2530"/>
      <c r="K17" s="2531"/>
      <c r="M17" s="2595"/>
      <c r="N17" s="2595">
        <v>958004</v>
      </c>
      <c r="O17" s="3294" t="s">
        <v>1134</v>
      </c>
      <c r="P17" s="2596"/>
      <c r="Q17" s="2595"/>
      <c r="R17" s="3294">
        <v>500</v>
      </c>
      <c r="S17" s="2595">
        <v>51.456000000000003</v>
      </c>
      <c r="T17" s="3299">
        <v>448.54399999999998</v>
      </c>
      <c r="U17" s="2595"/>
      <c r="V17" s="3295">
        <f>(R17-T17)</f>
        <v>51.456000000000017</v>
      </c>
      <c r="W17" s="2588"/>
      <c r="AM17" s="2577">
        <v>10</v>
      </c>
      <c r="AN17" s="2577">
        <v>955856</v>
      </c>
      <c r="AO17" s="2577" t="s">
        <v>1447</v>
      </c>
      <c r="AP17" s="2578"/>
      <c r="AQ17" s="2577"/>
      <c r="AR17" s="2577"/>
      <c r="AS17" s="2577"/>
      <c r="AT17" s="2577"/>
      <c r="AU17" s="2577">
        <f t="shared" si="1"/>
        <v>0</v>
      </c>
      <c r="AV17" s="2577"/>
      <c r="AW17" s="2570"/>
    </row>
    <row r="18" spans="1:49" ht="30.6" thickBot="1">
      <c r="A18" s="2531"/>
      <c r="B18" s="2531"/>
      <c r="C18" s="2531"/>
      <c r="D18" s="2531"/>
      <c r="E18" s="2531"/>
      <c r="F18" s="2531"/>
      <c r="G18" s="2531"/>
      <c r="H18" s="2531"/>
      <c r="I18" s="2531"/>
      <c r="J18" s="2531"/>
      <c r="K18" s="2531"/>
      <c r="M18" s="2595"/>
      <c r="N18" s="2595"/>
      <c r="O18" s="2595"/>
      <c r="P18" s="2596"/>
      <c r="Q18" s="2595"/>
      <c r="R18" s="2595"/>
      <c r="S18" s="2595"/>
      <c r="T18" s="2595"/>
      <c r="U18" s="2595"/>
      <c r="V18" s="2595"/>
      <c r="W18" s="2588"/>
      <c r="Y18" s="2602" t="s">
        <v>1064</v>
      </c>
      <c r="Z18" s="2602"/>
      <c r="AA18" s="2602"/>
      <c r="AB18" s="2602"/>
      <c r="AC18" s="2602"/>
      <c r="AD18" s="2603"/>
      <c r="AE18" s="2602"/>
      <c r="AF18" s="2602"/>
      <c r="AG18" s="2602"/>
      <c r="AH18" s="2602"/>
      <c r="AI18" s="2604"/>
      <c r="AM18" s="2577">
        <v>11</v>
      </c>
      <c r="AN18" s="2577">
        <v>923247</v>
      </c>
      <c r="AO18" s="2577" t="s">
        <v>1433</v>
      </c>
      <c r="AP18" s="2578"/>
      <c r="AQ18" s="2577"/>
      <c r="AR18" s="2577"/>
      <c r="AS18" s="2577"/>
      <c r="AT18" s="2577"/>
      <c r="AU18" s="2577">
        <f t="shared" si="1"/>
        <v>0</v>
      </c>
      <c r="AV18" s="2577"/>
      <c r="AW18" s="2570"/>
    </row>
    <row r="19" spans="1:49" ht="30.6" thickBot="1">
      <c r="A19" s="2534"/>
      <c r="B19" s="2535"/>
      <c r="C19" s="2535"/>
      <c r="D19" s="2535"/>
      <c r="E19" s="4078" t="s">
        <v>152</v>
      </c>
      <c r="F19" s="4079"/>
      <c r="G19" s="4078" t="s">
        <v>153</v>
      </c>
      <c r="H19" s="4079"/>
      <c r="I19" s="2536" t="s">
        <v>154</v>
      </c>
      <c r="J19" s="2537"/>
      <c r="K19" s="2540" t="s">
        <v>132</v>
      </c>
      <c r="M19" s="2595"/>
      <c r="N19" s="2595"/>
      <c r="O19" s="2595"/>
      <c r="P19" s="2596"/>
      <c r="Q19" s="2595"/>
      <c r="R19" s="2595"/>
      <c r="S19" s="2595"/>
      <c r="T19" s="2595"/>
      <c r="U19" s="2595"/>
      <c r="V19" s="2595">
        <f t="shared" ref="V19" si="11">(R19-T19)</f>
        <v>0</v>
      </c>
      <c r="W19" s="2588"/>
      <c r="Y19" s="2602" t="s">
        <v>1250</v>
      </c>
      <c r="Z19" s="2604"/>
      <c r="AA19" s="2604"/>
      <c r="AB19" s="2604"/>
      <c r="AC19" s="2603" t="s">
        <v>1243</v>
      </c>
      <c r="AD19" s="2604"/>
      <c r="AE19" s="2604"/>
      <c r="AF19" s="2604"/>
      <c r="AG19" s="2604"/>
      <c r="AH19" s="2604"/>
      <c r="AI19" s="2604"/>
      <c r="AM19" s="2577">
        <v>12</v>
      </c>
      <c r="AN19" s="2577">
        <v>35115</v>
      </c>
      <c r="AO19" s="2577" t="s">
        <v>1434</v>
      </c>
      <c r="AP19" s="2578"/>
      <c r="AQ19" s="2577"/>
      <c r="AR19" s="2577"/>
      <c r="AS19" s="2577"/>
      <c r="AT19" s="2577"/>
      <c r="AU19" s="2577">
        <f t="shared" si="1"/>
        <v>0</v>
      </c>
      <c r="AV19" s="2577"/>
      <c r="AW19" s="2570"/>
    </row>
    <row r="20" spans="1:49" ht="28.8">
      <c r="A20" s="2538" t="s">
        <v>223</v>
      </c>
      <c r="B20" s="2538" t="s">
        <v>224</v>
      </c>
      <c r="C20" s="2538" t="s">
        <v>225</v>
      </c>
      <c r="D20" s="2538" t="s">
        <v>157</v>
      </c>
      <c r="E20" s="2538" t="s">
        <v>944</v>
      </c>
      <c r="F20" s="2538" t="s">
        <v>945</v>
      </c>
      <c r="G20" s="2538" t="s">
        <v>946</v>
      </c>
      <c r="H20" s="2538" t="s">
        <v>947</v>
      </c>
      <c r="I20" s="2539" t="s">
        <v>948</v>
      </c>
      <c r="J20" s="2539" t="s">
        <v>949</v>
      </c>
      <c r="K20" s="2531"/>
      <c r="M20" s="2597"/>
      <c r="N20" s="2597"/>
      <c r="O20" s="2597"/>
      <c r="P20" s="2598"/>
      <c r="Q20" s="2599">
        <f>SUM(Q17:Q19)</f>
        <v>0</v>
      </c>
      <c r="R20" s="2599">
        <v>500</v>
      </c>
      <c r="S20" s="2599">
        <f t="shared" ref="S20:V20" si="12">SUM(S17:S19)</f>
        <v>51.456000000000003</v>
      </c>
      <c r="T20" s="2599">
        <f t="shared" si="12"/>
        <v>448.54399999999998</v>
      </c>
      <c r="U20" s="2599">
        <f t="shared" si="12"/>
        <v>0</v>
      </c>
      <c r="V20" s="2599">
        <f t="shared" si="12"/>
        <v>51.456000000000017</v>
      </c>
      <c r="W20" s="2588"/>
      <c r="Y20" s="2605"/>
      <c r="Z20" s="2606"/>
      <c r="AA20" s="2606"/>
      <c r="AB20" s="2606"/>
      <c r="AC20" s="4101" t="s">
        <v>152</v>
      </c>
      <c r="AD20" s="4102"/>
      <c r="AE20" s="4101" t="s">
        <v>153</v>
      </c>
      <c r="AF20" s="4102"/>
      <c r="AG20" s="2607" t="s">
        <v>154</v>
      </c>
      <c r="AH20" s="2608"/>
      <c r="AI20" s="2609" t="s">
        <v>132</v>
      </c>
      <c r="AM20" s="2577">
        <v>13</v>
      </c>
      <c r="AN20" s="2577">
        <v>926096</v>
      </c>
      <c r="AO20" s="2577" t="s">
        <v>1435</v>
      </c>
      <c r="AP20" s="2578"/>
      <c r="AQ20" s="2577"/>
      <c r="AR20" s="2577"/>
      <c r="AS20" s="2577"/>
      <c r="AT20" s="2577"/>
      <c r="AU20" s="2577">
        <f t="shared" si="1"/>
        <v>0</v>
      </c>
      <c r="AV20" s="2577"/>
      <c r="AW20" s="2570"/>
    </row>
    <row r="21" spans="1:49" ht="28.8">
      <c r="A21" s="2541"/>
      <c r="B21" s="2541">
        <v>958889</v>
      </c>
      <c r="C21" s="2542" t="s">
        <v>1044</v>
      </c>
      <c r="D21" s="2543"/>
      <c r="E21" s="2541">
        <v>0.20200000000000001</v>
      </c>
      <c r="F21" s="2541">
        <v>64.977999999999994</v>
      </c>
      <c r="G21" s="2541">
        <v>0.20200000000000001</v>
      </c>
      <c r="H21" s="2541">
        <v>64.977999999999994</v>
      </c>
      <c r="I21" s="2541">
        <f>(E21-G21)</f>
        <v>0</v>
      </c>
      <c r="J21" s="2541">
        <f t="shared" ref="J21:J23" si="13">(F21-H21)</f>
        <v>0</v>
      </c>
      <c r="K21" s="2531"/>
      <c r="Y21" s="2610" t="s">
        <v>223</v>
      </c>
      <c r="Z21" s="2610" t="s">
        <v>224</v>
      </c>
      <c r="AA21" s="2610" t="s">
        <v>225</v>
      </c>
      <c r="AB21" s="2610" t="s">
        <v>157</v>
      </c>
      <c r="AC21" s="2610" t="s">
        <v>944</v>
      </c>
      <c r="AD21" s="2610" t="s">
        <v>945</v>
      </c>
      <c r="AE21" s="2610" t="s">
        <v>946</v>
      </c>
      <c r="AF21" s="2610" t="s">
        <v>947</v>
      </c>
      <c r="AG21" s="2610" t="s">
        <v>948</v>
      </c>
      <c r="AH21" s="2610" t="s">
        <v>949</v>
      </c>
      <c r="AI21" s="2604"/>
      <c r="AM21" s="2577">
        <v>14</v>
      </c>
      <c r="AN21" s="2577">
        <v>915509</v>
      </c>
      <c r="AO21" s="2577" t="s">
        <v>1448</v>
      </c>
      <c r="AP21" s="2578"/>
      <c r="AQ21" s="2577"/>
      <c r="AR21" s="2577"/>
      <c r="AS21" s="2577"/>
      <c r="AT21" s="2577"/>
      <c r="AU21" s="2577">
        <f t="shared" si="1"/>
        <v>0</v>
      </c>
      <c r="AV21" s="2577"/>
      <c r="AW21" s="2570"/>
    </row>
    <row r="22" spans="1:49" ht="30">
      <c r="A22" s="2541"/>
      <c r="B22" s="2541">
        <v>961147</v>
      </c>
      <c r="C22" s="2648" t="s">
        <v>1658</v>
      </c>
      <c r="D22" s="2543"/>
      <c r="E22" s="2541">
        <v>3.798</v>
      </c>
      <c r="F22" s="2541">
        <v>51.021999999999998</v>
      </c>
      <c r="G22" s="2541">
        <v>0</v>
      </c>
      <c r="H22" s="2541">
        <v>14.297000000000001</v>
      </c>
      <c r="I22" s="2541">
        <f t="shared" ref="I22:I23" si="14">(E22-G22)</f>
        <v>3.798</v>
      </c>
      <c r="J22" s="2541">
        <f t="shared" si="13"/>
        <v>36.724999999999994</v>
      </c>
      <c r="K22" s="2531"/>
      <c r="M22" s="2584" t="s">
        <v>1115</v>
      </c>
      <c r="N22" s="2568"/>
      <c r="O22" s="2568"/>
      <c r="P22" s="2568"/>
      <c r="Q22" s="2568"/>
      <c r="R22" s="2569"/>
      <c r="S22" s="2568"/>
      <c r="T22" s="2568"/>
      <c r="U22" s="2568"/>
      <c r="V22" s="2568"/>
      <c r="W22" s="2570"/>
      <c r="Y22" s="2611"/>
      <c r="Z22" s="2611">
        <v>951227</v>
      </c>
      <c r="AA22" s="2611" t="s">
        <v>1251</v>
      </c>
      <c r="AB22" s="2612"/>
      <c r="AC22" s="2611">
        <v>20</v>
      </c>
      <c r="AD22" s="2611">
        <v>250</v>
      </c>
      <c r="AE22" s="2611">
        <v>17.091999999999999</v>
      </c>
      <c r="AF22" s="2611">
        <v>241.584</v>
      </c>
      <c r="AG22" s="2611">
        <f>(AC22-AE22)</f>
        <v>2.9080000000000013</v>
      </c>
      <c r="AH22" s="2611">
        <f t="shared" ref="AH22" si="15">(AD22-AF22)</f>
        <v>8.4159999999999968</v>
      </c>
      <c r="AI22" s="2604"/>
      <c r="AM22" s="2577">
        <v>15</v>
      </c>
      <c r="AN22" s="2577">
        <v>913575</v>
      </c>
      <c r="AO22" s="2577" t="s">
        <v>1436</v>
      </c>
      <c r="AP22" s="2578"/>
      <c r="AQ22" s="2577"/>
      <c r="AR22" s="2577"/>
      <c r="AS22" s="2577"/>
      <c r="AT22" s="2577"/>
      <c r="AU22" s="2577">
        <f t="shared" si="1"/>
        <v>0</v>
      </c>
      <c r="AV22" s="2577"/>
      <c r="AW22" s="2570"/>
    </row>
    <row r="23" spans="1:49" ht="30.6" thickBot="1">
      <c r="A23" s="2541"/>
      <c r="B23" s="2541">
        <v>960520</v>
      </c>
      <c r="C23" s="2542" t="s">
        <v>982</v>
      </c>
      <c r="D23" s="2543"/>
      <c r="E23" s="2541">
        <v>0</v>
      </c>
      <c r="F23" s="2541">
        <v>19.97</v>
      </c>
      <c r="G23" s="2541">
        <v>0</v>
      </c>
      <c r="H23" s="2541">
        <v>19.97</v>
      </c>
      <c r="I23" s="2541">
        <f t="shared" si="14"/>
        <v>0</v>
      </c>
      <c r="J23" s="2541">
        <f t="shared" si="13"/>
        <v>0</v>
      </c>
      <c r="K23" s="2531"/>
      <c r="M23" s="2568" t="s">
        <v>1116</v>
      </c>
      <c r="N23" s="2570"/>
      <c r="O23" s="2570"/>
      <c r="P23" s="2570"/>
      <c r="Q23" s="2569" t="s">
        <v>943</v>
      </c>
      <c r="R23" s="2570"/>
      <c r="S23" s="2570"/>
      <c r="T23" s="2570"/>
      <c r="U23" s="2570"/>
      <c r="V23" s="2570"/>
      <c r="W23" s="2570"/>
      <c r="Y23" s="2611"/>
      <c r="Z23" s="2611"/>
      <c r="AA23" s="2611"/>
      <c r="AB23" s="2612"/>
      <c r="AC23" s="2611"/>
      <c r="AD23" s="2611"/>
      <c r="AE23" s="2611"/>
      <c r="AF23" s="2611"/>
      <c r="AG23" s="2611">
        <f t="shared" ref="AG23" si="16">(AC23-AE23)</f>
        <v>0</v>
      </c>
      <c r="AH23" s="2611">
        <f t="shared" ref="AH23" si="17">(AD23-AF23)</f>
        <v>0</v>
      </c>
      <c r="AI23" s="2604"/>
      <c r="AM23" s="2577">
        <v>16</v>
      </c>
      <c r="AN23" s="2577">
        <v>953602</v>
      </c>
      <c r="AO23" s="2577" t="s">
        <v>1437</v>
      </c>
      <c r="AP23" s="2578"/>
      <c r="AQ23" s="2577"/>
      <c r="AR23" s="2577"/>
      <c r="AS23" s="2577"/>
      <c r="AT23" s="2577"/>
      <c r="AU23" s="2577">
        <f t="shared" si="1"/>
        <v>0</v>
      </c>
      <c r="AV23" s="2577"/>
      <c r="AW23" s="2570"/>
    </row>
    <row r="24" spans="1:49" ht="14.4">
      <c r="A24" s="2541"/>
      <c r="B24" s="2541">
        <v>952808</v>
      </c>
      <c r="C24" s="2542" t="s">
        <v>160</v>
      </c>
      <c r="D24" s="2543"/>
      <c r="E24" s="2541">
        <v>5</v>
      </c>
      <c r="F24" s="2541">
        <v>75.03</v>
      </c>
      <c r="G24" s="2541">
        <v>11.157</v>
      </c>
      <c r="H24" s="2541">
        <v>69.004999999999995</v>
      </c>
      <c r="I24" s="2541">
        <f>(E25-G24)</f>
        <v>-9.157</v>
      </c>
      <c r="J24" s="2541">
        <f>(F25-H24)</f>
        <v>-41.004999999999995</v>
      </c>
      <c r="K24" s="2531"/>
      <c r="M24" s="2571"/>
      <c r="N24" s="2572"/>
      <c r="O24" s="2572"/>
      <c r="P24" s="2572"/>
      <c r="Q24" s="4048" t="s">
        <v>152</v>
      </c>
      <c r="R24" s="4049"/>
      <c r="S24" s="4048" t="s">
        <v>153</v>
      </c>
      <c r="T24" s="4049"/>
      <c r="U24" s="2573" t="s">
        <v>154</v>
      </c>
      <c r="V24" s="2574"/>
      <c r="W24" s="2570"/>
      <c r="Y24" s="2613"/>
      <c r="Z24" s="2613"/>
      <c r="AA24" s="2613"/>
      <c r="AB24" s="2614"/>
      <c r="AC24" s="2615">
        <f>SUM(AC22:AC22)</f>
        <v>20</v>
      </c>
      <c r="AD24" s="2615">
        <f>SUM(AD22:AD22)</f>
        <v>250</v>
      </c>
      <c r="AE24" s="2615">
        <f>SUM(AE22)</f>
        <v>17.091999999999999</v>
      </c>
      <c r="AF24" s="2615">
        <f>SUM(AF22)</f>
        <v>241.584</v>
      </c>
      <c r="AG24" s="2615">
        <f>SUM(AG23)</f>
        <v>0</v>
      </c>
      <c r="AH24" s="2615">
        <f t="shared" ref="AH24" si="18">SUM(AH23)</f>
        <v>0</v>
      </c>
      <c r="AI24" s="2604"/>
      <c r="AM24" s="2577">
        <v>17</v>
      </c>
      <c r="AN24" s="2577">
        <v>957461</v>
      </c>
      <c r="AO24" s="2577" t="s">
        <v>684</v>
      </c>
      <c r="AP24" s="2578"/>
      <c r="AQ24" s="2577"/>
      <c r="AR24" s="2577"/>
      <c r="AS24" s="2577"/>
      <c r="AT24" s="2577"/>
      <c r="AU24" s="2577">
        <f t="shared" si="1"/>
        <v>0</v>
      </c>
      <c r="AV24" s="2577"/>
      <c r="AW24" s="2570"/>
    </row>
    <row r="25" spans="1:49" ht="28.8">
      <c r="A25" s="2541"/>
      <c r="B25" s="2541">
        <v>960925</v>
      </c>
      <c r="C25" s="2542" t="s">
        <v>967</v>
      </c>
      <c r="D25" s="2543"/>
      <c r="E25" s="2541">
        <v>2</v>
      </c>
      <c r="F25" s="2541">
        <v>28</v>
      </c>
      <c r="G25" s="2541">
        <v>0.219</v>
      </c>
      <c r="H25" s="2541">
        <v>23.155999999999999</v>
      </c>
      <c r="I25" s="2541">
        <f>(E24-G25)</f>
        <v>4.7809999999999997</v>
      </c>
      <c r="J25" s="2541">
        <f>(F24-H25)</f>
        <v>51.874000000000002</v>
      </c>
      <c r="K25" s="2531"/>
      <c r="M25" s="2576" t="s">
        <v>223</v>
      </c>
      <c r="N25" s="2576" t="s">
        <v>224</v>
      </c>
      <c r="O25" s="2576" t="s">
        <v>225</v>
      </c>
      <c r="P25" s="2576" t="s">
        <v>157</v>
      </c>
      <c r="Q25" s="2576" t="s">
        <v>944</v>
      </c>
      <c r="R25" s="2576" t="s">
        <v>945</v>
      </c>
      <c r="S25" s="2576" t="s">
        <v>946</v>
      </c>
      <c r="T25" s="2576" t="s">
        <v>947</v>
      </c>
      <c r="U25" s="2576" t="s">
        <v>948</v>
      </c>
      <c r="V25" s="2576" t="s">
        <v>949</v>
      </c>
      <c r="W25" s="2575" t="s">
        <v>132</v>
      </c>
      <c r="AM25" s="2577">
        <v>18</v>
      </c>
      <c r="AN25" s="2577">
        <v>956524</v>
      </c>
      <c r="AO25" s="2577" t="s">
        <v>1438</v>
      </c>
      <c r="AP25" s="2578"/>
      <c r="AQ25" s="2577"/>
      <c r="AR25" s="2577"/>
      <c r="AS25" s="2577"/>
      <c r="AT25" s="2577"/>
      <c r="AU25" s="2577">
        <f t="shared" si="1"/>
        <v>0</v>
      </c>
      <c r="AV25" s="2577"/>
      <c r="AW25" s="2570"/>
    </row>
    <row r="26" spans="1:49">
      <c r="A26" s="2544"/>
      <c r="B26" s="2544"/>
      <c r="C26" s="2544"/>
      <c r="D26" s="2545"/>
      <c r="E26" s="2546">
        <f>SUM(E21:E24)</f>
        <v>9</v>
      </c>
      <c r="F26" s="2546">
        <f>SUM(F21:F24)</f>
        <v>211</v>
      </c>
      <c r="G26" s="2546">
        <f t="shared" ref="G26:J26" si="19">SUM(G21:G25)</f>
        <v>11.577999999999999</v>
      </c>
      <c r="H26" s="2546">
        <f t="shared" si="19"/>
        <v>191.40600000000001</v>
      </c>
      <c r="I26" s="2546">
        <f t="shared" si="19"/>
        <v>-0.57800000000000029</v>
      </c>
      <c r="J26" s="2546">
        <f t="shared" si="19"/>
        <v>47.594000000000001</v>
      </c>
      <c r="K26" s="2531"/>
      <c r="M26" s="2577"/>
      <c r="N26" s="2577">
        <v>951220</v>
      </c>
      <c r="O26" s="2577" t="s">
        <v>1117</v>
      </c>
      <c r="P26" s="2578"/>
      <c r="Q26" s="2577">
        <v>10</v>
      </c>
      <c r="R26" s="2577">
        <v>290</v>
      </c>
      <c r="S26" s="2577">
        <v>0</v>
      </c>
      <c r="T26" s="2577">
        <v>290</v>
      </c>
      <c r="U26" s="2577">
        <f>(Q26-S26)</f>
        <v>10</v>
      </c>
      <c r="V26" s="2577">
        <f t="shared" ref="V26:V41" si="20">(R26-T26)</f>
        <v>0</v>
      </c>
      <c r="W26" s="2570"/>
      <c r="AM26" s="2577">
        <v>19</v>
      </c>
      <c r="AN26" s="2577">
        <v>914071</v>
      </c>
      <c r="AO26" s="2577" t="s">
        <v>1439</v>
      </c>
      <c r="AP26" s="2578"/>
      <c r="AQ26" s="2577"/>
      <c r="AR26" s="2577"/>
      <c r="AS26" s="2577"/>
      <c r="AT26" s="2577"/>
      <c r="AU26" s="2577">
        <f t="shared" si="1"/>
        <v>0</v>
      </c>
      <c r="AV26" s="2577"/>
      <c r="AW26" s="2570"/>
    </row>
    <row r="27" spans="1:49" ht="30">
      <c r="M27" s="2577"/>
      <c r="N27" s="2577">
        <v>950656</v>
      </c>
      <c r="O27" s="2577" t="s">
        <v>1118</v>
      </c>
      <c r="P27" s="2578"/>
      <c r="Q27" s="2577">
        <v>10</v>
      </c>
      <c r="R27" s="2577">
        <v>290</v>
      </c>
      <c r="S27" s="2577">
        <v>0</v>
      </c>
      <c r="T27" s="2577">
        <v>290</v>
      </c>
      <c r="U27" s="2577">
        <f t="shared" ref="U27:U41" si="21">(Q27-S27)</f>
        <v>10</v>
      </c>
      <c r="V27" s="2577">
        <f t="shared" si="20"/>
        <v>0</v>
      </c>
      <c r="W27" s="2570"/>
      <c r="Y27" s="2568" t="s">
        <v>1064</v>
      </c>
      <c r="Z27" s="2568"/>
      <c r="AA27" s="2568"/>
      <c r="AB27" s="2568"/>
      <c r="AC27" s="2568"/>
      <c r="AD27" s="2569"/>
      <c r="AE27" s="2568"/>
      <c r="AF27" s="2568"/>
      <c r="AG27" s="2568"/>
      <c r="AH27" s="2568"/>
      <c r="AI27" s="2570"/>
      <c r="AM27" s="2577">
        <v>20</v>
      </c>
      <c r="AN27" s="2577">
        <v>925579</v>
      </c>
      <c r="AO27" s="2577" t="s">
        <v>1440</v>
      </c>
      <c r="AP27" s="2578"/>
      <c r="AQ27" s="2577"/>
      <c r="AR27" s="2577"/>
      <c r="AS27" s="2577"/>
      <c r="AT27" s="2577"/>
      <c r="AU27" s="2577">
        <f t="shared" si="1"/>
        <v>0</v>
      </c>
      <c r="AV27" s="2577"/>
      <c r="AW27" s="2570"/>
    </row>
    <row r="28" spans="1:49" ht="30.6" thickBot="1">
      <c r="M28" s="2577"/>
      <c r="N28" s="2577">
        <v>958703</v>
      </c>
      <c r="O28" s="2577" t="s">
        <v>1119</v>
      </c>
      <c r="P28" s="2578"/>
      <c r="Q28" s="2577">
        <v>10</v>
      </c>
      <c r="R28" s="2577">
        <v>290</v>
      </c>
      <c r="S28" s="2577">
        <v>0</v>
      </c>
      <c r="T28" s="2577">
        <v>289.99999999999994</v>
      </c>
      <c r="U28" s="2577">
        <f t="shared" si="21"/>
        <v>10</v>
      </c>
      <c r="V28" s="2577">
        <f t="shared" si="20"/>
        <v>5.6843418860808015E-14</v>
      </c>
      <c r="W28" s="2570"/>
      <c r="Y28" s="2568" t="s">
        <v>1253</v>
      </c>
      <c r="Z28" s="2570"/>
      <c r="AA28" s="2570"/>
      <c r="AB28" s="2570"/>
      <c r="AC28" s="2569" t="s">
        <v>1243</v>
      </c>
      <c r="AD28" s="2570"/>
      <c r="AE28" s="2570"/>
      <c r="AF28" s="2570"/>
      <c r="AG28" s="2570"/>
      <c r="AH28" s="2570"/>
      <c r="AI28" s="2570"/>
      <c r="AM28" s="2577">
        <v>21</v>
      </c>
      <c r="AN28" s="2577">
        <v>913352</v>
      </c>
      <c r="AO28" s="2577" t="s">
        <v>1441</v>
      </c>
      <c r="AP28" s="2578"/>
      <c r="AQ28" s="2577"/>
      <c r="AR28" s="2577"/>
      <c r="AS28" s="2577"/>
      <c r="AT28" s="2577"/>
      <c r="AU28" s="2577">
        <f t="shared" si="1"/>
        <v>0</v>
      </c>
      <c r="AV28" s="2577"/>
      <c r="AW28" s="2570"/>
    </row>
    <row r="29" spans="1:49" ht="30">
      <c r="A29" s="2547" t="s">
        <v>1045</v>
      </c>
      <c r="B29" s="2530"/>
      <c r="C29" s="2530"/>
      <c r="D29" s="2530"/>
      <c r="E29" s="2530"/>
      <c r="F29" s="2530"/>
      <c r="G29" s="2530"/>
      <c r="H29" s="2530"/>
      <c r="I29" s="2530"/>
      <c r="J29" s="2530"/>
      <c r="K29" s="2531"/>
      <c r="M29" s="2577"/>
      <c r="N29" s="2577">
        <v>953053</v>
      </c>
      <c r="O29" s="2577" t="s">
        <v>1120</v>
      </c>
      <c r="P29" s="2578"/>
      <c r="Q29" s="2577">
        <v>10</v>
      </c>
      <c r="R29" s="2577">
        <v>290</v>
      </c>
      <c r="S29" s="2577">
        <v>0</v>
      </c>
      <c r="T29" s="2577">
        <v>290</v>
      </c>
      <c r="U29" s="2577">
        <f t="shared" si="21"/>
        <v>10</v>
      </c>
      <c r="V29" s="2577">
        <f t="shared" si="20"/>
        <v>0</v>
      </c>
      <c r="W29" s="2570"/>
      <c r="Y29" s="2571"/>
      <c r="Z29" s="2572"/>
      <c r="AA29" s="2572"/>
      <c r="AB29" s="2572"/>
      <c r="AC29" s="4048" t="s">
        <v>152</v>
      </c>
      <c r="AD29" s="4049"/>
      <c r="AE29" s="4048" t="s">
        <v>153</v>
      </c>
      <c r="AF29" s="4049"/>
      <c r="AG29" s="2573" t="s">
        <v>154</v>
      </c>
      <c r="AH29" s="2574"/>
      <c r="AI29" s="2575" t="s">
        <v>132</v>
      </c>
      <c r="AM29" s="2577">
        <v>22</v>
      </c>
      <c r="AN29" s="2577">
        <v>961261</v>
      </c>
      <c r="AO29" s="2577" t="s">
        <v>1442</v>
      </c>
      <c r="AP29" s="2578"/>
      <c r="AQ29" s="2577"/>
      <c r="AR29" s="2577"/>
      <c r="AS29" s="2577"/>
      <c r="AT29" s="2577"/>
      <c r="AU29" s="2577">
        <f t="shared" si="1"/>
        <v>0</v>
      </c>
      <c r="AV29" s="2577"/>
      <c r="AW29" s="2570"/>
    </row>
    <row r="30" spans="1:49" ht="30">
      <c r="A30" s="2532" t="s">
        <v>1049</v>
      </c>
      <c r="B30" s="2530"/>
      <c r="C30" s="2530"/>
      <c r="D30" s="2530"/>
      <c r="E30" s="2530"/>
      <c r="F30" s="2533" t="s">
        <v>943</v>
      </c>
      <c r="G30" s="2530"/>
      <c r="H30" s="2530"/>
      <c r="I30" s="2530"/>
      <c r="J30" s="2530"/>
      <c r="K30" s="2531"/>
      <c r="M30" s="2577"/>
      <c r="N30" s="2577">
        <v>953746</v>
      </c>
      <c r="O30" s="2577" t="s">
        <v>1121</v>
      </c>
      <c r="P30" s="2578"/>
      <c r="Q30" s="2577">
        <v>10</v>
      </c>
      <c r="R30" s="2577">
        <v>290</v>
      </c>
      <c r="S30" s="2577">
        <v>0</v>
      </c>
      <c r="T30" s="2577">
        <v>290</v>
      </c>
      <c r="U30" s="2577">
        <f t="shared" si="21"/>
        <v>10</v>
      </c>
      <c r="V30" s="2577">
        <f t="shared" si="20"/>
        <v>0</v>
      </c>
      <c r="W30" s="2570"/>
      <c r="Y30" s="2576" t="s">
        <v>223</v>
      </c>
      <c r="Z30" s="2576" t="s">
        <v>224</v>
      </c>
      <c r="AA30" s="2576" t="s">
        <v>225</v>
      </c>
      <c r="AB30" s="2576" t="s">
        <v>157</v>
      </c>
      <c r="AC30" s="2576" t="s">
        <v>944</v>
      </c>
      <c r="AD30" s="2576" t="s">
        <v>945</v>
      </c>
      <c r="AE30" s="2576" t="s">
        <v>946</v>
      </c>
      <c r="AF30" s="2576" t="s">
        <v>947</v>
      </c>
      <c r="AG30" s="2576" t="s">
        <v>948</v>
      </c>
      <c r="AH30" s="2576" t="s">
        <v>949</v>
      </c>
      <c r="AI30" s="2570"/>
      <c r="AM30" s="2577">
        <v>23</v>
      </c>
      <c r="AN30" s="2577">
        <v>913436</v>
      </c>
      <c r="AO30" s="2577" t="s">
        <v>1443</v>
      </c>
      <c r="AP30" s="2578"/>
      <c r="AQ30" s="2577"/>
      <c r="AR30" s="2577"/>
      <c r="AS30" s="2577"/>
      <c r="AT30" s="2577"/>
      <c r="AU30" s="2577">
        <f t="shared" si="1"/>
        <v>0</v>
      </c>
      <c r="AV30" s="2577"/>
      <c r="AW30" s="2570"/>
    </row>
    <row r="31" spans="1:49" ht="13.8" thickBot="1">
      <c r="A31" s="2531"/>
      <c r="B31" s="2531"/>
      <c r="C31" s="2531"/>
      <c r="D31" s="2531"/>
      <c r="E31" s="2531"/>
      <c r="F31" s="2531"/>
      <c r="G31" s="2531"/>
      <c r="H31" s="2531"/>
      <c r="I31" s="2531"/>
      <c r="J31" s="2531"/>
      <c r="K31" s="2548"/>
      <c r="M31" s="2577"/>
      <c r="N31" s="2577" t="s">
        <v>1644</v>
      </c>
      <c r="O31" s="2577" t="s">
        <v>1643</v>
      </c>
      <c r="P31" s="2578"/>
      <c r="Q31" s="2577">
        <v>10</v>
      </c>
      <c r="R31" s="2577">
        <v>290</v>
      </c>
      <c r="S31" s="2577">
        <v>0</v>
      </c>
      <c r="T31" s="2577">
        <v>290</v>
      </c>
      <c r="U31" s="2577">
        <f t="shared" si="21"/>
        <v>10</v>
      </c>
      <c r="V31" s="2577">
        <f t="shared" si="20"/>
        <v>0</v>
      </c>
      <c r="W31" s="2570"/>
      <c r="Y31" s="2577"/>
      <c r="Z31" s="2577">
        <v>950995</v>
      </c>
      <c r="AA31" s="2577" t="s">
        <v>1254</v>
      </c>
      <c r="AB31" s="2578"/>
      <c r="AC31" s="2577">
        <v>95</v>
      </c>
      <c r="AD31" s="2577">
        <v>405</v>
      </c>
      <c r="AE31" s="2577">
        <v>64.957999999999998</v>
      </c>
      <c r="AF31" s="2577">
        <v>435.04199999999997</v>
      </c>
      <c r="AG31" s="2577">
        <f>(AC31-AE31)</f>
        <v>30.042000000000002</v>
      </c>
      <c r="AH31" s="2577">
        <f t="shared" ref="AH31:AH36" si="22">(AD31-AF31)</f>
        <v>-30.041999999999973</v>
      </c>
      <c r="AI31" s="2570"/>
      <c r="AM31" s="2577">
        <v>24</v>
      </c>
      <c r="AN31" s="2577">
        <v>960885</v>
      </c>
      <c r="AO31" s="2577" t="s">
        <v>1444</v>
      </c>
      <c r="AP31" s="2578"/>
      <c r="AQ31" s="2577"/>
      <c r="AR31" s="2577"/>
      <c r="AS31" s="2577"/>
      <c r="AT31" s="2577"/>
      <c r="AU31" s="2577">
        <f t="shared" si="1"/>
        <v>0</v>
      </c>
      <c r="AV31" s="2577"/>
      <c r="AW31" s="2570"/>
    </row>
    <row r="32" spans="1:49" ht="14.4">
      <c r="A32" s="2534"/>
      <c r="B32" s="2535"/>
      <c r="C32" s="2535"/>
      <c r="D32" s="2535"/>
      <c r="E32" s="4078" t="s">
        <v>152</v>
      </c>
      <c r="F32" s="4079"/>
      <c r="G32" s="4078" t="s">
        <v>153</v>
      </c>
      <c r="H32" s="4079"/>
      <c r="I32" s="2536" t="s">
        <v>154</v>
      </c>
      <c r="J32" s="2537"/>
      <c r="K32" s="2531"/>
      <c r="M32" s="2577"/>
      <c r="N32" s="2577">
        <v>956926</v>
      </c>
      <c r="O32" s="2577" t="s">
        <v>1122</v>
      </c>
      <c r="P32" s="2578"/>
      <c r="Q32" s="2577">
        <v>10</v>
      </c>
      <c r="R32" s="2577">
        <v>290</v>
      </c>
      <c r="S32" s="2577">
        <v>0</v>
      </c>
      <c r="T32" s="2577">
        <v>290</v>
      </c>
      <c r="U32" s="2577">
        <f t="shared" si="21"/>
        <v>10</v>
      </c>
      <c r="V32" s="2577">
        <f t="shared" si="20"/>
        <v>0</v>
      </c>
      <c r="W32" s="2570"/>
      <c r="Y32" s="2577"/>
      <c r="Z32" s="2577">
        <v>953777</v>
      </c>
      <c r="AA32" s="2577" t="s">
        <v>1255</v>
      </c>
      <c r="AB32" s="2578"/>
      <c r="AC32" s="2577">
        <v>60</v>
      </c>
      <c r="AD32" s="2577">
        <v>240</v>
      </c>
      <c r="AE32" s="2577">
        <v>37.631</v>
      </c>
      <c r="AF32" s="2577">
        <v>261.95</v>
      </c>
      <c r="AG32" s="2577">
        <f t="shared" ref="AG32:AG36" si="23">(AC32-AE32)</f>
        <v>22.369</v>
      </c>
      <c r="AH32" s="2577">
        <f t="shared" si="22"/>
        <v>-21.949999999999989</v>
      </c>
      <c r="AI32" s="2570"/>
      <c r="AM32" s="2577">
        <v>25</v>
      </c>
      <c r="AN32" s="2577">
        <v>954558</v>
      </c>
      <c r="AO32" s="2577" t="s">
        <v>1445</v>
      </c>
      <c r="AP32" s="2578"/>
      <c r="AQ32" s="2577"/>
      <c r="AR32" s="2577"/>
      <c r="AS32" s="2577"/>
      <c r="AT32" s="2577"/>
      <c r="AU32" s="2577">
        <f t="shared" si="1"/>
        <v>0</v>
      </c>
      <c r="AV32" s="2577"/>
      <c r="AW32" s="2570"/>
    </row>
    <row r="33" spans="1:49" ht="28.8">
      <c r="A33" s="2538" t="s">
        <v>957</v>
      </c>
      <c r="B33" s="2538" t="s">
        <v>224</v>
      </c>
      <c r="C33" s="2538" t="s">
        <v>225</v>
      </c>
      <c r="D33" s="2538" t="s">
        <v>157</v>
      </c>
      <c r="E33" s="2538" t="s">
        <v>944</v>
      </c>
      <c r="F33" s="2538" t="s">
        <v>945</v>
      </c>
      <c r="G33" s="2538" t="s">
        <v>946</v>
      </c>
      <c r="H33" s="2538" t="s">
        <v>947</v>
      </c>
      <c r="I33" s="2539" t="s">
        <v>948</v>
      </c>
      <c r="J33" s="2539" t="s">
        <v>949</v>
      </c>
      <c r="K33" s="2531"/>
      <c r="M33" s="2577"/>
      <c r="N33" s="2577">
        <v>957377</v>
      </c>
      <c r="O33" s="2577" t="s">
        <v>1123</v>
      </c>
      <c r="P33" s="2578"/>
      <c r="Q33" s="2577">
        <v>10</v>
      </c>
      <c r="R33" s="2577">
        <v>290</v>
      </c>
      <c r="S33" s="2577">
        <v>4.6989999999999998</v>
      </c>
      <c r="T33" s="2577">
        <v>290</v>
      </c>
      <c r="U33" s="2577">
        <f t="shared" si="21"/>
        <v>5.3010000000000002</v>
      </c>
      <c r="V33" s="2577">
        <f t="shared" si="20"/>
        <v>0</v>
      </c>
      <c r="W33" s="2570"/>
      <c r="Y33" s="2577"/>
      <c r="Z33" s="2577">
        <v>959982</v>
      </c>
      <c r="AA33" s="2577" t="s">
        <v>1256</v>
      </c>
      <c r="AB33" s="2578"/>
      <c r="AC33" s="2577">
        <v>60</v>
      </c>
      <c r="AD33" s="2577">
        <v>240</v>
      </c>
      <c r="AE33" s="2577">
        <v>19.959</v>
      </c>
      <c r="AF33" s="2577">
        <v>280.041</v>
      </c>
      <c r="AG33" s="2577">
        <f t="shared" si="23"/>
        <v>40.040999999999997</v>
      </c>
      <c r="AH33" s="2577">
        <f t="shared" si="22"/>
        <v>-40.040999999999997</v>
      </c>
      <c r="AI33" s="2570"/>
      <c r="AM33" s="2577">
        <v>26</v>
      </c>
      <c r="AN33" s="2577">
        <v>954126</v>
      </c>
      <c r="AO33" s="2577" t="s">
        <v>1446</v>
      </c>
      <c r="AP33" s="2578"/>
      <c r="AQ33" s="2577"/>
      <c r="AR33" s="2577"/>
      <c r="AS33" s="2577"/>
      <c r="AT33" s="2577"/>
      <c r="AU33" s="2577">
        <f t="shared" si="1"/>
        <v>0</v>
      </c>
      <c r="AV33" s="2577"/>
      <c r="AW33" s="2570"/>
    </row>
    <row r="34" spans="1:49">
      <c r="A34" s="2542"/>
      <c r="B34" s="2542">
        <v>960549</v>
      </c>
      <c r="C34" s="2542" t="s">
        <v>844</v>
      </c>
      <c r="D34" s="2543"/>
      <c r="E34" s="2541">
        <v>20</v>
      </c>
      <c r="F34" s="2541">
        <v>80</v>
      </c>
      <c r="G34" s="2541">
        <v>2.0249999999999999</v>
      </c>
      <c r="H34" s="2541">
        <v>80</v>
      </c>
      <c r="I34" s="2541">
        <f>(E34-G34)</f>
        <v>17.975000000000001</v>
      </c>
      <c r="J34" s="2541">
        <f t="shared" ref="J34" si="24">(F34-H34)</f>
        <v>0</v>
      </c>
      <c r="K34" s="2531"/>
      <c r="M34" s="2577"/>
      <c r="N34" s="2577">
        <v>11718</v>
      </c>
      <c r="O34" s="2577" t="s">
        <v>1124</v>
      </c>
      <c r="P34" s="2578"/>
      <c r="Q34" s="2577">
        <v>10</v>
      </c>
      <c r="R34" s="2577">
        <v>290</v>
      </c>
      <c r="S34" s="2577">
        <v>2.1680000000000001</v>
      </c>
      <c r="T34" s="2577">
        <v>290</v>
      </c>
      <c r="U34" s="2577">
        <f t="shared" si="21"/>
        <v>7.8319999999999999</v>
      </c>
      <c r="V34" s="2577">
        <f t="shared" si="20"/>
        <v>0</v>
      </c>
      <c r="W34" s="2570"/>
      <c r="Y34" s="2577"/>
      <c r="Z34" s="2577">
        <v>954220</v>
      </c>
      <c r="AA34" s="2577" t="s">
        <v>1257</v>
      </c>
      <c r="AB34" s="2578"/>
      <c r="AC34" s="2577">
        <v>60</v>
      </c>
      <c r="AD34" s="2577">
        <v>240</v>
      </c>
      <c r="AE34" s="2577">
        <v>55.698</v>
      </c>
      <c r="AF34" s="2577">
        <v>244.30199999999999</v>
      </c>
      <c r="AG34" s="2577">
        <f t="shared" si="23"/>
        <v>4.3019999999999996</v>
      </c>
      <c r="AH34" s="2577">
        <f t="shared" si="22"/>
        <v>-4.3019999999999925</v>
      </c>
      <c r="AI34" s="2570"/>
      <c r="AM34" s="2577">
        <v>27</v>
      </c>
      <c r="AN34" s="2577">
        <v>913564</v>
      </c>
      <c r="AO34" s="2577" t="s">
        <v>1460</v>
      </c>
      <c r="AP34" s="2578"/>
      <c r="AQ34" s="2577"/>
      <c r="AR34" s="2577"/>
      <c r="AS34" s="2577"/>
      <c r="AT34" s="2577"/>
      <c r="AU34" s="2577">
        <f t="shared" si="1"/>
        <v>0</v>
      </c>
      <c r="AV34" s="2577"/>
      <c r="AW34" s="2570"/>
    </row>
    <row r="35" spans="1:49">
      <c r="A35" s="2542"/>
      <c r="B35" s="2541"/>
      <c r="C35" s="2542"/>
      <c r="D35" s="2543"/>
      <c r="E35" s="2541"/>
      <c r="F35" s="2541"/>
      <c r="G35" s="2541"/>
      <c r="H35" s="2541"/>
      <c r="I35" s="2541"/>
      <c r="J35" s="2541"/>
      <c r="K35" s="2531"/>
      <c r="M35" s="2577"/>
      <c r="N35" s="2577">
        <v>957495</v>
      </c>
      <c r="O35" s="2577" t="s">
        <v>1125</v>
      </c>
      <c r="P35" s="2578"/>
      <c r="Q35" s="2577">
        <v>10</v>
      </c>
      <c r="R35" s="2577">
        <v>290</v>
      </c>
      <c r="S35" s="2577">
        <v>4.1310000000000002</v>
      </c>
      <c r="T35" s="2577">
        <v>290</v>
      </c>
      <c r="U35" s="2577">
        <f t="shared" si="21"/>
        <v>5.8689999999999998</v>
      </c>
      <c r="V35" s="2577">
        <f t="shared" si="20"/>
        <v>0</v>
      </c>
      <c r="W35" s="2570"/>
      <c r="Y35" s="2577"/>
      <c r="Z35" s="2577">
        <v>922993</v>
      </c>
      <c r="AA35" s="2577" t="s">
        <v>1258</v>
      </c>
      <c r="AB35" s="2578"/>
      <c r="AC35" s="2577">
        <v>20</v>
      </c>
      <c r="AD35" s="2577">
        <v>380</v>
      </c>
      <c r="AE35" s="2577">
        <v>17.811</v>
      </c>
      <c r="AF35" s="2577">
        <v>364.04700000000003</v>
      </c>
      <c r="AG35" s="2577">
        <f t="shared" si="23"/>
        <v>2.1890000000000001</v>
      </c>
      <c r="AH35" s="2577">
        <f t="shared" si="22"/>
        <v>15.952999999999975</v>
      </c>
      <c r="AI35" s="2570"/>
      <c r="AM35" s="2577">
        <v>28</v>
      </c>
      <c r="AN35" s="2577">
        <v>959983</v>
      </c>
      <c r="AO35" s="2577" t="s">
        <v>1304</v>
      </c>
      <c r="AP35" s="2578"/>
      <c r="AQ35" s="2577"/>
      <c r="AR35" s="2577"/>
      <c r="AS35" s="2577"/>
      <c r="AT35" s="2577"/>
      <c r="AU35" s="2577">
        <f t="shared" si="1"/>
        <v>0</v>
      </c>
      <c r="AV35" s="2577"/>
      <c r="AW35" s="2570"/>
    </row>
    <row r="36" spans="1:49">
      <c r="A36" s="2544"/>
      <c r="B36" s="2544"/>
      <c r="C36" s="2544"/>
      <c r="D36" s="2545"/>
      <c r="E36" s="2546">
        <f t="shared" ref="E36:J36" si="25">SUM(E34:E35)</f>
        <v>20</v>
      </c>
      <c r="F36" s="2546">
        <f t="shared" si="25"/>
        <v>80</v>
      </c>
      <c r="G36" s="2546">
        <f t="shared" si="25"/>
        <v>2.0249999999999999</v>
      </c>
      <c r="H36" s="2546">
        <f t="shared" si="25"/>
        <v>80</v>
      </c>
      <c r="I36" s="2546">
        <f t="shared" si="25"/>
        <v>17.975000000000001</v>
      </c>
      <c r="J36" s="2546">
        <f t="shared" si="25"/>
        <v>0</v>
      </c>
      <c r="K36" s="2531"/>
      <c r="M36" s="2577"/>
      <c r="N36" s="2577">
        <v>916067</v>
      </c>
      <c r="O36" s="2577" t="s">
        <v>1126</v>
      </c>
      <c r="P36" s="2578"/>
      <c r="Q36" s="2577">
        <v>10</v>
      </c>
      <c r="R36" s="2577">
        <v>290</v>
      </c>
      <c r="S36" s="2577">
        <v>0</v>
      </c>
      <c r="T36" s="2577">
        <v>290.00000000000006</v>
      </c>
      <c r="U36" s="2577">
        <f t="shared" si="21"/>
        <v>10</v>
      </c>
      <c r="V36" s="2577">
        <f t="shared" si="20"/>
        <v>-5.6843418860808015E-14</v>
      </c>
      <c r="W36" s="2570"/>
      <c r="Y36" s="2577"/>
      <c r="Z36" s="2577">
        <v>913401</v>
      </c>
      <c r="AA36" s="2577" t="s">
        <v>1259</v>
      </c>
      <c r="AB36" s="2578"/>
      <c r="AC36" s="2577">
        <v>0.57799999999999996</v>
      </c>
      <c r="AD36" s="2577">
        <v>28.847000000000001</v>
      </c>
      <c r="AE36" s="2577">
        <v>0.57799999999999996</v>
      </c>
      <c r="AF36" s="2577">
        <v>28.847000000000001</v>
      </c>
      <c r="AG36" s="2577">
        <f t="shared" si="23"/>
        <v>0</v>
      </c>
      <c r="AH36" s="2577">
        <f t="shared" si="22"/>
        <v>0</v>
      </c>
      <c r="AI36" s="2570"/>
      <c r="AM36" s="2577">
        <v>29</v>
      </c>
      <c r="AN36" s="2577">
        <v>913572</v>
      </c>
      <c r="AO36" s="2577" t="s">
        <v>1449</v>
      </c>
      <c r="AP36" s="2578"/>
      <c r="AQ36" s="2577"/>
      <c r="AR36" s="2577"/>
      <c r="AS36" s="2577"/>
      <c r="AT36" s="2577"/>
      <c r="AU36" s="2577">
        <f t="shared" si="1"/>
        <v>0</v>
      </c>
      <c r="AV36" s="2577"/>
      <c r="AW36" s="2570"/>
    </row>
    <row r="37" spans="1:49">
      <c r="M37" s="2577"/>
      <c r="N37" s="2577">
        <v>925404</v>
      </c>
      <c r="O37" s="2577" t="s">
        <v>1127</v>
      </c>
      <c r="P37" s="2578"/>
      <c r="Q37" s="2577">
        <v>10</v>
      </c>
      <c r="R37" s="2577">
        <v>290</v>
      </c>
      <c r="S37" s="2577">
        <v>0</v>
      </c>
      <c r="T37" s="2577">
        <v>290</v>
      </c>
      <c r="U37" s="2577">
        <f t="shared" si="21"/>
        <v>10</v>
      </c>
      <c r="V37" s="2577">
        <f t="shared" si="20"/>
        <v>0</v>
      </c>
      <c r="W37" s="2570"/>
      <c r="Y37" s="2579"/>
      <c r="Z37" s="2579">
        <v>960545</v>
      </c>
      <c r="AA37" s="2579" t="s">
        <v>1548</v>
      </c>
      <c r="AB37" s="3454"/>
      <c r="AC37" s="2579">
        <v>19.422000000000001</v>
      </c>
      <c r="AD37" s="2579">
        <v>351.15300000000002</v>
      </c>
      <c r="AE37" s="2579">
        <v>23.265000000000001</v>
      </c>
      <c r="AF37" s="2579">
        <v>347.31</v>
      </c>
      <c r="AG37" s="2579"/>
      <c r="AH37" s="2579"/>
      <c r="AI37" s="2570"/>
      <c r="AM37" s="2577">
        <v>30</v>
      </c>
      <c r="AN37" s="2577">
        <v>957522</v>
      </c>
      <c r="AO37" s="2577" t="s">
        <v>1450</v>
      </c>
      <c r="AP37" s="2578"/>
      <c r="AQ37" s="2577"/>
      <c r="AR37" s="2577"/>
      <c r="AS37" s="2577"/>
      <c r="AT37" s="2577"/>
      <c r="AU37" s="2577"/>
      <c r="AV37" s="2577"/>
      <c r="AW37" s="2570"/>
    </row>
    <row r="38" spans="1:49">
      <c r="M38" s="2577"/>
      <c r="N38" s="2577">
        <v>951206</v>
      </c>
      <c r="O38" s="2577" t="s">
        <v>1128</v>
      </c>
      <c r="P38" s="2578"/>
      <c r="Q38" s="2577">
        <v>10</v>
      </c>
      <c r="R38" s="2577">
        <v>290</v>
      </c>
      <c r="S38" s="2577">
        <v>0</v>
      </c>
      <c r="T38" s="2577">
        <v>289.99700000000007</v>
      </c>
      <c r="U38" s="2577">
        <f t="shared" si="21"/>
        <v>10</v>
      </c>
      <c r="V38" s="2577">
        <f t="shared" si="20"/>
        <v>2.9999999999290594E-3</v>
      </c>
      <c r="W38" s="2570"/>
      <c r="Y38" s="2579"/>
      <c r="Z38" s="2579"/>
      <c r="AA38" s="2579"/>
      <c r="AB38" s="2580"/>
      <c r="AC38" s="2581">
        <f t="shared" ref="AC38:AH38" si="26">SUM(AC31:AC37)</f>
        <v>315</v>
      </c>
      <c r="AD38" s="2581">
        <f t="shared" si="26"/>
        <v>1885</v>
      </c>
      <c r="AE38" s="2581">
        <f t="shared" si="26"/>
        <v>219.90000000000003</v>
      </c>
      <c r="AF38" s="2581">
        <f t="shared" si="26"/>
        <v>1961.5389999999998</v>
      </c>
      <c r="AG38" s="2581">
        <f t="shared" si="26"/>
        <v>98.942999999999984</v>
      </c>
      <c r="AH38" s="2581">
        <f t="shared" si="26"/>
        <v>-80.381999999999977</v>
      </c>
      <c r="AI38" s="2570"/>
      <c r="AM38" s="2577">
        <v>31</v>
      </c>
      <c r="AN38" s="2577">
        <v>960535</v>
      </c>
      <c r="AO38" s="2577" t="s">
        <v>1451</v>
      </c>
      <c r="AP38" s="2578"/>
      <c r="AQ38" s="2577"/>
      <c r="AR38" s="2577"/>
      <c r="AS38" s="2577"/>
      <c r="AT38" s="2577"/>
      <c r="AU38" s="2577"/>
      <c r="AV38" s="2577"/>
      <c r="AW38" s="2570"/>
    </row>
    <row r="39" spans="1:49" ht="30">
      <c r="A39" s="2547" t="s">
        <v>1051</v>
      </c>
      <c r="B39" s="2530"/>
      <c r="C39" s="2530"/>
      <c r="D39" s="2530"/>
      <c r="E39" s="2530"/>
      <c r="F39" s="2530"/>
      <c r="G39" s="2530"/>
      <c r="H39" s="2530"/>
      <c r="I39" s="2530"/>
      <c r="J39" s="2530"/>
      <c r="K39" s="2531"/>
      <c r="M39" s="2577"/>
      <c r="N39" s="2577">
        <v>11972</v>
      </c>
      <c r="O39" s="2577" t="s">
        <v>1129</v>
      </c>
      <c r="P39" s="2578"/>
      <c r="Q39" s="2577">
        <v>10</v>
      </c>
      <c r="R39" s="2577">
        <v>290</v>
      </c>
      <c r="S39" s="2577">
        <v>0</v>
      </c>
      <c r="T39" s="2577">
        <v>290</v>
      </c>
      <c r="U39" s="2577">
        <f t="shared" si="21"/>
        <v>10</v>
      </c>
      <c r="V39" s="2577"/>
      <c r="W39" s="2570"/>
      <c r="AM39" s="2577">
        <v>32</v>
      </c>
      <c r="AN39" s="2577">
        <v>913590</v>
      </c>
      <c r="AO39" s="2577" t="s">
        <v>1452</v>
      </c>
      <c r="AP39" s="2578"/>
      <c r="AQ39" s="2577"/>
      <c r="AR39" s="2577"/>
      <c r="AS39" s="2577"/>
      <c r="AT39" s="2577"/>
      <c r="AU39" s="2577"/>
      <c r="AV39" s="2577"/>
      <c r="AW39" s="2570"/>
    </row>
    <row r="40" spans="1:49" ht="30">
      <c r="A40" s="2532" t="s">
        <v>1052</v>
      </c>
      <c r="B40" s="2530"/>
      <c r="C40" s="2530"/>
      <c r="D40" s="2530"/>
      <c r="E40" s="2530"/>
      <c r="F40" s="2533" t="s">
        <v>943</v>
      </c>
      <c r="G40" s="2530"/>
      <c r="H40" s="2530"/>
      <c r="I40" s="2530"/>
      <c r="J40" s="2530"/>
      <c r="K40" s="2531"/>
      <c r="M40" s="2577"/>
      <c r="N40" s="2577">
        <v>956970</v>
      </c>
      <c r="O40" s="2577" t="s">
        <v>1130</v>
      </c>
      <c r="P40" s="2578"/>
      <c r="Q40" s="2577">
        <v>10</v>
      </c>
      <c r="R40" s="2577">
        <v>290</v>
      </c>
      <c r="S40" s="2577">
        <v>0</v>
      </c>
      <c r="T40" s="2577">
        <v>290</v>
      </c>
      <c r="U40" s="2577">
        <f t="shared" si="21"/>
        <v>10</v>
      </c>
      <c r="V40" s="2577"/>
      <c r="W40" s="2570"/>
      <c r="AM40" s="3491">
        <v>901006</v>
      </c>
      <c r="AN40" s="2577">
        <v>960975</v>
      </c>
      <c r="AO40" s="2577" t="s">
        <v>1453</v>
      </c>
      <c r="AP40" s="2578"/>
      <c r="AQ40" s="2577"/>
      <c r="AR40" s="2577"/>
      <c r="AS40" s="2577"/>
      <c r="AT40" s="2577"/>
      <c r="AU40" s="2577"/>
      <c r="AV40" s="2577"/>
      <c r="AW40" s="2570"/>
    </row>
    <row r="41" spans="1:49" ht="30.6" thickBot="1">
      <c r="A41" s="2531"/>
      <c r="B41" s="2531"/>
      <c r="C41" s="2531"/>
      <c r="D41" s="2531"/>
      <c r="E41" s="2531"/>
      <c r="F41" s="2531"/>
      <c r="G41" s="2531"/>
      <c r="H41" s="2531"/>
      <c r="I41" s="2531"/>
      <c r="J41" s="2531"/>
      <c r="K41" s="2531"/>
      <c r="M41" s="2577"/>
      <c r="N41" s="2577">
        <v>961343</v>
      </c>
      <c r="O41" s="2577" t="s">
        <v>1568</v>
      </c>
      <c r="P41" s="2578"/>
      <c r="Q41" s="2577">
        <v>10</v>
      </c>
      <c r="R41" s="2577">
        <v>290</v>
      </c>
      <c r="S41" s="2577">
        <v>0</v>
      </c>
      <c r="T41" s="2577">
        <v>288</v>
      </c>
      <c r="U41" s="2577">
        <f t="shared" si="21"/>
        <v>10</v>
      </c>
      <c r="V41" s="2577">
        <f t="shared" si="20"/>
        <v>2</v>
      </c>
      <c r="W41" s="2570"/>
      <c r="Y41" s="2568" t="s">
        <v>1064</v>
      </c>
      <c r="Z41" s="2568"/>
      <c r="AA41" s="2568"/>
      <c r="AB41" s="2568"/>
      <c r="AC41" s="2568"/>
      <c r="AD41" s="2569"/>
      <c r="AE41" s="2568"/>
      <c r="AF41" s="2568"/>
      <c r="AG41" s="2568"/>
      <c r="AH41" s="2568"/>
      <c r="AI41" s="2570"/>
      <c r="AM41" s="2577">
        <v>34</v>
      </c>
      <c r="AN41" s="2577">
        <v>952277</v>
      </c>
      <c r="AO41" s="2577" t="s">
        <v>1454</v>
      </c>
      <c r="AP41" s="2578"/>
      <c r="AQ41" s="2577"/>
      <c r="AR41" s="2577"/>
      <c r="AS41" s="2577"/>
      <c r="AT41" s="2577"/>
      <c r="AU41" s="2577"/>
      <c r="AV41" s="2577"/>
      <c r="AW41" s="2570"/>
    </row>
    <row r="42" spans="1:49" ht="30.6" thickBot="1">
      <c r="A42" s="2534"/>
      <c r="B42" s="2535"/>
      <c r="C42" s="2535"/>
      <c r="D42" s="2535"/>
      <c r="E42" s="4078" t="s">
        <v>152</v>
      </c>
      <c r="F42" s="4079"/>
      <c r="G42" s="4078" t="s">
        <v>153</v>
      </c>
      <c r="H42" s="4079"/>
      <c r="I42" s="2536" t="s">
        <v>154</v>
      </c>
      <c r="J42" s="2537"/>
      <c r="K42" s="2531"/>
      <c r="M42" s="2579"/>
      <c r="N42" s="2579"/>
      <c r="O42" s="2579"/>
      <c r="P42" s="2580"/>
      <c r="Q42" s="2581">
        <f t="shared" ref="Q42:V42" si="27">SUM(Q26:Q41)</f>
        <v>160</v>
      </c>
      <c r="R42" s="2581">
        <f t="shared" si="27"/>
        <v>4640</v>
      </c>
      <c r="S42" s="2581">
        <f t="shared" si="27"/>
        <v>10.998000000000001</v>
      </c>
      <c r="T42" s="2581">
        <f t="shared" si="27"/>
        <v>4637.9970000000003</v>
      </c>
      <c r="U42" s="2581">
        <f t="shared" si="27"/>
        <v>149.00200000000001</v>
      </c>
      <c r="V42" s="2581">
        <f t="shared" si="27"/>
        <v>2.0029999999999291</v>
      </c>
      <c r="W42" s="2570"/>
      <c r="Y42" s="2568" t="s">
        <v>1270</v>
      </c>
      <c r="Z42" s="2570"/>
      <c r="AA42" s="2570"/>
      <c r="AB42" s="2570"/>
      <c r="AC42" s="2569" t="s">
        <v>1243</v>
      </c>
      <c r="AD42" s="2570"/>
      <c r="AE42" s="2570"/>
      <c r="AF42" s="2570"/>
      <c r="AG42" s="2570"/>
      <c r="AH42" s="2570"/>
      <c r="AI42" s="2570"/>
      <c r="AM42" s="2577">
        <v>35</v>
      </c>
      <c r="AN42" s="2577">
        <v>914147</v>
      </c>
      <c r="AO42" s="2577" t="s">
        <v>1302</v>
      </c>
      <c r="AP42" s="2578"/>
      <c r="AQ42" s="2577"/>
      <c r="AR42" s="2577"/>
      <c r="AS42" s="2577"/>
      <c r="AT42" s="2577"/>
      <c r="AU42" s="2577"/>
      <c r="AV42" s="2577"/>
      <c r="AW42" s="2570"/>
    </row>
    <row r="43" spans="1:49" ht="28.8">
      <c r="A43" s="2538" t="s">
        <v>957</v>
      </c>
      <c r="B43" s="2538" t="s">
        <v>224</v>
      </c>
      <c r="C43" s="2538" t="s">
        <v>225</v>
      </c>
      <c r="D43" s="2538" t="s">
        <v>157</v>
      </c>
      <c r="E43" s="2538" t="s">
        <v>944</v>
      </c>
      <c r="F43" s="2538" t="s">
        <v>945</v>
      </c>
      <c r="G43" s="2538" t="s">
        <v>946</v>
      </c>
      <c r="H43" s="2538" t="s">
        <v>947</v>
      </c>
      <c r="I43" s="2539" t="s">
        <v>948</v>
      </c>
      <c r="J43" s="2539" t="s">
        <v>949</v>
      </c>
      <c r="K43" s="2531"/>
      <c r="Y43" s="2571"/>
      <c r="Z43" s="2572"/>
      <c r="AA43" s="2572"/>
      <c r="AB43" s="2572"/>
      <c r="AC43" s="4048" t="s">
        <v>152</v>
      </c>
      <c r="AD43" s="4049"/>
      <c r="AE43" s="4048" t="s">
        <v>153</v>
      </c>
      <c r="AF43" s="4049"/>
      <c r="AG43" s="2655" t="s">
        <v>154</v>
      </c>
      <c r="AH43" s="2656"/>
      <c r="AI43" s="2575" t="s">
        <v>132</v>
      </c>
      <c r="AM43" s="2577">
        <v>36</v>
      </c>
      <c r="AN43" s="2577">
        <v>960140</v>
      </c>
      <c r="AO43" s="2577" t="s">
        <v>1455</v>
      </c>
      <c r="AP43" s="2578"/>
      <c r="AQ43" s="2577"/>
      <c r="AR43" s="2577"/>
      <c r="AS43" s="2577"/>
      <c r="AT43" s="2577"/>
      <c r="AU43" s="2577"/>
      <c r="AV43" s="2577"/>
      <c r="AW43" s="2570"/>
    </row>
    <row r="44" spans="1:49" ht="28.8">
      <c r="A44" s="2542"/>
      <c r="B44" s="3490">
        <v>960354</v>
      </c>
      <c r="C44" s="3490" t="s">
        <v>986</v>
      </c>
      <c r="D44" s="2543"/>
      <c r="E44" s="2541">
        <v>3</v>
      </c>
      <c r="F44" s="2541">
        <v>47</v>
      </c>
      <c r="G44" s="2541">
        <v>0.42599999999999999</v>
      </c>
      <c r="H44" s="2541">
        <v>15.964</v>
      </c>
      <c r="I44" s="2541">
        <f>(E44-G44)</f>
        <v>2.5739999999999998</v>
      </c>
      <c r="J44" s="2541">
        <f t="shared" ref="J44:J45" si="28">(F44-H44)</f>
        <v>31.036000000000001</v>
      </c>
      <c r="K44" s="2531"/>
      <c r="Y44" s="2576" t="s">
        <v>223</v>
      </c>
      <c r="Z44" s="2576" t="s">
        <v>224</v>
      </c>
      <c r="AA44" s="2576" t="s">
        <v>225</v>
      </c>
      <c r="AB44" s="2576" t="s">
        <v>157</v>
      </c>
      <c r="AC44" s="2576" t="s">
        <v>944</v>
      </c>
      <c r="AD44" s="2576" t="s">
        <v>945</v>
      </c>
      <c r="AE44" s="2576" t="s">
        <v>946</v>
      </c>
      <c r="AF44" s="2576" t="s">
        <v>947</v>
      </c>
      <c r="AG44" s="2576" t="s">
        <v>948</v>
      </c>
      <c r="AH44" s="2576" t="s">
        <v>949</v>
      </c>
      <c r="AI44" s="2570"/>
      <c r="AM44" s="2577">
        <v>37</v>
      </c>
      <c r="AN44" s="2577">
        <v>953852</v>
      </c>
      <c r="AO44" s="2577" t="s">
        <v>1456</v>
      </c>
      <c r="AP44" s="2578"/>
      <c r="AQ44" s="2577"/>
      <c r="AR44" s="2577"/>
      <c r="AS44" s="2577"/>
      <c r="AT44" s="2577"/>
      <c r="AU44" s="2577"/>
      <c r="AV44" s="2577"/>
      <c r="AW44" s="2570"/>
    </row>
    <row r="45" spans="1:49" ht="30">
      <c r="A45" s="2542"/>
      <c r="B45" s="2541">
        <v>951205</v>
      </c>
      <c r="C45" s="2542" t="s">
        <v>1603</v>
      </c>
      <c r="D45" s="2543"/>
      <c r="E45" s="2541"/>
      <c r="F45" s="2541"/>
      <c r="G45" s="2541">
        <v>2.4220000000000002</v>
      </c>
      <c r="H45" s="2541">
        <v>23.187999999999999</v>
      </c>
      <c r="I45" s="2541">
        <f>(E45-G45)</f>
        <v>-2.4220000000000002</v>
      </c>
      <c r="J45" s="2541">
        <f t="shared" si="28"/>
        <v>-23.187999999999999</v>
      </c>
      <c r="K45" s="2531"/>
      <c r="M45" s="2585" t="s">
        <v>1099</v>
      </c>
      <c r="N45" s="2568"/>
      <c r="O45" s="2568"/>
      <c r="P45" s="2568"/>
      <c r="Q45" s="2568"/>
      <c r="R45" s="2569"/>
      <c r="S45" s="2568"/>
      <c r="T45" s="2568"/>
      <c r="U45" s="2568"/>
      <c r="V45" s="2568"/>
      <c r="W45" s="2570"/>
      <c r="Y45" s="2577"/>
      <c r="Z45" s="2577">
        <v>955660</v>
      </c>
      <c r="AA45" s="2577" t="s">
        <v>1271</v>
      </c>
      <c r="AB45" s="2578"/>
      <c r="AC45" s="2577">
        <v>40</v>
      </c>
      <c r="AD45" s="2577">
        <v>260</v>
      </c>
      <c r="AE45" s="2577">
        <v>0</v>
      </c>
      <c r="AF45" s="2577">
        <v>205.33500000000001</v>
      </c>
      <c r="AG45" s="2577">
        <f>(AC45-AE45)</f>
        <v>40</v>
      </c>
      <c r="AH45" s="2577">
        <f t="shared" ref="AH45:AH46" si="29">(AD45-AF45)</f>
        <v>54.664999999999992</v>
      </c>
      <c r="AI45" s="2570"/>
      <c r="AM45" s="2577">
        <v>38</v>
      </c>
      <c r="AN45" s="2577">
        <v>952324</v>
      </c>
      <c r="AO45" s="2577" t="s">
        <v>1457</v>
      </c>
      <c r="AP45" s="2578"/>
      <c r="AQ45" s="2577"/>
      <c r="AR45" s="2577"/>
      <c r="AS45" s="2577"/>
      <c r="AT45" s="2577"/>
      <c r="AU45" s="2577"/>
      <c r="AV45" s="2577"/>
      <c r="AW45" s="2570"/>
    </row>
    <row r="46" spans="1:49" ht="30.6" thickBot="1">
      <c r="A46" s="2542"/>
      <c r="B46" s="2541"/>
      <c r="C46" s="2542"/>
      <c r="D46" s="2543"/>
      <c r="E46" s="2541"/>
      <c r="F46" s="2541"/>
      <c r="G46" s="2541">
        <f>SUM(G44:G45)</f>
        <v>2.8480000000000003</v>
      </c>
      <c r="H46" s="2541">
        <f t="shared" ref="H46:J46" si="30">SUM(H44:H45)</f>
        <v>39.152000000000001</v>
      </c>
      <c r="I46" s="2541">
        <f t="shared" si="30"/>
        <v>0.15199999999999969</v>
      </c>
      <c r="J46" s="2541">
        <f t="shared" si="30"/>
        <v>7.8480000000000025</v>
      </c>
      <c r="K46" s="2531"/>
      <c r="M46" s="2568" t="s">
        <v>1100</v>
      </c>
      <c r="N46" s="2570"/>
      <c r="O46" s="2570"/>
      <c r="P46" s="2570"/>
      <c r="Q46" s="2569" t="s">
        <v>943</v>
      </c>
      <c r="R46" s="2570"/>
      <c r="S46" s="2570"/>
      <c r="T46" s="2570"/>
      <c r="U46" s="2570"/>
      <c r="V46" s="2570"/>
      <c r="W46" s="2570"/>
      <c r="Y46" s="2577"/>
      <c r="Z46" s="2577"/>
      <c r="AA46" s="2577"/>
      <c r="AB46" s="2578"/>
      <c r="AC46" s="2577"/>
      <c r="AD46" s="2577"/>
      <c r="AE46" s="2577"/>
      <c r="AF46" s="2577"/>
      <c r="AG46" s="2577">
        <f t="shared" ref="AG46" si="31">(AC46-AE46)</f>
        <v>0</v>
      </c>
      <c r="AH46" s="2577">
        <f t="shared" si="29"/>
        <v>0</v>
      </c>
      <c r="AI46" s="2570"/>
      <c r="AM46" s="2577">
        <v>39</v>
      </c>
      <c r="AN46" s="2577">
        <v>914125</v>
      </c>
      <c r="AO46" s="2577" t="s">
        <v>1301</v>
      </c>
      <c r="AP46" s="2578"/>
      <c r="AQ46" s="2577"/>
      <c r="AR46" s="2577"/>
      <c r="AS46" s="2577"/>
      <c r="AT46" s="2577"/>
      <c r="AU46" s="2577"/>
      <c r="AV46" s="2577"/>
      <c r="AW46" s="2570"/>
    </row>
    <row r="47" spans="1:49" ht="14.4">
      <c r="M47" s="2571"/>
      <c r="N47" s="2572"/>
      <c r="O47" s="2572"/>
      <c r="P47" s="2572"/>
      <c r="Q47" s="4048" t="s">
        <v>152</v>
      </c>
      <c r="R47" s="4049"/>
      <c r="S47" s="4048" t="s">
        <v>153</v>
      </c>
      <c r="T47" s="4049"/>
      <c r="U47" s="2573" t="s">
        <v>154</v>
      </c>
      <c r="V47" s="2574"/>
      <c r="W47" s="2570"/>
      <c r="Y47" s="2579"/>
      <c r="Z47" s="2579"/>
      <c r="AA47" s="2579"/>
      <c r="AB47" s="2580"/>
      <c r="AC47" s="2581">
        <f>SUM(AC45:AC46)</f>
        <v>40</v>
      </c>
      <c r="AD47" s="2581">
        <f>SUM(AD45:AD46)</f>
        <v>260</v>
      </c>
      <c r="AE47" s="2581">
        <f>SUM(AE45)</f>
        <v>0</v>
      </c>
      <c r="AF47" s="2581">
        <v>177.39</v>
      </c>
      <c r="AG47" s="2581">
        <f>SUM(AG45)</f>
        <v>40</v>
      </c>
      <c r="AH47" s="2581">
        <f>SUM(AH45)</f>
        <v>54.664999999999992</v>
      </c>
      <c r="AI47" s="2570"/>
      <c r="AM47" s="2577">
        <v>40</v>
      </c>
      <c r="AN47" s="2577">
        <v>18005</v>
      </c>
      <c r="AO47" s="2577" t="s">
        <v>1461</v>
      </c>
      <c r="AP47" s="2578"/>
      <c r="AQ47" s="2577"/>
      <c r="AR47" s="2577"/>
      <c r="AS47" s="2577"/>
      <c r="AT47" s="2577"/>
      <c r="AU47" s="2577"/>
      <c r="AV47" s="2577"/>
      <c r="AW47" s="2570"/>
    </row>
    <row r="48" spans="1:49" ht="30">
      <c r="A48" s="2547" t="s">
        <v>1053</v>
      </c>
      <c r="B48" s="2530"/>
      <c r="C48" s="2530"/>
      <c r="D48" s="2530"/>
      <c r="E48" s="2530"/>
      <c r="F48" s="2530"/>
      <c r="G48" s="2530"/>
      <c r="H48" s="2530"/>
      <c r="I48" s="2530"/>
      <c r="J48" s="2530"/>
      <c r="K48" s="2531"/>
      <c r="M48" s="2576" t="s">
        <v>223</v>
      </c>
      <c r="N48" s="2576" t="s">
        <v>224</v>
      </c>
      <c r="O48" s="2576" t="s">
        <v>225</v>
      </c>
      <c r="P48" s="2576" t="s">
        <v>157</v>
      </c>
      <c r="Q48" s="2576" t="s">
        <v>944</v>
      </c>
      <c r="R48" s="2576" t="s">
        <v>945</v>
      </c>
      <c r="S48" s="2576" t="s">
        <v>946</v>
      </c>
      <c r="T48" s="2576" t="s">
        <v>947</v>
      </c>
      <c r="U48" s="2576" t="s">
        <v>948</v>
      </c>
      <c r="V48" s="2576" t="s">
        <v>949</v>
      </c>
      <c r="W48" s="2575" t="s">
        <v>132</v>
      </c>
      <c r="X48" s="2476"/>
      <c r="AM48" s="3491">
        <v>914209</v>
      </c>
      <c r="AN48" s="2577">
        <v>960976</v>
      </c>
      <c r="AO48" s="2577" t="s">
        <v>1462</v>
      </c>
      <c r="AP48" s="2578"/>
      <c r="AQ48" s="2577"/>
      <c r="AR48" s="2577"/>
      <c r="AS48" s="2577"/>
      <c r="AT48" s="2577"/>
      <c r="AU48" s="2577"/>
      <c r="AV48" s="2577"/>
      <c r="AW48" s="2570"/>
    </row>
    <row r="49" spans="1:49" ht="30">
      <c r="A49" s="2532" t="s">
        <v>1054</v>
      </c>
      <c r="B49" s="2530"/>
      <c r="C49" s="2530"/>
      <c r="D49" s="2530"/>
      <c r="E49" s="2530"/>
      <c r="F49" s="2533" t="s">
        <v>943</v>
      </c>
      <c r="G49" s="2530"/>
      <c r="H49" s="2530"/>
      <c r="I49" s="2530"/>
      <c r="J49" s="2530"/>
      <c r="K49" s="2531"/>
      <c r="M49" s="2577"/>
      <c r="N49" s="2577">
        <v>959194</v>
      </c>
      <c r="O49" s="2577" t="s">
        <v>1101</v>
      </c>
      <c r="P49" s="2578"/>
      <c r="Q49" s="2577">
        <v>2</v>
      </c>
      <c r="R49" s="2577">
        <v>38.597999999999999</v>
      </c>
      <c r="S49" s="2577">
        <v>0</v>
      </c>
      <c r="T49" s="2577">
        <v>0</v>
      </c>
      <c r="U49" s="2577">
        <f>(Q49-S49)</f>
        <v>2</v>
      </c>
      <c r="V49" s="2577">
        <f t="shared" ref="V49" si="32">(R49-T49)</f>
        <v>38.597999999999999</v>
      </c>
      <c r="W49" s="2570"/>
      <c r="X49" s="2476"/>
      <c r="AM49" s="2577">
        <v>42</v>
      </c>
      <c r="AN49" s="2577">
        <v>901054</v>
      </c>
      <c r="AO49" s="2577" t="s">
        <v>1458</v>
      </c>
      <c r="AP49" s="2578"/>
      <c r="AQ49" s="2577"/>
      <c r="AR49" s="2577"/>
      <c r="AS49" s="2577"/>
      <c r="AT49" s="2577"/>
      <c r="AU49" s="2577"/>
      <c r="AV49" s="2577"/>
      <c r="AW49" s="2570"/>
    </row>
    <row r="50" spans="1:49" ht="30.6" thickBot="1">
      <c r="A50" s="2531"/>
      <c r="B50" s="2531"/>
      <c r="C50" s="2531"/>
      <c r="D50" s="2531"/>
      <c r="E50" s="2531"/>
      <c r="F50" s="2531"/>
      <c r="G50" s="2531"/>
      <c r="H50" s="2531"/>
      <c r="I50" s="2531"/>
      <c r="J50" s="2531"/>
      <c r="K50" s="2531"/>
      <c r="M50" s="2577"/>
      <c r="N50" s="2577">
        <v>960962</v>
      </c>
      <c r="O50" s="2577" t="s">
        <v>1102</v>
      </c>
      <c r="P50" s="2578"/>
      <c r="Q50" s="2577">
        <v>2.2730000000000001</v>
      </c>
      <c r="R50" s="2577">
        <v>48.247</v>
      </c>
      <c r="S50" s="2577">
        <v>2.1949999999999998</v>
      </c>
      <c r="T50" s="2577">
        <v>4.6639999999999997</v>
      </c>
      <c r="U50" s="2577">
        <f t="shared" ref="U50:U62" si="33">(Q50-S50)</f>
        <v>7.8000000000000291E-2</v>
      </c>
      <c r="V50" s="2577">
        <f t="shared" ref="V50:V62" si="34">(R50-T50)</f>
        <v>43.582999999999998</v>
      </c>
      <c r="W50" s="2570"/>
      <c r="X50" s="2459"/>
      <c r="Y50" s="2568" t="s">
        <v>1064</v>
      </c>
      <c r="Z50" s="2568"/>
      <c r="AA50" s="2568"/>
      <c r="AB50" s="2568"/>
      <c r="AC50" s="2568"/>
      <c r="AD50" s="2569"/>
      <c r="AE50" s="2568"/>
      <c r="AF50" s="2568"/>
      <c r="AG50" s="2568"/>
      <c r="AH50" s="2568"/>
      <c r="AI50" s="2570"/>
      <c r="AM50" s="2577">
        <v>43</v>
      </c>
      <c r="AN50" s="2577">
        <v>914124</v>
      </c>
      <c r="AO50" s="2577" t="s">
        <v>1300</v>
      </c>
      <c r="AP50" s="2578"/>
      <c r="AQ50" s="2577"/>
      <c r="AR50" s="2577"/>
      <c r="AS50" s="2577"/>
      <c r="AT50" s="2577"/>
      <c r="AU50" s="2577"/>
      <c r="AV50" s="2577"/>
      <c r="AW50" s="2570"/>
    </row>
    <row r="51" spans="1:49" ht="30.6" thickBot="1">
      <c r="A51" s="2534"/>
      <c r="B51" s="2535"/>
      <c r="C51" s="2535"/>
      <c r="D51" s="2535"/>
      <c r="E51" s="4078" t="s">
        <v>152</v>
      </c>
      <c r="F51" s="4079"/>
      <c r="G51" s="4078" t="s">
        <v>153</v>
      </c>
      <c r="H51" s="4079"/>
      <c r="I51" s="2536" t="s">
        <v>154</v>
      </c>
      <c r="J51" s="2537"/>
      <c r="K51" s="2531"/>
      <c r="M51" s="2577"/>
      <c r="N51" s="2577">
        <v>957821</v>
      </c>
      <c r="O51" s="2577" t="s">
        <v>1103</v>
      </c>
      <c r="P51" s="2578"/>
      <c r="Q51" s="2577">
        <v>2.2730000000000001</v>
      </c>
      <c r="R51" s="2577">
        <v>48.247</v>
      </c>
      <c r="S51" s="2577">
        <v>2.367</v>
      </c>
      <c r="T51" s="2577">
        <v>48.152999999999999</v>
      </c>
      <c r="U51" s="2577">
        <f t="shared" si="33"/>
        <v>-9.3999999999999861E-2</v>
      </c>
      <c r="V51" s="2577">
        <f t="shared" si="34"/>
        <v>9.4000000000001194E-2</v>
      </c>
      <c r="W51" s="2570"/>
      <c r="Y51" s="2568" t="s">
        <v>1272</v>
      </c>
      <c r="Z51" s="2570"/>
      <c r="AA51" s="2570"/>
      <c r="AB51" s="2570"/>
      <c r="AC51" s="2569" t="s">
        <v>1243</v>
      </c>
      <c r="AD51" s="2570"/>
      <c r="AE51" s="2570"/>
      <c r="AF51" s="2570"/>
      <c r="AG51" s="2570"/>
      <c r="AH51" s="2570"/>
      <c r="AI51" s="2570"/>
      <c r="AM51" s="2577">
        <v>44</v>
      </c>
      <c r="AN51" s="2577">
        <v>952021</v>
      </c>
      <c r="AO51" s="2577" t="s">
        <v>1459</v>
      </c>
      <c r="AP51" s="2578"/>
      <c r="AQ51" s="2577"/>
      <c r="AR51" s="2577"/>
      <c r="AS51" s="2577"/>
      <c r="AT51" s="2577"/>
      <c r="AU51" s="2577"/>
      <c r="AV51" s="2577"/>
      <c r="AW51" s="2570"/>
    </row>
    <row r="52" spans="1:49" ht="28.8">
      <c r="A52" s="2538" t="s">
        <v>957</v>
      </c>
      <c r="B52" s="2538" t="s">
        <v>224</v>
      </c>
      <c r="C52" s="2538" t="s">
        <v>225</v>
      </c>
      <c r="D52" s="2538" t="s">
        <v>157</v>
      </c>
      <c r="E52" s="2538" t="s">
        <v>944</v>
      </c>
      <c r="F52" s="2538" t="s">
        <v>945</v>
      </c>
      <c r="G52" s="2538" t="s">
        <v>946</v>
      </c>
      <c r="H52" s="2538" t="s">
        <v>947</v>
      </c>
      <c r="I52" s="2539" t="s">
        <v>948</v>
      </c>
      <c r="J52" s="2539" t="s">
        <v>949</v>
      </c>
      <c r="K52" s="2531"/>
      <c r="M52" s="2577"/>
      <c r="N52" s="2577">
        <v>955396</v>
      </c>
      <c r="O52" s="2577" t="s">
        <v>1104</v>
      </c>
      <c r="P52" s="2578"/>
      <c r="Q52" s="2577">
        <v>2.2730000000000001</v>
      </c>
      <c r="R52" s="2577">
        <v>48.247</v>
      </c>
      <c r="S52" s="2577">
        <v>0</v>
      </c>
      <c r="T52" s="2577">
        <v>5.4450000000000003</v>
      </c>
      <c r="U52" s="2577">
        <f t="shared" si="33"/>
        <v>2.2730000000000001</v>
      </c>
      <c r="V52" s="2577">
        <f t="shared" si="34"/>
        <v>42.802</v>
      </c>
      <c r="W52" s="2570"/>
      <c r="X52" s="3515">
        <v>41939</v>
      </c>
      <c r="Y52" s="2571"/>
      <c r="Z52" s="2572"/>
      <c r="AA52" s="2572"/>
      <c r="AB52" s="2572"/>
      <c r="AC52" s="4048" t="s">
        <v>152</v>
      </c>
      <c r="AD52" s="4049"/>
      <c r="AE52" s="4048" t="s">
        <v>153</v>
      </c>
      <c r="AF52" s="4049"/>
      <c r="AG52" s="2655" t="s">
        <v>154</v>
      </c>
      <c r="AH52" s="2656"/>
      <c r="AI52" s="2575" t="s">
        <v>132</v>
      </c>
      <c r="AM52" s="2577">
        <v>45</v>
      </c>
      <c r="AN52" s="2577">
        <v>914128</v>
      </c>
      <c r="AO52" s="2577" t="s">
        <v>1463</v>
      </c>
      <c r="AP52" s="2578"/>
      <c r="AQ52" s="2577"/>
      <c r="AR52" s="2577"/>
      <c r="AS52" s="2577"/>
      <c r="AT52" s="2577"/>
      <c r="AU52" s="2577"/>
      <c r="AV52" s="2577"/>
      <c r="AW52" s="2570"/>
    </row>
    <row r="53" spans="1:49" ht="28.8">
      <c r="A53" s="2542"/>
      <c r="B53" s="2542">
        <v>955396</v>
      </c>
      <c r="C53" s="2542" t="s">
        <v>203</v>
      </c>
      <c r="D53" s="2543"/>
      <c r="E53" s="2541">
        <v>5</v>
      </c>
      <c r="F53" s="2541">
        <v>95</v>
      </c>
      <c r="G53" s="2541">
        <v>0.57199999999999995</v>
      </c>
      <c r="H53" s="2541">
        <v>28.782</v>
      </c>
      <c r="I53" s="2541">
        <f>(E53-G53)</f>
        <v>4.4279999999999999</v>
      </c>
      <c r="J53" s="2541">
        <f t="shared" ref="J53" si="35">(F53-H53)</f>
        <v>66.218000000000004</v>
      </c>
      <c r="K53" s="2531"/>
      <c r="M53" s="2577"/>
      <c r="N53" s="2577">
        <v>959387</v>
      </c>
      <c r="O53" s="2577" t="s">
        <v>1105</v>
      </c>
      <c r="P53" s="2578"/>
      <c r="Q53" s="2577">
        <v>3.6360000000000001</v>
      </c>
      <c r="R53" s="2577">
        <v>76.391000000000005</v>
      </c>
      <c r="S53" s="2577">
        <v>2.0190000000000001</v>
      </c>
      <c r="T53" s="2577">
        <v>78.007999999999996</v>
      </c>
      <c r="U53" s="2577">
        <f t="shared" si="33"/>
        <v>1.617</v>
      </c>
      <c r="V53" s="2577">
        <f t="shared" si="34"/>
        <v>-1.6169999999999902</v>
      </c>
      <c r="W53" s="2570"/>
      <c r="Y53" s="2576" t="s">
        <v>223</v>
      </c>
      <c r="Z53" s="2576" t="s">
        <v>224</v>
      </c>
      <c r="AA53" s="2576" t="s">
        <v>225</v>
      </c>
      <c r="AB53" s="2576" t="s">
        <v>157</v>
      </c>
      <c r="AC53" s="2576" t="s">
        <v>944</v>
      </c>
      <c r="AD53" s="2576" t="s">
        <v>945</v>
      </c>
      <c r="AE53" s="2576" t="s">
        <v>946</v>
      </c>
      <c r="AF53" s="2576" t="s">
        <v>947</v>
      </c>
      <c r="AG53" s="2576" t="s">
        <v>948</v>
      </c>
      <c r="AH53" s="2576" t="s">
        <v>949</v>
      </c>
      <c r="AI53" s="2570"/>
      <c r="AM53" s="2577">
        <v>46</v>
      </c>
      <c r="AN53" s="2577">
        <v>923159</v>
      </c>
      <c r="AO53" s="2577" t="s">
        <v>1464</v>
      </c>
      <c r="AP53" s="2578"/>
      <c r="AQ53" s="2577"/>
      <c r="AR53" s="2577"/>
      <c r="AS53" s="2577"/>
      <c r="AT53" s="2577"/>
      <c r="AU53" s="2577"/>
      <c r="AV53" s="2577"/>
      <c r="AW53" s="2570"/>
    </row>
    <row r="54" spans="1:49">
      <c r="A54" s="2542"/>
      <c r="B54" s="2541"/>
      <c r="C54" s="2542"/>
      <c r="D54" s="2543"/>
      <c r="E54" s="2542"/>
      <c r="F54" s="2541"/>
      <c r="G54" s="2542"/>
      <c r="H54" s="2543"/>
      <c r="I54" s="2542"/>
      <c r="J54" s="2541"/>
      <c r="K54" s="2531"/>
      <c r="M54" s="2577"/>
      <c r="N54" s="2577">
        <v>960925</v>
      </c>
      <c r="O54" s="2577" t="s">
        <v>1106</v>
      </c>
      <c r="P54" s="2578"/>
      <c r="Q54" s="2577">
        <v>3.6360000000000001</v>
      </c>
      <c r="R54" s="2577">
        <v>76.391000000000005</v>
      </c>
      <c r="S54" s="2577">
        <v>0.39</v>
      </c>
      <c r="T54" s="2577">
        <v>21.783000000000001</v>
      </c>
      <c r="U54" s="2577">
        <f t="shared" si="33"/>
        <v>3.246</v>
      </c>
      <c r="V54" s="2577">
        <f t="shared" si="34"/>
        <v>54.608000000000004</v>
      </c>
      <c r="W54" s="2570"/>
      <c r="Y54" s="2577"/>
      <c r="Z54" s="2577">
        <v>922492</v>
      </c>
      <c r="AA54" s="2577" t="s">
        <v>1490</v>
      </c>
      <c r="AB54" s="2578"/>
      <c r="AC54" s="2577">
        <v>20</v>
      </c>
      <c r="AD54" s="2577">
        <v>280</v>
      </c>
      <c r="AE54" s="2577">
        <v>13.808</v>
      </c>
      <c r="AF54" s="2577">
        <v>66.561999999999998</v>
      </c>
      <c r="AG54" s="2577">
        <f>(AC54-AE54)</f>
        <v>6.1920000000000002</v>
      </c>
      <c r="AH54" s="2577">
        <f t="shared" ref="AH54:AH56" si="36">(AD54-AF54)</f>
        <v>213.43799999999999</v>
      </c>
      <c r="AI54" s="2570"/>
      <c r="AM54" s="2577"/>
      <c r="AN54" s="2577"/>
      <c r="AO54" s="2577"/>
      <c r="AP54" s="2578"/>
      <c r="AQ54" s="2577"/>
      <c r="AR54" s="2577"/>
      <c r="AS54" s="2577"/>
      <c r="AT54" s="2577"/>
      <c r="AU54" s="2577"/>
      <c r="AV54" s="2577"/>
      <c r="AW54" s="2570"/>
    </row>
    <row r="55" spans="1:49">
      <c r="A55" s="2542"/>
      <c r="B55" s="2541"/>
      <c r="C55" s="2542"/>
      <c r="D55" s="2543"/>
      <c r="E55" s="2542">
        <f>SUM(E53:E54)</f>
        <v>5</v>
      </c>
      <c r="F55" s="2541">
        <f t="shared" ref="F55:H55" si="37">SUM(F53:F54)</f>
        <v>95</v>
      </c>
      <c r="G55" s="2542">
        <f t="shared" si="37"/>
        <v>0.57199999999999995</v>
      </c>
      <c r="H55" s="2549">
        <f t="shared" si="37"/>
        <v>28.782</v>
      </c>
      <c r="I55" s="2542">
        <f>SUM(I53:I54)</f>
        <v>4.4279999999999999</v>
      </c>
      <c r="J55" s="2541">
        <f>SUM(J53:J54)</f>
        <v>66.218000000000004</v>
      </c>
      <c r="K55" s="2531"/>
      <c r="M55" s="2577"/>
      <c r="N55" s="2577">
        <v>960816</v>
      </c>
      <c r="O55" s="2577" t="s">
        <v>1107</v>
      </c>
      <c r="P55" s="2578"/>
      <c r="Q55" s="2577">
        <v>3.6360000000000001</v>
      </c>
      <c r="R55" s="2577">
        <v>76.391000000000005</v>
      </c>
      <c r="S55" s="2577">
        <v>0.46400000000000002</v>
      </c>
      <c r="T55" s="2577">
        <v>20.265000000000001</v>
      </c>
      <c r="U55" s="2577">
        <f t="shared" si="33"/>
        <v>3.1720000000000002</v>
      </c>
      <c r="V55" s="2577">
        <f t="shared" si="34"/>
        <v>56.126000000000005</v>
      </c>
      <c r="W55" s="2570"/>
      <c r="Y55" s="2577"/>
      <c r="Z55" s="2577">
        <v>910617</v>
      </c>
      <c r="AA55" s="2577" t="s">
        <v>1273</v>
      </c>
      <c r="AB55" s="2578"/>
      <c r="AC55" s="2577">
        <v>20</v>
      </c>
      <c r="AD55" s="2577">
        <v>380</v>
      </c>
      <c r="AE55" s="2577">
        <v>2.1629999999999998</v>
      </c>
      <c r="AF55" s="2577">
        <v>368.065</v>
      </c>
      <c r="AG55" s="2577">
        <f t="shared" ref="AG55:AG56" si="38">(AC55-AE55)</f>
        <v>17.837</v>
      </c>
      <c r="AH55" s="2577">
        <f t="shared" si="36"/>
        <v>11.935000000000002</v>
      </c>
      <c r="AI55" s="2570"/>
      <c r="AM55" s="2577"/>
      <c r="AN55" s="2577"/>
      <c r="AO55" s="2577"/>
      <c r="AP55" s="2578"/>
      <c r="AQ55" s="3293">
        <v>20000</v>
      </c>
      <c r="AR55" s="2577"/>
      <c r="AS55" s="2577">
        <v>19869.490000000002</v>
      </c>
      <c r="AT55" s="2577"/>
      <c r="AU55" s="2577">
        <f t="shared" si="1"/>
        <v>130.5099999999984</v>
      </c>
      <c r="AV55" s="2577"/>
      <c r="AW55" s="2570"/>
    </row>
    <row r="56" spans="1:49">
      <c r="M56" s="2577"/>
      <c r="N56" s="2577">
        <v>955250</v>
      </c>
      <c r="O56" s="2577" t="s">
        <v>1108</v>
      </c>
      <c r="P56" s="2578"/>
      <c r="Q56" s="2577">
        <v>6.8179999999999996</v>
      </c>
      <c r="R56" s="2577">
        <v>143.93700000000001</v>
      </c>
      <c r="S56" s="2577">
        <v>5.6849999999999996</v>
      </c>
      <c r="T56" s="2577">
        <v>94.254999999999995</v>
      </c>
      <c r="U56" s="2577">
        <f t="shared" si="33"/>
        <v>1.133</v>
      </c>
      <c r="V56" s="2577">
        <f t="shared" si="34"/>
        <v>49.682000000000016</v>
      </c>
      <c r="W56" s="2570"/>
      <c r="Y56" s="2577"/>
      <c r="Z56" s="2577"/>
      <c r="AA56" s="2577"/>
      <c r="AB56" s="2578"/>
      <c r="AC56" s="2577"/>
      <c r="AD56" s="2577"/>
      <c r="AE56" s="2577"/>
      <c r="AF56" s="2577"/>
      <c r="AG56" s="2577">
        <f t="shared" si="38"/>
        <v>0</v>
      </c>
      <c r="AH56" s="2577">
        <f t="shared" si="36"/>
        <v>0</v>
      </c>
      <c r="AI56" s="2570"/>
      <c r="AM56" s="2579"/>
      <c r="AN56" s="2579"/>
      <c r="AO56" s="2579"/>
      <c r="AP56" s="3363"/>
      <c r="AQ56" s="3291">
        <f>SUM(AQ55)</f>
        <v>20000</v>
      </c>
      <c r="AR56" s="2581"/>
      <c r="AS56" s="3478">
        <f>SUM(AS55)</f>
        <v>19869.490000000002</v>
      </c>
      <c r="AT56" s="2581"/>
      <c r="AU56" s="2550">
        <f t="shared" ref="AU56" si="39">(AQ56-AS56)</f>
        <v>130.5099999999984</v>
      </c>
      <c r="AV56" s="2581"/>
      <c r="AW56" s="2570"/>
    </row>
    <row r="57" spans="1:49">
      <c r="M57" s="2577"/>
      <c r="N57" s="2577">
        <v>951647</v>
      </c>
      <c r="O57" s="2577" t="s">
        <v>1109</v>
      </c>
      <c r="P57" s="2578"/>
      <c r="Q57" s="2577">
        <v>6.8179999999999996</v>
      </c>
      <c r="R57" s="2577">
        <v>143.93700000000001</v>
      </c>
      <c r="S57" s="2577">
        <v>2.52</v>
      </c>
      <c r="T57" s="2577">
        <v>50.484999999999999</v>
      </c>
      <c r="U57" s="2577">
        <f t="shared" si="33"/>
        <v>4.298</v>
      </c>
      <c r="V57" s="2577">
        <f t="shared" si="34"/>
        <v>93.452000000000012</v>
      </c>
      <c r="W57" s="2570"/>
      <c r="Y57" s="2579"/>
      <c r="Z57" s="2579"/>
      <c r="AA57" s="2579"/>
      <c r="AB57" s="2580"/>
      <c r="AC57" s="2581">
        <f>SUM(AC54:AC56)</f>
        <v>40</v>
      </c>
      <c r="AD57" s="2581">
        <f>SUM(AD54:AD56)</f>
        <v>660</v>
      </c>
      <c r="AE57" s="2581">
        <f>SUM(AE54:AE55)</f>
        <v>15.971</v>
      </c>
      <c r="AF57" s="2581">
        <f>SUM(AF54:AF55)</f>
        <v>434.62700000000001</v>
      </c>
      <c r="AG57" s="2581">
        <f>SUM(AG54:AG55)</f>
        <v>24.029</v>
      </c>
      <c r="AH57" s="2581">
        <f>SUM(AH54:AH55)</f>
        <v>225.37299999999999</v>
      </c>
      <c r="AI57" s="2570"/>
    </row>
    <row r="58" spans="1:49" ht="30">
      <c r="A58" s="2547" t="s">
        <v>1176</v>
      </c>
      <c r="B58" s="2530"/>
      <c r="C58" s="2530"/>
      <c r="D58" s="2530"/>
      <c r="E58" s="2530"/>
      <c r="F58" s="2530"/>
      <c r="G58" s="2530"/>
      <c r="H58" s="2530"/>
      <c r="I58" s="2530"/>
      <c r="J58" s="2530"/>
      <c r="K58" s="2531"/>
      <c r="M58" s="2577"/>
      <c r="N58" s="2577">
        <v>952407</v>
      </c>
      <c r="O58" s="2577" t="s">
        <v>1110</v>
      </c>
      <c r="P58" s="2578"/>
      <c r="Q58" s="2577">
        <v>6.8179999999999996</v>
      </c>
      <c r="R58" s="2577">
        <v>143.93700000000001</v>
      </c>
      <c r="S58" s="2577">
        <v>0</v>
      </c>
      <c r="T58" s="2577">
        <v>148.827</v>
      </c>
      <c r="U58" s="2577">
        <f t="shared" si="33"/>
        <v>6.8179999999999996</v>
      </c>
      <c r="V58" s="2577">
        <f t="shared" si="34"/>
        <v>-4.8899999999999864</v>
      </c>
      <c r="W58" s="2570"/>
    </row>
    <row r="59" spans="1:49" ht="30">
      <c r="A59" s="2532" t="s">
        <v>1156</v>
      </c>
      <c r="B59" s="2530"/>
      <c r="C59" s="2530"/>
      <c r="D59" s="2530"/>
      <c r="E59" s="2530"/>
      <c r="F59" s="2533" t="s">
        <v>943</v>
      </c>
      <c r="G59" s="2530"/>
      <c r="H59" s="2530"/>
      <c r="I59" s="2530"/>
      <c r="J59" s="2530"/>
      <c r="K59" s="2531"/>
      <c r="M59" s="2577"/>
      <c r="N59" s="2577">
        <v>959391</v>
      </c>
      <c r="O59" s="2577" t="s">
        <v>1111</v>
      </c>
      <c r="P59" s="2578"/>
      <c r="Q59" s="2577">
        <v>8.9090000000000007</v>
      </c>
      <c r="R59" s="2577">
        <v>191.381</v>
      </c>
      <c r="S59" s="2577">
        <v>3.5329999999999999</v>
      </c>
      <c r="T59" s="2577">
        <v>196.75700000000001</v>
      </c>
      <c r="U59" s="2577">
        <f t="shared" si="33"/>
        <v>5.3760000000000012</v>
      </c>
      <c r="V59" s="2577">
        <f t="shared" si="34"/>
        <v>-5.3760000000000048</v>
      </c>
      <c r="W59" s="2570"/>
      <c r="AM59" s="2568" t="s">
        <v>1422</v>
      </c>
      <c r="AN59" s="2568"/>
      <c r="AO59" s="2568"/>
      <c r="AP59" s="2568"/>
      <c r="AQ59" s="2568"/>
      <c r="AR59" s="2569"/>
      <c r="AS59" s="2568"/>
      <c r="AT59" s="2568"/>
      <c r="AU59" s="2568"/>
      <c r="AV59" s="2568"/>
      <c r="AW59" s="2570"/>
    </row>
    <row r="60" spans="1:49" ht="30.6" thickBot="1">
      <c r="A60" s="2531"/>
      <c r="B60" s="2531"/>
      <c r="C60" s="2531"/>
      <c r="D60" s="2531"/>
      <c r="E60" s="2531"/>
      <c r="F60" s="2531"/>
      <c r="G60" s="2531"/>
      <c r="H60" s="2531"/>
      <c r="I60" s="2531"/>
      <c r="J60" s="2531"/>
      <c r="K60" s="2531"/>
      <c r="M60" s="2577"/>
      <c r="N60" s="2577">
        <v>953832</v>
      </c>
      <c r="O60" s="2577" t="s">
        <v>1112</v>
      </c>
      <c r="P60" s="2578"/>
      <c r="Q60" s="2577">
        <v>8.9090000000000007</v>
      </c>
      <c r="R60" s="2577">
        <v>191.381</v>
      </c>
      <c r="S60" s="2577">
        <v>20.155999999999999</v>
      </c>
      <c r="T60" s="2577">
        <v>115.681</v>
      </c>
      <c r="U60" s="2577">
        <f t="shared" si="33"/>
        <v>-11.246999999999998</v>
      </c>
      <c r="V60" s="2577">
        <f t="shared" si="34"/>
        <v>75.7</v>
      </c>
      <c r="W60" s="2570"/>
      <c r="Y60" s="2568" t="s">
        <v>1064</v>
      </c>
      <c r="Z60" s="2568"/>
      <c r="AA60" s="2568"/>
      <c r="AB60" s="2568"/>
      <c r="AC60" s="2568"/>
      <c r="AD60" s="2569"/>
      <c r="AE60" s="2568"/>
      <c r="AF60" s="2568"/>
      <c r="AG60" s="2568"/>
      <c r="AH60" s="2568"/>
      <c r="AI60" s="2570"/>
      <c r="AM60" s="2568" t="s">
        <v>1423</v>
      </c>
      <c r="AN60" s="2570"/>
      <c r="AO60" s="2570"/>
      <c r="AP60" s="2570"/>
      <c r="AQ60" s="2569" t="s">
        <v>943</v>
      </c>
      <c r="AR60" s="2570"/>
      <c r="AS60" s="2570"/>
      <c r="AT60" s="2570"/>
      <c r="AU60" s="2570"/>
      <c r="AV60" s="2570"/>
      <c r="AW60" s="2570"/>
    </row>
    <row r="61" spans="1:49" ht="30.6" thickBot="1">
      <c r="A61" s="2534"/>
      <c r="B61" s="2535"/>
      <c r="C61" s="2535"/>
      <c r="D61" s="2535"/>
      <c r="E61" s="4078" t="s">
        <v>152</v>
      </c>
      <c r="F61" s="4079"/>
      <c r="G61" s="4078" t="s">
        <v>153</v>
      </c>
      <c r="H61" s="4079"/>
      <c r="I61" s="2536" t="s">
        <v>154</v>
      </c>
      <c r="J61" s="2537"/>
      <c r="K61" s="2531"/>
      <c r="M61" s="2577"/>
      <c r="N61" s="2577">
        <v>958069</v>
      </c>
      <c r="O61" s="2577" t="s">
        <v>1113</v>
      </c>
      <c r="P61" s="2578"/>
      <c r="Q61" s="2577">
        <v>8.9090000000000007</v>
      </c>
      <c r="R61" s="2577">
        <v>191.381</v>
      </c>
      <c r="S61" s="2577">
        <v>12.106</v>
      </c>
      <c r="T61" s="2577">
        <v>162.41900000000001</v>
      </c>
      <c r="U61" s="2577">
        <f t="shared" si="33"/>
        <v>-3.1969999999999992</v>
      </c>
      <c r="V61" s="2577">
        <f t="shared" si="34"/>
        <v>28.961999999999989</v>
      </c>
      <c r="W61" s="2570"/>
      <c r="Y61" s="2568" t="s">
        <v>1274</v>
      </c>
      <c r="Z61" s="2570"/>
      <c r="AA61" s="2570"/>
      <c r="AB61" s="2570"/>
      <c r="AC61" s="2569" t="s">
        <v>1243</v>
      </c>
      <c r="AD61" s="2570"/>
      <c r="AE61" s="2570"/>
      <c r="AF61" s="2570"/>
      <c r="AG61" s="2570"/>
      <c r="AH61" s="2570"/>
      <c r="AI61" s="2570"/>
      <c r="AM61" s="2571"/>
      <c r="AN61" s="2572"/>
      <c r="AO61" s="2572"/>
      <c r="AP61" s="2572"/>
      <c r="AQ61" s="4048" t="s">
        <v>152</v>
      </c>
      <c r="AR61" s="4049"/>
      <c r="AS61" s="4048" t="s">
        <v>153</v>
      </c>
      <c r="AT61" s="4049"/>
      <c r="AU61" s="3361" t="s">
        <v>154</v>
      </c>
      <c r="AV61" s="3362"/>
      <c r="AW61" s="2575" t="s">
        <v>132</v>
      </c>
    </row>
    <row r="62" spans="1:49" ht="28.8">
      <c r="A62" s="2538" t="s">
        <v>957</v>
      </c>
      <c r="B62" s="2538" t="s">
        <v>224</v>
      </c>
      <c r="C62" s="2538" t="s">
        <v>225</v>
      </c>
      <c r="D62" s="2538" t="s">
        <v>157</v>
      </c>
      <c r="E62" s="2538" t="s">
        <v>944</v>
      </c>
      <c r="F62" s="2538" t="s">
        <v>945</v>
      </c>
      <c r="G62" s="2538" t="s">
        <v>946</v>
      </c>
      <c r="H62" s="2538" t="s">
        <v>947</v>
      </c>
      <c r="I62" s="2539" t="s">
        <v>948</v>
      </c>
      <c r="J62" s="2539" t="s">
        <v>949</v>
      </c>
      <c r="K62" s="2531"/>
      <c r="M62" s="2577"/>
      <c r="N62" s="2577">
        <v>951136</v>
      </c>
      <c r="O62" s="2577" t="s">
        <v>1114</v>
      </c>
      <c r="P62" s="2578"/>
      <c r="Q62" s="2577">
        <v>8.9090000000000007</v>
      </c>
      <c r="R62" s="2577">
        <v>191.381</v>
      </c>
      <c r="S62" s="2577">
        <v>12.69</v>
      </c>
      <c r="T62" s="2577">
        <v>187.6</v>
      </c>
      <c r="U62" s="2577">
        <f t="shared" si="33"/>
        <v>-3.7809999999999988</v>
      </c>
      <c r="V62" s="2577">
        <f t="shared" si="34"/>
        <v>3.7810000000000059</v>
      </c>
      <c r="W62" s="2570"/>
      <c r="Y62" s="2571"/>
      <c r="Z62" s="2572"/>
      <c r="AA62" s="2572"/>
      <c r="AB62" s="2572"/>
      <c r="AC62" s="4048" t="s">
        <v>152</v>
      </c>
      <c r="AD62" s="4049"/>
      <c r="AE62" s="4048" t="s">
        <v>153</v>
      </c>
      <c r="AF62" s="4049"/>
      <c r="AG62" s="2655" t="s">
        <v>154</v>
      </c>
      <c r="AH62" s="2656"/>
      <c r="AI62" s="2575" t="s">
        <v>132</v>
      </c>
      <c r="AM62" s="2576" t="s">
        <v>223</v>
      </c>
      <c r="AN62" s="2576" t="s">
        <v>224</v>
      </c>
      <c r="AO62" s="2576" t="s">
        <v>225</v>
      </c>
      <c r="AP62" s="2576" t="s">
        <v>157</v>
      </c>
      <c r="AQ62" s="2576" t="s">
        <v>944</v>
      </c>
      <c r="AR62" s="2576" t="s">
        <v>945</v>
      </c>
      <c r="AS62" s="2576" t="s">
        <v>946</v>
      </c>
      <c r="AT62" s="2576" t="s">
        <v>947</v>
      </c>
      <c r="AU62" s="2576" t="s">
        <v>948</v>
      </c>
      <c r="AV62" s="2576" t="s">
        <v>949</v>
      </c>
      <c r="AW62" s="2570"/>
    </row>
    <row r="63" spans="1:49" ht="28.8">
      <c r="A63" s="2542"/>
      <c r="B63" s="2542">
        <v>951205</v>
      </c>
      <c r="C63" s="2542" t="s">
        <v>161</v>
      </c>
      <c r="D63" s="2543"/>
      <c r="E63" s="2541">
        <v>0</v>
      </c>
      <c r="F63" s="2541">
        <v>74</v>
      </c>
      <c r="G63" s="2541">
        <v>0</v>
      </c>
      <c r="H63" s="2541">
        <v>74</v>
      </c>
      <c r="I63" s="2541">
        <f>(E63-G63)</f>
        <v>0</v>
      </c>
      <c r="J63" s="2541">
        <f t="shared" ref="J63" si="40">(F63-H63)</f>
        <v>0</v>
      </c>
      <c r="K63" s="2531"/>
      <c r="M63" s="2579"/>
      <c r="N63" s="2579"/>
      <c r="O63" s="2579"/>
      <c r="P63" s="2580"/>
      <c r="Q63" s="2581">
        <f t="shared" ref="Q63:V63" si="41">SUM(Q49:Q62)</f>
        <v>75.816999999999993</v>
      </c>
      <c r="R63" s="2581">
        <f t="shared" si="41"/>
        <v>1609.8470000000004</v>
      </c>
      <c r="S63" s="2581">
        <f t="shared" si="41"/>
        <v>64.125</v>
      </c>
      <c r="T63" s="2581">
        <f t="shared" si="41"/>
        <v>1134.3420000000001</v>
      </c>
      <c r="U63" s="2581">
        <f t="shared" si="41"/>
        <v>11.692000000000004</v>
      </c>
      <c r="V63" s="2581">
        <f t="shared" si="41"/>
        <v>475.505</v>
      </c>
      <c r="W63" s="2570"/>
      <c r="Y63" s="2576" t="s">
        <v>223</v>
      </c>
      <c r="Z63" s="2576" t="s">
        <v>224</v>
      </c>
      <c r="AA63" s="2576" t="s">
        <v>225</v>
      </c>
      <c r="AB63" s="2576" t="s">
        <v>157</v>
      </c>
      <c r="AC63" s="2576" t="s">
        <v>944</v>
      </c>
      <c r="AD63" s="2576" t="s">
        <v>945</v>
      </c>
      <c r="AE63" s="2576" t="s">
        <v>946</v>
      </c>
      <c r="AF63" s="2576" t="s">
        <v>947</v>
      </c>
      <c r="AG63" s="2576" t="s">
        <v>948</v>
      </c>
      <c r="AH63" s="2576" t="s">
        <v>949</v>
      </c>
      <c r="AI63" s="2570"/>
      <c r="AM63" s="2577"/>
      <c r="AN63" s="2577">
        <v>922513</v>
      </c>
      <c r="AO63" s="2577" t="s">
        <v>205</v>
      </c>
      <c r="AP63" s="2578"/>
      <c r="AQ63" s="2577">
        <v>40</v>
      </c>
      <c r="AR63" s="2577">
        <v>260</v>
      </c>
      <c r="AS63" s="2577">
        <v>12.907</v>
      </c>
      <c r="AT63" s="2577">
        <v>286.084</v>
      </c>
      <c r="AU63" s="2577">
        <f>(AQ63-AS63)</f>
        <v>27.093</v>
      </c>
      <c r="AV63" s="2577">
        <f t="shared" ref="AV63" si="42">(AR63-AT63)</f>
        <v>-26.084000000000003</v>
      </c>
      <c r="AW63" s="2570"/>
    </row>
    <row r="64" spans="1:49">
      <c r="A64" s="2542"/>
      <c r="B64" s="2541"/>
      <c r="C64" s="2542"/>
      <c r="D64" s="2543"/>
      <c r="E64" s="2542"/>
      <c r="F64" s="2541"/>
      <c r="G64" s="2542"/>
      <c r="H64" s="2543"/>
      <c r="I64" s="2542"/>
      <c r="J64" s="2541"/>
      <c r="K64" s="2531"/>
      <c r="Y64" s="2577"/>
      <c r="Z64" s="2577">
        <v>922492</v>
      </c>
      <c r="AA64" s="2577" t="s">
        <v>1275</v>
      </c>
      <c r="AB64" s="2578"/>
      <c r="AC64" s="2577">
        <v>35</v>
      </c>
      <c r="AD64" s="2577">
        <v>416</v>
      </c>
      <c r="AE64" s="2577">
        <v>38.368000000000002</v>
      </c>
      <c r="AF64" s="2577">
        <v>405.548</v>
      </c>
      <c r="AG64" s="2577">
        <f>(AC64-AE64)</f>
        <v>-3.3680000000000021</v>
      </c>
      <c r="AH64" s="2577">
        <f t="shared" ref="AH64:AH65" si="43">(AD64-AF64)</f>
        <v>10.451999999999998</v>
      </c>
      <c r="AI64" s="2570"/>
      <c r="AM64" s="2577"/>
      <c r="AN64" s="2577"/>
      <c r="AO64" s="2577"/>
      <c r="AP64" s="2578"/>
      <c r="AQ64" s="2577"/>
      <c r="AR64" s="2577"/>
      <c r="AS64" s="2577"/>
      <c r="AT64" s="2577"/>
      <c r="AU64" s="2577"/>
      <c r="AV64" s="2577"/>
      <c r="AW64" s="2570"/>
    </row>
    <row r="65" spans="1:49">
      <c r="A65" s="2542"/>
      <c r="B65" s="2541"/>
      <c r="C65" s="2542"/>
      <c r="D65" s="2543"/>
      <c r="E65" s="2542">
        <f>SUM(E63:E64)</f>
        <v>0</v>
      </c>
      <c r="F65" s="2541">
        <f t="shared" ref="F65:H65" si="44">SUM(F63:F64)</f>
        <v>74</v>
      </c>
      <c r="G65" s="2542">
        <f t="shared" si="44"/>
        <v>0</v>
      </c>
      <c r="H65" s="2549">
        <f t="shared" si="44"/>
        <v>74</v>
      </c>
      <c r="I65" s="2542">
        <f>SUM(I63:I64)</f>
        <v>0</v>
      </c>
      <c r="J65" s="2541">
        <f>SUM(J63:J64)</f>
        <v>0</v>
      </c>
      <c r="K65" s="2531"/>
      <c r="Y65" s="2577"/>
      <c r="Z65" s="2577"/>
      <c r="AA65" s="2577"/>
      <c r="AB65" s="2578"/>
      <c r="AC65" s="2577"/>
      <c r="AD65" s="2577"/>
      <c r="AE65" s="2577"/>
      <c r="AF65" s="2577"/>
      <c r="AG65" s="2577">
        <f t="shared" ref="AG65" si="45">(AC65-AE65)</f>
        <v>0</v>
      </c>
      <c r="AH65" s="2577">
        <f t="shared" si="43"/>
        <v>0</v>
      </c>
      <c r="AI65" s="2570"/>
      <c r="AM65" s="2579"/>
      <c r="AN65" s="2579"/>
      <c r="AO65" s="2579"/>
      <c r="AP65" s="3363"/>
      <c r="AQ65" s="2581"/>
      <c r="AR65" s="2581"/>
      <c r="AS65" s="2581"/>
      <c r="AT65" s="2581"/>
      <c r="AU65" s="2581"/>
      <c r="AV65" s="2581"/>
      <c r="AW65" s="2570"/>
    </row>
    <row r="66" spans="1:49" ht="30">
      <c r="Y66" s="2579"/>
      <c r="Z66" s="2579"/>
      <c r="AA66" s="2579"/>
      <c r="AB66" s="2580"/>
      <c r="AC66" s="2581">
        <f>SUM(AC64:AC65)</f>
        <v>35</v>
      </c>
      <c r="AD66" s="2581">
        <f>SUM(AD64:AD65)</f>
        <v>416</v>
      </c>
      <c r="AE66" s="2581">
        <f>SUM(AE64)</f>
        <v>38.368000000000002</v>
      </c>
      <c r="AF66" s="2581">
        <f>SUM(AF64)</f>
        <v>405.548</v>
      </c>
      <c r="AG66" s="2581">
        <f>SUM(AG64)</f>
        <v>-3.3680000000000021</v>
      </c>
      <c r="AH66" s="2581">
        <f>SUM(AH64)</f>
        <v>10.451999999999998</v>
      </c>
      <c r="AI66" s="2570"/>
      <c r="AM66" s="2568"/>
      <c r="AN66" s="2568"/>
      <c r="AO66" s="2568"/>
      <c r="AP66" s="2568"/>
      <c r="AQ66" s="2664">
        <f t="shared" ref="AQ66:AV66" si="46">SUM(AQ63:AQ65)</f>
        <v>40</v>
      </c>
      <c r="AR66" s="2665">
        <f t="shared" si="46"/>
        <v>260</v>
      </c>
      <c r="AS66" s="2664">
        <f t="shared" si="46"/>
        <v>12.907</v>
      </c>
      <c r="AT66" s="2664">
        <f t="shared" si="46"/>
        <v>286.084</v>
      </c>
      <c r="AU66" s="2664">
        <f t="shared" si="46"/>
        <v>27.093</v>
      </c>
      <c r="AV66" s="2664">
        <f t="shared" si="46"/>
        <v>-26.084000000000003</v>
      </c>
      <c r="AW66" s="2570"/>
    </row>
    <row r="67" spans="1:49">
      <c r="A67" s="2524"/>
      <c r="B67" s="2524"/>
      <c r="C67" s="2524"/>
      <c r="D67" s="2524"/>
      <c r="E67" s="2524"/>
      <c r="F67" s="2524"/>
      <c r="G67" s="2524"/>
      <c r="H67" s="2524"/>
      <c r="I67" s="2524"/>
      <c r="J67" s="2524"/>
      <c r="K67" s="2524"/>
    </row>
    <row r="68" spans="1:49">
      <c r="A68" s="2524"/>
      <c r="B68" s="2524"/>
      <c r="C68" s="2524"/>
      <c r="D68" s="2524"/>
      <c r="E68" s="2524"/>
      <c r="F68" s="2524"/>
      <c r="G68" s="2524"/>
      <c r="H68" s="2524"/>
      <c r="I68" s="2524"/>
      <c r="J68" s="2524"/>
      <c r="K68" s="2524"/>
    </row>
    <row r="69" spans="1:49" ht="30">
      <c r="A69" s="2586" t="s">
        <v>1226</v>
      </c>
      <c r="B69" s="2586"/>
      <c r="C69" s="2586"/>
      <c r="D69" s="2586"/>
      <c r="E69" s="2586"/>
      <c r="F69" s="2587"/>
      <c r="G69" s="2586"/>
      <c r="H69" s="2586"/>
      <c r="I69" s="2586"/>
      <c r="J69" s="2586"/>
      <c r="K69" s="2588"/>
      <c r="M69" s="2586" t="s">
        <v>1138</v>
      </c>
      <c r="N69" s="2586"/>
      <c r="O69" s="2586"/>
      <c r="P69" s="2586"/>
      <c r="Q69" s="2586"/>
      <c r="R69" s="2587"/>
      <c r="S69" s="2586"/>
      <c r="T69" s="2586"/>
      <c r="U69" s="2586"/>
      <c r="V69" s="2586"/>
      <c r="W69" s="2588"/>
      <c r="Y69" s="2568" t="s">
        <v>1064</v>
      </c>
      <c r="Z69" s="2568"/>
      <c r="AA69" s="2568"/>
      <c r="AB69" s="2568"/>
      <c r="AC69" s="2568"/>
      <c r="AD69" s="2568"/>
      <c r="AE69" s="2568"/>
      <c r="AF69" s="2568"/>
      <c r="AG69" s="2568"/>
      <c r="AH69" s="2568"/>
      <c r="AI69" s="2568"/>
      <c r="AM69" s="2568" t="s">
        <v>1422</v>
      </c>
      <c r="AN69" s="2568"/>
      <c r="AO69" s="2568"/>
      <c r="AP69" s="2568"/>
      <c r="AQ69" s="2568"/>
      <c r="AR69" s="2569"/>
      <c r="AS69" s="2568"/>
      <c r="AT69" s="2568"/>
      <c r="AU69" s="2568"/>
      <c r="AV69" s="2568"/>
      <c r="AW69" s="2570"/>
    </row>
    <row r="70" spans="1:49" ht="30.6" thickBot="1">
      <c r="A70" s="2586" t="s">
        <v>1230</v>
      </c>
      <c r="B70" s="2588"/>
      <c r="C70" s="2588"/>
      <c r="D70" s="2588"/>
      <c r="E70" s="2589"/>
      <c r="F70" s="2587" t="s">
        <v>1227</v>
      </c>
      <c r="G70" s="2588"/>
      <c r="H70" s="2588"/>
      <c r="I70" s="2588"/>
      <c r="J70" s="2588"/>
      <c r="K70" s="2588"/>
      <c r="M70" s="2586" t="s">
        <v>1139</v>
      </c>
      <c r="N70" s="2588"/>
      <c r="O70" s="2588"/>
      <c r="P70" s="2588"/>
      <c r="Q70" s="2589"/>
      <c r="R70" s="2587" t="s">
        <v>943</v>
      </c>
      <c r="S70" s="2588"/>
      <c r="T70" s="2588"/>
      <c r="U70" s="2588"/>
      <c r="V70" s="2588"/>
      <c r="W70" s="2588"/>
      <c r="Y70" s="2568" t="s">
        <v>1276</v>
      </c>
      <c r="Z70" s="2570"/>
      <c r="AA70" s="2570"/>
      <c r="AB70" s="2570"/>
      <c r="AC70" s="2569" t="s">
        <v>1243</v>
      </c>
      <c r="AD70" s="2570"/>
      <c r="AE70" s="2570"/>
      <c r="AF70" s="2570"/>
      <c r="AG70" s="2570"/>
      <c r="AH70" s="2570"/>
      <c r="AI70" s="2570"/>
      <c r="AM70" s="3520" t="s">
        <v>1487</v>
      </c>
      <c r="AN70" s="2131"/>
      <c r="AO70" s="2131"/>
      <c r="AP70" s="2131"/>
      <c r="AQ70" s="3520" t="s">
        <v>1158</v>
      </c>
      <c r="AR70" s="2131"/>
      <c r="AS70" s="2517" t="s">
        <v>1593</v>
      </c>
      <c r="AT70" s="2517"/>
      <c r="AU70" s="2570"/>
      <c r="AV70" s="2570"/>
      <c r="AW70" s="2570"/>
    </row>
    <row r="71" spans="1:49" ht="15" thickBot="1">
      <c r="A71" s="2531"/>
      <c r="B71" s="2531"/>
      <c r="C71" s="2531"/>
      <c r="D71" s="2531"/>
      <c r="E71" s="2531"/>
      <c r="F71" s="2531"/>
      <c r="G71" s="2531"/>
      <c r="H71" s="2531"/>
      <c r="I71" s="3333" t="s">
        <v>1419</v>
      </c>
      <c r="J71" s="3352"/>
      <c r="K71" s="2531"/>
      <c r="M71" s="2590"/>
      <c r="N71" s="2589"/>
      <c r="O71" s="2589"/>
      <c r="P71" s="2589"/>
      <c r="Q71" s="4076" t="s">
        <v>152</v>
      </c>
      <c r="R71" s="4077"/>
      <c r="S71" s="4076" t="s">
        <v>153</v>
      </c>
      <c r="T71" s="4077"/>
      <c r="U71" s="2591" t="s">
        <v>154</v>
      </c>
      <c r="V71" s="2592"/>
      <c r="W71" s="2593" t="s">
        <v>132</v>
      </c>
      <c r="Y71" s="2571"/>
      <c r="Z71" s="2572"/>
      <c r="AA71" s="2572"/>
      <c r="AB71" s="2572"/>
      <c r="AC71" s="4048" t="s">
        <v>152</v>
      </c>
      <c r="AD71" s="4049"/>
      <c r="AE71" s="4048" t="s">
        <v>153</v>
      </c>
      <c r="AF71" s="4049"/>
      <c r="AG71" s="2655" t="s">
        <v>154</v>
      </c>
      <c r="AH71" s="2656"/>
      <c r="AI71" s="2575" t="s">
        <v>132</v>
      </c>
      <c r="AM71" s="2571"/>
      <c r="AN71" s="2572"/>
      <c r="AO71" s="2572"/>
      <c r="AP71" s="2572"/>
      <c r="AQ71" s="4048" t="s">
        <v>152</v>
      </c>
      <c r="AR71" s="4049"/>
      <c r="AS71" s="4048" t="s">
        <v>153</v>
      </c>
      <c r="AT71" s="4049"/>
      <c r="AU71" s="3370" t="s">
        <v>154</v>
      </c>
      <c r="AV71" s="3371"/>
      <c r="AW71" s="2575" t="s">
        <v>132</v>
      </c>
    </row>
    <row r="72" spans="1:49" ht="28.8">
      <c r="A72" s="2534"/>
      <c r="B72" s="2535"/>
      <c r="C72" s="2535"/>
      <c r="D72" s="2535"/>
      <c r="E72" s="4078" t="s">
        <v>152</v>
      </c>
      <c r="F72" s="4079"/>
      <c r="G72" s="4078" t="s">
        <v>153</v>
      </c>
      <c r="H72" s="4079"/>
      <c r="I72" s="2536" t="s">
        <v>154</v>
      </c>
      <c r="J72" s="2537"/>
      <c r="K72" s="2531"/>
      <c r="M72" s="2594" t="s">
        <v>223</v>
      </c>
      <c r="N72" s="2594" t="s">
        <v>224</v>
      </c>
      <c r="O72" s="2594" t="s">
        <v>225</v>
      </c>
      <c r="P72" s="2594" t="s">
        <v>157</v>
      </c>
      <c r="Q72" s="2594" t="s">
        <v>944</v>
      </c>
      <c r="R72" s="2594" t="s">
        <v>945</v>
      </c>
      <c r="S72" s="2594" t="s">
        <v>946</v>
      </c>
      <c r="T72" s="2594" t="s">
        <v>947</v>
      </c>
      <c r="U72" s="2594" t="s">
        <v>948</v>
      </c>
      <c r="V72" s="2594" t="s">
        <v>949</v>
      </c>
      <c r="W72" s="2588"/>
      <c r="Y72" s="2576" t="s">
        <v>223</v>
      </c>
      <c r="Z72" s="2576" t="s">
        <v>224</v>
      </c>
      <c r="AA72" s="2576" t="s">
        <v>225</v>
      </c>
      <c r="AB72" s="2576" t="s">
        <v>157</v>
      </c>
      <c r="AC72" s="2576" t="s">
        <v>944</v>
      </c>
      <c r="AD72" s="2576" t="s">
        <v>945</v>
      </c>
      <c r="AE72" s="2576" t="s">
        <v>946</v>
      </c>
      <c r="AF72" s="2576" t="s">
        <v>947</v>
      </c>
      <c r="AG72" s="2576" t="s">
        <v>948</v>
      </c>
      <c r="AH72" s="2576" t="s">
        <v>949</v>
      </c>
      <c r="AI72" s="2570"/>
      <c r="AM72" s="2576" t="s">
        <v>223</v>
      </c>
      <c r="AN72" s="2576" t="s">
        <v>224</v>
      </c>
      <c r="AO72" s="2576" t="s">
        <v>225</v>
      </c>
      <c r="AP72" s="2576" t="s">
        <v>157</v>
      </c>
      <c r="AQ72" s="2576" t="s">
        <v>944</v>
      </c>
      <c r="AR72" s="2576" t="s">
        <v>945</v>
      </c>
      <c r="AS72" s="2576" t="s">
        <v>946</v>
      </c>
      <c r="AT72" s="2576" t="s">
        <v>947</v>
      </c>
      <c r="AU72" s="2576" t="s">
        <v>948</v>
      </c>
      <c r="AV72" s="2576" t="s">
        <v>949</v>
      </c>
      <c r="AW72" s="2570"/>
    </row>
    <row r="73" spans="1:49" ht="28.8">
      <c r="A73" s="2538" t="s">
        <v>957</v>
      </c>
      <c r="B73" s="2538" t="s">
        <v>224</v>
      </c>
      <c r="C73" s="2538" t="s">
        <v>225</v>
      </c>
      <c r="D73" s="2538" t="s">
        <v>157</v>
      </c>
      <c r="E73" s="2538" t="s">
        <v>944</v>
      </c>
      <c r="F73" s="2538" t="s">
        <v>945</v>
      </c>
      <c r="G73" s="2538" t="s">
        <v>946</v>
      </c>
      <c r="H73" s="2538" t="s">
        <v>947</v>
      </c>
      <c r="I73" s="2539" t="s">
        <v>948</v>
      </c>
      <c r="J73" s="2539" t="s">
        <v>949</v>
      </c>
      <c r="K73" s="2531"/>
      <c r="M73" s="2595"/>
      <c r="N73" s="2595">
        <v>957377</v>
      </c>
      <c r="O73" s="2595" t="s">
        <v>290</v>
      </c>
      <c r="P73" s="2596"/>
      <c r="Q73" s="2595">
        <v>42.3</v>
      </c>
      <c r="R73" s="2595">
        <v>572.76</v>
      </c>
      <c r="S73" s="2595"/>
      <c r="T73" s="2595">
        <v>572.76</v>
      </c>
      <c r="U73" s="2595">
        <f>+Q73-S73</f>
        <v>42.3</v>
      </c>
      <c r="V73" s="2595">
        <f t="shared" ref="V73" si="47">(R73-T73)</f>
        <v>0</v>
      </c>
      <c r="W73" s="2588"/>
      <c r="Y73" s="2577"/>
      <c r="Z73" s="2577">
        <v>952004</v>
      </c>
      <c r="AA73" s="2577" t="s">
        <v>197</v>
      </c>
      <c r="AB73" s="2578"/>
      <c r="AC73" s="2577">
        <v>40</v>
      </c>
      <c r="AD73" s="2577">
        <v>260</v>
      </c>
      <c r="AE73" s="2577">
        <v>18.535</v>
      </c>
      <c r="AF73" s="2577">
        <v>267.03500000000003</v>
      </c>
      <c r="AG73" s="2577">
        <f>(AC73-AE73)</f>
        <v>21.465</v>
      </c>
      <c r="AH73" s="2577">
        <f t="shared" ref="AH73:AH74" si="48">(AD73-AF73)</f>
        <v>-7.035000000000025</v>
      </c>
      <c r="AI73" s="2570"/>
      <c r="AM73" s="2577"/>
      <c r="AN73" s="2577">
        <v>958676</v>
      </c>
      <c r="AO73" s="2577" t="s">
        <v>323</v>
      </c>
      <c r="AP73" s="2578"/>
      <c r="AQ73" s="2577"/>
      <c r="AR73" s="2577">
        <v>200.99</v>
      </c>
      <c r="AS73" s="2577">
        <v>8.9090000000000007</v>
      </c>
      <c r="AT73" s="2577">
        <v>150.5</v>
      </c>
      <c r="AU73" s="2577">
        <f>(AQ73-AS73)</f>
        <v>-8.9090000000000007</v>
      </c>
      <c r="AV73" s="2577">
        <f t="shared" ref="AV73" si="49">(AR73-AT73)</f>
        <v>50.490000000000009</v>
      </c>
      <c r="AW73" s="2570"/>
    </row>
    <row r="74" spans="1:49">
      <c r="A74" s="2542"/>
      <c r="B74" s="2542">
        <v>958249</v>
      </c>
      <c r="C74" s="1985" t="s">
        <v>249</v>
      </c>
      <c r="D74" s="2543"/>
      <c r="E74" s="2541">
        <v>0</v>
      </c>
      <c r="F74" s="2541">
        <v>100</v>
      </c>
      <c r="G74" s="2541">
        <v>0</v>
      </c>
      <c r="H74" s="2541">
        <v>100</v>
      </c>
      <c r="I74" s="2541">
        <f>(E74-G74)</f>
        <v>0</v>
      </c>
      <c r="J74" s="2541">
        <f t="shared" ref="J74" si="50">(F74-H74)</f>
        <v>0</v>
      </c>
      <c r="K74" s="2531"/>
      <c r="M74" s="2595"/>
      <c r="N74" s="2595"/>
      <c r="O74" s="2595"/>
      <c r="P74" s="2596"/>
      <c r="Q74" s="2595"/>
      <c r="R74" s="2595"/>
      <c r="S74" s="2595"/>
      <c r="T74" s="2595"/>
      <c r="U74" s="2595"/>
      <c r="V74" s="2595"/>
      <c r="W74" s="2588"/>
      <c r="Y74" s="2577"/>
      <c r="Z74" s="2577"/>
      <c r="AA74" s="2577"/>
      <c r="AB74" s="2578"/>
      <c r="AC74" s="2577"/>
      <c r="AD74" s="2577"/>
      <c r="AE74" s="2577"/>
      <c r="AF74" s="2577"/>
      <c r="AG74" s="2577">
        <f t="shared" ref="AG74" si="51">(AC74-AE74)</f>
        <v>0</v>
      </c>
      <c r="AH74" s="2577">
        <f t="shared" si="48"/>
        <v>0</v>
      </c>
      <c r="AI74" s="2570"/>
      <c r="AM74" s="2577"/>
      <c r="AN74" s="2577"/>
      <c r="AO74" s="2577"/>
      <c r="AP74" s="2578"/>
      <c r="AQ74" s="2577"/>
      <c r="AR74" s="2577"/>
      <c r="AS74" s="2577"/>
      <c r="AT74" s="2577"/>
      <c r="AU74" s="2577"/>
      <c r="AV74" s="2577"/>
      <c r="AW74" s="2570"/>
    </row>
    <row r="75" spans="1:49">
      <c r="A75" s="2542"/>
      <c r="B75" s="2541">
        <v>16</v>
      </c>
      <c r="C75" s="1985" t="s">
        <v>1265</v>
      </c>
      <c r="D75" s="2543"/>
      <c r="E75" s="2542"/>
      <c r="F75" s="2648">
        <v>300</v>
      </c>
      <c r="G75" s="2542"/>
      <c r="H75" s="2543">
        <v>1.2450000000000001</v>
      </c>
      <c r="I75" s="2541">
        <f>(E75-G75)</f>
        <v>0</v>
      </c>
      <c r="J75" s="2541">
        <f t="shared" ref="J75" si="52">(F75-H75)</f>
        <v>298.755</v>
      </c>
      <c r="K75" s="2531"/>
      <c r="M75" s="2595"/>
      <c r="N75" s="2595"/>
      <c r="O75" s="2595"/>
      <c r="P75" s="2596"/>
      <c r="Q75" s="2595"/>
      <c r="R75" s="2595"/>
      <c r="S75" s="2595"/>
      <c r="T75" s="2595"/>
      <c r="U75" s="2595"/>
      <c r="V75" s="2595">
        <f t="shared" ref="V75" si="53">(R75-T75)</f>
        <v>0</v>
      </c>
      <c r="W75" s="2588"/>
      <c r="Y75" s="2579"/>
      <c r="Z75" s="2579"/>
      <c r="AA75" s="2579"/>
      <c r="AB75" s="2580"/>
      <c r="AC75" s="2581">
        <f>SUM(AC73:AC74)</f>
        <v>40</v>
      </c>
      <c r="AD75" s="2581">
        <f>SUM(AD73:AD74)</f>
        <v>260</v>
      </c>
      <c r="AE75" s="2581">
        <f>SUM(AE73)</f>
        <v>18.535</v>
      </c>
      <c r="AF75" s="2581">
        <f>SUM(AF73)</f>
        <v>267.03500000000003</v>
      </c>
      <c r="AG75" s="2581">
        <f>SUM(AG73)</f>
        <v>21.465</v>
      </c>
      <c r="AH75" s="2581">
        <f>SUM(AH73)</f>
        <v>-7.035000000000025</v>
      </c>
      <c r="AI75" s="2570"/>
      <c r="AM75" s="2579"/>
      <c r="AN75" s="2579"/>
      <c r="AO75" s="2579"/>
      <c r="AP75" s="3372"/>
      <c r="AQ75" s="2581"/>
      <c r="AR75" s="2581"/>
      <c r="AS75" s="2581"/>
      <c r="AT75" s="2581"/>
      <c r="AU75" s="2581"/>
      <c r="AV75" s="2581"/>
      <c r="AW75" s="2570"/>
    </row>
    <row r="76" spans="1:49" ht="30">
      <c r="A76" s="2542"/>
      <c r="B76" s="2541"/>
      <c r="C76" s="2542"/>
      <c r="D76" s="2543"/>
      <c r="E76" s="2542">
        <f>SUM(E74:E75)</f>
        <v>0</v>
      </c>
      <c r="F76" s="2541">
        <f t="shared" ref="F76:H76" si="54">SUM(F74:F75)</f>
        <v>400</v>
      </c>
      <c r="G76" s="2542">
        <f t="shared" si="54"/>
        <v>0</v>
      </c>
      <c r="H76" s="2549">
        <f t="shared" si="54"/>
        <v>101.245</v>
      </c>
      <c r="I76" s="2542">
        <f>SUM(I74:I75)</f>
        <v>0</v>
      </c>
      <c r="J76" s="2541">
        <f>SUM(J74:J75)</f>
        <v>298.755</v>
      </c>
      <c r="K76" s="2531"/>
      <c r="M76" s="2597"/>
      <c r="N76" s="2597"/>
      <c r="O76" s="2597"/>
      <c r="P76" s="2598"/>
      <c r="Q76" s="2599">
        <f t="shared" ref="Q76:V76" si="55">SUM(Q73:Q75)</f>
        <v>42.3</v>
      </c>
      <c r="R76" s="2599">
        <f t="shared" si="55"/>
        <v>572.76</v>
      </c>
      <c r="S76" s="2599">
        <f t="shared" si="55"/>
        <v>0</v>
      </c>
      <c r="T76" s="2599">
        <f t="shared" si="55"/>
        <v>572.76</v>
      </c>
      <c r="U76" s="2599">
        <f t="shared" si="55"/>
        <v>42.3</v>
      </c>
      <c r="V76" s="2599">
        <f t="shared" si="55"/>
        <v>0</v>
      </c>
      <c r="W76" s="2588"/>
      <c r="AM76" s="2568"/>
      <c r="AN76" s="2568"/>
      <c r="AO76" s="2568"/>
      <c r="AP76" s="2568"/>
      <c r="AQ76" s="2664">
        <f t="shared" ref="AQ76:AV76" si="56">SUM(AQ73:AQ75)</f>
        <v>0</v>
      </c>
      <c r="AR76" s="2665">
        <f t="shared" si="56"/>
        <v>200.99</v>
      </c>
      <c r="AS76" s="2664">
        <f t="shared" si="56"/>
        <v>8.9090000000000007</v>
      </c>
      <c r="AT76" s="2664">
        <f t="shared" si="56"/>
        <v>150.5</v>
      </c>
      <c r="AU76" s="2664">
        <f t="shared" si="56"/>
        <v>-8.9090000000000007</v>
      </c>
      <c r="AV76" s="2664">
        <f t="shared" si="56"/>
        <v>50.490000000000009</v>
      </c>
      <c r="AW76" s="2570"/>
    </row>
    <row r="77" spans="1:49">
      <c r="A77" s="2524"/>
      <c r="B77" s="2524"/>
      <c r="C77" s="2524"/>
      <c r="D77" s="2524"/>
      <c r="E77" s="2524"/>
      <c r="F77" s="2524"/>
      <c r="G77" s="2524"/>
      <c r="H77" s="2524"/>
      <c r="I77" s="2524"/>
      <c r="J77" s="2524"/>
      <c r="K77" s="2524"/>
      <c r="X77" s="1094"/>
    </row>
    <row r="78" spans="1:49">
      <c r="A78" s="2524"/>
      <c r="B78" s="2524"/>
      <c r="C78" s="2524"/>
      <c r="D78" s="2524"/>
      <c r="E78" s="2524"/>
      <c r="F78" s="2524"/>
      <c r="G78" s="2524"/>
      <c r="H78" s="2524"/>
      <c r="I78" s="2524"/>
      <c r="J78" s="2524"/>
      <c r="K78" s="2524"/>
      <c r="X78" s="1094"/>
    </row>
    <row r="79" spans="1:49" ht="30">
      <c r="A79" s="2547" t="s">
        <v>1228</v>
      </c>
      <c r="B79" s="2530"/>
      <c r="C79" s="2530"/>
      <c r="D79" s="2530"/>
      <c r="E79" s="2530"/>
      <c r="F79" s="2530"/>
      <c r="G79" s="2530"/>
      <c r="H79" s="2530"/>
      <c r="I79" s="2530"/>
      <c r="J79" s="2530"/>
      <c r="K79" s="2531"/>
      <c r="M79" s="2586" t="s">
        <v>1138</v>
      </c>
      <c r="N79" s="2586"/>
      <c r="O79" s="2586"/>
      <c r="P79" s="2586"/>
      <c r="Q79" s="2586"/>
      <c r="R79" s="2587"/>
      <c r="S79" s="2586"/>
      <c r="T79" s="2586"/>
      <c r="U79" s="2586"/>
      <c r="V79" s="2586"/>
      <c r="W79" s="2588"/>
      <c r="AM79" s="2568" t="s">
        <v>1422</v>
      </c>
      <c r="AN79" s="2568"/>
      <c r="AO79" s="2568"/>
      <c r="AP79" s="2568"/>
      <c r="AQ79" s="2568"/>
      <c r="AR79" s="2569"/>
      <c r="AS79" s="2568"/>
      <c r="AT79" s="2568"/>
      <c r="AU79" s="2568"/>
      <c r="AV79" s="2568"/>
      <c r="AW79" s="2570"/>
    </row>
    <row r="80" spans="1:49" ht="30.6" thickBot="1">
      <c r="A80" s="2532" t="s">
        <v>1229</v>
      </c>
      <c r="B80" s="2530"/>
      <c r="C80" s="2530"/>
      <c r="D80" s="2530"/>
      <c r="E80" s="2530"/>
      <c r="F80" s="2533" t="s">
        <v>1227</v>
      </c>
      <c r="G80" s="2530"/>
      <c r="H80" s="2530"/>
      <c r="I80" s="2530"/>
      <c r="J80" s="2530"/>
      <c r="K80" s="2531"/>
      <c r="M80" s="2586" t="s">
        <v>1140</v>
      </c>
      <c r="N80" s="2588"/>
      <c r="O80" s="2588"/>
      <c r="P80" s="2588"/>
      <c r="Q80" s="2589"/>
      <c r="R80" s="2587" t="s">
        <v>943</v>
      </c>
      <c r="S80" s="2588"/>
      <c r="T80" s="2588"/>
      <c r="U80" s="2588"/>
      <c r="V80" s="2588"/>
      <c r="W80" s="2588"/>
      <c r="Y80" s="2453" t="s">
        <v>942</v>
      </c>
      <c r="Z80" s="2453"/>
      <c r="AA80" s="2453"/>
      <c r="AB80" s="2453"/>
      <c r="AC80" s="2453"/>
      <c r="AD80" s="2453"/>
      <c r="AE80" s="2453"/>
      <c r="AF80" s="2453"/>
      <c r="AG80" s="2452"/>
      <c r="AH80" s="2452"/>
      <c r="AI80" s="2441"/>
      <c r="AM80" s="3519" t="s">
        <v>1487</v>
      </c>
      <c r="AN80" s="2070"/>
      <c r="AO80" s="2070"/>
      <c r="AP80" s="2070"/>
      <c r="AQ80" s="3520" t="s">
        <v>1158</v>
      </c>
      <c r="AR80" s="2070"/>
      <c r="AS80" s="2570"/>
      <c r="AT80" s="2570"/>
      <c r="AU80" s="2570"/>
      <c r="AV80" s="2570"/>
      <c r="AW80" s="2570"/>
    </row>
    <row r="81" spans="1:51" ht="30.6" thickBot="1">
      <c r="A81" s="2531"/>
      <c r="B81" s="2531"/>
      <c r="C81" s="2531"/>
      <c r="D81" s="2531"/>
      <c r="E81" s="2531"/>
      <c r="F81" s="2531"/>
      <c r="G81" s="2531"/>
      <c r="H81" s="2531"/>
      <c r="I81" s="2531"/>
      <c r="J81" s="2531"/>
      <c r="K81" s="2531"/>
      <c r="M81" s="2590"/>
      <c r="N81" s="2589"/>
      <c r="O81" s="2589"/>
      <c r="P81" s="2589"/>
      <c r="Q81" s="4076" t="s">
        <v>152</v>
      </c>
      <c r="R81" s="4077"/>
      <c r="S81" s="4076" t="s">
        <v>153</v>
      </c>
      <c r="T81" s="4077"/>
      <c r="U81" s="2591" t="s">
        <v>154</v>
      </c>
      <c r="V81" s="2592"/>
      <c r="W81" s="2593" t="s">
        <v>132</v>
      </c>
      <c r="Y81" s="2453" t="s">
        <v>1279</v>
      </c>
      <c r="Z81" s="2452"/>
      <c r="AA81" s="2452"/>
      <c r="AB81" s="2452"/>
      <c r="AC81" s="2452"/>
      <c r="AD81" s="2454" t="s">
        <v>943</v>
      </c>
      <c r="AE81" s="2452"/>
      <c r="AF81" s="2452"/>
      <c r="AG81" s="2452"/>
      <c r="AH81" s="2452"/>
      <c r="AI81" s="2441"/>
      <c r="AM81" s="2571"/>
      <c r="AN81" s="2572"/>
      <c r="AO81" s="2572"/>
      <c r="AP81" s="2572"/>
      <c r="AQ81" s="4048" t="s">
        <v>152</v>
      </c>
      <c r="AR81" s="4049"/>
      <c r="AS81" s="4048" t="s">
        <v>153</v>
      </c>
      <c r="AT81" s="4049"/>
      <c r="AU81" s="3370" t="s">
        <v>154</v>
      </c>
      <c r="AV81" s="3371"/>
      <c r="AW81" s="2575" t="s">
        <v>132</v>
      </c>
    </row>
    <row r="82" spans="1:51" ht="29.4" thickBot="1">
      <c r="A82" s="2534"/>
      <c r="B82" s="2535"/>
      <c r="C82" s="2535"/>
      <c r="D82" s="2535"/>
      <c r="E82" s="4078" t="s">
        <v>152</v>
      </c>
      <c r="F82" s="4079"/>
      <c r="G82" s="4078" t="s">
        <v>153</v>
      </c>
      <c r="H82" s="4079"/>
      <c r="I82" s="2536" t="s">
        <v>154</v>
      </c>
      <c r="J82" s="2537"/>
      <c r="K82" s="2531"/>
      <c r="M82" s="2594" t="s">
        <v>223</v>
      </c>
      <c r="N82" s="2594" t="s">
        <v>224</v>
      </c>
      <c r="O82" s="2594" t="s">
        <v>225</v>
      </c>
      <c r="P82" s="2594" t="s">
        <v>157</v>
      </c>
      <c r="Q82" s="2594" t="s">
        <v>944</v>
      </c>
      <c r="R82" s="2594" t="s">
        <v>945</v>
      </c>
      <c r="S82" s="2594" t="s">
        <v>946</v>
      </c>
      <c r="T82" s="2594" t="s">
        <v>947</v>
      </c>
      <c r="U82" s="2594" t="s">
        <v>948</v>
      </c>
      <c r="V82" s="2594" t="s">
        <v>949</v>
      </c>
      <c r="W82" s="2588"/>
      <c r="Y82" s="2441"/>
      <c r="Z82" s="2441"/>
      <c r="AA82" s="2441"/>
      <c r="AB82" s="2441"/>
      <c r="AC82" s="2441"/>
      <c r="AD82" s="2441"/>
      <c r="AE82" s="2441"/>
      <c r="AF82" s="2441"/>
      <c r="AG82" s="2441"/>
      <c r="AH82" s="2441"/>
      <c r="AI82" s="2441"/>
      <c r="AM82" s="2576" t="s">
        <v>223</v>
      </c>
      <c r="AN82" s="2576" t="s">
        <v>224</v>
      </c>
      <c r="AO82" s="2576" t="s">
        <v>225</v>
      </c>
      <c r="AP82" s="2576" t="s">
        <v>157</v>
      </c>
      <c r="AQ82" s="2576" t="s">
        <v>944</v>
      </c>
      <c r="AR82" s="2576" t="s">
        <v>945</v>
      </c>
      <c r="AS82" s="2576" t="s">
        <v>946</v>
      </c>
      <c r="AT82" s="2576" t="s">
        <v>947</v>
      </c>
      <c r="AU82" s="2576" t="s">
        <v>948</v>
      </c>
      <c r="AV82" s="2576" t="s">
        <v>949</v>
      </c>
      <c r="AW82" s="2570"/>
    </row>
    <row r="83" spans="1:51" ht="28.8">
      <c r="A83" s="2538" t="s">
        <v>957</v>
      </c>
      <c r="B83" s="2538" t="s">
        <v>224</v>
      </c>
      <c r="C83" s="2538" t="s">
        <v>225</v>
      </c>
      <c r="D83" s="2538" t="s">
        <v>157</v>
      </c>
      <c r="E83" s="2538" t="s">
        <v>944</v>
      </c>
      <c r="F83" s="2538" t="s">
        <v>945</v>
      </c>
      <c r="G83" s="2538" t="s">
        <v>946</v>
      </c>
      <c r="H83" s="2538" t="s">
        <v>947</v>
      </c>
      <c r="I83" s="2539" t="s">
        <v>948</v>
      </c>
      <c r="J83" s="2539" t="s">
        <v>949</v>
      </c>
      <c r="K83" s="2531" t="s">
        <v>127</v>
      </c>
      <c r="M83" s="2595"/>
      <c r="N83" s="2595"/>
      <c r="O83" s="2595" t="s">
        <v>1141</v>
      </c>
      <c r="P83" s="2596"/>
      <c r="Q83" s="2595">
        <v>0</v>
      </c>
      <c r="R83" s="2595">
        <v>1130</v>
      </c>
      <c r="S83" s="2595">
        <v>0</v>
      </c>
      <c r="T83" s="2595">
        <v>1130</v>
      </c>
      <c r="U83" s="2595"/>
      <c r="V83" s="2595">
        <f t="shared" ref="V83" si="57">(R83-T83)</f>
        <v>0</v>
      </c>
      <c r="W83" s="2588"/>
      <c r="Y83" s="2442"/>
      <c r="Z83" s="2443"/>
      <c r="AA83" s="2443"/>
      <c r="AB83" s="2443"/>
      <c r="AC83" s="4066" t="s">
        <v>152</v>
      </c>
      <c r="AD83" s="4068"/>
      <c r="AE83" s="4066" t="s">
        <v>153</v>
      </c>
      <c r="AF83" s="4068"/>
      <c r="AG83" s="2653" t="s">
        <v>154</v>
      </c>
      <c r="AH83" s="2654"/>
      <c r="AI83" s="2441"/>
      <c r="AM83" s="2577"/>
      <c r="AN83" s="2577">
        <v>958676</v>
      </c>
      <c r="AO83" s="2577" t="s">
        <v>323</v>
      </c>
      <c r="AP83" s="2578"/>
      <c r="AQ83" s="2577"/>
      <c r="AR83" s="2577"/>
      <c r="AS83" s="3293"/>
      <c r="AT83" s="3293"/>
      <c r="AU83" s="2577">
        <f>(AQ83-AS83)</f>
        <v>0</v>
      </c>
      <c r="AV83" s="2577">
        <f t="shared" ref="AV83" si="58">(AR83-AT83)</f>
        <v>0</v>
      </c>
      <c r="AW83" s="2570"/>
    </row>
    <row r="84" spans="1:51" ht="28.8">
      <c r="A84" s="2542"/>
      <c r="B84" s="2541">
        <v>960931</v>
      </c>
      <c r="C84" s="2542" t="s">
        <v>1231</v>
      </c>
      <c r="D84" s="2543"/>
      <c r="E84" s="2541">
        <v>16</v>
      </c>
      <c r="F84" s="2541">
        <v>64</v>
      </c>
      <c r="G84" s="2541">
        <v>27.524000000000001</v>
      </c>
      <c r="H84" s="2541">
        <v>318.476</v>
      </c>
      <c r="I84" s="2541">
        <f>(E84-G84)</f>
        <v>-11.524000000000001</v>
      </c>
      <c r="J84" s="2541">
        <f t="shared" ref="J84:J85" si="59">(F84-H84)</f>
        <v>-254.476</v>
      </c>
      <c r="K84" s="2531"/>
      <c r="M84" s="2595"/>
      <c r="N84" s="2595"/>
      <c r="O84" s="2595"/>
      <c r="P84" s="2596"/>
      <c r="Q84" s="2595"/>
      <c r="R84" s="2595"/>
      <c r="S84" s="2595"/>
      <c r="T84" s="2595"/>
      <c r="U84" s="2595"/>
      <c r="V84" s="2595"/>
      <c r="W84" s="2588"/>
      <c r="Y84" s="2444" t="s">
        <v>223</v>
      </c>
      <c r="Z84" s="2444" t="s">
        <v>224</v>
      </c>
      <c r="AA84" s="2444" t="s">
        <v>225</v>
      </c>
      <c r="AB84" s="2444" t="s">
        <v>157</v>
      </c>
      <c r="AC84" s="2444" t="s">
        <v>944</v>
      </c>
      <c r="AD84" s="2444" t="s">
        <v>945</v>
      </c>
      <c r="AE84" s="2444" t="s">
        <v>946</v>
      </c>
      <c r="AF84" s="2444" t="s">
        <v>947</v>
      </c>
      <c r="AG84" s="2445" t="s">
        <v>948</v>
      </c>
      <c r="AH84" s="2445" t="s">
        <v>949</v>
      </c>
      <c r="AI84" s="2456" t="s">
        <v>132</v>
      </c>
      <c r="AM84" s="2577"/>
      <c r="AN84" s="2577">
        <v>952073</v>
      </c>
      <c r="AO84" s="2577" t="s">
        <v>1488</v>
      </c>
      <c r="AP84" s="2578"/>
      <c r="AQ84" s="2577"/>
      <c r="AR84" s="2577"/>
      <c r="AS84" s="3293">
        <v>5.5410000000000004</v>
      </c>
      <c r="AT84" s="3293">
        <v>124.111</v>
      </c>
      <c r="AU84" s="2577"/>
      <c r="AV84" s="2577"/>
      <c r="AW84" s="2570"/>
    </row>
    <row r="85" spans="1:51">
      <c r="A85" s="2542"/>
      <c r="B85" s="2541">
        <v>960932</v>
      </c>
      <c r="C85" s="2542" t="s">
        <v>1231</v>
      </c>
      <c r="D85" s="2543"/>
      <c r="E85" s="2542">
        <v>25</v>
      </c>
      <c r="F85" s="2541">
        <v>241</v>
      </c>
      <c r="G85" s="2541">
        <v>0</v>
      </c>
      <c r="H85" s="2541">
        <v>0</v>
      </c>
      <c r="I85" s="2541">
        <f>(E85-G85)</f>
        <v>25</v>
      </c>
      <c r="J85" s="2541">
        <f t="shared" si="59"/>
        <v>241</v>
      </c>
      <c r="K85" s="2531"/>
      <c r="M85" s="2595"/>
      <c r="N85" s="2595"/>
      <c r="O85" s="2595"/>
      <c r="P85" s="2596"/>
      <c r="Q85" s="2595"/>
      <c r="R85" s="2595"/>
      <c r="S85" s="2595"/>
      <c r="T85" s="2595"/>
      <c r="U85" s="2595"/>
      <c r="V85" s="2595">
        <f t="shared" ref="V85" si="60">(R85-T85)</f>
        <v>0</v>
      </c>
      <c r="W85" s="2588"/>
      <c r="Y85" s="2446"/>
      <c r="Z85" s="2446">
        <v>951220</v>
      </c>
      <c r="AA85" s="2447" t="s">
        <v>289</v>
      </c>
      <c r="AB85" s="2448"/>
      <c r="AC85" s="2446">
        <v>0</v>
      </c>
      <c r="AD85" s="2446">
        <v>280</v>
      </c>
      <c r="AE85" s="2446">
        <v>0</v>
      </c>
      <c r="AF85" s="2446">
        <v>280</v>
      </c>
      <c r="AG85" s="2446">
        <f>(AC85-AE85)</f>
        <v>0</v>
      </c>
      <c r="AH85" s="2473">
        <f t="shared" ref="AH85:AH100" si="61">(AD85-AF85)</f>
        <v>0</v>
      </c>
      <c r="AI85" s="2517"/>
      <c r="AM85" s="2577"/>
      <c r="AN85" s="2577">
        <v>924618</v>
      </c>
      <c r="AO85" s="2577" t="s">
        <v>169</v>
      </c>
      <c r="AP85" s="2578"/>
      <c r="AQ85" s="2577"/>
      <c r="AR85" s="2577"/>
      <c r="AS85" s="3293">
        <v>8.7720000000000002</v>
      </c>
      <c r="AT85" s="3293">
        <v>104.324</v>
      </c>
      <c r="AU85" s="2577"/>
      <c r="AV85" s="2577"/>
      <c r="AW85" s="2570"/>
      <c r="AX85" s="3514">
        <v>41939</v>
      </c>
    </row>
    <row r="86" spans="1:51">
      <c r="A86" s="2542"/>
      <c r="B86" s="2541"/>
      <c r="C86" s="2542"/>
      <c r="D86" s="2543"/>
      <c r="E86" s="2542">
        <f>SUM(E84:E85)</f>
        <v>41</v>
      </c>
      <c r="F86" s="2541">
        <f t="shared" ref="F86:H86" si="62">SUM(F84:F85)</f>
        <v>305</v>
      </c>
      <c r="G86" s="2542">
        <f t="shared" si="62"/>
        <v>27.524000000000001</v>
      </c>
      <c r="H86" s="2549">
        <f t="shared" si="62"/>
        <v>318.476</v>
      </c>
      <c r="I86" s="2542">
        <f>SUM(I84:I85)</f>
        <v>13.475999999999999</v>
      </c>
      <c r="J86" s="2541">
        <f>SUM(J84:J85)</f>
        <v>-13.475999999999999</v>
      </c>
      <c r="K86" s="2531"/>
      <c r="M86" s="2597"/>
      <c r="N86" s="2597"/>
      <c r="O86" s="2597"/>
      <c r="P86" s="2598"/>
      <c r="Q86" s="2599">
        <f t="shared" ref="Q86:V86" si="63">SUM(Q83:Q85)</f>
        <v>0</v>
      </c>
      <c r="R86" s="2599">
        <f t="shared" si="63"/>
        <v>1130</v>
      </c>
      <c r="S86" s="2599">
        <f t="shared" si="63"/>
        <v>0</v>
      </c>
      <c r="T86" s="2599">
        <f t="shared" si="63"/>
        <v>1130</v>
      </c>
      <c r="U86" s="2599">
        <f t="shared" si="63"/>
        <v>0</v>
      </c>
      <c r="V86" s="2599">
        <f t="shared" si="63"/>
        <v>0</v>
      </c>
      <c r="W86" s="2588"/>
      <c r="Y86" s="2446"/>
      <c r="Z86" s="2446">
        <v>950656</v>
      </c>
      <c r="AA86" s="2447" t="s">
        <v>291</v>
      </c>
      <c r="AB86" s="2448"/>
      <c r="AC86" s="2446">
        <v>0</v>
      </c>
      <c r="AD86" s="2446">
        <v>280</v>
      </c>
      <c r="AE86" s="2446">
        <v>0</v>
      </c>
      <c r="AF86" s="2446">
        <v>280</v>
      </c>
      <c r="AG86" s="2446">
        <f t="shared" ref="AG86:AG100" si="64">(AC86-AE86)</f>
        <v>0</v>
      </c>
      <c r="AH86" s="2473">
        <f t="shared" si="61"/>
        <v>0</v>
      </c>
      <c r="AI86" s="2517"/>
      <c r="AM86" s="2577"/>
      <c r="AN86" s="2577">
        <v>953902</v>
      </c>
      <c r="AO86" s="2577" t="s">
        <v>404</v>
      </c>
      <c r="AP86" s="2578"/>
      <c r="AQ86" s="2577"/>
      <c r="AR86" s="2577"/>
      <c r="AS86" s="3293">
        <v>12.96</v>
      </c>
      <c r="AT86" s="3293">
        <v>107.875</v>
      </c>
      <c r="AU86" s="2577"/>
      <c r="AV86" s="2577"/>
      <c r="AW86" s="2570"/>
    </row>
    <row r="87" spans="1:51">
      <c r="A87" s="2524"/>
      <c r="B87" s="2524"/>
      <c r="C87" s="2524"/>
      <c r="D87" s="2524"/>
      <c r="E87" s="2524"/>
      <c r="F87" s="2524"/>
      <c r="G87" s="2524"/>
      <c r="H87" s="2524"/>
      <c r="I87" s="2524"/>
      <c r="J87" s="2524"/>
      <c r="K87" s="2524"/>
      <c r="Y87" s="2446"/>
      <c r="Z87" s="2446">
        <v>958703</v>
      </c>
      <c r="AA87" s="2447" t="s">
        <v>950</v>
      </c>
      <c r="AB87" s="2448"/>
      <c r="AC87" s="2446">
        <v>0</v>
      </c>
      <c r="AD87" s="2446">
        <v>280</v>
      </c>
      <c r="AE87" s="2446">
        <v>0</v>
      </c>
      <c r="AF87" s="2446">
        <v>279.08800000000002</v>
      </c>
      <c r="AG87" s="2446">
        <f t="shared" si="64"/>
        <v>0</v>
      </c>
      <c r="AH87" s="2473">
        <f t="shared" si="61"/>
        <v>0.91199999999997772</v>
      </c>
      <c r="AI87" s="2517"/>
      <c r="AM87" s="2577"/>
      <c r="AN87" s="2577">
        <v>957798</v>
      </c>
      <c r="AO87" s="2577" t="s">
        <v>403</v>
      </c>
      <c r="AP87" s="2578"/>
      <c r="AQ87" s="2577"/>
      <c r="AR87" s="2577"/>
      <c r="AS87" s="3293">
        <v>7.1989999999999998</v>
      </c>
      <c r="AT87" s="3293">
        <v>104.919</v>
      </c>
      <c r="AU87" s="2577"/>
      <c r="AV87" s="2577"/>
      <c r="AW87" s="2570"/>
    </row>
    <row r="88" spans="1:51">
      <c r="A88" s="2524"/>
      <c r="B88" s="2524"/>
      <c r="C88" s="2524"/>
      <c r="D88" s="2524"/>
      <c r="E88" s="2524"/>
      <c r="F88" s="2524"/>
      <c r="G88" s="2524"/>
      <c r="H88" s="2524"/>
      <c r="I88" s="2524"/>
      <c r="J88" s="2524"/>
      <c r="K88" s="2524"/>
      <c r="Y88" s="2446"/>
      <c r="Z88" s="2446">
        <v>953053</v>
      </c>
      <c r="AA88" s="2447" t="s">
        <v>951</v>
      </c>
      <c r="AB88" s="2448"/>
      <c r="AC88" s="2446">
        <v>0</v>
      </c>
      <c r="AD88" s="2446">
        <v>280</v>
      </c>
      <c r="AE88" s="2446">
        <v>0</v>
      </c>
      <c r="AF88" s="2446">
        <v>278.25</v>
      </c>
      <c r="AG88" s="2446">
        <f t="shared" si="64"/>
        <v>0</v>
      </c>
      <c r="AH88" s="2473">
        <f t="shared" si="61"/>
        <v>1.75</v>
      </c>
      <c r="AI88" s="2517"/>
      <c r="AM88" s="2577"/>
      <c r="AN88" s="2577">
        <v>952844</v>
      </c>
      <c r="AO88" s="2577" t="s">
        <v>405</v>
      </c>
      <c r="AP88" s="2578"/>
      <c r="AQ88" s="2577"/>
      <c r="AR88" s="2577"/>
      <c r="AS88" s="3293">
        <v>7.1840000000000002</v>
      </c>
      <c r="AT88" s="3293">
        <v>209.959</v>
      </c>
      <c r="AU88" s="2577"/>
      <c r="AV88" s="2577"/>
      <c r="AW88" s="2570"/>
    </row>
    <row r="89" spans="1:51">
      <c r="A89" s="2524"/>
      <c r="B89" s="2524"/>
      <c r="C89" s="2524"/>
      <c r="D89" s="2524"/>
      <c r="E89" s="2524"/>
      <c r="F89" s="2524"/>
      <c r="G89" s="2524"/>
      <c r="H89" s="2524"/>
      <c r="I89" s="2524"/>
      <c r="J89" s="2524"/>
      <c r="K89" s="2524"/>
      <c r="Y89" s="2446"/>
      <c r="Z89" s="2446">
        <v>953746</v>
      </c>
      <c r="AA89" s="2447" t="s">
        <v>286</v>
      </c>
      <c r="AB89" s="2448"/>
      <c r="AC89" s="2446">
        <v>0</v>
      </c>
      <c r="AD89" s="2446">
        <v>280</v>
      </c>
      <c r="AE89" s="2446">
        <v>0</v>
      </c>
      <c r="AF89" s="2446">
        <v>280</v>
      </c>
      <c r="AG89" s="2446">
        <f t="shared" si="64"/>
        <v>0</v>
      </c>
      <c r="AH89" s="2473">
        <f t="shared" si="61"/>
        <v>0</v>
      </c>
      <c r="AI89" s="2517"/>
      <c r="AM89" s="2577"/>
      <c r="AN89" s="2577">
        <v>957816</v>
      </c>
      <c r="AO89" s="2577" t="s">
        <v>1084</v>
      </c>
      <c r="AP89" s="2578"/>
      <c r="AQ89" s="2577"/>
      <c r="AR89" s="2577"/>
      <c r="AS89" s="3293">
        <v>14.97</v>
      </c>
      <c r="AT89" s="3293">
        <v>133.90700000000001</v>
      </c>
      <c r="AU89" s="2577"/>
      <c r="AV89" s="2577"/>
      <c r="AW89" s="2570"/>
    </row>
    <row r="90" spans="1:51" ht="30">
      <c r="A90" s="2547" t="s">
        <v>1228</v>
      </c>
      <c r="B90" s="2530"/>
      <c r="C90" s="2530"/>
      <c r="D90" s="2530"/>
      <c r="E90" s="2530"/>
      <c r="F90" s="2530"/>
      <c r="G90" s="2530"/>
      <c r="H90" s="2530"/>
      <c r="I90" s="2530"/>
      <c r="J90" s="2530"/>
      <c r="K90" s="2531"/>
      <c r="M90" s="2586" t="s">
        <v>1142</v>
      </c>
      <c r="N90" s="2586"/>
      <c r="O90" s="2586"/>
      <c r="P90" s="2586"/>
      <c r="Q90" s="2586"/>
      <c r="R90" s="2587"/>
      <c r="S90" s="2586"/>
      <c r="T90" s="2586"/>
      <c r="U90" s="2586"/>
      <c r="V90" s="2586"/>
      <c r="W90" s="2588"/>
      <c r="Y90" s="2446"/>
      <c r="Z90" s="2446">
        <v>956926</v>
      </c>
      <c r="AA90" s="2447" t="s">
        <v>464</v>
      </c>
      <c r="AB90" s="2448"/>
      <c r="AC90" s="2446">
        <v>0</v>
      </c>
      <c r="AD90" s="2446">
        <v>280</v>
      </c>
      <c r="AE90" s="2446">
        <v>0</v>
      </c>
      <c r="AF90" s="2446">
        <v>280</v>
      </c>
      <c r="AG90" s="2446">
        <f t="shared" si="64"/>
        <v>0</v>
      </c>
      <c r="AH90" s="2473">
        <f t="shared" si="61"/>
        <v>0</v>
      </c>
      <c r="AI90" s="2517"/>
      <c r="AM90" s="2577"/>
      <c r="AN90" s="2577"/>
      <c r="AO90" s="2577"/>
      <c r="AP90" s="2578"/>
      <c r="AQ90" s="2577"/>
      <c r="AR90" s="2577"/>
      <c r="AS90" s="3293"/>
      <c r="AT90" s="3293"/>
      <c r="AU90" s="2577"/>
      <c r="AV90" s="2577"/>
      <c r="AW90" s="2570"/>
    </row>
    <row r="91" spans="1:51" ht="30.6" thickBot="1">
      <c r="A91" s="2532" t="s">
        <v>1232</v>
      </c>
      <c r="B91" s="2530"/>
      <c r="C91" s="2530"/>
      <c r="D91" s="2530"/>
      <c r="E91" s="2530"/>
      <c r="F91" s="2533" t="s">
        <v>1227</v>
      </c>
      <c r="G91" s="2530"/>
      <c r="H91" s="2530"/>
      <c r="I91" s="2530"/>
      <c r="J91" s="2530"/>
      <c r="K91" s="2531"/>
      <c r="M91" s="2586" t="s">
        <v>1143</v>
      </c>
      <c r="N91" s="2588"/>
      <c r="O91" s="2588"/>
      <c r="P91" s="2588"/>
      <c r="Q91" s="2589"/>
      <c r="R91" s="2587" t="s">
        <v>943</v>
      </c>
      <c r="S91" s="2588"/>
      <c r="T91" s="2588"/>
      <c r="U91" s="2588"/>
      <c r="V91" s="2588"/>
      <c r="W91" s="2588"/>
      <c r="Y91" s="2446"/>
      <c r="Z91" s="2446">
        <v>957377</v>
      </c>
      <c r="AA91" s="2447" t="s">
        <v>952</v>
      </c>
      <c r="AB91" s="2448"/>
      <c r="AC91" s="2446">
        <v>0</v>
      </c>
      <c r="AD91" s="2446">
        <v>280</v>
      </c>
      <c r="AE91" s="2446">
        <v>0</v>
      </c>
      <c r="AF91" s="2446">
        <v>280</v>
      </c>
      <c r="AG91" s="2446">
        <f t="shared" si="64"/>
        <v>0</v>
      </c>
      <c r="AH91" s="2473">
        <f t="shared" si="61"/>
        <v>0</v>
      </c>
      <c r="AI91" s="2517"/>
      <c r="AM91" s="2579"/>
      <c r="AN91" s="2579"/>
      <c r="AO91" s="2579"/>
      <c r="AP91" s="3372"/>
      <c r="AQ91" s="2581"/>
      <c r="AR91" s="2581">
        <v>800.26300000000003</v>
      </c>
      <c r="AS91" s="2581"/>
      <c r="AT91" s="2581"/>
      <c r="AU91" s="2581"/>
      <c r="AV91" s="2581"/>
      <c r="AW91" s="2570"/>
    </row>
    <row r="92" spans="1:51" ht="30.6" thickBot="1">
      <c r="A92" s="2531"/>
      <c r="B92" s="2531"/>
      <c r="C92" s="2531"/>
      <c r="D92" s="2531"/>
      <c r="E92" s="2531"/>
      <c r="F92" s="2531"/>
      <c r="G92" s="2531"/>
      <c r="H92" s="2531"/>
      <c r="I92" s="2531"/>
      <c r="J92" s="2531"/>
      <c r="K92" s="2531"/>
      <c r="M92" s="2590"/>
      <c r="N92" s="2589"/>
      <c r="O92" s="2589"/>
      <c r="P92" s="2589"/>
      <c r="Q92" s="4076" t="s">
        <v>152</v>
      </c>
      <c r="R92" s="4077"/>
      <c r="S92" s="4076" t="s">
        <v>153</v>
      </c>
      <c r="T92" s="4077"/>
      <c r="U92" s="2591" t="s">
        <v>154</v>
      </c>
      <c r="V92" s="2592"/>
      <c r="W92" s="2593" t="s">
        <v>132</v>
      </c>
      <c r="Y92" s="2446"/>
      <c r="Z92" s="2446">
        <v>11718</v>
      </c>
      <c r="AA92" s="2447" t="s">
        <v>953</v>
      </c>
      <c r="AB92" s="2448"/>
      <c r="AC92" s="2446">
        <v>0</v>
      </c>
      <c r="AD92" s="2446">
        <v>280</v>
      </c>
      <c r="AE92" s="2446">
        <v>0</v>
      </c>
      <c r="AF92" s="2446">
        <v>280</v>
      </c>
      <c r="AG92" s="2446">
        <f t="shared" si="64"/>
        <v>0</v>
      </c>
      <c r="AH92" s="2473">
        <f t="shared" si="61"/>
        <v>0</v>
      </c>
      <c r="AI92" s="2517"/>
      <c r="AM92" s="2568"/>
      <c r="AN92" s="2568"/>
      <c r="AO92" s="2568"/>
      <c r="AP92" s="2568"/>
      <c r="AQ92" s="2664">
        <f t="shared" ref="AQ92:AU92" si="65">SUM(AQ83:AQ91)</f>
        <v>0</v>
      </c>
      <c r="AR92" s="2665">
        <f t="shared" si="65"/>
        <v>800.26300000000003</v>
      </c>
      <c r="AS92" s="2664">
        <f t="shared" si="65"/>
        <v>56.625999999999998</v>
      </c>
      <c r="AT92" s="2664">
        <f t="shared" si="65"/>
        <v>785.09500000000003</v>
      </c>
      <c r="AU92" s="2664">
        <f t="shared" si="65"/>
        <v>0</v>
      </c>
      <c r="AV92" s="2664">
        <f>+AR92-AT92</f>
        <v>15.168000000000006</v>
      </c>
      <c r="AW92" s="2570"/>
    </row>
    <row r="93" spans="1:51" ht="30">
      <c r="A93" s="2534"/>
      <c r="B93" s="2535"/>
      <c r="C93" s="2535"/>
      <c r="D93" s="2535"/>
      <c r="E93" s="4078" t="s">
        <v>152</v>
      </c>
      <c r="F93" s="4079"/>
      <c r="G93" s="4078" t="s">
        <v>153</v>
      </c>
      <c r="H93" s="4079"/>
      <c r="I93" s="2536" t="s">
        <v>154</v>
      </c>
      <c r="J93" s="2537"/>
      <c r="K93" s="2531"/>
      <c r="M93" s="2594" t="s">
        <v>223</v>
      </c>
      <c r="N93" s="2594" t="s">
        <v>224</v>
      </c>
      <c r="O93" s="2594" t="s">
        <v>225</v>
      </c>
      <c r="P93" s="2594" t="s">
        <v>157</v>
      </c>
      <c r="Q93" s="2594" t="s">
        <v>944</v>
      </c>
      <c r="R93" s="2594" t="s">
        <v>945</v>
      </c>
      <c r="S93" s="2594" t="s">
        <v>946</v>
      </c>
      <c r="T93" s="2594" t="s">
        <v>947</v>
      </c>
      <c r="U93" s="2594" t="s">
        <v>948</v>
      </c>
      <c r="V93" s="2594" t="s">
        <v>949</v>
      </c>
      <c r="W93" s="2588"/>
      <c r="Y93" s="2446"/>
      <c r="Z93" s="2446">
        <v>957495</v>
      </c>
      <c r="AA93" s="2447" t="s">
        <v>487</v>
      </c>
      <c r="AB93" s="2448"/>
      <c r="AC93" s="2446">
        <v>0</v>
      </c>
      <c r="AD93" s="2446">
        <v>280</v>
      </c>
      <c r="AE93" s="2446">
        <v>0</v>
      </c>
      <c r="AF93" s="2446">
        <v>280.00000000000006</v>
      </c>
      <c r="AG93" s="2446">
        <f t="shared" si="64"/>
        <v>0</v>
      </c>
      <c r="AH93" s="2473">
        <f t="shared" si="61"/>
        <v>-5.6843418860808015E-14</v>
      </c>
      <c r="AI93" s="2517"/>
      <c r="AM93" s="3474"/>
      <c r="AN93" s="3474"/>
      <c r="AO93" s="3474"/>
      <c r="AP93" s="3474"/>
      <c r="AQ93" s="3475"/>
      <c r="AR93" s="3476"/>
      <c r="AS93" s="3475"/>
      <c r="AT93" s="3475"/>
      <c r="AU93" s="3475"/>
      <c r="AV93" s="3475"/>
      <c r="AW93" s="3477"/>
      <c r="AX93" s="3451"/>
      <c r="AY93" s="3450"/>
    </row>
    <row r="94" spans="1:51" ht="30">
      <c r="A94" s="2538" t="s">
        <v>957</v>
      </c>
      <c r="B94" s="2538" t="s">
        <v>224</v>
      </c>
      <c r="C94" s="2538" t="s">
        <v>225</v>
      </c>
      <c r="D94" s="2538" t="s">
        <v>157</v>
      </c>
      <c r="E94" s="2538" t="s">
        <v>944</v>
      </c>
      <c r="F94" s="2538" t="s">
        <v>945</v>
      </c>
      <c r="G94" s="2538" t="s">
        <v>946</v>
      </c>
      <c r="H94" s="2538" t="s">
        <v>947</v>
      </c>
      <c r="I94" s="2539" t="s">
        <v>948</v>
      </c>
      <c r="J94" s="2539" t="s">
        <v>949</v>
      </c>
      <c r="K94" s="2531"/>
      <c r="M94" s="2595"/>
      <c r="N94" s="2595">
        <v>925404</v>
      </c>
      <c r="O94" s="2595" t="s">
        <v>264</v>
      </c>
      <c r="P94" s="2596"/>
      <c r="Q94" s="2595">
        <v>25.64</v>
      </c>
      <c r="R94" s="2595">
        <v>371.36</v>
      </c>
      <c r="S94" s="2595">
        <v>0</v>
      </c>
      <c r="T94" s="2595">
        <v>370.40400000000005</v>
      </c>
      <c r="U94" s="2595">
        <f t="shared" ref="U94:V94" si="66">(Q94-S94)</f>
        <v>25.64</v>
      </c>
      <c r="V94" s="2595">
        <f t="shared" si="66"/>
        <v>0.95599999999996044</v>
      </c>
      <c r="W94" s="2588"/>
      <c r="Y94" s="2446"/>
      <c r="Z94" s="2446">
        <v>925451</v>
      </c>
      <c r="AA94" s="2447" t="s">
        <v>284</v>
      </c>
      <c r="AB94" s="2448"/>
      <c r="AC94" s="2446">
        <v>0</v>
      </c>
      <c r="AD94" s="2446">
        <v>570</v>
      </c>
      <c r="AE94" s="2446">
        <v>0</v>
      </c>
      <c r="AF94" s="2446">
        <v>568.053</v>
      </c>
      <c r="AG94" s="2446">
        <f t="shared" si="64"/>
        <v>0</v>
      </c>
      <c r="AH94" s="2473">
        <f t="shared" si="61"/>
        <v>1.9470000000000027</v>
      </c>
      <c r="AI94" s="2517"/>
      <c r="AM94" s="3474"/>
      <c r="AN94" s="3474"/>
      <c r="AO94" s="3474"/>
      <c r="AP94" s="3474"/>
      <c r="AQ94" s="3475"/>
      <c r="AR94" s="3476"/>
      <c r="AS94" s="3475"/>
      <c r="AT94" s="3475"/>
      <c r="AU94" s="3475"/>
      <c r="AV94" s="3475"/>
      <c r="AW94" s="3477"/>
      <c r="AX94" s="3451"/>
      <c r="AY94" s="3450"/>
    </row>
    <row r="95" spans="1:51" ht="30">
      <c r="A95" s="2542"/>
      <c r="B95" s="2541">
        <v>959987</v>
      </c>
      <c r="C95" s="2542" t="s">
        <v>1233</v>
      </c>
      <c r="D95" s="2543"/>
      <c r="E95" s="2542">
        <v>18.600000000000001</v>
      </c>
      <c r="F95" s="2541">
        <v>251.11</v>
      </c>
      <c r="G95" s="2541">
        <v>6.19</v>
      </c>
      <c r="H95" s="2541">
        <v>263.52</v>
      </c>
      <c r="I95" s="2541">
        <f>(E95-G95)</f>
        <v>12.41</v>
      </c>
      <c r="J95" s="2541">
        <f t="shared" ref="J95" si="67">(F95-H95)</f>
        <v>-12.409999999999968</v>
      </c>
      <c r="K95" s="2531"/>
      <c r="M95" s="2595"/>
      <c r="N95" s="2595"/>
      <c r="O95" s="2595"/>
      <c r="P95" s="2596"/>
      <c r="Q95" s="2595"/>
      <c r="R95" s="2595"/>
      <c r="S95" s="2595"/>
      <c r="T95" s="2595"/>
      <c r="U95" s="2595"/>
      <c r="V95" s="2595"/>
      <c r="W95" s="2588"/>
      <c r="Y95" s="2446"/>
      <c r="Z95" s="2446">
        <v>916067</v>
      </c>
      <c r="AA95" s="2447" t="s">
        <v>461</v>
      </c>
      <c r="AB95" s="2448"/>
      <c r="AC95" s="2446">
        <v>0</v>
      </c>
      <c r="AD95" s="2446">
        <v>280</v>
      </c>
      <c r="AE95" s="2446">
        <v>0</v>
      </c>
      <c r="AF95" s="2446">
        <v>266.40800000000002</v>
      </c>
      <c r="AG95" s="2446">
        <f t="shared" si="64"/>
        <v>0</v>
      </c>
      <c r="AH95" s="2473">
        <f t="shared" si="61"/>
        <v>13.591999999999985</v>
      </c>
      <c r="AI95" s="2517"/>
      <c r="AM95" s="2568" t="s">
        <v>1552</v>
      </c>
      <c r="AN95" s="2568"/>
      <c r="AO95" s="2568"/>
      <c r="AP95" s="2568"/>
      <c r="AQ95" s="2568"/>
      <c r="AR95" s="2569"/>
      <c r="AS95" s="2568"/>
      <c r="AT95" s="2568"/>
      <c r="AU95" s="2568"/>
      <c r="AV95" s="2568"/>
      <c r="AW95" s="2570"/>
      <c r="AX95" s="3451"/>
      <c r="AY95" s="3450"/>
    </row>
    <row r="96" spans="1:51" ht="30.6" thickBot="1">
      <c r="A96" s="2542"/>
      <c r="B96" s="2541"/>
      <c r="C96" s="2542"/>
      <c r="D96" s="2543"/>
      <c r="E96" s="2542">
        <f t="shared" ref="E96:J96" si="68">SUM(E95:E95)</f>
        <v>18.600000000000001</v>
      </c>
      <c r="F96" s="2541">
        <f t="shared" si="68"/>
        <v>251.11</v>
      </c>
      <c r="G96" s="2542">
        <f t="shared" si="68"/>
        <v>6.19</v>
      </c>
      <c r="H96" s="2549">
        <f t="shared" si="68"/>
        <v>263.52</v>
      </c>
      <c r="I96" s="2542">
        <f t="shared" si="68"/>
        <v>12.41</v>
      </c>
      <c r="J96" s="2541">
        <f t="shared" si="68"/>
        <v>-12.409999999999968</v>
      </c>
      <c r="K96" s="2531"/>
      <c r="M96" s="2595"/>
      <c r="N96" s="2595"/>
      <c r="O96" s="2595"/>
      <c r="P96" s="2596"/>
      <c r="Q96" s="2595"/>
      <c r="R96" s="2595"/>
      <c r="S96" s="2595"/>
      <c r="T96" s="2595"/>
      <c r="U96" s="2595"/>
      <c r="V96" s="2595">
        <f t="shared" ref="V96" si="69">(R96-T96)</f>
        <v>0</v>
      </c>
      <c r="W96" s="2588"/>
      <c r="Y96" s="2446"/>
      <c r="Z96" s="2446">
        <v>925404</v>
      </c>
      <c r="AA96" s="2447" t="s">
        <v>462</v>
      </c>
      <c r="AB96" s="2448"/>
      <c r="AC96" s="2446">
        <v>0</v>
      </c>
      <c r="AD96" s="2446">
        <v>280</v>
      </c>
      <c r="AE96" s="2446">
        <v>0</v>
      </c>
      <c r="AF96" s="2446">
        <v>279.13600000000002</v>
      </c>
      <c r="AG96" s="2446">
        <f t="shared" si="64"/>
        <v>0</v>
      </c>
      <c r="AH96" s="2473">
        <f t="shared" si="61"/>
        <v>0.8639999999999759</v>
      </c>
      <c r="AI96" s="2517"/>
      <c r="AM96" s="2568" t="s">
        <v>1555</v>
      </c>
      <c r="AN96" s="2570"/>
      <c r="AO96" s="2570"/>
      <c r="AP96" s="2570"/>
      <c r="AQ96" s="2569" t="s">
        <v>1554</v>
      </c>
      <c r="AR96" s="2570"/>
      <c r="AS96" s="2570"/>
      <c r="AT96" s="2570"/>
      <c r="AU96" s="2570"/>
      <c r="AV96" s="2570"/>
      <c r="AW96" s="2570"/>
      <c r="AX96" s="3451"/>
      <c r="AY96" s="3450"/>
    </row>
    <row r="97" spans="1:51" ht="14.4">
      <c r="A97" s="2524"/>
      <c r="B97" s="2524"/>
      <c r="C97" s="2524"/>
      <c r="D97" s="2524"/>
      <c r="E97" s="2524"/>
      <c r="F97" s="2524"/>
      <c r="G97" s="2524"/>
      <c r="H97" s="2524"/>
      <c r="I97" s="2524"/>
      <c r="J97" s="2524"/>
      <c r="K97" s="2524"/>
      <c r="M97" s="2597"/>
      <c r="N97" s="2597"/>
      <c r="O97" s="2597"/>
      <c r="P97" s="2598"/>
      <c r="Q97" s="2599">
        <f t="shared" ref="Q97:V97" si="70">SUM(Q94:Q96)</f>
        <v>25.64</v>
      </c>
      <c r="R97" s="2599">
        <f t="shared" si="70"/>
        <v>371.36</v>
      </c>
      <c r="S97" s="2599">
        <f t="shared" si="70"/>
        <v>0</v>
      </c>
      <c r="T97" s="2599">
        <f t="shared" si="70"/>
        <v>370.40400000000005</v>
      </c>
      <c r="U97" s="2599">
        <f t="shared" si="70"/>
        <v>25.64</v>
      </c>
      <c r="V97" s="2599">
        <f t="shared" si="70"/>
        <v>0.95599999999996044</v>
      </c>
      <c r="W97" s="2588"/>
      <c r="Y97" s="2446"/>
      <c r="Z97" s="2446">
        <v>951206</v>
      </c>
      <c r="AA97" s="2447" t="s">
        <v>463</v>
      </c>
      <c r="AB97" s="2448"/>
      <c r="AC97" s="2446">
        <v>0</v>
      </c>
      <c r="AD97" s="2446">
        <v>280</v>
      </c>
      <c r="AE97" s="2446">
        <v>0</v>
      </c>
      <c r="AF97" s="2446">
        <v>280</v>
      </c>
      <c r="AG97" s="2446">
        <f t="shared" si="64"/>
        <v>0</v>
      </c>
      <c r="AH97" s="2473">
        <f t="shared" si="61"/>
        <v>0</v>
      </c>
      <c r="AI97" s="2517"/>
      <c r="AM97" s="2571"/>
      <c r="AN97" s="2572"/>
      <c r="AO97" s="2572"/>
      <c r="AP97" s="2572"/>
      <c r="AQ97" s="4048" t="s">
        <v>152</v>
      </c>
      <c r="AR97" s="4049"/>
      <c r="AS97" s="4048" t="s">
        <v>153</v>
      </c>
      <c r="AT97" s="4049"/>
      <c r="AU97" s="3452" t="s">
        <v>154</v>
      </c>
      <c r="AV97" s="3453"/>
      <c r="AW97" s="2575" t="s">
        <v>132</v>
      </c>
      <c r="AX97" s="3451"/>
      <c r="AY97" s="3450"/>
    </row>
    <row r="98" spans="1:51" ht="28.8">
      <c r="A98" s="2524"/>
      <c r="B98" s="2524"/>
      <c r="C98" s="2524"/>
      <c r="D98" s="2524"/>
      <c r="E98" s="2524"/>
      <c r="F98" s="2524"/>
      <c r="G98" s="2524"/>
      <c r="H98" s="2524"/>
      <c r="I98" s="2524"/>
      <c r="J98" s="2524"/>
      <c r="K98" s="2524"/>
      <c r="Y98" s="2446"/>
      <c r="Z98" s="2446">
        <v>11972</v>
      </c>
      <c r="AA98" s="2447" t="s">
        <v>954</v>
      </c>
      <c r="AB98" s="2448"/>
      <c r="AC98" s="2446">
        <v>0</v>
      </c>
      <c r="AD98" s="2446">
        <v>280</v>
      </c>
      <c r="AE98" s="2446">
        <v>0</v>
      </c>
      <c r="AF98" s="2446">
        <v>275.03200000000004</v>
      </c>
      <c r="AG98" s="2446">
        <f t="shared" si="64"/>
        <v>0</v>
      </c>
      <c r="AH98" s="2473">
        <f t="shared" si="61"/>
        <v>4.9679999999999609</v>
      </c>
      <c r="AI98" s="2517"/>
      <c r="AM98" s="2576" t="s">
        <v>223</v>
      </c>
      <c r="AN98" s="2576" t="s">
        <v>224</v>
      </c>
      <c r="AO98" s="2576" t="s">
        <v>225</v>
      </c>
      <c r="AP98" s="2576" t="s">
        <v>157</v>
      </c>
      <c r="AQ98" s="2576" t="s">
        <v>944</v>
      </c>
      <c r="AR98" s="2576" t="s">
        <v>945</v>
      </c>
      <c r="AS98" s="2576" t="s">
        <v>946</v>
      </c>
      <c r="AT98" s="2576" t="s">
        <v>947</v>
      </c>
      <c r="AU98" s="2576" t="s">
        <v>948</v>
      </c>
      <c r="AV98" s="2576" t="s">
        <v>949</v>
      </c>
      <c r="AW98" s="2570"/>
      <c r="AX98" s="3451"/>
      <c r="AY98" s="3450"/>
    </row>
    <row r="99" spans="1:51">
      <c r="A99" s="2524"/>
      <c r="B99" s="2524"/>
      <c r="C99" s="2524"/>
      <c r="D99" s="2524"/>
      <c r="E99" s="2524"/>
      <c r="F99" s="2524"/>
      <c r="G99" s="2524"/>
      <c r="H99" s="2524"/>
      <c r="I99" s="2524"/>
      <c r="J99" s="2524"/>
      <c r="K99" s="2524"/>
      <c r="Y99" s="2446"/>
      <c r="Z99" s="2446">
        <v>956970</v>
      </c>
      <c r="AA99" s="2447" t="s">
        <v>288</v>
      </c>
      <c r="AB99" s="2448"/>
      <c r="AC99" s="2446">
        <v>0</v>
      </c>
      <c r="AD99" s="2446">
        <v>280</v>
      </c>
      <c r="AE99" s="2446">
        <v>0</v>
      </c>
      <c r="AF99" s="2446">
        <v>266.43</v>
      </c>
      <c r="AG99" s="2446">
        <f t="shared" si="64"/>
        <v>0</v>
      </c>
      <c r="AH99" s="2473">
        <f t="shared" si="61"/>
        <v>13.569999999999993</v>
      </c>
      <c r="AI99" s="2517"/>
      <c r="AM99" s="2577"/>
      <c r="AN99" s="2577">
        <v>952407</v>
      </c>
      <c r="AO99" s="2577" t="s">
        <v>176</v>
      </c>
      <c r="AP99" s="2578"/>
      <c r="AQ99" s="2577"/>
      <c r="AR99" s="2577">
        <v>141.41999999999999</v>
      </c>
      <c r="AS99" s="2577">
        <v>2.1549999999999998</v>
      </c>
      <c r="AT99" s="2577">
        <v>139.26499999999999</v>
      </c>
      <c r="AU99" s="2577">
        <f>(AQ99-AS99)</f>
        <v>-2.1549999999999998</v>
      </c>
      <c r="AV99" s="2577">
        <f t="shared" ref="AV99" si="71">(AR99-AT99)</f>
        <v>2.1550000000000011</v>
      </c>
      <c r="AW99" s="2570"/>
      <c r="AX99" s="3451"/>
      <c r="AY99" s="3450"/>
    </row>
    <row r="100" spans="1:51" ht="30">
      <c r="A100" s="2547" t="s">
        <v>1277</v>
      </c>
      <c r="B100" s="2530"/>
      <c r="C100" s="2530"/>
      <c r="D100" s="2530"/>
      <c r="E100" s="2530"/>
      <c r="F100" s="2530"/>
      <c r="G100" s="2530"/>
      <c r="H100" s="2530"/>
      <c r="I100" s="2530"/>
      <c r="J100" s="2530"/>
      <c r="K100" s="2531"/>
      <c r="Y100" s="2446"/>
      <c r="Z100" s="2446">
        <v>954796</v>
      </c>
      <c r="AA100" s="1985" t="s">
        <v>473</v>
      </c>
      <c r="AB100" s="2448"/>
      <c r="AC100" s="2446">
        <v>20</v>
      </c>
      <c r="AD100" s="2446">
        <v>210</v>
      </c>
      <c r="AE100" s="2446">
        <v>0</v>
      </c>
      <c r="AF100" s="2446">
        <v>208.80900000000003</v>
      </c>
      <c r="AG100" s="2446">
        <f t="shared" si="64"/>
        <v>20</v>
      </c>
      <c r="AH100" s="2473">
        <f t="shared" si="61"/>
        <v>1.1909999999999741</v>
      </c>
      <c r="AI100" s="2517"/>
      <c r="AM100" s="2577"/>
      <c r="AN100" s="2577"/>
      <c r="AO100" s="2577"/>
      <c r="AP100" s="2578"/>
      <c r="AQ100" s="2577"/>
      <c r="AR100" s="2577"/>
      <c r="AS100" s="2577"/>
      <c r="AT100" s="2577"/>
      <c r="AU100" s="2577"/>
      <c r="AV100" s="2577"/>
      <c r="AW100" s="2570"/>
      <c r="AX100" s="3451"/>
      <c r="AY100" s="3450"/>
    </row>
    <row r="101" spans="1:51" ht="30">
      <c r="A101" s="2532" t="s">
        <v>1278</v>
      </c>
      <c r="B101" s="2530"/>
      <c r="C101" s="2530"/>
      <c r="D101" s="2530"/>
      <c r="E101" s="2530"/>
      <c r="F101" s="2533" t="s">
        <v>943</v>
      </c>
      <c r="G101" s="2530"/>
      <c r="H101" s="2530"/>
      <c r="I101" s="2530"/>
      <c r="J101" s="2530"/>
      <c r="K101" s="2531"/>
      <c r="M101" s="2586" t="s">
        <v>1142</v>
      </c>
      <c r="N101" s="2586"/>
      <c r="O101" s="2586"/>
      <c r="P101" s="2586"/>
      <c r="Q101" s="2586"/>
      <c r="R101" s="2587"/>
      <c r="S101" s="2586"/>
      <c r="T101" s="2586"/>
      <c r="U101" s="2586"/>
      <c r="V101" s="2586"/>
      <c r="W101" s="2588"/>
      <c r="Y101" s="2449"/>
      <c r="Z101" s="2449"/>
      <c r="AA101" s="2449"/>
      <c r="AB101" s="2450"/>
      <c r="AC101" s="2451">
        <f t="shared" ref="AC101:AD101" si="72">SUM(AC85:AC100)</f>
        <v>20</v>
      </c>
      <c r="AD101" s="2451">
        <f t="shared" si="72"/>
        <v>4700</v>
      </c>
      <c r="AE101" s="2451">
        <f>SUM(AE85:AE100)</f>
        <v>0</v>
      </c>
      <c r="AF101" s="2451">
        <f>SUM(AF85:AF100)</f>
        <v>4661.2060000000001</v>
      </c>
      <c r="AG101" s="2451">
        <f>SUM(AG85:AG100)</f>
        <v>20</v>
      </c>
      <c r="AH101" s="2525">
        <f>SUM(AH85:AH100)</f>
        <v>38.793999999999812</v>
      </c>
      <c r="AI101" s="2517"/>
      <c r="AM101" s="2579"/>
      <c r="AN101" s="2579"/>
      <c r="AO101" s="2579"/>
      <c r="AP101" s="3454"/>
      <c r="AQ101" s="2581"/>
      <c r="AR101" s="2581"/>
      <c r="AS101" s="2581"/>
      <c r="AT101" s="2581"/>
      <c r="AU101" s="2581"/>
      <c r="AV101" s="2581"/>
      <c r="AW101" s="2570"/>
      <c r="AX101" s="3451"/>
      <c r="AY101" s="3450"/>
    </row>
    <row r="102" spans="1:51" ht="30.6" thickBot="1">
      <c r="A102" s="2531"/>
      <c r="B102" s="2531"/>
      <c r="C102" s="2531"/>
      <c r="D102" s="2531"/>
      <c r="E102" s="2531"/>
      <c r="F102" s="2531"/>
      <c r="G102" s="2531"/>
      <c r="H102" s="2531"/>
      <c r="I102" s="2531"/>
      <c r="J102" s="2531"/>
      <c r="K102" s="2531"/>
      <c r="M102" s="2586" t="s">
        <v>1144</v>
      </c>
      <c r="N102" s="2588"/>
      <c r="O102" s="2588"/>
      <c r="P102" s="2588"/>
      <c r="Q102" s="2589"/>
      <c r="R102" s="2587" t="s">
        <v>943</v>
      </c>
      <c r="S102" s="2588"/>
      <c r="T102" s="2588"/>
      <c r="U102" s="2588"/>
      <c r="V102" s="2588"/>
      <c r="W102" s="2588"/>
      <c r="AM102" s="2568"/>
      <c r="AN102" s="2568"/>
      <c r="AO102" s="2568"/>
      <c r="AP102" s="2568"/>
      <c r="AQ102" s="2664">
        <f t="shared" ref="AQ102:AV102" si="73">SUM(AQ99:AQ101)</f>
        <v>0</v>
      </c>
      <c r="AR102" s="2665">
        <f t="shared" si="73"/>
        <v>141.41999999999999</v>
      </c>
      <c r="AS102" s="2664">
        <f t="shared" si="73"/>
        <v>2.1549999999999998</v>
      </c>
      <c r="AT102" s="2664">
        <f t="shared" si="73"/>
        <v>139.26499999999999</v>
      </c>
      <c r="AU102" s="2664">
        <f t="shared" si="73"/>
        <v>-2.1549999999999998</v>
      </c>
      <c r="AV102" s="2664">
        <f t="shared" si="73"/>
        <v>2.1550000000000011</v>
      </c>
      <c r="AW102" s="2570"/>
      <c r="AX102" s="3451"/>
      <c r="AY102" s="3450"/>
    </row>
    <row r="103" spans="1:51" ht="14.4">
      <c r="A103" s="2534"/>
      <c r="B103" s="2535"/>
      <c r="C103" s="2535"/>
      <c r="D103" s="2535"/>
      <c r="E103" s="4078" t="s">
        <v>152</v>
      </c>
      <c r="F103" s="4079"/>
      <c r="G103" s="4078" t="s">
        <v>153</v>
      </c>
      <c r="H103" s="4079"/>
      <c r="I103" s="2660" t="s">
        <v>154</v>
      </c>
      <c r="J103" s="2661"/>
      <c r="K103" s="2531"/>
      <c r="M103" s="2590"/>
      <c r="N103" s="2589"/>
      <c r="O103" s="2589"/>
      <c r="P103" s="2589"/>
      <c r="Q103" s="4076" t="s">
        <v>152</v>
      </c>
      <c r="R103" s="4077"/>
      <c r="S103" s="4076" t="s">
        <v>153</v>
      </c>
      <c r="T103" s="4077"/>
      <c r="U103" s="2591" t="s">
        <v>154</v>
      </c>
      <c r="V103" s="2592"/>
      <c r="W103" s="2593" t="s">
        <v>132</v>
      </c>
    </row>
    <row r="104" spans="1:51" ht="30">
      <c r="A104" s="2538" t="s">
        <v>957</v>
      </c>
      <c r="B104" s="2538" t="s">
        <v>224</v>
      </c>
      <c r="C104" s="2538" t="s">
        <v>225</v>
      </c>
      <c r="D104" s="2538" t="s">
        <v>157</v>
      </c>
      <c r="E104" s="2538" t="s">
        <v>944</v>
      </c>
      <c r="F104" s="2538" t="s">
        <v>945</v>
      </c>
      <c r="G104" s="2538" t="s">
        <v>946</v>
      </c>
      <c r="H104" s="2538" t="s">
        <v>947</v>
      </c>
      <c r="I104" s="2539" t="s">
        <v>948</v>
      </c>
      <c r="J104" s="2539" t="s">
        <v>949</v>
      </c>
      <c r="K104" s="2531"/>
      <c r="M104" s="2594" t="s">
        <v>223</v>
      </c>
      <c r="N104" s="2594" t="s">
        <v>224</v>
      </c>
      <c r="O104" s="2594" t="s">
        <v>225</v>
      </c>
      <c r="P104" s="2594" t="s">
        <v>157</v>
      </c>
      <c r="Q104" s="2594" t="s">
        <v>944</v>
      </c>
      <c r="R104" s="2594" t="s">
        <v>945</v>
      </c>
      <c r="S104" s="2594" t="s">
        <v>946</v>
      </c>
      <c r="T104" s="2594" t="s">
        <v>947</v>
      </c>
      <c r="U104" s="2594" t="s">
        <v>948</v>
      </c>
      <c r="V104" s="2594" t="s">
        <v>949</v>
      </c>
      <c r="W104" s="2588"/>
      <c r="Y104" s="2453" t="s">
        <v>1056</v>
      </c>
      <c r="Z104" s="2453"/>
      <c r="AA104" s="2453"/>
      <c r="AB104" s="2453"/>
      <c r="AC104" s="2453"/>
      <c r="AD104" s="2453"/>
      <c r="AE104" s="2453"/>
      <c r="AF104" s="2453"/>
      <c r="AG104" s="2452"/>
      <c r="AH104" s="2452"/>
      <c r="AI104" s="2441"/>
    </row>
    <row r="105" spans="1:51" ht="30">
      <c r="A105" s="2542"/>
      <c r="B105" s="2542">
        <v>956244</v>
      </c>
      <c r="C105" s="2542" t="s">
        <v>253</v>
      </c>
      <c r="D105" s="2543"/>
      <c r="E105" s="2541">
        <v>40</v>
      </c>
      <c r="F105" s="2541">
        <v>310</v>
      </c>
      <c r="G105" s="2541">
        <v>23.808</v>
      </c>
      <c r="H105" s="2541">
        <v>325.32600000000002</v>
      </c>
      <c r="I105" s="2541">
        <f>(E105-G105)</f>
        <v>16.192</v>
      </c>
      <c r="J105" s="2541">
        <f t="shared" ref="J105" si="74">(F105-H105)</f>
        <v>-15.326000000000022</v>
      </c>
      <c r="K105" s="2531"/>
      <c r="M105" s="2595"/>
      <c r="N105" s="2595">
        <v>951254</v>
      </c>
      <c r="O105" s="2595" t="s">
        <v>285</v>
      </c>
      <c r="P105" s="2596"/>
      <c r="Q105" s="2595">
        <v>19.920000000000002</v>
      </c>
      <c r="R105" s="2595">
        <v>268.08</v>
      </c>
      <c r="S105" s="2595">
        <v>0</v>
      </c>
      <c r="T105" s="2595">
        <v>268.08</v>
      </c>
      <c r="U105" s="2595">
        <f>+Q105-S105</f>
        <v>19.920000000000002</v>
      </c>
      <c r="V105" s="2595">
        <f t="shared" ref="V105" si="75">(R105-T105)</f>
        <v>0</v>
      </c>
      <c r="W105" s="2588"/>
      <c r="Y105" s="2453" t="s">
        <v>1290</v>
      </c>
      <c r="Z105" s="2452"/>
      <c r="AA105" s="2452"/>
      <c r="AB105" s="2452"/>
      <c r="AC105" s="2452"/>
      <c r="AD105" s="2454" t="s">
        <v>943</v>
      </c>
      <c r="AE105" s="2452"/>
      <c r="AF105" s="2452"/>
      <c r="AG105" s="2452"/>
      <c r="AH105" s="2452"/>
      <c r="AI105" s="2441"/>
      <c r="AM105" s="2453" t="s">
        <v>1549</v>
      </c>
      <c r="AN105" s="2453"/>
      <c r="AO105" s="2453"/>
      <c r="AP105" s="2453"/>
      <c r="AQ105" s="2453"/>
      <c r="AR105" s="2453"/>
      <c r="AS105" s="2453"/>
      <c r="AT105" s="2453"/>
      <c r="AU105" s="2452"/>
      <c r="AV105" s="2452"/>
      <c r="AW105" s="2441"/>
      <c r="AX105" s="2441"/>
      <c r="AY105" s="2441"/>
    </row>
    <row r="106" spans="1:51" ht="30.6" thickBot="1">
      <c r="A106" s="2542"/>
      <c r="B106" s="2541"/>
      <c r="C106" s="2542"/>
      <c r="D106" s="2543"/>
      <c r="E106" s="2542"/>
      <c r="F106" s="2541"/>
      <c r="G106" s="2541"/>
      <c r="H106" s="2541"/>
      <c r="I106" s="2541"/>
      <c r="J106" s="2541"/>
      <c r="K106" s="2531"/>
      <c r="M106" s="2595"/>
      <c r="N106" s="2595"/>
      <c r="O106" s="2595"/>
      <c r="P106" s="2596"/>
      <c r="Q106" s="2595"/>
      <c r="R106" s="2595"/>
      <c r="S106" s="2595"/>
      <c r="T106" s="2595"/>
      <c r="U106" s="2595"/>
      <c r="V106" s="2595"/>
      <c r="W106" s="2588"/>
      <c r="Y106" s="2441"/>
      <c r="Z106" s="2441"/>
      <c r="AA106" s="2441"/>
      <c r="AB106" s="2441"/>
      <c r="AC106" s="2441"/>
      <c r="AD106" s="2441"/>
      <c r="AE106" s="2441"/>
      <c r="AF106" s="2441"/>
      <c r="AG106" s="2441"/>
      <c r="AH106" s="2441"/>
      <c r="AI106" s="2441"/>
      <c r="AM106" s="2453" t="s">
        <v>1550</v>
      </c>
      <c r="AN106" s="2452"/>
      <c r="AO106" s="2452"/>
      <c r="AP106" s="2452"/>
      <c r="AQ106" s="2452"/>
      <c r="AR106" s="2454" t="s">
        <v>1299</v>
      </c>
      <c r="AS106" s="2452"/>
      <c r="AT106" s="2452"/>
      <c r="AU106" s="2452"/>
      <c r="AV106" s="2452"/>
      <c r="AW106" s="2441"/>
      <c r="AX106" s="2441"/>
      <c r="AY106" s="2441"/>
    </row>
    <row r="107" spans="1:51" ht="15" thickBot="1">
      <c r="A107" s="2542"/>
      <c r="B107" s="2541"/>
      <c r="C107" s="2542"/>
      <c r="D107" s="2543"/>
      <c r="E107" s="2542">
        <f>SUM(E105:E106)</f>
        <v>40</v>
      </c>
      <c r="F107" s="2541">
        <f t="shared" ref="F107:H107" si="76">SUM(F105:F106)</f>
        <v>310</v>
      </c>
      <c r="G107" s="2542">
        <f t="shared" si="76"/>
        <v>23.808</v>
      </c>
      <c r="H107" s="2549">
        <f t="shared" si="76"/>
        <v>325.32600000000002</v>
      </c>
      <c r="I107" s="2542">
        <f>SUM(I105:I106)</f>
        <v>16.192</v>
      </c>
      <c r="J107" s="2541">
        <f>SUM(J105:J106)</f>
        <v>-15.326000000000022</v>
      </c>
      <c r="K107" s="2531"/>
      <c r="M107" s="2595"/>
      <c r="N107" s="2595"/>
      <c r="O107" s="2595"/>
      <c r="P107" s="2596"/>
      <c r="Q107" s="2595"/>
      <c r="R107" s="2595"/>
      <c r="S107" s="2595"/>
      <c r="T107" s="2595"/>
      <c r="U107" s="2595"/>
      <c r="V107" s="2595">
        <f t="shared" ref="V107" si="77">(R107-T107)</f>
        <v>0</v>
      </c>
      <c r="W107" s="2588"/>
      <c r="Y107" s="2442"/>
      <c r="Z107" s="2443"/>
      <c r="AA107" s="2443"/>
      <c r="AB107" s="2443"/>
      <c r="AC107" s="4066" t="s">
        <v>152</v>
      </c>
      <c r="AD107" s="4068"/>
      <c r="AE107" s="4066" t="s">
        <v>153</v>
      </c>
      <c r="AF107" s="4068"/>
      <c r="AG107" s="2666" t="s">
        <v>154</v>
      </c>
      <c r="AH107" s="2667"/>
      <c r="AI107" s="2441"/>
      <c r="AM107" s="2441"/>
      <c r="AN107" s="2441"/>
      <c r="AO107" s="2441"/>
      <c r="AP107" s="2441"/>
      <c r="AQ107" s="2441"/>
      <c r="AR107" s="2441"/>
      <c r="AS107" s="2441"/>
      <c r="AT107" s="2441"/>
      <c r="AU107" s="2441"/>
      <c r="AV107" s="2441"/>
      <c r="AW107" s="2441"/>
      <c r="AX107" s="2441"/>
      <c r="AY107" s="2441"/>
    </row>
    <row r="108" spans="1:51" ht="29.4" thickBot="1">
      <c r="A108" s="2524"/>
      <c r="B108" s="2524"/>
      <c r="C108" s="2524"/>
      <c r="D108" s="2524"/>
      <c r="E108" s="2524"/>
      <c r="F108" s="2524"/>
      <c r="G108" s="2524"/>
      <c r="H108" s="2524"/>
      <c r="I108" s="2524"/>
      <c r="J108" s="2524"/>
      <c r="K108" s="2524"/>
      <c r="M108" s="2597"/>
      <c r="N108" s="2597"/>
      <c r="O108" s="2597"/>
      <c r="P108" s="2598"/>
      <c r="Q108" s="2599">
        <f t="shared" ref="Q108:V108" si="78">SUM(Q105:Q107)</f>
        <v>19.920000000000002</v>
      </c>
      <c r="R108" s="2599">
        <f t="shared" si="78"/>
        <v>268.08</v>
      </c>
      <c r="S108" s="2599">
        <f t="shared" si="78"/>
        <v>0</v>
      </c>
      <c r="T108" s="2599">
        <f t="shared" si="78"/>
        <v>268.08</v>
      </c>
      <c r="U108" s="2599">
        <f t="shared" si="78"/>
        <v>19.920000000000002</v>
      </c>
      <c r="V108" s="2599">
        <f t="shared" si="78"/>
        <v>0</v>
      </c>
      <c r="W108" s="2588"/>
      <c r="Y108" s="3045" t="s">
        <v>223</v>
      </c>
      <c r="Z108" s="3045" t="s">
        <v>224</v>
      </c>
      <c r="AA108" s="3045" t="s">
        <v>225</v>
      </c>
      <c r="AB108" s="3045" t="s">
        <v>157</v>
      </c>
      <c r="AC108" s="3045" t="s">
        <v>944</v>
      </c>
      <c r="AD108" s="3045" t="s">
        <v>945</v>
      </c>
      <c r="AE108" s="3045" t="s">
        <v>946</v>
      </c>
      <c r="AF108" s="3045" t="s">
        <v>947</v>
      </c>
      <c r="AG108" s="3046" t="s">
        <v>948</v>
      </c>
      <c r="AH108" s="3046" t="s">
        <v>949</v>
      </c>
      <c r="AI108" s="2456" t="s">
        <v>132</v>
      </c>
      <c r="AM108" s="2442"/>
      <c r="AN108" s="2443"/>
      <c r="AO108" s="2443"/>
      <c r="AP108" s="2443"/>
      <c r="AQ108" s="4066" t="s">
        <v>152</v>
      </c>
      <c r="AR108" s="4067"/>
      <c r="AS108" s="4068"/>
      <c r="AT108" s="4066" t="s">
        <v>153</v>
      </c>
      <c r="AU108" s="4067"/>
      <c r="AV108" s="4068"/>
      <c r="AW108" s="3085" t="s">
        <v>154</v>
      </c>
      <c r="AX108" s="3086"/>
      <c r="AY108" s="3087"/>
    </row>
    <row r="109" spans="1:51" ht="14.4">
      <c r="A109" s="2657"/>
      <c r="B109" s="2657"/>
      <c r="C109" s="2657"/>
      <c r="D109" s="2657"/>
      <c r="E109" s="2657"/>
      <c r="F109" s="2657"/>
      <c r="G109" s="2657"/>
      <c r="H109" s="2657"/>
      <c r="I109" s="2657"/>
      <c r="J109" s="2657"/>
      <c r="K109" s="2657"/>
      <c r="Y109" s="3057"/>
      <c r="Z109" s="3052">
        <v>952311</v>
      </c>
      <c r="AA109" s="3058" t="s">
        <v>379</v>
      </c>
      <c r="AB109" s="3051"/>
      <c r="AC109" s="3052">
        <v>74.739999999999995</v>
      </c>
      <c r="AD109" s="3052">
        <v>925.26</v>
      </c>
      <c r="AE109" s="3516">
        <v>13.071999999999999</v>
      </c>
      <c r="AF109" s="3516">
        <v>536.64300000000003</v>
      </c>
      <c r="AG109" s="4061">
        <f>+AC109-AE109-AE110-AE111</f>
        <v>35.047999999999995</v>
      </c>
      <c r="AH109" s="4061">
        <f>+AD109-AF109-AF110-AF111</f>
        <v>-35.04800000000003</v>
      </c>
      <c r="AI109" s="2517"/>
      <c r="AM109" s="3088" t="s">
        <v>223</v>
      </c>
      <c r="AN109" s="3089" t="s">
        <v>224</v>
      </c>
      <c r="AO109" s="3089" t="s">
        <v>225</v>
      </c>
      <c r="AP109" s="3089" t="s">
        <v>157</v>
      </c>
      <c r="AQ109" s="3089" t="s">
        <v>1306</v>
      </c>
      <c r="AR109" s="3089" t="s">
        <v>1551</v>
      </c>
      <c r="AS109" s="3089" t="s">
        <v>1158</v>
      </c>
      <c r="AT109" s="3089" t="s">
        <v>1306</v>
      </c>
      <c r="AU109" s="3089" t="s">
        <v>1307</v>
      </c>
      <c r="AV109" s="3089" t="s">
        <v>5</v>
      </c>
      <c r="AW109" s="3089" t="s">
        <v>1306</v>
      </c>
      <c r="AX109" s="3089" t="s">
        <v>1307</v>
      </c>
      <c r="AY109" s="3089" t="s">
        <v>5</v>
      </c>
    </row>
    <row r="110" spans="1:51" ht="30">
      <c r="A110" s="2600" t="s">
        <v>1280</v>
      </c>
      <c r="B110" s="2586"/>
      <c r="C110" s="2586"/>
      <c r="D110" s="2586"/>
      <c r="E110" s="2586"/>
      <c r="F110" s="2586"/>
      <c r="G110" s="2586"/>
      <c r="H110" s="2586"/>
      <c r="I110" s="2586"/>
      <c r="J110" s="2586"/>
      <c r="K110" s="2588"/>
      <c r="Y110" s="3059"/>
      <c r="Z110" s="2446">
        <v>952296</v>
      </c>
      <c r="AA110" s="2447" t="s">
        <v>512</v>
      </c>
      <c r="AB110" s="2448"/>
      <c r="AC110" s="2446">
        <v>0</v>
      </c>
      <c r="AD110" s="2446">
        <v>0</v>
      </c>
      <c r="AE110" s="3141">
        <v>6.0590000000000002</v>
      </c>
      <c r="AF110" s="3141">
        <v>153.27099999999999</v>
      </c>
      <c r="AG110" s="4051"/>
      <c r="AH110" s="4051"/>
      <c r="AI110" s="2517"/>
      <c r="AM110" s="3059"/>
      <c r="AN110" s="2446"/>
      <c r="AO110" s="2447"/>
      <c r="AP110" s="2448"/>
      <c r="AQ110" s="4050">
        <v>4</v>
      </c>
      <c r="AR110" s="4050">
        <v>150</v>
      </c>
      <c r="AS110" s="4050">
        <v>16</v>
      </c>
      <c r="AT110" s="4050"/>
      <c r="AU110" s="4050">
        <v>0</v>
      </c>
      <c r="AV110" s="4050">
        <v>0</v>
      </c>
      <c r="AW110" s="4050">
        <f>(AQ110-AT110)</f>
        <v>4</v>
      </c>
      <c r="AX110" s="4050">
        <f>(AR110-AU110)</f>
        <v>150</v>
      </c>
      <c r="AY110" s="4050">
        <f>(AS110-AV110)</f>
        <v>16</v>
      </c>
    </row>
    <row r="111" spans="1:51" ht="30.6" thickBot="1">
      <c r="A111" s="2586" t="s">
        <v>1281</v>
      </c>
      <c r="B111" s="2586"/>
      <c r="C111" s="2586"/>
      <c r="D111" s="2586"/>
      <c r="E111" s="2586"/>
      <c r="F111" s="2587" t="s">
        <v>1158</v>
      </c>
      <c r="G111" s="2586"/>
      <c r="H111" s="2586"/>
      <c r="I111" s="2586"/>
      <c r="J111" s="2586"/>
      <c r="K111" s="2588"/>
      <c r="M111" s="2586" t="s">
        <v>1142</v>
      </c>
      <c r="N111" s="2586"/>
      <c r="O111" s="2586"/>
      <c r="P111" s="2586"/>
      <c r="Q111" s="2586"/>
      <c r="R111" s="2587"/>
      <c r="S111" s="2586"/>
      <c r="T111" s="2586"/>
      <c r="U111" s="2586"/>
      <c r="V111" s="2586"/>
      <c r="W111" s="2588"/>
      <c r="Y111" s="3060"/>
      <c r="Z111" s="3054">
        <v>5592</v>
      </c>
      <c r="AA111" s="3061" t="s">
        <v>377</v>
      </c>
      <c r="AB111" s="3053"/>
      <c r="AC111" s="3054">
        <v>0</v>
      </c>
      <c r="AD111" s="3054">
        <v>0</v>
      </c>
      <c r="AE111" s="3517">
        <v>20.561</v>
      </c>
      <c r="AF111" s="3517">
        <v>270.39400000000001</v>
      </c>
      <c r="AG111" s="4062"/>
      <c r="AH111" s="4062"/>
      <c r="AI111" s="2517"/>
      <c r="AM111" s="3059"/>
      <c r="AN111" s="2446">
        <v>952643</v>
      </c>
      <c r="AO111" s="2447" t="s">
        <v>1387</v>
      </c>
      <c r="AP111" s="2448"/>
      <c r="AQ111" s="4051"/>
      <c r="AR111" s="4051"/>
      <c r="AS111" s="4051"/>
      <c r="AT111" s="4051"/>
      <c r="AU111" s="4051"/>
      <c r="AV111" s="4051"/>
      <c r="AW111" s="4051"/>
      <c r="AX111" s="4051"/>
      <c r="AY111" s="4051"/>
    </row>
    <row r="112" spans="1:51" ht="30.6" thickBot="1">
      <c r="A112" s="2588"/>
      <c r="B112" s="2588"/>
      <c r="C112" s="2588"/>
      <c r="D112" s="2588"/>
      <c r="E112" s="2588"/>
      <c r="F112" s="2588"/>
      <c r="G112" s="2588"/>
      <c r="H112" s="2588"/>
      <c r="I112" s="2588"/>
      <c r="J112" s="2588"/>
      <c r="K112" s="2588"/>
      <c r="M112" s="2586" t="s">
        <v>1145</v>
      </c>
      <c r="N112" s="2588"/>
      <c r="O112" s="2588"/>
      <c r="P112" s="2588"/>
      <c r="Q112" s="2589"/>
      <c r="R112" s="2587" t="s">
        <v>943</v>
      </c>
      <c r="S112" s="2588"/>
      <c r="T112" s="2588"/>
      <c r="U112" s="2588"/>
      <c r="V112" s="2588"/>
      <c r="W112" s="2588"/>
      <c r="Y112" s="3062"/>
      <c r="Z112" s="3056">
        <v>960143</v>
      </c>
      <c r="AA112" s="3063" t="s">
        <v>1291</v>
      </c>
      <c r="AB112" s="3055"/>
      <c r="AC112" s="3056">
        <v>29.895</v>
      </c>
      <c r="AD112" s="3056">
        <v>370.10500000000002</v>
      </c>
      <c r="AE112" s="3518">
        <v>60.890999999999998</v>
      </c>
      <c r="AF112" s="3518">
        <v>339.10899999999998</v>
      </c>
      <c r="AG112" s="3055">
        <f t="shared" ref="AG112:AG116" si="79">(AC112-AE112)</f>
        <v>-30.995999999999999</v>
      </c>
      <c r="AH112" s="3098">
        <f t="shared" ref="AH112:AH116" si="80">(AD112-AF112)</f>
        <v>30.996000000000038</v>
      </c>
      <c r="AI112" s="2517"/>
      <c r="AJ112" s="2421">
        <v>41939</v>
      </c>
      <c r="AM112" s="3059"/>
      <c r="AN112" s="2446"/>
      <c r="AO112" s="2447"/>
      <c r="AP112" s="2448"/>
      <c r="AQ112" s="4051"/>
      <c r="AR112" s="4051"/>
      <c r="AS112" s="4051"/>
      <c r="AT112" s="4051"/>
      <c r="AU112" s="4051"/>
      <c r="AV112" s="4051"/>
      <c r="AW112" s="4051"/>
      <c r="AX112" s="4051"/>
      <c r="AY112" s="4051"/>
    </row>
    <row r="113" spans="1:51" ht="14.4">
      <c r="A113" s="2590"/>
      <c r="B113" s="2589"/>
      <c r="C113" s="2589"/>
      <c r="D113" s="2589"/>
      <c r="E113" s="4076" t="s">
        <v>152</v>
      </c>
      <c r="F113" s="4077"/>
      <c r="G113" s="4076" t="s">
        <v>153</v>
      </c>
      <c r="H113" s="4077"/>
      <c r="I113" s="2658" t="s">
        <v>154</v>
      </c>
      <c r="J113" s="2659"/>
      <c r="K113" s="2588"/>
      <c r="M113" s="2590"/>
      <c r="N113" s="2589"/>
      <c r="O113" s="2589"/>
      <c r="P113" s="2589"/>
      <c r="Q113" s="4076" t="s">
        <v>152</v>
      </c>
      <c r="R113" s="4077"/>
      <c r="S113" s="4076" t="s">
        <v>153</v>
      </c>
      <c r="T113" s="4077"/>
      <c r="U113" s="2591" t="s">
        <v>154</v>
      </c>
      <c r="V113" s="2592"/>
      <c r="W113" s="2593" t="s">
        <v>132</v>
      </c>
      <c r="Y113" s="3057"/>
      <c r="Z113" s="3052">
        <v>952452</v>
      </c>
      <c r="AA113" s="3058" t="s">
        <v>511</v>
      </c>
      <c r="AB113" s="3051"/>
      <c r="AC113" s="3052">
        <v>59.79</v>
      </c>
      <c r="AD113" s="3052">
        <v>740.21</v>
      </c>
      <c r="AE113" s="3516">
        <v>7.01</v>
      </c>
      <c r="AF113" s="3516">
        <v>262.13</v>
      </c>
      <c r="AG113" s="4061">
        <f>+AC113-AE113-AE114</f>
        <v>51.050000000000004</v>
      </c>
      <c r="AH113" s="4061">
        <f>+AD113-AF113-AF114</f>
        <v>-50.485000000000014</v>
      </c>
      <c r="AI113" s="2517"/>
      <c r="AM113" s="3059"/>
      <c r="AN113" s="2446"/>
      <c r="AO113" s="2447"/>
      <c r="AP113" s="2448"/>
      <c r="AQ113" s="4051"/>
      <c r="AR113" s="4051"/>
      <c r="AS113" s="4051"/>
      <c r="AT113" s="4051"/>
      <c r="AU113" s="4051"/>
      <c r="AV113" s="4051"/>
      <c r="AW113" s="4051"/>
      <c r="AX113" s="4051"/>
      <c r="AY113" s="4051"/>
    </row>
    <row r="114" spans="1:51" ht="29.4" thickBot="1">
      <c r="A114" s="2594" t="s">
        <v>957</v>
      </c>
      <c r="B114" s="2594" t="s">
        <v>224</v>
      </c>
      <c r="C114" s="2594" t="s">
        <v>225</v>
      </c>
      <c r="D114" s="2594" t="s">
        <v>157</v>
      </c>
      <c r="E114" s="2594" t="s">
        <v>944</v>
      </c>
      <c r="F114" s="2594" t="s">
        <v>945</v>
      </c>
      <c r="G114" s="2594" t="s">
        <v>946</v>
      </c>
      <c r="H114" s="2594" t="s">
        <v>947</v>
      </c>
      <c r="I114" s="2594" t="s">
        <v>948</v>
      </c>
      <c r="J114" s="2594" t="s">
        <v>949</v>
      </c>
      <c r="K114" s="2588"/>
      <c r="M114" s="2594" t="s">
        <v>223</v>
      </c>
      <c r="N114" s="2594" t="s">
        <v>224</v>
      </c>
      <c r="O114" s="2594" t="s">
        <v>225</v>
      </c>
      <c r="P114" s="2594" t="s">
        <v>157</v>
      </c>
      <c r="Q114" s="2594" t="s">
        <v>944</v>
      </c>
      <c r="R114" s="2594" t="s">
        <v>945</v>
      </c>
      <c r="S114" s="2594" t="s">
        <v>946</v>
      </c>
      <c r="T114" s="2594" t="s">
        <v>947</v>
      </c>
      <c r="U114" s="2594" t="s">
        <v>948</v>
      </c>
      <c r="V114" s="2594" t="s">
        <v>949</v>
      </c>
      <c r="W114" s="2588"/>
      <c r="Y114" s="3060"/>
      <c r="Z114" s="3054">
        <v>30822</v>
      </c>
      <c r="AA114" s="3061" t="s">
        <v>374</v>
      </c>
      <c r="AB114" s="3053"/>
      <c r="AC114" s="3054">
        <v>0</v>
      </c>
      <c r="AD114" s="3054">
        <v>0</v>
      </c>
      <c r="AE114" s="3517">
        <v>1.73</v>
      </c>
      <c r="AF114" s="3517">
        <v>528.56500000000005</v>
      </c>
      <c r="AG114" s="4062"/>
      <c r="AH114" s="4062"/>
      <c r="AI114" s="2517"/>
      <c r="AM114" s="3059"/>
      <c r="AN114" s="2446"/>
      <c r="AO114" s="2447"/>
      <c r="AP114" s="2448"/>
      <c r="AQ114" s="4051"/>
      <c r="AR114" s="4051"/>
      <c r="AS114" s="4051"/>
      <c r="AT114" s="4051"/>
      <c r="AU114" s="4051"/>
      <c r="AV114" s="4051"/>
      <c r="AW114" s="4051"/>
      <c r="AX114" s="4051"/>
      <c r="AY114" s="4051"/>
    </row>
    <row r="115" spans="1:51" ht="13.8" thickBot="1">
      <c r="A115" s="2595"/>
      <c r="B115" s="2595">
        <v>5286</v>
      </c>
      <c r="C115" s="2595" t="s">
        <v>407</v>
      </c>
      <c r="D115" s="2596"/>
      <c r="E115" s="2595"/>
      <c r="F115" s="2595">
        <v>350</v>
      </c>
      <c r="G115" s="2595">
        <v>2.4740000000000002</v>
      </c>
      <c r="H115" s="2595">
        <v>313.62799999999999</v>
      </c>
      <c r="I115" s="2595">
        <f>(E115-G115)</f>
        <v>-2.4740000000000002</v>
      </c>
      <c r="J115" s="2595">
        <f>(F115-H115-H116-H117-H118)</f>
        <v>4.5760000000000147</v>
      </c>
      <c r="K115" s="2588"/>
      <c r="M115" s="2595"/>
      <c r="N115" s="2595">
        <v>953053</v>
      </c>
      <c r="O115" s="2595" t="s">
        <v>951</v>
      </c>
      <c r="P115" s="2596"/>
      <c r="Q115" s="2595">
        <v>19.920000000000002</v>
      </c>
      <c r="R115" s="2595">
        <v>268.08</v>
      </c>
      <c r="S115" s="2595">
        <v>0</v>
      </c>
      <c r="T115" s="2595">
        <v>267.63</v>
      </c>
      <c r="U115" s="3508">
        <f>+Q115-S115</f>
        <v>19.920000000000002</v>
      </c>
      <c r="V115" s="2595">
        <f t="shared" ref="V115" si="81">(R115-T115)</f>
        <v>0.44999999999998863</v>
      </c>
      <c r="W115" s="2588"/>
      <c r="Y115" s="3062"/>
      <c r="Z115" s="3056">
        <v>959954</v>
      </c>
      <c r="AA115" s="3063" t="s">
        <v>1292</v>
      </c>
      <c r="AB115" s="3055"/>
      <c r="AC115" s="3056">
        <v>29.864999999999998</v>
      </c>
      <c r="AD115" s="3056">
        <v>370.10500000000002</v>
      </c>
      <c r="AE115" s="3518">
        <v>18.347000000000001</v>
      </c>
      <c r="AF115" s="3518">
        <v>352.233</v>
      </c>
      <c r="AG115" s="3055">
        <f t="shared" si="79"/>
        <v>11.517999999999997</v>
      </c>
      <c r="AH115" s="3098">
        <f t="shared" si="80"/>
        <v>17.872000000000014</v>
      </c>
      <c r="AI115" s="2517"/>
      <c r="AM115" s="3059"/>
      <c r="AN115" s="2446"/>
      <c r="AO115" s="2447"/>
      <c r="AP115" s="2448"/>
      <c r="AQ115" s="4052"/>
      <c r="AR115" s="4052"/>
      <c r="AS115" s="4052"/>
      <c r="AT115" s="4052"/>
      <c r="AU115" s="4052"/>
      <c r="AV115" s="4052"/>
      <c r="AW115" s="4052"/>
      <c r="AX115" s="4052"/>
      <c r="AY115" s="4052"/>
    </row>
    <row r="116" spans="1:51" ht="13.8" thickBot="1">
      <c r="A116" s="2595"/>
      <c r="B116" s="2595">
        <v>959987</v>
      </c>
      <c r="C116" s="2595" t="s">
        <v>1282</v>
      </c>
      <c r="D116" s="2596"/>
      <c r="E116" s="2595"/>
      <c r="F116" s="2595"/>
      <c r="G116" s="2595">
        <v>0</v>
      </c>
      <c r="H116" s="2595">
        <v>0</v>
      </c>
      <c r="I116" s="2595">
        <f t="shared" ref="I116:I118" si="82">(E116-G116)</f>
        <v>0</v>
      </c>
      <c r="J116" s="2595"/>
      <c r="K116" s="2588"/>
      <c r="M116" s="2595"/>
      <c r="N116" s="2595"/>
      <c r="O116" s="2595"/>
      <c r="P116" s="2596"/>
      <c r="Q116" s="2595"/>
      <c r="R116" s="2595"/>
      <c r="S116" s="2595"/>
      <c r="T116" s="2595"/>
      <c r="U116" s="2595"/>
      <c r="V116" s="2595"/>
      <c r="W116" s="2588"/>
      <c r="Y116" s="3062"/>
      <c r="Z116" s="3056">
        <v>950818</v>
      </c>
      <c r="AA116" s="3063" t="s">
        <v>1293</v>
      </c>
      <c r="AB116" s="3055"/>
      <c r="AC116" s="3056">
        <v>29.895</v>
      </c>
      <c r="AD116" s="3056">
        <v>370.10500000000002</v>
      </c>
      <c r="AE116" s="3518">
        <v>4.835</v>
      </c>
      <c r="AF116" s="3518">
        <v>370.10500000000002</v>
      </c>
      <c r="AG116" s="3055">
        <f t="shared" si="79"/>
        <v>25.06</v>
      </c>
      <c r="AH116" s="3098">
        <f t="shared" si="80"/>
        <v>0</v>
      </c>
      <c r="AI116" s="2517"/>
      <c r="AM116" s="3059"/>
      <c r="AN116" s="2446"/>
      <c r="AO116" s="1985"/>
      <c r="AP116" s="2448"/>
      <c r="AQ116" s="2446"/>
      <c r="AR116" s="2446"/>
      <c r="AS116" s="2446"/>
      <c r="AT116" s="2446"/>
      <c r="AU116" s="2446"/>
      <c r="AV116" s="2446"/>
      <c r="AW116" s="2473"/>
      <c r="AX116" s="2473"/>
      <c r="AY116" s="3090"/>
    </row>
    <row r="117" spans="1:51" ht="13.8" thickBot="1">
      <c r="A117" s="2595"/>
      <c r="B117" s="2595">
        <v>959985</v>
      </c>
      <c r="C117" s="2595" t="s">
        <v>1283</v>
      </c>
      <c r="D117" s="2596"/>
      <c r="E117" s="2595"/>
      <c r="F117" s="2595"/>
      <c r="G117" s="2595">
        <v>0</v>
      </c>
      <c r="H117" s="2595">
        <v>0</v>
      </c>
      <c r="I117" s="2595">
        <f t="shared" si="82"/>
        <v>0</v>
      </c>
      <c r="J117" s="2595"/>
      <c r="K117" s="2588"/>
      <c r="M117" s="2595"/>
      <c r="N117" s="2595"/>
      <c r="O117" s="2595"/>
      <c r="P117" s="2596"/>
      <c r="Q117" s="2595"/>
      <c r="R117" s="2595"/>
      <c r="S117" s="2595"/>
      <c r="T117" s="2595"/>
      <c r="U117" s="2595"/>
      <c r="V117" s="2595">
        <f t="shared" ref="V117" si="83">(R117-T117)</f>
        <v>0</v>
      </c>
      <c r="W117" s="2588"/>
      <c r="Y117" s="3057"/>
      <c r="Z117" s="3052">
        <v>924718</v>
      </c>
      <c r="AA117" s="3058" t="s">
        <v>1284</v>
      </c>
      <c r="AB117" s="3051"/>
      <c r="AC117" s="3052">
        <v>74.739999999999995</v>
      </c>
      <c r="AD117" s="3052">
        <v>925.26</v>
      </c>
      <c r="AE117" s="3516">
        <v>13.794</v>
      </c>
      <c r="AF117" s="3516">
        <v>325.06900000000002</v>
      </c>
      <c r="AG117" s="4061">
        <f>+AC117-AE117-AE118-AE119</f>
        <v>13.462999999999999</v>
      </c>
      <c r="AH117" s="4061">
        <f>+AD117-AF117-AF118-AF119</f>
        <v>-13.462999999999965</v>
      </c>
      <c r="AI117" s="2517"/>
      <c r="AM117" s="3060"/>
      <c r="AN117" s="3054"/>
      <c r="AO117" s="3054"/>
      <c r="AP117" s="3053"/>
      <c r="AQ117" s="3091">
        <f>SUM(AQ110:AQ116)</f>
        <v>4</v>
      </c>
      <c r="AR117" s="3091">
        <f>SUM(AR110:AR116)</f>
        <v>150</v>
      </c>
      <c r="AS117" s="3091">
        <f>SUM(AS110:AS116)</f>
        <v>16</v>
      </c>
      <c r="AT117" s="3091">
        <f>SUM(AT110:AT116)</f>
        <v>0</v>
      </c>
      <c r="AU117" s="3091">
        <f>SUM(AW110:AW115)</f>
        <v>4</v>
      </c>
      <c r="AV117" s="3092">
        <f>SUM(AX110:AX115)</f>
        <v>150</v>
      </c>
      <c r="AW117" s="3092">
        <f>SUM(AY110:AY115)</f>
        <v>16</v>
      </c>
      <c r="AX117" s="3092">
        <f>SUM(AL418:AL428)</f>
        <v>0</v>
      </c>
      <c r="AY117" s="3093">
        <f>SUM(AM447:AM457)</f>
        <v>0</v>
      </c>
    </row>
    <row r="118" spans="1:51">
      <c r="A118" s="2595"/>
      <c r="B118" s="2595">
        <v>924718</v>
      </c>
      <c r="C118" s="2595" t="s">
        <v>1284</v>
      </c>
      <c r="D118" s="2596"/>
      <c r="E118" s="2595"/>
      <c r="F118" s="2595"/>
      <c r="G118" s="2595">
        <v>2.1019999999999999</v>
      </c>
      <c r="H118" s="2595">
        <v>31.795999999999999</v>
      </c>
      <c r="I118" s="2595">
        <f t="shared" si="82"/>
        <v>-2.1019999999999999</v>
      </c>
      <c r="J118" s="2595"/>
      <c r="K118" s="2588"/>
      <c r="M118" s="2597"/>
      <c r="N118" s="2597"/>
      <c r="O118" s="2597"/>
      <c r="P118" s="2598"/>
      <c r="Q118" s="2599">
        <f t="shared" ref="Q118:V118" si="84">SUM(Q115:Q117)</f>
        <v>19.920000000000002</v>
      </c>
      <c r="R118" s="2599">
        <f t="shared" si="84"/>
        <v>268.08</v>
      </c>
      <c r="S118" s="2599">
        <f t="shared" si="84"/>
        <v>0</v>
      </c>
      <c r="T118" s="2599">
        <f t="shared" si="84"/>
        <v>267.63</v>
      </c>
      <c r="U118" s="2599">
        <f t="shared" si="84"/>
        <v>19.920000000000002</v>
      </c>
      <c r="V118" s="2599">
        <f t="shared" si="84"/>
        <v>0.44999999999998863</v>
      </c>
      <c r="W118" s="2588"/>
      <c r="Y118" s="3059"/>
      <c r="Z118" s="2446">
        <v>959987</v>
      </c>
      <c r="AA118" s="2447" t="s">
        <v>1282</v>
      </c>
      <c r="AB118" s="2448"/>
      <c r="AC118" s="2446">
        <v>0</v>
      </c>
      <c r="AD118" s="2446">
        <v>0</v>
      </c>
      <c r="AE118" s="3141">
        <v>32.234999999999999</v>
      </c>
      <c r="AF118" s="3141">
        <v>264.09699999999998</v>
      </c>
      <c r="AG118" s="4051"/>
      <c r="AH118" s="4051"/>
      <c r="AI118" s="2517"/>
    </row>
    <row r="119" spans="1:51" ht="13.8" thickBot="1">
      <c r="A119" s="2595"/>
      <c r="B119" s="2595"/>
      <c r="C119" s="2595"/>
      <c r="D119" s="2596"/>
      <c r="E119" s="2595">
        <f t="shared" ref="E119:H119" si="85">SUM(E115:E118)</f>
        <v>0</v>
      </c>
      <c r="F119" s="2595">
        <v>350</v>
      </c>
      <c r="G119" s="2601">
        <f t="shared" si="85"/>
        <v>4.5760000000000005</v>
      </c>
      <c r="H119" s="2601">
        <f t="shared" si="85"/>
        <v>345.42399999999998</v>
      </c>
      <c r="I119" s="2595"/>
      <c r="J119" s="2595">
        <f>+F119-H119</f>
        <v>4.5760000000000218</v>
      </c>
      <c r="K119" s="2588"/>
      <c r="Y119" s="3060"/>
      <c r="Z119" s="3054">
        <v>5286</v>
      </c>
      <c r="AA119" s="3061" t="s">
        <v>407</v>
      </c>
      <c r="AB119" s="3053"/>
      <c r="AC119" s="3054">
        <v>0</v>
      </c>
      <c r="AD119" s="3054">
        <v>0</v>
      </c>
      <c r="AE119" s="3517">
        <v>15.247999999999999</v>
      </c>
      <c r="AF119" s="3517">
        <v>349.55700000000002</v>
      </c>
      <c r="AG119" s="4062"/>
      <c r="AH119" s="4062"/>
      <c r="AI119" s="2517"/>
    </row>
    <row r="120" spans="1:51" ht="30">
      <c r="A120" s="2657"/>
      <c r="B120" s="2657"/>
      <c r="C120" s="2657"/>
      <c r="D120" s="2657"/>
      <c r="E120" s="2657"/>
      <c r="F120" s="2657"/>
      <c r="G120" s="2657"/>
      <c r="H120" s="2657"/>
      <c r="I120" s="2657"/>
      <c r="J120" s="2657"/>
      <c r="K120" s="2657"/>
      <c r="M120" s="3207"/>
      <c r="N120" s="3207"/>
      <c r="O120" s="3207"/>
      <c r="P120" s="3207"/>
      <c r="Q120" s="3207"/>
      <c r="R120" s="3207"/>
      <c r="S120" s="3207"/>
      <c r="T120" s="3207"/>
      <c r="U120" s="3207"/>
      <c r="V120" s="3207"/>
      <c r="W120" s="3207"/>
      <c r="Y120" s="3049"/>
      <c r="Z120" s="3049"/>
      <c r="AA120" s="3047"/>
      <c r="AB120" s="3048"/>
      <c r="AC120" s="3049"/>
      <c r="AD120" s="3049"/>
      <c r="AE120" s="3049"/>
      <c r="AF120" s="3049"/>
      <c r="AG120" s="3049"/>
      <c r="AH120" s="3050"/>
      <c r="AI120" s="2517"/>
      <c r="AM120" s="2568" t="s">
        <v>1552</v>
      </c>
      <c r="AN120" s="2568"/>
      <c r="AO120" s="2568"/>
      <c r="AP120" s="2568"/>
      <c r="AQ120" s="2568"/>
      <c r="AR120" s="2569"/>
      <c r="AS120" s="2568"/>
      <c r="AT120" s="2568"/>
      <c r="AU120" s="2568"/>
      <c r="AV120" s="2568"/>
      <c r="AW120" s="2570"/>
    </row>
    <row r="121" spans="1:51" ht="30.6" thickBot="1">
      <c r="A121" s="2586" t="s">
        <v>1295</v>
      </c>
      <c r="B121" s="2586"/>
      <c r="C121" s="2586"/>
      <c r="D121" s="2586"/>
      <c r="E121" s="2586"/>
      <c r="F121" s="2587"/>
      <c r="G121" s="2586"/>
      <c r="H121" s="2586"/>
      <c r="I121" s="2586"/>
      <c r="J121" s="2586"/>
      <c r="K121" s="2588"/>
      <c r="Y121" s="2449"/>
      <c r="Z121" s="2449"/>
      <c r="AA121" s="2449"/>
      <c r="AB121" s="2450"/>
      <c r="AC121" s="2451">
        <f>SUM(AC109:AC120)</f>
        <v>298.92500000000001</v>
      </c>
      <c r="AD121" s="2451">
        <f>SUM(AD109:AD120)</f>
        <v>3701.0450000000001</v>
      </c>
      <c r="AE121" s="2451">
        <f>SUM(AE109:AE120)</f>
        <v>193.78200000000004</v>
      </c>
      <c r="AF121" s="2451">
        <f>SUM(AF109:AF120)</f>
        <v>3751.1729999999998</v>
      </c>
      <c r="AG121" s="2451">
        <f>SUM(AG109:AG119)</f>
        <v>105.143</v>
      </c>
      <c r="AH121" s="2525">
        <f>SUM(AH109:AH119)</f>
        <v>-50.127999999999957</v>
      </c>
      <c r="AI121" s="2517"/>
      <c r="AM121" s="2568" t="s">
        <v>1553</v>
      </c>
      <c r="AN121" s="2570"/>
      <c r="AO121" s="2570"/>
      <c r="AP121" s="2570"/>
      <c r="AQ121" s="2569" t="s">
        <v>1554</v>
      </c>
      <c r="AR121" s="2570"/>
      <c r="AS121" s="2570"/>
      <c r="AT121" s="2570"/>
      <c r="AU121" s="2570"/>
      <c r="AV121" s="2570"/>
      <c r="AW121" s="2570"/>
    </row>
    <row r="122" spans="1:51" ht="30.6" thickBot="1">
      <c r="A122" s="2586" t="s">
        <v>1296</v>
      </c>
      <c r="B122" s="2588"/>
      <c r="C122" s="2588"/>
      <c r="D122" s="2588"/>
      <c r="E122" s="2589"/>
      <c r="F122" s="2587" t="s">
        <v>1158</v>
      </c>
      <c r="G122" s="2588"/>
      <c r="H122" s="2588"/>
      <c r="I122" s="2588"/>
      <c r="J122" s="2588"/>
      <c r="K122" s="2588"/>
      <c r="M122" s="2568" t="s">
        <v>1161</v>
      </c>
      <c r="N122" s="2568"/>
      <c r="O122" s="2568"/>
      <c r="P122" s="2568"/>
      <c r="Q122" s="2568"/>
      <c r="R122" s="2569"/>
      <c r="S122" s="2568"/>
      <c r="T122" s="2568"/>
      <c r="U122" s="2568"/>
      <c r="V122" s="2568"/>
      <c r="W122" s="2570"/>
      <c r="AM122" s="2571"/>
      <c r="AN122" s="2572"/>
      <c r="AO122" s="2572"/>
      <c r="AP122" s="2572"/>
      <c r="AQ122" s="4048" t="s">
        <v>152</v>
      </c>
      <c r="AR122" s="4049"/>
      <c r="AS122" s="4048" t="s">
        <v>153</v>
      </c>
      <c r="AT122" s="4049"/>
      <c r="AU122" s="3452" t="s">
        <v>154</v>
      </c>
      <c r="AV122" s="3453"/>
      <c r="AW122" s="2575" t="s">
        <v>132</v>
      </c>
    </row>
    <row r="123" spans="1:51" ht="30.6" thickBot="1">
      <c r="A123" s="2590"/>
      <c r="B123" s="2589"/>
      <c r="C123" s="2589"/>
      <c r="D123" s="2589"/>
      <c r="E123" s="4076" t="s">
        <v>152</v>
      </c>
      <c r="F123" s="4077"/>
      <c r="G123" s="4076" t="s">
        <v>153</v>
      </c>
      <c r="H123" s="4077"/>
      <c r="I123" s="3083" t="s">
        <v>154</v>
      </c>
      <c r="J123" s="3084"/>
      <c r="K123" s="2593" t="s">
        <v>132</v>
      </c>
      <c r="M123" s="2568" t="s">
        <v>1162</v>
      </c>
      <c r="N123" s="2570"/>
      <c r="O123" s="2570"/>
      <c r="P123" s="2570"/>
      <c r="Q123" s="2572"/>
      <c r="R123" s="2569" t="s">
        <v>1158</v>
      </c>
      <c r="S123" s="2570"/>
      <c r="T123" s="2131" t="s">
        <v>1410</v>
      </c>
      <c r="U123" s="2634"/>
      <c r="V123" s="2570"/>
      <c r="W123" s="2570"/>
      <c r="Y123" s="1517"/>
      <c r="Z123" s="1517"/>
      <c r="AA123" s="1517"/>
      <c r="AB123" s="1517"/>
      <c r="AC123" s="1517"/>
      <c r="AD123" s="1517"/>
      <c r="AE123" s="1517"/>
      <c r="AF123" s="1517"/>
      <c r="AG123" s="1517"/>
      <c r="AH123" s="1517"/>
      <c r="AI123" s="1517"/>
      <c r="AM123" s="2576" t="s">
        <v>223</v>
      </c>
      <c r="AN123" s="2576" t="s">
        <v>224</v>
      </c>
      <c r="AO123" s="2576" t="s">
        <v>225</v>
      </c>
      <c r="AP123" s="2576" t="s">
        <v>157</v>
      </c>
      <c r="AQ123" s="2576" t="s">
        <v>944</v>
      </c>
      <c r="AR123" s="2576" t="s">
        <v>945</v>
      </c>
      <c r="AS123" s="2576" t="s">
        <v>946</v>
      </c>
      <c r="AT123" s="2576" t="s">
        <v>947</v>
      </c>
      <c r="AU123" s="2576" t="s">
        <v>948</v>
      </c>
      <c r="AV123" s="2576" t="s">
        <v>949</v>
      </c>
      <c r="AW123" s="2570"/>
    </row>
    <row r="124" spans="1:51" ht="30">
      <c r="A124" s="2594" t="s">
        <v>223</v>
      </c>
      <c r="B124" s="2594" t="s">
        <v>224</v>
      </c>
      <c r="C124" s="2594" t="s">
        <v>225</v>
      </c>
      <c r="D124" s="2594" t="s">
        <v>157</v>
      </c>
      <c r="E124" s="2594" t="s">
        <v>944</v>
      </c>
      <c r="F124" s="2594" t="s">
        <v>945</v>
      </c>
      <c r="G124" s="2594" t="s">
        <v>946</v>
      </c>
      <c r="H124" s="2594" t="s">
        <v>947</v>
      </c>
      <c r="I124" s="2594" t="s">
        <v>948</v>
      </c>
      <c r="J124" s="2594" t="s">
        <v>949</v>
      </c>
      <c r="K124" s="2588"/>
      <c r="M124" s="2571"/>
      <c r="N124" s="2572"/>
      <c r="O124" s="2572"/>
      <c r="P124" s="2572"/>
      <c r="Q124" s="4048" t="s">
        <v>152</v>
      </c>
      <c r="R124" s="4049"/>
      <c r="S124" s="4048" t="s">
        <v>153</v>
      </c>
      <c r="T124" s="4049"/>
      <c r="U124" s="2573" t="s">
        <v>154</v>
      </c>
      <c r="V124" s="2574"/>
      <c r="W124" s="3287" t="s">
        <v>132</v>
      </c>
      <c r="Y124" s="2453" t="s">
        <v>1385</v>
      </c>
      <c r="Z124" s="2453"/>
      <c r="AA124" s="2453"/>
      <c r="AB124" s="2453"/>
      <c r="AC124" s="2453"/>
      <c r="AD124" s="2453"/>
      <c r="AE124" s="2453"/>
      <c r="AF124" s="2453"/>
      <c r="AG124" s="2452"/>
      <c r="AH124" s="2452"/>
      <c r="AI124" s="2441"/>
      <c r="AJ124" s="2441"/>
      <c r="AK124" s="2441"/>
      <c r="AM124" s="2577"/>
      <c r="AN124" s="2577">
        <v>952407</v>
      </c>
      <c r="AO124" s="2577" t="s">
        <v>176</v>
      </c>
      <c r="AP124" s="2578"/>
      <c r="AQ124" s="2577">
        <v>50</v>
      </c>
      <c r="AR124" s="2577">
        <v>150</v>
      </c>
      <c r="AS124" s="2577">
        <v>26.86</v>
      </c>
      <c r="AT124" s="2577">
        <v>173.14</v>
      </c>
      <c r="AU124" s="2577">
        <f>(AQ124-AS124)</f>
        <v>23.14</v>
      </c>
      <c r="AV124" s="2577">
        <f t="shared" ref="AV124" si="86">(AR124-AT124)</f>
        <v>-23.139999999999986</v>
      </c>
      <c r="AW124" s="2570"/>
    </row>
    <row r="125" spans="1:51" ht="30">
      <c r="A125" s="2595"/>
      <c r="B125" s="2595">
        <v>5592</v>
      </c>
      <c r="C125" s="2595" t="s">
        <v>377</v>
      </c>
      <c r="D125" s="2596"/>
      <c r="E125" s="2595"/>
      <c r="F125" s="4080">
        <v>800</v>
      </c>
      <c r="G125" s="2595">
        <v>21.696000000000002</v>
      </c>
      <c r="H125" s="2595">
        <v>258.93700000000001</v>
      </c>
      <c r="I125" s="4080"/>
      <c r="J125" s="4080">
        <f>+F125-H125-H126-H127</f>
        <v>67.517999999999972</v>
      </c>
      <c r="K125" s="2588"/>
      <c r="M125" s="2576" t="s">
        <v>223</v>
      </c>
      <c r="N125" s="2576" t="s">
        <v>224</v>
      </c>
      <c r="O125" s="2576" t="s">
        <v>225</v>
      </c>
      <c r="P125" s="2576" t="s">
        <v>157</v>
      </c>
      <c r="Q125" s="2576" t="s">
        <v>944</v>
      </c>
      <c r="R125" s="2576" t="s">
        <v>1177</v>
      </c>
      <c r="S125" s="2576" t="s">
        <v>946</v>
      </c>
      <c r="T125" s="2576" t="s">
        <v>1177</v>
      </c>
      <c r="U125" s="2576" t="s">
        <v>948</v>
      </c>
      <c r="V125" s="2576" t="s">
        <v>1177</v>
      </c>
      <c r="W125" s="2570"/>
      <c r="Y125" s="2453" t="s">
        <v>1298</v>
      </c>
      <c r="Z125" s="2452"/>
      <c r="AA125" s="2452"/>
      <c r="AB125" s="2452"/>
      <c r="AC125" s="2452"/>
      <c r="AD125" s="2454" t="s">
        <v>1299</v>
      </c>
      <c r="AE125" s="2452"/>
      <c r="AF125" s="2452"/>
      <c r="AG125" s="2452"/>
      <c r="AH125" s="2452"/>
      <c r="AI125" s="2441"/>
      <c r="AJ125" s="2441"/>
      <c r="AK125" s="2441"/>
      <c r="AM125" s="2577"/>
      <c r="AN125" s="2577"/>
      <c r="AO125" s="2577"/>
      <c r="AP125" s="2578"/>
      <c r="AQ125" s="2577"/>
      <c r="AR125" s="2577"/>
      <c r="AS125" s="2577"/>
      <c r="AT125" s="2577"/>
      <c r="AU125" s="2577"/>
      <c r="AV125" s="2577"/>
      <c r="AW125" s="2570"/>
    </row>
    <row r="126" spans="1:51" ht="13.8" thickBot="1">
      <c r="A126" s="2595"/>
      <c r="B126" s="2595">
        <v>952296</v>
      </c>
      <c r="C126" s="2595" t="s">
        <v>1297</v>
      </c>
      <c r="D126" s="2596"/>
      <c r="E126" s="2595"/>
      <c r="F126" s="4081"/>
      <c r="G126" s="2595">
        <v>21.853000000000002</v>
      </c>
      <c r="H126" s="2595">
        <v>344.91800000000001</v>
      </c>
      <c r="I126" s="4081"/>
      <c r="J126" s="4081"/>
      <c r="K126" s="2588"/>
      <c r="M126" s="2577"/>
      <c r="N126" s="2577">
        <v>901588</v>
      </c>
      <c r="O126" s="2577" t="s">
        <v>1163</v>
      </c>
      <c r="P126" s="2578"/>
      <c r="Q126" s="2577"/>
      <c r="R126" s="2577"/>
      <c r="S126" s="2577">
        <v>0</v>
      </c>
      <c r="T126" s="2577">
        <v>0</v>
      </c>
      <c r="U126" s="2577">
        <f t="shared" ref="U126:V140" si="87">(Q126-S126)</f>
        <v>0</v>
      </c>
      <c r="V126" s="2577">
        <f t="shared" si="87"/>
        <v>0</v>
      </c>
      <c r="W126" s="2570"/>
      <c r="Y126" s="2441"/>
      <c r="Z126" s="2441"/>
      <c r="AA126" s="2441"/>
      <c r="AB126" s="2441"/>
      <c r="AC126" s="2441"/>
      <c r="AD126" s="2441"/>
      <c r="AE126" s="2441"/>
      <c r="AF126" s="2441"/>
      <c r="AG126" s="2441"/>
      <c r="AH126" s="2441"/>
      <c r="AI126" s="2441"/>
      <c r="AJ126" s="2441"/>
      <c r="AK126" s="2441"/>
      <c r="AM126" s="2579"/>
      <c r="AN126" s="2579"/>
      <c r="AO126" s="2579"/>
      <c r="AP126" s="3454"/>
      <c r="AQ126" s="2581"/>
      <c r="AR126" s="2581"/>
      <c r="AS126" s="2581"/>
      <c r="AT126" s="2581"/>
      <c r="AU126" s="2581"/>
      <c r="AV126" s="2581"/>
      <c r="AW126" s="2570"/>
    </row>
    <row r="127" spans="1:51" ht="30.6" thickBot="1">
      <c r="A127" s="2595"/>
      <c r="B127" s="2595">
        <v>952311</v>
      </c>
      <c r="C127" s="2595" t="s">
        <v>379</v>
      </c>
      <c r="D127" s="2596"/>
      <c r="E127" s="2595"/>
      <c r="F127" s="4082"/>
      <c r="G127" s="2595">
        <v>23.413</v>
      </c>
      <c r="H127" s="2595">
        <v>128.62700000000001</v>
      </c>
      <c r="I127" s="4082"/>
      <c r="J127" s="4082"/>
      <c r="K127" s="2588"/>
      <c r="M127" s="2577"/>
      <c r="N127" s="2577">
        <v>920745</v>
      </c>
      <c r="O127" s="2577" t="s">
        <v>1164</v>
      </c>
      <c r="P127" s="2578"/>
      <c r="Q127" s="2577"/>
      <c r="R127" s="2577"/>
      <c r="S127" s="2577"/>
      <c r="T127" s="2577"/>
      <c r="U127" s="2577">
        <f t="shared" si="87"/>
        <v>0</v>
      </c>
      <c r="V127" s="2577">
        <f t="shared" si="87"/>
        <v>0</v>
      </c>
      <c r="W127" s="2570"/>
      <c r="Y127" s="2442"/>
      <c r="Z127" s="2443"/>
      <c r="AA127" s="2443"/>
      <c r="AB127" s="2443"/>
      <c r="AC127" s="4066" t="s">
        <v>152</v>
      </c>
      <c r="AD127" s="4067"/>
      <c r="AE127" s="4068"/>
      <c r="AF127" s="4066" t="s">
        <v>153</v>
      </c>
      <c r="AG127" s="4067"/>
      <c r="AH127" s="4068"/>
      <c r="AI127" s="3085" t="s">
        <v>154</v>
      </c>
      <c r="AJ127" s="3086"/>
      <c r="AK127" s="3087"/>
      <c r="AM127" s="2568"/>
      <c r="AN127" s="2568"/>
      <c r="AO127" s="2568"/>
      <c r="AP127" s="2568"/>
      <c r="AQ127" s="2664">
        <f t="shared" ref="AQ127:AV127" si="88">SUM(AQ124:AQ126)</f>
        <v>50</v>
      </c>
      <c r="AR127" s="2665">
        <f t="shared" si="88"/>
        <v>150</v>
      </c>
      <c r="AS127" s="2664">
        <f t="shared" si="88"/>
        <v>26.86</v>
      </c>
      <c r="AT127" s="2664">
        <f t="shared" si="88"/>
        <v>173.14</v>
      </c>
      <c r="AU127" s="2664">
        <f t="shared" si="88"/>
        <v>23.14</v>
      </c>
      <c r="AV127" s="2664">
        <f t="shared" si="88"/>
        <v>-23.139999999999986</v>
      </c>
      <c r="AW127" s="2570"/>
    </row>
    <row r="128" spans="1:51" ht="14.4">
      <c r="A128" s="2597"/>
      <c r="B128" s="2597"/>
      <c r="C128" s="2597"/>
      <c r="D128" s="2598"/>
      <c r="E128" s="2597"/>
      <c r="F128" s="2597"/>
      <c r="G128" s="2597"/>
      <c r="H128" s="2597"/>
      <c r="I128" s="2597"/>
      <c r="J128" s="2597"/>
      <c r="K128" s="2588"/>
      <c r="M128" s="2577"/>
      <c r="N128" s="2577">
        <v>956427</v>
      </c>
      <c r="O128" s="2577" t="s">
        <v>1165</v>
      </c>
      <c r="P128" s="2578"/>
      <c r="Q128" s="2577"/>
      <c r="R128" s="2577"/>
      <c r="S128" s="2577"/>
      <c r="T128" s="2577"/>
      <c r="U128" s="2577">
        <f t="shared" si="87"/>
        <v>0</v>
      </c>
      <c r="V128" s="2577">
        <f t="shared" si="87"/>
        <v>0</v>
      </c>
      <c r="W128" s="2570"/>
      <c r="Y128" s="3088" t="s">
        <v>223</v>
      </c>
      <c r="Z128" s="3089" t="s">
        <v>224</v>
      </c>
      <c r="AA128" s="3089" t="s">
        <v>225</v>
      </c>
      <c r="AB128" s="3089" t="s">
        <v>157</v>
      </c>
      <c r="AC128" s="3089" t="s">
        <v>1306</v>
      </c>
      <c r="AD128" s="3089" t="s">
        <v>1307</v>
      </c>
      <c r="AE128" s="3089" t="s">
        <v>5</v>
      </c>
      <c r="AF128" s="3089" t="s">
        <v>1306</v>
      </c>
      <c r="AG128" s="3089" t="s">
        <v>1307</v>
      </c>
      <c r="AH128" s="3089" t="s">
        <v>5</v>
      </c>
      <c r="AI128" s="3089" t="s">
        <v>1306</v>
      </c>
      <c r="AJ128" s="3089" t="s">
        <v>1307</v>
      </c>
      <c r="AK128" s="3089" t="s">
        <v>5</v>
      </c>
    </row>
    <row r="129" spans="1:51">
      <c r="A129" s="2597"/>
      <c r="B129" s="2597"/>
      <c r="C129" s="2597"/>
      <c r="D129" s="2598"/>
      <c r="E129" s="2599"/>
      <c r="F129" s="2599">
        <f>SUM(F125:F128)</f>
        <v>800</v>
      </c>
      <c r="G129" s="2599">
        <f t="shared" ref="G129:H129" si="89">SUM(G125:G127)</f>
        <v>66.962000000000003</v>
      </c>
      <c r="H129" s="2599">
        <f t="shared" si="89"/>
        <v>732.48199999999997</v>
      </c>
      <c r="I129" s="2599"/>
      <c r="J129" s="2599">
        <f>+F129-H129</f>
        <v>67.518000000000029</v>
      </c>
      <c r="K129" s="2588"/>
      <c r="M129" s="2577"/>
      <c r="N129" s="2577">
        <v>953023</v>
      </c>
      <c r="O129" s="2577" t="s">
        <v>1166</v>
      </c>
      <c r="P129" s="2578"/>
      <c r="Q129" s="2577"/>
      <c r="R129" s="2577"/>
      <c r="S129" s="2577"/>
      <c r="T129" s="2577"/>
      <c r="U129" s="2577">
        <f t="shared" si="87"/>
        <v>0</v>
      </c>
      <c r="V129" s="2577">
        <f t="shared" si="87"/>
        <v>0</v>
      </c>
      <c r="W129" s="2570"/>
      <c r="Y129" s="3059"/>
      <c r="Z129" s="2446">
        <v>914124</v>
      </c>
      <c r="AA129" s="2447" t="s">
        <v>1300</v>
      </c>
      <c r="AB129" s="2448"/>
      <c r="AC129" s="4050">
        <v>4427.9780000000001</v>
      </c>
      <c r="AD129" s="4050">
        <v>1.9330000000000001</v>
      </c>
      <c r="AE129" s="4050">
        <v>167.24</v>
      </c>
      <c r="AF129" s="4063">
        <v>4323.72</v>
      </c>
      <c r="AG129" s="4050">
        <v>0</v>
      </c>
      <c r="AH129" s="4050">
        <v>0</v>
      </c>
      <c r="AI129" s="4050">
        <f>(AC129-AF129)</f>
        <v>104.25799999999981</v>
      </c>
      <c r="AJ129" s="4050">
        <f t="shared" ref="AJ129:AK129" si="90">(AD129-AG129)</f>
        <v>1.9330000000000001</v>
      </c>
      <c r="AK129" s="4050">
        <f t="shared" si="90"/>
        <v>167.24</v>
      </c>
    </row>
    <row r="130" spans="1:51" ht="30">
      <c r="K130" s="2524"/>
      <c r="M130" s="2577"/>
      <c r="N130" s="2577">
        <v>923266</v>
      </c>
      <c r="O130" s="2577" t="s">
        <v>1167</v>
      </c>
      <c r="P130" s="2578"/>
      <c r="Q130" s="2577"/>
      <c r="R130" s="2577"/>
      <c r="S130" s="2577"/>
      <c r="T130" s="2577"/>
      <c r="U130" s="2577">
        <f t="shared" si="87"/>
        <v>0</v>
      </c>
      <c r="V130" s="2577">
        <f t="shared" si="87"/>
        <v>0</v>
      </c>
      <c r="W130" s="2570"/>
      <c r="Y130" s="3059"/>
      <c r="Z130" s="2446">
        <v>914125</v>
      </c>
      <c r="AA130" s="2447" t="s">
        <v>1301</v>
      </c>
      <c r="AB130" s="2448"/>
      <c r="AC130" s="4051"/>
      <c r="AD130" s="4051"/>
      <c r="AE130" s="4051"/>
      <c r="AF130" s="4064"/>
      <c r="AG130" s="4051"/>
      <c r="AH130" s="4051"/>
      <c r="AI130" s="4051"/>
      <c r="AJ130" s="4051"/>
      <c r="AK130" s="4051"/>
      <c r="AM130" s="2568" t="s">
        <v>1064</v>
      </c>
      <c r="AN130" s="2568"/>
      <c r="AO130" s="2568"/>
      <c r="AP130" s="2568"/>
      <c r="AQ130" s="2568"/>
      <c r="AR130" s="2569"/>
      <c r="AS130" s="2568"/>
      <c r="AT130" s="2568"/>
      <c r="AU130" s="2568"/>
      <c r="AV130" s="2568"/>
      <c r="AW130" s="2570"/>
    </row>
    <row r="131" spans="1:51" ht="30.6" thickBot="1">
      <c r="A131" s="3105"/>
      <c r="B131" s="3105"/>
      <c r="C131" s="3105"/>
      <c r="D131" s="3105"/>
      <c r="E131" s="3105"/>
      <c r="F131" s="3105"/>
      <c r="G131" s="3105"/>
      <c r="H131" s="3105"/>
      <c r="I131" s="3105"/>
      <c r="J131" s="3105"/>
      <c r="K131" s="3105"/>
      <c r="M131" s="2577"/>
      <c r="N131" s="2577">
        <v>960563</v>
      </c>
      <c r="O131" s="2577" t="s">
        <v>1168</v>
      </c>
      <c r="P131" s="2578"/>
      <c r="Q131" s="2577"/>
      <c r="R131" s="2577"/>
      <c r="S131" s="2577"/>
      <c r="T131" s="2577"/>
      <c r="U131" s="2577">
        <f t="shared" si="87"/>
        <v>0</v>
      </c>
      <c r="V131" s="2577">
        <f t="shared" si="87"/>
        <v>0</v>
      </c>
      <c r="W131" s="2570"/>
      <c r="Y131" s="3059"/>
      <c r="Z131" s="2446">
        <v>914147</v>
      </c>
      <c r="AA131" s="2447" t="s">
        <v>1302</v>
      </c>
      <c r="AB131" s="2448"/>
      <c r="AC131" s="4051"/>
      <c r="AD131" s="4051"/>
      <c r="AE131" s="4051"/>
      <c r="AF131" s="4064"/>
      <c r="AG131" s="4051"/>
      <c r="AH131" s="4051"/>
      <c r="AI131" s="4051"/>
      <c r="AJ131" s="4051"/>
      <c r="AK131" s="4051"/>
      <c r="AM131" s="2568" t="s">
        <v>1588</v>
      </c>
      <c r="AN131" s="2570"/>
      <c r="AO131" s="2570"/>
      <c r="AP131" s="2570"/>
      <c r="AQ131" s="2569" t="s">
        <v>1158</v>
      </c>
      <c r="AR131" s="2570"/>
      <c r="AS131" s="2570"/>
      <c r="AT131" s="2570"/>
      <c r="AU131" s="2570"/>
      <c r="AV131" s="2570"/>
      <c r="AW131" s="2570"/>
    </row>
    <row r="132" spans="1:51" ht="30">
      <c r="A132" s="2586" t="s">
        <v>1324</v>
      </c>
      <c r="B132" s="2586"/>
      <c r="C132" s="2586"/>
      <c r="D132" s="2586"/>
      <c r="E132" s="2586"/>
      <c r="F132" s="2587"/>
      <c r="G132" s="2586"/>
      <c r="H132" s="2586"/>
      <c r="I132" s="2586"/>
      <c r="J132" s="2586"/>
      <c r="K132" s="2588"/>
      <c r="M132" s="2577"/>
      <c r="N132" s="2577">
        <v>957989</v>
      </c>
      <c r="O132" s="2577" t="s">
        <v>1168</v>
      </c>
      <c r="P132" s="2578"/>
      <c r="Q132" s="2577"/>
      <c r="R132" s="2577"/>
      <c r="S132" s="2577"/>
      <c r="T132" s="2577"/>
      <c r="U132" s="2577">
        <f t="shared" si="87"/>
        <v>0</v>
      </c>
      <c r="V132" s="2577">
        <f t="shared" si="87"/>
        <v>0</v>
      </c>
      <c r="W132" s="2570"/>
      <c r="Y132" s="3059"/>
      <c r="Z132" s="2446">
        <v>954327</v>
      </c>
      <c r="AA132" s="2447" t="s">
        <v>1303</v>
      </c>
      <c r="AB132" s="2448"/>
      <c r="AC132" s="4051"/>
      <c r="AD132" s="4051"/>
      <c r="AE132" s="4051"/>
      <c r="AF132" s="4064"/>
      <c r="AG132" s="4051"/>
      <c r="AH132" s="4051"/>
      <c r="AI132" s="4051"/>
      <c r="AJ132" s="4051"/>
      <c r="AK132" s="4051"/>
      <c r="AM132" s="2571"/>
      <c r="AN132" s="2572"/>
      <c r="AO132" s="2572"/>
      <c r="AP132" s="2572"/>
      <c r="AQ132" s="4048" t="s">
        <v>152</v>
      </c>
      <c r="AR132" s="4049"/>
      <c r="AS132" s="4048" t="s">
        <v>153</v>
      </c>
      <c r="AT132" s="4049"/>
      <c r="AU132" s="3502" t="s">
        <v>154</v>
      </c>
      <c r="AV132" s="3503"/>
      <c r="AW132" s="2575" t="s">
        <v>132</v>
      </c>
    </row>
    <row r="133" spans="1:51" ht="30.6" thickBot="1">
      <c r="A133" s="2586" t="s">
        <v>1323</v>
      </c>
      <c r="B133" s="2588"/>
      <c r="C133" s="2588"/>
      <c r="D133" s="2588"/>
      <c r="E133" s="2589"/>
      <c r="F133" s="2587" t="s">
        <v>1218</v>
      </c>
      <c r="G133" s="2588"/>
      <c r="H133" s="2588"/>
      <c r="I133" s="2588"/>
      <c r="J133" s="2588"/>
      <c r="K133" s="2588"/>
      <c r="M133" s="2577"/>
      <c r="N133" s="2577">
        <v>923167</v>
      </c>
      <c r="O133" s="2577" t="s">
        <v>1169</v>
      </c>
      <c r="P133" s="2578"/>
      <c r="Q133" s="2577"/>
      <c r="R133" s="2577"/>
      <c r="S133" s="2577"/>
      <c r="T133" s="2577"/>
      <c r="U133" s="2577">
        <f t="shared" si="87"/>
        <v>0</v>
      </c>
      <c r="V133" s="2577">
        <f t="shared" si="87"/>
        <v>0</v>
      </c>
      <c r="W133" s="2570"/>
      <c r="Y133" s="3059"/>
      <c r="Z133" s="2446">
        <v>959983</v>
      </c>
      <c r="AA133" s="2447" t="s">
        <v>1304</v>
      </c>
      <c r="AB133" s="2448"/>
      <c r="AC133" s="4051"/>
      <c r="AD133" s="4051"/>
      <c r="AE133" s="4051"/>
      <c r="AF133" s="4064"/>
      <c r="AG133" s="4051"/>
      <c r="AH133" s="4051"/>
      <c r="AI133" s="4051"/>
      <c r="AJ133" s="4051"/>
      <c r="AK133" s="4051"/>
      <c r="AM133" s="2576" t="s">
        <v>223</v>
      </c>
      <c r="AN133" s="2576" t="s">
        <v>224</v>
      </c>
      <c r="AO133" s="2576" t="s">
        <v>225</v>
      </c>
      <c r="AP133" s="2576" t="s">
        <v>157</v>
      </c>
      <c r="AQ133" s="2576" t="s">
        <v>944</v>
      </c>
      <c r="AR133" s="2576" t="s">
        <v>945</v>
      </c>
      <c r="AS133" s="2576" t="s">
        <v>946</v>
      </c>
      <c r="AT133" s="2576" t="s">
        <v>947</v>
      </c>
      <c r="AU133" s="2576" t="s">
        <v>948</v>
      </c>
      <c r="AV133" s="2576" t="s">
        <v>949</v>
      </c>
      <c r="AW133" s="2570"/>
    </row>
    <row r="134" spans="1:51" ht="14.4">
      <c r="A134" s="2590"/>
      <c r="B134" s="2589"/>
      <c r="C134" s="2589"/>
      <c r="D134" s="2589"/>
      <c r="E134" s="4076" t="s">
        <v>152</v>
      </c>
      <c r="F134" s="4077"/>
      <c r="G134" s="4076" t="s">
        <v>153</v>
      </c>
      <c r="H134" s="4077"/>
      <c r="I134" s="3106" t="s">
        <v>154</v>
      </c>
      <c r="J134" s="3107"/>
      <c r="K134" s="2593" t="s">
        <v>132</v>
      </c>
      <c r="M134" s="2577"/>
      <c r="N134" s="2577">
        <v>951803</v>
      </c>
      <c r="O134" s="2577" t="s">
        <v>1170</v>
      </c>
      <c r="P134" s="2578"/>
      <c r="Q134" s="2577"/>
      <c r="R134" s="2577"/>
      <c r="S134" s="2577"/>
      <c r="T134" s="2577"/>
      <c r="U134" s="2577">
        <f t="shared" si="87"/>
        <v>0</v>
      </c>
      <c r="V134" s="2577">
        <f t="shared" si="87"/>
        <v>0</v>
      </c>
      <c r="W134" s="2570"/>
      <c r="Y134" s="3059"/>
      <c r="Z134" s="2446">
        <v>913577</v>
      </c>
      <c r="AA134" s="2447" t="s">
        <v>1305</v>
      </c>
      <c r="AB134" s="2448"/>
      <c r="AC134" s="4052"/>
      <c r="AD134" s="4052"/>
      <c r="AE134" s="4052"/>
      <c r="AF134" s="4065"/>
      <c r="AG134" s="4052"/>
      <c r="AH134" s="4052"/>
      <c r="AI134" s="4052"/>
      <c r="AJ134" s="4052"/>
      <c r="AK134" s="4052"/>
      <c r="AL134" s="2501"/>
      <c r="AM134" s="2577"/>
      <c r="AN134" s="2577">
        <v>959370</v>
      </c>
      <c r="AO134" s="2577" t="s">
        <v>689</v>
      </c>
      <c r="AP134" s="2578"/>
      <c r="AQ134" s="2577"/>
      <c r="AR134" s="2577">
        <v>65.352999999999994</v>
      </c>
      <c r="AS134" s="2577">
        <v>2.2240000000000002</v>
      </c>
      <c r="AT134" s="2577">
        <v>36.003999999999998</v>
      </c>
      <c r="AU134" s="2577">
        <f>(AQ134-AS134)</f>
        <v>-2.2240000000000002</v>
      </c>
      <c r="AV134" s="2577">
        <f t="shared" ref="AV134" si="91">(AR134-AT134)</f>
        <v>29.348999999999997</v>
      </c>
      <c r="AW134" s="2570"/>
    </row>
    <row r="135" spans="1:51" ht="28.8">
      <c r="A135" s="2594" t="s">
        <v>223</v>
      </c>
      <c r="B135" s="2594" t="s">
        <v>224</v>
      </c>
      <c r="C135" s="2594" t="s">
        <v>225</v>
      </c>
      <c r="D135" s="2594" t="s">
        <v>157</v>
      </c>
      <c r="E135" s="2594" t="s">
        <v>944</v>
      </c>
      <c r="F135" s="2594" t="s">
        <v>945</v>
      </c>
      <c r="G135" s="2594" t="s">
        <v>946</v>
      </c>
      <c r="H135" s="2594" t="s">
        <v>947</v>
      </c>
      <c r="I135" s="2594" t="s">
        <v>948</v>
      </c>
      <c r="J135" s="2594" t="s">
        <v>949</v>
      </c>
      <c r="K135" s="2588"/>
      <c r="M135" s="2577"/>
      <c r="N135" s="2577">
        <v>958708</v>
      </c>
      <c r="O135" s="2577" t="s">
        <v>1171</v>
      </c>
      <c r="P135" s="2578"/>
      <c r="Q135" s="2577"/>
      <c r="R135" s="2577"/>
      <c r="S135" s="2577"/>
      <c r="T135" s="2577"/>
      <c r="U135" s="2577">
        <f t="shared" si="87"/>
        <v>0</v>
      </c>
      <c r="V135" s="2577">
        <f t="shared" si="87"/>
        <v>0</v>
      </c>
      <c r="W135" s="2570"/>
      <c r="Y135" s="3059"/>
      <c r="Z135" s="2446"/>
      <c r="AA135" s="1985"/>
      <c r="AB135" s="2448"/>
      <c r="AC135" s="2446"/>
      <c r="AD135" s="2446"/>
      <c r="AE135" s="2446"/>
      <c r="AF135" s="2446"/>
      <c r="AG135" s="2446"/>
      <c r="AH135" s="2446"/>
      <c r="AI135" s="2473"/>
      <c r="AJ135" s="2473"/>
      <c r="AK135" s="3090"/>
      <c r="AM135" s="2577"/>
      <c r="AN135" s="2577">
        <v>923199</v>
      </c>
      <c r="AO135" s="2577" t="s">
        <v>1589</v>
      </c>
      <c r="AP135" s="2578"/>
      <c r="AQ135" s="2577"/>
      <c r="AR135" s="2577">
        <v>140.57</v>
      </c>
      <c r="AS135" s="2577">
        <v>13.957000000000001</v>
      </c>
      <c r="AT135" s="2577">
        <v>125.075</v>
      </c>
      <c r="AU135" s="2577"/>
      <c r="AV135" s="2577"/>
      <c r="AW135" s="2570"/>
    </row>
    <row r="136" spans="1:51" ht="13.8" thickBot="1">
      <c r="A136" s="2595"/>
      <c r="B136" s="2595">
        <v>960952</v>
      </c>
      <c r="C136" s="2595" t="s">
        <v>1567</v>
      </c>
      <c r="D136" s="2596"/>
      <c r="E136" s="2595">
        <v>10</v>
      </c>
      <c r="F136" s="2595">
        <v>155</v>
      </c>
      <c r="G136" s="2595">
        <v>24.675999999999998</v>
      </c>
      <c r="H136" s="2595">
        <v>140.32400000000001</v>
      </c>
      <c r="I136" s="2595"/>
      <c r="J136" s="2595">
        <f t="shared" ref="J136" si="92">(F136-H136)</f>
        <v>14.675999999999988</v>
      </c>
      <c r="K136" s="2588"/>
      <c r="M136" s="2577"/>
      <c r="N136" s="2577">
        <v>950875</v>
      </c>
      <c r="O136" s="2577" t="s">
        <v>1172</v>
      </c>
      <c r="P136" s="2578"/>
      <c r="Q136" s="2577"/>
      <c r="R136" s="2577"/>
      <c r="S136" s="2577"/>
      <c r="T136" s="2577"/>
      <c r="U136" s="2577">
        <f t="shared" si="87"/>
        <v>0</v>
      </c>
      <c r="V136" s="2577">
        <f t="shared" si="87"/>
        <v>0</v>
      </c>
      <c r="W136" s="2570"/>
      <c r="Y136" s="3060"/>
      <c r="Z136" s="3054"/>
      <c r="AA136" s="3054"/>
      <c r="AB136" s="3053"/>
      <c r="AC136" s="3091">
        <f t="shared" ref="AC136:AD136" si="93">SUM(AC129)</f>
        <v>4427.9780000000001</v>
      </c>
      <c r="AD136" s="3091">
        <f t="shared" si="93"/>
        <v>1.9330000000000001</v>
      </c>
      <c r="AE136" s="3091">
        <f>SUM(AE129)</f>
        <v>167.24</v>
      </c>
      <c r="AF136" s="3091">
        <f>SUM(AF129)</f>
        <v>4323.72</v>
      </c>
      <c r="AG136" s="3091">
        <f>SUM(AG129)</f>
        <v>0</v>
      </c>
      <c r="AH136" s="3091">
        <f>SUM(AH129)</f>
        <v>0</v>
      </c>
      <c r="AI136" s="3092">
        <f>SUM(AI129)</f>
        <v>104.25799999999981</v>
      </c>
      <c r="AJ136" s="3092">
        <f t="shared" ref="AJ136:AK136" si="94">SUM(AJ129)</f>
        <v>1.9330000000000001</v>
      </c>
      <c r="AK136" s="3092">
        <f t="shared" si="94"/>
        <v>167.24</v>
      </c>
      <c r="AM136" s="2577"/>
      <c r="AN136" s="2577">
        <v>955486</v>
      </c>
      <c r="AO136" s="2577" t="s">
        <v>172</v>
      </c>
      <c r="AP136" s="2578"/>
      <c r="AQ136" s="2577"/>
      <c r="AR136" s="2577">
        <v>106.044</v>
      </c>
      <c r="AS136" s="2577">
        <v>0</v>
      </c>
      <c r="AT136" s="2577">
        <v>23.547999999999998</v>
      </c>
      <c r="AU136" s="2577"/>
      <c r="AV136" s="2577"/>
      <c r="AW136" s="2570"/>
    </row>
    <row r="137" spans="1:51" s="2501" customFormat="1">
      <c r="A137" s="2595"/>
      <c r="B137" s="2595"/>
      <c r="C137" s="2595"/>
      <c r="D137" s="2596"/>
      <c r="E137" s="2595"/>
      <c r="F137" s="2595"/>
      <c r="G137" s="2595"/>
      <c r="H137" s="2595"/>
      <c r="I137" s="2595"/>
      <c r="J137" s="2595"/>
      <c r="K137" s="2588"/>
      <c r="M137" s="2577"/>
      <c r="N137" s="2577">
        <v>901571</v>
      </c>
      <c r="O137" s="2577" t="s">
        <v>1173</v>
      </c>
      <c r="P137" s="2578"/>
      <c r="Q137" s="2577"/>
      <c r="R137" s="2577"/>
      <c r="S137" s="2577"/>
      <c r="T137" s="2577"/>
      <c r="U137" s="2577">
        <f t="shared" si="87"/>
        <v>0</v>
      </c>
      <c r="V137" s="2577">
        <f t="shared" si="87"/>
        <v>0</v>
      </c>
      <c r="W137" s="2570"/>
      <c r="Y137"/>
      <c r="Z137"/>
      <c r="AA137"/>
      <c r="AB137"/>
      <c r="AC137"/>
      <c r="AD137"/>
      <c r="AE137"/>
      <c r="AF137"/>
      <c r="AG137"/>
      <c r="AH137"/>
      <c r="AI137"/>
      <c r="AJ137"/>
      <c r="AK137"/>
      <c r="AL137"/>
      <c r="AM137" s="2577"/>
      <c r="AN137" s="2577">
        <v>958905</v>
      </c>
      <c r="AO137" s="2577" t="s">
        <v>1073</v>
      </c>
      <c r="AP137" s="2578"/>
      <c r="AQ137" s="2577"/>
      <c r="AR137" s="2577">
        <v>140.57</v>
      </c>
      <c r="AS137" s="2577">
        <v>2.2090000000000001</v>
      </c>
      <c r="AT137" s="2577">
        <v>104.607</v>
      </c>
      <c r="AU137" s="2577"/>
      <c r="AV137" s="2577"/>
      <c r="AW137" s="2570"/>
      <c r="AX137"/>
      <c r="AY137"/>
    </row>
    <row r="138" spans="1:51">
      <c r="A138" s="2597"/>
      <c r="B138" s="2597"/>
      <c r="C138" s="2597"/>
      <c r="D138" s="2598"/>
      <c r="E138" s="2599"/>
      <c r="F138" s="2599">
        <f>SUM(F136:F137)</f>
        <v>155</v>
      </c>
      <c r="G138" s="2599"/>
      <c r="H138" s="2599">
        <f>SUM(H136:H137)</f>
        <v>140.32400000000001</v>
      </c>
      <c r="I138" s="2599"/>
      <c r="J138" s="2599">
        <f>+F138-H138</f>
        <v>14.675999999999988</v>
      </c>
      <c r="K138" s="2588"/>
      <c r="M138" s="2577"/>
      <c r="N138" s="2577">
        <v>960673</v>
      </c>
      <c r="O138" s="2577" t="s">
        <v>1174</v>
      </c>
      <c r="P138" s="2578"/>
      <c r="Q138" s="2577"/>
      <c r="R138" s="2577"/>
      <c r="S138" s="2577"/>
      <c r="T138" s="2577"/>
      <c r="U138" s="2577">
        <f t="shared" si="87"/>
        <v>0</v>
      </c>
      <c r="V138" s="2577">
        <f t="shared" si="87"/>
        <v>0</v>
      </c>
      <c r="W138" s="2570"/>
      <c r="AM138" s="2579"/>
      <c r="AN138" s="2579"/>
      <c r="AO138" s="2579"/>
      <c r="AP138" s="3504"/>
      <c r="AQ138" s="2581"/>
      <c r="AR138" s="2581"/>
      <c r="AS138" s="2581"/>
      <c r="AT138" s="2581"/>
      <c r="AU138" s="2581"/>
      <c r="AV138" s="2581"/>
      <c r="AW138" s="2570"/>
    </row>
    <row r="139" spans="1:51" ht="30">
      <c r="A139" s="3105"/>
      <c r="B139" s="3105"/>
      <c r="C139" s="3105"/>
      <c r="D139" s="3105"/>
      <c r="E139" s="3105"/>
      <c r="F139" s="3105"/>
      <c r="G139" s="3105"/>
      <c r="H139" s="3105"/>
      <c r="I139" s="3105"/>
      <c r="J139" s="3105"/>
      <c r="K139" s="3105"/>
      <c r="M139" s="2577"/>
      <c r="N139" s="2577">
        <v>950815</v>
      </c>
      <c r="O139" s="2577" t="s">
        <v>1175</v>
      </c>
      <c r="P139" s="2578"/>
      <c r="Q139" s="2577"/>
      <c r="R139" s="2577"/>
      <c r="S139" s="2577"/>
      <c r="T139" s="2577"/>
      <c r="U139" s="2577"/>
      <c r="V139" s="2577"/>
      <c r="W139" s="2570"/>
      <c r="X139" s="1093" t="s">
        <v>704</v>
      </c>
      <c r="AM139" s="2568"/>
      <c r="AN139" s="2568"/>
      <c r="AO139" s="2568"/>
      <c r="AP139" s="2568"/>
      <c r="AQ139" s="2664">
        <f>SUM(AQ134:AQ138)</f>
        <v>0</v>
      </c>
      <c r="AR139" s="3505">
        <f>SUM(AR134:AR138)</f>
        <v>452.53699999999998</v>
      </c>
      <c r="AS139" s="2664">
        <f>SUM(AS134:AS138)</f>
        <v>18.39</v>
      </c>
      <c r="AT139" s="2664">
        <f>SUM(AT134:AT138)</f>
        <v>289.23400000000004</v>
      </c>
      <c r="AU139" s="2664">
        <f>SUM(AU134:AU138)</f>
        <v>-2.2240000000000002</v>
      </c>
      <c r="AV139" s="2664">
        <f>+AR139-AT139</f>
        <v>163.30299999999994</v>
      </c>
      <c r="AW139" s="2570"/>
    </row>
    <row r="140" spans="1:51" ht="30">
      <c r="A140" s="3105"/>
      <c r="B140" s="3105"/>
      <c r="C140" s="3105"/>
      <c r="D140" s="3105"/>
      <c r="E140" s="3105"/>
      <c r="F140" s="3105"/>
      <c r="G140" s="3105"/>
      <c r="H140" s="3105"/>
      <c r="I140" s="3105"/>
      <c r="J140" s="3105"/>
      <c r="K140" s="3105"/>
      <c r="M140" s="2577"/>
      <c r="N140" s="2579"/>
      <c r="O140" s="2579"/>
      <c r="P140" s="2578"/>
      <c r="Q140" s="2581">
        <v>10826</v>
      </c>
      <c r="R140" s="2581">
        <v>100</v>
      </c>
      <c r="S140" s="2577">
        <v>10826.765999999998</v>
      </c>
      <c r="T140" s="2577"/>
      <c r="U140" s="3141">
        <f>(Q140-S140)</f>
        <v>-0.76599999999780266</v>
      </c>
      <c r="V140" s="3293">
        <f t="shared" si="87"/>
        <v>100</v>
      </c>
      <c r="W140" s="2570"/>
      <c r="Y140" s="2502" t="s">
        <v>1311</v>
      </c>
      <c r="Z140" s="2502"/>
      <c r="AA140" s="2502"/>
      <c r="AB140" s="2502"/>
      <c r="AC140" s="2502"/>
      <c r="AD140" s="2503"/>
      <c r="AE140" s="2502"/>
      <c r="AF140" s="2502"/>
      <c r="AG140" s="2502"/>
      <c r="AH140" s="2502"/>
      <c r="AI140" s="2504"/>
    </row>
    <row r="141" spans="1:51" ht="30.6" thickBot="1">
      <c r="A141" s="2586" t="s">
        <v>1327</v>
      </c>
      <c r="B141" s="2586"/>
      <c r="C141" s="2586"/>
      <c r="D141" s="2586"/>
      <c r="E141" s="2586"/>
      <c r="F141" s="2587"/>
      <c r="G141" s="2586"/>
      <c r="H141" s="2586"/>
      <c r="I141" s="2586"/>
      <c r="J141" s="2586"/>
      <c r="K141" s="2588"/>
      <c r="M141" s="2579"/>
      <c r="N141" s="2579"/>
      <c r="O141" s="2579"/>
      <c r="P141" s="2580"/>
      <c r="Q141" s="2581">
        <v>10826</v>
      </c>
      <c r="R141" s="2581">
        <v>100</v>
      </c>
      <c r="S141" s="2581">
        <f>SUM(S126:S140)</f>
        <v>10826.765999999998</v>
      </c>
      <c r="T141" s="2581">
        <f>SUM(T126:T140)</f>
        <v>0</v>
      </c>
      <c r="U141" s="2577">
        <f>(Q141-S141)</f>
        <v>-0.76599999999780266</v>
      </c>
      <c r="V141" s="3293">
        <f t="shared" ref="V141" si="95">(R141-T141)</f>
        <v>100</v>
      </c>
      <c r="W141" s="2570"/>
      <c r="Y141" s="2502" t="s">
        <v>1310</v>
      </c>
      <c r="Z141" s="2504"/>
      <c r="AA141" s="2504"/>
      <c r="AB141" s="2504"/>
      <c r="AC141" s="2505"/>
      <c r="AD141" s="2503" t="s">
        <v>1158</v>
      </c>
      <c r="AE141" s="2504"/>
      <c r="AF141" s="2504"/>
      <c r="AG141" s="2504"/>
      <c r="AH141" s="2504"/>
      <c r="AI141" s="2504"/>
      <c r="AM141" s="2568" t="s">
        <v>1064</v>
      </c>
      <c r="AN141" s="2568"/>
      <c r="AO141" s="2568"/>
      <c r="AP141" s="2568"/>
      <c r="AQ141" s="2568"/>
      <c r="AR141" s="2569"/>
      <c r="AS141" s="2568"/>
      <c r="AT141" s="2568"/>
      <c r="AU141" s="2568"/>
      <c r="AV141" s="2568"/>
      <c r="AW141" s="2570"/>
    </row>
    <row r="142" spans="1:51" ht="30.6" thickBot="1">
      <c r="A142" s="2586" t="s">
        <v>1326</v>
      </c>
      <c r="B142" s="2588"/>
      <c r="C142" s="2588"/>
      <c r="D142" s="2588"/>
      <c r="E142" s="2589"/>
      <c r="F142" s="2587" t="s">
        <v>1158</v>
      </c>
      <c r="G142" s="2588"/>
      <c r="H142" s="2588"/>
      <c r="I142" s="2588"/>
      <c r="J142" s="2588"/>
      <c r="K142" s="2588"/>
      <c r="Y142" s="2506"/>
      <c r="Z142" s="2505"/>
      <c r="AA142" s="2505"/>
      <c r="AB142" s="2505"/>
      <c r="AC142" s="4070" t="s">
        <v>152</v>
      </c>
      <c r="AD142" s="4071"/>
      <c r="AE142" s="4070" t="s">
        <v>153</v>
      </c>
      <c r="AF142" s="4071"/>
      <c r="AG142" s="3096" t="s">
        <v>154</v>
      </c>
      <c r="AH142" s="3097"/>
      <c r="AI142" s="2509" t="s">
        <v>132</v>
      </c>
      <c r="AM142" s="2568" t="s">
        <v>1588</v>
      </c>
      <c r="AN142" s="2570"/>
      <c r="AO142" s="2570"/>
      <c r="AP142" s="2570"/>
      <c r="AQ142" s="2569" t="s">
        <v>1158</v>
      </c>
      <c r="AR142" s="2570"/>
      <c r="AS142" s="2570"/>
      <c r="AT142" s="2570"/>
      <c r="AU142" s="2570"/>
      <c r="AV142" s="2570"/>
      <c r="AW142" s="2570"/>
    </row>
    <row r="143" spans="1:51" ht="28.8">
      <c r="A143" s="2590"/>
      <c r="B143" s="2589"/>
      <c r="C143" s="2589"/>
      <c r="D143" s="2589"/>
      <c r="E143" s="4076" t="s">
        <v>152</v>
      </c>
      <c r="F143" s="4077"/>
      <c r="G143" s="4076" t="s">
        <v>153</v>
      </c>
      <c r="H143" s="4077"/>
      <c r="I143" s="3106" t="s">
        <v>154</v>
      </c>
      <c r="J143" s="3107"/>
      <c r="K143" s="2593" t="s">
        <v>132</v>
      </c>
      <c r="Y143" s="2510" t="s">
        <v>223</v>
      </c>
      <c r="Z143" s="2510" t="s">
        <v>224</v>
      </c>
      <c r="AA143" s="2510" t="s">
        <v>225</v>
      </c>
      <c r="AB143" s="2510" t="s">
        <v>157</v>
      </c>
      <c r="AC143" s="2510" t="s">
        <v>944</v>
      </c>
      <c r="AD143" s="2510" t="s">
        <v>945</v>
      </c>
      <c r="AE143" s="2510" t="s">
        <v>946</v>
      </c>
      <c r="AF143" s="2510" t="s">
        <v>947</v>
      </c>
      <c r="AG143" s="2510" t="s">
        <v>948</v>
      </c>
      <c r="AH143" s="2510" t="s">
        <v>949</v>
      </c>
      <c r="AI143" s="2504"/>
      <c r="AM143" s="2571"/>
      <c r="AN143" s="2572"/>
      <c r="AO143" s="2572"/>
      <c r="AP143" s="2572"/>
      <c r="AQ143" s="4048" t="s">
        <v>152</v>
      </c>
      <c r="AR143" s="4049"/>
      <c r="AS143" s="4048" t="s">
        <v>153</v>
      </c>
      <c r="AT143" s="4049"/>
      <c r="AU143" s="3502" t="s">
        <v>154</v>
      </c>
      <c r="AV143" s="3503"/>
      <c r="AW143" s="2575" t="s">
        <v>132</v>
      </c>
    </row>
    <row r="144" spans="1:51" ht="30">
      <c r="A144" s="2594" t="s">
        <v>223</v>
      </c>
      <c r="B144" s="2594" t="s">
        <v>224</v>
      </c>
      <c r="C144" s="2594" t="s">
        <v>225</v>
      </c>
      <c r="D144" s="2594" t="s">
        <v>157</v>
      </c>
      <c r="E144" s="2594" t="s">
        <v>944</v>
      </c>
      <c r="F144" s="2594" t="s">
        <v>945</v>
      </c>
      <c r="G144" s="2594" t="s">
        <v>946</v>
      </c>
      <c r="H144" s="2594" t="s">
        <v>947</v>
      </c>
      <c r="I144" s="2594" t="s">
        <v>948</v>
      </c>
      <c r="J144" s="2594" t="s">
        <v>949</v>
      </c>
      <c r="K144" s="2588"/>
      <c r="M144" s="2502" t="s">
        <v>1159</v>
      </c>
      <c r="N144" s="2502"/>
      <c r="O144" s="2502"/>
      <c r="P144" s="2502"/>
      <c r="Q144" s="2502"/>
      <c r="R144" s="2503"/>
      <c r="S144" s="2502"/>
      <c r="T144" s="2502"/>
      <c r="U144" s="2502"/>
      <c r="V144" s="2502"/>
      <c r="W144" s="2504"/>
      <c r="Y144" s="2511"/>
      <c r="Z144" s="2511">
        <v>2762</v>
      </c>
      <c r="AA144" s="2511" t="s">
        <v>1160</v>
      </c>
      <c r="AB144" s="2512"/>
      <c r="AC144" s="2511"/>
      <c r="AD144" s="2511">
        <v>300</v>
      </c>
      <c r="AE144" s="2511">
        <v>0</v>
      </c>
      <c r="AF144" s="2511">
        <v>300</v>
      </c>
      <c r="AG144" s="2518"/>
      <c r="AH144" s="2511">
        <f t="shared" ref="AH144" si="96">(AD144-AF144)</f>
        <v>0</v>
      </c>
      <c r="AI144" s="2504"/>
      <c r="AM144" s="2576" t="s">
        <v>223</v>
      </c>
      <c r="AN144" s="2576" t="s">
        <v>224</v>
      </c>
      <c r="AO144" s="2576" t="s">
        <v>225</v>
      </c>
      <c r="AP144" s="2576" t="s">
        <v>157</v>
      </c>
      <c r="AQ144" s="2576" t="s">
        <v>944</v>
      </c>
      <c r="AR144" s="2576" t="s">
        <v>945</v>
      </c>
      <c r="AS144" s="2576" t="s">
        <v>946</v>
      </c>
      <c r="AT144" s="2576" t="s">
        <v>947</v>
      </c>
      <c r="AU144" s="2576" t="s">
        <v>948</v>
      </c>
      <c r="AV144" s="2576" t="s">
        <v>949</v>
      </c>
      <c r="AW144" s="2570"/>
    </row>
    <row r="145" spans="1:51" ht="30.6" thickBot="1">
      <c r="A145" s="2595"/>
      <c r="B145" s="2595">
        <v>5286</v>
      </c>
      <c r="C145" s="2595" t="s">
        <v>407</v>
      </c>
      <c r="D145" s="2596"/>
      <c r="E145" s="4080"/>
      <c r="F145" s="4080">
        <v>600</v>
      </c>
      <c r="G145" s="2595">
        <v>29.986999999999998</v>
      </c>
      <c r="H145" s="2595">
        <v>300.49799999999999</v>
      </c>
      <c r="I145" s="4080">
        <f>(E145-G145-G146-G147-G148)</f>
        <v>-34.116</v>
      </c>
      <c r="J145" s="4080">
        <f>(F145-H145-H146-H147-H148)</f>
        <v>34.116000000000014</v>
      </c>
      <c r="K145" s="2588"/>
      <c r="M145" s="2502" t="s">
        <v>1157</v>
      </c>
      <c r="N145" s="2504"/>
      <c r="O145" s="2504"/>
      <c r="P145" s="2504"/>
      <c r="Q145" s="2505"/>
      <c r="R145" s="2503" t="s">
        <v>1158</v>
      </c>
      <c r="S145" s="2504"/>
      <c r="T145" s="2504"/>
      <c r="U145" s="2504"/>
      <c r="V145" s="2504"/>
      <c r="W145" s="2504"/>
      <c r="Y145" s="2511"/>
      <c r="Z145" s="2511"/>
      <c r="AA145" s="2511"/>
      <c r="AB145" s="2512"/>
      <c r="AC145" s="2511"/>
      <c r="AD145" s="2511"/>
      <c r="AE145" s="2511"/>
      <c r="AF145" s="2511"/>
      <c r="AG145" s="2511"/>
      <c r="AH145" s="2511"/>
      <c r="AI145" s="2504"/>
      <c r="AM145" s="2577"/>
      <c r="AN145" s="2577">
        <v>960052</v>
      </c>
      <c r="AO145" s="2577" t="s">
        <v>692</v>
      </c>
      <c r="AP145" s="2578"/>
      <c r="AQ145" s="2577"/>
      <c r="AR145" s="2577">
        <v>65.352999999999994</v>
      </c>
      <c r="AS145" s="2577">
        <v>0</v>
      </c>
      <c r="AT145" s="2577">
        <v>0</v>
      </c>
      <c r="AU145" s="2577">
        <f>(AQ145-AS145)</f>
        <v>0</v>
      </c>
      <c r="AV145" s="2577">
        <f t="shared" ref="AV145" si="97">(AR145-AT145)</f>
        <v>65.352999999999994</v>
      </c>
      <c r="AW145" s="2570"/>
    </row>
    <row r="146" spans="1:51" ht="14.4">
      <c r="A146" s="2595"/>
      <c r="B146" s="2595">
        <v>959987</v>
      </c>
      <c r="C146" s="2595" t="s">
        <v>1282</v>
      </c>
      <c r="D146" s="2596"/>
      <c r="E146" s="4081"/>
      <c r="F146" s="4081"/>
      <c r="G146" s="2595">
        <v>2.2210000000000001</v>
      </c>
      <c r="H146" s="2595">
        <v>181.79599999999999</v>
      </c>
      <c r="I146" s="4081"/>
      <c r="J146" s="4081"/>
      <c r="K146" s="2588"/>
      <c r="M146" s="2506"/>
      <c r="N146" s="2505"/>
      <c r="O146" s="2505"/>
      <c r="P146" s="2505"/>
      <c r="Q146" s="4070" t="s">
        <v>152</v>
      </c>
      <c r="R146" s="4071"/>
      <c r="S146" s="4070" t="s">
        <v>153</v>
      </c>
      <c r="T146" s="4071"/>
      <c r="U146" s="2507" t="s">
        <v>154</v>
      </c>
      <c r="V146" s="2508"/>
      <c r="W146" s="2509" t="s">
        <v>132</v>
      </c>
      <c r="Y146" s="2511"/>
      <c r="Z146" s="2511"/>
      <c r="AA146" s="2511"/>
      <c r="AB146" s="2512"/>
      <c r="AC146" s="2511"/>
      <c r="AD146" s="2511"/>
      <c r="AE146" s="2511"/>
      <c r="AF146" s="2511"/>
      <c r="AG146" s="2511"/>
      <c r="AH146" s="2511">
        <f t="shared" ref="AH146" si="98">(AD146-AF146)</f>
        <v>0</v>
      </c>
      <c r="AI146" s="2504"/>
      <c r="AM146" s="2577"/>
      <c r="AN146" s="2577">
        <v>951136</v>
      </c>
      <c r="AO146" s="2577" t="s">
        <v>188</v>
      </c>
      <c r="AP146" s="2578"/>
      <c r="AQ146" s="2577"/>
      <c r="AR146" s="2577">
        <v>180.02799999999999</v>
      </c>
      <c r="AS146" s="2577">
        <v>0</v>
      </c>
      <c r="AT146" s="2577">
        <v>180.02799999999999</v>
      </c>
      <c r="AU146" s="2577"/>
      <c r="AV146" s="2577"/>
      <c r="AW146" s="2570"/>
    </row>
    <row r="147" spans="1:51" ht="28.8">
      <c r="A147" s="2595"/>
      <c r="B147" s="2595">
        <v>959985</v>
      </c>
      <c r="C147" s="2595" t="s">
        <v>1283</v>
      </c>
      <c r="D147" s="2596"/>
      <c r="E147" s="4081"/>
      <c r="F147" s="4081"/>
      <c r="G147" s="2595">
        <v>0</v>
      </c>
      <c r="H147" s="2595">
        <v>0</v>
      </c>
      <c r="I147" s="4081"/>
      <c r="J147" s="4081"/>
      <c r="K147" s="2588"/>
      <c r="M147" s="2510" t="s">
        <v>223</v>
      </c>
      <c r="N147" s="2510" t="s">
        <v>224</v>
      </c>
      <c r="O147" s="2510" t="s">
        <v>225</v>
      </c>
      <c r="P147" s="2510" t="s">
        <v>157</v>
      </c>
      <c r="Q147" s="2510" t="s">
        <v>944</v>
      </c>
      <c r="R147" s="2510" t="s">
        <v>945</v>
      </c>
      <c r="S147" s="2510" t="s">
        <v>946</v>
      </c>
      <c r="T147" s="2510" t="s">
        <v>947</v>
      </c>
      <c r="U147" s="2510" t="s">
        <v>948</v>
      </c>
      <c r="V147" s="2510" t="s">
        <v>949</v>
      </c>
      <c r="W147" s="2504"/>
      <c r="Y147" s="2513"/>
      <c r="Z147" s="2513"/>
      <c r="AA147" s="2513"/>
      <c r="AB147" s="2514"/>
      <c r="AC147" s="2515"/>
      <c r="AD147" s="2515">
        <f t="shared" ref="AD147:AH147" si="99">SUM(AD144:AD146)</f>
        <v>300</v>
      </c>
      <c r="AE147" s="2515"/>
      <c r="AF147" s="2515">
        <f t="shared" si="99"/>
        <v>300</v>
      </c>
      <c r="AG147" s="2515"/>
      <c r="AH147" s="2515">
        <f t="shared" si="99"/>
        <v>0</v>
      </c>
      <c r="AI147" s="2516"/>
      <c r="AM147" s="2577"/>
      <c r="AN147" s="2577">
        <v>959387</v>
      </c>
      <c r="AO147" s="2577" t="s">
        <v>684</v>
      </c>
      <c r="AP147" s="2578"/>
      <c r="AQ147" s="2577"/>
      <c r="AR147" s="2577">
        <v>106.044</v>
      </c>
      <c r="AS147" s="2577">
        <v>0</v>
      </c>
      <c r="AT147" s="2577">
        <v>30.082999999999998</v>
      </c>
      <c r="AU147" s="2577"/>
      <c r="AV147" s="2577"/>
      <c r="AW147" s="2570"/>
      <c r="AX147" s="2501"/>
      <c r="AY147" s="2501"/>
    </row>
    <row r="148" spans="1:51">
      <c r="A148" s="2595"/>
      <c r="B148" s="2595">
        <v>924718</v>
      </c>
      <c r="C148" s="2595" t="s">
        <v>1284</v>
      </c>
      <c r="D148" s="2596"/>
      <c r="E148" s="4082"/>
      <c r="F148" s="4082"/>
      <c r="G148" s="2595">
        <v>1.9079999999999999</v>
      </c>
      <c r="H148" s="2595">
        <v>83.59</v>
      </c>
      <c r="I148" s="4082"/>
      <c r="J148" s="4082"/>
      <c r="K148" s="2588"/>
      <c r="M148" s="2511"/>
      <c r="N148" s="2511">
        <v>2762</v>
      </c>
      <c r="O148" s="2511" t="s">
        <v>1160</v>
      </c>
      <c r="P148" s="2512"/>
      <c r="Q148" s="2511">
        <v>0</v>
      </c>
      <c r="R148" s="2511">
        <v>500</v>
      </c>
      <c r="S148" s="2511">
        <v>0</v>
      </c>
      <c r="T148" s="2511">
        <v>500</v>
      </c>
      <c r="U148" s="2518">
        <f>(Q148-S148)</f>
        <v>0</v>
      </c>
      <c r="V148" s="2511">
        <f t="shared" ref="V148" si="100">(R148-T148)</f>
        <v>0</v>
      </c>
      <c r="W148" s="2504"/>
      <c r="AM148" s="2577"/>
      <c r="AN148" s="2577">
        <v>957800</v>
      </c>
      <c r="AO148" s="2577" t="s">
        <v>167</v>
      </c>
      <c r="AP148" s="2578"/>
      <c r="AQ148" s="2577"/>
      <c r="AR148" s="2577">
        <v>110.976</v>
      </c>
      <c r="AS148" s="2577">
        <v>1.1779999999999999</v>
      </c>
      <c r="AT148" s="2577">
        <v>34.521999999999998</v>
      </c>
      <c r="AU148" s="2577"/>
      <c r="AV148" s="2577"/>
      <c r="AW148" s="2570"/>
    </row>
    <row r="149" spans="1:51">
      <c r="A149" s="2595"/>
      <c r="B149" s="2595">
        <v>30822</v>
      </c>
      <c r="C149" s="2595" t="s">
        <v>374</v>
      </c>
      <c r="D149" s="2596"/>
      <c r="E149" s="4080"/>
      <c r="F149" s="4080">
        <v>400</v>
      </c>
      <c r="G149" s="2595">
        <v>6.9109999999999996</v>
      </c>
      <c r="H149" s="2595">
        <v>170.05600000000001</v>
      </c>
      <c r="I149" s="2595"/>
      <c r="J149" s="4080">
        <f>(F149-H149-H150)</f>
        <v>10.129999999999995</v>
      </c>
      <c r="K149" s="2588"/>
      <c r="M149" s="2511"/>
      <c r="N149" s="2511"/>
      <c r="O149" s="2511"/>
      <c r="P149" s="2512"/>
      <c r="Q149" s="2511"/>
      <c r="R149" s="2511"/>
      <c r="S149" s="2511"/>
      <c r="T149" s="2511"/>
      <c r="U149" s="2511"/>
      <c r="V149" s="2511"/>
      <c r="W149" s="2504"/>
      <c r="AM149" s="2579"/>
      <c r="AN149" s="2579"/>
      <c r="AO149" s="2579"/>
      <c r="AP149" s="3504"/>
      <c r="AQ149" s="2581"/>
      <c r="AR149" s="2581"/>
      <c r="AS149" s="2581"/>
      <c r="AT149" s="2581"/>
      <c r="AU149" s="2581"/>
      <c r="AV149" s="2581"/>
      <c r="AW149" s="2570"/>
    </row>
    <row r="150" spans="1:51" ht="30">
      <c r="A150" s="2595"/>
      <c r="B150" s="2595">
        <v>952452</v>
      </c>
      <c r="C150" s="2595" t="s">
        <v>1325</v>
      </c>
      <c r="D150" s="2596"/>
      <c r="E150" s="4082"/>
      <c r="F150" s="4082"/>
      <c r="G150" s="2595">
        <v>3.2189999999999999</v>
      </c>
      <c r="H150" s="2595">
        <v>219.81399999999999</v>
      </c>
      <c r="I150" s="2595"/>
      <c r="J150" s="4082"/>
      <c r="K150" s="2588"/>
      <c r="M150" s="2511"/>
      <c r="N150" s="2511"/>
      <c r="O150" s="2511"/>
      <c r="P150" s="2512"/>
      <c r="Q150" s="2511"/>
      <c r="R150" s="2511"/>
      <c r="S150" s="2511"/>
      <c r="T150" s="2511"/>
      <c r="U150" s="2511"/>
      <c r="V150" s="2511">
        <f t="shared" ref="V150" si="101">(R150-T150)</f>
        <v>0</v>
      </c>
      <c r="W150" s="2504"/>
      <c r="AM150" s="2568"/>
      <c r="AN150" s="2568"/>
      <c r="AO150" s="2568"/>
      <c r="AP150" s="2568"/>
      <c r="AQ150" s="2664">
        <f>SUM(AQ145:AQ149)</f>
        <v>0</v>
      </c>
      <c r="AR150" s="3505">
        <f>SUM(AR145:AR149)</f>
        <v>462.40099999999995</v>
      </c>
      <c r="AS150" s="2664">
        <f>SUM(AS145:AS149)</f>
        <v>1.1779999999999999</v>
      </c>
      <c r="AT150" s="2664">
        <f>SUM(AT145:AT149)</f>
        <v>244.63299999999998</v>
      </c>
      <c r="AU150" s="2664">
        <f>SUM(AU145:AU149)</f>
        <v>0</v>
      </c>
      <c r="AV150" s="2664">
        <f>+AR150-AT150</f>
        <v>217.76799999999997</v>
      </c>
      <c r="AW150" s="2570"/>
    </row>
    <row r="151" spans="1:51">
      <c r="A151" s="2597"/>
      <c r="B151" s="2597"/>
      <c r="C151" s="2597"/>
      <c r="D151" s="2598"/>
      <c r="E151" s="2597"/>
      <c r="F151" s="2597"/>
      <c r="G151" s="2597"/>
      <c r="H151" s="2597"/>
      <c r="I151" s="2597"/>
      <c r="J151" s="2597"/>
      <c r="K151" s="2588"/>
      <c r="M151" s="2513"/>
      <c r="N151" s="2513"/>
      <c r="O151" s="2513"/>
      <c r="P151" s="2514"/>
      <c r="Q151" s="2515">
        <f t="shared" ref="Q151:V151" si="102">SUM(Q148:Q150)</f>
        <v>0</v>
      </c>
      <c r="R151" s="2515">
        <f t="shared" si="102"/>
        <v>500</v>
      </c>
      <c r="S151" s="2515">
        <f t="shared" si="102"/>
        <v>0</v>
      </c>
      <c r="T151" s="2515">
        <f t="shared" si="102"/>
        <v>500</v>
      </c>
      <c r="U151" s="2515">
        <f t="shared" si="102"/>
        <v>0</v>
      </c>
      <c r="V151" s="2515">
        <f t="shared" si="102"/>
        <v>0</v>
      </c>
      <c r="W151" s="2516"/>
    </row>
    <row r="152" spans="1:51">
      <c r="A152" s="2597"/>
      <c r="B152" s="2597"/>
      <c r="C152" s="2597"/>
      <c r="D152" s="2598"/>
      <c r="E152" s="2599"/>
      <c r="F152" s="2599">
        <f>SUM(F145:F151)</f>
        <v>1000</v>
      </c>
      <c r="G152" s="2599">
        <f>SUM(G145:G150)</f>
        <v>44.246000000000002</v>
      </c>
      <c r="H152" s="2599">
        <f>SUM(H145:H150)</f>
        <v>955.75400000000002</v>
      </c>
      <c r="I152" s="2599"/>
      <c r="J152" s="2599">
        <f>+F152-H152</f>
        <v>44.245999999999981</v>
      </c>
      <c r="K152" s="2588"/>
    </row>
    <row r="153" spans="1:51" ht="30">
      <c r="A153" s="3105"/>
      <c r="B153" s="3105"/>
      <c r="C153" s="3105"/>
      <c r="D153" s="3105"/>
      <c r="E153" s="3105"/>
      <c r="F153" s="3105"/>
      <c r="G153" s="3105"/>
      <c r="H153" s="3105"/>
      <c r="I153" s="3105"/>
      <c r="J153" s="3105"/>
      <c r="K153" s="3105"/>
      <c r="AM153" s="2632" t="s">
        <v>1605</v>
      </c>
      <c r="AN153" s="2632"/>
      <c r="AO153" s="2632"/>
      <c r="AP153" s="2632"/>
      <c r="AQ153" s="2632"/>
      <c r="AR153" s="2633"/>
      <c r="AS153" s="2632"/>
      <c r="AT153" s="2632"/>
      <c r="AU153" s="2632"/>
      <c r="AV153" s="2632"/>
      <c r="AW153" s="2634"/>
    </row>
    <row r="154" spans="1:51" ht="30.6" thickBot="1">
      <c r="A154" s="2586" t="s">
        <v>1327</v>
      </c>
      <c r="B154" s="2586"/>
      <c r="C154" s="2586"/>
      <c r="D154" s="2586"/>
      <c r="E154" s="2586"/>
      <c r="F154" s="2587"/>
      <c r="G154" s="2586"/>
      <c r="H154" s="2586"/>
      <c r="I154" s="2586"/>
      <c r="J154" s="2586"/>
      <c r="K154" s="2588"/>
      <c r="M154" s="2568" t="s">
        <v>1208</v>
      </c>
      <c r="N154" s="2568"/>
      <c r="O154" s="2568"/>
      <c r="P154" s="2568"/>
      <c r="Q154" s="2568"/>
      <c r="R154" s="2569"/>
      <c r="S154" s="2568"/>
      <c r="T154" s="2568"/>
      <c r="U154" s="2568"/>
      <c r="V154" s="2568"/>
      <c r="W154" s="2570"/>
      <c r="Y154" s="2502" t="s">
        <v>1312</v>
      </c>
      <c r="Z154" s="2502"/>
      <c r="AA154" s="2502"/>
      <c r="AB154" s="2502"/>
      <c r="AC154" s="2502"/>
      <c r="AD154" s="2503"/>
      <c r="AE154" s="2502"/>
      <c r="AF154" s="2502"/>
      <c r="AG154" s="2502"/>
      <c r="AH154" s="2502"/>
      <c r="AI154" s="2504"/>
      <c r="AM154" s="3532" t="s">
        <v>1604</v>
      </c>
      <c r="AN154" s="2634"/>
      <c r="AO154" s="2634"/>
      <c r="AP154" s="2634"/>
      <c r="AQ154" s="2633"/>
      <c r="AR154" s="2634"/>
      <c r="AS154" s="2634"/>
      <c r="AT154" s="2633" t="s">
        <v>1598</v>
      </c>
      <c r="AU154" s="2634"/>
      <c r="AV154" s="2634"/>
      <c r="AW154" s="2634"/>
    </row>
    <row r="155" spans="1:51" ht="30.6" thickBot="1">
      <c r="A155" s="2586" t="s">
        <v>1332</v>
      </c>
      <c r="B155" s="2588"/>
      <c r="C155" s="2588"/>
      <c r="D155" s="2588"/>
      <c r="E155" s="2589"/>
      <c r="F155" s="2587" t="s">
        <v>1158</v>
      </c>
      <c r="G155" s="2588"/>
      <c r="H155" s="2588"/>
      <c r="I155" s="2588"/>
      <c r="J155" s="2588"/>
      <c r="K155" s="2588"/>
      <c r="M155" s="2568" t="s">
        <v>1209</v>
      </c>
      <c r="N155" s="2570"/>
      <c r="O155" s="2570"/>
      <c r="P155" s="2570"/>
      <c r="Q155" s="2572"/>
      <c r="R155" s="2569" t="s">
        <v>261</v>
      </c>
      <c r="S155" s="2570"/>
      <c r="T155" s="2570"/>
      <c r="U155" s="2570"/>
      <c r="V155" s="2570"/>
      <c r="W155" s="2570"/>
      <c r="Y155" s="2502" t="s">
        <v>1313</v>
      </c>
      <c r="Z155" s="2504"/>
      <c r="AA155" s="2504"/>
      <c r="AB155" s="2504"/>
      <c r="AC155" s="2505"/>
      <c r="AD155" s="2503" t="s">
        <v>1314</v>
      </c>
      <c r="AE155" s="2504"/>
      <c r="AF155" s="2504"/>
      <c r="AG155" s="2504"/>
      <c r="AH155" s="2504"/>
      <c r="AI155" s="2504"/>
      <c r="AM155" s="2635"/>
      <c r="AN155" s="2636"/>
      <c r="AO155" s="2636"/>
      <c r="AP155" s="2636"/>
      <c r="AQ155" s="4053" t="s">
        <v>152</v>
      </c>
      <c r="AR155" s="4054"/>
      <c r="AS155" s="4053" t="s">
        <v>153</v>
      </c>
      <c r="AT155" s="4054"/>
      <c r="AU155" s="3539" t="s">
        <v>154</v>
      </c>
      <c r="AV155" s="3540"/>
      <c r="AW155" s="2639" t="s">
        <v>132</v>
      </c>
    </row>
    <row r="156" spans="1:51" ht="28.8">
      <c r="A156" s="2590"/>
      <c r="B156" s="2589"/>
      <c r="C156" s="2589"/>
      <c r="D156" s="2589"/>
      <c r="E156" s="4076" t="s">
        <v>152</v>
      </c>
      <c r="F156" s="4077"/>
      <c r="G156" s="4076" t="s">
        <v>153</v>
      </c>
      <c r="H156" s="4077"/>
      <c r="I156" s="3139" t="s">
        <v>154</v>
      </c>
      <c r="J156" s="3140"/>
      <c r="K156" s="2593" t="s">
        <v>132</v>
      </c>
      <c r="M156" s="2571"/>
      <c r="N156" s="2572"/>
      <c r="O156" s="2572"/>
      <c r="P156" s="2572"/>
      <c r="Q156" s="4048" t="s">
        <v>152</v>
      </c>
      <c r="R156" s="4049"/>
      <c r="S156" s="4048" t="s">
        <v>153</v>
      </c>
      <c r="T156" s="4049"/>
      <c r="U156" s="2573" t="s">
        <v>154</v>
      </c>
      <c r="V156" s="2574"/>
      <c r="W156" s="2575" t="s">
        <v>132</v>
      </c>
      <c r="Y156" s="2506"/>
      <c r="Z156" s="2505"/>
      <c r="AA156" s="2505"/>
      <c r="AB156" s="2505"/>
      <c r="AC156" s="4070" t="s">
        <v>152</v>
      </c>
      <c r="AD156" s="4071"/>
      <c r="AE156" s="4070" t="s">
        <v>153</v>
      </c>
      <c r="AF156" s="4071"/>
      <c r="AG156" s="3099" t="s">
        <v>154</v>
      </c>
      <c r="AH156" s="3100"/>
      <c r="AI156" s="2509" t="s">
        <v>132</v>
      </c>
      <c r="AM156" s="2640" t="s">
        <v>223</v>
      </c>
      <c r="AN156" s="2640" t="s">
        <v>224</v>
      </c>
      <c r="AO156" s="2640" t="s">
        <v>225</v>
      </c>
      <c r="AP156" s="2640" t="s">
        <v>157</v>
      </c>
      <c r="AQ156" s="2640" t="s">
        <v>944</v>
      </c>
      <c r="AR156" s="2640" t="s">
        <v>1598</v>
      </c>
      <c r="AS156" s="2640" t="s">
        <v>946</v>
      </c>
      <c r="AT156" s="2640" t="s">
        <v>1598</v>
      </c>
      <c r="AU156" s="2640" t="s">
        <v>948</v>
      </c>
      <c r="AV156" s="2640" t="s">
        <v>1598</v>
      </c>
      <c r="AW156" s="2634"/>
    </row>
    <row r="157" spans="1:51" ht="28.8">
      <c r="A157" s="2594" t="s">
        <v>223</v>
      </c>
      <c r="B157" s="2594" t="s">
        <v>224</v>
      </c>
      <c r="C157" s="2594" t="s">
        <v>225</v>
      </c>
      <c r="D157" s="2594" t="s">
        <v>157</v>
      </c>
      <c r="E157" s="2594" t="s">
        <v>944</v>
      </c>
      <c r="F157" s="2594" t="s">
        <v>945</v>
      </c>
      <c r="G157" s="2594" t="s">
        <v>946</v>
      </c>
      <c r="H157" s="2594" t="s">
        <v>947</v>
      </c>
      <c r="I157" s="2594" t="s">
        <v>948</v>
      </c>
      <c r="J157" s="2594" t="s">
        <v>949</v>
      </c>
      <c r="K157" s="2588"/>
      <c r="M157" s="2576" t="s">
        <v>223</v>
      </c>
      <c r="N157" s="2576" t="s">
        <v>224</v>
      </c>
      <c r="O157" s="2576" t="s">
        <v>225</v>
      </c>
      <c r="P157" s="2576" t="s">
        <v>157</v>
      </c>
      <c r="Q157" s="2576" t="s">
        <v>944</v>
      </c>
      <c r="R157" s="2576"/>
      <c r="S157" s="2576" t="s">
        <v>946</v>
      </c>
      <c r="T157" s="2576"/>
      <c r="U157" s="2576" t="s">
        <v>948</v>
      </c>
      <c r="V157" s="2576"/>
      <c r="W157" s="2570"/>
      <c r="Y157" s="2510" t="s">
        <v>223</v>
      </c>
      <c r="Z157" s="2510" t="s">
        <v>224</v>
      </c>
      <c r="AA157" s="2510" t="s">
        <v>225</v>
      </c>
      <c r="AB157" s="2510" t="s">
        <v>157</v>
      </c>
      <c r="AC157" s="2510" t="s">
        <v>944</v>
      </c>
      <c r="AD157" s="2510" t="s">
        <v>1315</v>
      </c>
      <c r="AE157" s="2510" t="s">
        <v>946</v>
      </c>
      <c r="AF157" s="2510" t="s">
        <v>1320</v>
      </c>
      <c r="AG157" s="2510" t="s">
        <v>948</v>
      </c>
      <c r="AH157" s="2510" t="s">
        <v>1321</v>
      </c>
      <c r="AI157" s="2504"/>
      <c r="AM157" s="2640"/>
      <c r="AN157" s="2641">
        <v>961132</v>
      </c>
      <c r="AO157" s="2640" t="s">
        <v>1318</v>
      </c>
      <c r="AP157" s="2640"/>
      <c r="AQ157" s="2640">
        <v>0.94799999999999995</v>
      </c>
      <c r="AR157" s="2640">
        <v>271.89699999999999</v>
      </c>
      <c r="AS157" s="2640"/>
      <c r="AT157" s="2640">
        <v>271.89699999999999</v>
      </c>
      <c r="AU157" s="2641">
        <f t="shared" ref="AU157:AU158" si="103">(AQ157-AS157)</f>
        <v>0.94799999999999995</v>
      </c>
      <c r="AV157" s="2641">
        <f t="shared" ref="AV157:AV158" si="104">(AR157-AT157)</f>
        <v>0</v>
      </c>
      <c r="AW157" s="2634"/>
    </row>
    <row r="158" spans="1:51">
      <c r="A158" s="2595"/>
      <c r="B158" s="2595">
        <v>5286</v>
      </c>
      <c r="C158" s="2595" t="s">
        <v>407</v>
      </c>
      <c r="D158" s="2596"/>
      <c r="E158" s="2595"/>
      <c r="F158" s="4080">
        <v>100</v>
      </c>
      <c r="G158" s="2595">
        <v>0</v>
      </c>
      <c r="H158" s="3155">
        <v>20.085000000000001</v>
      </c>
      <c r="I158" s="2595"/>
      <c r="J158" s="4080">
        <f>(F158-H158-H159-H160-H161)</f>
        <v>2.3969999999999914</v>
      </c>
      <c r="K158" s="2588"/>
      <c r="M158" s="2577"/>
      <c r="N158" s="2577">
        <v>913444</v>
      </c>
      <c r="O158" s="2577" t="s">
        <v>1178</v>
      </c>
      <c r="P158" s="2578"/>
      <c r="Q158" s="2577">
        <v>0</v>
      </c>
      <c r="R158" s="2577"/>
      <c r="S158" s="2577">
        <v>0</v>
      </c>
      <c r="T158" s="2577">
        <v>0</v>
      </c>
      <c r="U158" s="2577">
        <f t="shared" ref="U158:V173" si="105">(Q158-S158)</f>
        <v>0</v>
      </c>
      <c r="V158" s="2577">
        <f t="shared" si="105"/>
        <v>0</v>
      </c>
      <c r="W158" s="2570"/>
      <c r="Y158" s="2511"/>
      <c r="Z158" s="2511">
        <v>952643</v>
      </c>
      <c r="AA158" s="2511" t="s">
        <v>1387</v>
      </c>
      <c r="AB158" s="2512"/>
      <c r="AC158" s="2511"/>
      <c r="AD158" s="2511">
        <v>300</v>
      </c>
      <c r="AE158" s="2511"/>
      <c r="AF158" s="2511">
        <v>309.76</v>
      </c>
      <c r="AG158" s="2518"/>
      <c r="AH158" s="2511">
        <f t="shared" ref="AH158" si="106">(AD158-AF158)</f>
        <v>-9.7599999999999909</v>
      </c>
      <c r="AI158" s="2504"/>
      <c r="AM158" s="2641"/>
      <c r="AN158" s="2641"/>
      <c r="AO158" s="2641" t="s">
        <v>1120</v>
      </c>
      <c r="AP158" s="2642"/>
      <c r="AQ158" s="2641">
        <v>0.84</v>
      </c>
      <c r="AR158" s="2641">
        <v>217.65</v>
      </c>
      <c r="AS158" s="2641"/>
      <c r="AT158" s="2641">
        <v>217.65</v>
      </c>
      <c r="AU158" s="2641">
        <f t="shared" si="103"/>
        <v>0.84</v>
      </c>
      <c r="AV158" s="2641">
        <f t="shared" si="104"/>
        <v>0</v>
      </c>
      <c r="AW158" s="2634"/>
    </row>
    <row r="159" spans="1:51">
      <c r="A159" s="2595"/>
      <c r="B159" s="2595">
        <v>959987</v>
      </c>
      <c r="C159" s="2595" t="s">
        <v>1282</v>
      </c>
      <c r="D159" s="2596"/>
      <c r="E159" s="2595"/>
      <c r="F159" s="4081"/>
      <c r="G159" s="2595">
        <v>0</v>
      </c>
      <c r="H159" s="3155">
        <v>0</v>
      </c>
      <c r="I159" s="2595"/>
      <c r="J159" s="4081"/>
      <c r="K159" s="2588"/>
      <c r="M159" s="2577"/>
      <c r="N159" s="2577">
        <v>923206</v>
      </c>
      <c r="O159" s="2577" t="s">
        <v>1179</v>
      </c>
      <c r="P159" s="2578"/>
      <c r="Q159" s="2577"/>
      <c r="R159" s="2577"/>
      <c r="S159" s="2577"/>
      <c r="T159" s="2577"/>
      <c r="U159" s="2577">
        <f t="shared" si="105"/>
        <v>0</v>
      </c>
      <c r="V159" s="2577"/>
      <c r="W159" s="2570"/>
      <c r="Y159" s="2511"/>
      <c r="Z159" s="2511"/>
      <c r="AA159" s="2511"/>
      <c r="AB159" s="2512"/>
      <c r="AC159" s="2511"/>
      <c r="AD159" s="2511"/>
      <c r="AE159" s="2511"/>
      <c r="AF159" s="2511"/>
      <c r="AG159" s="2511"/>
      <c r="AH159" s="2511"/>
      <c r="AI159" s="2504"/>
      <c r="AM159" s="2643"/>
      <c r="AN159" s="2643"/>
      <c r="AO159" s="2643"/>
      <c r="AP159" s="3538"/>
      <c r="AQ159" s="2645">
        <f>SUM(AQ157:AQ158)</f>
        <v>1.7879999999999998</v>
      </c>
      <c r="AR159" s="2645">
        <f>SUM(AR157:AR158)</f>
        <v>489.54700000000003</v>
      </c>
      <c r="AS159" s="2645">
        <f t="shared" ref="AS159" si="107">SUM(AS158:AS158)</f>
        <v>0</v>
      </c>
      <c r="AT159" s="2645">
        <f>SUM(AT157:AT158)</f>
        <v>489.54700000000003</v>
      </c>
      <c r="AU159" s="2645">
        <f>SUM(AU157:AU158)</f>
        <v>1.7879999999999998</v>
      </c>
      <c r="AV159" s="2645">
        <f>SUM(AV157:AV158)</f>
        <v>0</v>
      </c>
      <c r="AW159" s="2634"/>
    </row>
    <row r="160" spans="1:51">
      <c r="A160" s="2595"/>
      <c r="B160" s="2595">
        <v>959985</v>
      </c>
      <c r="C160" s="2595" t="s">
        <v>1283</v>
      </c>
      <c r="D160" s="2596"/>
      <c r="E160" s="2595"/>
      <c r="F160" s="4081"/>
      <c r="G160" s="2595">
        <v>0</v>
      </c>
      <c r="H160" s="3155">
        <v>0</v>
      </c>
      <c r="I160" s="2595"/>
      <c r="J160" s="4081"/>
      <c r="K160" s="2588"/>
      <c r="M160" s="2577"/>
      <c r="N160" s="2577">
        <v>960352</v>
      </c>
      <c r="O160" s="2577" t="s">
        <v>1180</v>
      </c>
      <c r="P160" s="2578"/>
      <c r="Q160" s="2577"/>
      <c r="R160" s="2577"/>
      <c r="S160" s="2577"/>
      <c r="T160" s="2577"/>
      <c r="U160" s="2577">
        <f t="shared" si="105"/>
        <v>0</v>
      </c>
      <c r="V160" s="2577"/>
      <c r="W160" s="2570"/>
      <c r="Y160" s="2511"/>
      <c r="Z160" s="2511"/>
      <c r="AA160" s="2511"/>
      <c r="AB160" s="2512"/>
      <c r="AC160" s="2511"/>
      <c r="AD160" s="2511"/>
      <c r="AE160" s="2511"/>
      <c r="AF160" s="2511"/>
      <c r="AG160" s="2511"/>
      <c r="AH160" s="2511">
        <f t="shared" ref="AH160" si="108">(AD160-AF160)</f>
        <v>0</v>
      </c>
      <c r="AI160" s="2504"/>
    </row>
    <row r="161" spans="1:58">
      <c r="A161" s="2595"/>
      <c r="B161" s="2595">
        <v>924718</v>
      </c>
      <c r="C161" s="2595" t="s">
        <v>1284</v>
      </c>
      <c r="D161" s="2596"/>
      <c r="E161" s="2595"/>
      <c r="F161" s="4082"/>
      <c r="G161" s="2595">
        <v>2.3969999999999998</v>
      </c>
      <c r="H161" s="3155">
        <v>77.518000000000001</v>
      </c>
      <c r="I161" s="2595"/>
      <c r="J161" s="4082"/>
      <c r="K161" s="2588"/>
      <c r="M161" s="2577"/>
      <c r="N161" s="2577">
        <v>952067</v>
      </c>
      <c r="O161" s="2577" t="s">
        <v>1181</v>
      </c>
      <c r="P161" s="2578"/>
      <c r="Q161" s="2577"/>
      <c r="R161" s="2577"/>
      <c r="S161" s="2577"/>
      <c r="T161" s="2577"/>
      <c r="U161" s="2577">
        <f t="shared" si="105"/>
        <v>0</v>
      </c>
      <c r="V161" s="2577"/>
      <c r="W161" s="2570"/>
      <c r="Y161" s="2513"/>
      <c r="Z161" s="2513"/>
      <c r="AA161" s="2513"/>
      <c r="AB161" s="2514"/>
      <c r="AC161" s="2515"/>
      <c r="AD161" s="2515">
        <f t="shared" ref="AD161:AH161" si="109">SUM(AD158:AD160)</f>
        <v>300</v>
      </c>
      <c r="AE161" s="2515"/>
      <c r="AF161" s="2515">
        <f t="shared" si="109"/>
        <v>309.76</v>
      </c>
      <c r="AG161" s="2515"/>
      <c r="AH161" s="2515">
        <f t="shared" si="109"/>
        <v>-9.7599999999999909</v>
      </c>
      <c r="AI161" s="2516"/>
    </row>
    <row r="162" spans="1:58" ht="30">
      <c r="A162" s="2595"/>
      <c r="B162" s="2595"/>
      <c r="C162" s="2595"/>
      <c r="D162" s="2596"/>
      <c r="E162" s="2595"/>
      <c r="F162" s="2595"/>
      <c r="G162" s="2595"/>
      <c r="H162" s="2595"/>
      <c r="I162" s="2595"/>
      <c r="J162" s="2595"/>
      <c r="K162" s="2588"/>
      <c r="M162" s="2577"/>
      <c r="N162" s="2577">
        <v>35893</v>
      </c>
      <c r="O162" s="2577" t="s">
        <v>1182</v>
      </c>
      <c r="P162" s="2578"/>
      <c r="Q162" s="2577"/>
      <c r="R162" s="2577"/>
      <c r="S162" s="2577"/>
      <c r="T162" s="2577"/>
      <c r="U162" s="2577">
        <f t="shared" si="105"/>
        <v>0</v>
      </c>
      <c r="V162" s="2577"/>
      <c r="W162" s="2570"/>
      <c r="AM162" s="2632" t="s">
        <v>1601</v>
      </c>
      <c r="AN162" s="2632"/>
      <c r="AO162" s="2632"/>
      <c r="AP162" s="2632"/>
      <c r="AQ162" s="2632"/>
      <c r="AR162" s="2633"/>
      <c r="AS162" s="2632"/>
      <c r="AT162" s="2632"/>
      <c r="AU162" s="2632"/>
      <c r="AV162" s="2632"/>
      <c r="AW162" s="2634"/>
    </row>
    <row r="163" spans="1:58" ht="30.6" thickBot="1">
      <c r="A163" s="2595"/>
      <c r="B163" s="2595"/>
      <c r="C163" s="2595"/>
      <c r="D163" s="2596"/>
      <c r="E163" s="2595"/>
      <c r="F163" s="2595"/>
      <c r="G163" s="2595"/>
      <c r="H163" s="2595"/>
      <c r="I163" s="2595"/>
      <c r="J163" s="2595">
        <f t="shared" ref="J163" si="110">(F163-H163)</f>
        <v>0</v>
      </c>
      <c r="K163" s="2588"/>
      <c r="M163" s="2577"/>
      <c r="N163" s="2577">
        <v>950657</v>
      </c>
      <c r="O163" s="2577" t="s">
        <v>1183</v>
      </c>
      <c r="P163" s="2578"/>
      <c r="Q163" s="2577"/>
      <c r="R163" s="2577"/>
      <c r="S163" s="2577"/>
      <c r="T163" s="2577"/>
      <c r="U163" s="2577">
        <f t="shared" si="105"/>
        <v>0</v>
      </c>
      <c r="V163" s="2577"/>
      <c r="W163" s="2570"/>
      <c r="AM163" s="3532" t="s">
        <v>1602</v>
      </c>
      <c r="AN163" s="2634"/>
      <c r="AO163" s="2634"/>
      <c r="AP163" s="2634"/>
      <c r="AQ163" s="2633"/>
      <c r="AR163" s="2634"/>
      <c r="AS163" s="2634"/>
      <c r="AT163" s="2633" t="s">
        <v>1598</v>
      </c>
      <c r="AU163" s="2634"/>
      <c r="AV163" s="2634"/>
      <c r="AW163" s="2634"/>
    </row>
    <row r="164" spans="1:58" ht="30">
      <c r="A164" s="2597"/>
      <c r="B164" s="2597"/>
      <c r="C164" s="2597"/>
      <c r="D164" s="2598"/>
      <c r="E164" s="2597"/>
      <c r="F164" s="2597"/>
      <c r="G164" s="2597"/>
      <c r="H164" s="2597"/>
      <c r="I164" s="2597"/>
      <c r="J164" s="2597"/>
      <c r="K164" s="2588"/>
      <c r="M164" s="2577"/>
      <c r="N164" s="2577">
        <v>925992</v>
      </c>
      <c r="O164" s="2577" t="s">
        <v>1184</v>
      </c>
      <c r="P164" s="2578"/>
      <c r="Q164" s="2577"/>
      <c r="R164" s="2577"/>
      <c r="S164" s="2577"/>
      <c r="T164" s="2577"/>
      <c r="U164" s="2577">
        <f t="shared" si="105"/>
        <v>0</v>
      </c>
      <c r="V164" s="2577"/>
      <c r="W164" s="2570"/>
      <c r="Y164" s="2502" t="s">
        <v>1316</v>
      </c>
      <c r="Z164" s="2502"/>
      <c r="AA164" s="2502"/>
      <c r="AB164" s="2502"/>
      <c r="AC164" s="2502"/>
      <c r="AD164" s="2503"/>
      <c r="AE164" s="2502"/>
      <c r="AF164" s="2502"/>
      <c r="AG164" s="2502"/>
      <c r="AH164" s="2502"/>
      <c r="AI164" s="2504"/>
      <c r="AM164" s="2635"/>
      <c r="AN164" s="2636"/>
      <c r="AO164" s="2636"/>
      <c r="AP164" s="2636"/>
      <c r="AQ164" s="4053" t="s">
        <v>152</v>
      </c>
      <c r="AR164" s="4054"/>
      <c r="AS164" s="4053" t="s">
        <v>153</v>
      </c>
      <c r="AT164" s="4054"/>
      <c r="AU164" s="3534" t="s">
        <v>154</v>
      </c>
      <c r="AV164" s="3535"/>
      <c r="AW164" s="2639" t="s">
        <v>132</v>
      </c>
    </row>
    <row r="165" spans="1:58" ht="30.6" thickBot="1">
      <c r="A165" s="2597"/>
      <c r="B165" s="2597"/>
      <c r="C165" s="2597"/>
      <c r="D165" s="2598"/>
      <c r="E165" s="2599"/>
      <c r="F165" s="2599">
        <f>SUM(F158:F164)</f>
        <v>100</v>
      </c>
      <c r="G165" s="2599"/>
      <c r="H165" s="2599">
        <f>SUM(H158:H163)</f>
        <v>97.603000000000009</v>
      </c>
      <c r="I165" s="2599"/>
      <c r="J165" s="2599">
        <f>+F165-H165</f>
        <v>2.3969999999999914</v>
      </c>
      <c r="K165" s="2588"/>
      <c r="M165" s="2577"/>
      <c r="N165" s="2577">
        <v>951110</v>
      </c>
      <c r="O165" s="2577" t="s">
        <v>1185</v>
      </c>
      <c r="P165" s="2578"/>
      <c r="Q165" s="2577"/>
      <c r="R165" s="2577"/>
      <c r="S165" s="2577"/>
      <c r="T165" s="2577"/>
      <c r="U165" s="2577">
        <f t="shared" si="105"/>
        <v>0</v>
      </c>
      <c r="V165" s="2577"/>
      <c r="W165" s="2570"/>
      <c r="Y165" s="2502" t="s">
        <v>1317</v>
      </c>
      <c r="Z165" s="2504"/>
      <c r="AA165" s="2504"/>
      <c r="AB165" s="2504"/>
      <c r="AC165" s="2505"/>
      <c r="AD165" s="2503" t="s">
        <v>1319</v>
      </c>
      <c r="AE165" s="2504"/>
      <c r="AF165" s="2504"/>
      <c r="AG165" s="2131" t="s">
        <v>1647</v>
      </c>
      <c r="AH165" s="2504"/>
      <c r="AI165" s="2504"/>
      <c r="AM165" s="2640" t="s">
        <v>223</v>
      </c>
      <c r="AN165" s="2640" t="s">
        <v>224</v>
      </c>
      <c r="AO165" s="2640" t="s">
        <v>225</v>
      </c>
      <c r="AP165" s="2640" t="s">
        <v>157</v>
      </c>
      <c r="AQ165" s="2640" t="s">
        <v>944</v>
      </c>
      <c r="AR165" s="2640" t="s">
        <v>1598</v>
      </c>
      <c r="AS165" s="2640" t="s">
        <v>946</v>
      </c>
      <c r="AT165" s="2640" t="s">
        <v>1598</v>
      </c>
      <c r="AU165" s="2640" t="s">
        <v>948</v>
      </c>
      <c r="AV165" s="2640" t="s">
        <v>1598</v>
      </c>
      <c r="AW165" s="2634"/>
      <c r="AZ165" s="2501"/>
      <c r="BA165" s="2501"/>
      <c r="BB165" s="2501"/>
      <c r="BC165" s="2501"/>
      <c r="BD165" s="2501"/>
      <c r="BE165" s="2501"/>
      <c r="BF165" s="2501"/>
    </row>
    <row r="166" spans="1:58" ht="14.4">
      <c r="A166" s="3138"/>
      <c r="B166" s="3138"/>
      <c r="C166" s="3138"/>
      <c r="D166" s="3138"/>
      <c r="E166" s="3138"/>
      <c r="F166" s="3138"/>
      <c r="G166" s="3138"/>
      <c r="H166" s="3138"/>
      <c r="I166" s="3138"/>
      <c r="J166" s="3138"/>
      <c r="K166" s="3138"/>
      <c r="M166" s="2577"/>
      <c r="N166" s="2577">
        <v>960355</v>
      </c>
      <c r="O166" s="2577" t="s">
        <v>1186</v>
      </c>
      <c r="P166" s="2578"/>
      <c r="Q166" s="2577"/>
      <c r="R166" s="2577"/>
      <c r="S166" s="2577"/>
      <c r="T166" s="2577"/>
      <c r="U166" s="2577">
        <f t="shared" si="105"/>
        <v>0</v>
      </c>
      <c r="V166" s="2577"/>
      <c r="W166" s="2570"/>
      <c r="Y166" s="2506"/>
      <c r="Z166" s="2505"/>
      <c r="AA166" s="2505"/>
      <c r="AB166" s="2505"/>
      <c r="AC166" s="4070" t="s">
        <v>152</v>
      </c>
      <c r="AD166" s="4071"/>
      <c r="AE166" s="4070" t="s">
        <v>153</v>
      </c>
      <c r="AF166" s="4071"/>
      <c r="AG166" s="3103" t="s">
        <v>154</v>
      </c>
      <c r="AH166" s="3104"/>
      <c r="AI166" s="2509" t="s">
        <v>132</v>
      </c>
      <c r="AM166" s="2641"/>
      <c r="AN166" s="2641">
        <v>961132</v>
      </c>
      <c r="AO166" s="2641" t="s">
        <v>199</v>
      </c>
      <c r="AP166" s="2642"/>
      <c r="AQ166" s="2641"/>
      <c r="AR166" s="2641">
        <v>322</v>
      </c>
      <c r="AS166" s="2641"/>
      <c r="AT166" s="2641">
        <v>321.99999999999994</v>
      </c>
      <c r="AU166" s="2641">
        <f t="shared" ref="AU166" si="111">(AQ166-AS166)</f>
        <v>0</v>
      </c>
      <c r="AV166" s="3601">
        <f>(AR166-AT166)</f>
        <v>5.6843418860808015E-14</v>
      </c>
      <c r="AW166" s="2634"/>
    </row>
    <row r="167" spans="1:58" ht="28.8">
      <c r="A167" s="3138"/>
      <c r="B167" s="3138"/>
      <c r="C167" s="3138"/>
      <c r="D167" s="3138"/>
      <c r="E167" s="3138"/>
      <c r="F167" s="3138"/>
      <c r="G167" s="3138"/>
      <c r="H167" s="3138"/>
      <c r="I167" s="3138"/>
      <c r="J167" s="3138"/>
      <c r="K167" s="3138"/>
      <c r="M167" s="2577"/>
      <c r="N167" s="2577">
        <v>1680</v>
      </c>
      <c r="O167" s="2577" t="s">
        <v>1187</v>
      </c>
      <c r="P167" s="2578"/>
      <c r="Q167" s="2577"/>
      <c r="R167" s="2577"/>
      <c r="S167" s="2577"/>
      <c r="T167" s="2577"/>
      <c r="U167" s="2577">
        <f t="shared" si="105"/>
        <v>0</v>
      </c>
      <c r="V167" s="2577"/>
      <c r="W167" s="2570"/>
      <c r="Y167" s="2510" t="s">
        <v>223</v>
      </c>
      <c r="Z167" s="2510" t="s">
        <v>224</v>
      </c>
      <c r="AA167" s="2510" t="s">
        <v>225</v>
      </c>
      <c r="AB167" s="2510" t="s">
        <v>157</v>
      </c>
      <c r="AC167" s="2510" t="s">
        <v>944</v>
      </c>
      <c r="AD167" s="2510" t="s">
        <v>945</v>
      </c>
      <c r="AE167" s="2510" t="s">
        <v>946</v>
      </c>
      <c r="AF167" s="2510" t="s">
        <v>947</v>
      </c>
      <c r="AG167" s="2510" t="s">
        <v>948</v>
      </c>
      <c r="AH167" s="2510" t="s">
        <v>949</v>
      </c>
      <c r="AI167" s="2504"/>
      <c r="AM167" s="2643"/>
      <c r="AN167" s="2643"/>
      <c r="AO167" s="2643"/>
      <c r="AP167" s="3533"/>
      <c r="AQ167" s="2645">
        <f t="shared" ref="AQ167:AV167" si="112">SUM(AQ166:AQ166)</f>
        <v>0</v>
      </c>
      <c r="AR167" s="2645">
        <f t="shared" si="112"/>
        <v>322</v>
      </c>
      <c r="AS167" s="2645">
        <f t="shared" si="112"/>
        <v>0</v>
      </c>
      <c r="AT167" s="2645">
        <f t="shared" si="112"/>
        <v>321.99999999999994</v>
      </c>
      <c r="AU167" s="2645">
        <f t="shared" si="112"/>
        <v>0</v>
      </c>
      <c r="AV167" s="2645">
        <f t="shared" si="112"/>
        <v>5.6843418860808015E-14</v>
      </c>
      <c r="AW167" s="2634"/>
    </row>
    <row r="168" spans="1:58" ht="30">
      <c r="A168" s="2586" t="s">
        <v>1364</v>
      </c>
      <c r="B168" s="2586"/>
      <c r="C168" s="2586"/>
      <c r="D168" s="2586"/>
      <c r="E168" s="2586"/>
      <c r="F168" s="2587"/>
      <c r="G168" s="2586"/>
      <c r="H168" s="2586"/>
      <c r="I168" s="2586"/>
      <c r="J168" s="2586"/>
      <c r="K168" s="2588"/>
      <c r="M168" s="2577"/>
      <c r="N168" s="2577">
        <v>950454</v>
      </c>
      <c r="O168" s="2577" t="s">
        <v>1188</v>
      </c>
      <c r="P168" s="2578"/>
      <c r="Q168" s="2577"/>
      <c r="R168" s="2577"/>
      <c r="S168" s="2577"/>
      <c r="T168" s="2577"/>
      <c r="U168" s="2577">
        <f t="shared" si="105"/>
        <v>0</v>
      </c>
      <c r="V168" s="2577"/>
      <c r="W168" s="2570"/>
      <c r="Y168" s="2511"/>
      <c r="Z168" s="2511">
        <v>961132</v>
      </c>
      <c r="AA168" s="2511" t="s">
        <v>1318</v>
      </c>
      <c r="AB168" s="2512"/>
      <c r="AC168" s="2511"/>
      <c r="AD168" s="2511">
        <v>1450</v>
      </c>
      <c r="AE168" s="2511"/>
      <c r="AF168" s="3588">
        <v>1450.0000000000005</v>
      </c>
      <c r="AG168" s="2518"/>
      <c r="AH168" s="3575">
        <f>(AD168-AF168)</f>
        <v>-4.5474735088646412E-13</v>
      </c>
      <c r="AI168" s="2504"/>
    </row>
    <row r="169" spans="1:58" ht="30.6" thickBot="1">
      <c r="A169" s="2586" t="s">
        <v>1355</v>
      </c>
      <c r="B169" s="2588"/>
      <c r="C169" s="2588"/>
      <c r="D169" s="2588"/>
      <c r="E169" s="2589"/>
      <c r="F169" s="2587" t="s">
        <v>1158</v>
      </c>
      <c r="G169" s="2588"/>
      <c r="H169" s="2588"/>
      <c r="I169" s="2588"/>
      <c r="J169" s="2588"/>
      <c r="K169" s="2588"/>
      <c r="M169" s="2577"/>
      <c r="N169" s="2577">
        <v>926662</v>
      </c>
      <c r="O169" s="2577" t="s">
        <v>1189</v>
      </c>
      <c r="P169" s="2578"/>
      <c r="Q169" s="2577"/>
      <c r="R169" s="2577"/>
      <c r="S169" s="2577"/>
      <c r="T169" s="2577"/>
      <c r="U169" s="2577">
        <f t="shared" si="105"/>
        <v>0</v>
      </c>
      <c r="V169" s="2577"/>
      <c r="W169" s="2570"/>
      <c r="Y169" s="2511"/>
      <c r="Z169" s="2511"/>
      <c r="AA169" s="2511"/>
      <c r="AB169" s="2512"/>
      <c r="AC169" s="2511"/>
      <c r="AD169" s="2511"/>
      <c r="AE169" s="2511"/>
      <c r="AF169" s="2511"/>
      <c r="AG169" s="2511"/>
      <c r="AH169" s="2511"/>
      <c r="AI169" s="2504"/>
    </row>
    <row r="170" spans="1:58" ht="30">
      <c r="A170" s="2590"/>
      <c r="B170" s="2589"/>
      <c r="C170" s="2589"/>
      <c r="D170" s="2589"/>
      <c r="E170" s="4076" t="s">
        <v>152</v>
      </c>
      <c r="F170" s="4077"/>
      <c r="G170" s="4076" t="s">
        <v>153</v>
      </c>
      <c r="H170" s="4077"/>
      <c r="I170" s="3161" t="s">
        <v>154</v>
      </c>
      <c r="J170" s="3162"/>
      <c r="K170" s="2593" t="s">
        <v>132</v>
      </c>
      <c r="M170" s="2577"/>
      <c r="N170" s="2577">
        <v>921881</v>
      </c>
      <c r="O170" s="2577" t="s">
        <v>1190</v>
      </c>
      <c r="P170" s="2578"/>
      <c r="Q170" s="2577"/>
      <c r="R170" s="2577"/>
      <c r="S170" s="2577"/>
      <c r="T170" s="2577"/>
      <c r="U170" s="2577">
        <f t="shared" si="105"/>
        <v>0</v>
      </c>
      <c r="V170" s="2577"/>
      <c r="W170" s="2570"/>
      <c r="Y170" s="2511"/>
      <c r="Z170" s="2511"/>
      <c r="AA170" s="2511"/>
      <c r="AB170" s="2512"/>
      <c r="AC170" s="2511"/>
      <c r="AD170" s="2511"/>
      <c r="AE170" s="2511"/>
      <c r="AF170" s="2511"/>
      <c r="AG170" s="2511"/>
      <c r="AH170" s="2511">
        <f t="shared" ref="AH170" si="113">(AD170-AF170)</f>
        <v>0</v>
      </c>
      <c r="AI170" s="2504"/>
      <c r="AM170" s="2632" t="s">
        <v>1608</v>
      </c>
      <c r="AN170" s="2632"/>
      <c r="AO170" s="2632"/>
      <c r="AP170" s="2632"/>
      <c r="AQ170" s="2632"/>
      <c r="AR170" s="2633"/>
      <c r="AS170" s="2632"/>
      <c r="AT170" s="2632"/>
      <c r="AU170" s="2632"/>
      <c r="AV170" s="2632"/>
      <c r="AW170" s="2634"/>
    </row>
    <row r="171" spans="1:58" ht="30.6" thickBot="1">
      <c r="A171" s="2594" t="s">
        <v>223</v>
      </c>
      <c r="B171" s="2594" t="s">
        <v>224</v>
      </c>
      <c r="C171" s="2594" t="s">
        <v>225</v>
      </c>
      <c r="D171" s="2594" t="s">
        <v>157</v>
      </c>
      <c r="E171" s="2594" t="s">
        <v>944</v>
      </c>
      <c r="F171" s="2594" t="s">
        <v>945</v>
      </c>
      <c r="G171" s="2594" t="s">
        <v>946</v>
      </c>
      <c r="H171" s="2594" t="s">
        <v>947</v>
      </c>
      <c r="I171" s="2594" t="s">
        <v>948</v>
      </c>
      <c r="J171" s="2594" t="s">
        <v>949</v>
      </c>
      <c r="K171" s="2588"/>
      <c r="M171" s="2577"/>
      <c r="N171" s="2577">
        <v>955847</v>
      </c>
      <c r="O171" s="2577" t="s">
        <v>1191</v>
      </c>
      <c r="P171" s="2578"/>
      <c r="Q171" s="2577"/>
      <c r="R171" s="2577"/>
      <c r="S171" s="2577"/>
      <c r="T171" s="2577"/>
      <c r="U171" s="2577">
        <f t="shared" si="105"/>
        <v>0</v>
      </c>
      <c r="V171" s="2577"/>
      <c r="W171" s="2570"/>
      <c r="Y171" s="2513"/>
      <c r="Z171" s="2513"/>
      <c r="AA171" s="2513"/>
      <c r="AB171" s="2514"/>
      <c r="AC171" s="2515"/>
      <c r="AD171" s="2515">
        <f t="shared" ref="AD171:AF171" si="114">SUM(AD168:AD170)</f>
        <v>1450</v>
      </c>
      <c r="AE171" s="2515"/>
      <c r="AF171" s="2515">
        <f t="shared" si="114"/>
        <v>1450.0000000000005</v>
      </c>
      <c r="AG171" s="2515"/>
      <c r="AH171" s="3576">
        <f>SUM(AH168:AH170)</f>
        <v>-4.5474735088646412E-13</v>
      </c>
      <c r="AI171" s="3486">
        <v>41971</v>
      </c>
      <c r="AM171" s="3532" t="s">
        <v>1607</v>
      </c>
      <c r="AN171" s="2634"/>
      <c r="AO171" s="2634"/>
      <c r="AP171" s="2634"/>
      <c r="AQ171" s="2633"/>
      <c r="AR171" s="2634"/>
      <c r="AS171" s="2634"/>
      <c r="AT171" s="2633" t="s">
        <v>1598</v>
      </c>
      <c r="AU171" s="2634"/>
      <c r="AV171" s="2634"/>
      <c r="AW171" s="2634"/>
    </row>
    <row r="172" spans="1:58" ht="14.4">
      <c r="A172" s="2595"/>
      <c r="B172" s="2595">
        <v>960761</v>
      </c>
      <c r="C172" s="2595" t="s">
        <v>1356</v>
      </c>
      <c r="D172" s="2596"/>
      <c r="E172" s="2595"/>
      <c r="F172" s="4080">
        <v>700</v>
      </c>
      <c r="G172" s="2595">
        <v>13.853999999999999</v>
      </c>
      <c r="H172" s="3155">
        <v>124.42400000000001</v>
      </c>
      <c r="I172" s="2595"/>
      <c r="J172" s="4080">
        <f>(F172-H172-H173-H174-H175-H176)</f>
        <v>76.856000000000051</v>
      </c>
      <c r="K172" s="2588"/>
      <c r="M172" s="2577"/>
      <c r="N172" s="2577">
        <v>955947</v>
      </c>
      <c r="O172" s="2577" t="s">
        <v>1192</v>
      </c>
      <c r="P172" s="2578"/>
      <c r="Q172" s="2577"/>
      <c r="R172" s="2577"/>
      <c r="S172" s="2577"/>
      <c r="T172" s="2577"/>
      <c r="U172" s="2577">
        <f t="shared" si="105"/>
        <v>0</v>
      </c>
      <c r="V172" s="2577"/>
      <c r="W172" s="2570"/>
      <c r="AI172" s="2131" t="s">
        <v>1647</v>
      </c>
      <c r="AJ172" s="1690" t="s">
        <v>1650</v>
      </c>
      <c r="AM172" s="2635"/>
      <c r="AN172" s="2636"/>
      <c r="AO172" s="2636"/>
      <c r="AP172" s="2636"/>
      <c r="AQ172" s="4053" t="s">
        <v>152</v>
      </c>
      <c r="AR172" s="4054"/>
      <c r="AS172" s="4053" t="s">
        <v>153</v>
      </c>
      <c r="AT172" s="4054"/>
      <c r="AU172" s="3539" t="s">
        <v>154</v>
      </c>
      <c r="AV172" s="3540"/>
      <c r="AW172" s="2639" t="s">
        <v>132</v>
      </c>
    </row>
    <row r="173" spans="1:58" ht="28.8">
      <c r="A173" s="2595"/>
      <c r="B173" s="2595">
        <v>959062</v>
      </c>
      <c r="C173" s="2595" t="s">
        <v>1357</v>
      </c>
      <c r="D173" s="2596"/>
      <c r="E173" s="2595"/>
      <c r="F173" s="4081"/>
      <c r="G173" s="2595">
        <v>8.0310000000000006</v>
      </c>
      <c r="H173" s="3155">
        <v>122.387</v>
      </c>
      <c r="I173" s="2595"/>
      <c r="J173" s="4081"/>
      <c r="K173" s="2588"/>
      <c r="M173" s="2577"/>
      <c r="N173" s="2577">
        <v>922252</v>
      </c>
      <c r="O173" s="2577" t="s">
        <v>1193</v>
      </c>
      <c r="P173" s="2578"/>
      <c r="Q173" s="2577"/>
      <c r="R173" s="2577"/>
      <c r="S173" s="2577"/>
      <c r="T173" s="2577"/>
      <c r="U173" s="2577">
        <f t="shared" si="105"/>
        <v>0</v>
      </c>
      <c r="V173" s="2577"/>
      <c r="W173" s="2570"/>
      <c r="AJ173" s="2266"/>
      <c r="AM173" s="2640" t="s">
        <v>223</v>
      </c>
      <c r="AN173" s="2640" t="s">
        <v>224</v>
      </c>
      <c r="AO173" s="2640" t="s">
        <v>225</v>
      </c>
      <c r="AP173" s="2640" t="s">
        <v>157</v>
      </c>
      <c r="AQ173" s="2640" t="s">
        <v>944</v>
      </c>
      <c r="AR173" s="2640" t="s">
        <v>1598</v>
      </c>
      <c r="AS173" s="2640" t="s">
        <v>946</v>
      </c>
      <c r="AT173" s="2640" t="s">
        <v>1598</v>
      </c>
      <c r="AU173" s="2640" t="s">
        <v>948</v>
      </c>
      <c r="AV173" s="2640" t="s">
        <v>1598</v>
      </c>
      <c r="AW173" s="2634"/>
    </row>
    <row r="174" spans="1:58" ht="30">
      <c r="A174" s="2595"/>
      <c r="B174" s="2595">
        <v>958078</v>
      </c>
      <c r="C174" s="2595" t="s">
        <v>1358</v>
      </c>
      <c r="D174" s="2596"/>
      <c r="E174" s="2595"/>
      <c r="F174" s="4081"/>
      <c r="G174" s="2595">
        <v>6.3419999999999996</v>
      </c>
      <c r="H174" s="3155">
        <v>98.388000000000005</v>
      </c>
      <c r="I174" s="2595"/>
      <c r="J174" s="4081"/>
      <c r="K174" s="2588"/>
      <c r="M174" s="2577"/>
      <c r="N174" s="2577">
        <v>951184</v>
      </c>
      <c r="O174" s="2577" t="s">
        <v>1194</v>
      </c>
      <c r="P174" s="2578"/>
      <c r="Q174" s="2577"/>
      <c r="R174" s="2577"/>
      <c r="S174" s="2577"/>
      <c r="T174" s="2577"/>
      <c r="U174" s="2577">
        <f t="shared" ref="U174:U189" si="115">(Q174-S174)</f>
        <v>0</v>
      </c>
      <c r="V174" s="2577"/>
      <c r="W174" s="2570"/>
      <c r="Y174" s="3457" t="s">
        <v>1606</v>
      </c>
      <c r="Z174" s="3457"/>
      <c r="AA174" s="3457"/>
      <c r="AB174" s="3457"/>
      <c r="AC174" s="3457"/>
      <c r="AD174" s="3458"/>
      <c r="AE174" s="3457"/>
      <c r="AF174" s="3457"/>
      <c r="AG174" s="3457"/>
      <c r="AH174" s="3457"/>
      <c r="AI174" s="3459"/>
      <c r="AM174" s="2640"/>
      <c r="AN174" s="2641">
        <v>951220</v>
      </c>
      <c r="AO174" s="2640" t="s">
        <v>246</v>
      </c>
      <c r="AP174" s="2640"/>
      <c r="AQ174" s="2640">
        <v>9</v>
      </c>
      <c r="AR174" s="2640">
        <v>307</v>
      </c>
      <c r="AS174" s="2640">
        <v>0</v>
      </c>
      <c r="AT174" s="2640">
        <v>307</v>
      </c>
      <c r="AU174" s="2641">
        <f t="shared" ref="AU174:AU177" si="116">(AQ174-AS174)</f>
        <v>9</v>
      </c>
      <c r="AV174" s="2641">
        <f t="shared" ref="AV174:AV177" si="117">(AR174-AT174)</f>
        <v>0</v>
      </c>
      <c r="AW174" s="2634"/>
    </row>
    <row r="175" spans="1:58" ht="30.6" thickBot="1">
      <c r="A175" s="2595"/>
      <c r="B175" s="2595">
        <v>960936</v>
      </c>
      <c r="C175" s="2595" t="s">
        <v>1359</v>
      </c>
      <c r="D175" s="2596"/>
      <c r="E175" s="2595"/>
      <c r="F175" s="4081"/>
      <c r="G175" s="2595">
        <v>23.718</v>
      </c>
      <c r="H175" s="3155">
        <v>156.85499999999999</v>
      </c>
      <c r="I175" s="2595"/>
      <c r="J175" s="4081"/>
      <c r="K175" s="2588"/>
      <c r="M175" s="2577"/>
      <c r="N175" s="2577">
        <v>92226</v>
      </c>
      <c r="O175" s="2577" t="s">
        <v>1195</v>
      </c>
      <c r="P175" s="2578"/>
      <c r="Q175" s="2577"/>
      <c r="R175" s="2577"/>
      <c r="S175" s="2577"/>
      <c r="T175" s="2577"/>
      <c r="U175" s="2577">
        <f t="shared" si="115"/>
        <v>0</v>
      </c>
      <c r="V175" s="2577"/>
      <c r="W175" s="2570"/>
      <c r="Y175" s="3457" t="s">
        <v>1322</v>
      </c>
      <c r="Z175" s="3459"/>
      <c r="AA175" s="3459"/>
      <c r="AB175" s="3459"/>
      <c r="AC175" s="3460"/>
      <c r="AD175" s="3458" t="s">
        <v>1319</v>
      </c>
      <c r="AE175" s="3459"/>
      <c r="AF175" s="3459"/>
      <c r="AG175" s="3459"/>
      <c r="AH175" s="3459"/>
      <c r="AI175" s="3459"/>
      <c r="AM175" s="2640"/>
      <c r="AN175" s="2641">
        <v>958703</v>
      </c>
      <c r="AO175" s="2640" t="s">
        <v>264</v>
      </c>
      <c r="AP175" s="2640"/>
      <c r="AQ175" s="2640">
        <v>9</v>
      </c>
      <c r="AR175" s="2640">
        <v>307</v>
      </c>
      <c r="AS175" s="2640">
        <v>0</v>
      </c>
      <c r="AT175" s="2640">
        <v>301.44099999999997</v>
      </c>
      <c r="AU175" s="2641">
        <f t="shared" si="116"/>
        <v>9</v>
      </c>
      <c r="AV175" s="2641">
        <f t="shared" si="117"/>
        <v>5.5590000000000259</v>
      </c>
      <c r="AW175" s="2634"/>
      <c r="AX175" s="2501"/>
      <c r="AY175" s="2501"/>
    </row>
    <row r="176" spans="1:58" ht="14.4">
      <c r="A176" s="2595"/>
      <c r="B176" s="2595">
        <v>958573</v>
      </c>
      <c r="C176" s="2595" t="s">
        <v>1360</v>
      </c>
      <c r="D176" s="2596"/>
      <c r="E176" s="2595"/>
      <c r="F176" s="4082"/>
      <c r="G176" s="2595">
        <v>19.11</v>
      </c>
      <c r="H176" s="2595">
        <v>121.09</v>
      </c>
      <c r="I176" s="2595"/>
      <c r="J176" s="4082"/>
      <c r="K176" s="2588"/>
      <c r="M176" s="2577"/>
      <c r="N176" s="2577">
        <v>952905</v>
      </c>
      <c r="O176" s="2577" t="s">
        <v>1196</v>
      </c>
      <c r="P176" s="2578"/>
      <c r="Q176" s="2577"/>
      <c r="R176" s="2577"/>
      <c r="S176" s="2577"/>
      <c r="T176" s="2577"/>
      <c r="U176" s="2577">
        <f t="shared" si="115"/>
        <v>0</v>
      </c>
      <c r="V176" s="2577"/>
      <c r="W176" s="2570"/>
      <c r="Y176" s="3461"/>
      <c r="Z176" s="3460"/>
      <c r="AA176" s="3460"/>
      <c r="AB176" s="3460"/>
      <c r="AC176" s="4072" t="s">
        <v>152</v>
      </c>
      <c r="AD176" s="4073"/>
      <c r="AE176" s="4072" t="s">
        <v>153</v>
      </c>
      <c r="AF176" s="4073"/>
      <c r="AG176" s="3462" t="s">
        <v>154</v>
      </c>
      <c r="AH176" s="3463"/>
      <c r="AI176" s="3464" t="s">
        <v>132</v>
      </c>
      <c r="AM176" s="2640"/>
      <c r="AN176" s="2641">
        <v>953053</v>
      </c>
      <c r="AO176" s="2640" t="s">
        <v>959</v>
      </c>
      <c r="AP176" s="2640"/>
      <c r="AQ176" s="2640">
        <v>9</v>
      </c>
      <c r="AR176" s="2640">
        <v>307</v>
      </c>
      <c r="AS176" s="2640">
        <v>0</v>
      </c>
      <c r="AT176" s="2640">
        <v>307</v>
      </c>
      <c r="AU176" s="2641">
        <f t="shared" si="116"/>
        <v>9</v>
      </c>
      <c r="AV176" s="2641">
        <f t="shared" si="117"/>
        <v>0</v>
      </c>
      <c r="AW176" s="2634"/>
    </row>
    <row r="177" spans="1:49" ht="28.8">
      <c r="A177" s="2595"/>
      <c r="B177" s="2595"/>
      <c r="C177" s="2595"/>
      <c r="D177" s="2596"/>
      <c r="E177" s="2595"/>
      <c r="F177" s="2595"/>
      <c r="G177" s="2595"/>
      <c r="H177" s="2595"/>
      <c r="I177" s="2595"/>
      <c r="J177" s="2595">
        <f t="shared" ref="J177" si="118">(F177-H177)</f>
        <v>0</v>
      </c>
      <c r="K177" s="2588"/>
      <c r="M177" s="2577"/>
      <c r="N177" s="2577">
        <v>959822</v>
      </c>
      <c r="O177" s="2577" t="s">
        <v>1197</v>
      </c>
      <c r="P177" s="2578"/>
      <c r="Q177" s="2577"/>
      <c r="R177" s="2577"/>
      <c r="S177" s="2577"/>
      <c r="T177" s="2577"/>
      <c r="U177" s="2577">
        <f t="shared" si="115"/>
        <v>0</v>
      </c>
      <c r="V177" s="2577"/>
      <c r="W177" s="2570"/>
      <c r="Y177" s="3465" t="s">
        <v>223</v>
      </c>
      <c r="Z177" s="3465" t="s">
        <v>224</v>
      </c>
      <c r="AA177" s="3465" t="s">
        <v>225</v>
      </c>
      <c r="AB177" s="3465" t="s">
        <v>157</v>
      </c>
      <c r="AC177" s="3465" t="s">
        <v>944</v>
      </c>
      <c r="AD177" s="3465" t="s">
        <v>945</v>
      </c>
      <c r="AE177" s="3465" t="s">
        <v>946</v>
      </c>
      <c r="AF177" s="3465" t="s">
        <v>947</v>
      </c>
      <c r="AG177" s="3465" t="s">
        <v>948</v>
      </c>
      <c r="AH177" s="3465" t="s">
        <v>949</v>
      </c>
      <c r="AI177" s="3459"/>
      <c r="AM177" s="2641"/>
      <c r="AN177" s="2641">
        <v>951254</v>
      </c>
      <c r="AO177" s="2641" t="s">
        <v>247</v>
      </c>
      <c r="AP177" s="2642"/>
      <c r="AQ177" s="2641">
        <v>10</v>
      </c>
      <c r="AR177" s="2641">
        <v>309</v>
      </c>
      <c r="AS177" s="2641">
        <v>4.0880000000000001</v>
      </c>
      <c r="AT177" s="2641">
        <v>305.14200000000005</v>
      </c>
      <c r="AU177" s="2641">
        <f t="shared" si="116"/>
        <v>5.9119999999999999</v>
      </c>
      <c r="AV177" s="2641">
        <f t="shared" si="117"/>
        <v>3.8579999999999472</v>
      </c>
      <c r="AW177" s="2634"/>
    </row>
    <row r="178" spans="1:49">
      <c r="A178" s="2597"/>
      <c r="B178" s="2597"/>
      <c r="C178" s="2597"/>
      <c r="D178" s="3160"/>
      <c r="E178" s="2597"/>
      <c r="F178" s="2597"/>
      <c r="G178" s="2597"/>
      <c r="H178" s="2597"/>
      <c r="I178" s="2597"/>
      <c r="J178" s="2597"/>
      <c r="K178" s="2588"/>
      <c r="M178" s="2577"/>
      <c r="N178" s="2577">
        <v>9543772</v>
      </c>
      <c r="O178" s="2577" t="s">
        <v>1198</v>
      </c>
      <c r="P178" s="2578"/>
      <c r="Q178" s="2577"/>
      <c r="R178" s="2577"/>
      <c r="S178" s="2577"/>
      <c r="T178" s="2577"/>
      <c r="U178" s="2577">
        <f t="shared" si="115"/>
        <v>0</v>
      </c>
      <c r="V178" s="2577"/>
      <c r="W178" s="2570"/>
      <c r="Y178" s="3466"/>
      <c r="Z178" s="3466">
        <v>960903</v>
      </c>
      <c r="AA178" s="3466" t="s">
        <v>192</v>
      </c>
      <c r="AB178" s="3467"/>
      <c r="AC178" s="3466"/>
      <c r="AD178" s="3466">
        <v>200</v>
      </c>
      <c r="AE178" s="3466"/>
      <c r="AF178" s="3466">
        <v>60.418999999999997</v>
      </c>
      <c r="AG178" s="3468"/>
      <c r="AH178" s="3466">
        <f t="shared" ref="AH178" si="119">(AD178-AF178)</f>
        <v>139.58100000000002</v>
      </c>
      <c r="AI178" s="3459"/>
      <c r="AM178" s="2643"/>
      <c r="AN178" s="2643"/>
      <c r="AO178" s="2643"/>
      <c r="AP178" s="3538"/>
      <c r="AQ178" s="2645">
        <f>SUM(AQ174:AQ177)</f>
        <v>37</v>
      </c>
      <c r="AR178" s="2645">
        <f>SUM(AR174:AR177)</f>
        <v>1230</v>
      </c>
      <c r="AS178" s="2645">
        <f t="shared" ref="AS178" si="120">SUM(AS177:AS177)</f>
        <v>4.0880000000000001</v>
      </c>
      <c r="AT178" s="2645">
        <f>SUM(AT174:AT177)</f>
        <v>1220.5830000000001</v>
      </c>
      <c r="AU178" s="2645">
        <f>SUM(AU174:AU177)</f>
        <v>32.911999999999999</v>
      </c>
      <c r="AV178" s="2645">
        <f>SUM(AV174:AV177)</f>
        <v>9.4169999999999732</v>
      </c>
      <c r="AW178" s="2634"/>
    </row>
    <row r="179" spans="1:49">
      <c r="A179" s="2597"/>
      <c r="B179" s="2597"/>
      <c r="C179" s="2597"/>
      <c r="D179" s="3160"/>
      <c r="E179" s="2599"/>
      <c r="F179" s="2599">
        <v>700</v>
      </c>
      <c r="G179" s="2599">
        <f>SUM(G172:G177)</f>
        <v>71.054999999999993</v>
      </c>
      <c r="H179" s="2599">
        <f>SUM(H172:H177)</f>
        <v>623.14400000000001</v>
      </c>
      <c r="I179" s="2599"/>
      <c r="J179" s="2599">
        <f>+F179-H179</f>
        <v>76.855999999999995</v>
      </c>
      <c r="K179" s="2588"/>
      <c r="M179" s="2577"/>
      <c r="N179" s="2577">
        <v>913416</v>
      </c>
      <c r="O179" s="2577" t="s">
        <v>1199</v>
      </c>
      <c r="P179" s="2578"/>
      <c r="Q179" s="2577"/>
      <c r="R179" s="2577"/>
      <c r="S179" s="2577"/>
      <c r="T179" s="2577"/>
      <c r="U179" s="2577">
        <f t="shared" si="115"/>
        <v>0</v>
      </c>
      <c r="V179" s="2577"/>
      <c r="W179" s="2570"/>
      <c r="Y179" s="3466"/>
      <c r="Z179" s="3466"/>
      <c r="AA179" s="3466"/>
      <c r="AB179" s="3467"/>
      <c r="AC179" s="3466"/>
      <c r="AD179" s="3466"/>
      <c r="AE179" s="3466"/>
      <c r="AF179" s="3466"/>
      <c r="AG179" s="3466"/>
      <c r="AH179" s="3466"/>
      <c r="AI179" s="3459"/>
    </row>
    <row r="180" spans="1:49">
      <c r="A180" s="3159"/>
      <c r="B180" s="3159"/>
      <c r="C180" s="3159"/>
      <c r="D180" s="3159"/>
      <c r="E180" s="3159"/>
      <c r="F180" s="3159"/>
      <c r="G180" s="3159"/>
      <c r="H180" s="3159"/>
      <c r="I180" s="3159"/>
      <c r="J180" s="3159"/>
      <c r="K180" s="3159"/>
      <c r="M180" s="2577"/>
      <c r="N180" s="2577">
        <v>953967</v>
      </c>
      <c r="O180" s="2577" t="s">
        <v>1200</v>
      </c>
      <c r="P180" s="2578"/>
      <c r="Q180" s="2577"/>
      <c r="R180" s="2577"/>
      <c r="S180" s="2577"/>
      <c r="T180" s="2577"/>
      <c r="U180" s="2577">
        <f t="shared" si="115"/>
        <v>0</v>
      </c>
      <c r="V180" s="2577"/>
      <c r="W180" s="2570"/>
      <c r="Y180" s="3466"/>
      <c r="Z180" s="3466"/>
      <c r="AA180" s="3466"/>
      <c r="AB180" s="3467"/>
      <c r="AC180" s="3466"/>
      <c r="AD180" s="3466"/>
      <c r="AE180" s="3466"/>
      <c r="AF180" s="3466"/>
      <c r="AG180" s="3466"/>
      <c r="AH180" s="3466">
        <f t="shared" ref="AH180" si="121">(AD180-AF180)</f>
        <v>0</v>
      </c>
      <c r="AI180" s="3459"/>
    </row>
    <row r="181" spans="1:49" ht="30">
      <c r="A181" s="3188"/>
      <c r="B181" s="3188"/>
      <c r="C181" s="3188"/>
      <c r="D181" s="3188"/>
      <c r="E181" s="3188"/>
      <c r="F181" s="3188"/>
      <c r="G181" s="3188"/>
      <c r="H181" s="3188"/>
      <c r="I181" s="3188"/>
      <c r="J181" s="3188"/>
      <c r="K181" s="3188"/>
      <c r="M181" s="2577"/>
      <c r="N181" s="2577">
        <v>912906</v>
      </c>
      <c r="O181" s="2577" t="s">
        <v>1201</v>
      </c>
      <c r="P181" s="2578"/>
      <c r="Q181" s="2577"/>
      <c r="R181" s="2577"/>
      <c r="S181" s="2577"/>
      <c r="T181" s="2577"/>
      <c r="U181" s="2577">
        <f t="shared" si="115"/>
        <v>0</v>
      </c>
      <c r="V181" s="2577"/>
      <c r="W181" s="2570"/>
      <c r="Y181" s="3469"/>
      <c r="Z181" s="3469"/>
      <c r="AA181" s="3469"/>
      <c r="AB181" s="3470"/>
      <c r="AC181" s="3471"/>
      <c r="AD181" s="3471">
        <f t="shared" ref="AD181" si="122">SUM(AD178:AD180)</f>
        <v>200</v>
      </c>
      <c r="AE181" s="3471"/>
      <c r="AF181" s="3471">
        <f t="shared" ref="AF181" si="123">SUM(AF178:AF180)</f>
        <v>60.418999999999997</v>
      </c>
      <c r="AG181" s="3471"/>
      <c r="AH181" s="3471">
        <f t="shared" ref="AH181" si="124">SUM(AH178:AH180)</f>
        <v>139.58100000000002</v>
      </c>
      <c r="AI181" s="3472"/>
      <c r="AM181" s="2632" t="s">
        <v>1609</v>
      </c>
      <c r="AN181" s="2632"/>
      <c r="AO181" s="2632"/>
      <c r="AP181" s="2632"/>
      <c r="AQ181" s="2632"/>
      <c r="AR181" s="2633"/>
      <c r="AS181" s="2632"/>
      <c r="AT181" s="2632"/>
      <c r="AU181" s="2632"/>
      <c r="AV181" s="2632"/>
      <c r="AW181" s="2634"/>
    </row>
    <row r="182" spans="1:49" ht="30.6" thickBot="1">
      <c r="A182" s="2586" t="s">
        <v>1364</v>
      </c>
      <c r="B182" s="2586"/>
      <c r="C182" s="2586"/>
      <c r="D182" s="2586"/>
      <c r="E182" s="2586"/>
      <c r="F182" s="2587"/>
      <c r="G182" s="2586"/>
      <c r="H182" s="2586"/>
      <c r="I182" s="2586"/>
      <c r="J182" s="2586"/>
      <c r="K182" s="2588"/>
      <c r="M182" s="2577"/>
      <c r="N182" s="2577">
        <v>953317</v>
      </c>
      <c r="O182" s="2577" t="s">
        <v>1202</v>
      </c>
      <c r="P182" s="2578"/>
      <c r="Q182" s="2577"/>
      <c r="R182" s="2577"/>
      <c r="S182" s="2577"/>
      <c r="T182" s="2577"/>
      <c r="U182" s="2577">
        <f t="shared" si="115"/>
        <v>0</v>
      </c>
      <c r="V182" s="2577"/>
      <c r="W182" s="2570"/>
      <c r="AM182" s="3532" t="s">
        <v>1612</v>
      </c>
      <c r="AN182" s="2634"/>
      <c r="AO182" s="2634"/>
      <c r="AP182" s="2634"/>
      <c r="AQ182" s="2633"/>
      <c r="AR182" s="2634"/>
      <c r="AS182" s="2634"/>
      <c r="AT182" s="2633" t="s">
        <v>1611</v>
      </c>
      <c r="AU182" s="2634"/>
      <c r="AV182" s="2634"/>
      <c r="AW182" s="2634"/>
    </row>
    <row r="183" spans="1:49" ht="30.6" thickBot="1">
      <c r="A183" s="2586" t="s">
        <v>1372</v>
      </c>
      <c r="B183" s="2588"/>
      <c r="C183" s="2588"/>
      <c r="D183" s="2588"/>
      <c r="E183" s="2589"/>
      <c r="F183" s="2587" t="s">
        <v>1158</v>
      </c>
      <c r="G183" s="2588"/>
      <c r="H183" s="2588"/>
      <c r="I183" s="2588"/>
      <c r="J183" s="2588"/>
      <c r="K183" s="2588"/>
      <c r="M183" s="2577"/>
      <c r="N183" s="2577">
        <v>921880</v>
      </c>
      <c r="O183" s="2577" t="s">
        <v>1203</v>
      </c>
      <c r="P183" s="2578"/>
      <c r="Q183" s="2577"/>
      <c r="R183" s="2577"/>
      <c r="S183" s="2577"/>
      <c r="T183" s="2577"/>
      <c r="U183" s="2577">
        <f t="shared" si="115"/>
        <v>0</v>
      </c>
      <c r="V183" s="2577"/>
      <c r="W183" s="2570"/>
      <c r="AM183" s="2635"/>
      <c r="AN183" s="2636"/>
      <c r="AO183" s="2636"/>
      <c r="AP183" s="2636"/>
      <c r="AQ183" s="4053" t="s">
        <v>152</v>
      </c>
      <c r="AR183" s="4054"/>
      <c r="AS183" s="4053" t="s">
        <v>153</v>
      </c>
      <c r="AT183" s="4054"/>
      <c r="AU183" s="3541" t="s">
        <v>154</v>
      </c>
      <c r="AV183" s="3542"/>
      <c r="AW183" s="2639" t="s">
        <v>132</v>
      </c>
    </row>
    <row r="184" spans="1:49" ht="14.4">
      <c r="A184" s="2590"/>
      <c r="B184" s="2589"/>
      <c r="C184" s="2589"/>
      <c r="D184" s="2589"/>
      <c r="E184" s="4076" t="s">
        <v>152</v>
      </c>
      <c r="F184" s="4077"/>
      <c r="G184" s="4076" t="s">
        <v>153</v>
      </c>
      <c r="H184" s="4077"/>
      <c r="I184" s="3189" t="s">
        <v>154</v>
      </c>
      <c r="J184" s="3190"/>
      <c r="K184" s="2593" t="s">
        <v>132</v>
      </c>
      <c r="M184" s="2577"/>
      <c r="N184" s="2577">
        <v>955248</v>
      </c>
      <c r="O184" s="2577" t="s">
        <v>1204</v>
      </c>
      <c r="P184" s="2578"/>
      <c r="Q184" s="2577"/>
      <c r="R184" s="2577"/>
      <c r="S184" s="2577"/>
      <c r="T184" s="2577"/>
      <c r="U184" s="2577">
        <f t="shared" si="115"/>
        <v>0</v>
      </c>
      <c r="V184" s="2577"/>
      <c r="W184" s="2570"/>
      <c r="AM184" s="2640" t="s">
        <v>223</v>
      </c>
      <c r="AN184" s="2640" t="s">
        <v>224</v>
      </c>
      <c r="AO184" s="2640" t="s">
        <v>225</v>
      </c>
      <c r="AP184" s="2640" t="s">
        <v>157</v>
      </c>
      <c r="AQ184" s="2640"/>
      <c r="AR184" s="2640" t="s">
        <v>1314</v>
      </c>
      <c r="AS184" s="2640"/>
      <c r="AT184" s="2640" t="s">
        <v>1314</v>
      </c>
      <c r="AU184" s="2640"/>
      <c r="AV184" s="2640" t="s">
        <v>1314</v>
      </c>
      <c r="AW184" s="2634"/>
    </row>
    <row r="185" spans="1:49" ht="30">
      <c r="A185" s="2594" t="s">
        <v>223</v>
      </c>
      <c r="B185" s="2594" t="s">
        <v>224</v>
      </c>
      <c r="C185" s="2594" t="s">
        <v>225</v>
      </c>
      <c r="D185" s="2594" t="s">
        <v>157</v>
      </c>
      <c r="E185" s="2594" t="s">
        <v>944</v>
      </c>
      <c r="F185" s="2594" t="s">
        <v>945</v>
      </c>
      <c r="G185" s="2594" t="s">
        <v>946</v>
      </c>
      <c r="H185" s="2594" t="s">
        <v>947</v>
      </c>
      <c r="I185" s="2594" t="s">
        <v>948</v>
      </c>
      <c r="J185" s="2594" t="s">
        <v>949</v>
      </c>
      <c r="K185" s="2588"/>
      <c r="M185" s="2577"/>
      <c r="N185" s="2577">
        <v>957497</v>
      </c>
      <c r="O185" s="2577" t="s">
        <v>1205</v>
      </c>
      <c r="P185" s="2578"/>
      <c r="Q185" s="2577"/>
      <c r="R185" s="2577"/>
      <c r="S185" s="2577"/>
      <c r="T185" s="2577"/>
      <c r="U185" s="2577">
        <f t="shared" si="115"/>
        <v>0</v>
      </c>
      <c r="V185" s="2577"/>
      <c r="W185" s="2570"/>
      <c r="Y185" s="2502" t="s">
        <v>1333</v>
      </c>
      <c r="Z185" s="2502"/>
      <c r="AA185" s="2502"/>
      <c r="AB185" s="2502"/>
      <c r="AC185" s="2502"/>
      <c r="AD185" s="2503"/>
      <c r="AE185" s="2502"/>
      <c r="AF185" s="2502"/>
      <c r="AG185" s="2502"/>
      <c r="AH185" s="2502"/>
      <c r="AI185" s="2504"/>
      <c r="AM185" s="2641"/>
      <c r="AN185" s="2641">
        <v>954248</v>
      </c>
      <c r="AO185" s="2641" t="s">
        <v>1610</v>
      </c>
      <c r="AP185" s="2642"/>
      <c r="AQ185" s="2641"/>
      <c r="AR185" s="2641">
        <v>163</v>
      </c>
      <c r="AS185" s="2641"/>
      <c r="AT185" s="2641"/>
      <c r="AU185" s="2641">
        <f t="shared" ref="AU185" si="125">(AQ185-AS185)</f>
        <v>0</v>
      </c>
      <c r="AV185" s="2641">
        <f t="shared" ref="AV185" si="126">(AR185-AT185)</f>
        <v>163</v>
      </c>
      <c r="AW185" s="2634"/>
    </row>
    <row r="186" spans="1:49" ht="30.6" thickBot="1">
      <c r="A186" s="2595"/>
      <c r="B186" s="2595">
        <v>926663</v>
      </c>
      <c r="C186" s="2595" t="s">
        <v>1373</v>
      </c>
      <c r="D186" s="2596"/>
      <c r="E186" s="2595">
        <v>11</v>
      </c>
      <c r="F186" s="3155">
        <v>127</v>
      </c>
      <c r="G186" s="2595">
        <v>22.081</v>
      </c>
      <c r="H186" s="3155">
        <v>115.919</v>
      </c>
      <c r="I186" s="2595"/>
      <c r="J186" s="3155" t="e">
        <f>(F186-H186-H187-#REF!-#REF!-#REF!)</f>
        <v>#REF!</v>
      </c>
      <c r="K186" s="2588"/>
      <c r="M186" s="2577"/>
      <c r="N186" s="2577">
        <v>959745</v>
      </c>
      <c r="O186" s="2577" t="s">
        <v>1206</v>
      </c>
      <c r="P186" s="2578"/>
      <c r="Q186" s="2577"/>
      <c r="R186" s="2577"/>
      <c r="S186" s="2577"/>
      <c r="T186" s="2577"/>
      <c r="U186" s="2577">
        <f t="shared" si="115"/>
        <v>0</v>
      </c>
      <c r="V186" s="2577"/>
      <c r="W186" s="2570"/>
      <c r="Y186" s="2502" t="s">
        <v>1334</v>
      </c>
      <c r="Z186" s="2504"/>
      <c r="AA186" s="2504"/>
      <c r="AB186" s="2504"/>
      <c r="AC186" s="2505"/>
      <c r="AD186" s="2503" t="s">
        <v>1319</v>
      </c>
      <c r="AE186" s="2504"/>
      <c r="AF186" s="2504"/>
      <c r="AG186" s="2504"/>
      <c r="AH186" s="2504"/>
      <c r="AI186" s="2504"/>
      <c r="AM186" s="2643"/>
      <c r="AN186" s="2643"/>
      <c r="AO186" s="2643"/>
      <c r="AP186" s="3543"/>
      <c r="AQ186" s="2645">
        <f t="shared" ref="AQ186:AV186" si="127">SUM(AQ185:AQ185)</f>
        <v>0</v>
      </c>
      <c r="AR186" s="2645">
        <f t="shared" si="127"/>
        <v>163</v>
      </c>
      <c r="AS186" s="2645">
        <f t="shared" si="127"/>
        <v>0</v>
      </c>
      <c r="AT186" s="2645">
        <f t="shared" si="127"/>
        <v>0</v>
      </c>
      <c r="AU186" s="2645">
        <f t="shared" si="127"/>
        <v>0</v>
      </c>
      <c r="AV186" s="2645">
        <f t="shared" si="127"/>
        <v>163</v>
      </c>
      <c r="AW186" s="2634"/>
    </row>
    <row r="187" spans="1:49" ht="14.4">
      <c r="A187" s="2595"/>
      <c r="B187" s="2595">
        <v>955878</v>
      </c>
      <c r="C187" s="2595" t="s">
        <v>209</v>
      </c>
      <c r="D187" s="2596"/>
      <c r="E187" s="2595">
        <v>12</v>
      </c>
      <c r="F187" s="3155">
        <v>126</v>
      </c>
      <c r="G187" s="2595">
        <v>0.98799999999999999</v>
      </c>
      <c r="H187" s="3155">
        <v>137.012</v>
      </c>
      <c r="I187" s="2595"/>
      <c r="J187" s="3155"/>
      <c r="K187" s="2588"/>
      <c r="M187" s="2577"/>
      <c r="N187" s="2577">
        <v>960009</v>
      </c>
      <c r="O187" s="2577" t="s">
        <v>1207</v>
      </c>
      <c r="P187" s="2578"/>
      <c r="Q187" s="2577"/>
      <c r="R187" s="2577"/>
      <c r="S187" s="2577"/>
      <c r="T187" s="2577"/>
      <c r="U187" s="2577">
        <f t="shared" si="115"/>
        <v>0</v>
      </c>
      <c r="V187" s="2577"/>
      <c r="W187" s="2570"/>
      <c r="Y187" s="2506"/>
      <c r="Z187" s="2505"/>
      <c r="AA187" s="2505"/>
      <c r="AB187" s="2505"/>
      <c r="AC187" s="4070" t="s">
        <v>152</v>
      </c>
      <c r="AD187" s="4071"/>
      <c r="AE187" s="4070" t="s">
        <v>153</v>
      </c>
      <c r="AF187" s="4071"/>
      <c r="AG187" s="3144" t="s">
        <v>154</v>
      </c>
      <c r="AH187" s="3145"/>
      <c r="AI187" s="2509" t="s">
        <v>132</v>
      </c>
      <c r="AM187" s="3528"/>
      <c r="AN187" s="3528"/>
      <c r="AO187" s="3528"/>
      <c r="AP187" s="3529"/>
      <c r="AQ187" s="3530"/>
      <c r="AR187" s="3530"/>
      <c r="AS187" s="3530"/>
      <c r="AT187" s="3530"/>
      <c r="AU187" s="3530"/>
      <c r="AV187" s="3530"/>
      <c r="AW187" s="3477"/>
    </row>
    <row r="188" spans="1:49" ht="28.8">
      <c r="A188" s="2597"/>
      <c r="B188" s="2597"/>
      <c r="C188" s="2597"/>
      <c r="D188" s="3191"/>
      <c r="E188" s="2597"/>
      <c r="F188" s="2597"/>
      <c r="G188" s="2597"/>
      <c r="H188" s="2597"/>
      <c r="I188" s="2597"/>
      <c r="J188" s="2597"/>
      <c r="K188" s="2588"/>
      <c r="M188" s="2577"/>
      <c r="N188" s="2577"/>
      <c r="O188" s="2577"/>
      <c r="P188" s="2578"/>
      <c r="Q188" s="2577">
        <v>5596.7150000000001</v>
      </c>
      <c r="R188" s="2577"/>
      <c r="S188" s="2577"/>
      <c r="T188" s="2577"/>
      <c r="U188" s="2577"/>
      <c r="V188" s="2577">
        <f t="shared" ref="V188" si="128">(R188-T188)</f>
        <v>0</v>
      </c>
      <c r="W188" s="2570"/>
      <c r="Y188" s="2510" t="s">
        <v>223</v>
      </c>
      <c r="Z188" s="2510" t="s">
        <v>224</v>
      </c>
      <c r="AA188" s="2510" t="s">
        <v>225</v>
      </c>
      <c r="AB188" s="2510" t="s">
        <v>157</v>
      </c>
      <c r="AC188" s="2510" t="s">
        <v>944</v>
      </c>
      <c r="AD188" s="2510" t="s">
        <v>945</v>
      </c>
      <c r="AE188" s="2510" t="s">
        <v>946</v>
      </c>
      <c r="AF188" s="2510" t="s">
        <v>947</v>
      </c>
      <c r="AG188" s="2510" t="s">
        <v>948</v>
      </c>
      <c r="AH188" s="2510" t="s">
        <v>949</v>
      </c>
      <c r="AI188" s="2504"/>
      <c r="AM188" s="3528"/>
      <c r="AN188" s="3528"/>
      <c r="AO188" s="3528"/>
      <c r="AP188" s="3529"/>
      <c r="AQ188" s="3530"/>
      <c r="AR188" s="3530"/>
      <c r="AS188" s="3530"/>
      <c r="AT188" s="3530"/>
      <c r="AU188" s="3530"/>
      <c r="AV188" s="3530"/>
      <c r="AW188" s="3477"/>
    </row>
    <row r="189" spans="1:49" ht="30">
      <c r="A189" s="2597"/>
      <c r="B189" s="2597"/>
      <c r="C189" s="2597"/>
      <c r="D189" s="3191"/>
      <c r="E189" s="2599">
        <f>SUM(E186:E188)</f>
        <v>23</v>
      </c>
      <c r="F189" s="2599">
        <f>SUM(F186:F188)</f>
        <v>253</v>
      </c>
      <c r="G189" s="2599">
        <f>SUM(G186:G187)</f>
        <v>23.068999999999999</v>
      </c>
      <c r="H189" s="2599">
        <f>SUM(H186:H187)</f>
        <v>252.93099999999998</v>
      </c>
      <c r="I189" s="2599">
        <f>+E189-G189</f>
        <v>-6.8999999999999062E-2</v>
      </c>
      <c r="J189" s="2599">
        <f>+F189-H189</f>
        <v>6.9000000000016826E-2</v>
      </c>
      <c r="K189" s="2588"/>
      <c r="M189" s="2579"/>
      <c r="N189" s="2579"/>
      <c r="O189" s="2579"/>
      <c r="P189" s="2580"/>
      <c r="Q189" s="2581">
        <f>SUM(Q188)</f>
        <v>5596.7150000000001</v>
      </c>
      <c r="R189" s="2581">
        <f>SUM(R158:R188)</f>
        <v>0</v>
      </c>
      <c r="S189" s="2581">
        <f>SUM(S188)</f>
        <v>0</v>
      </c>
      <c r="T189" s="2581">
        <f>SUM(T158:T188)</f>
        <v>0</v>
      </c>
      <c r="U189" s="2577">
        <f t="shared" si="115"/>
        <v>5596.7150000000001</v>
      </c>
      <c r="V189" s="2581">
        <f>SUM(V158:V188)</f>
        <v>0</v>
      </c>
      <c r="W189" s="2570"/>
      <c r="Y189" s="2511"/>
      <c r="Z189" s="2511">
        <v>3172</v>
      </c>
      <c r="AA189" s="2511" t="s">
        <v>1335</v>
      </c>
      <c r="AB189" s="2512"/>
      <c r="AC189" s="2511"/>
      <c r="AD189" s="2511">
        <v>1</v>
      </c>
      <c r="AE189" s="2511"/>
      <c r="AF189" s="2511"/>
      <c r="AG189" s="2518"/>
      <c r="AH189" s="2511">
        <f t="shared" ref="AH189" si="129">(AD189-AF189)</f>
        <v>1</v>
      </c>
      <c r="AI189" s="2504"/>
      <c r="AM189" s="2632" t="s">
        <v>1618</v>
      </c>
      <c r="AN189" s="2632"/>
      <c r="AO189" s="2632"/>
      <c r="AP189" s="2632"/>
      <c r="AQ189" s="2632"/>
      <c r="AR189" s="2633"/>
      <c r="AS189" s="2632"/>
      <c r="AT189" s="2632"/>
      <c r="AU189" s="2632"/>
      <c r="AV189" s="2632"/>
      <c r="AW189" s="2634"/>
    </row>
    <row r="190" spans="1:49" ht="30.6" thickBot="1">
      <c r="A190" s="3188"/>
      <c r="B190" s="3188"/>
      <c r="C190" s="3188"/>
      <c r="D190" s="3188"/>
      <c r="E190" s="3188"/>
      <c r="F190" s="3188"/>
      <c r="G190" s="3188"/>
      <c r="H190" s="3188"/>
      <c r="I190" s="3188"/>
      <c r="J190" s="3188"/>
      <c r="K190" s="3188"/>
      <c r="Y190" s="2511"/>
      <c r="Z190" s="2511"/>
      <c r="AA190" s="2511"/>
      <c r="AB190" s="2512"/>
      <c r="AC190" s="2511"/>
      <c r="AD190" s="2511"/>
      <c r="AE190" s="2511"/>
      <c r="AF190" s="2511"/>
      <c r="AG190" s="2511"/>
      <c r="AH190" s="2511"/>
      <c r="AI190" s="2504"/>
      <c r="AM190" s="3532" t="s">
        <v>1615</v>
      </c>
      <c r="AN190" s="2634"/>
      <c r="AO190" s="2634"/>
      <c r="AP190" s="2634"/>
      <c r="AQ190" s="2633"/>
      <c r="AR190" s="2634"/>
      <c r="AS190" s="2634"/>
      <c r="AT190" s="2633" t="s">
        <v>1598</v>
      </c>
      <c r="AU190" s="2634"/>
      <c r="AV190" s="2634"/>
      <c r="AW190" s="2634"/>
    </row>
    <row r="191" spans="1:49" ht="30">
      <c r="A191" s="2586" t="s">
        <v>1364</v>
      </c>
      <c r="B191" s="2586"/>
      <c r="C191" s="2586"/>
      <c r="D191" s="2586"/>
      <c r="E191" s="2586"/>
      <c r="F191" s="2587"/>
      <c r="G191" s="2586"/>
      <c r="H191" s="2586"/>
      <c r="I191" s="2586"/>
      <c r="J191" s="2586"/>
      <c r="K191" s="2588"/>
      <c r="M191" s="2568" t="s">
        <v>1211</v>
      </c>
      <c r="N191" s="2568"/>
      <c r="O191" s="2568"/>
      <c r="P191" s="2568"/>
      <c r="Q191" s="2568"/>
      <c r="R191" s="2569"/>
      <c r="S191" s="2568"/>
      <c r="T191" s="2568"/>
      <c r="U191" s="2568"/>
      <c r="V191" s="2568"/>
      <c r="W191" s="2570"/>
      <c r="Y191" s="2511"/>
      <c r="Z191" s="2511"/>
      <c r="AA191" s="2511"/>
      <c r="AB191" s="2512"/>
      <c r="AC191" s="2511"/>
      <c r="AD191" s="2511"/>
      <c r="AE191" s="2511"/>
      <c r="AF191" s="2511"/>
      <c r="AG191" s="2511"/>
      <c r="AH191" s="2511">
        <f t="shared" ref="AH191" si="130">(AD191-AF191)</f>
        <v>0</v>
      </c>
      <c r="AI191" s="2504"/>
      <c r="AM191" s="2635"/>
      <c r="AN191" s="2636"/>
      <c r="AO191" s="2636"/>
      <c r="AP191" s="2636"/>
      <c r="AQ191" s="4053" t="s">
        <v>152</v>
      </c>
      <c r="AR191" s="4054"/>
      <c r="AS191" s="4053" t="s">
        <v>153</v>
      </c>
      <c r="AT191" s="4054"/>
      <c r="AU191" s="3547" t="s">
        <v>154</v>
      </c>
      <c r="AV191" s="3548"/>
      <c r="AW191" s="2639" t="s">
        <v>132</v>
      </c>
    </row>
    <row r="192" spans="1:49" ht="30.6" thickBot="1">
      <c r="A192" s="2586" t="s">
        <v>1374</v>
      </c>
      <c r="B192" s="2588"/>
      <c r="C192" s="2588"/>
      <c r="D192" s="2588"/>
      <c r="E192" s="2589"/>
      <c r="F192" s="2587" t="s">
        <v>1158</v>
      </c>
      <c r="G192" s="2588"/>
      <c r="H192" s="2588"/>
      <c r="I192" s="2588"/>
      <c r="J192" s="2588"/>
      <c r="K192" s="2588"/>
      <c r="M192" s="2568" t="s">
        <v>1210</v>
      </c>
      <c r="N192" s="2570"/>
      <c r="O192" s="2570"/>
      <c r="P192" s="2570"/>
      <c r="Q192" s="2572"/>
      <c r="R192" s="2569" t="s">
        <v>261</v>
      </c>
      <c r="S192" s="2570"/>
      <c r="T192" s="2570"/>
      <c r="U192" s="2570"/>
      <c r="V192" s="2570"/>
      <c r="W192" s="2570"/>
      <c r="Y192" s="2513"/>
      <c r="Z192" s="2513"/>
      <c r="AA192" s="2513"/>
      <c r="AB192" s="2514"/>
      <c r="AC192" s="2515"/>
      <c r="AD192" s="2515">
        <f t="shared" ref="AD192" si="131">SUM(AD189:AD191)</f>
        <v>1</v>
      </c>
      <c r="AE192" s="2515"/>
      <c r="AF192" s="2515">
        <f t="shared" ref="AF192" si="132">SUM(AF189:AF191)</f>
        <v>0</v>
      </c>
      <c r="AG192" s="2515"/>
      <c r="AH192" s="2515">
        <f t="shared" ref="AH192" si="133">SUM(AH189:AH191)</f>
        <v>1</v>
      </c>
      <c r="AI192" s="2516"/>
      <c r="AM192" s="2640" t="s">
        <v>223</v>
      </c>
      <c r="AN192" s="2640" t="s">
        <v>224</v>
      </c>
      <c r="AO192" s="2640" t="s">
        <v>225</v>
      </c>
      <c r="AP192" s="2640" t="s">
        <v>157</v>
      </c>
      <c r="AQ192" s="2640" t="s">
        <v>944</v>
      </c>
      <c r="AR192" s="2640" t="s">
        <v>1598</v>
      </c>
      <c r="AS192" s="2640" t="s">
        <v>946</v>
      </c>
      <c r="AT192" s="2640" t="s">
        <v>1598</v>
      </c>
      <c r="AU192" s="2640" t="s">
        <v>948</v>
      </c>
      <c r="AV192" s="2640" t="s">
        <v>1598</v>
      </c>
      <c r="AW192" s="2634"/>
    </row>
    <row r="193" spans="1:49" ht="14.4">
      <c r="A193" s="2590"/>
      <c r="B193" s="2589"/>
      <c r="C193" s="2589"/>
      <c r="D193" s="2589"/>
      <c r="E193" s="4076" t="s">
        <v>152</v>
      </c>
      <c r="F193" s="4077"/>
      <c r="G193" s="4076" t="s">
        <v>153</v>
      </c>
      <c r="H193" s="4077"/>
      <c r="I193" s="3189" t="s">
        <v>154</v>
      </c>
      <c r="J193" s="3190"/>
      <c r="K193" s="2593" t="s">
        <v>132</v>
      </c>
      <c r="M193" s="3292" t="s">
        <v>1411</v>
      </c>
      <c r="N193" s="2636"/>
      <c r="O193" s="2636"/>
      <c r="P193" s="2636"/>
      <c r="Q193" s="4048" t="s">
        <v>152</v>
      </c>
      <c r="R193" s="4049"/>
      <c r="S193" s="4048" t="s">
        <v>153</v>
      </c>
      <c r="T193" s="4049"/>
      <c r="U193" s="2573" t="s">
        <v>154</v>
      </c>
      <c r="V193" s="2574"/>
      <c r="W193" s="2575" t="s">
        <v>132</v>
      </c>
      <c r="AM193" s="2640"/>
      <c r="AN193" s="2641">
        <v>960925</v>
      </c>
      <c r="AO193" s="2640" t="s">
        <v>967</v>
      </c>
      <c r="AP193" s="2640"/>
      <c r="AQ193" s="3550">
        <v>0</v>
      </c>
      <c r="AR193" s="3550">
        <v>60.42</v>
      </c>
      <c r="AS193" s="2640">
        <v>0</v>
      </c>
      <c r="AT193" s="2640">
        <v>0</v>
      </c>
      <c r="AU193" s="2641">
        <f t="shared" ref="AU193:AV199" si="134">(AQ193-AS193)</f>
        <v>0</v>
      </c>
      <c r="AV193" s="2641">
        <f t="shared" si="134"/>
        <v>60.42</v>
      </c>
      <c r="AW193" s="2634"/>
    </row>
    <row r="194" spans="1:49" ht="28.8">
      <c r="A194" s="2594" t="s">
        <v>223</v>
      </c>
      <c r="B194" s="2594" t="s">
        <v>224</v>
      </c>
      <c r="C194" s="2594" t="s">
        <v>225</v>
      </c>
      <c r="D194" s="2594" t="s">
        <v>157</v>
      </c>
      <c r="E194" s="2594" t="s">
        <v>944</v>
      </c>
      <c r="F194" s="2594" t="s">
        <v>945</v>
      </c>
      <c r="G194" s="2594" t="s">
        <v>946</v>
      </c>
      <c r="H194" s="2594" t="s">
        <v>947</v>
      </c>
      <c r="I194" s="2594" t="s">
        <v>948</v>
      </c>
      <c r="J194" s="2594" t="s">
        <v>949</v>
      </c>
      <c r="K194" s="2588"/>
      <c r="M194" s="2576" t="s">
        <v>223</v>
      </c>
      <c r="N194" s="2576" t="s">
        <v>224</v>
      </c>
      <c r="O194" s="2576" t="s">
        <v>225</v>
      </c>
      <c r="P194" s="2576" t="s">
        <v>157</v>
      </c>
      <c r="Q194" s="2576" t="s">
        <v>944</v>
      </c>
      <c r="R194" s="2576"/>
      <c r="S194" s="2576" t="s">
        <v>946</v>
      </c>
      <c r="T194" s="2576"/>
      <c r="U194" s="2576" t="s">
        <v>948</v>
      </c>
      <c r="V194" s="2576"/>
      <c r="W194" s="2570"/>
      <c r="AM194" s="2640"/>
      <c r="AN194" s="2641">
        <v>955511</v>
      </c>
      <c r="AO194" s="2640" t="s">
        <v>393</v>
      </c>
      <c r="AP194" s="2640"/>
      <c r="AQ194" s="3550">
        <v>0</v>
      </c>
      <c r="AR194" s="3550">
        <v>80.150000000000006</v>
      </c>
      <c r="AS194" s="2640">
        <v>0</v>
      </c>
      <c r="AT194" s="2640">
        <v>53.441000000000003</v>
      </c>
      <c r="AU194" s="2641">
        <f t="shared" si="134"/>
        <v>0</v>
      </c>
      <c r="AV194" s="2641">
        <f t="shared" si="134"/>
        <v>26.709000000000003</v>
      </c>
      <c r="AW194" s="2634"/>
    </row>
    <row r="195" spans="1:49" ht="30">
      <c r="A195" s="2595"/>
      <c r="B195" s="2595">
        <v>922996</v>
      </c>
      <c r="C195" s="2595" t="s">
        <v>450</v>
      </c>
      <c r="D195" s="2596"/>
      <c r="E195" s="2595"/>
      <c r="F195" s="3155">
        <v>250</v>
      </c>
      <c r="G195" s="2595">
        <v>13.814</v>
      </c>
      <c r="H195" s="3155">
        <v>234.02</v>
      </c>
      <c r="I195" s="2595"/>
      <c r="J195" s="3155"/>
      <c r="K195" s="2588"/>
      <c r="M195" s="2577">
        <v>1</v>
      </c>
      <c r="N195" s="2577">
        <v>913444</v>
      </c>
      <c r="O195" s="2577" t="s">
        <v>1178</v>
      </c>
      <c r="P195" s="2578"/>
      <c r="Q195" s="2577">
        <v>0</v>
      </c>
      <c r="R195" s="2577"/>
      <c r="S195" s="2577">
        <v>0</v>
      </c>
      <c r="T195" s="2577">
        <v>0</v>
      </c>
      <c r="U195" s="2577">
        <f t="shared" ref="U195:U224" si="135">(Q195-S195)</f>
        <v>0</v>
      </c>
      <c r="V195" s="2577">
        <f t="shared" ref="V195" si="136">(R195-T195)</f>
        <v>0</v>
      </c>
      <c r="W195" s="2570"/>
      <c r="Y195" s="2632" t="s">
        <v>1339</v>
      </c>
      <c r="Z195" s="2632"/>
      <c r="AA195" s="2632"/>
      <c r="AB195" s="2632"/>
      <c r="AC195" s="2632"/>
      <c r="AD195" s="2633"/>
      <c r="AE195" s="2632"/>
      <c r="AF195" s="2632"/>
      <c r="AG195" s="2632"/>
      <c r="AH195" s="2632"/>
      <c r="AI195" s="2634"/>
      <c r="AM195" s="2640"/>
      <c r="AN195" s="2641">
        <v>952321</v>
      </c>
      <c r="AO195" s="2640" t="s">
        <v>236</v>
      </c>
      <c r="AP195" s="2640"/>
      <c r="AQ195" s="3550">
        <v>0</v>
      </c>
      <c r="AR195" s="3550">
        <v>80.150000000000006</v>
      </c>
      <c r="AS195" s="2640">
        <v>0</v>
      </c>
      <c r="AT195" s="2640">
        <v>0</v>
      </c>
      <c r="AU195" s="2641">
        <f t="shared" si="134"/>
        <v>0</v>
      </c>
      <c r="AV195" s="2641">
        <f t="shared" si="134"/>
        <v>80.150000000000006</v>
      </c>
      <c r="AW195" s="2634"/>
    </row>
    <row r="196" spans="1:49" ht="30.6" thickBot="1">
      <c r="A196" s="2595"/>
      <c r="B196" s="2595">
        <v>926655</v>
      </c>
      <c r="C196" s="2595" t="s">
        <v>233</v>
      </c>
      <c r="D196" s="2596"/>
      <c r="E196" s="2595"/>
      <c r="F196" s="3155">
        <v>250</v>
      </c>
      <c r="G196" s="2595">
        <v>9.2490000000000006</v>
      </c>
      <c r="H196" s="3155">
        <v>240.751</v>
      </c>
      <c r="I196" s="2595"/>
      <c r="J196" s="3155"/>
      <c r="K196" s="2588"/>
      <c r="M196" s="2577">
        <v>2</v>
      </c>
      <c r="N196" s="2577">
        <v>923206</v>
      </c>
      <c r="O196" s="2577" t="s">
        <v>1179</v>
      </c>
      <c r="P196" s="2578"/>
      <c r="Q196" s="2577"/>
      <c r="R196" s="2577"/>
      <c r="S196" s="2577"/>
      <c r="T196" s="2577"/>
      <c r="U196" s="2577">
        <f t="shared" si="135"/>
        <v>0</v>
      </c>
      <c r="V196" s="2577"/>
      <c r="W196" s="2570"/>
      <c r="Y196" s="2632" t="s">
        <v>1337</v>
      </c>
      <c r="Z196" s="2634"/>
      <c r="AA196" s="2634"/>
      <c r="AB196" s="2634"/>
      <c r="AC196" s="2633" t="s">
        <v>1338</v>
      </c>
      <c r="AD196" s="2634"/>
      <c r="AE196" s="2634"/>
      <c r="AF196" s="2634"/>
      <c r="AG196" s="2634"/>
      <c r="AH196" s="2634"/>
      <c r="AI196" s="2634"/>
      <c r="AM196" s="2640"/>
      <c r="AN196" s="2641">
        <v>953964</v>
      </c>
      <c r="AO196" s="2640" t="s">
        <v>173</v>
      </c>
      <c r="AP196" s="2640"/>
      <c r="AQ196" s="3550">
        <v>0</v>
      </c>
      <c r="AR196" s="3550">
        <v>101.11199999999999</v>
      </c>
      <c r="AS196" s="2640">
        <v>0.44500000000000001</v>
      </c>
      <c r="AT196" s="2640">
        <v>32.561999999999998</v>
      </c>
      <c r="AU196" s="2641">
        <f t="shared" si="134"/>
        <v>-0.44500000000000001</v>
      </c>
      <c r="AV196" s="2641">
        <f t="shared" si="134"/>
        <v>68.55</v>
      </c>
      <c r="AW196" s="2634"/>
    </row>
    <row r="197" spans="1:49" ht="14.4">
      <c r="A197" s="2595"/>
      <c r="B197" s="2595">
        <v>926674</v>
      </c>
      <c r="C197" s="2595" t="s">
        <v>234</v>
      </c>
      <c r="D197" s="2596"/>
      <c r="E197" s="2595"/>
      <c r="F197" s="3155">
        <v>250</v>
      </c>
      <c r="G197" s="2595">
        <v>5.556</v>
      </c>
      <c r="H197" s="3155">
        <v>244.44399999999999</v>
      </c>
      <c r="I197" s="2595"/>
      <c r="J197" s="3155"/>
      <c r="K197" s="2588"/>
      <c r="M197" s="2577">
        <v>3</v>
      </c>
      <c r="N197" s="2577">
        <v>960352</v>
      </c>
      <c r="O197" s="2577" t="s">
        <v>1180</v>
      </c>
      <c r="P197" s="2578"/>
      <c r="Q197" s="2577"/>
      <c r="R197" s="2577"/>
      <c r="S197" s="2577"/>
      <c r="T197" s="2577"/>
      <c r="U197" s="2577">
        <f t="shared" si="135"/>
        <v>0</v>
      </c>
      <c r="V197" s="2577"/>
      <c r="W197" s="2570"/>
      <c r="Y197" s="2635"/>
      <c r="Z197" s="2636"/>
      <c r="AA197" s="2636"/>
      <c r="AB197" s="2636"/>
      <c r="AC197" s="4053" t="s">
        <v>152</v>
      </c>
      <c r="AD197" s="4054"/>
      <c r="AE197" s="4053" t="s">
        <v>153</v>
      </c>
      <c r="AF197" s="4054"/>
      <c r="AG197" s="3153" t="s">
        <v>154</v>
      </c>
      <c r="AH197" s="3154"/>
      <c r="AI197" s="2639" t="s">
        <v>132</v>
      </c>
      <c r="AM197" s="2640"/>
      <c r="AN197" s="2641">
        <v>5547</v>
      </c>
      <c r="AO197" s="2640" t="s">
        <v>186</v>
      </c>
      <c r="AP197" s="2640"/>
      <c r="AQ197" s="3550">
        <v>0</v>
      </c>
      <c r="AR197" s="3550">
        <v>150.435</v>
      </c>
      <c r="AS197" s="2640">
        <v>1.0329999999999999</v>
      </c>
      <c r="AT197" s="2640">
        <v>148.565</v>
      </c>
      <c r="AU197" s="2641">
        <f t="shared" si="134"/>
        <v>-1.0329999999999999</v>
      </c>
      <c r="AV197" s="2641">
        <f t="shared" si="134"/>
        <v>1.8700000000000045</v>
      </c>
      <c r="AW197" s="2634"/>
    </row>
    <row r="198" spans="1:49" ht="28.8">
      <c r="A198" s="2595"/>
      <c r="B198" s="2595">
        <v>960104</v>
      </c>
      <c r="C198" s="2595" t="s">
        <v>1089</v>
      </c>
      <c r="D198" s="2596"/>
      <c r="E198" s="2595"/>
      <c r="F198" s="3155">
        <v>250</v>
      </c>
      <c r="G198" s="2595">
        <v>8.593</v>
      </c>
      <c r="H198" s="3155">
        <v>241.40700000000001</v>
      </c>
      <c r="I198" s="2595"/>
      <c r="J198" s="3155"/>
      <c r="K198" s="2588"/>
      <c r="M198" s="2577">
        <v>4</v>
      </c>
      <c r="N198" s="2577">
        <v>952067</v>
      </c>
      <c r="O198" s="2577" t="s">
        <v>1181</v>
      </c>
      <c r="P198" s="2578"/>
      <c r="Q198" s="2577"/>
      <c r="R198" s="2577"/>
      <c r="S198" s="2577"/>
      <c r="T198" s="2577"/>
      <c r="U198" s="2577">
        <f t="shared" si="135"/>
        <v>0</v>
      </c>
      <c r="V198" s="2577"/>
      <c r="W198" s="2570"/>
      <c r="Y198" s="2640" t="s">
        <v>223</v>
      </c>
      <c r="Z198" s="2640" t="s">
        <v>224</v>
      </c>
      <c r="AA198" s="2640" t="s">
        <v>225</v>
      </c>
      <c r="AB198" s="2640" t="s">
        <v>157</v>
      </c>
      <c r="AC198" s="2640" t="s">
        <v>944</v>
      </c>
      <c r="AD198" s="2640" t="s">
        <v>945</v>
      </c>
      <c r="AE198" s="2640" t="s">
        <v>946</v>
      </c>
      <c r="AF198" s="2640" t="s">
        <v>947</v>
      </c>
      <c r="AG198" s="2640" t="s">
        <v>948</v>
      </c>
      <c r="AH198" s="2640" t="s">
        <v>949</v>
      </c>
      <c r="AI198" s="2634"/>
      <c r="AM198" s="2640"/>
      <c r="AN198" s="2641">
        <v>924752</v>
      </c>
      <c r="AO198" s="2640" t="s">
        <v>187</v>
      </c>
      <c r="AP198" s="2640"/>
      <c r="AQ198" s="3550">
        <v>0</v>
      </c>
      <c r="AR198" s="3550">
        <v>150.435</v>
      </c>
      <c r="AS198" s="2640">
        <v>17.776</v>
      </c>
      <c r="AT198" s="2640">
        <v>125.71299999999999</v>
      </c>
      <c r="AU198" s="2641">
        <f t="shared" si="134"/>
        <v>-17.776</v>
      </c>
      <c r="AV198" s="2641">
        <f t="shared" si="134"/>
        <v>24.722000000000008</v>
      </c>
      <c r="AW198" s="2634"/>
    </row>
    <row r="199" spans="1:49" ht="12.75" customHeight="1">
      <c r="A199" s="2595"/>
      <c r="B199" s="2595">
        <v>951136</v>
      </c>
      <c r="C199" s="2595" t="s">
        <v>188</v>
      </c>
      <c r="D199" s="2596"/>
      <c r="E199" s="2595">
        <v>21.8</v>
      </c>
      <c r="F199" s="3155">
        <v>178.2</v>
      </c>
      <c r="G199" s="2595">
        <v>17.161000000000001</v>
      </c>
      <c r="H199" s="2595">
        <v>182.84299999999999</v>
      </c>
      <c r="I199" s="2595"/>
      <c r="J199" s="3155"/>
      <c r="K199" s="2588"/>
      <c r="M199" s="2577">
        <v>5</v>
      </c>
      <c r="N199" s="2577">
        <v>35893</v>
      </c>
      <c r="O199" s="2577" t="s">
        <v>1182</v>
      </c>
      <c r="P199" s="2578"/>
      <c r="Q199" s="2577"/>
      <c r="R199" s="2577"/>
      <c r="S199" s="2577"/>
      <c r="T199" s="2577"/>
      <c r="U199" s="2577">
        <f t="shared" si="135"/>
        <v>0</v>
      </c>
      <c r="V199" s="2577"/>
      <c r="W199" s="2570"/>
      <c r="Y199" s="2641"/>
      <c r="Z199" s="2641">
        <v>952355</v>
      </c>
      <c r="AA199" s="2641" t="s">
        <v>453</v>
      </c>
      <c r="AB199" s="2642"/>
      <c r="AC199" s="2641"/>
      <c r="AD199" s="2641">
        <v>100</v>
      </c>
      <c r="AE199" s="2641">
        <v>4.3140000000000001</v>
      </c>
      <c r="AF199" s="2641">
        <v>95.686000000000007</v>
      </c>
      <c r="AG199" s="2641">
        <f>(AC199-AE199)</f>
        <v>-4.3140000000000001</v>
      </c>
      <c r="AH199" s="2641">
        <f t="shared" ref="AH199:AH204" si="137">(AD199-AF199)</f>
        <v>4.313999999999993</v>
      </c>
      <c r="AI199" s="2634"/>
      <c r="AM199" s="2640"/>
      <c r="AN199" s="2641">
        <v>902374</v>
      </c>
      <c r="AO199" s="2640" t="s">
        <v>217</v>
      </c>
      <c r="AP199" s="2640"/>
      <c r="AQ199" s="3550">
        <v>0</v>
      </c>
      <c r="AR199" s="3550">
        <v>350.19200000000001</v>
      </c>
      <c r="AS199" s="2640">
        <v>19.334</v>
      </c>
      <c r="AT199" s="2640">
        <v>248.59200000000001</v>
      </c>
      <c r="AU199" s="2641">
        <f t="shared" si="134"/>
        <v>-19.334</v>
      </c>
      <c r="AV199" s="2641">
        <f t="shared" si="134"/>
        <v>101.6</v>
      </c>
      <c r="AW199" s="2634"/>
    </row>
    <row r="200" spans="1:49">
      <c r="A200" s="2595"/>
      <c r="B200" s="2595"/>
      <c r="C200" s="2595"/>
      <c r="D200" s="2596"/>
      <c r="E200" s="2595"/>
      <c r="F200" s="2595"/>
      <c r="G200" s="2595"/>
      <c r="H200" s="2595"/>
      <c r="I200" s="2595"/>
      <c r="J200" s="2595">
        <f t="shared" ref="J200" si="138">(F200-H200)</f>
        <v>0</v>
      </c>
      <c r="K200" s="2588"/>
      <c r="M200" s="2577">
        <v>6</v>
      </c>
      <c r="N200" s="2577">
        <v>950657</v>
      </c>
      <c r="O200" s="2577" t="s">
        <v>1183</v>
      </c>
      <c r="P200" s="2578"/>
      <c r="Q200" s="2577"/>
      <c r="R200" s="2577"/>
      <c r="S200" s="2577"/>
      <c r="T200" s="2577"/>
      <c r="U200" s="2577">
        <f t="shared" si="135"/>
        <v>0</v>
      </c>
      <c r="V200" s="2577"/>
      <c r="W200" s="2570"/>
      <c r="Y200" s="2641"/>
      <c r="Z200" s="2641">
        <v>904281</v>
      </c>
      <c r="AA200" s="2641" t="s">
        <v>254</v>
      </c>
      <c r="AB200" s="2642"/>
      <c r="AC200" s="2641"/>
      <c r="AD200" s="2641">
        <v>550</v>
      </c>
      <c r="AE200" s="2641">
        <v>11.702</v>
      </c>
      <c r="AF200" s="2641">
        <v>537.25800000000004</v>
      </c>
      <c r="AG200" s="2641">
        <f t="shared" ref="AG200:AG204" si="139">(AC200-AE200)</f>
        <v>-11.702</v>
      </c>
      <c r="AH200" s="2641">
        <f t="shared" si="137"/>
        <v>12.741999999999962</v>
      </c>
      <c r="AI200" s="2634"/>
      <c r="AM200" s="2641"/>
      <c r="AN200" s="2641"/>
      <c r="AO200" s="2641"/>
      <c r="AP200" s="2642"/>
      <c r="AQ200" s="2641"/>
      <c r="AR200" s="2641"/>
      <c r="AS200" s="2641"/>
      <c r="AT200" s="2641">
        <v>0</v>
      </c>
      <c r="AU200" s="2641">
        <f t="shared" ref="AU200" si="140">(AQ200-AS200)</f>
        <v>0</v>
      </c>
      <c r="AV200" s="2641">
        <f t="shared" ref="AV200" si="141">(AR200-AT200)</f>
        <v>0</v>
      </c>
      <c r="AW200" s="2634"/>
    </row>
    <row r="201" spans="1:49">
      <c r="A201" s="2597"/>
      <c r="B201" s="2597"/>
      <c r="C201" s="2597"/>
      <c r="D201" s="3191"/>
      <c r="E201" s="2597"/>
      <c r="F201" s="2597"/>
      <c r="G201" s="2597"/>
      <c r="H201" s="2597"/>
      <c r="I201" s="2597"/>
      <c r="J201" s="2597"/>
      <c r="K201" s="2588"/>
      <c r="M201" s="2577">
        <v>7</v>
      </c>
      <c r="N201" s="2577">
        <v>925992</v>
      </c>
      <c r="O201" s="2577" t="s">
        <v>1184</v>
      </c>
      <c r="P201" s="2578"/>
      <c r="Q201" s="2577"/>
      <c r="R201" s="2577"/>
      <c r="S201" s="2577"/>
      <c r="T201" s="2577"/>
      <c r="U201" s="2577">
        <f t="shared" si="135"/>
        <v>0</v>
      </c>
      <c r="V201" s="2577"/>
      <c r="W201" s="2570"/>
      <c r="Y201" s="2641"/>
      <c r="Z201" s="2641">
        <v>924619</v>
      </c>
      <c r="AA201" s="2641" t="s">
        <v>451</v>
      </c>
      <c r="AB201" s="2642"/>
      <c r="AC201" s="2641"/>
      <c r="AD201" s="2641">
        <v>300</v>
      </c>
      <c r="AE201" s="2641">
        <v>18.036999999999999</v>
      </c>
      <c r="AF201" s="2641">
        <v>279.32499999999999</v>
      </c>
      <c r="AG201" s="2641">
        <f t="shared" si="139"/>
        <v>-18.036999999999999</v>
      </c>
      <c r="AH201" s="2641">
        <f t="shared" si="137"/>
        <v>20.675000000000011</v>
      </c>
      <c r="AI201" s="2634"/>
      <c r="AM201" s="2643"/>
      <c r="AN201" s="2643"/>
      <c r="AO201" s="2643"/>
      <c r="AP201" s="3549"/>
      <c r="AQ201" s="2645">
        <f>SUM(AQ193:AQ200)</f>
        <v>0</v>
      </c>
      <c r="AR201" s="2645">
        <f>SUM(AR193:AR200)</f>
        <v>972.89400000000001</v>
      </c>
      <c r="AS201" s="2645">
        <f t="shared" ref="AS201:AV201" si="142">SUM(AS193:AS200)</f>
        <v>38.588000000000001</v>
      </c>
      <c r="AT201" s="2645">
        <f t="shared" si="142"/>
        <v>608.87299999999993</v>
      </c>
      <c r="AU201" s="2645">
        <f t="shared" si="142"/>
        <v>-38.588000000000001</v>
      </c>
      <c r="AV201" s="2645">
        <f t="shared" si="142"/>
        <v>364.02100000000007</v>
      </c>
      <c r="AW201" s="2634"/>
    </row>
    <row r="202" spans="1:49">
      <c r="A202" s="2597"/>
      <c r="B202" s="2597"/>
      <c r="C202" s="2597"/>
      <c r="D202" s="3191"/>
      <c r="E202" s="2599">
        <f>SUM(E195:E201)</f>
        <v>21.8</v>
      </c>
      <c r="F202" s="2599">
        <f>SUM(F195:F201)</f>
        <v>1178.2</v>
      </c>
      <c r="G202" s="2599">
        <f>SUM(G195:G200)</f>
        <v>54.373000000000005</v>
      </c>
      <c r="H202" s="2599">
        <f>SUM(H195:H200)</f>
        <v>1143.4650000000001</v>
      </c>
      <c r="I202" s="2599">
        <f>+E202-G202</f>
        <v>-32.573000000000008</v>
      </c>
      <c r="J202" s="2599">
        <f>+F202-H202</f>
        <v>34.7349999999999</v>
      </c>
      <c r="K202" s="2588"/>
      <c r="M202" s="2577">
        <v>8</v>
      </c>
      <c r="N202" s="2577">
        <v>951110</v>
      </c>
      <c r="O202" s="2577" t="s">
        <v>1185</v>
      </c>
      <c r="P202" s="2578"/>
      <c r="Q202" s="2577"/>
      <c r="R202" s="2577"/>
      <c r="S202" s="2577"/>
      <c r="T202" s="2577"/>
      <c r="U202" s="2577">
        <f t="shared" si="135"/>
        <v>0</v>
      </c>
      <c r="V202" s="2577"/>
      <c r="W202" s="2570"/>
      <c r="Y202" s="2641"/>
      <c r="Z202" s="2641">
        <v>954465</v>
      </c>
      <c r="AA202" s="2641" t="s">
        <v>449</v>
      </c>
      <c r="AB202" s="2642"/>
      <c r="AC202" s="2641"/>
      <c r="AD202" s="2641">
        <v>250</v>
      </c>
      <c r="AE202" s="2641">
        <v>6.4089999999999998</v>
      </c>
      <c r="AF202" s="2641">
        <v>243.59100000000001</v>
      </c>
      <c r="AG202" s="2641">
        <f t="shared" si="139"/>
        <v>-6.4089999999999998</v>
      </c>
      <c r="AH202" s="2641">
        <f t="shared" si="137"/>
        <v>6.4089999999999918</v>
      </c>
      <c r="AI202" s="2634"/>
      <c r="AM202" s="3528"/>
      <c r="AN202" s="3528"/>
      <c r="AO202" s="3528"/>
      <c r="AP202" s="3529"/>
      <c r="AQ202" s="3530"/>
      <c r="AR202" s="3530"/>
      <c r="AS202" s="3530"/>
      <c r="AT202" s="3530"/>
      <c r="AU202" s="3530"/>
      <c r="AV202" s="3530"/>
      <c r="AW202" s="3477"/>
    </row>
    <row r="203" spans="1:49">
      <c r="A203" s="3188"/>
      <c r="B203" s="3188"/>
      <c r="C203" s="3188"/>
      <c r="D203" s="3188"/>
      <c r="E203" s="3188"/>
      <c r="F203" s="3188"/>
      <c r="G203" s="3188"/>
      <c r="H203" s="3188"/>
      <c r="I203" s="3188"/>
      <c r="J203" s="3188"/>
      <c r="K203" s="3188"/>
      <c r="M203" s="2577">
        <v>9</v>
      </c>
      <c r="N203" s="2577">
        <v>960355</v>
      </c>
      <c r="O203" s="2577" t="s">
        <v>1186</v>
      </c>
      <c r="P203" s="2578"/>
      <c r="Q203" s="2577"/>
      <c r="R203" s="2577"/>
      <c r="S203" s="2577"/>
      <c r="T203" s="2577"/>
      <c r="U203" s="2577">
        <f t="shared" si="135"/>
        <v>0</v>
      </c>
      <c r="V203" s="2577"/>
      <c r="W203" s="2570"/>
      <c r="Y203" s="2641"/>
      <c r="Z203" s="2641"/>
      <c r="AA203" s="2641"/>
      <c r="AB203" s="2642"/>
      <c r="AC203" s="2641"/>
      <c r="AD203" s="2641"/>
      <c r="AE203" s="2641"/>
      <c r="AF203" s="2641"/>
      <c r="AG203" s="2641">
        <f t="shared" si="139"/>
        <v>0</v>
      </c>
      <c r="AH203" s="2641">
        <f t="shared" si="137"/>
        <v>0</v>
      </c>
      <c r="AI203" s="2634"/>
      <c r="AM203" s="3528"/>
      <c r="AN203" s="3528"/>
      <c r="AO203" s="3528"/>
      <c r="AP203" s="3529"/>
      <c r="AQ203" s="3530"/>
      <c r="AR203" s="3530"/>
      <c r="AS203" s="3530"/>
      <c r="AT203" s="3530"/>
      <c r="AU203" s="3530"/>
      <c r="AV203" s="3530"/>
      <c r="AW203" s="3477"/>
    </row>
    <row r="204" spans="1:49">
      <c r="A204" s="3188"/>
      <c r="B204" s="3188"/>
      <c r="C204" s="3188"/>
      <c r="D204" s="3188"/>
      <c r="E204" s="3188"/>
      <c r="F204" s="3188"/>
      <c r="G204" s="3188"/>
      <c r="H204" s="3188"/>
      <c r="I204" s="3188"/>
      <c r="J204" s="3188"/>
      <c r="K204" s="3188"/>
      <c r="M204" s="2577">
        <v>10</v>
      </c>
      <c r="N204" s="2577">
        <v>1680</v>
      </c>
      <c r="O204" s="2577" t="s">
        <v>1187</v>
      </c>
      <c r="P204" s="2578"/>
      <c r="Q204" s="2577"/>
      <c r="R204" s="2577"/>
      <c r="S204" s="2577"/>
      <c r="T204" s="2577"/>
      <c r="U204" s="2577">
        <f t="shared" si="135"/>
        <v>0</v>
      </c>
      <c r="V204" s="2577"/>
      <c r="W204" s="2570"/>
      <c r="Y204" s="2641"/>
      <c r="Z204" s="2641"/>
      <c r="AA204" s="2641"/>
      <c r="AB204" s="2642"/>
      <c r="AC204" s="2641"/>
      <c r="AD204" s="2641"/>
      <c r="AE204" s="2641"/>
      <c r="AF204" s="2641"/>
      <c r="AG204" s="2641">
        <f t="shared" si="139"/>
        <v>0</v>
      </c>
      <c r="AH204" s="2641">
        <f t="shared" si="137"/>
        <v>0</v>
      </c>
      <c r="AI204" s="2634"/>
    </row>
    <row r="205" spans="1:49" ht="30">
      <c r="A205" s="2586" t="s">
        <v>1364</v>
      </c>
      <c r="B205" s="2586"/>
      <c r="C205" s="2586"/>
      <c r="D205" s="2586"/>
      <c r="E205" s="2586"/>
      <c r="F205" s="2587"/>
      <c r="G205" s="2586"/>
      <c r="H205" s="2586"/>
      <c r="I205" s="2586"/>
      <c r="J205" s="2586"/>
      <c r="K205" s="2588"/>
      <c r="M205" s="2577">
        <v>11</v>
      </c>
      <c r="N205" s="2577">
        <v>950454</v>
      </c>
      <c r="O205" s="2577" t="s">
        <v>1188</v>
      </c>
      <c r="P205" s="2578"/>
      <c r="Q205" s="2577"/>
      <c r="R205" s="2577"/>
      <c r="S205" s="2577"/>
      <c r="T205" s="2577"/>
      <c r="U205" s="2577">
        <f t="shared" si="135"/>
        <v>0</v>
      </c>
      <c r="V205" s="2577"/>
      <c r="W205" s="2570"/>
      <c r="Y205" s="2643"/>
      <c r="Z205" s="2643"/>
      <c r="AA205" s="2643"/>
      <c r="AB205" s="2644"/>
      <c r="AC205" s="2645">
        <f t="shared" ref="AC205:AH205" si="143">SUM(AC199:AC204)</f>
        <v>0</v>
      </c>
      <c r="AD205" s="2645">
        <f t="shared" si="143"/>
        <v>1200</v>
      </c>
      <c r="AE205" s="2645">
        <f t="shared" si="143"/>
        <v>40.461999999999996</v>
      </c>
      <c r="AF205" s="2645">
        <f t="shared" si="143"/>
        <v>1155.8600000000001</v>
      </c>
      <c r="AG205" s="2645">
        <f t="shared" si="143"/>
        <v>-40.461999999999996</v>
      </c>
      <c r="AH205" s="2645">
        <f t="shared" si="143"/>
        <v>44.139999999999958</v>
      </c>
      <c r="AI205" s="2634"/>
      <c r="AM205" s="2632" t="s">
        <v>1619</v>
      </c>
      <c r="AN205" s="2632"/>
      <c r="AO205" s="2632"/>
      <c r="AP205" s="2632"/>
      <c r="AQ205" s="2632"/>
      <c r="AR205" s="2633"/>
      <c r="AS205" s="2632"/>
      <c r="AT205" s="2632"/>
      <c r="AU205" s="2632"/>
      <c r="AV205" s="2632"/>
      <c r="AW205" s="2634"/>
    </row>
    <row r="206" spans="1:49" ht="30.6" thickBot="1">
      <c r="A206" s="2586" t="s">
        <v>1375</v>
      </c>
      <c r="B206" s="2588"/>
      <c r="C206" s="2588"/>
      <c r="D206" s="2588"/>
      <c r="E206" s="2589"/>
      <c r="F206" s="2587" t="s">
        <v>1158</v>
      </c>
      <c r="G206" s="2588"/>
      <c r="H206" s="2588"/>
      <c r="I206" s="2588"/>
      <c r="J206" s="2588"/>
      <c r="K206" s="2588"/>
      <c r="M206" s="2577">
        <v>12</v>
      </c>
      <c r="N206" s="2577">
        <v>926662</v>
      </c>
      <c r="O206" s="2577" t="s">
        <v>1189</v>
      </c>
      <c r="P206" s="2578"/>
      <c r="Q206" s="2577"/>
      <c r="R206" s="2577"/>
      <c r="S206" s="2577"/>
      <c r="T206" s="2577"/>
      <c r="U206" s="2577">
        <f t="shared" si="135"/>
        <v>0</v>
      </c>
      <c r="V206" s="2577"/>
      <c r="W206" s="2570"/>
      <c r="AM206" s="3532" t="s">
        <v>1613</v>
      </c>
      <c r="AN206" s="2634"/>
      <c r="AO206" s="2634"/>
      <c r="AP206" s="2634"/>
      <c r="AQ206" s="2633"/>
      <c r="AR206" s="2634"/>
      <c r="AS206" s="2634"/>
      <c r="AT206" s="2633" t="s">
        <v>1598</v>
      </c>
      <c r="AU206" s="2634"/>
      <c r="AV206" s="2634"/>
      <c r="AW206" s="2634"/>
    </row>
    <row r="207" spans="1:49" ht="14.4">
      <c r="A207" s="2590"/>
      <c r="B207" s="2589"/>
      <c r="C207" s="2589"/>
      <c r="D207" s="2589"/>
      <c r="E207" s="4076" t="s">
        <v>152</v>
      </c>
      <c r="F207" s="4077"/>
      <c r="G207" s="4076" t="s">
        <v>153</v>
      </c>
      <c r="H207" s="4077"/>
      <c r="I207" s="3189" t="s">
        <v>154</v>
      </c>
      <c r="J207" s="3190"/>
      <c r="K207" s="2593" t="s">
        <v>132</v>
      </c>
      <c r="M207" s="2577">
        <v>13</v>
      </c>
      <c r="N207" s="2577">
        <v>921881</v>
      </c>
      <c r="O207" s="2577" t="s">
        <v>1190</v>
      </c>
      <c r="P207" s="2578"/>
      <c r="Q207" s="2577"/>
      <c r="R207" s="2577"/>
      <c r="S207" s="2577"/>
      <c r="T207" s="2577"/>
      <c r="U207" s="2577">
        <f t="shared" si="135"/>
        <v>0</v>
      </c>
      <c r="V207" s="2577"/>
      <c r="W207" s="2570"/>
      <c r="AM207" s="2635"/>
      <c r="AN207" s="2636"/>
      <c r="AO207" s="2636"/>
      <c r="AP207" s="2636"/>
      <c r="AQ207" s="4053" t="s">
        <v>152</v>
      </c>
      <c r="AR207" s="4054"/>
      <c r="AS207" s="4053" t="s">
        <v>153</v>
      </c>
      <c r="AT207" s="4054"/>
      <c r="AU207" s="3545" t="s">
        <v>154</v>
      </c>
      <c r="AV207" s="3546"/>
      <c r="AW207" s="2639" t="s">
        <v>132</v>
      </c>
    </row>
    <row r="208" spans="1:49" ht="30">
      <c r="A208" s="2594" t="s">
        <v>223</v>
      </c>
      <c r="B208" s="2594" t="s">
        <v>224</v>
      </c>
      <c r="C208" s="2594" t="s">
        <v>225</v>
      </c>
      <c r="D208" s="2594" t="s">
        <v>157</v>
      </c>
      <c r="E208" s="2594" t="s">
        <v>944</v>
      </c>
      <c r="F208" s="2594" t="s">
        <v>945</v>
      </c>
      <c r="G208" s="2594" t="s">
        <v>946</v>
      </c>
      <c r="H208" s="2594" t="s">
        <v>947</v>
      </c>
      <c r="I208" s="2594" t="s">
        <v>948</v>
      </c>
      <c r="J208" s="2594" t="s">
        <v>949</v>
      </c>
      <c r="K208" s="2588"/>
      <c r="M208" s="2577">
        <v>14</v>
      </c>
      <c r="N208" s="2577">
        <v>955847</v>
      </c>
      <c r="O208" s="2577" t="s">
        <v>1191</v>
      </c>
      <c r="P208" s="2578"/>
      <c r="Q208" s="2577"/>
      <c r="R208" s="2577"/>
      <c r="S208" s="2577"/>
      <c r="T208" s="2577"/>
      <c r="U208" s="2577">
        <f t="shared" si="135"/>
        <v>0</v>
      </c>
      <c r="V208" s="2577"/>
      <c r="W208" s="2570"/>
      <c r="Y208" s="2632" t="s">
        <v>1365</v>
      </c>
      <c r="Z208" s="2632"/>
      <c r="AA208" s="2632"/>
      <c r="AB208" s="2632"/>
      <c r="AC208" s="2632"/>
      <c r="AD208" s="2633"/>
      <c r="AE208" s="2632"/>
      <c r="AF208" s="2632"/>
      <c r="AG208" s="2632"/>
      <c r="AH208" s="2632"/>
      <c r="AI208" s="2634"/>
      <c r="AM208" s="2640" t="s">
        <v>223</v>
      </c>
      <c r="AN208" s="2640" t="s">
        <v>224</v>
      </c>
      <c r="AO208" s="2640" t="s">
        <v>225</v>
      </c>
      <c r="AP208" s="2640" t="s">
        <v>157</v>
      </c>
      <c r="AQ208" s="2640" t="s">
        <v>944</v>
      </c>
      <c r="AR208" s="2640" t="s">
        <v>1598</v>
      </c>
      <c r="AS208" s="2640" t="s">
        <v>946</v>
      </c>
      <c r="AT208" s="2640" t="s">
        <v>1598</v>
      </c>
      <c r="AU208" s="2640" t="s">
        <v>948</v>
      </c>
      <c r="AV208" s="2640" t="s">
        <v>1598</v>
      </c>
      <c r="AW208" s="2634"/>
    </row>
    <row r="209" spans="1:49" ht="30.6" thickBot="1">
      <c r="A209" s="2595"/>
      <c r="B209" s="2595">
        <v>30822</v>
      </c>
      <c r="C209" s="2595" t="s">
        <v>374</v>
      </c>
      <c r="D209" s="2596"/>
      <c r="E209" s="2595"/>
      <c r="F209" s="4080">
        <v>229</v>
      </c>
      <c r="G209" s="2595">
        <v>19.27</v>
      </c>
      <c r="H209" s="3155">
        <v>49.55</v>
      </c>
      <c r="I209" s="2595"/>
      <c r="J209" s="4080">
        <f>(+F209-G209-G210)</f>
        <v>178.488</v>
      </c>
      <c r="K209" s="2588"/>
      <c r="M209" s="2577">
        <v>15</v>
      </c>
      <c r="N209" s="2577">
        <v>955947</v>
      </c>
      <c r="O209" s="2577" t="s">
        <v>1192</v>
      </c>
      <c r="P209" s="2578"/>
      <c r="Q209" s="2577"/>
      <c r="R209" s="2577"/>
      <c r="S209" s="2577"/>
      <c r="T209" s="2577"/>
      <c r="U209" s="2577">
        <f t="shared" si="135"/>
        <v>0</v>
      </c>
      <c r="V209" s="2577"/>
      <c r="W209" s="2570"/>
      <c r="Y209" s="2632" t="s">
        <v>1366</v>
      </c>
      <c r="Z209" s="2634"/>
      <c r="AA209" s="2634"/>
      <c r="AB209" s="2634"/>
      <c r="AC209" s="2633"/>
      <c r="AD209" s="2634"/>
      <c r="AE209" s="2634"/>
      <c r="AF209" s="2633" t="s">
        <v>1319</v>
      </c>
      <c r="AG209" s="2634"/>
      <c r="AH209" s="2634"/>
      <c r="AI209" s="2634"/>
      <c r="AM209" s="2640"/>
      <c r="AN209" s="2641">
        <v>958676</v>
      </c>
      <c r="AO209" s="2640" t="s">
        <v>323</v>
      </c>
      <c r="AP209" s="2640"/>
      <c r="AQ209" s="4055"/>
      <c r="AR209" s="4055">
        <v>700.38400000000001</v>
      </c>
      <c r="AS209" s="2640">
        <v>8.5459999999999994</v>
      </c>
      <c r="AT209" s="2640">
        <v>95.635000000000005</v>
      </c>
      <c r="AU209" s="4058">
        <f>+AQ209-AS217</f>
        <v>-126.078</v>
      </c>
      <c r="AV209" s="4058">
        <f>+AR209-AT209-AT210-AT211-AT212-AT213-AT214-AT215</f>
        <v>126.07800000000002</v>
      </c>
      <c r="AW209" s="2634"/>
    </row>
    <row r="210" spans="1:49" ht="14.4">
      <c r="A210" s="2595"/>
      <c r="B210" s="2595">
        <v>952452</v>
      </c>
      <c r="C210" s="2595" t="s">
        <v>511</v>
      </c>
      <c r="D210" s="2596"/>
      <c r="E210" s="2595"/>
      <c r="F210" s="4082"/>
      <c r="G210" s="2595">
        <v>31.242000000000001</v>
      </c>
      <c r="H210" s="3155">
        <v>128.93799999999999</v>
      </c>
      <c r="I210" s="2595"/>
      <c r="J210" s="4082"/>
      <c r="K210" s="2588"/>
      <c r="M210" s="2577">
        <v>16</v>
      </c>
      <c r="N210" s="2577">
        <v>922252</v>
      </c>
      <c r="O210" s="2577" t="s">
        <v>1193</v>
      </c>
      <c r="P210" s="2578"/>
      <c r="Q210" s="2577"/>
      <c r="R210" s="2577"/>
      <c r="S210" s="2577"/>
      <c r="T210" s="2577"/>
      <c r="U210" s="2577">
        <f t="shared" si="135"/>
        <v>0</v>
      </c>
      <c r="V210" s="2577"/>
      <c r="W210" s="2570"/>
      <c r="Y210" s="2635"/>
      <c r="Z210" s="2636"/>
      <c r="AA210" s="2636"/>
      <c r="AB210" s="2636"/>
      <c r="AC210" s="4053" t="s">
        <v>152</v>
      </c>
      <c r="AD210" s="4054"/>
      <c r="AE210" s="4053" t="s">
        <v>153</v>
      </c>
      <c r="AF210" s="4054"/>
      <c r="AG210" s="3171" t="s">
        <v>154</v>
      </c>
      <c r="AH210" s="3172"/>
      <c r="AI210" s="2639" t="s">
        <v>132</v>
      </c>
      <c r="AM210" s="2640"/>
      <c r="AN210" s="2641">
        <v>952073</v>
      </c>
      <c r="AO210" s="2640" t="s">
        <v>1336</v>
      </c>
      <c r="AP210" s="2640"/>
      <c r="AQ210" s="4056"/>
      <c r="AR210" s="4056"/>
      <c r="AS210" s="2640">
        <v>37.744999999999997</v>
      </c>
      <c r="AT210" s="2640">
        <v>68.974000000000004</v>
      </c>
      <c r="AU210" s="4059"/>
      <c r="AV210" s="4059"/>
      <c r="AW210" s="2634"/>
    </row>
    <row r="211" spans="1:49" ht="28.8">
      <c r="A211" s="2597"/>
      <c r="B211" s="2597"/>
      <c r="C211" s="2597"/>
      <c r="D211" s="3191"/>
      <c r="E211" s="2597"/>
      <c r="F211" s="2597"/>
      <c r="G211" s="2597"/>
      <c r="H211" s="2597"/>
      <c r="I211" s="2597"/>
      <c r="J211" s="2597"/>
      <c r="K211" s="2588"/>
      <c r="M211" s="2577">
        <v>17</v>
      </c>
      <c r="N211" s="2577">
        <v>951184</v>
      </c>
      <c r="O211" s="2577" t="s">
        <v>1194</v>
      </c>
      <c r="P211" s="2578"/>
      <c r="Q211" s="2577"/>
      <c r="R211" s="2577"/>
      <c r="S211" s="2577"/>
      <c r="T211" s="2577"/>
      <c r="U211" s="2577">
        <f t="shared" si="135"/>
        <v>0</v>
      </c>
      <c r="V211" s="2577"/>
      <c r="W211" s="2570"/>
      <c r="Y211" s="2640" t="s">
        <v>223</v>
      </c>
      <c r="Z211" s="2640" t="s">
        <v>224</v>
      </c>
      <c r="AA211" s="2640" t="s">
        <v>225</v>
      </c>
      <c r="AB211" s="2640" t="s">
        <v>157</v>
      </c>
      <c r="AC211" s="2640" t="s">
        <v>944</v>
      </c>
      <c r="AD211" s="2640" t="s">
        <v>1368</v>
      </c>
      <c r="AE211" s="2640" t="s">
        <v>946</v>
      </c>
      <c r="AF211" s="2640" t="s">
        <v>1367</v>
      </c>
      <c r="AG211" s="2640" t="s">
        <v>948</v>
      </c>
      <c r="AH211" s="2640" t="s">
        <v>949</v>
      </c>
      <c r="AI211" s="2634"/>
      <c r="AM211" s="2640"/>
      <c r="AN211" s="2641">
        <v>924618</v>
      </c>
      <c r="AO211" s="2640" t="s">
        <v>169</v>
      </c>
      <c r="AP211" s="2640"/>
      <c r="AQ211" s="4056"/>
      <c r="AR211" s="4056"/>
      <c r="AS211" s="2640">
        <v>29.59</v>
      </c>
      <c r="AT211" s="2640">
        <v>84.02</v>
      </c>
      <c r="AU211" s="4059"/>
      <c r="AV211" s="4059"/>
      <c r="AW211" s="2634"/>
    </row>
    <row r="212" spans="1:49" ht="14.4">
      <c r="A212" s="2597"/>
      <c r="B212" s="2597"/>
      <c r="C212" s="2597"/>
      <c r="D212" s="3191"/>
      <c r="E212" s="2599"/>
      <c r="F212" s="2599">
        <v>700</v>
      </c>
      <c r="G212" s="2599">
        <f>SUM(G209:G210)</f>
        <v>50.512</v>
      </c>
      <c r="H212" s="2599">
        <f>SUM(H209:H210)</f>
        <v>178.488</v>
      </c>
      <c r="I212" s="2599"/>
      <c r="J212" s="2599">
        <f>+F212-H212</f>
        <v>521.51199999999994</v>
      </c>
      <c r="K212" s="2588"/>
      <c r="M212" s="2577">
        <v>18</v>
      </c>
      <c r="N212" s="2577">
        <v>92226</v>
      </c>
      <c r="O212" s="2577" t="s">
        <v>1195</v>
      </c>
      <c r="P212" s="2578"/>
      <c r="Q212" s="2577"/>
      <c r="R212" s="2577"/>
      <c r="S212" s="2577"/>
      <c r="T212" s="2577"/>
      <c r="U212" s="2577">
        <f t="shared" si="135"/>
        <v>0</v>
      </c>
      <c r="V212" s="2577"/>
      <c r="W212" s="2570"/>
      <c r="Y212" s="2641"/>
      <c r="Z212" s="2641">
        <v>902835</v>
      </c>
      <c r="AA212" s="2641" t="s">
        <v>296</v>
      </c>
      <c r="AB212" s="2642"/>
      <c r="AC212" s="2641"/>
      <c r="AD212" s="3178">
        <v>580</v>
      </c>
      <c r="AE212" s="2641"/>
      <c r="AF212" s="3178">
        <v>580.28</v>
      </c>
      <c r="AG212" s="2641"/>
      <c r="AH212" s="3178">
        <f t="shared" ref="AH212:AH213" si="144">(AD212-AF212)</f>
        <v>-0.27999999999997272</v>
      </c>
      <c r="AI212" s="2634"/>
      <c r="AM212" s="2640"/>
      <c r="AN212" s="2641">
        <v>953902</v>
      </c>
      <c r="AO212" s="2640" t="s">
        <v>404</v>
      </c>
      <c r="AP212" s="2640"/>
      <c r="AQ212" s="4056"/>
      <c r="AR212" s="4056"/>
      <c r="AS212" s="2640">
        <v>31.623000000000001</v>
      </c>
      <c r="AT212" s="2640">
        <v>77.924999999999997</v>
      </c>
      <c r="AU212" s="4059"/>
      <c r="AV212" s="4059"/>
      <c r="AW212" s="2634"/>
    </row>
    <row r="213" spans="1:49" ht="14.4">
      <c r="A213" s="3188"/>
      <c r="B213" s="3188"/>
      <c r="C213" s="3188"/>
      <c r="D213" s="3188"/>
      <c r="E213" s="3188"/>
      <c r="F213" s="3188"/>
      <c r="G213" s="3188"/>
      <c r="H213" s="3188"/>
      <c r="I213" s="3188"/>
      <c r="J213" s="3188"/>
      <c r="K213" s="3188"/>
      <c r="M213" s="2577">
        <v>19</v>
      </c>
      <c r="N213" s="2577">
        <v>952905</v>
      </c>
      <c r="O213" s="2577" t="s">
        <v>1196</v>
      </c>
      <c r="P213" s="2578"/>
      <c r="Q213" s="2577"/>
      <c r="R213" s="2577"/>
      <c r="S213" s="2577"/>
      <c r="T213" s="2577"/>
      <c r="U213" s="2577">
        <f t="shared" si="135"/>
        <v>0</v>
      </c>
      <c r="V213" s="2577"/>
      <c r="W213" s="2570"/>
      <c r="Y213" s="2641"/>
      <c r="Z213" s="2641"/>
      <c r="AA213" s="2641"/>
      <c r="AB213" s="2642"/>
      <c r="AC213" s="2641"/>
      <c r="AD213" s="2641"/>
      <c r="AE213" s="2641"/>
      <c r="AF213" s="2641"/>
      <c r="AG213" s="2641">
        <f t="shared" ref="AG213" si="145">(AC213-AE213)</f>
        <v>0</v>
      </c>
      <c r="AH213" s="2641">
        <f t="shared" si="144"/>
        <v>0</v>
      </c>
      <c r="AI213" s="2634"/>
      <c r="AM213" s="2640"/>
      <c r="AN213" s="2641">
        <v>957798</v>
      </c>
      <c r="AO213" s="2640" t="s">
        <v>403</v>
      </c>
      <c r="AP213" s="2640"/>
      <c r="AQ213" s="4056"/>
      <c r="AR213" s="4056"/>
      <c r="AS213" s="2640">
        <v>0</v>
      </c>
      <c r="AT213" s="2640">
        <v>57.668999999999997</v>
      </c>
      <c r="AU213" s="4059"/>
      <c r="AV213" s="4059"/>
      <c r="AW213" s="2634"/>
    </row>
    <row r="214" spans="1:49" ht="14.4">
      <c r="A214" s="3356"/>
      <c r="B214" s="3356"/>
      <c r="C214" s="3356"/>
      <c r="D214" s="3356"/>
      <c r="E214" s="3356"/>
      <c r="F214" s="3356"/>
      <c r="G214" s="3356"/>
      <c r="H214" s="3356"/>
      <c r="I214" s="3356"/>
      <c r="J214" s="3356"/>
      <c r="K214" s="3356"/>
      <c r="M214" s="2577">
        <v>20</v>
      </c>
      <c r="N214" s="2577">
        <v>959822</v>
      </c>
      <c r="O214" s="2577" t="s">
        <v>1197</v>
      </c>
      <c r="P214" s="2578"/>
      <c r="Q214" s="2577"/>
      <c r="R214" s="2577"/>
      <c r="S214" s="2577"/>
      <c r="T214" s="2577"/>
      <c r="U214" s="2577">
        <f t="shared" si="135"/>
        <v>0</v>
      </c>
      <c r="V214" s="2577"/>
      <c r="W214" s="2570"/>
      <c r="Y214" s="2643"/>
      <c r="Z214" s="2643"/>
      <c r="AA214" s="2643"/>
      <c r="AB214" s="2644"/>
      <c r="AC214" s="2645">
        <f t="shared" ref="AC214:AH214" si="146">SUM(AC212:AC213)</f>
        <v>0</v>
      </c>
      <c r="AD214" s="2645">
        <f t="shared" si="146"/>
        <v>580</v>
      </c>
      <c r="AE214" s="2645">
        <f t="shared" si="146"/>
        <v>0</v>
      </c>
      <c r="AF214" s="2645">
        <f t="shared" si="146"/>
        <v>580.28</v>
      </c>
      <c r="AG214" s="2645">
        <f t="shared" si="146"/>
        <v>0</v>
      </c>
      <c r="AH214" s="2645">
        <f t="shared" si="146"/>
        <v>-0.27999999999997272</v>
      </c>
      <c r="AI214" s="2634"/>
      <c r="AM214" s="2640"/>
      <c r="AN214" s="2641">
        <v>952844</v>
      </c>
      <c r="AO214" s="2640" t="s">
        <v>405</v>
      </c>
      <c r="AP214" s="2640"/>
      <c r="AQ214" s="4056"/>
      <c r="AR214" s="4056"/>
      <c r="AS214" s="2640">
        <v>12.141999999999999</v>
      </c>
      <c r="AT214" s="2640">
        <v>114.21</v>
      </c>
      <c r="AU214" s="4059"/>
      <c r="AV214" s="4059"/>
      <c r="AW214" s="2634"/>
    </row>
    <row r="215" spans="1:49" ht="30">
      <c r="A215" s="2586" t="s">
        <v>1364</v>
      </c>
      <c r="B215" s="2586"/>
      <c r="C215" s="2586"/>
      <c r="D215" s="2586"/>
      <c r="E215" s="2586"/>
      <c r="F215" s="2587"/>
      <c r="G215" s="2586"/>
      <c r="H215" s="2586"/>
      <c r="I215" s="2586"/>
      <c r="J215" s="2586"/>
      <c r="K215" s="2588"/>
      <c r="M215" s="2577">
        <v>21</v>
      </c>
      <c r="N215" s="2577">
        <v>9543772</v>
      </c>
      <c r="O215" s="2577" t="s">
        <v>1198</v>
      </c>
      <c r="P215" s="2578"/>
      <c r="Q215" s="2577"/>
      <c r="R215" s="2577"/>
      <c r="S215" s="2577"/>
      <c r="T215" s="2577"/>
      <c r="U215" s="2577">
        <f t="shared" si="135"/>
        <v>0</v>
      </c>
      <c r="V215" s="2577"/>
      <c r="W215" s="2570"/>
      <c r="AM215" s="2640"/>
      <c r="AN215" s="2641">
        <v>957816</v>
      </c>
      <c r="AO215" s="2640" t="s">
        <v>1084</v>
      </c>
      <c r="AP215" s="2640"/>
      <c r="AQ215" s="4057"/>
      <c r="AR215" s="4057"/>
      <c r="AS215" s="2640">
        <v>6.4320000000000004</v>
      </c>
      <c r="AT215" s="2640">
        <v>75.873000000000005</v>
      </c>
      <c r="AU215" s="4060"/>
      <c r="AV215" s="4060"/>
      <c r="AW215" s="2634"/>
    </row>
    <row r="216" spans="1:49" ht="30.6" thickBot="1">
      <c r="A216" s="2586" t="s">
        <v>1420</v>
      </c>
      <c r="B216" s="2588"/>
      <c r="C216" s="2588"/>
      <c r="D216" s="2588"/>
      <c r="E216" s="2589"/>
      <c r="F216" s="2587" t="s">
        <v>1421</v>
      </c>
      <c r="G216" s="2588"/>
      <c r="H216" s="2588"/>
      <c r="I216" s="2588"/>
      <c r="J216" s="2588"/>
      <c r="K216" s="2588"/>
      <c r="M216" s="2577">
        <v>22</v>
      </c>
      <c r="N216" s="2577">
        <v>913416</v>
      </c>
      <c r="O216" s="2577" t="s">
        <v>1199</v>
      </c>
      <c r="P216" s="2578"/>
      <c r="Q216" s="2577"/>
      <c r="R216" s="2577"/>
      <c r="S216" s="2577"/>
      <c r="T216" s="2577"/>
      <c r="U216" s="2577">
        <f t="shared" si="135"/>
        <v>0</v>
      </c>
      <c r="V216" s="2577"/>
      <c r="W216" s="2570"/>
      <c r="AM216" s="2641"/>
      <c r="AN216" s="2641"/>
      <c r="AO216" s="2641"/>
      <c r="AP216" s="2642"/>
      <c r="AQ216" s="2641"/>
      <c r="AR216" s="2641"/>
      <c r="AS216" s="2641"/>
      <c r="AT216" s="2641">
        <v>0</v>
      </c>
      <c r="AU216" s="2641">
        <f t="shared" ref="AU216" si="147">(AQ216-AS216)</f>
        <v>0</v>
      </c>
      <c r="AV216" s="2641">
        <f t="shared" ref="AV216" si="148">(AR216-AT216)</f>
        <v>0</v>
      </c>
      <c r="AW216" s="2634"/>
    </row>
    <row r="217" spans="1:49" ht="30">
      <c r="A217" s="2590"/>
      <c r="B217" s="2589"/>
      <c r="C217" s="2589"/>
      <c r="D217" s="2589"/>
      <c r="E217" s="4076" t="s">
        <v>152</v>
      </c>
      <c r="F217" s="4077"/>
      <c r="G217" s="4076" t="s">
        <v>153</v>
      </c>
      <c r="H217" s="4077"/>
      <c r="I217" s="3358" t="s">
        <v>154</v>
      </c>
      <c r="J217" s="3359"/>
      <c r="K217" s="2593" t="s">
        <v>132</v>
      </c>
      <c r="M217" s="2577">
        <v>23</v>
      </c>
      <c r="N217" s="2577">
        <v>953967</v>
      </c>
      <c r="O217" s="2577" t="s">
        <v>1200</v>
      </c>
      <c r="P217" s="2578"/>
      <c r="Q217" s="2577"/>
      <c r="R217" s="2577"/>
      <c r="S217" s="2577"/>
      <c r="T217" s="2577"/>
      <c r="U217" s="2577">
        <f t="shared" si="135"/>
        <v>0</v>
      </c>
      <c r="V217" s="2577"/>
      <c r="W217" s="2570"/>
      <c r="Y217" s="2632" t="s">
        <v>1361</v>
      </c>
      <c r="Z217" s="2632"/>
      <c r="AA217" s="2632"/>
      <c r="AB217" s="2632"/>
      <c r="AC217" s="2632"/>
      <c r="AD217" s="2633"/>
      <c r="AE217" s="2632"/>
      <c r="AF217" s="2632"/>
      <c r="AG217" s="2632"/>
      <c r="AH217" s="2632"/>
      <c r="AI217" s="2634"/>
      <c r="AM217" s="2643"/>
      <c r="AN217" s="2643"/>
      <c r="AO217" s="2643"/>
      <c r="AP217" s="3544"/>
      <c r="AQ217" s="2645">
        <f t="shared" ref="AQ217:AV217" si="149">SUM(AQ216:AQ216)</f>
        <v>0</v>
      </c>
      <c r="AR217" s="2645">
        <f t="shared" si="149"/>
        <v>0</v>
      </c>
      <c r="AS217" s="2645">
        <f>SUM(AS209:AS216)</f>
        <v>126.078</v>
      </c>
      <c r="AT217" s="2645">
        <f>SUM(AT209:AT216)</f>
        <v>574.30600000000004</v>
      </c>
      <c r="AU217" s="2645">
        <f t="shared" si="149"/>
        <v>0</v>
      </c>
      <c r="AV217" s="2645">
        <f t="shared" si="149"/>
        <v>0</v>
      </c>
      <c r="AW217" s="2634"/>
    </row>
    <row r="218" spans="1:49" ht="30.6" thickBot="1">
      <c r="A218" s="2594" t="s">
        <v>223</v>
      </c>
      <c r="B218" s="2594" t="s">
        <v>224</v>
      </c>
      <c r="C218" s="2594" t="s">
        <v>225</v>
      </c>
      <c r="D218" s="2594" t="s">
        <v>157</v>
      </c>
      <c r="E218" s="2594" t="s">
        <v>944</v>
      </c>
      <c r="F218" s="2594" t="s">
        <v>945</v>
      </c>
      <c r="G218" s="2594" t="s">
        <v>946</v>
      </c>
      <c r="H218" s="2594" t="s">
        <v>947</v>
      </c>
      <c r="I218" s="2594" t="s">
        <v>948</v>
      </c>
      <c r="J218" s="2594" t="s">
        <v>949</v>
      </c>
      <c r="K218" s="2588"/>
      <c r="M218" s="2577">
        <v>24</v>
      </c>
      <c r="N218" s="2577">
        <v>912906</v>
      </c>
      <c r="O218" s="2577" t="s">
        <v>1201</v>
      </c>
      <c r="P218" s="2578"/>
      <c r="Q218" s="2577"/>
      <c r="R218" s="2577"/>
      <c r="S218" s="2577"/>
      <c r="T218" s="2577"/>
      <c r="U218" s="2577">
        <f t="shared" si="135"/>
        <v>0</v>
      </c>
      <c r="V218" s="2577"/>
      <c r="W218" s="2570"/>
      <c r="Y218" s="2632" t="s">
        <v>1363</v>
      </c>
      <c r="Z218" s="2634"/>
      <c r="AA218" s="2634"/>
      <c r="AB218" s="2634"/>
      <c r="AC218" s="2633"/>
      <c r="AD218" s="2634"/>
      <c r="AE218" s="2634"/>
      <c r="AF218" s="2633" t="s">
        <v>38</v>
      </c>
      <c r="AG218" s="2634"/>
      <c r="AH218" s="2634"/>
      <c r="AI218" s="2634"/>
    </row>
    <row r="219" spans="1:49" ht="30">
      <c r="A219" s="2597"/>
      <c r="B219" s="2595">
        <v>926665</v>
      </c>
      <c r="C219" s="2595" t="s">
        <v>207</v>
      </c>
      <c r="D219" s="3357"/>
      <c r="E219" s="2597">
        <v>15.27</v>
      </c>
      <c r="F219" s="2597">
        <v>92</v>
      </c>
      <c r="G219" s="2597">
        <v>0</v>
      </c>
      <c r="H219" s="2597">
        <v>107.27</v>
      </c>
      <c r="I219" s="2597">
        <f>+E219-G219</f>
        <v>15.27</v>
      </c>
      <c r="J219" s="2597">
        <f>+F219-H219</f>
        <v>-15.269999999999996</v>
      </c>
      <c r="K219" s="2588"/>
      <c r="M219" s="2577">
        <v>25</v>
      </c>
      <c r="N219" s="2577">
        <v>953317</v>
      </c>
      <c r="O219" s="2577" t="s">
        <v>1202</v>
      </c>
      <c r="P219" s="2578"/>
      <c r="Q219" s="2577"/>
      <c r="R219" s="2577"/>
      <c r="S219" s="2577"/>
      <c r="T219" s="2577"/>
      <c r="U219" s="2577">
        <f t="shared" si="135"/>
        <v>0</v>
      </c>
      <c r="V219" s="2577"/>
      <c r="W219" s="2570"/>
      <c r="Y219" s="2635"/>
      <c r="Z219" s="2636"/>
      <c r="AA219" s="2636"/>
      <c r="AB219" s="2636"/>
      <c r="AC219" s="4053" t="s">
        <v>152</v>
      </c>
      <c r="AD219" s="4054"/>
      <c r="AE219" s="4053" t="s">
        <v>153</v>
      </c>
      <c r="AF219" s="4054"/>
      <c r="AG219" s="3176" t="s">
        <v>154</v>
      </c>
      <c r="AH219" s="3177"/>
      <c r="AI219" s="2639" t="s">
        <v>132</v>
      </c>
      <c r="AM219" s="2632" t="s">
        <v>1619</v>
      </c>
      <c r="AN219" s="2632"/>
      <c r="AO219" s="2632"/>
      <c r="AP219" s="2632"/>
      <c r="AQ219" s="2632"/>
      <c r="AR219" s="2633"/>
      <c r="AS219" s="2632"/>
      <c r="AT219" s="2632"/>
      <c r="AU219" s="2632"/>
      <c r="AV219" s="2632"/>
      <c r="AW219" s="2634"/>
    </row>
    <row r="220" spans="1:49" ht="30.6" thickBot="1">
      <c r="A220" s="2597"/>
      <c r="B220" s="2597"/>
      <c r="C220" s="2597"/>
      <c r="D220" s="3357"/>
      <c r="E220" s="2599"/>
      <c r="F220" s="2599"/>
      <c r="G220" s="2599"/>
      <c r="H220" s="2599"/>
      <c r="I220" s="2599"/>
      <c r="J220" s="2599">
        <f>+F220-H220</f>
        <v>0</v>
      </c>
      <c r="K220" s="2588"/>
      <c r="M220" s="2577">
        <v>26</v>
      </c>
      <c r="N220" s="2577">
        <v>921880</v>
      </c>
      <c r="O220" s="2577" t="s">
        <v>1203</v>
      </c>
      <c r="P220" s="2578"/>
      <c r="Q220" s="2577"/>
      <c r="R220" s="2577"/>
      <c r="S220" s="2577"/>
      <c r="T220" s="2577"/>
      <c r="U220" s="2577">
        <f t="shared" si="135"/>
        <v>0</v>
      </c>
      <c r="V220" s="2577"/>
      <c r="W220" s="2570"/>
      <c r="Y220" s="2640" t="s">
        <v>223</v>
      </c>
      <c r="Z220" s="2640" t="s">
        <v>224</v>
      </c>
      <c r="AA220" s="2640" t="s">
        <v>225</v>
      </c>
      <c r="AB220" s="2640" t="s">
        <v>157</v>
      </c>
      <c r="AC220" s="2640" t="s">
        <v>944</v>
      </c>
      <c r="AD220" s="2640" t="s">
        <v>38</v>
      </c>
      <c r="AE220" s="2640" t="s">
        <v>946</v>
      </c>
      <c r="AF220" s="2640" t="s">
        <v>1362</v>
      </c>
      <c r="AG220" s="2640" t="s">
        <v>948</v>
      </c>
      <c r="AH220" s="2640" t="s">
        <v>949</v>
      </c>
      <c r="AI220" s="2634"/>
      <c r="AM220" s="3532" t="s">
        <v>1613</v>
      </c>
      <c r="AN220" s="2634"/>
      <c r="AO220" s="2634"/>
      <c r="AP220" s="2634"/>
      <c r="AQ220" s="2633"/>
      <c r="AR220" s="2634"/>
      <c r="AS220" s="2634"/>
      <c r="AT220" s="2633" t="s">
        <v>1598</v>
      </c>
      <c r="AU220" s="2634"/>
      <c r="AV220" s="2634"/>
      <c r="AW220" s="2634"/>
    </row>
    <row r="221" spans="1:49" ht="14.4">
      <c r="A221" s="3356"/>
      <c r="B221" s="3356"/>
      <c r="C221" s="3356"/>
      <c r="D221" s="3356"/>
      <c r="E221" s="3356"/>
      <c r="F221" s="3356"/>
      <c r="G221" s="3356"/>
      <c r="H221" s="3356"/>
      <c r="I221" s="3356"/>
      <c r="J221" s="3356"/>
      <c r="K221" s="3356"/>
      <c r="M221" s="2577">
        <v>27</v>
      </c>
      <c r="N221" s="2577">
        <v>955248</v>
      </c>
      <c r="O221" s="2577" t="s">
        <v>1204</v>
      </c>
      <c r="P221" s="2578"/>
      <c r="Q221" s="2577"/>
      <c r="R221" s="2577"/>
      <c r="S221" s="2577"/>
      <c r="T221" s="2577"/>
      <c r="U221" s="2577">
        <f t="shared" si="135"/>
        <v>0</v>
      </c>
      <c r="V221" s="2577"/>
      <c r="W221" s="2570"/>
      <c r="Y221" s="2641"/>
      <c r="Z221" s="2641">
        <v>1546</v>
      </c>
      <c r="AA221" s="2641" t="s">
        <v>1348</v>
      </c>
      <c r="AB221" s="2642"/>
      <c r="AC221" s="2641"/>
      <c r="AD221" s="4058">
        <v>1000</v>
      </c>
      <c r="AE221" s="2641"/>
      <c r="AF221" s="4058">
        <v>250.46</v>
      </c>
      <c r="AG221" s="2641"/>
      <c r="AH221" s="4058">
        <f t="shared" ref="AH221" si="150">(AD221-AF221)</f>
        <v>749.54</v>
      </c>
      <c r="AI221" s="2634"/>
      <c r="AM221" s="2635"/>
      <c r="AN221" s="2636"/>
      <c r="AO221" s="2636"/>
      <c r="AP221" s="2636"/>
      <c r="AQ221" s="4053" t="s">
        <v>152</v>
      </c>
      <c r="AR221" s="4054"/>
      <c r="AS221" s="4053" t="s">
        <v>153</v>
      </c>
      <c r="AT221" s="4054"/>
      <c r="AU221" s="3545" t="s">
        <v>154</v>
      </c>
      <c r="AV221" s="3546"/>
      <c r="AW221" s="2639" t="s">
        <v>132</v>
      </c>
    </row>
    <row r="222" spans="1:49" ht="28.8">
      <c r="A222" s="3430"/>
      <c r="B222" s="3430"/>
      <c r="C222" s="3430"/>
      <c r="D222" s="3430"/>
      <c r="E222" s="3430"/>
      <c r="F222" s="3430"/>
      <c r="G222" s="3430"/>
      <c r="H222" s="3430"/>
      <c r="I222" s="3430"/>
      <c r="J222" s="3430"/>
      <c r="K222" s="3430"/>
      <c r="M222" s="2577">
        <v>28</v>
      </c>
      <c r="N222" s="2577">
        <v>957497</v>
      </c>
      <c r="O222" s="2577" t="s">
        <v>1205</v>
      </c>
      <c r="P222" s="2578"/>
      <c r="Q222" s="2577"/>
      <c r="R222" s="2577"/>
      <c r="S222" s="2577"/>
      <c r="T222" s="2577"/>
      <c r="U222" s="2577">
        <f t="shared" si="135"/>
        <v>0</v>
      </c>
      <c r="V222" s="2577"/>
      <c r="W222" s="2570"/>
      <c r="Y222" s="2641"/>
      <c r="Z222" s="2641">
        <v>919376</v>
      </c>
      <c r="AA222" s="2641" t="s">
        <v>1349</v>
      </c>
      <c r="AB222" s="2642"/>
      <c r="AC222" s="2641"/>
      <c r="AD222" s="4069"/>
      <c r="AE222" s="2641"/>
      <c r="AF222" s="4069"/>
      <c r="AG222" s="2641"/>
      <c r="AH222" s="4069"/>
      <c r="AI222" s="2634"/>
      <c r="AM222" s="2640" t="s">
        <v>223</v>
      </c>
      <c r="AN222" s="2640" t="s">
        <v>224</v>
      </c>
      <c r="AO222" s="2640" t="s">
        <v>225</v>
      </c>
      <c r="AP222" s="2640" t="s">
        <v>157</v>
      </c>
      <c r="AQ222" s="2640" t="s">
        <v>944</v>
      </c>
      <c r="AR222" s="2640" t="s">
        <v>1598</v>
      </c>
      <c r="AS222" s="2640" t="s">
        <v>946</v>
      </c>
      <c r="AT222" s="2640" t="s">
        <v>1598</v>
      </c>
      <c r="AU222" s="2640" t="s">
        <v>948</v>
      </c>
      <c r="AV222" s="2640" t="s">
        <v>1598</v>
      </c>
      <c r="AW222" s="2634"/>
    </row>
    <row r="223" spans="1:49" ht="30">
      <c r="A223" s="2568" t="s">
        <v>1329</v>
      </c>
      <c r="B223" s="2568"/>
      <c r="C223" s="2568"/>
      <c r="D223" s="2568"/>
      <c r="E223" s="2568"/>
      <c r="F223" s="2569"/>
      <c r="G223" s="2568"/>
      <c r="H223" s="2568"/>
      <c r="I223" s="2568"/>
      <c r="J223" s="2568"/>
      <c r="K223" s="2570"/>
      <c r="M223" s="2577">
        <v>29</v>
      </c>
      <c r="N223" s="2577">
        <v>959745</v>
      </c>
      <c r="O223" s="2577" t="s">
        <v>1206</v>
      </c>
      <c r="P223" s="2578"/>
      <c r="Q223" s="2577"/>
      <c r="R223" s="2577"/>
      <c r="S223" s="2577"/>
      <c r="T223" s="2577"/>
      <c r="U223" s="2577">
        <f t="shared" si="135"/>
        <v>0</v>
      </c>
      <c r="V223" s="2577"/>
      <c r="W223" s="2570"/>
      <c r="Y223" s="2641"/>
      <c r="Z223" s="2641">
        <v>960973</v>
      </c>
      <c r="AA223" s="2641" t="s">
        <v>1350</v>
      </c>
      <c r="AB223" s="2642"/>
      <c r="AC223" s="2641"/>
      <c r="AD223" s="4069"/>
      <c r="AE223" s="2641"/>
      <c r="AF223" s="4069"/>
      <c r="AG223" s="2641"/>
      <c r="AH223" s="4069"/>
      <c r="AI223" s="2634"/>
      <c r="AM223" s="2640"/>
      <c r="AN223" s="2641">
        <v>961395</v>
      </c>
      <c r="AO223" s="2640" t="s">
        <v>212</v>
      </c>
      <c r="AP223" s="2640"/>
      <c r="AQ223" s="3550">
        <v>0</v>
      </c>
      <c r="AR223" s="3550">
        <v>200.99</v>
      </c>
      <c r="AS223" s="2640">
        <v>24.373000000000001</v>
      </c>
      <c r="AT223" s="2640">
        <v>173.82599999999999</v>
      </c>
      <c r="AU223" s="3178">
        <f>+AR223-AT223</f>
        <v>27.164000000000016</v>
      </c>
      <c r="AV223" s="3178"/>
      <c r="AW223" s="2634"/>
    </row>
    <row r="224" spans="1:49" ht="30.6" thickBot="1">
      <c r="A224" s="2568" t="s">
        <v>1330</v>
      </c>
      <c r="B224" s="2570"/>
      <c r="C224" s="2570"/>
      <c r="D224" s="2570"/>
      <c r="E224" s="2569" t="s">
        <v>1243</v>
      </c>
      <c r="F224" s="2570"/>
      <c r="G224" s="2570"/>
      <c r="H224" s="2570"/>
      <c r="I224" s="2570"/>
      <c r="J224" s="2570"/>
      <c r="K224" s="2570"/>
      <c r="M224" s="2577">
        <v>30</v>
      </c>
      <c r="N224" s="2577">
        <v>960009</v>
      </c>
      <c r="O224" s="2577" t="s">
        <v>1207</v>
      </c>
      <c r="P224" s="2578"/>
      <c r="Q224" s="2577"/>
      <c r="R224" s="2577"/>
      <c r="S224" s="2577"/>
      <c r="T224" s="2577"/>
      <c r="U224" s="2577">
        <f t="shared" si="135"/>
        <v>0</v>
      </c>
      <c r="V224" s="2577"/>
      <c r="W224" s="2570"/>
      <c r="Y224" s="2641"/>
      <c r="Z224" s="2641">
        <v>960956</v>
      </c>
      <c r="AA224" s="2641" t="s">
        <v>1351</v>
      </c>
      <c r="AB224" s="2642"/>
      <c r="AC224" s="2641"/>
      <c r="AD224" s="4069"/>
      <c r="AE224" s="2641"/>
      <c r="AF224" s="4069"/>
      <c r="AG224" s="2641"/>
      <c r="AH224" s="4069"/>
      <c r="AI224" s="2634"/>
      <c r="AM224" s="2640"/>
      <c r="AN224" s="2641">
        <v>956727</v>
      </c>
      <c r="AO224" s="2640" t="s">
        <v>1614</v>
      </c>
      <c r="AP224" s="2640"/>
      <c r="AQ224" s="3550">
        <v>0</v>
      </c>
      <c r="AR224" s="3550">
        <v>101.111</v>
      </c>
      <c r="AS224" s="2640">
        <v>0</v>
      </c>
      <c r="AT224" s="2640">
        <v>0</v>
      </c>
      <c r="AU224" s="3178">
        <f>+AR224-AT224</f>
        <v>101.111</v>
      </c>
      <c r="AV224" s="3178"/>
      <c r="AW224" s="2634"/>
    </row>
    <row r="225" spans="1:49" ht="14.4">
      <c r="A225" s="2571"/>
      <c r="B225" s="2572"/>
      <c r="C225" s="2572"/>
      <c r="D225" s="2572"/>
      <c r="E225" s="4048" t="s">
        <v>152</v>
      </c>
      <c r="F225" s="4049"/>
      <c r="G225" s="4048" t="s">
        <v>153</v>
      </c>
      <c r="H225" s="4049"/>
      <c r="I225" s="3142" t="s">
        <v>154</v>
      </c>
      <c r="J225" s="3143"/>
      <c r="K225" s="2575" t="s">
        <v>132</v>
      </c>
      <c r="M225" s="2577"/>
      <c r="N225" s="2577"/>
      <c r="O225" s="2577"/>
      <c r="P225" s="2578"/>
      <c r="Q225" s="3293">
        <v>4166.8280000000004</v>
      </c>
      <c r="R225" s="2577"/>
      <c r="S225" s="2577"/>
      <c r="T225" s="2577"/>
      <c r="U225" s="2577"/>
      <c r="V225" s="2577">
        <f t="shared" ref="V225" si="151">(R225-T225)</f>
        <v>0</v>
      </c>
      <c r="W225" s="2570"/>
      <c r="Y225" s="2641"/>
      <c r="Z225" s="2641">
        <v>39009</v>
      </c>
      <c r="AA225" s="2641" t="s">
        <v>1352</v>
      </c>
      <c r="AB225" s="2642"/>
      <c r="AC225" s="2641"/>
      <c r="AD225" s="4069"/>
      <c r="AE225" s="2641"/>
      <c r="AF225" s="4069"/>
      <c r="AG225" s="2641"/>
      <c r="AH225" s="4069"/>
      <c r="AI225" s="2634"/>
      <c r="AM225" s="2641"/>
      <c r="AN225" s="2641"/>
      <c r="AO225" s="2641"/>
      <c r="AP225" s="2642"/>
      <c r="AQ225" s="2641"/>
      <c r="AR225" s="2641"/>
      <c r="AS225" s="2641"/>
      <c r="AT225" s="2641">
        <v>0</v>
      </c>
      <c r="AU225" s="2641">
        <f t="shared" ref="AU225" si="152">(AQ225-AS225)</f>
        <v>0</v>
      </c>
      <c r="AV225" s="2641">
        <f t="shared" ref="AV225" si="153">(AR225-AT225)</f>
        <v>0</v>
      </c>
      <c r="AW225" s="2634"/>
    </row>
    <row r="226" spans="1:49" ht="28.8">
      <c r="A226" s="2576" t="s">
        <v>223</v>
      </c>
      <c r="B226" s="2576" t="s">
        <v>224</v>
      </c>
      <c r="C226" s="2576" t="s">
        <v>225</v>
      </c>
      <c r="D226" s="2576" t="s">
        <v>157</v>
      </c>
      <c r="E226" s="2576" t="s">
        <v>944</v>
      </c>
      <c r="F226" s="2576" t="s">
        <v>945</v>
      </c>
      <c r="G226" s="2576" t="s">
        <v>946</v>
      </c>
      <c r="H226" s="2576" t="s">
        <v>947</v>
      </c>
      <c r="I226" s="2576" t="s">
        <v>948</v>
      </c>
      <c r="J226" s="2576" t="s">
        <v>949</v>
      </c>
      <c r="K226" s="2570"/>
      <c r="M226" s="2579"/>
      <c r="N226" s="2579"/>
      <c r="O226" s="2579"/>
      <c r="P226" s="2580"/>
      <c r="Q226" s="3291">
        <f>SUM(Q225)</f>
        <v>4166.8280000000004</v>
      </c>
      <c r="R226" s="2581">
        <f>SUM(R195:R225)</f>
        <v>0</v>
      </c>
      <c r="S226" s="2581">
        <f>SUM(S225)</f>
        <v>0</v>
      </c>
      <c r="T226" s="2581">
        <f>SUM(T195:T225)</f>
        <v>0</v>
      </c>
      <c r="U226" s="2550">
        <f t="shared" ref="U226" si="154">(Q226-S226)</f>
        <v>4166.8280000000004</v>
      </c>
      <c r="V226" s="2581">
        <f>SUM(V195:V225)</f>
        <v>0</v>
      </c>
      <c r="W226" s="2570"/>
      <c r="Y226" s="2641"/>
      <c r="Z226" s="2641">
        <v>2557</v>
      </c>
      <c r="AA226" s="2641" t="s">
        <v>1353</v>
      </c>
      <c r="AB226" s="2642"/>
      <c r="AC226" s="2641"/>
      <c r="AD226" s="4060"/>
      <c r="AE226" s="2641"/>
      <c r="AF226" s="4060"/>
      <c r="AG226" s="2641"/>
      <c r="AH226" s="4060"/>
      <c r="AI226" s="2634"/>
      <c r="AM226" s="2643"/>
      <c r="AN226" s="2643"/>
      <c r="AO226" s="2643"/>
      <c r="AP226" s="3544"/>
      <c r="AQ226" s="2645">
        <f t="shared" ref="AQ226:AV226" si="155">SUM(AQ225:AQ225)</f>
        <v>0</v>
      </c>
      <c r="AR226" s="2645">
        <f t="shared" si="155"/>
        <v>0</v>
      </c>
      <c r="AS226" s="2645">
        <f t="shared" si="155"/>
        <v>0</v>
      </c>
      <c r="AT226" s="2645">
        <f t="shared" si="155"/>
        <v>0</v>
      </c>
      <c r="AU226" s="2645">
        <f>SUM(AU223:AU225)</f>
        <v>128.27500000000003</v>
      </c>
      <c r="AV226" s="2645">
        <f t="shared" si="155"/>
        <v>0</v>
      </c>
      <c r="AW226" s="2634"/>
    </row>
    <row r="227" spans="1:49">
      <c r="A227" s="2577"/>
      <c r="B227" s="2577">
        <v>5286</v>
      </c>
      <c r="C227" s="2577" t="s">
        <v>407</v>
      </c>
      <c r="D227" s="2578"/>
      <c r="E227" s="2577"/>
      <c r="F227" s="4083">
        <v>100</v>
      </c>
      <c r="G227" s="2577"/>
      <c r="H227" s="4083"/>
      <c r="I227" s="2577"/>
      <c r="J227" s="4086">
        <f t="shared" ref="J227:J232" si="156">(F227-H227)</f>
        <v>100</v>
      </c>
      <c r="K227" s="2570"/>
      <c r="Y227" s="2641"/>
      <c r="Z227" s="2641"/>
      <c r="AA227" s="2641"/>
      <c r="AB227" s="2642"/>
      <c r="AC227" s="2641"/>
      <c r="AD227" s="2641"/>
      <c r="AE227" s="2641"/>
      <c r="AF227" s="2641"/>
      <c r="AG227" s="2641">
        <f t="shared" ref="AG227:AG228" si="157">(AC227-AE227)</f>
        <v>0</v>
      </c>
      <c r="AH227" s="2641">
        <f t="shared" ref="AH227:AH228" si="158">(AD227-AF227)</f>
        <v>0</v>
      </c>
      <c r="AI227" s="2634"/>
    </row>
    <row r="228" spans="1:49">
      <c r="A228" s="2577"/>
      <c r="B228" s="2577">
        <v>959987</v>
      </c>
      <c r="C228" s="2577" t="s">
        <v>1282</v>
      </c>
      <c r="D228" s="2578"/>
      <c r="E228" s="2577"/>
      <c r="F228" s="4084"/>
      <c r="G228" s="2577"/>
      <c r="H228" s="4084"/>
      <c r="I228" s="2577"/>
      <c r="J228" s="4087"/>
      <c r="K228" s="2570"/>
      <c r="Y228" s="2641"/>
      <c r="Z228" s="2641"/>
      <c r="AA228" s="2641"/>
      <c r="AB228" s="2642"/>
      <c r="AC228" s="2641"/>
      <c r="AD228" s="2641"/>
      <c r="AE228" s="2641"/>
      <c r="AF228" s="2641"/>
      <c r="AG228" s="2641">
        <f t="shared" si="157"/>
        <v>0</v>
      </c>
      <c r="AH228" s="2641">
        <f t="shared" si="158"/>
        <v>0</v>
      </c>
      <c r="AI228" s="2634"/>
    </row>
    <row r="229" spans="1:49">
      <c r="A229" s="2577"/>
      <c r="B229" s="2577">
        <v>959985</v>
      </c>
      <c r="C229" s="2577" t="s">
        <v>1283</v>
      </c>
      <c r="D229" s="2578"/>
      <c r="E229" s="2577"/>
      <c r="F229" s="4084"/>
      <c r="G229" s="2577"/>
      <c r="H229" s="4084"/>
      <c r="I229" s="2577"/>
      <c r="J229" s="4087"/>
      <c r="K229" s="2570"/>
      <c r="Y229" s="2643"/>
      <c r="Z229" s="2643"/>
      <c r="AA229" s="2643"/>
      <c r="AB229" s="3175"/>
      <c r="AC229" s="2645">
        <f t="shared" ref="AC229:AH229" si="159">SUM(AC221:AC228)</f>
        <v>0</v>
      </c>
      <c r="AD229" s="2645">
        <f t="shared" si="159"/>
        <v>1000</v>
      </c>
      <c r="AE229" s="2645">
        <f t="shared" si="159"/>
        <v>0</v>
      </c>
      <c r="AF229" s="2645">
        <f t="shared" si="159"/>
        <v>250.46</v>
      </c>
      <c r="AG229" s="2645">
        <f t="shared" si="159"/>
        <v>0</v>
      </c>
      <c r="AH229" s="2645">
        <f t="shared" si="159"/>
        <v>749.54</v>
      </c>
      <c r="AI229" s="2634"/>
    </row>
    <row r="230" spans="1:49" ht="30">
      <c r="A230" s="2577"/>
      <c r="B230" s="2577">
        <v>924718</v>
      </c>
      <c r="C230" s="2577" t="s">
        <v>1331</v>
      </c>
      <c r="D230" s="2578"/>
      <c r="E230" s="2577"/>
      <c r="F230" s="4085"/>
      <c r="G230" s="2577"/>
      <c r="H230" s="4085"/>
      <c r="I230" s="2577"/>
      <c r="J230" s="4088"/>
      <c r="K230" s="2570"/>
      <c r="M230" s="2568" t="s">
        <v>1064</v>
      </c>
      <c r="N230" s="2568"/>
      <c r="O230" s="2568"/>
      <c r="P230" s="2568"/>
      <c r="Q230" s="2568"/>
      <c r="R230" s="2569"/>
      <c r="S230" s="2568"/>
      <c r="T230" s="2568"/>
      <c r="U230" s="2568"/>
      <c r="V230" s="2568"/>
      <c r="W230" s="2570"/>
      <c r="Y230" s="3528"/>
      <c r="Z230" s="3528"/>
      <c r="AA230" s="3528"/>
      <c r="AB230" s="3529"/>
      <c r="AC230" s="3530"/>
      <c r="AD230" s="3530"/>
      <c r="AE230" s="3530"/>
      <c r="AF230" s="3530"/>
      <c r="AG230" s="3530"/>
      <c r="AH230" s="3530"/>
      <c r="AI230" s="3477"/>
      <c r="AM230" s="2632" t="s">
        <v>1621</v>
      </c>
      <c r="AN230" s="2632"/>
      <c r="AO230" s="2632"/>
      <c r="AP230" s="2632"/>
      <c r="AQ230" s="2632"/>
      <c r="AR230" s="2633"/>
      <c r="AS230" s="2632"/>
      <c r="AT230" s="2632"/>
      <c r="AU230" s="2632"/>
      <c r="AV230" s="2632"/>
      <c r="AW230" s="2634"/>
    </row>
    <row r="231" spans="1:49" ht="30.6" thickBot="1">
      <c r="A231" s="2577"/>
      <c r="B231" s="2577"/>
      <c r="C231" s="2577"/>
      <c r="D231" s="2578"/>
      <c r="E231" s="2577"/>
      <c r="F231" s="2577"/>
      <c r="G231" s="2577"/>
      <c r="H231" s="2577"/>
      <c r="I231" s="2577"/>
      <c r="J231" s="2577"/>
      <c r="K231" s="2570"/>
      <c r="M231" s="2568" t="s">
        <v>1214</v>
      </c>
      <c r="N231" s="2570"/>
      <c r="O231" s="2570"/>
      <c r="P231" s="2570"/>
      <c r="Q231" s="2569" t="s">
        <v>943</v>
      </c>
      <c r="R231" s="2570"/>
      <c r="S231" s="2570"/>
      <c r="T231" s="2570"/>
      <c r="U231" s="2570"/>
      <c r="V231" s="2570"/>
      <c r="W231" s="2570"/>
      <c r="Y231" s="3528"/>
      <c r="Z231" s="3528"/>
      <c r="AA231" s="3528"/>
      <c r="AB231" s="3529"/>
      <c r="AC231" s="3530"/>
      <c r="AD231" s="3530"/>
      <c r="AE231" s="3530"/>
      <c r="AF231" s="3530"/>
      <c r="AG231" s="3530"/>
      <c r="AH231" s="3530"/>
      <c r="AI231" s="3477"/>
      <c r="AM231" s="3532" t="s">
        <v>1622</v>
      </c>
      <c r="AN231" s="2634"/>
      <c r="AO231" s="2634"/>
      <c r="AP231" s="2634"/>
      <c r="AQ231" s="2633"/>
      <c r="AR231" s="2634"/>
      <c r="AS231" s="2634"/>
      <c r="AT231" s="2633" t="s">
        <v>1623</v>
      </c>
      <c r="AU231" s="2634"/>
      <c r="AV231" s="2634"/>
      <c r="AW231" s="2634"/>
    </row>
    <row r="232" spans="1:49" ht="30">
      <c r="A232" s="2577"/>
      <c r="B232" s="2577"/>
      <c r="C232" s="2577"/>
      <c r="D232" s="2578"/>
      <c r="E232" s="2581">
        <f>SUM(E227:E231)</f>
        <v>0</v>
      </c>
      <c r="F232" s="2581">
        <f>SUM(F227:F231)</f>
        <v>100</v>
      </c>
      <c r="G232" s="2577">
        <f>SUM(G227:G231)</f>
        <v>0</v>
      </c>
      <c r="H232" s="2577">
        <f>SUM(H227:H231)</f>
        <v>0</v>
      </c>
      <c r="I232" s="2577">
        <f t="shared" ref="I232" si="160">(E232-G232)</f>
        <v>0</v>
      </c>
      <c r="J232" s="2577">
        <f t="shared" si="156"/>
        <v>100</v>
      </c>
      <c r="K232" s="2570"/>
      <c r="M232" s="2571"/>
      <c r="N232" s="2572"/>
      <c r="O232" s="2572"/>
      <c r="P232" s="2572"/>
      <c r="Q232" s="4048" t="s">
        <v>152</v>
      </c>
      <c r="R232" s="4049"/>
      <c r="S232" s="4048" t="s">
        <v>153</v>
      </c>
      <c r="T232" s="4049"/>
      <c r="U232" s="2573" t="s">
        <v>154</v>
      </c>
      <c r="V232" s="2574"/>
      <c r="W232" s="2575" t="s">
        <v>132</v>
      </c>
      <c r="Y232" s="2632" t="s">
        <v>1597</v>
      </c>
      <c r="Z232" s="2632"/>
      <c r="AA232" s="2632"/>
      <c r="AB232" s="2632"/>
      <c r="AC232" s="2632"/>
      <c r="AD232" s="2633"/>
      <c r="AE232" s="2632"/>
      <c r="AF232" s="2632"/>
      <c r="AG232" s="2632"/>
      <c r="AH232" s="2632"/>
      <c r="AI232" s="2634"/>
      <c r="AM232" s="2635"/>
      <c r="AN232" s="2636"/>
      <c r="AO232" s="2636"/>
      <c r="AP232" s="2636"/>
      <c r="AQ232" s="4053" t="s">
        <v>152</v>
      </c>
      <c r="AR232" s="4054"/>
      <c r="AS232" s="4053" t="s">
        <v>153</v>
      </c>
      <c r="AT232" s="4054"/>
      <c r="AU232" s="3552" t="s">
        <v>154</v>
      </c>
      <c r="AV232" s="3553"/>
      <c r="AW232" s="2639" t="s">
        <v>132</v>
      </c>
    </row>
    <row r="233" spans="1:49" ht="30.6" thickBot="1">
      <c r="A233" s="2579"/>
      <c r="B233" s="2579"/>
      <c r="C233" s="2579"/>
      <c r="D233" s="2580"/>
      <c r="E233" s="2581">
        <f>SUM(E227:E231)</f>
        <v>0</v>
      </c>
      <c r="F233" s="2581">
        <f>SUM(F227:F231)</f>
        <v>100</v>
      </c>
      <c r="G233" s="2581">
        <f>SUM(G232)</f>
        <v>0</v>
      </c>
      <c r="H233" s="2581">
        <f t="shared" ref="H233" si="161">SUM(H232)</f>
        <v>0</v>
      </c>
      <c r="I233" s="2581">
        <f>SUM(I232)</f>
        <v>0</v>
      </c>
      <c r="J233" s="2581">
        <f>SUM(J232)</f>
        <v>100</v>
      </c>
      <c r="K233" s="2570"/>
      <c r="M233" s="2576" t="s">
        <v>223</v>
      </c>
      <c r="N233" s="2576" t="s">
        <v>224</v>
      </c>
      <c r="O233" s="2576" t="s">
        <v>225</v>
      </c>
      <c r="P233" s="2576" t="s">
        <v>157</v>
      </c>
      <c r="Q233" s="2576" t="s">
        <v>944</v>
      </c>
      <c r="R233" s="2576" t="s">
        <v>945</v>
      </c>
      <c r="S233" s="2576" t="s">
        <v>946</v>
      </c>
      <c r="T233" s="2576" t="s">
        <v>947</v>
      </c>
      <c r="U233" s="2576" t="s">
        <v>948</v>
      </c>
      <c r="V233" s="2576" t="s">
        <v>949</v>
      </c>
      <c r="W233" s="2570"/>
      <c r="Y233" s="3532" t="s">
        <v>1596</v>
      </c>
      <c r="Z233" s="2634"/>
      <c r="AA233" s="2634"/>
      <c r="AB233" s="2634"/>
      <c r="AC233" s="2633"/>
      <c r="AD233" s="2634"/>
      <c r="AE233" s="2634"/>
      <c r="AF233" s="2633" t="s">
        <v>1598</v>
      </c>
      <c r="AG233" s="2634"/>
      <c r="AH233" s="2634"/>
      <c r="AI233" s="2634"/>
      <c r="AM233" s="2640" t="s">
        <v>223</v>
      </c>
      <c r="AN233" s="2640" t="s">
        <v>224</v>
      </c>
      <c r="AO233" s="2640" t="s">
        <v>225</v>
      </c>
      <c r="AP233" s="2640" t="s">
        <v>157</v>
      </c>
      <c r="AQ233" s="2640"/>
      <c r="AR233" s="2640" t="s">
        <v>1319</v>
      </c>
      <c r="AS233" s="2640"/>
      <c r="AT233" s="2640" t="s">
        <v>1319</v>
      </c>
      <c r="AU233" s="2640"/>
      <c r="AV233" s="2640" t="s">
        <v>1319</v>
      </c>
      <c r="AW233" s="2634"/>
    </row>
    <row r="234" spans="1:49" ht="14.4">
      <c r="A234" s="3430"/>
      <c r="B234" s="3430"/>
      <c r="C234" s="3430"/>
      <c r="D234" s="3430"/>
      <c r="E234" s="3430"/>
      <c r="F234" s="3430"/>
      <c r="G234" s="3430"/>
      <c r="H234" s="3430"/>
      <c r="I234" s="3430"/>
      <c r="J234" s="3430"/>
      <c r="K234" s="3430"/>
      <c r="M234" s="2577"/>
      <c r="N234" s="2577">
        <v>951919</v>
      </c>
      <c r="O234" s="2577" t="s">
        <v>215</v>
      </c>
      <c r="P234" s="2578"/>
      <c r="Q234" s="2577">
        <v>13</v>
      </c>
      <c r="R234" s="2577">
        <v>87</v>
      </c>
      <c r="S234" s="2577">
        <v>7.6459999999999999</v>
      </c>
      <c r="T234" s="2577">
        <v>57.094000000000001</v>
      </c>
      <c r="U234" s="2577">
        <f>(Q234-S234)</f>
        <v>5.3540000000000001</v>
      </c>
      <c r="V234" s="2577">
        <f t="shared" ref="V234" si="162">(R234-T234)</f>
        <v>29.905999999999999</v>
      </c>
      <c r="W234" s="2570"/>
      <c r="Y234" s="2635"/>
      <c r="Z234" s="2636"/>
      <c r="AA234" s="2636"/>
      <c r="AB234" s="2636"/>
      <c r="AC234" s="4053" t="s">
        <v>152</v>
      </c>
      <c r="AD234" s="4054"/>
      <c r="AE234" s="4053" t="s">
        <v>153</v>
      </c>
      <c r="AF234" s="4054"/>
      <c r="AG234" s="3523" t="s">
        <v>154</v>
      </c>
      <c r="AH234" s="3524"/>
      <c r="AI234" s="2639" t="s">
        <v>132</v>
      </c>
      <c r="AM234" s="2641"/>
      <c r="AN234" s="2641">
        <v>954062</v>
      </c>
      <c r="AO234" s="2641" t="s">
        <v>245</v>
      </c>
      <c r="AP234" s="2642"/>
      <c r="AQ234" s="2641"/>
      <c r="AR234" s="2641">
        <v>101.11199999999999</v>
      </c>
      <c r="AS234" s="2641">
        <v>0</v>
      </c>
      <c r="AT234" s="2641">
        <v>73.804000000000002</v>
      </c>
      <c r="AU234" s="2641">
        <f t="shared" ref="AU234" si="163">(AQ234-AS234)</f>
        <v>0</v>
      </c>
      <c r="AV234" s="2641">
        <f t="shared" ref="AV234" si="164">(AR234-AT234)</f>
        <v>27.307999999999993</v>
      </c>
      <c r="AW234" s="2634"/>
    </row>
    <row r="235" spans="1:49" ht="28.8">
      <c r="A235" s="3364"/>
      <c r="B235" s="3364"/>
      <c r="C235" s="3364"/>
      <c r="D235" s="3364"/>
      <c r="E235" s="3364"/>
      <c r="F235" s="3364"/>
      <c r="G235" s="3364"/>
      <c r="H235" s="3364"/>
      <c r="I235" s="3364"/>
      <c r="J235" s="3364"/>
      <c r="K235" s="3364"/>
      <c r="M235" s="2577"/>
      <c r="N235" s="2577"/>
      <c r="O235" s="2577"/>
      <c r="P235" s="2578"/>
      <c r="Q235" s="2577"/>
      <c r="R235" s="2577"/>
      <c r="S235" s="2577"/>
      <c r="T235" s="2577"/>
      <c r="U235" s="2577"/>
      <c r="V235" s="2577"/>
      <c r="W235" s="2570"/>
      <c r="Y235" s="2640" t="s">
        <v>223</v>
      </c>
      <c r="Z235" s="2640" t="s">
        <v>224</v>
      </c>
      <c r="AA235" s="2640" t="s">
        <v>225</v>
      </c>
      <c r="AB235" s="2640" t="s">
        <v>157</v>
      </c>
      <c r="AC235" s="2640" t="s">
        <v>944</v>
      </c>
      <c r="AD235" s="2640" t="s">
        <v>1598</v>
      </c>
      <c r="AE235" s="2640" t="s">
        <v>946</v>
      </c>
      <c r="AF235" s="2640" t="s">
        <v>1598</v>
      </c>
      <c r="AG235" s="2640" t="s">
        <v>948</v>
      </c>
      <c r="AH235" s="2640" t="s">
        <v>1598</v>
      </c>
      <c r="AI235" s="2634"/>
      <c r="AM235" s="2643"/>
      <c r="AN235" s="2643"/>
      <c r="AO235" s="2643"/>
      <c r="AP235" s="3554"/>
      <c r="AQ235" s="2645">
        <f t="shared" ref="AQ235:AV235" si="165">SUM(AQ234:AQ234)</f>
        <v>0</v>
      </c>
      <c r="AR235" s="2645">
        <f t="shared" si="165"/>
        <v>101.11199999999999</v>
      </c>
      <c r="AS235" s="2645">
        <f t="shared" si="165"/>
        <v>0</v>
      </c>
      <c r="AT235" s="2645">
        <f t="shared" si="165"/>
        <v>73.804000000000002</v>
      </c>
      <c r="AU235" s="2645">
        <f t="shared" si="165"/>
        <v>0</v>
      </c>
      <c r="AV235" s="2645">
        <f t="shared" si="165"/>
        <v>27.307999999999993</v>
      </c>
      <c r="AW235" s="2634"/>
    </row>
    <row r="236" spans="1:49" ht="30">
      <c r="A236" s="2586" t="s">
        <v>1364</v>
      </c>
      <c r="B236" s="2586"/>
      <c r="C236" s="2586"/>
      <c r="D236" s="2586"/>
      <c r="E236" s="2586"/>
      <c r="F236" s="2587"/>
      <c r="G236" s="2586"/>
      <c r="H236" s="2586"/>
      <c r="I236" s="2586"/>
      <c r="J236" s="2586"/>
      <c r="K236" s="2588"/>
      <c r="M236" s="2577"/>
      <c r="N236" s="2577"/>
      <c r="O236" s="2577"/>
      <c r="P236" s="2578"/>
      <c r="Q236" s="2577"/>
      <c r="R236" s="2577"/>
      <c r="S236" s="2577"/>
      <c r="T236" s="2577"/>
      <c r="U236" s="2577"/>
      <c r="V236" s="2577"/>
      <c r="W236" s="2570"/>
      <c r="Y236" s="2641"/>
      <c r="Z236" s="2641"/>
      <c r="AA236" s="2641"/>
      <c r="AB236" s="2642"/>
      <c r="AC236" s="2641"/>
      <c r="AD236" s="2641">
        <v>1300</v>
      </c>
      <c r="AE236" s="2641"/>
      <c r="AF236" s="2641"/>
      <c r="AG236" s="2641">
        <f t="shared" ref="AG236" si="166">(AC236-AE236)</f>
        <v>0</v>
      </c>
      <c r="AH236" s="2641">
        <f t="shared" ref="AH236" si="167">(AD236-AF236)</f>
        <v>1300</v>
      </c>
      <c r="AI236" s="2634"/>
    </row>
    <row r="237" spans="1:49" ht="30.6" thickBot="1">
      <c r="A237" s="2586" t="s">
        <v>1465</v>
      </c>
      <c r="B237" s="2588"/>
      <c r="C237" s="2588"/>
      <c r="D237" s="2588"/>
      <c r="E237" s="2589"/>
      <c r="F237" s="2587" t="s">
        <v>1421</v>
      </c>
      <c r="G237" s="2588"/>
      <c r="H237" s="2588"/>
      <c r="I237" s="2588"/>
      <c r="J237" s="2588"/>
      <c r="K237" s="2588"/>
      <c r="M237" s="2579"/>
      <c r="N237" s="2579"/>
      <c r="O237" s="2579"/>
      <c r="P237" s="2580"/>
      <c r="Q237" s="2581">
        <f t="shared" ref="Q237:V237" si="168">SUM(Q234:Q236)</f>
        <v>13</v>
      </c>
      <c r="R237" s="2581">
        <f t="shared" si="168"/>
        <v>87</v>
      </c>
      <c r="S237" s="2581">
        <f t="shared" si="168"/>
        <v>7.6459999999999999</v>
      </c>
      <c r="T237" s="2581">
        <f t="shared" si="168"/>
        <v>57.094000000000001</v>
      </c>
      <c r="U237" s="2581">
        <f t="shared" si="168"/>
        <v>5.3540000000000001</v>
      </c>
      <c r="V237" s="2581">
        <f t="shared" si="168"/>
        <v>29.905999999999999</v>
      </c>
      <c r="W237" s="2570"/>
      <c r="Y237" s="2643"/>
      <c r="Z237" s="2643"/>
      <c r="AA237" s="2643"/>
      <c r="AB237" s="3522"/>
      <c r="AC237" s="2645">
        <f t="shared" ref="AC237:AH237" si="169">SUM(AC236:AC236)</f>
        <v>0</v>
      </c>
      <c r="AD237" s="2645">
        <f t="shared" si="169"/>
        <v>1300</v>
      </c>
      <c r="AE237" s="2645">
        <f t="shared" si="169"/>
        <v>0</v>
      </c>
      <c r="AF237" s="2645">
        <f t="shared" si="169"/>
        <v>0</v>
      </c>
      <c r="AG237" s="2645">
        <f t="shared" si="169"/>
        <v>0</v>
      </c>
      <c r="AH237" s="2645">
        <f t="shared" si="169"/>
        <v>1300</v>
      </c>
      <c r="AI237" s="2634"/>
      <c r="AM237" s="2632" t="s">
        <v>1625</v>
      </c>
      <c r="AN237" s="2632"/>
      <c r="AO237" s="2632"/>
      <c r="AP237" s="2632"/>
      <c r="AQ237" s="2632"/>
      <c r="AR237" s="2633"/>
      <c r="AS237" s="2632"/>
      <c r="AT237" s="2632"/>
      <c r="AU237" s="2632"/>
      <c r="AV237" s="2632"/>
      <c r="AW237" s="2634"/>
    </row>
    <row r="238" spans="1:49" ht="30.6" thickBot="1">
      <c r="A238" s="2590"/>
      <c r="B238" s="2589"/>
      <c r="C238" s="2589"/>
      <c r="D238" s="2589"/>
      <c r="E238" s="4076" t="s">
        <v>152</v>
      </c>
      <c r="F238" s="4077"/>
      <c r="G238" s="4076" t="s">
        <v>153</v>
      </c>
      <c r="H238" s="4077"/>
      <c r="I238" s="3366" t="s">
        <v>154</v>
      </c>
      <c r="J238" s="3367"/>
      <c r="K238" s="2593" t="s">
        <v>132</v>
      </c>
      <c r="Y238" s="3528"/>
      <c r="Z238" s="3528"/>
      <c r="AA238" s="3528"/>
      <c r="AB238" s="3529"/>
      <c r="AC238" s="3530"/>
      <c r="AD238" s="3530"/>
      <c r="AE238" s="3530"/>
      <c r="AF238" s="3530"/>
      <c r="AG238" s="3530"/>
      <c r="AH238" s="3530"/>
      <c r="AI238" s="3477"/>
      <c r="AM238" s="3532" t="s">
        <v>1626</v>
      </c>
      <c r="AN238" s="2634"/>
      <c r="AO238" s="2634"/>
      <c r="AP238" s="2634"/>
      <c r="AQ238" s="2633"/>
      <c r="AR238" s="2634"/>
      <c r="AS238" s="2634"/>
      <c r="AT238" s="2640" t="s">
        <v>261</v>
      </c>
      <c r="AU238" s="2634"/>
      <c r="AV238" s="2634"/>
      <c r="AW238" s="2634"/>
    </row>
    <row r="239" spans="1:49" ht="28.8">
      <c r="A239" s="2594" t="s">
        <v>223</v>
      </c>
      <c r="B239" s="2594" t="s">
        <v>224</v>
      </c>
      <c r="C239" s="2594" t="s">
        <v>225</v>
      </c>
      <c r="D239" s="2594" t="s">
        <v>157</v>
      </c>
      <c r="E239" s="2594" t="s">
        <v>944</v>
      </c>
      <c r="F239" s="2594" t="s">
        <v>945</v>
      </c>
      <c r="G239" s="2594" t="s">
        <v>946</v>
      </c>
      <c r="H239" s="2594" t="s">
        <v>947</v>
      </c>
      <c r="I239" s="2594" t="s">
        <v>948</v>
      </c>
      <c r="J239" s="2594" t="s">
        <v>949</v>
      </c>
      <c r="K239" s="2588"/>
      <c r="Y239" s="3528"/>
      <c r="Z239" s="3528"/>
      <c r="AA239" s="3528"/>
      <c r="AB239" s="3529"/>
      <c r="AC239" s="3530"/>
      <c r="AD239" s="3530"/>
      <c r="AE239" s="3530"/>
      <c r="AF239" s="3530"/>
      <c r="AG239" s="3530"/>
      <c r="AH239" s="3530"/>
      <c r="AI239" s="3477"/>
      <c r="AM239" s="2635"/>
      <c r="AN239" s="2636"/>
      <c r="AO239" s="2636"/>
      <c r="AP239" s="2636"/>
      <c r="AQ239" s="4053" t="s">
        <v>152</v>
      </c>
      <c r="AR239" s="4054"/>
      <c r="AS239" s="4053" t="s">
        <v>153</v>
      </c>
      <c r="AT239" s="4054"/>
      <c r="AU239" s="3558" t="s">
        <v>154</v>
      </c>
      <c r="AV239" s="3559"/>
      <c r="AW239" s="3287" t="s">
        <v>132</v>
      </c>
    </row>
    <row r="240" spans="1:49" ht="14.4">
      <c r="A240" s="2597"/>
      <c r="B240" s="2595">
        <v>955878</v>
      </c>
      <c r="C240" s="2595" t="s">
        <v>209</v>
      </c>
      <c r="D240" s="3365"/>
      <c r="E240" s="2597">
        <v>13</v>
      </c>
      <c r="F240" s="2597">
        <v>118</v>
      </c>
      <c r="G240" s="2597">
        <v>8.0649999999999995</v>
      </c>
      <c r="H240" s="2597">
        <v>122.86499999999999</v>
      </c>
      <c r="I240" s="2597">
        <f>+E240-G240</f>
        <v>4.9350000000000005</v>
      </c>
      <c r="J240" s="2597">
        <f>+F240-H240</f>
        <v>-4.8649999999999949</v>
      </c>
      <c r="K240" s="2588"/>
      <c r="AM240" s="2640" t="s">
        <v>223</v>
      </c>
      <c r="AN240" s="2640" t="s">
        <v>224</v>
      </c>
      <c r="AO240" s="2640" t="s">
        <v>225</v>
      </c>
      <c r="AP240" s="2640" t="s">
        <v>157</v>
      </c>
      <c r="AQ240" s="2640"/>
      <c r="AR240" s="2640" t="s">
        <v>261</v>
      </c>
      <c r="AS240" s="2640"/>
      <c r="AT240" s="2640" t="s">
        <v>261</v>
      </c>
      <c r="AU240" s="2640"/>
      <c r="AV240" s="2640" t="s">
        <v>261</v>
      </c>
      <c r="AW240" s="2131"/>
    </row>
    <row r="241" spans="1:49" ht="30">
      <c r="A241" s="2597"/>
      <c r="B241" s="2597"/>
      <c r="C241" s="2597"/>
      <c r="D241" s="3365"/>
      <c r="E241" s="2599"/>
      <c r="F241" s="2599"/>
      <c r="G241" s="2599"/>
      <c r="H241" s="2599"/>
      <c r="I241" s="2599"/>
      <c r="J241" s="2599">
        <f>+F241-H241</f>
        <v>0</v>
      </c>
      <c r="K241" s="2588"/>
      <c r="M241" s="2568" t="s">
        <v>1064</v>
      </c>
      <c r="N241" s="2568"/>
      <c r="O241" s="2568"/>
      <c r="P241" s="2568"/>
      <c r="Q241" s="2568"/>
      <c r="R241" s="2569"/>
      <c r="S241" s="2568"/>
      <c r="T241" s="2568"/>
      <c r="U241" s="2568"/>
      <c r="V241" s="2568"/>
      <c r="W241" s="2570"/>
      <c r="Y241" s="2586" t="s">
        <v>1364</v>
      </c>
      <c r="Z241" s="2586"/>
      <c r="AA241" s="2586"/>
      <c r="AB241" s="2586"/>
      <c r="AC241" s="2586"/>
      <c r="AD241" s="2587"/>
      <c r="AE241" s="2586"/>
      <c r="AF241" s="2586"/>
      <c r="AG241" s="2586"/>
      <c r="AH241" s="2586"/>
      <c r="AI241" s="2588"/>
      <c r="AM241" s="2641"/>
      <c r="AN241" s="2641"/>
      <c r="AO241" s="2641" t="s">
        <v>1627</v>
      </c>
      <c r="AP241" s="2642"/>
      <c r="AQ241" s="2641"/>
      <c r="AR241" s="2641">
        <v>5000</v>
      </c>
      <c r="AS241" s="2641"/>
      <c r="AT241" s="2641">
        <v>5184.5200000000004</v>
      </c>
      <c r="AU241" s="2641">
        <f t="shared" ref="AU241" si="170">(AQ241-AS241)</f>
        <v>0</v>
      </c>
      <c r="AV241" s="2641">
        <f t="shared" ref="AV241" si="171">(AR241-AT241)</f>
        <v>-184.52000000000044</v>
      </c>
      <c r="AW241" s="2131"/>
    </row>
    <row r="242" spans="1:49" ht="30.6" thickBot="1">
      <c r="A242" s="3364"/>
      <c r="B242" s="3364"/>
      <c r="C242" s="3364"/>
      <c r="D242" s="3364"/>
      <c r="E242" s="3364"/>
      <c r="F242" s="3364"/>
      <c r="G242" s="3364"/>
      <c r="H242" s="3364"/>
      <c r="I242" s="3364"/>
      <c r="J242" s="3364"/>
      <c r="K242" s="3364"/>
      <c r="M242" s="2568" t="s">
        <v>1215</v>
      </c>
      <c r="N242" s="2570"/>
      <c r="O242" s="2570"/>
      <c r="P242" s="2570"/>
      <c r="Q242" s="2569" t="s">
        <v>943</v>
      </c>
      <c r="R242" s="2570"/>
      <c r="S242" s="2570"/>
      <c r="T242" s="2570"/>
      <c r="U242" s="2570"/>
      <c r="V242" s="2570"/>
      <c r="W242" s="2570"/>
      <c r="Y242" s="2586" t="s">
        <v>1376</v>
      </c>
      <c r="Z242" s="2588"/>
      <c r="AA242" s="2588"/>
      <c r="AB242" s="2588"/>
      <c r="AC242" s="2589"/>
      <c r="AD242" s="2587" t="s">
        <v>1158</v>
      </c>
      <c r="AE242" s="2588"/>
      <c r="AF242" s="2588"/>
      <c r="AG242" s="2588"/>
      <c r="AH242" s="2588"/>
      <c r="AI242" s="2588"/>
      <c r="AM242" s="3562"/>
      <c r="AN242" s="3562"/>
      <c r="AO242" s="3562"/>
      <c r="AP242" s="3560"/>
      <c r="AQ242" s="3562">
        <f t="shared" ref="AQ242:AV242" si="172">SUM(AQ241:AQ241)</f>
        <v>0</v>
      </c>
      <c r="AR242" s="3562">
        <f t="shared" si="172"/>
        <v>5000</v>
      </c>
      <c r="AS242" s="3562">
        <f t="shared" si="172"/>
        <v>0</v>
      </c>
      <c r="AT242" s="3562">
        <f t="shared" si="172"/>
        <v>5184.5200000000004</v>
      </c>
      <c r="AU242" s="3562">
        <f t="shared" si="172"/>
        <v>0</v>
      </c>
      <c r="AV242" s="3562">
        <f t="shared" si="172"/>
        <v>-184.52000000000044</v>
      </c>
      <c r="AW242" s="3561">
        <v>41983</v>
      </c>
    </row>
    <row r="243" spans="1:49" ht="15.6">
      <c r="A243" s="3404"/>
      <c r="B243" s="3404"/>
      <c r="C243" s="3404"/>
      <c r="D243" s="3404"/>
      <c r="E243" s="3404"/>
      <c r="F243" s="3404"/>
      <c r="G243" s="3404"/>
      <c r="H243" s="3404"/>
      <c r="I243" s="3404"/>
      <c r="J243" s="3404"/>
      <c r="K243" s="3404"/>
      <c r="M243" s="2571"/>
      <c r="N243" s="2572"/>
      <c r="O243" s="2572"/>
      <c r="P243" s="2572"/>
      <c r="Q243" s="4048" t="s">
        <v>152</v>
      </c>
      <c r="R243" s="4049"/>
      <c r="S243" s="4048" t="s">
        <v>153</v>
      </c>
      <c r="T243" s="4049"/>
      <c r="U243" s="2573" t="s">
        <v>154</v>
      </c>
      <c r="V243" s="2574"/>
      <c r="W243" s="2575" t="s">
        <v>132</v>
      </c>
      <c r="Y243" s="2590"/>
      <c r="Z243" s="2589"/>
      <c r="AA243" s="2589"/>
      <c r="AB243" s="2589"/>
      <c r="AC243" s="4076" t="s">
        <v>152</v>
      </c>
      <c r="AD243" s="4077"/>
      <c r="AE243" s="4076" t="s">
        <v>153</v>
      </c>
      <c r="AF243" s="4077"/>
      <c r="AG243" s="3189" t="s">
        <v>154</v>
      </c>
      <c r="AH243" s="3190"/>
      <c r="AI243" s="2593" t="s">
        <v>132</v>
      </c>
      <c r="AM243" s="3563"/>
      <c r="AN243" s="3564"/>
      <c r="AO243" s="3564"/>
      <c r="AP243" s="3564"/>
      <c r="AQ243" s="3564"/>
      <c r="AR243" s="3564"/>
      <c r="AS243" s="3564"/>
      <c r="AT243" s="3564"/>
      <c r="AU243" s="3564"/>
      <c r="AV243" s="3565"/>
    </row>
    <row r="244" spans="1:49" ht="30">
      <c r="A244" s="2586" t="s">
        <v>1364</v>
      </c>
      <c r="B244" s="2586"/>
      <c r="C244" s="2586"/>
      <c r="D244" s="2586"/>
      <c r="E244" s="2586"/>
      <c r="F244" s="2587"/>
      <c r="G244" s="2586"/>
      <c r="H244" s="2586"/>
      <c r="I244" s="2586"/>
      <c r="J244" s="2586"/>
      <c r="K244" s="2588"/>
      <c r="M244" s="2576" t="s">
        <v>223</v>
      </c>
      <c r="N244" s="2576" t="s">
        <v>224</v>
      </c>
      <c r="O244" s="2576" t="s">
        <v>225</v>
      </c>
      <c r="P244" s="2576" t="s">
        <v>157</v>
      </c>
      <c r="Q244" s="2576" t="s">
        <v>944</v>
      </c>
      <c r="R244" s="2576" t="s">
        <v>945</v>
      </c>
      <c r="S244" s="2576" t="s">
        <v>946</v>
      </c>
      <c r="T244" s="2576" t="s">
        <v>947</v>
      </c>
      <c r="U244" s="2576" t="s">
        <v>948</v>
      </c>
      <c r="V244" s="2576" t="s">
        <v>949</v>
      </c>
      <c r="W244" s="2570"/>
      <c r="Y244" s="2594" t="s">
        <v>223</v>
      </c>
      <c r="Z244" s="2594" t="s">
        <v>224</v>
      </c>
      <c r="AA244" s="2594" t="s">
        <v>225</v>
      </c>
      <c r="AB244" s="2594" t="s">
        <v>157</v>
      </c>
      <c r="AC244" s="2594" t="s">
        <v>944</v>
      </c>
      <c r="AD244" s="2594" t="s">
        <v>945</v>
      </c>
      <c r="AE244" s="2594" t="s">
        <v>946</v>
      </c>
      <c r="AF244" s="2594" t="s">
        <v>947</v>
      </c>
      <c r="AG244" s="2594" t="s">
        <v>948</v>
      </c>
      <c r="AH244" s="2594" t="s">
        <v>949</v>
      </c>
      <c r="AI244" s="2588"/>
      <c r="AM244" s="3566"/>
      <c r="AN244" s="3567"/>
      <c r="AO244" s="3567"/>
      <c r="AP244" s="3567"/>
      <c r="AQ244" s="3567"/>
      <c r="AR244" s="3568"/>
      <c r="AS244" s="3567"/>
      <c r="AT244" s="3567"/>
      <c r="AU244" s="3567"/>
      <c r="AV244" s="3569"/>
    </row>
    <row r="245" spans="1:49" ht="30.6" thickBot="1">
      <c r="A245" s="2586" t="s">
        <v>1539</v>
      </c>
      <c r="B245" s="2588"/>
      <c r="C245" s="2588"/>
      <c r="D245" s="2588"/>
      <c r="E245" s="2589"/>
      <c r="F245" s="2587" t="s">
        <v>1158</v>
      </c>
      <c r="G245" s="2588"/>
      <c r="H245" s="2588"/>
      <c r="I245" s="2588"/>
      <c r="J245" s="2588"/>
      <c r="K245" s="2588"/>
      <c r="M245" s="2577"/>
      <c r="N245" s="2577">
        <v>955330</v>
      </c>
      <c r="O245" s="2577" t="s">
        <v>214</v>
      </c>
      <c r="P245" s="2578"/>
      <c r="Q245" s="2577">
        <v>13</v>
      </c>
      <c r="R245" s="2577">
        <v>87</v>
      </c>
      <c r="S245" s="2577">
        <v>4.1349999999999998</v>
      </c>
      <c r="T245" s="2577">
        <v>95.864999999999995</v>
      </c>
      <c r="U245" s="2577">
        <f>(Q245-S245)</f>
        <v>8.8650000000000002</v>
      </c>
      <c r="V245" s="2577">
        <f t="shared" ref="V245" si="173">(R245-T245)</f>
        <v>-8.8649999999999949</v>
      </c>
      <c r="W245" s="2570"/>
      <c r="Y245" s="2595"/>
      <c r="Z245" s="2595">
        <v>902835</v>
      </c>
      <c r="AA245" s="2595" t="s">
        <v>296</v>
      </c>
      <c r="AB245" s="2596"/>
      <c r="AC245" s="2595"/>
      <c r="AD245" s="3155">
        <v>150</v>
      </c>
      <c r="AE245" s="2595"/>
      <c r="AF245" s="3155">
        <v>150</v>
      </c>
      <c r="AG245" s="2595"/>
      <c r="AH245" s="3155">
        <f>+AD245-AF245</f>
        <v>0</v>
      </c>
      <c r="AI245" s="2588"/>
    </row>
    <row r="246" spans="1:49" ht="14.4">
      <c r="A246" s="2590"/>
      <c r="B246" s="2589"/>
      <c r="C246" s="2589"/>
      <c r="D246" s="2589"/>
      <c r="E246" s="4076" t="s">
        <v>152</v>
      </c>
      <c r="F246" s="4077"/>
      <c r="G246" s="4076" t="s">
        <v>153</v>
      </c>
      <c r="H246" s="4077"/>
      <c r="I246" s="3405" t="s">
        <v>154</v>
      </c>
      <c r="J246" s="3406"/>
      <c r="K246" s="2593" t="s">
        <v>132</v>
      </c>
      <c r="M246" s="2577"/>
      <c r="N246" s="2577"/>
      <c r="O246" s="2577"/>
      <c r="P246" s="2578"/>
      <c r="Q246" s="2577"/>
      <c r="R246" s="2577"/>
      <c r="S246" s="2577"/>
      <c r="T246" s="2577"/>
      <c r="U246" s="2577"/>
      <c r="V246" s="2577"/>
      <c r="W246" s="2570"/>
      <c r="Y246" s="2597"/>
      <c r="Z246" s="2597"/>
      <c r="AA246" s="2597"/>
      <c r="AB246" s="3191"/>
      <c r="AC246" s="2597"/>
      <c r="AD246" s="2597"/>
      <c r="AE246" s="2597"/>
      <c r="AF246" s="2597"/>
      <c r="AG246" s="2597"/>
      <c r="AH246" s="2597"/>
      <c r="AI246" s="2588"/>
    </row>
    <row r="247" spans="1:49" ht="30">
      <c r="A247" s="2594" t="s">
        <v>223</v>
      </c>
      <c r="B247" s="2594" t="s">
        <v>224</v>
      </c>
      <c r="C247" s="2594" t="s">
        <v>225</v>
      </c>
      <c r="D247" s="2594" t="s">
        <v>157</v>
      </c>
      <c r="E247" s="2594" t="s">
        <v>944</v>
      </c>
      <c r="F247" s="2594" t="s">
        <v>945</v>
      </c>
      <c r="G247" s="2594" t="s">
        <v>946</v>
      </c>
      <c r="H247" s="2594" t="s">
        <v>947</v>
      </c>
      <c r="I247" s="2594" t="s">
        <v>948</v>
      </c>
      <c r="J247" s="2594" t="s">
        <v>949</v>
      </c>
      <c r="K247" s="2588"/>
      <c r="M247" s="2577"/>
      <c r="N247" s="2577"/>
      <c r="O247" s="2577"/>
      <c r="P247" s="2578"/>
      <c r="Q247" s="2577"/>
      <c r="R247" s="2577"/>
      <c r="S247" s="2577"/>
      <c r="T247" s="2577"/>
      <c r="U247" s="2577"/>
      <c r="V247" s="2577"/>
      <c r="W247" s="2570"/>
      <c r="Y247" s="2597"/>
      <c r="Z247" s="2597"/>
      <c r="AA247" s="2597"/>
      <c r="AB247" s="3191"/>
      <c r="AC247" s="2599"/>
      <c r="AD247" s="2599">
        <f>SUM(AD245:AD246)</f>
        <v>150</v>
      </c>
      <c r="AE247" s="2599"/>
      <c r="AF247" s="2599">
        <f>SUM(AF245:AF245)</f>
        <v>150</v>
      </c>
      <c r="AG247" s="2599"/>
      <c r="AH247" s="2599">
        <f>+AD247-AF247</f>
        <v>0</v>
      </c>
      <c r="AI247" s="2588"/>
      <c r="AM247" s="2632" t="s">
        <v>1629</v>
      </c>
      <c r="AN247" s="2632"/>
      <c r="AO247" s="2632"/>
      <c r="AP247" s="2632"/>
      <c r="AQ247" s="2632"/>
      <c r="AR247" s="2633"/>
      <c r="AS247" s="2632"/>
      <c r="AT247" s="2632"/>
      <c r="AU247" s="2632"/>
      <c r="AV247" s="2632"/>
      <c r="AW247" s="2634"/>
    </row>
    <row r="248" spans="1:49" ht="30.6" thickBot="1">
      <c r="A248" s="2595"/>
      <c r="B248" s="2595">
        <v>958249</v>
      </c>
      <c r="C248" s="2595" t="s">
        <v>1540</v>
      </c>
      <c r="D248" s="2596"/>
      <c r="E248" s="2595"/>
      <c r="F248" s="3155">
        <v>260</v>
      </c>
      <c r="G248" s="2595">
        <v>22.811</v>
      </c>
      <c r="H248" s="3155">
        <v>237.18899999999999</v>
      </c>
      <c r="I248" s="2595"/>
      <c r="J248" s="3155">
        <f>(F248-H248)</f>
        <v>22.811000000000007</v>
      </c>
      <c r="K248" s="2588"/>
      <c r="M248" s="2579"/>
      <c r="N248" s="2579"/>
      <c r="O248" s="2579"/>
      <c r="P248" s="2580"/>
      <c r="Q248" s="2581">
        <f t="shared" ref="Q248:V248" si="174">SUM(Q245:Q247)</f>
        <v>13</v>
      </c>
      <c r="R248" s="2581">
        <f t="shared" si="174"/>
        <v>87</v>
      </c>
      <c r="S248" s="2581">
        <f t="shared" si="174"/>
        <v>4.1349999999999998</v>
      </c>
      <c r="T248" s="2581">
        <f t="shared" si="174"/>
        <v>95.864999999999995</v>
      </c>
      <c r="U248" s="2581">
        <f t="shared" si="174"/>
        <v>8.8650000000000002</v>
      </c>
      <c r="V248" s="2581">
        <f t="shared" si="174"/>
        <v>-8.8649999999999949</v>
      </c>
      <c r="W248" s="2570"/>
      <c r="AI248" s="2588"/>
      <c r="AM248" s="3532" t="s">
        <v>1630</v>
      </c>
      <c r="AN248" s="2634"/>
      <c r="AO248" s="2634"/>
      <c r="AP248" s="2634"/>
      <c r="AQ248" s="2633"/>
      <c r="AR248" s="2634"/>
      <c r="AS248" s="2634"/>
      <c r="AT248" s="2640" t="s">
        <v>261</v>
      </c>
      <c r="AU248" s="2634"/>
      <c r="AV248" s="2634"/>
      <c r="AW248" s="2634"/>
    </row>
    <row r="249" spans="1:49" ht="14.4">
      <c r="A249" s="2595"/>
      <c r="B249" s="2595">
        <v>960060</v>
      </c>
      <c r="C249" s="2595" t="s">
        <v>1541</v>
      </c>
      <c r="D249" s="2596"/>
      <c r="E249" s="2595"/>
      <c r="F249" s="3155">
        <v>260</v>
      </c>
      <c r="G249" s="2595">
        <v>0</v>
      </c>
      <c r="H249" s="3155">
        <v>239.286</v>
      </c>
      <c r="I249" s="2595"/>
      <c r="J249" s="3155">
        <f>(F249-H249)</f>
        <v>20.713999999999999</v>
      </c>
      <c r="K249" s="2588"/>
      <c r="AM249" s="2635"/>
      <c r="AN249" s="2636"/>
      <c r="AO249" s="2636"/>
      <c r="AP249" s="2636"/>
      <c r="AQ249" s="4053" t="s">
        <v>152</v>
      </c>
      <c r="AR249" s="4054"/>
      <c r="AS249" s="4053" t="s">
        <v>153</v>
      </c>
      <c r="AT249" s="4054"/>
      <c r="AU249" s="3572" t="s">
        <v>154</v>
      </c>
      <c r="AV249" s="3573"/>
      <c r="AW249" s="3287" t="s">
        <v>132</v>
      </c>
    </row>
    <row r="250" spans="1:49" ht="14.4">
      <c r="A250" s="2597"/>
      <c r="B250" s="2597"/>
      <c r="C250" s="2597"/>
      <c r="D250" s="3407"/>
      <c r="E250" s="2597"/>
      <c r="F250" s="2597"/>
      <c r="G250" s="2597"/>
      <c r="H250" s="2597"/>
      <c r="I250" s="2597"/>
      <c r="J250" s="2597"/>
      <c r="K250" s="2588"/>
      <c r="M250" s="2650"/>
      <c r="N250" s="2650"/>
      <c r="O250" s="2650"/>
      <c r="P250" s="2650"/>
      <c r="Q250" s="2650"/>
      <c r="R250" s="2650"/>
      <c r="S250" s="2650"/>
      <c r="T250" s="2650"/>
      <c r="U250" s="2650"/>
      <c r="V250" s="2650"/>
      <c r="W250" s="2650"/>
      <c r="AM250" s="2640" t="s">
        <v>223</v>
      </c>
      <c r="AN250" s="2640" t="s">
        <v>224</v>
      </c>
      <c r="AO250" s="2640" t="s">
        <v>225</v>
      </c>
      <c r="AP250" s="2640" t="s">
        <v>157</v>
      </c>
      <c r="AQ250" s="2640" t="s">
        <v>261</v>
      </c>
      <c r="AR250" s="2640" t="s">
        <v>1631</v>
      </c>
      <c r="AS250" s="2640" t="s">
        <v>261</v>
      </c>
      <c r="AT250" s="2640" t="s">
        <v>1631</v>
      </c>
      <c r="AU250" s="2640" t="s">
        <v>261</v>
      </c>
      <c r="AV250" s="2640" t="s">
        <v>1631</v>
      </c>
      <c r="AW250" s="2131"/>
    </row>
    <row r="251" spans="1:49" ht="30">
      <c r="A251" s="2597"/>
      <c r="B251" s="2597"/>
      <c r="C251" s="2597"/>
      <c r="D251" s="3407"/>
      <c r="E251" s="2599"/>
      <c r="F251" s="2599">
        <f>SUM(F248:F250)</f>
        <v>520</v>
      </c>
      <c r="G251" s="2599"/>
      <c r="H251" s="2599">
        <f>SUM(H248:H249)</f>
        <v>476.47500000000002</v>
      </c>
      <c r="I251" s="2599"/>
      <c r="J251" s="2599">
        <f>+F251-H251</f>
        <v>43.524999999999977</v>
      </c>
      <c r="K251" s="2588"/>
      <c r="M251" s="2568" t="s">
        <v>1064</v>
      </c>
      <c r="N251" s="2568"/>
      <c r="O251" s="2568"/>
      <c r="P251" s="2568"/>
      <c r="Q251" s="2568"/>
      <c r="R251" s="2569"/>
      <c r="S251" s="2568"/>
      <c r="T251" s="2568"/>
      <c r="U251" s="2568"/>
      <c r="V251" s="2568"/>
      <c r="W251" s="2570"/>
      <c r="Y251" s="2632" t="s">
        <v>1380</v>
      </c>
      <c r="Z251" s="2632"/>
      <c r="AA251" s="2632"/>
      <c r="AB251" s="2632"/>
      <c r="AC251" s="2632"/>
      <c r="AD251" s="2633"/>
      <c r="AE251" s="2632"/>
      <c r="AF251" s="2632"/>
      <c r="AG251" s="2632"/>
      <c r="AH251" s="2548" t="s">
        <v>1410</v>
      </c>
      <c r="AI251" s="2548"/>
      <c r="AM251" s="2641"/>
      <c r="AN251" s="2641">
        <v>950786</v>
      </c>
      <c r="AO251" s="2641" t="s">
        <v>1076</v>
      </c>
      <c r="AP251" s="2642"/>
      <c r="AQ251" s="2641">
        <v>20</v>
      </c>
      <c r="AR251" s="2641">
        <v>100</v>
      </c>
      <c r="AS251" s="2641">
        <v>0</v>
      </c>
      <c r="AT251" s="2641">
        <v>99.35</v>
      </c>
      <c r="AU251" s="2641">
        <f t="shared" ref="AU251" si="175">(AQ251-AS251)</f>
        <v>20</v>
      </c>
      <c r="AV251" s="2641">
        <f t="shared" ref="AV251" si="176">(AR251-AT251)</f>
        <v>0.65000000000000568</v>
      </c>
      <c r="AW251" s="2131"/>
    </row>
    <row r="252" spans="1:49" ht="30.6" thickBot="1">
      <c r="A252" s="3433"/>
      <c r="B252" s="3433"/>
      <c r="C252" s="3433"/>
      <c r="D252" s="3434"/>
      <c r="E252" s="3435"/>
      <c r="F252" s="3435"/>
      <c r="G252" s="3435"/>
      <c r="H252" s="3435"/>
      <c r="I252" s="3435"/>
      <c r="J252" s="3435"/>
      <c r="K252" s="3436"/>
      <c r="M252" s="2568" t="s">
        <v>1268</v>
      </c>
      <c r="N252" s="2570"/>
      <c r="O252" s="2570"/>
      <c r="P252" s="2570"/>
      <c r="Q252" s="2569" t="s">
        <v>943</v>
      </c>
      <c r="R252" s="2570"/>
      <c r="S252" s="2570"/>
      <c r="T252" s="2570"/>
      <c r="U252" s="2570"/>
      <c r="V252" s="2570"/>
      <c r="W252" s="2570"/>
      <c r="Y252" s="2632" t="s">
        <v>1381</v>
      </c>
      <c r="Z252" s="2634"/>
      <c r="AA252" s="2634"/>
      <c r="AB252" s="2634"/>
      <c r="AC252" s="2633"/>
      <c r="AD252" s="2634"/>
      <c r="AE252" s="2634"/>
      <c r="AF252" s="2633" t="s">
        <v>261</v>
      </c>
      <c r="AG252" s="2634"/>
      <c r="AH252" s="2634"/>
      <c r="AI252" s="2634"/>
      <c r="AM252" s="3562"/>
      <c r="AN252" s="3562"/>
      <c r="AO252" s="3562"/>
      <c r="AP252" s="3571"/>
      <c r="AQ252" s="3562">
        <f t="shared" ref="AQ252:AV252" si="177">SUM(AQ251:AQ251)</f>
        <v>20</v>
      </c>
      <c r="AR252" s="3562">
        <f t="shared" si="177"/>
        <v>100</v>
      </c>
      <c r="AS252" s="3562">
        <f t="shared" si="177"/>
        <v>0</v>
      </c>
      <c r="AT252" s="3562">
        <f t="shared" si="177"/>
        <v>99.35</v>
      </c>
      <c r="AU252" s="3562">
        <f t="shared" si="177"/>
        <v>20</v>
      </c>
      <c r="AV252" s="3562">
        <f t="shared" si="177"/>
        <v>0.65000000000000568</v>
      </c>
      <c r="AW252" s="3561"/>
    </row>
    <row r="253" spans="1:49" ht="15.6">
      <c r="A253" s="3433"/>
      <c r="B253" s="3433"/>
      <c r="C253" s="3433"/>
      <c r="D253" s="3434"/>
      <c r="E253" s="3435"/>
      <c r="F253" s="3435"/>
      <c r="G253" s="3435"/>
      <c r="H253" s="3435"/>
      <c r="I253" s="3435"/>
      <c r="J253" s="3435"/>
      <c r="K253" s="3436"/>
      <c r="M253" s="2571"/>
      <c r="N253" s="2572"/>
      <c r="O253" s="2572"/>
      <c r="P253" s="2572"/>
      <c r="Q253" s="4048" t="s">
        <v>152</v>
      </c>
      <c r="R253" s="4049"/>
      <c r="S253" s="4048" t="s">
        <v>153</v>
      </c>
      <c r="T253" s="4049"/>
      <c r="U253" s="2651" t="s">
        <v>154</v>
      </c>
      <c r="V253" s="2652"/>
      <c r="W253" s="2575" t="s">
        <v>132</v>
      </c>
      <c r="Y253" s="2635"/>
      <c r="Z253" s="2636"/>
      <c r="AA253" s="2636"/>
      <c r="AB253" s="2636"/>
      <c r="AC253" s="4053" t="s">
        <v>152</v>
      </c>
      <c r="AD253" s="4054"/>
      <c r="AE253" s="4053" t="s">
        <v>153</v>
      </c>
      <c r="AF253" s="4054"/>
      <c r="AG253" s="3193" t="s">
        <v>154</v>
      </c>
      <c r="AH253" s="3194"/>
      <c r="AI253" s="2639" t="s">
        <v>132</v>
      </c>
      <c r="AM253" s="3563"/>
      <c r="AN253" s="3564"/>
      <c r="AO253" s="3564"/>
      <c r="AP253" s="3564"/>
      <c r="AQ253" s="3564"/>
      <c r="AR253" s="3564"/>
      <c r="AS253" s="3564"/>
      <c r="AT253" s="3564"/>
      <c r="AU253" s="3564"/>
      <c r="AV253" s="3565"/>
      <c r="AW253" s="3570"/>
    </row>
    <row r="254" spans="1:49" ht="30">
      <c r="A254" s="2600" t="s">
        <v>1543</v>
      </c>
      <c r="B254" s="2586"/>
      <c r="C254" s="2586"/>
      <c r="D254" s="2586"/>
      <c r="E254" s="2586"/>
      <c r="F254" s="2586"/>
      <c r="G254" s="2586"/>
      <c r="H254" s="2586"/>
      <c r="I254" s="2586"/>
      <c r="J254" s="2586"/>
      <c r="K254" s="2588"/>
      <c r="M254" s="2576" t="s">
        <v>223</v>
      </c>
      <c r="N254" s="2576" t="s">
        <v>224</v>
      </c>
      <c r="O254" s="2576" t="s">
        <v>225</v>
      </c>
      <c r="P254" s="2576" t="s">
        <v>157</v>
      </c>
      <c r="Q254" s="2576" t="s">
        <v>944</v>
      </c>
      <c r="R254" s="2576" t="s">
        <v>945</v>
      </c>
      <c r="S254" s="2576" t="s">
        <v>946</v>
      </c>
      <c r="T254" s="2576" t="s">
        <v>947</v>
      </c>
      <c r="U254" s="2576" t="s">
        <v>948</v>
      </c>
      <c r="V254" s="2576" t="s">
        <v>949</v>
      </c>
      <c r="W254" s="2570"/>
      <c r="Y254" s="2640" t="s">
        <v>223</v>
      </c>
      <c r="Z254" s="2640" t="s">
        <v>224</v>
      </c>
      <c r="AA254" s="2640" t="s">
        <v>225</v>
      </c>
      <c r="AB254" s="2640" t="s">
        <v>157</v>
      </c>
      <c r="AC254" s="2640" t="s">
        <v>944</v>
      </c>
      <c r="AD254" s="2640"/>
      <c r="AE254" s="2640" t="s">
        <v>946</v>
      </c>
      <c r="AF254" s="2640"/>
      <c r="AG254" s="2640" t="s">
        <v>948</v>
      </c>
      <c r="AH254" s="2640" t="s">
        <v>949</v>
      </c>
      <c r="AI254" s="2634"/>
      <c r="AM254" s="3566"/>
      <c r="AN254" s="3567"/>
      <c r="AO254" s="3567"/>
      <c r="AP254" s="3567"/>
      <c r="AQ254" s="3567"/>
      <c r="AR254" s="3568"/>
      <c r="AS254" s="3567"/>
      <c r="AT254" s="3567"/>
      <c r="AU254" s="3567"/>
      <c r="AV254" s="3569"/>
      <c r="AW254" s="3570"/>
    </row>
    <row r="255" spans="1:49" ht="30">
      <c r="A255" s="2586" t="s">
        <v>1544</v>
      </c>
      <c r="B255" s="2586"/>
      <c r="C255" s="2586"/>
      <c r="D255" s="2586"/>
      <c r="E255" s="2586"/>
      <c r="F255" s="2587" t="s">
        <v>1158</v>
      </c>
      <c r="G255" s="2586"/>
      <c r="H255" s="2586"/>
      <c r="I255" s="2586"/>
      <c r="J255" s="2586"/>
      <c r="K255" s="2588"/>
      <c r="M255" s="2577"/>
      <c r="N255" s="2577">
        <v>923223</v>
      </c>
      <c r="O255" s="2577" t="s">
        <v>1269</v>
      </c>
      <c r="P255" s="2578"/>
      <c r="Q255" s="2577">
        <v>26</v>
      </c>
      <c r="R255" s="2577">
        <v>171</v>
      </c>
      <c r="S255" s="2577">
        <v>29.922999999999998</v>
      </c>
      <c r="T255" s="2577">
        <v>140.27699999999999</v>
      </c>
      <c r="U255" s="2577">
        <f>(Q255-S255)</f>
        <v>-3.9229999999999983</v>
      </c>
      <c r="V255" s="2577">
        <f t="shared" ref="V255" si="178">(R255-T255)</f>
        <v>30.723000000000013</v>
      </c>
      <c r="W255" s="2570"/>
      <c r="Y255" s="2641"/>
      <c r="Z255" s="2641">
        <v>901588</v>
      </c>
      <c r="AA255" s="2641" t="s">
        <v>1377</v>
      </c>
      <c r="AB255" s="2642"/>
      <c r="AC255" s="4058">
        <v>554</v>
      </c>
      <c r="AD255" s="3178"/>
      <c r="AE255" s="4058">
        <v>554</v>
      </c>
      <c r="AF255" s="3178"/>
      <c r="AG255" s="4105">
        <f>+AC255-AE255</f>
        <v>0</v>
      </c>
      <c r="AH255" s="3178"/>
      <c r="AI255" s="2634"/>
    </row>
    <row r="256" spans="1:49" ht="13.8" thickBot="1">
      <c r="A256" s="2588"/>
      <c r="B256" s="2588"/>
      <c r="C256" s="2588"/>
      <c r="D256" s="2588"/>
      <c r="E256" s="2588"/>
      <c r="F256" s="2588"/>
      <c r="G256" s="2588"/>
      <c r="H256" s="2588"/>
      <c r="I256" s="2588"/>
      <c r="J256" s="2588"/>
      <c r="K256" s="2588"/>
      <c r="M256" s="2577"/>
      <c r="N256" s="2577"/>
      <c r="O256" s="2577"/>
      <c r="P256" s="2578"/>
      <c r="Q256" s="2577"/>
      <c r="R256" s="2577"/>
      <c r="S256" s="2577"/>
      <c r="T256" s="2577"/>
      <c r="U256" s="2577"/>
      <c r="V256" s="2577"/>
      <c r="W256" s="2570"/>
      <c r="Y256" s="2641"/>
      <c r="Z256" s="2641">
        <v>920745</v>
      </c>
      <c r="AA256" s="2641" t="s">
        <v>1164</v>
      </c>
      <c r="AB256" s="2642"/>
      <c r="AC256" s="4069"/>
      <c r="AD256" s="3178"/>
      <c r="AE256" s="4069"/>
      <c r="AF256" s="3178"/>
      <c r="AG256" s="4106"/>
      <c r="AH256" s="3178"/>
      <c r="AI256" s="2634"/>
    </row>
    <row r="257" spans="1:49" ht="30">
      <c r="A257" s="2590"/>
      <c r="B257" s="2589"/>
      <c r="C257" s="2589"/>
      <c r="D257" s="2589"/>
      <c r="E257" s="4076" t="s">
        <v>152</v>
      </c>
      <c r="F257" s="4077"/>
      <c r="G257" s="4076" t="s">
        <v>153</v>
      </c>
      <c r="H257" s="4077"/>
      <c r="I257" s="3431" t="s">
        <v>154</v>
      </c>
      <c r="J257" s="3432"/>
      <c r="K257" s="2588"/>
      <c r="M257" s="2577"/>
      <c r="N257" s="2577"/>
      <c r="O257" s="2577"/>
      <c r="P257" s="2578"/>
      <c r="Q257" s="2577"/>
      <c r="R257" s="2577"/>
      <c r="S257" s="2577"/>
      <c r="T257" s="2577"/>
      <c r="U257" s="2577"/>
      <c r="V257" s="2577"/>
      <c r="W257" s="2570"/>
      <c r="Y257" s="2641"/>
      <c r="Z257" s="2641">
        <v>956427</v>
      </c>
      <c r="AA257" s="2641" t="s">
        <v>1165</v>
      </c>
      <c r="AB257" s="2642"/>
      <c r="AC257" s="4069"/>
      <c r="AD257" s="3178"/>
      <c r="AE257" s="4069"/>
      <c r="AF257" s="3178"/>
      <c r="AG257" s="4106"/>
      <c r="AH257" s="3178"/>
      <c r="AI257" s="2634"/>
      <c r="AM257" s="2632" t="s">
        <v>1632</v>
      </c>
      <c r="AN257" s="2632"/>
      <c r="AO257" s="2632"/>
      <c r="AP257" s="2632"/>
      <c r="AQ257" s="2632"/>
      <c r="AR257" s="2633"/>
      <c r="AS257" s="2632"/>
      <c r="AT257" s="2632"/>
      <c r="AU257" s="2632"/>
      <c r="AV257" s="2632"/>
      <c r="AW257" s="2634"/>
    </row>
    <row r="258" spans="1:49" ht="30.6" thickBot="1">
      <c r="A258" s="2594" t="s">
        <v>957</v>
      </c>
      <c r="B258" s="2594" t="s">
        <v>224</v>
      </c>
      <c r="C258" s="2594" t="s">
        <v>225</v>
      </c>
      <c r="D258" s="2594" t="s">
        <v>157</v>
      </c>
      <c r="E258" s="2594" t="s">
        <v>944</v>
      </c>
      <c r="F258" s="2594" t="s">
        <v>945</v>
      </c>
      <c r="G258" s="2594" t="s">
        <v>946</v>
      </c>
      <c r="H258" s="2594" t="s">
        <v>947</v>
      </c>
      <c r="I258" s="2594" t="s">
        <v>948</v>
      </c>
      <c r="J258" s="2594" t="s">
        <v>949</v>
      </c>
      <c r="K258" s="2588"/>
      <c r="M258" s="2579"/>
      <c r="N258" s="2579"/>
      <c r="O258" s="2579"/>
      <c r="P258" s="2580"/>
      <c r="Q258" s="2581">
        <f t="shared" ref="Q258:V258" si="179">SUM(Q255:Q257)</f>
        <v>26</v>
      </c>
      <c r="R258" s="2581">
        <f t="shared" si="179"/>
        <v>171</v>
      </c>
      <c r="S258" s="2581">
        <f t="shared" si="179"/>
        <v>29.922999999999998</v>
      </c>
      <c r="T258" s="2581">
        <f t="shared" si="179"/>
        <v>140.27699999999999</v>
      </c>
      <c r="U258" s="2581">
        <f t="shared" si="179"/>
        <v>-3.9229999999999983</v>
      </c>
      <c r="V258" s="2581">
        <f t="shared" si="179"/>
        <v>30.723000000000013</v>
      </c>
      <c r="W258" s="2570"/>
      <c r="Y258" s="2641"/>
      <c r="Z258" s="2641">
        <v>953023</v>
      </c>
      <c r="AA258" s="2641" t="s">
        <v>1166</v>
      </c>
      <c r="AB258" s="2642"/>
      <c r="AC258" s="4069"/>
      <c r="AD258" s="3178"/>
      <c r="AE258" s="4069"/>
      <c r="AF258" s="3178"/>
      <c r="AG258" s="4106"/>
      <c r="AH258" s="3178"/>
      <c r="AI258" s="2634"/>
      <c r="AM258" s="3532" t="s">
        <v>1634</v>
      </c>
      <c r="AN258" s="2634"/>
      <c r="AO258" s="2634"/>
      <c r="AP258" s="2634"/>
      <c r="AQ258" s="2633"/>
      <c r="AR258" s="2634"/>
      <c r="AS258" s="2634"/>
      <c r="AT258" s="2633" t="s">
        <v>38</v>
      </c>
      <c r="AU258" s="2634"/>
      <c r="AV258" s="2634"/>
      <c r="AW258" s="2634"/>
    </row>
    <row r="259" spans="1:49" ht="14.4">
      <c r="A259" s="2595"/>
      <c r="B259" s="2595">
        <v>925749</v>
      </c>
      <c r="C259" s="2595" t="s">
        <v>1545</v>
      </c>
      <c r="D259" s="2596"/>
      <c r="E259" s="2595"/>
      <c r="F259" s="2595">
        <v>100</v>
      </c>
      <c r="G259" s="2595">
        <v>0</v>
      </c>
      <c r="H259" s="2595">
        <v>43.854999999999997</v>
      </c>
      <c r="I259" s="2595">
        <f>(E259-G259)</f>
        <v>0</v>
      </c>
      <c r="J259" s="2595">
        <f>+F259-H259</f>
        <v>56.145000000000003</v>
      </c>
      <c r="K259" s="2588"/>
      <c r="M259" s="2650"/>
      <c r="N259" s="2650"/>
      <c r="O259" s="2650"/>
      <c r="P259" s="2650"/>
      <c r="Q259" s="2650"/>
      <c r="R259" s="2650"/>
      <c r="S259" s="2650"/>
      <c r="T259" s="2650"/>
      <c r="U259" s="2650"/>
      <c r="V259" s="2650"/>
      <c r="W259" s="2650"/>
      <c r="Y259" s="2641"/>
      <c r="Z259" s="2641">
        <v>923266</v>
      </c>
      <c r="AA259" s="2641" t="s">
        <v>1378</v>
      </c>
      <c r="AB259" s="2642"/>
      <c r="AC259" s="4069"/>
      <c r="AD259" s="3178"/>
      <c r="AE259" s="4069"/>
      <c r="AF259" s="3178"/>
      <c r="AG259" s="4106"/>
      <c r="AH259" s="3178"/>
      <c r="AI259" s="2634"/>
      <c r="AM259" s="2635"/>
      <c r="AN259" s="2636"/>
      <c r="AO259" s="2636"/>
      <c r="AP259" s="2636"/>
      <c r="AQ259" s="4053" t="s">
        <v>152</v>
      </c>
      <c r="AR259" s="4054"/>
      <c r="AS259" s="4053" t="s">
        <v>153</v>
      </c>
      <c r="AT259" s="4054"/>
      <c r="AU259" s="3579" t="s">
        <v>154</v>
      </c>
      <c r="AV259" s="3580"/>
      <c r="AW259" s="2639" t="s">
        <v>132</v>
      </c>
    </row>
    <row r="260" spans="1:49" ht="14.4">
      <c r="A260" s="2595"/>
      <c r="B260" s="2595">
        <v>926663</v>
      </c>
      <c r="C260" s="2595" t="s">
        <v>207</v>
      </c>
      <c r="D260" s="2596"/>
      <c r="E260" s="2595"/>
      <c r="F260" s="2595">
        <v>150</v>
      </c>
      <c r="G260" s="2595">
        <v>25.184999999999999</v>
      </c>
      <c r="H260" s="2595">
        <v>124.352</v>
      </c>
      <c r="I260" s="2595">
        <f t="shared" ref="I260:I262" si="180">(E260-G260)</f>
        <v>-25.184999999999999</v>
      </c>
      <c r="J260" s="2595">
        <f t="shared" ref="J260:J262" si="181">+F260-H260</f>
        <v>25.647999999999996</v>
      </c>
      <c r="K260" s="2588"/>
      <c r="M260" s="2650"/>
      <c r="N260" s="2650"/>
      <c r="O260" s="2650"/>
      <c r="P260" s="2650"/>
      <c r="Q260" s="2650"/>
      <c r="R260" s="2650"/>
      <c r="S260" s="2650"/>
      <c r="T260" s="2650"/>
      <c r="U260" s="2650"/>
      <c r="V260" s="2650"/>
      <c r="W260" s="2650"/>
      <c r="Y260" s="2641"/>
      <c r="Z260" s="2641">
        <v>960563</v>
      </c>
      <c r="AA260" s="2641" t="s">
        <v>1168</v>
      </c>
      <c r="AB260" s="2642"/>
      <c r="AC260" s="4069"/>
      <c r="AD260" s="3178"/>
      <c r="AE260" s="4069"/>
      <c r="AF260" s="3178"/>
      <c r="AG260" s="4106"/>
      <c r="AH260" s="3178"/>
      <c r="AI260" s="2634"/>
      <c r="AM260" s="2640" t="s">
        <v>223</v>
      </c>
      <c r="AN260" s="2640" t="s">
        <v>224</v>
      </c>
      <c r="AO260" s="2640" t="s">
        <v>225</v>
      </c>
      <c r="AP260" s="2640" t="s">
        <v>157</v>
      </c>
      <c r="AQ260" s="2640"/>
      <c r="AR260" s="2640" t="s">
        <v>38</v>
      </c>
      <c r="AS260" s="2640"/>
      <c r="AT260" s="2640" t="s">
        <v>38</v>
      </c>
      <c r="AU260" s="2640"/>
      <c r="AV260" s="2640" t="s">
        <v>38</v>
      </c>
      <c r="AW260" s="2634"/>
    </row>
    <row r="261" spans="1:49" ht="30">
      <c r="A261" s="2595"/>
      <c r="B261" s="2595">
        <v>951772</v>
      </c>
      <c r="C261" s="2595" t="s">
        <v>208</v>
      </c>
      <c r="D261" s="2596"/>
      <c r="E261" s="2595"/>
      <c r="F261" s="2595">
        <v>300</v>
      </c>
      <c r="G261" s="2595">
        <v>16.991</v>
      </c>
      <c r="H261" s="2595">
        <v>281.68400000000003</v>
      </c>
      <c r="I261" s="2595">
        <f t="shared" si="180"/>
        <v>-16.991</v>
      </c>
      <c r="J261" s="2595">
        <f t="shared" si="181"/>
        <v>18.315999999999974</v>
      </c>
      <c r="K261" s="2588"/>
      <c r="M261" s="2568" t="s">
        <v>1064</v>
      </c>
      <c r="N261" s="2568"/>
      <c r="O261" s="2568"/>
      <c r="P261" s="2568"/>
      <c r="Q261" s="2568"/>
      <c r="R261" s="2569"/>
      <c r="S261" s="2568"/>
      <c r="T261" s="2568"/>
      <c r="U261" s="2568"/>
      <c r="V261" s="2568"/>
      <c r="W261" s="2570"/>
      <c r="Y261" s="2641"/>
      <c r="Z261" s="2641">
        <v>957989</v>
      </c>
      <c r="AA261" s="2641" t="s">
        <v>1168</v>
      </c>
      <c r="AB261" s="2642"/>
      <c r="AC261" s="4069"/>
      <c r="AD261" s="3178"/>
      <c r="AE261" s="4069"/>
      <c r="AF261" s="3178"/>
      <c r="AG261" s="4106"/>
      <c r="AH261" s="3178"/>
      <c r="AI261" s="2634"/>
      <c r="AM261" s="2641"/>
      <c r="AN261" s="2641"/>
      <c r="AO261" s="2641" t="s">
        <v>1633</v>
      </c>
      <c r="AP261" s="2642"/>
      <c r="AQ261" s="2641"/>
      <c r="AR261" s="2641">
        <v>1000</v>
      </c>
      <c r="AS261" s="2641"/>
      <c r="AT261" s="2641"/>
      <c r="AU261" s="2641">
        <f t="shared" ref="AU261" si="182">(AQ261-AS261)</f>
        <v>0</v>
      </c>
      <c r="AV261" s="2641">
        <f t="shared" ref="AV261" si="183">(AR261-AT261)</f>
        <v>1000</v>
      </c>
      <c r="AW261" s="2634"/>
    </row>
    <row r="262" spans="1:49" ht="30.6" thickBot="1">
      <c r="A262" s="2595"/>
      <c r="B262" s="2595">
        <v>955878</v>
      </c>
      <c r="C262" s="2595" t="s">
        <v>209</v>
      </c>
      <c r="D262" s="2596"/>
      <c r="E262" s="2595"/>
      <c r="F262" s="2595">
        <v>150</v>
      </c>
      <c r="G262" s="2595">
        <v>13.004</v>
      </c>
      <c r="H262" s="2595">
        <v>129.00299999999999</v>
      </c>
      <c r="I262" s="2595">
        <f t="shared" si="180"/>
        <v>-13.004</v>
      </c>
      <c r="J262" s="2595">
        <f t="shared" si="181"/>
        <v>20.997000000000014</v>
      </c>
      <c r="K262" s="2588"/>
      <c r="M262" s="2568" t="s">
        <v>1266</v>
      </c>
      <c r="N262" s="2570"/>
      <c r="O262" s="2570"/>
      <c r="P262" s="2570"/>
      <c r="Q262" s="2569" t="s">
        <v>943</v>
      </c>
      <c r="R262" s="2570"/>
      <c r="S262" s="2570"/>
      <c r="T262" s="2570"/>
      <c r="U262" s="2570"/>
      <c r="V262" s="2570"/>
      <c r="W262" s="2570"/>
      <c r="Y262" s="2641"/>
      <c r="Z262" s="2641">
        <v>923167</v>
      </c>
      <c r="AA262" s="2641" t="s">
        <v>1169</v>
      </c>
      <c r="AB262" s="2642"/>
      <c r="AC262" s="4069"/>
      <c r="AD262" s="3178"/>
      <c r="AE262" s="4069"/>
      <c r="AF262" s="3178"/>
      <c r="AG262" s="4106"/>
      <c r="AH262" s="3178"/>
      <c r="AI262" s="2634"/>
      <c r="AM262" s="2643"/>
      <c r="AN262" s="2643"/>
      <c r="AO262" s="2643"/>
      <c r="AP262" s="3578"/>
      <c r="AQ262" s="2645">
        <f t="shared" ref="AQ262:AV262" si="184">SUM(AQ261:AQ261)</f>
        <v>0</v>
      </c>
      <c r="AR262" s="2645">
        <f t="shared" si="184"/>
        <v>1000</v>
      </c>
      <c r="AS262" s="2645">
        <f t="shared" si="184"/>
        <v>0</v>
      </c>
      <c r="AT262" s="2645">
        <f t="shared" si="184"/>
        <v>0</v>
      </c>
      <c r="AU262" s="2645">
        <f t="shared" si="184"/>
        <v>0</v>
      </c>
      <c r="AV262" s="2645">
        <f t="shared" si="184"/>
        <v>1000</v>
      </c>
      <c r="AW262" s="2634"/>
    </row>
    <row r="263" spans="1:49" ht="14.4">
      <c r="A263" s="2595"/>
      <c r="B263" s="2595"/>
      <c r="C263" s="2595"/>
      <c r="D263" s="2596"/>
      <c r="E263" s="2595">
        <f t="shared" ref="E263" si="185">SUM(E259:E262)</f>
        <v>0</v>
      </c>
      <c r="F263" s="2595">
        <v>350</v>
      </c>
      <c r="G263" s="2601">
        <f t="shared" ref="G263:H263" si="186">SUM(G259:G262)</f>
        <v>55.18</v>
      </c>
      <c r="H263" s="2601">
        <f t="shared" si="186"/>
        <v>578.89400000000001</v>
      </c>
      <c r="I263" s="2595">
        <f>+E263-G263</f>
        <v>-55.18</v>
      </c>
      <c r="J263" s="2595">
        <f>+F263-H263</f>
        <v>-228.89400000000001</v>
      </c>
      <c r="K263" s="2588"/>
      <c r="M263" s="2571"/>
      <c r="N263" s="2572"/>
      <c r="O263" s="2572"/>
      <c r="P263" s="2572"/>
      <c r="Q263" s="4048" t="s">
        <v>152</v>
      </c>
      <c r="R263" s="4049"/>
      <c r="S263" s="4048" t="s">
        <v>153</v>
      </c>
      <c r="T263" s="4049"/>
      <c r="U263" s="2651" t="s">
        <v>154</v>
      </c>
      <c r="V263" s="2652"/>
      <c r="W263" s="2575" t="s">
        <v>132</v>
      </c>
      <c r="Y263" s="2641"/>
      <c r="Z263" s="2641">
        <v>951803</v>
      </c>
      <c r="AA263" s="2641" t="s">
        <v>1170</v>
      </c>
      <c r="AB263" s="2642"/>
      <c r="AC263" s="4069"/>
      <c r="AD263" s="3178"/>
      <c r="AE263" s="4069"/>
      <c r="AF263" s="3178"/>
      <c r="AG263" s="4106"/>
      <c r="AH263" s="3178"/>
      <c r="AI263" s="2634"/>
      <c r="AM263" s="3525"/>
      <c r="AN263" s="3525"/>
      <c r="AO263" s="3525"/>
      <c r="AP263" s="3526"/>
      <c r="AQ263" s="3527"/>
      <c r="AR263" s="3527"/>
      <c r="AS263" s="3527"/>
      <c r="AT263" s="3527"/>
      <c r="AU263" s="3531"/>
      <c r="AV263" s="3527"/>
      <c r="AW263" s="2634"/>
    </row>
    <row r="264" spans="1:49" ht="28.8">
      <c r="A264" s="3433"/>
      <c r="B264" s="3433"/>
      <c r="C264" s="3433"/>
      <c r="D264" s="3434"/>
      <c r="E264" s="3433"/>
      <c r="F264" s="3433"/>
      <c r="G264" s="3433"/>
      <c r="H264" s="3449"/>
      <c r="I264" s="3433"/>
      <c r="J264" s="3433"/>
      <c r="K264" s="3436"/>
      <c r="M264" s="2576" t="s">
        <v>223</v>
      </c>
      <c r="N264" s="2576" t="s">
        <v>224</v>
      </c>
      <c r="O264" s="2576" t="s">
        <v>225</v>
      </c>
      <c r="P264" s="2576" t="s">
        <v>157</v>
      </c>
      <c r="Q264" s="2576" t="s">
        <v>944</v>
      </c>
      <c r="R264" s="2576" t="s">
        <v>945</v>
      </c>
      <c r="S264" s="2576" t="s">
        <v>946</v>
      </c>
      <c r="T264" s="2576" t="s">
        <v>947</v>
      </c>
      <c r="U264" s="2576" t="s">
        <v>948</v>
      </c>
      <c r="V264" s="2576" t="s">
        <v>949</v>
      </c>
      <c r="W264" s="2570"/>
      <c r="Y264" s="2641"/>
      <c r="Z264" s="2641">
        <v>958708</v>
      </c>
      <c r="AA264" s="2641" t="s">
        <v>1171</v>
      </c>
      <c r="AB264" s="2642"/>
      <c r="AC264" s="4069"/>
      <c r="AD264" s="3178"/>
      <c r="AE264" s="4069"/>
      <c r="AF264" s="3178"/>
      <c r="AG264" s="4106"/>
      <c r="AH264" s="3178"/>
      <c r="AI264" s="2634"/>
      <c r="AM264" s="3525"/>
      <c r="AN264" s="3525"/>
      <c r="AO264" s="3525"/>
      <c r="AP264" s="3526"/>
      <c r="AQ264" s="3527"/>
      <c r="AR264" s="3527"/>
      <c r="AS264" s="3527"/>
      <c r="AT264" s="3527"/>
      <c r="AU264" s="3531"/>
      <c r="AV264" s="3527"/>
      <c r="AW264" s="2634"/>
    </row>
    <row r="265" spans="1:49">
      <c r="A265" s="3433"/>
      <c r="B265" s="3433"/>
      <c r="C265" s="3433"/>
      <c r="D265" s="3434"/>
      <c r="E265" s="3433"/>
      <c r="F265" s="3433"/>
      <c r="G265" s="3433"/>
      <c r="H265" s="3449"/>
      <c r="I265" s="3433"/>
      <c r="J265" s="3433"/>
      <c r="K265" s="3436"/>
      <c r="M265" s="2577"/>
      <c r="N265" s="2577">
        <v>954609</v>
      </c>
      <c r="O265" s="2577" t="s">
        <v>213</v>
      </c>
      <c r="P265" s="2578"/>
      <c r="Q265" s="2577">
        <v>13</v>
      </c>
      <c r="R265" s="2577">
        <v>87</v>
      </c>
      <c r="S265" s="2577">
        <v>10.159000000000001</v>
      </c>
      <c r="T265" s="2577">
        <v>89.409000000000006</v>
      </c>
      <c r="U265" s="2577">
        <f>(Q265-S265)</f>
        <v>2.8409999999999993</v>
      </c>
      <c r="V265" s="2577">
        <f t="shared" ref="V265" si="187">(R265-T265)</f>
        <v>-2.409000000000006</v>
      </c>
      <c r="W265" s="2570"/>
      <c r="Y265" s="2641"/>
      <c r="Z265" s="2641">
        <v>950875</v>
      </c>
      <c r="AA265" s="2641" t="s">
        <v>1172</v>
      </c>
      <c r="AB265" s="2642"/>
      <c r="AC265" s="4069"/>
      <c r="AD265" s="3178"/>
      <c r="AE265" s="4069"/>
      <c r="AF265" s="3178"/>
      <c r="AG265" s="4106"/>
      <c r="AH265" s="3178"/>
      <c r="AI265" s="2634"/>
      <c r="AM265" s="3577"/>
      <c r="AN265" s="3577"/>
      <c r="AO265" s="3577"/>
      <c r="AP265" s="3577"/>
      <c r="AQ265" s="3577"/>
      <c r="AR265" s="3577"/>
      <c r="AS265" s="3577"/>
      <c r="AT265" s="3577"/>
      <c r="AU265" s="3577"/>
      <c r="AV265" s="3577"/>
      <c r="AW265" s="3577"/>
    </row>
    <row r="266" spans="1:49" ht="30">
      <c r="A266" s="2600" t="s">
        <v>1543</v>
      </c>
      <c r="B266" s="2586"/>
      <c r="C266" s="2586"/>
      <c r="D266" s="2586"/>
      <c r="E266" s="2586"/>
      <c r="F266" s="2586"/>
      <c r="G266" s="2586"/>
      <c r="H266" s="2586"/>
      <c r="I266" s="2586"/>
      <c r="J266" s="2586"/>
      <c r="K266" s="2588"/>
      <c r="M266" s="2577"/>
      <c r="N266" s="2577"/>
      <c r="O266" s="2577"/>
      <c r="P266" s="2578"/>
      <c r="Q266" s="2577"/>
      <c r="R266" s="2577"/>
      <c r="S266" s="2577"/>
      <c r="T266" s="2577"/>
      <c r="U266" s="2577"/>
      <c r="V266" s="2577"/>
      <c r="W266" s="2570"/>
      <c r="Y266" s="2641"/>
      <c r="Z266" s="2641">
        <v>901571</v>
      </c>
      <c r="AA266" s="2641" t="s">
        <v>1173</v>
      </c>
      <c r="AB266" s="2642"/>
      <c r="AC266" s="4069"/>
      <c r="AD266" s="3178"/>
      <c r="AE266" s="4069"/>
      <c r="AF266" s="3178"/>
      <c r="AG266" s="4106"/>
      <c r="AH266" s="3178"/>
      <c r="AI266" s="2634"/>
      <c r="AM266" s="3577"/>
      <c r="AN266" s="3577"/>
      <c r="AO266" s="3577"/>
      <c r="AP266" s="3577"/>
      <c r="AQ266" s="3577"/>
      <c r="AR266" s="3577"/>
      <c r="AS266" s="3577"/>
      <c r="AT266" s="3577"/>
      <c r="AU266" s="3577"/>
      <c r="AV266" s="3577"/>
      <c r="AW266" s="3577"/>
    </row>
    <row r="267" spans="1:49" ht="30">
      <c r="A267" s="2586" t="s">
        <v>1546</v>
      </c>
      <c r="B267" s="2586"/>
      <c r="C267" s="2586"/>
      <c r="D267" s="2586"/>
      <c r="E267" s="2586"/>
      <c r="F267" s="2587" t="s">
        <v>1158</v>
      </c>
      <c r="G267" s="2586"/>
      <c r="H267" s="2586"/>
      <c r="I267" s="2586"/>
      <c r="J267" s="2586"/>
      <c r="K267" s="2588"/>
      <c r="M267" s="2577"/>
      <c r="N267" s="2577"/>
      <c r="O267" s="2577"/>
      <c r="P267" s="2578"/>
      <c r="Q267" s="2577"/>
      <c r="R267" s="2577"/>
      <c r="S267" s="2577"/>
      <c r="T267" s="2577"/>
      <c r="U267" s="2577"/>
      <c r="V267" s="2577"/>
      <c r="W267" s="2570"/>
      <c r="Y267" s="2641"/>
      <c r="Z267" s="2641">
        <v>960673</v>
      </c>
      <c r="AA267" s="2641" t="s">
        <v>1379</v>
      </c>
      <c r="AB267" s="2642"/>
      <c r="AC267" s="4069"/>
      <c r="AD267" s="3178"/>
      <c r="AE267" s="4069"/>
      <c r="AF267" s="3178"/>
      <c r="AG267" s="4106"/>
      <c r="AH267" s="3178"/>
      <c r="AI267" s="2634"/>
      <c r="AM267" s="2632" t="s">
        <v>1635</v>
      </c>
      <c r="AN267" s="2632"/>
      <c r="AO267" s="2632"/>
      <c r="AP267" s="2632"/>
      <c r="AQ267" s="2632"/>
      <c r="AR267" s="2633"/>
      <c r="AS267" s="2632"/>
      <c r="AT267" s="2632"/>
      <c r="AU267" s="2632"/>
      <c r="AV267" s="2632"/>
      <c r="AW267" s="2634"/>
    </row>
    <row r="268" spans="1:49" ht="30.6" thickBot="1">
      <c r="A268" s="2588"/>
      <c r="B268" s="2588"/>
      <c r="C268" s="2588"/>
      <c r="D268" s="2588"/>
      <c r="E268" s="2588"/>
      <c r="F268" s="2588"/>
      <c r="G268" s="2588"/>
      <c r="H268" s="2588"/>
      <c r="I268" s="2588"/>
      <c r="J268" s="2588"/>
      <c r="K268" s="2588"/>
      <c r="M268" s="2579"/>
      <c r="N268" s="2579"/>
      <c r="O268" s="2579"/>
      <c r="P268" s="2580"/>
      <c r="Q268" s="2581">
        <f t="shared" ref="Q268:V268" si="188">SUM(Q265:Q267)</f>
        <v>13</v>
      </c>
      <c r="R268" s="2581">
        <f t="shared" si="188"/>
        <v>87</v>
      </c>
      <c r="S268" s="2581">
        <f t="shared" si="188"/>
        <v>10.159000000000001</v>
      </c>
      <c r="T268" s="2581">
        <f t="shared" si="188"/>
        <v>89.409000000000006</v>
      </c>
      <c r="U268" s="2581">
        <f t="shared" si="188"/>
        <v>2.8409999999999993</v>
      </c>
      <c r="V268" s="2581">
        <f t="shared" si="188"/>
        <v>-2.409000000000006</v>
      </c>
      <c r="W268" s="2570"/>
      <c r="Y268" s="2641"/>
      <c r="Z268" s="2641">
        <v>950815</v>
      </c>
      <c r="AA268" s="2641" t="s">
        <v>1175</v>
      </c>
      <c r="AB268" s="2642"/>
      <c r="AC268" s="4060"/>
      <c r="AD268" s="3178"/>
      <c r="AE268" s="4060"/>
      <c r="AF268" s="3178"/>
      <c r="AG268" s="4107"/>
      <c r="AH268" s="3178"/>
      <c r="AI268" s="2634"/>
      <c r="AM268" s="3532" t="s">
        <v>1636</v>
      </c>
      <c r="AN268" s="2634"/>
      <c r="AO268" s="2634"/>
      <c r="AP268" s="2634"/>
      <c r="AQ268" s="2633"/>
      <c r="AR268" s="2634"/>
      <c r="AS268" s="2634"/>
      <c r="AT268" s="2633" t="s">
        <v>38</v>
      </c>
      <c r="AU268" s="2634"/>
      <c r="AV268" s="2634"/>
      <c r="AW268" s="2634"/>
    </row>
    <row r="269" spans="1:49" ht="14.4">
      <c r="A269" s="2590"/>
      <c r="B269" s="2589"/>
      <c r="C269" s="2589"/>
      <c r="D269" s="2589"/>
      <c r="E269" s="4076" t="s">
        <v>152</v>
      </c>
      <c r="F269" s="4077"/>
      <c r="G269" s="4076" t="s">
        <v>153</v>
      </c>
      <c r="H269" s="4077"/>
      <c r="I269" s="3447" t="s">
        <v>154</v>
      </c>
      <c r="J269" s="3448"/>
      <c r="K269" s="2588"/>
      <c r="M269" s="2650"/>
      <c r="N269" s="2650"/>
      <c r="O269" s="2650"/>
      <c r="P269" s="2650"/>
      <c r="Q269" s="2650"/>
      <c r="R269" s="2650"/>
      <c r="S269" s="2650"/>
      <c r="T269" s="2650"/>
      <c r="U269" s="2650"/>
      <c r="V269" s="2650"/>
      <c r="W269" s="2650"/>
      <c r="Y269" s="2641"/>
      <c r="Z269" s="2641"/>
      <c r="AA269" s="2641"/>
      <c r="AB269" s="2642"/>
      <c r="AC269" s="2641"/>
      <c r="AD269" s="2641"/>
      <c r="AE269" s="2641"/>
      <c r="AF269" s="2641"/>
      <c r="AG269" s="2641"/>
      <c r="AH269" s="2641"/>
      <c r="AI269" s="2634"/>
      <c r="AM269" s="2635"/>
      <c r="AN269" s="2636"/>
      <c r="AO269" s="2636"/>
      <c r="AP269" s="2636"/>
      <c r="AQ269" s="4053" t="s">
        <v>152</v>
      </c>
      <c r="AR269" s="4054"/>
      <c r="AS269" s="4053" t="s">
        <v>153</v>
      </c>
      <c r="AT269" s="4054"/>
      <c r="AU269" s="3579" t="s">
        <v>154</v>
      </c>
      <c r="AV269" s="3580"/>
      <c r="AW269" s="2639" t="s">
        <v>132</v>
      </c>
    </row>
    <row r="270" spans="1:49" ht="28.8">
      <c r="A270" s="2594" t="s">
        <v>957</v>
      </c>
      <c r="B270" s="2594" t="s">
        <v>224</v>
      </c>
      <c r="C270" s="2594" t="s">
        <v>225</v>
      </c>
      <c r="D270" s="2594" t="s">
        <v>157</v>
      </c>
      <c r="E270" s="2594" t="s">
        <v>944</v>
      </c>
      <c r="F270" s="2594" t="s">
        <v>945</v>
      </c>
      <c r="G270" s="2594" t="s">
        <v>946</v>
      </c>
      <c r="H270" s="2594" t="s">
        <v>947</v>
      </c>
      <c r="I270" s="2594" t="s">
        <v>948</v>
      </c>
      <c r="J270" s="2594" t="s">
        <v>949</v>
      </c>
      <c r="K270" s="2588"/>
      <c r="M270" s="2650"/>
      <c r="N270" s="2650"/>
      <c r="O270" s="2650"/>
      <c r="P270" s="2650"/>
      <c r="Q270" s="2650"/>
      <c r="R270" s="2650"/>
      <c r="S270" s="2650"/>
      <c r="T270" s="2650"/>
      <c r="U270" s="2650"/>
      <c r="V270" s="2650"/>
      <c r="W270" s="2650"/>
      <c r="Y270" s="2641"/>
      <c r="Z270" s="2641"/>
      <c r="AA270" s="2641"/>
      <c r="AB270" s="2642"/>
      <c r="AC270" s="2641"/>
      <c r="AD270" s="2641"/>
      <c r="AE270" s="2641"/>
      <c r="AF270" s="2641"/>
      <c r="AG270" s="2641"/>
      <c r="AH270" s="2641"/>
      <c r="AI270" s="2634"/>
      <c r="AM270" s="2640" t="s">
        <v>223</v>
      </c>
      <c r="AN270" s="2640" t="s">
        <v>224</v>
      </c>
      <c r="AO270" s="2640" t="s">
        <v>225</v>
      </c>
      <c r="AP270" s="2640" t="s">
        <v>157</v>
      </c>
      <c r="AQ270" s="2640"/>
      <c r="AR270" s="2640" t="s">
        <v>38</v>
      </c>
      <c r="AS270" s="2640"/>
      <c r="AT270" s="2640" t="s">
        <v>38</v>
      </c>
      <c r="AU270" s="2640"/>
      <c r="AV270" s="2640" t="s">
        <v>38</v>
      </c>
      <c r="AW270" s="2634"/>
    </row>
    <row r="271" spans="1:49" ht="30">
      <c r="A271" s="2595"/>
      <c r="B271" s="2595">
        <v>955516</v>
      </c>
      <c r="C271" s="2595" t="s">
        <v>1547</v>
      </c>
      <c r="D271" s="2596"/>
      <c r="E271" s="2595"/>
      <c r="F271" s="2595">
        <v>200</v>
      </c>
      <c r="G271" s="2595">
        <v>7.9530000000000003</v>
      </c>
      <c r="H271" s="2595">
        <v>192.047</v>
      </c>
      <c r="I271" s="2595">
        <f>(E271-G271)</f>
        <v>-7.9530000000000003</v>
      </c>
      <c r="J271" s="2595">
        <f>+F271-H271</f>
        <v>7.953000000000003</v>
      </c>
      <c r="K271" s="2588"/>
      <c r="M271" s="2568" t="s">
        <v>1064</v>
      </c>
      <c r="N271" s="2568"/>
      <c r="O271" s="2568"/>
      <c r="P271" s="2568"/>
      <c r="Q271" s="2568"/>
      <c r="R271" s="2569"/>
      <c r="S271" s="2568"/>
      <c r="T271" s="2568"/>
      <c r="U271" s="2568"/>
      <c r="V271" s="2568"/>
      <c r="W271" s="2570"/>
      <c r="Y271" s="2643"/>
      <c r="Z271" s="2643"/>
      <c r="AA271" s="2643"/>
      <c r="AB271" s="3195"/>
      <c r="AC271" s="2645">
        <f t="shared" ref="AC271:AH271" si="189">SUM(AC255:AC270)</f>
        <v>554</v>
      </c>
      <c r="AD271" s="2645">
        <f t="shared" si="189"/>
        <v>0</v>
      </c>
      <c r="AE271" s="2645">
        <f t="shared" si="189"/>
        <v>554</v>
      </c>
      <c r="AF271" s="2645">
        <f t="shared" si="189"/>
        <v>0</v>
      </c>
      <c r="AG271" s="3331">
        <f t="shared" si="189"/>
        <v>0</v>
      </c>
      <c r="AH271" s="2645">
        <f t="shared" si="189"/>
        <v>0</v>
      </c>
      <c r="AI271" s="2634"/>
      <c r="AM271" s="2641"/>
      <c r="AN271" s="2641"/>
      <c r="AO271" s="2641" t="s">
        <v>1633</v>
      </c>
      <c r="AP271" s="2642"/>
      <c r="AQ271" s="2641"/>
      <c r="AR271" s="2641">
        <v>500</v>
      </c>
      <c r="AS271" s="2641"/>
      <c r="AT271" s="2641"/>
      <c r="AU271" s="2641">
        <f t="shared" ref="AU271" si="190">(AQ271-AS271)</f>
        <v>0</v>
      </c>
      <c r="AV271" s="2641">
        <f t="shared" ref="AV271" si="191">(AR271-AT271)</f>
        <v>500</v>
      </c>
      <c r="AW271" s="2634"/>
    </row>
    <row r="272" spans="1:49" ht="30.6" thickBot="1">
      <c r="A272" s="2595"/>
      <c r="B272" s="2595"/>
      <c r="C272" s="2595"/>
      <c r="D272" s="2596"/>
      <c r="E272" s="2595"/>
      <c r="F272" s="2595"/>
      <c r="G272" s="2595"/>
      <c r="H272" s="2595"/>
      <c r="I272" s="2595"/>
      <c r="J272" s="2595"/>
      <c r="K272" s="2588"/>
      <c r="M272" s="2568" t="s">
        <v>1267</v>
      </c>
      <c r="N272" s="2570"/>
      <c r="O272" s="2570"/>
      <c r="P272" s="2570"/>
      <c r="Q272" s="2569" t="s">
        <v>943</v>
      </c>
      <c r="R272" s="2570"/>
      <c r="S272" s="2570"/>
      <c r="T272" s="2570"/>
      <c r="U272" s="2570"/>
      <c r="V272" s="2570"/>
      <c r="W272" s="2570"/>
      <c r="Y272" s="3528"/>
      <c r="Z272" s="3528"/>
      <c r="AA272" s="3528"/>
      <c r="AB272" s="3529"/>
      <c r="AC272" s="3530"/>
      <c r="AD272" s="3530"/>
      <c r="AE272" s="3530"/>
      <c r="AF272" s="3530"/>
      <c r="AG272" s="3536"/>
      <c r="AH272" s="3530"/>
      <c r="AI272" s="3477"/>
      <c r="AM272" s="2643"/>
      <c r="AN272" s="2643"/>
      <c r="AO272" s="2643"/>
      <c r="AP272" s="3578"/>
      <c r="AQ272" s="2645">
        <f t="shared" ref="AQ272:AV272" si="192">SUM(AQ271:AQ271)</f>
        <v>0</v>
      </c>
      <c r="AR272" s="2645">
        <f t="shared" si="192"/>
        <v>500</v>
      </c>
      <c r="AS272" s="2645">
        <f t="shared" si="192"/>
        <v>0</v>
      </c>
      <c r="AT272" s="2645">
        <f t="shared" si="192"/>
        <v>0</v>
      </c>
      <c r="AU272" s="2645">
        <f t="shared" si="192"/>
        <v>0</v>
      </c>
      <c r="AV272" s="2645">
        <f t="shared" si="192"/>
        <v>500</v>
      </c>
      <c r="AW272" s="2634"/>
    </row>
    <row r="273" spans="1:49" ht="14.4">
      <c r="A273" s="2595"/>
      <c r="B273" s="2595"/>
      <c r="C273" s="2595"/>
      <c r="D273" s="2596"/>
      <c r="E273" s="2595">
        <f>SUM(E271:E272)</f>
        <v>0</v>
      </c>
      <c r="F273" s="2595">
        <v>350</v>
      </c>
      <c r="G273" s="2595"/>
      <c r="H273" s="2601">
        <f>SUM(H271:H272)</f>
        <v>192.047</v>
      </c>
      <c r="I273" s="2595"/>
      <c r="J273" s="2595">
        <f>+F273-H273</f>
        <v>157.953</v>
      </c>
      <c r="K273" s="2588"/>
      <c r="M273" s="2571"/>
      <c r="N273" s="2572"/>
      <c r="O273" s="2572"/>
      <c r="P273" s="2572"/>
      <c r="Q273" s="4048" t="s">
        <v>152</v>
      </c>
      <c r="R273" s="4049"/>
      <c r="S273" s="4048" t="s">
        <v>153</v>
      </c>
      <c r="T273" s="4049"/>
      <c r="U273" s="2651" t="s">
        <v>154</v>
      </c>
      <c r="V273" s="2652"/>
      <c r="W273" s="2575" t="s">
        <v>132</v>
      </c>
      <c r="Y273" s="3528"/>
      <c r="Z273" s="3528"/>
      <c r="AA273" s="3528"/>
      <c r="AB273" s="3529"/>
      <c r="AC273" s="3530"/>
      <c r="AD273" s="3530"/>
      <c r="AE273" s="3530"/>
      <c r="AF273" s="3530"/>
      <c r="AG273" s="3536"/>
      <c r="AH273" s="3530"/>
      <c r="AI273" s="3477"/>
      <c r="AM273" s="3525"/>
      <c r="AN273" s="3525"/>
      <c r="AO273" s="3525"/>
      <c r="AP273" s="3526"/>
      <c r="AQ273" s="3527"/>
      <c r="AR273" s="3527"/>
      <c r="AS273" s="3527"/>
      <c r="AT273" s="3527"/>
      <c r="AU273" s="3531"/>
      <c r="AV273" s="3527"/>
      <c r="AW273" s="2634"/>
    </row>
    <row r="274" spans="1:49" ht="30">
      <c r="A274" s="3433"/>
      <c r="B274" s="3433"/>
      <c r="C274" s="3433"/>
      <c r="D274" s="3434"/>
      <c r="E274" s="3433"/>
      <c r="F274" s="3433"/>
      <c r="G274" s="3433"/>
      <c r="H274" s="3449"/>
      <c r="I274" s="3433"/>
      <c r="J274" s="3433"/>
      <c r="K274" s="3436"/>
      <c r="M274" s="2576" t="s">
        <v>223</v>
      </c>
      <c r="N274" s="2576" t="s">
        <v>224</v>
      </c>
      <c r="O274" s="2576" t="s">
        <v>225</v>
      </c>
      <c r="P274" s="2576" t="s">
        <v>157</v>
      </c>
      <c r="Q274" s="2576" t="s">
        <v>944</v>
      </c>
      <c r="R274" s="2576" t="s">
        <v>945</v>
      </c>
      <c r="S274" s="2576" t="s">
        <v>946</v>
      </c>
      <c r="T274" s="2576" t="s">
        <v>947</v>
      </c>
      <c r="U274" s="2576" t="s">
        <v>948</v>
      </c>
      <c r="V274" s="2576" t="s">
        <v>949</v>
      </c>
      <c r="W274" s="2570"/>
      <c r="Y274" s="2632" t="s">
        <v>1597</v>
      </c>
      <c r="Z274" s="2632"/>
      <c r="AA274" s="2632"/>
      <c r="AB274" s="2632"/>
      <c r="AC274" s="2632"/>
      <c r="AD274" s="2633"/>
      <c r="AE274" s="2632"/>
      <c r="AF274" s="2632"/>
      <c r="AG274" s="2632"/>
      <c r="AH274" s="2632"/>
      <c r="AI274" s="2634"/>
      <c r="AM274" s="3525"/>
      <c r="AN274" s="3525"/>
      <c r="AO274" s="3525"/>
      <c r="AP274" s="3526"/>
      <c r="AQ274" s="3527"/>
      <c r="AR274" s="3527"/>
      <c r="AS274" s="3527"/>
      <c r="AT274" s="3527"/>
      <c r="AU274" s="3531"/>
      <c r="AV274" s="3527"/>
      <c r="AW274" s="2634"/>
    </row>
    <row r="275" spans="1:49" ht="30.6" thickBot="1">
      <c r="A275" s="3433"/>
      <c r="B275" s="3433"/>
      <c r="C275" s="3433"/>
      <c r="D275" s="3434"/>
      <c r="E275" s="3433"/>
      <c r="F275" s="3433"/>
      <c r="G275" s="3433"/>
      <c r="H275" s="3449"/>
      <c r="I275" s="3433"/>
      <c r="J275" s="3433"/>
      <c r="K275" s="3436"/>
      <c r="M275" s="2577"/>
      <c r="N275" s="2577">
        <v>954552</v>
      </c>
      <c r="O275" s="2577" t="s">
        <v>211</v>
      </c>
      <c r="P275" s="2578"/>
      <c r="Q275" s="2577">
        <v>26</v>
      </c>
      <c r="R275" s="2577">
        <v>172</v>
      </c>
      <c r="S275" s="2577">
        <v>5.55</v>
      </c>
      <c r="T275" s="2577">
        <v>192.202</v>
      </c>
      <c r="U275" s="2577">
        <f>(Q275-S275)</f>
        <v>20.45</v>
      </c>
      <c r="V275" s="2577">
        <f t="shared" ref="V275" si="193">(R275-T275)</f>
        <v>-20.201999999999998</v>
      </c>
      <c r="W275" s="2570"/>
      <c r="Y275" s="3532" t="s">
        <v>1599</v>
      </c>
      <c r="Z275" s="2634"/>
      <c r="AA275" s="2634"/>
      <c r="AB275" s="2634"/>
      <c r="AC275" s="2633"/>
      <c r="AD275" s="2634"/>
      <c r="AE275" s="2634"/>
      <c r="AF275" s="2633" t="s">
        <v>1598</v>
      </c>
      <c r="AG275" s="2634"/>
      <c r="AH275" s="2634"/>
      <c r="AI275" s="2634"/>
    </row>
    <row r="276" spans="1:49" ht="30">
      <c r="A276" s="3433"/>
      <c r="B276" s="3433"/>
      <c r="C276" s="3433"/>
      <c r="D276" s="3434"/>
      <c r="E276" s="3433"/>
      <c r="F276" s="3433"/>
      <c r="G276" s="3433"/>
      <c r="H276" s="3449"/>
      <c r="I276" s="3433"/>
      <c r="J276" s="3433"/>
      <c r="K276" s="3436"/>
      <c r="M276" s="2577"/>
      <c r="N276" s="2577"/>
      <c r="O276" s="2577"/>
      <c r="P276" s="2578"/>
      <c r="Q276" s="2577"/>
      <c r="R276" s="2577"/>
      <c r="S276" s="2577"/>
      <c r="T276" s="2577"/>
      <c r="U276" s="2577"/>
      <c r="V276" s="2577"/>
      <c r="W276" s="2570"/>
      <c r="Y276" s="2635"/>
      <c r="Z276" s="2636"/>
      <c r="AA276" s="2636"/>
      <c r="AB276" s="2636"/>
      <c r="AC276" s="4053" t="s">
        <v>152</v>
      </c>
      <c r="AD276" s="4054"/>
      <c r="AE276" s="4053" t="s">
        <v>153</v>
      </c>
      <c r="AF276" s="4054"/>
      <c r="AG276" s="3523" t="s">
        <v>154</v>
      </c>
      <c r="AH276" s="3524"/>
      <c r="AI276" s="2639" t="s">
        <v>132</v>
      </c>
      <c r="AM276" s="2632" t="s">
        <v>1638</v>
      </c>
      <c r="AN276" s="2632"/>
      <c r="AO276" s="2632"/>
      <c r="AP276" s="2632"/>
      <c r="AQ276" s="2632"/>
      <c r="AR276" s="2633"/>
      <c r="AS276" s="2632"/>
      <c r="AT276" s="2632"/>
      <c r="AU276" s="2632"/>
      <c r="AV276" s="2632"/>
      <c r="AW276" s="2634"/>
    </row>
    <row r="277" spans="1:49" ht="30.6" thickBot="1">
      <c r="A277" s="2600" t="s">
        <v>1556</v>
      </c>
      <c r="B277" s="2586"/>
      <c r="C277" s="2586"/>
      <c r="D277" s="2586"/>
      <c r="E277" s="2586"/>
      <c r="F277" s="2586"/>
      <c r="G277" s="2586"/>
      <c r="H277" s="2586"/>
      <c r="I277" s="2586"/>
      <c r="J277" s="2586"/>
      <c r="K277" s="2588"/>
      <c r="M277" s="2577"/>
      <c r="N277" s="2577"/>
      <c r="O277" s="2577"/>
      <c r="P277" s="2578"/>
      <c r="Q277" s="2577"/>
      <c r="R277" s="2577"/>
      <c r="S277" s="2577"/>
      <c r="T277" s="2577"/>
      <c r="U277" s="2577"/>
      <c r="V277" s="2577"/>
      <c r="W277" s="2570"/>
      <c r="Y277" s="2640" t="s">
        <v>223</v>
      </c>
      <c r="Z277" s="2640" t="s">
        <v>224</v>
      </c>
      <c r="AA277" s="2640" t="s">
        <v>225</v>
      </c>
      <c r="AB277" s="2640" t="s">
        <v>157</v>
      </c>
      <c r="AC277" s="2640" t="s">
        <v>944</v>
      </c>
      <c r="AD277" s="2640" t="s">
        <v>1598</v>
      </c>
      <c r="AE277" s="2640" t="s">
        <v>946</v>
      </c>
      <c r="AF277" s="2640" t="s">
        <v>1598</v>
      </c>
      <c r="AG277" s="2640" t="s">
        <v>948</v>
      </c>
      <c r="AH277" s="2640" t="s">
        <v>1598</v>
      </c>
      <c r="AI277" s="2634"/>
      <c r="AM277" s="3532" t="s">
        <v>1639</v>
      </c>
      <c r="AN277" s="2634"/>
      <c r="AO277" s="2634"/>
      <c r="AP277" s="2634"/>
      <c r="AQ277" s="2633"/>
      <c r="AR277" s="2634"/>
      <c r="AS277" s="2634"/>
      <c r="AT277" s="2633" t="s">
        <v>38</v>
      </c>
      <c r="AU277" s="2634"/>
      <c r="AV277" s="2634"/>
      <c r="AW277" s="2634"/>
    </row>
    <row r="278" spans="1:49" ht="30">
      <c r="A278" s="2586" t="s">
        <v>1557</v>
      </c>
      <c r="B278" s="2586"/>
      <c r="C278" s="2586"/>
      <c r="D278" s="2586"/>
      <c r="E278" s="2586"/>
      <c r="F278" s="2587" t="s">
        <v>1158</v>
      </c>
      <c r="G278" s="2586"/>
      <c r="H278" s="2586"/>
      <c r="I278" s="2586"/>
      <c r="J278" s="2586"/>
      <c r="K278" s="2588"/>
      <c r="M278" s="2579"/>
      <c r="N278" s="2579"/>
      <c r="O278" s="2579"/>
      <c r="P278" s="2580"/>
      <c r="Q278" s="2581">
        <f t="shared" ref="Q278:V278" si="194">SUM(Q275:Q277)</f>
        <v>26</v>
      </c>
      <c r="R278" s="2581">
        <f t="shared" si="194"/>
        <v>172</v>
      </c>
      <c r="S278" s="2581">
        <f t="shared" si="194"/>
        <v>5.55</v>
      </c>
      <c r="T278" s="2581">
        <f t="shared" si="194"/>
        <v>192.202</v>
      </c>
      <c r="U278" s="2581">
        <f t="shared" si="194"/>
        <v>20.45</v>
      </c>
      <c r="V278" s="2581">
        <f t="shared" si="194"/>
        <v>-20.201999999999998</v>
      </c>
      <c r="W278" s="2570"/>
      <c r="Y278" s="2641"/>
      <c r="Z278" s="2641"/>
      <c r="AA278" s="2641"/>
      <c r="AB278" s="2642"/>
      <c r="AC278" s="2641"/>
      <c r="AD278" s="2641">
        <v>800</v>
      </c>
      <c r="AE278" s="2641"/>
      <c r="AF278" s="2641"/>
      <c r="AG278" s="2641">
        <f t="shared" ref="AG278" si="195">(AC278-AE278)</f>
        <v>0</v>
      </c>
      <c r="AH278" s="2641">
        <f t="shared" ref="AH278" si="196">(AD278-AF278)</f>
        <v>800</v>
      </c>
      <c r="AI278" s="2634"/>
      <c r="AM278" s="2635"/>
      <c r="AN278" s="2636"/>
      <c r="AO278" s="2636"/>
      <c r="AP278" s="2636"/>
      <c r="AQ278" s="4053" t="s">
        <v>152</v>
      </c>
      <c r="AR278" s="4054"/>
      <c r="AS278" s="4053" t="s">
        <v>153</v>
      </c>
      <c r="AT278" s="4054"/>
      <c r="AU278" s="3582" t="s">
        <v>154</v>
      </c>
      <c r="AV278" s="3583"/>
      <c r="AW278" s="2639" t="s">
        <v>132</v>
      </c>
    </row>
    <row r="279" spans="1:49" ht="15" thickBot="1">
      <c r="A279" s="2588"/>
      <c r="B279" s="2588"/>
      <c r="C279" s="2588"/>
      <c r="D279" s="2588"/>
      <c r="E279" s="2588"/>
      <c r="F279" s="2588"/>
      <c r="G279" s="2588"/>
      <c r="H279" s="2588"/>
      <c r="I279" s="2588"/>
      <c r="J279" s="2588"/>
      <c r="K279" s="2588"/>
      <c r="M279" s="2650"/>
      <c r="N279" s="2650"/>
      <c r="O279" s="2650"/>
      <c r="P279" s="2650"/>
      <c r="Q279" s="2650"/>
      <c r="R279" s="2650"/>
      <c r="S279" s="2650"/>
      <c r="T279" s="2650"/>
      <c r="U279" s="2650"/>
      <c r="V279" s="2650"/>
      <c r="W279" s="2650"/>
      <c r="Y279" s="2643"/>
      <c r="Z279" s="2643"/>
      <c r="AA279" s="2643"/>
      <c r="AB279" s="3522"/>
      <c r="AC279" s="2645">
        <f t="shared" ref="AC279:AH279" si="197">SUM(AC278:AC278)</f>
        <v>0</v>
      </c>
      <c r="AD279" s="2645">
        <f t="shared" si="197"/>
        <v>800</v>
      </c>
      <c r="AE279" s="2645">
        <f t="shared" si="197"/>
        <v>0</v>
      </c>
      <c r="AF279" s="2645">
        <f t="shared" si="197"/>
        <v>0</v>
      </c>
      <c r="AG279" s="2645">
        <f t="shared" si="197"/>
        <v>0</v>
      </c>
      <c r="AH279" s="2645">
        <f t="shared" si="197"/>
        <v>800</v>
      </c>
      <c r="AI279" s="2634"/>
      <c r="AM279" s="2640" t="s">
        <v>223</v>
      </c>
      <c r="AN279" s="2640" t="s">
        <v>224</v>
      </c>
      <c r="AO279" s="2640" t="s">
        <v>225</v>
      </c>
      <c r="AP279" s="2640" t="s">
        <v>157</v>
      </c>
      <c r="AQ279" s="2640"/>
      <c r="AR279" s="2640" t="s">
        <v>38</v>
      </c>
      <c r="AS279" s="2640"/>
      <c r="AT279" s="2640" t="s">
        <v>38</v>
      </c>
      <c r="AU279" s="2640"/>
      <c r="AV279" s="2640" t="s">
        <v>38</v>
      </c>
      <c r="AW279" s="2634"/>
    </row>
    <row r="280" spans="1:49" ht="14.4">
      <c r="A280" s="2590"/>
      <c r="B280" s="2589"/>
      <c r="C280" s="2589"/>
      <c r="D280" s="2589"/>
      <c r="E280" s="4076" t="s">
        <v>152</v>
      </c>
      <c r="F280" s="4077"/>
      <c r="G280" s="4076" t="s">
        <v>153</v>
      </c>
      <c r="H280" s="4077"/>
      <c r="I280" s="3455" t="s">
        <v>154</v>
      </c>
      <c r="J280" s="3456"/>
      <c r="K280" s="2588"/>
      <c r="M280" s="2650"/>
      <c r="N280" s="2650"/>
      <c r="O280" s="2650"/>
      <c r="P280" s="2650"/>
      <c r="Q280" s="2650"/>
      <c r="R280" s="2650"/>
      <c r="S280" s="2650"/>
      <c r="T280" s="2650"/>
      <c r="U280" s="2650"/>
      <c r="V280" s="2650"/>
      <c r="W280" s="2650"/>
      <c r="Y280" s="3528"/>
      <c r="Z280" s="3528"/>
      <c r="AA280" s="3528"/>
      <c r="AB280" s="3529"/>
      <c r="AC280" s="3530"/>
      <c r="AD280" s="3530"/>
      <c r="AE280" s="3530"/>
      <c r="AF280" s="3530"/>
      <c r="AG280" s="3536"/>
      <c r="AH280" s="3530"/>
      <c r="AI280" s="3477"/>
      <c r="AM280" s="2641"/>
      <c r="AN280" s="2641"/>
      <c r="AO280" s="2641" t="s">
        <v>290</v>
      </c>
      <c r="AP280" s="2642"/>
      <c r="AQ280" s="2641"/>
      <c r="AR280" s="2641">
        <v>149.41399999999999</v>
      </c>
      <c r="AS280" s="2641"/>
      <c r="AT280" s="2641">
        <v>149.41399999999999</v>
      </c>
      <c r="AU280" s="2641">
        <f t="shared" ref="AU280" si="198">(AQ280-AS280)</f>
        <v>0</v>
      </c>
      <c r="AV280" s="2641">
        <f t="shared" ref="AV280" si="199">(AR280-AT280)</f>
        <v>0</v>
      </c>
      <c r="AW280" s="2634"/>
    </row>
    <row r="281" spans="1:49" ht="28.8">
      <c r="A281" s="2594" t="s">
        <v>957</v>
      </c>
      <c r="B281" s="2594" t="s">
        <v>224</v>
      </c>
      <c r="C281" s="2594" t="s">
        <v>225</v>
      </c>
      <c r="D281" s="2594" t="s">
        <v>157</v>
      </c>
      <c r="E281" s="2594"/>
      <c r="F281" s="2594" t="s">
        <v>945</v>
      </c>
      <c r="G281" s="2594"/>
      <c r="H281" s="2594" t="s">
        <v>947</v>
      </c>
      <c r="I281" s="2594"/>
      <c r="J281" s="2594" t="s">
        <v>949</v>
      </c>
      <c r="K281" s="2588"/>
      <c r="M281" s="2628"/>
      <c r="N281" s="2628"/>
      <c r="O281" s="2628"/>
      <c r="P281" s="2628"/>
      <c r="Q281" s="2628"/>
      <c r="R281" s="2628"/>
      <c r="S281" s="2628"/>
      <c r="T281" s="2628"/>
      <c r="U281" s="2628"/>
      <c r="V281" s="2628"/>
      <c r="W281" s="2628"/>
      <c r="Y281" s="3528"/>
      <c r="Z281" s="3528"/>
      <c r="AA281" s="3528"/>
      <c r="AB281" s="3529"/>
      <c r="AC281" s="3530"/>
      <c r="AD281" s="3530"/>
      <c r="AE281" s="3530"/>
      <c r="AF281" s="3530"/>
      <c r="AG281" s="3536"/>
      <c r="AH281" s="3530"/>
      <c r="AI281" s="3477"/>
      <c r="AM281" s="2643"/>
      <c r="AN281" s="2643"/>
      <c r="AO281" s="2643"/>
      <c r="AP281" s="3581"/>
      <c r="AQ281" s="2645">
        <f t="shared" ref="AQ281:AV281" si="200">SUM(AQ280:AQ280)</f>
        <v>0</v>
      </c>
      <c r="AR281" s="2645">
        <f t="shared" si="200"/>
        <v>149.41399999999999</v>
      </c>
      <c r="AS281" s="2645">
        <f t="shared" si="200"/>
        <v>0</v>
      </c>
      <c r="AT281" s="2645">
        <f t="shared" si="200"/>
        <v>149.41399999999999</v>
      </c>
      <c r="AU281" s="2645">
        <f t="shared" si="200"/>
        <v>0</v>
      </c>
      <c r="AV281" s="2645">
        <f t="shared" si="200"/>
        <v>0</v>
      </c>
      <c r="AW281" s="2634"/>
    </row>
    <row r="282" spans="1:49" ht="30">
      <c r="A282" s="2595"/>
      <c r="B282" s="2595">
        <v>5592</v>
      </c>
      <c r="C282" s="2595" t="s">
        <v>377</v>
      </c>
      <c r="D282" s="2596"/>
      <c r="E282" s="2595"/>
      <c r="F282" s="4080">
        <v>450</v>
      </c>
      <c r="G282" s="2595">
        <v>0</v>
      </c>
      <c r="H282" s="4080">
        <v>412.19</v>
      </c>
      <c r="I282" s="2595">
        <f>(E282-G282)</f>
        <v>0</v>
      </c>
      <c r="J282" s="4080">
        <f>+F282-H282</f>
        <v>37.81</v>
      </c>
      <c r="K282" s="2588"/>
      <c r="M282" s="2632" t="s">
        <v>1064</v>
      </c>
      <c r="N282" s="2632"/>
      <c r="O282" s="2632"/>
      <c r="P282" s="2632"/>
      <c r="Q282" s="2632"/>
      <c r="R282" s="2633"/>
      <c r="S282" s="2632"/>
      <c r="T282" s="2632"/>
      <c r="U282" s="2632"/>
      <c r="V282" s="2632"/>
      <c r="W282" s="2634"/>
      <c r="Y282" s="2632" t="s">
        <v>1597</v>
      </c>
      <c r="Z282" s="2632"/>
      <c r="AA282" s="2632"/>
      <c r="AB282" s="2632"/>
      <c r="AC282" s="2632"/>
      <c r="AD282" s="2633"/>
      <c r="AE282" s="2632"/>
      <c r="AF282" s="2632"/>
      <c r="AG282" s="2632"/>
      <c r="AH282" s="2632"/>
      <c r="AI282" s="2634"/>
      <c r="AM282" s="3525"/>
      <c r="AN282" s="3525"/>
      <c r="AO282" s="3525"/>
      <c r="AP282" s="3526"/>
      <c r="AQ282" s="3527"/>
      <c r="AR282" s="3527"/>
      <c r="AS282" s="3527"/>
      <c r="AT282" s="3527"/>
      <c r="AU282" s="3531"/>
      <c r="AV282" s="3527"/>
      <c r="AW282" s="2634"/>
    </row>
    <row r="283" spans="1:49" ht="30.6" thickBot="1">
      <c r="A283" s="2595"/>
      <c r="B283" s="2595">
        <v>952296</v>
      </c>
      <c r="C283" s="2595" t="s">
        <v>512</v>
      </c>
      <c r="D283" s="2596"/>
      <c r="E283" s="2595"/>
      <c r="F283" s="4081"/>
      <c r="G283" s="2595">
        <v>29.346</v>
      </c>
      <c r="H283" s="4081"/>
      <c r="I283" s="2595">
        <f t="shared" ref="I283:I285" si="201">(E283-G283)</f>
        <v>-29.346</v>
      </c>
      <c r="J283" s="4081"/>
      <c r="K283" s="2588"/>
      <c r="M283" s="2632" t="s">
        <v>1286</v>
      </c>
      <c r="N283" s="2634"/>
      <c r="O283" s="2634"/>
      <c r="P283" s="2634"/>
      <c r="Q283" s="2633" t="s">
        <v>943</v>
      </c>
      <c r="R283" s="2634"/>
      <c r="S283" s="2634"/>
      <c r="T283" s="2634"/>
      <c r="U283" s="2634"/>
      <c r="V283" s="2634"/>
      <c r="W283" s="2634"/>
      <c r="Y283" s="3532" t="s">
        <v>1600</v>
      </c>
      <c r="Z283" s="2634"/>
      <c r="AA283" s="2634"/>
      <c r="AB283" s="2634"/>
      <c r="AC283" s="2633"/>
      <c r="AD283" s="2634"/>
      <c r="AE283" s="2634"/>
      <c r="AF283" s="2633" t="s">
        <v>1598</v>
      </c>
      <c r="AG283" s="2634"/>
      <c r="AH283" s="2634"/>
      <c r="AI283" s="2634"/>
      <c r="AM283" s="3525"/>
      <c r="AN283" s="3525"/>
      <c r="AO283" s="3525"/>
      <c r="AP283" s="3526"/>
      <c r="AQ283" s="3527"/>
      <c r="AR283" s="3527"/>
      <c r="AS283" s="3527"/>
      <c r="AT283" s="3527"/>
      <c r="AU283" s="3531"/>
      <c r="AV283" s="3527"/>
      <c r="AW283" s="2634"/>
    </row>
    <row r="284" spans="1:49" ht="14.4">
      <c r="A284" s="2595"/>
      <c r="B284" s="2595">
        <v>952311</v>
      </c>
      <c r="C284" s="2595" t="s">
        <v>379</v>
      </c>
      <c r="D284" s="2596"/>
      <c r="E284" s="2595"/>
      <c r="F284" s="4082"/>
      <c r="G284" s="2595">
        <v>7.3330000000000002</v>
      </c>
      <c r="H284" s="4082"/>
      <c r="I284" s="2595">
        <f t="shared" si="201"/>
        <v>-7.3330000000000002</v>
      </c>
      <c r="J284" s="4082"/>
      <c r="K284" s="2588"/>
      <c r="M284" s="2635"/>
      <c r="N284" s="2636"/>
      <c r="O284" s="2636"/>
      <c r="P284" s="2636"/>
      <c r="Q284" s="4103" t="s">
        <v>152</v>
      </c>
      <c r="R284" s="4104"/>
      <c r="S284" s="4103" t="s">
        <v>153</v>
      </c>
      <c r="T284" s="4104"/>
      <c r="U284" s="2637" t="s">
        <v>154</v>
      </c>
      <c r="V284" s="2638"/>
      <c r="W284" s="2639" t="s">
        <v>132</v>
      </c>
      <c r="Y284" s="2635"/>
      <c r="Z284" s="2636"/>
      <c r="AA284" s="2636"/>
      <c r="AB284" s="2636"/>
      <c r="AC284" s="4053" t="s">
        <v>152</v>
      </c>
      <c r="AD284" s="4054"/>
      <c r="AE284" s="4053" t="s">
        <v>153</v>
      </c>
      <c r="AF284" s="4054"/>
      <c r="AG284" s="3523" t="s">
        <v>154</v>
      </c>
      <c r="AH284" s="3524"/>
      <c r="AI284" s="2639" t="s">
        <v>132</v>
      </c>
    </row>
    <row r="285" spans="1:49" ht="28.8">
      <c r="A285" s="2595"/>
      <c r="B285" s="2595"/>
      <c r="C285" s="2595"/>
      <c r="D285" s="2596"/>
      <c r="E285" s="2595"/>
      <c r="F285" s="2595"/>
      <c r="G285" s="2595"/>
      <c r="H285" s="2595"/>
      <c r="I285" s="2595">
        <f t="shared" si="201"/>
        <v>0</v>
      </c>
      <c r="J285" s="2595">
        <f t="shared" ref="J285" si="202">+F285-H285</f>
        <v>0</v>
      </c>
      <c r="K285" s="2588"/>
      <c r="M285" s="2640" t="s">
        <v>223</v>
      </c>
      <c r="N285" s="2640" t="s">
        <v>224</v>
      </c>
      <c r="O285" s="2640" t="s">
        <v>225</v>
      </c>
      <c r="P285" s="2640" t="s">
        <v>157</v>
      </c>
      <c r="Q285" s="2640" t="s">
        <v>944</v>
      </c>
      <c r="R285" s="2640" t="s">
        <v>945</v>
      </c>
      <c r="S285" s="2640" t="s">
        <v>946</v>
      </c>
      <c r="T285" s="2640" t="s">
        <v>947</v>
      </c>
      <c r="U285" s="2640" t="s">
        <v>948</v>
      </c>
      <c r="V285" s="2640" t="s">
        <v>949</v>
      </c>
      <c r="W285" s="2634"/>
      <c r="Y285" s="2640" t="s">
        <v>223</v>
      </c>
      <c r="Z285" s="2640" t="s">
        <v>224</v>
      </c>
      <c r="AA285" s="2640" t="s">
        <v>225</v>
      </c>
      <c r="AB285" s="2640" t="s">
        <v>157</v>
      </c>
      <c r="AC285" s="2640" t="s">
        <v>944</v>
      </c>
      <c r="AD285" s="2640" t="s">
        <v>1598</v>
      </c>
      <c r="AE285" s="2640" t="s">
        <v>946</v>
      </c>
      <c r="AF285" s="2640" t="s">
        <v>1598</v>
      </c>
      <c r="AG285" s="2640" t="s">
        <v>948</v>
      </c>
      <c r="AH285" s="2640" t="s">
        <v>1598</v>
      </c>
      <c r="AI285" s="2634"/>
    </row>
    <row r="286" spans="1:49" ht="30">
      <c r="A286" s="2595"/>
      <c r="B286" s="2595"/>
      <c r="C286" s="2595"/>
      <c r="D286" s="2596"/>
      <c r="E286" s="2595">
        <f t="shared" ref="E286" si="203">SUM(E282:E285)</f>
        <v>0</v>
      </c>
      <c r="F286" s="2595">
        <f>SUM(F282:F285)</f>
        <v>450</v>
      </c>
      <c r="G286" s="2601">
        <f>SUM(G282:G285)</f>
        <v>36.679000000000002</v>
      </c>
      <c r="H286" s="2601">
        <f>SUM(H282:H285)</f>
        <v>412.19</v>
      </c>
      <c r="I286" s="2595"/>
      <c r="J286" s="2595">
        <f>+F286-H286</f>
        <v>37.81</v>
      </c>
      <c r="K286" s="2588"/>
      <c r="M286" s="2641"/>
      <c r="N286" s="2641">
        <v>956044</v>
      </c>
      <c r="O286" s="2641" t="s">
        <v>1263</v>
      </c>
      <c r="P286" s="2642"/>
      <c r="Q286" s="2641">
        <v>26</v>
      </c>
      <c r="R286" s="2641">
        <v>172</v>
      </c>
      <c r="S286" s="2641">
        <v>4.9649999999999999</v>
      </c>
      <c r="T286" s="2641">
        <v>143.89500000000001</v>
      </c>
      <c r="U286" s="2641">
        <f>(Q286-S286)</f>
        <v>21.035</v>
      </c>
      <c r="V286" s="2641">
        <f t="shared" ref="V286" si="204">(R286-T286)</f>
        <v>28.10499999999999</v>
      </c>
      <c r="W286" s="2634"/>
      <c r="Y286" s="2641"/>
      <c r="Z286" s="2641"/>
      <c r="AA286" s="2641"/>
      <c r="AB286" s="2642"/>
      <c r="AC286" s="2641"/>
      <c r="AD286" s="2641">
        <v>160</v>
      </c>
      <c r="AE286" s="2641"/>
      <c r="AF286" s="2641"/>
      <c r="AG286" s="2641">
        <f t="shared" ref="AG286" si="205">(AC286-AE286)</f>
        <v>0</v>
      </c>
      <c r="AH286" s="2641">
        <f t="shared" ref="AH286" si="206">(AD286-AF286)</f>
        <v>160</v>
      </c>
      <c r="AI286" s="2634"/>
      <c r="AM286" s="2632" t="s">
        <v>1640</v>
      </c>
      <c r="AN286" s="2632"/>
      <c r="AO286" s="2632"/>
      <c r="AP286" s="2632"/>
      <c r="AQ286" s="2632"/>
      <c r="AR286" s="2633"/>
      <c r="AS286" s="2632"/>
      <c r="AT286" s="2632"/>
      <c r="AU286" s="2632"/>
      <c r="AV286" s="2632"/>
      <c r="AW286" s="2634"/>
    </row>
    <row r="287" spans="1:49" ht="30.6" thickBot="1">
      <c r="A287" s="3433"/>
      <c r="B287" s="3433"/>
      <c r="C287" s="3433"/>
      <c r="D287" s="3434"/>
      <c r="E287" s="3433"/>
      <c r="F287" s="3433"/>
      <c r="G287" s="3433"/>
      <c r="H287" s="3449"/>
      <c r="I287" s="3433"/>
      <c r="J287" s="3433"/>
      <c r="K287" s="3436"/>
      <c r="M287" s="2641"/>
      <c r="N287" s="2641"/>
      <c r="O287" s="2641"/>
      <c r="P287" s="2642"/>
      <c r="Q287" s="2641"/>
      <c r="R287" s="2641"/>
      <c r="S287" s="2641"/>
      <c r="T287" s="2641"/>
      <c r="U287" s="2641"/>
      <c r="V287" s="2641"/>
      <c r="W287" s="2634"/>
      <c r="Y287" s="2643"/>
      <c r="Z287" s="2643"/>
      <c r="AA287" s="2643"/>
      <c r="AB287" s="3522"/>
      <c r="AC287" s="2645">
        <f t="shared" ref="AC287:AH287" si="207">SUM(AC286:AC286)</f>
        <v>0</v>
      </c>
      <c r="AD287" s="2645">
        <f t="shared" si="207"/>
        <v>160</v>
      </c>
      <c r="AE287" s="2645">
        <f t="shared" si="207"/>
        <v>0</v>
      </c>
      <c r="AF287" s="2645">
        <f t="shared" si="207"/>
        <v>0</v>
      </c>
      <c r="AG287" s="2645">
        <f t="shared" si="207"/>
        <v>0</v>
      </c>
      <c r="AH287" s="2645">
        <f t="shared" si="207"/>
        <v>160</v>
      </c>
      <c r="AI287" s="2634"/>
      <c r="AM287" s="3532" t="s">
        <v>1641</v>
      </c>
      <c r="AN287" s="2634"/>
      <c r="AO287" s="2634"/>
      <c r="AP287" s="2634"/>
      <c r="AQ287" s="2633"/>
      <c r="AR287" s="2634"/>
      <c r="AS287" s="2634"/>
      <c r="AT287" s="2633" t="s">
        <v>261</v>
      </c>
      <c r="AU287" s="2634"/>
      <c r="AV287" s="2634"/>
      <c r="AW287" s="2634"/>
    </row>
    <row r="288" spans="1:49" ht="14.4">
      <c r="M288" s="2641"/>
      <c r="N288" s="2641"/>
      <c r="O288" s="2641"/>
      <c r="P288" s="2642"/>
      <c r="Q288" s="2641"/>
      <c r="R288" s="2641"/>
      <c r="S288" s="2641"/>
      <c r="T288" s="2641"/>
      <c r="U288" s="2641"/>
      <c r="V288" s="2641"/>
      <c r="W288" s="2634"/>
      <c r="Y288" s="3525"/>
      <c r="Z288" s="3525"/>
      <c r="AA288" s="3525"/>
      <c r="AB288" s="3526"/>
      <c r="AC288" s="3527"/>
      <c r="AD288" s="3527"/>
      <c r="AE288" s="3527"/>
      <c r="AF288" s="3527"/>
      <c r="AG288" s="3531"/>
      <c r="AH288" s="3527"/>
      <c r="AI288" s="2634"/>
      <c r="AM288" s="2635"/>
      <c r="AN288" s="2636"/>
      <c r="AO288" s="2636"/>
      <c r="AP288" s="2636"/>
      <c r="AQ288" s="4053" t="s">
        <v>152</v>
      </c>
      <c r="AR288" s="4054"/>
      <c r="AS288" s="4053" t="s">
        <v>153</v>
      </c>
      <c r="AT288" s="4054"/>
      <c r="AU288" s="3586" t="s">
        <v>154</v>
      </c>
      <c r="AV288" s="3587"/>
      <c r="AW288" s="2639" t="s">
        <v>132</v>
      </c>
    </row>
    <row r="289" spans="1:49" ht="14.4">
      <c r="A289" s="3487"/>
      <c r="B289" s="3487"/>
      <c r="C289" s="3487"/>
      <c r="D289" s="3487"/>
      <c r="E289" s="3487"/>
      <c r="F289" s="3487"/>
      <c r="G289" s="3487"/>
      <c r="H289" s="3487"/>
      <c r="I289" s="3487"/>
      <c r="J289" s="3487"/>
      <c r="K289" s="3487"/>
      <c r="M289" s="2643"/>
      <c r="N289" s="2643"/>
      <c r="O289" s="2643"/>
      <c r="P289" s="2644"/>
      <c r="Q289" s="2645">
        <f t="shared" ref="Q289:V289" si="208">SUM(Q286:Q288)</f>
        <v>26</v>
      </c>
      <c r="R289" s="2645">
        <f t="shared" si="208"/>
        <v>172</v>
      </c>
      <c r="S289" s="2645">
        <f t="shared" si="208"/>
        <v>4.9649999999999999</v>
      </c>
      <c r="T289" s="2645">
        <f t="shared" si="208"/>
        <v>143.89500000000001</v>
      </c>
      <c r="U289" s="2645">
        <f t="shared" si="208"/>
        <v>21.035</v>
      </c>
      <c r="V289" s="2645">
        <f t="shared" si="208"/>
        <v>28.10499999999999</v>
      </c>
      <c r="W289" s="2634"/>
      <c r="Y289" s="3525"/>
      <c r="Z289" s="3525"/>
      <c r="AA289" s="3525"/>
      <c r="AB289" s="3526"/>
      <c r="AC289" s="3527"/>
      <c r="AD289" s="3527"/>
      <c r="AE289" s="3527"/>
      <c r="AF289" s="3527"/>
      <c r="AG289" s="3531"/>
      <c r="AH289" s="3527"/>
      <c r="AI289" s="2634"/>
      <c r="AM289" s="2640" t="s">
        <v>223</v>
      </c>
      <c r="AN289" s="2640" t="s">
        <v>224</v>
      </c>
      <c r="AO289" s="2640" t="s">
        <v>225</v>
      </c>
      <c r="AP289" s="2640" t="s">
        <v>157</v>
      </c>
      <c r="AQ289" s="2640"/>
      <c r="AR289" s="2640" t="s">
        <v>261</v>
      </c>
      <c r="AS289" s="2640"/>
      <c r="AT289" s="2640" t="s">
        <v>261</v>
      </c>
      <c r="AU289" s="2640"/>
      <c r="AV289" s="2640" t="s">
        <v>261</v>
      </c>
      <c r="AW289" s="2634"/>
    </row>
    <row r="290" spans="1:49" ht="30">
      <c r="A290" s="2600" t="s">
        <v>1565</v>
      </c>
      <c r="B290" s="2586"/>
      <c r="C290" s="2586"/>
      <c r="D290" s="2586"/>
      <c r="E290" s="2586"/>
      <c r="F290" s="2586"/>
      <c r="G290" s="2586"/>
      <c r="H290" s="2586"/>
      <c r="I290" s="2586"/>
      <c r="J290" s="2586"/>
      <c r="K290" s="2588"/>
      <c r="M290" s="2628"/>
      <c r="N290" s="2628"/>
      <c r="O290" s="2628"/>
      <c r="P290" s="2628"/>
      <c r="Q290" s="2628"/>
      <c r="R290" s="2628"/>
      <c r="S290" s="2628"/>
      <c r="T290" s="2628"/>
      <c r="U290" s="2628"/>
      <c r="V290" s="2628"/>
      <c r="W290" s="2628"/>
      <c r="AM290" s="2641"/>
      <c r="AN290" s="2641"/>
      <c r="AO290" s="2641" t="s">
        <v>1642</v>
      </c>
      <c r="AP290" s="2642"/>
      <c r="AQ290" s="2641"/>
      <c r="AR290" s="2641">
        <v>5000</v>
      </c>
      <c r="AS290" s="2641"/>
      <c r="AT290" s="2641">
        <v>2263.12</v>
      </c>
      <c r="AU290" s="2641">
        <f t="shared" ref="AU290" si="209">(AQ290-AS290)</f>
        <v>0</v>
      </c>
      <c r="AV290" s="2641">
        <f t="shared" ref="AV290" si="210">(AR290-AT290)</f>
        <v>2736.88</v>
      </c>
      <c r="AW290" s="2634"/>
    </row>
    <row r="291" spans="1:49" ht="30">
      <c r="A291" s="2586" t="s">
        <v>1564</v>
      </c>
      <c r="B291" s="2586"/>
      <c r="C291" s="2586"/>
      <c r="D291" s="2586"/>
      <c r="E291" s="2586"/>
      <c r="F291" s="2587" t="s">
        <v>1158</v>
      </c>
      <c r="G291" s="2586"/>
      <c r="H291" s="2586"/>
      <c r="I291" s="2586"/>
      <c r="J291" s="2586"/>
      <c r="K291" s="2588"/>
      <c r="M291" s="2628"/>
      <c r="N291" s="2628"/>
      <c r="O291" s="2628"/>
      <c r="P291" s="2628"/>
      <c r="Q291" s="2628"/>
      <c r="R291" s="2628"/>
      <c r="S291" s="2628"/>
      <c r="T291" s="2628"/>
      <c r="U291" s="2628"/>
      <c r="V291" s="2628"/>
      <c r="W291" s="2628"/>
      <c r="Y291" s="2632" t="s">
        <v>1380</v>
      </c>
      <c r="Z291" s="2632"/>
      <c r="AA291" s="2632"/>
      <c r="AB291" s="2632"/>
      <c r="AC291" s="2632"/>
      <c r="AD291" s="2633"/>
      <c r="AE291" s="2632"/>
      <c r="AF291" s="2632"/>
      <c r="AG291" s="2632"/>
      <c r="AH291" s="2632"/>
      <c r="AI291" s="2634"/>
      <c r="AM291" s="2643"/>
      <c r="AN291" s="2643"/>
      <c r="AO291" s="2643"/>
      <c r="AP291" s="3585"/>
      <c r="AQ291" s="2645">
        <f t="shared" ref="AQ291:AV291" si="211">SUM(AQ290:AQ290)</f>
        <v>0</v>
      </c>
      <c r="AR291" s="2645">
        <f t="shared" si="211"/>
        <v>5000</v>
      </c>
      <c r="AS291" s="2645">
        <f t="shared" si="211"/>
        <v>0</v>
      </c>
      <c r="AT291" s="2645">
        <f t="shared" si="211"/>
        <v>2263.12</v>
      </c>
      <c r="AU291" s="2645">
        <f t="shared" si="211"/>
        <v>0</v>
      </c>
      <c r="AV291" s="2645">
        <f t="shared" si="211"/>
        <v>2736.88</v>
      </c>
      <c r="AW291" s="2634"/>
    </row>
    <row r="292" spans="1:49" ht="30.6" thickBot="1">
      <c r="A292" s="2588"/>
      <c r="B292" s="2588"/>
      <c r="C292" s="2588"/>
      <c r="D292" s="2588"/>
      <c r="E292" s="2588"/>
      <c r="F292" s="2588"/>
      <c r="G292" s="2588"/>
      <c r="H292" s="2588"/>
      <c r="I292" s="2588"/>
      <c r="J292" s="2588"/>
      <c r="K292" s="2588"/>
      <c r="M292" s="2628"/>
      <c r="N292" s="2628"/>
      <c r="O292" s="2628"/>
      <c r="P292" s="2628"/>
      <c r="Q292" s="2628"/>
      <c r="R292" s="2628"/>
      <c r="S292" s="2628"/>
      <c r="T292" s="2628"/>
      <c r="U292" s="2628"/>
      <c r="V292" s="2628"/>
      <c r="W292" s="2628"/>
      <c r="Y292" s="2632" t="s">
        <v>1405</v>
      </c>
      <c r="Z292" s="2634"/>
      <c r="AA292" s="2634"/>
      <c r="AB292" s="2634"/>
      <c r="AC292" s="2633"/>
      <c r="AD292" s="2634"/>
      <c r="AE292" s="2634"/>
      <c r="AF292" s="2633" t="s">
        <v>261</v>
      </c>
      <c r="AG292" s="2634"/>
      <c r="AH292" s="2634"/>
      <c r="AI292" s="2634"/>
      <c r="AM292" s="3525"/>
      <c r="AN292" s="3525"/>
      <c r="AO292" s="3525"/>
      <c r="AP292" s="3526"/>
      <c r="AQ292" s="3527"/>
      <c r="AR292" s="3527"/>
      <c r="AS292" s="3527"/>
      <c r="AT292" s="3527"/>
      <c r="AU292" s="3531"/>
      <c r="AV292" s="3527"/>
      <c r="AW292" s="2634"/>
    </row>
    <row r="293" spans="1:49" ht="14.4">
      <c r="A293" s="2590"/>
      <c r="B293" s="2589"/>
      <c r="C293" s="2589"/>
      <c r="D293" s="2589"/>
      <c r="E293" s="4076" t="s">
        <v>152</v>
      </c>
      <c r="F293" s="4077"/>
      <c r="G293" s="4076" t="s">
        <v>153</v>
      </c>
      <c r="H293" s="4077"/>
      <c r="I293" s="3488" t="s">
        <v>154</v>
      </c>
      <c r="J293" s="3489"/>
      <c r="K293" s="2588"/>
      <c r="M293" s="2628"/>
      <c r="N293" s="2628"/>
      <c r="O293" s="2628"/>
      <c r="P293" s="2628"/>
      <c r="Q293" s="2628"/>
      <c r="R293" s="2628"/>
      <c r="S293" s="2628"/>
      <c r="T293" s="2628"/>
      <c r="U293" s="2628"/>
      <c r="V293" s="2628"/>
      <c r="W293" s="2628"/>
      <c r="Y293" s="2635"/>
      <c r="Z293" s="2636"/>
      <c r="AA293" s="2636"/>
      <c r="AB293" s="2636"/>
      <c r="AC293" s="4053" t="s">
        <v>152</v>
      </c>
      <c r="AD293" s="4054"/>
      <c r="AE293" s="4053" t="s">
        <v>153</v>
      </c>
      <c r="AF293" s="4054"/>
      <c r="AG293" s="3215" t="s">
        <v>154</v>
      </c>
      <c r="AH293" s="3216"/>
      <c r="AI293" s="2639" t="s">
        <v>132</v>
      </c>
      <c r="AM293" s="3525"/>
      <c r="AN293" s="3525"/>
      <c r="AO293" s="3525"/>
      <c r="AP293" s="3526"/>
      <c r="AQ293" s="3527"/>
      <c r="AR293" s="3527"/>
      <c r="AS293" s="3527"/>
      <c r="AT293" s="3527"/>
      <c r="AU293" s="3531"/>
      <c r="AV293" s="3527"/>
      <c r="AW293" s="2634"/>
    </row>
    <row r="294" spans="1:49" ht="28.8">
      <c r="A294" s="2594" t="s">
        <v>957</v>
      </c>
      <c r="B294" s="2594" t="s">
        <v>224</v>
      </c>
      <c r="C294" s="2594" t="s">
        <v>225</v>
      </c>
      <c r="D294" s="2594" t="s">
        <v>157</v>
      </c>
      <c r="E294" s="2594" t="s">
        <v>944</v>
      </c>
      <c r="F294" s="2594" t="s">
        <v>945</v>
      </c>
      <c r="G294" s="2594" t="s">
        <v>946</v>
      </c>
      <c r="H294" s="2594" t="s">
        <v>947</v>
      </c>
      <c r="I294" s="2594" t="s">
        <v>948</v>
      </c>
      <c r="J294" s="2594" t="s">
        <v>949</v>
      </c>
      <c r="K294" s="2588"/>
      <c r="Y294" s="2640" t="s">
        <v>223</v>
      </c>
      <c r="Z294" s="2640" t="s">
        <v>224</v>
      </c>
      <c r="AA294" s="2640" t="s">
        <v>225</v>
      </c>
      <c r="AB294" s="2640" t="s">
        <v>157</v>
      </c>
      <c r="AC294" s="2640" t="s">
        <v>944</v>
      </c>
      <c r="AD294" s="2640"/>
      <c r="AE294" s="2640" t="s">
        <v>946</v>
      </c>
      <c r="AF294" s="2640"/>
      <c r="AG294" s="2640" t="s">
        <v>948</v>
      </c>
      <c r="AH294" s="2640" t="s">
        <v>949</v>
      </c>
      <c r="AI294" s="2634"/>
    </row>
    <row r="295" spans="1:49" ht="30">
      <c r="A295" s="2595"/>
      <c r="B295" s="2595">
        <v>959986</v>
      </c>
      <c r="C295" s="2595" t="s">
        <v>1566</v>
      </c>
      <c r="D295" s="2596"/>
      <c r="E295" s="2595"/>
      <c r="F295" s="2595">
        <v>122</v>
      </c>
      <c r="G295" s="2595">
        <v>12.103999999999999</v>
      </c>
      <c r="H295" s="2595">
        <v>109.896</v>
      </c>
      <c r="I295" s="2595">
        <f>(E295-G295)</f>
        <v>-12.103999999999999</v>
      </c>
      <c r="J295" s="2595">
        <f>+F295-H295</f>
        <v>12.103999999999999</v>
      </c>
      <c r="K295" s="2588"/>
      <c r="M295" s="2632" t="s">
        <v>1064</v>
      </c>
      <c r="N295" s="2632"/>
      <c r="O295" s="2632"/>
      <c r="P295" s="2632"/>
      <c r="Q295" s="2632"/>
      <c r="R295" s="2633"/>
      <c r="S295" s="2632"/>
      <c r="T295" s="2632"/>
      <c r="U295" s="2632"/>
      <c r="V295" s="2632"/>
      <c r="W295" s="2634"/>
      <c r="Y295" s="2641"/>
      <c r="Z295" s="2641">
        <v>901588</v>
      </c>
      <c r="AA295" s="2641" t="s">
        <v>1163</v>
      </c>
      <c r="AB295" s="2642"/>
      <c r="AC295" s="4058">
        <v>3000</v>
      </c>
      <c r="AD295" s="3178"/>
      <c r="AE295" s="4058">
        <v>1668.3340000000001</v>
      </c>
      <c r="AF295" s="3178"/>
      <c r="AG295" s="4108">
        <f>+AC295-AE295</f>
        <v>1331.6659999999999</v>
      </c>
      <c r="AH295" s="3178"/>
      <c r="AI295" s="2634"/>
    </row>
    <row r="296" spans="1:49" ht="30.6" thickBot="1">
      <c r="A296" s="2595"/>
      <c r="B296" s="2595"/>
      <c r="C296" s="2595"/>
      <c r="D296" s="2596"/>
      <c r="E296" s="2595"/>
      <c r="F296" s="2595"/>
      <c r="G296" s="2595"/>
      <c r="H296" s="2595"/>
      <c r="I296" s="2595"/>
      <c r="J296" s="2595"/>
      <c r="K296" s="2588"/>
      <c r="M296" s="2632" t="s">
        <v>1285</v>
      </c>
      <c r="N296" s="2634"/>
      <c r="O296" s="2634"/>
      <c r="P296" s="2634"/>
      <c r="Q296" s="2633" t="s">
        <v>943</v>
      </c>
      <c r="R296" s="2634"/>
      <c r="S296" s="2634"/>
      <c r="T296" s="2634"/>
      <c r="U296" s="2634"/>
      <c r="V296" s="2634"/>
      <c r="W296" s="2634"/>
      <c r="Y296" s="2641"/>
      <c r="Z296" s="2641">
        <v>920745</v>
      </c>
      <c r="AA296" s="2641" t="s">
        <v>1164</v>
      </c>
      <c r="AB296" s="2642"/>
      <c r="AC296" s="4069"/>
      <c r="AD296" s="3178"/>
      <c r="AE296" s="4069"/>
      <c r="AF296" s="3178"/>
      <c r="AG296" s="4109"/>
      <c r="AH296" s="3178"/>
      <c r="AI296" s="2634"/>
      <c r="AM296" s="2632" t="s">
        <v>1646</v>
      </c>
      <c r="AN296" s="2632"/>
      <c r="AO296" s="2632"/>
      <c r="AP296" s="2632"/>
      <c r="AQ296" s="2632"/>
      <c r="AR296" s="2633"/>
      <c r="AS296" s="2632"/>
      <c r="AT296" s="2632"/>
      <c r="AU296" s="2632"/>
      <c r="AV296" s="2632"/>
      <c r="AW296" s="2634"/>
    </row>
    <row r="297" spans="1:49" ht="30.6" thickBot="1">
      <c r="A297" s="2595"/>
      <c r="B297" s="2595"/>
      <c r="C297" s="2595"/>
      <c r="D297" s="2596"/>
      <c r="E297" s="2595">
        <f>SUM(E295:E296)</f>
        <v>0</v>
      </c>
      <c r="F297" s="2595">
        <v>122</v>
      </c>
      <c r="G297" s="2595"/>
      <c r="H297" s="2601">
        <f>SUM(H295:H296)</f>
        <v>109.896</v>
      </c>
      <c r="I297" s="2595"/>
      <c r="J297" s="2595">
        <f>+F297-H297</f>
        <v>12.103999999999999</v>
      </c>
      <c r="K297" s="2588"/>
      <c r="M297" s="2635"/>
      <c r="N297" s="2636"/>
      <c r="O297" s="2636"/>
      <c r="P297" s="2636"/>
      <c r="Q297" s="4103" t="s">
        <v>152</v>
      </c>
      <c r="R297" s="4104"/>
      <c r="S297" s="4103" t="s">
        <v>153</v>
      </c>
      <c r="T297" s="4104"/>
      <c r="U297" s="2637" t="s">
        <v>154</v>
      </c>
      <c r="V297" s="2638"/>
      <c r="W297" s="2639" t="s">
        <v>132</v>
      </c>
      <c r="Y297" s="2641"/>
      <c r="Z297" s="2641">
        <v>956427</v>
      </c>
      <c r="AA297" s="2641" t="s">
        <v>1165</v>
      </c>
      <c r="AB297" s="2642"/>
      <c r="AC297" s="4069"/>
      <c r="AD297" s="3178"/>
      <c r="AE297" s="4069"/>
      <c r="AF297" s="3178"/>
      <c r="AG297" s="4109"/>
      <c r="AH297" s="3178"/>
      <c r="AI297" s="2634"/>
      <c r="AM297" s="3532" t="s">
        <v>1645</v>
      </c>
      <c r="AN297" s="2634"/>
      <c r="AO297" s="2634"/>
      <c r="AP297" s="2634"/>
      <c r="AQ297" s="2633"/>
      <c r="AR297" s="2634"/>
      <c r="AS297" s="2634"/>
      <c r="AT297" s="2633" t="s">
        <v>261</v>
      </c>
      <c r="AU297" s="2634"/>
      <c r="AV297" s="2634"/>
      <c r="AW297" s="2634"/>
    </row>
    <row r="298" spans="1:49" ht="28.8">
      <c r="M298" s="2640" t="s">
        <v>223</v>
      </c>
      <c r="N298" s="2640" t="s">
        <v>224</v>
      </c>
      <c r="O298" s="2640" t="s">
        <v>225</v>
      </c>
      <c r="P298" s="2640" t="s">
        <v>157</v>
      </c>
      <c r="Q298" s="2640" t="s">
        <v>944</v>
      </c>
      <c r="R298" s="2640" t="s">
        <v>945</v>
      </c>
      <c r="S298" s="2640" t="s">
        <v>946</v>
      </c>
      <c r="T298" s="2640" t="s">
        <v>947</v>
      </c>
      <c r="U298" s="2640" t="s">
        <v>948</v>
      </c>
      <c r="V298" s="2640" t="s">
        <v>949</v>
      </c>
      <c r="W298" s="2634"/>
      <c r="Y298" s="2641"/>
      <c r="Z298" s="2641">
        <v>953023</v>
      </c>
      <c r="AA298" s="2641" t="s">
        <v>1166</v>
      </c>
      <c r="AB298" s="2642"/>
      <c r="AC298" s="4069"/>
      <c r="AD298" s="3178"/>
      <c r="AE298" s="4069"/>
      <c r="AF298" s="3178"/>
      <c r="AG298" s="4109"/>
      <c r="AH298" s="3178"/>
      <c r="AI298" s="2634"/>
      <c r="AM298" s="2635"/>
      <c r="AN298" s="2636"/>
      <c r="AO298" s="2636"/>
      <c r="AP298" s="2636"/>
      <c r="AQ298" s="4053" t="s">
        <v>152</v>
      </c>
      <c r="AR298" s="4054"/>
      <c r="AS298" s="4053" t="s">
        <v>153</v>
      </c>
      <c r="AT298" s="4054"/>
      <c r="AU298" s="3586" t="s">
        <v>154</v>
      </c>
      <c r="AV298" s="3587"/>
      <c r="AW298" s="2639" t="s">
        <v>132</v>
      </c>
    </row>
    <row r="299" spans="1:49" ht="14.4">
      <c r="M299" s="2641"/>
      <c r="N299" s="2641">
        <v>951772</v>
      </c>
      <c r="O299" s="2641" t="s">
        <v>1264</v>
      </c>
      <c r="P299" s="2642"/>
      <c r="Q299" s="2641">
        <v>40</v>
      </c>
      <c r="R299" s="2641">
        <v>260</v>
      </c>
      <c r="S299" s="2641">
        <v>17.545999999999999</v>
      </c>
      <c r="T299" s="2641">
        <v>278.53699999999998</v>
      </c>
      <c r="U299" s="2641">
        <f>(Q299-S299)</f>
        <v>22.454000000000001</v>
      </c>
      <c r="V299" s="2641">
        <f t="shared" ref="V299" si="212">(R299-T299)</f>
        <v>-18.536999999999978</v>
      </c>
      <c r="W299" s="2634"/>
      <c r="Y299" s="2641"/>
      <c r="Z299" s="2641">
        <v>923266</v>
      </c>
      <c r="AA299" s="2641" t="s">
        <v>1167</v>
      </c>
      <c r="AB299" s="2642"/>
      <c r="AC299" s="4069"/>
      <c r="AD299" s="3178"/>
      <c r="AE299" s="4069"/>
      <c r="AF299" s="3178"/>
      <c r="AG299" s="4109"/>
      <c r="AH299" s="3178"/>
      <c r="AI299" s="2634"/>
      <c r="AM299" s="2640" t="s">
        <v>223</v>
      </c>
      <c r="AN299" s="2640" t="s">
        <v>224</v>
      </c>
      <c r="AO299" s="2640" t="s">
        <v>225</v>
      </c>
      <c r="AP299" s="2640" t="s">
        <v>157</v>
      </c>
      <c r="AQ299" s="2640" t="s">
        <v>1158</v>
      </c>
      <c r="AR299" s="2640" t="s">
        <v>261</v>
      </c>
      <c r="AS299" s="2640" t="s">
        <v>1158</v>
      </c>
      <c r="AT299" s="2640" t="s">
        <v>261</v>
      </c>
      <c r="AU299" s="2640" t="s">
        <v>1158</v>
      </c>
      <c r="AV299" s="2640" t="s">
        <v>261</v>
      </c>
      <c r="AW299" s="2634"/>
    </row>
    <row r="300" spans="1:49" ht="14.4">
      <c r="M300" s="2641"/>
      <c r="N300" s="2641"/>
      <c r="O300" s="2641"/>
      <c r="P300" s="2642"/>
      <c r="Q300" s="2641"/>
      <c r="R300" s="2641"/>
      <c r="S300" s="2641"/>
      <c r="T300" s="2641"/>
      <c r="U300" s="2641"/>
      <c r="V300" s="2641"/>
      <c r="W300" s="2634"/>
      <c r="Y300" s="2641"/>
      <c r="Z300" s="2641">
        <v>960563</v>
      </c>
      <c r="AA300" s="2641" t="s">
        <v>1168</v>
      </c>
      <c r="AB300" s="2642"/>
      <c r="AC300" s="4069"/>
      <c r="AD300" s="3178"/>
      <c r="AE300" s="4069"/>
      <c r="AF300" s="3178"/>
      <c r="AG300" s="4109"/>
      <c r="AH300" s="3178"/>
      <c r="AI300" s="2634"/>
      <c r="AM300" s="2640"/>
      <c r="AN300" s="2640">
        <v>961132</v>
      </c>
      <c r="AO300" s="2640" t="s">
        <v>1318</v>
      </c>
      <c r="AP300" s="2640"/>
      <c r="AQ300" s="2640">
        <v>170</v>
      </c>
      <c r="AR300" s="2640">
        <v>33.715000000000003</v>
      </c>
      <c r="AS300" s="2640">
        <v>170</v>
      </c>
      <c r="AT300" s="2640"/>
      <c r="AU300" s="2641">
        <f>(AQ300-AS300)</f>
        <v>0</v>
      </c>
      <c r="AV300" s="2641">
        <f>(AR300-AT300)</f>
        <v>33.715000000000003</v>
      </c>
      <c r="AW300" s="2634"/>
    </row>
    <row r="301" spans="1:49" ht="30">
      <c r="A301" s="2600" t="s">
        <v>1561</v>
      </c>
      <c r="B301" s="2586"/>
      <c r="C301" s="2586"/>
      <c r="D301" s="2586"/>
      <c r="E301" s="2586"/>
      <c r="F301" s="2586"/>
      <c r="G301" s="2586"/>
      <c r="H301" s="2586"/>
      <c r="I301" s="2586"/>
      <c r="J301" s="2586"/>
      <c r="K301" s="2588"/>
      <c r="M301" s="2641"/>
      <c r="N301" s="2641"/>
      <c r="O301" s="2641"/>
      <c r="P301" s="2642"/>
      <c r="Q301" s="2641"/>
      <c r="R301" s="2641"/>
      <c r="S301" s="2641"/>
      <c r="T301" s="2641"/>
      <c r="U301" s="2641"/>
      <c r="V301" s="2641"/>
      <c r="W301" s="2634"/>
      <c r="Y301" s="2641"/>
      <c r="Z301" s="2641">
        <v>957989</v>
      </c>
      <c r="AA301" s="2641" t="s">
        <v>1406</v>
      </c>
      <c r="AB301" s="2642"/>
      <c r="AC301" s="4069"/>
      <c r="AD301" s="3178"/>
      <c r="AE301" s="4069"/>
      <c r="AF301" s="3178"/>
      <c r="AG301" s="4109"/>
      <c r="AH301" s="3178"/>
      <c r="AI301" s="2634"/>
      <c r="AM301" s="2641"/>
      <c r="AN301" s="2641">
        <v>953053</v>
      </c>
      <c r="AO301" s="2641" t="s">
        <v>951</v>
      </c>
      <c r="AP301" s="2642"/>
      <c r="AQ301" s="2641">
        <v>120</v>
      </c>
      <c r="AR301" s="2641">
        <v>28.893999999999998</v>
      </c>
      <c r="AS301" s="2641">
        <v>120</v>
      </c>
      <c r="AT301" s="2641"/>
      <c r="AU301" s="2641">
        <f>(AQ301-AS301)</f>
        <v>0</v>
      </c>
      <c r="AV301" s="2641">
        <f>(AR301-AT301)</f>
        <v>28.893999999999998</v>
      </c>
      <c r="AW301" s="2634"/>
    </row>
    <row r="302" spans="1:49" ht="30">
      <c r="A302" s="2586" t="s">
        <v>1562</v>
      </c>
      <c r="B302" s="2586"/>
      <c r="C302" s="2586"/>
      <c r="D302" s="2586"/>
      <c r="E302" s="2586"/>
      <c r="F302" s="2587" t="s">
        <v>1158</v>
      </c>
      <c r="G302" s="2586"/>
      <c r="H302" s="2586"/>
      <c r="I302" s="2586"/>
      <c r="J302" s="2586"/>
      <c r="K302" s="2588"/>
      <c r="M302" s="2643"/>
      <c r="N302" s="2643"/>
      <c r="O302" s="2643"/>
      <c r="P302" s="2644"/>
      <c r="Q302" s="2645">
        <f t="shared" ref="Q302:V302" si="213">SUM(Q299:Q301)</f>
        <v>40</v>
      </c>
      <c r="R302" s="2645">
        <f t="shared" si="213"/>
        <v>260</v>
      </c>
      <c r="S302" s="2645">
        <f t="shared" si="213"/>
        <v>17.545999999999999</v>
      </c>
      <c r="T302" s="2645">
        <f t="shared" si="213"/>
        <v>278.53699999999998</v>
      </c>
      <c r="U302" s="2645">
        <f t="shared" si="213"/>
        <v>22.454000000000001</v>
      </c>
      <c r="V302" s="2645">
        <f t="shared" si="213"/>
        <v>-18.536999999999978</v>
      </c>
      <c r="W302" s="2634"/>
      <c r="Y302" s="2641"/>
      <c r="Z302" s="2641">
        <v>923167</v>
      </c>
      <c r="AA302" s="2641" t="s">
        <v>1169</v>
      </c>
      <c r="AB302" s="2642"/>
      <c r="AC302" s="4069"/>
      <c r="AD302" s="3178"/>
      <c r="AE302" s="4069"/>
      <c r="AF302" s="3178"/>
      <c r="AG302" s="4109"/>
      <c r="AH302" s="3178"/>
      <c r="AI302" s="2634"/>
      <c r="AM302" s="2643"/>
      <c r="AN302" s="2643"/>
      <c r="AO302" s="2643"/>
      <c r="AP302" s="3585"/>
      <c r="AQ302" s="2645">
        <f t="shared" ref="AQ302:AV302" si="214">SUM(AQ300:AQ301)</f>
        <v>290</v>
      </c>
      <c r="AR302" s="2645">
        <f t="shared" si="214"/>
        <v>62.609000000000002</v>
      </c>
      <c r="AS302" s="2645">
        <f t="shared" si="214"/>
        <v>290</v>
      </c>
      <c r="AT302" s="2645">
        <f t="shared" si="214"/>
        <v>0</v>
      </c>
      <c r="AU302" s="2645">
        <f t="shared" si="214"/>
        <v>0</v>
      </c>
      <c r="AV302" s="2645">
        <f t="shared" si="214"/>
        <v>62.609000000000002</v>
      </c>
      <c r="AW302" s="2634"/>
    </row>
    <row r="303" spans="1:49" ht="13.8" thickBot="1">
      <c r="A303" s="2588"/>
      <c r="B303" s="2588"/>
      <c r="C303" s="2588"/>
      <c r="D303" s="2588"/>
      <c r="E303" s="2588"/>
      <c r="F303" s="2588"/>
      <c r="G303" s="2588"/>
      <c r="H303" s="2588"/>
      <c r="I303" s="2588"/>
      <c r="J303" s="2588"/>
      <c r="K303" s="2588"/>
      <c r="M303" s="2628"/>
      <c r="N303" s="2628"/>
      <c r="O303" s="2628"/>
      <c r="P303" s="2628"/>
      <c r="Q303" s="2628"/>
      <c r="R303" s="2628"/>
      <c r="S303" s="2628"/>
      <c r="T303" s="2628"/>
      <c r="U303" s="2628"/>
      <c r="V303" s="2628"/>
      <c r="W303" s="2628"/>
      <c r="Y303" s="2641"/>
      <c r="Z303" s="2641">
        <v>951803</v>
      </c>
      <c r="AA303" s="2641" t="s">
        <v>1170</v>
      </c>
      <c r="AB303" s="2642"/>
      <c r="AC303" s="4069"/>
      <c r="AD303" s="3178"/>
      <c r="AE303" s="4069"/>
      <c r="AF303" s="3178"/>
      <c r="AG303" s="4109"/>
      <c r="AH303" s="3178"/>
      <c r="AI303" s="2634"/>
      <c r="AM303" s="3525"/>
      <c r="AN303" s="3525"/>
      <c r="AO303" s="3525"/>
      <c r="AP303" s="3526"/>
      <c r="AQ303" s="3527"/>
      <c r="AR303" s="3527"/>
      <c r="AS303" s="3527"/>
      <c r="AT303" s="3527"/>
      <c r="AU303" s="3531"/>
      <c r="AV303" s="3527"/>
      <c r="AW303" s="2634"/>
    </row>
    <row r="304" spans="1:49" ht="14.4">
      <c r="A304" s="2590"/>
      <c r="B304" s="2589"/>
      <c r="C304" s="2589"/>
      <c r="D304" s="2589"/>
      <c r="E304" s="4076" t="s">
        <v>152</v>
      </c>
      <c r="F304" s="4077"/>
      <c r="G304" s="4076" t="s">
        <v>153</v>
      </c>
      <c r="H304" s="4077"/>
      <c r="I304" s="3488" t="s">
        <v>154</v>
      </c>
      <c r="J304" s="3489"/>
      <c r="K304" s="2588"/>
      <c r="M304" s="2628"/>
      <c r="N304" s="2628"/>
      <c r="O304" s="2628"/>
      <c r="P304" s="2628"/>
      <c r="Q304" s="2628"/>
      <c r="R304" s="2628"/>
      <c r="S304" s="2628"/>
      <c r="T304" s="2628"/>
      <c r="U304" s="2628"/>
      <c r="V304" s="2628"/>
      <c r="W304" s="2628"/>
      <c r="Y304" s="2641"/>
      <c r="Z304" s="2641">
        <v>958708</v>
      </c>
      <c r="AA304" s="2641" t="s">
        <v>1171</v>
      </c>
      <c r="AB304" s="2642"/>
      <c r="AC304" s="4069"/>
      <c r="AD304" s="3178"/>
      <c r="AE304" s="4069"/>
      <c r="AF304" s="3178"/>
      <c r="AG304" s="4109"/>
      <c r="AH304" s="3178"/>
      <c r="AI304" s="2634"/>
    </row>
    <row r="305" spans="1:49" ht="30">
      <c r="A305" s="2594" t="s">
        <v>957</v>
      </c>
      <c r="B305" s="2594" t="s">
        <v>224</v>
      </c>
      <c r="C305" s="2594" t="s">
        <v>225</v>
      </c>
      <c r="D305" s="2594" t="s">
        <v>157</v>
      </c>
      <c r="E305" s="2594" t="s">
        <v>944</v>
      </c>
      <c r="F305" s="2594" t="s">
        <v>945</v>
      </c>
      <c r="G305" s="2594" t="s">
        <v>946</v>
      </c>
      <c r="H305" s="2594" t="s">
        <v>947</v>
      </c>
      <c r="I305" s="2594" t="s">
        <v>948</v>
      </c>
      <c r="J305" s="2594" t="s">
        <v>949</v>
      </c>
      <c r="K305" s="2588"/>
      <c r="M305" s="2568" t="s">
        <v>1064</v>
      </c>
      <c r="N305" s="2568"/>
      <c r="O305" s="2568"/>
      <c r="P305" s="2568"/>
      <c r="Q305" s="2568"/>
      <c r="R305" s="2569"/>
      <c r="S305" s="2568"/>
      <c r="T305" s="2568"/>
      <c r="U305" s="2568"/>
      <c r="V305" s="2568"/>
      <c r="W305" s="2570"/>
      <c r="Y305" s="2641"/>
      <c r="Z305" s="2641">
        <v>950875</v>
      </c>
      <c r="AA305" s="2641" t="s">
        <v>1172</v>
      </c>
      <c r="AB305" s="2642"/>
      <c r="AC305" s="4069"/>
      <c r="AD305" s="3178"/>
      <c r="AE305" s="4069"/>
      <c r="AF305" s="3178"/>
      <c r="AG305" s="4109"/>
      <c r="AH305" s="3178"/>
      <c r="AI305" s="2634"/>
    </row>
    <row r="306" spans="1:49" ht="30.6" thickBot="1">
      <c r="A306" s="2595"/>
      <c r="B306" s="2595">
        <v>952030</v>
      </c>
      <c r="C306" s="2595" t="s">
        <v>1563</v>
      </c>
      <c r="D306" s="2596"/>
      <c r="E306" s="2595"/>
      <c r="F306" s="2595">
        <v>150</v>
      </c>
      <c r="G306" s="2595"/>
      <c r="H306" s="2595">
        <v>134.52699999999999</v>
      </c>
      <c r="I306" s="2595">
        <f>(E306-G306)</f>
        <v>0</v>
      </c>
      <c r="J306" s="2595">
        <f>+F306-H306</f>
        <v>15.473000000000013</v>
      </c>
      <c r="K306" s="2588"/>
      <c r="M306" s="2568" t="s">
        <v>1287</v>
      </c>
      <c r="N306" s="2570"/>
      <c r="O306" s="2570"/>
      <c r="P306" s="2570"/>
      <c r="Q306" s="2569" t="s">
        <v>943</v>
      </c>
      <c r="R306" s="2570"/>
      <c r="S306" s="2570"/>
      <c r="T306" s="2570"/>
      <c r="U306" s="2570"/>
      <c r="V306" s="2570"/>
      <c r="W306" s="2570"/>
      <c r="Y306" s="2641"/>
      <c r="Z306" s="2641">
        <v>901571</v>
      </c>
      <c r="AA306" s="2641" t="s">
        <v>1173</v>
      </c>
      <c r="AB306" s="2642"/>
      <c r="AC306" s="4069"/>
      <c r="AD306" s="3178"/>
      <c r="AE306" s="4069"/>
      <c r="AF306" s="3178"/>
      <c r="AG306" s="4109"/>
      <c r="AH306" s="3178"/>
      <c r="AI306" s="2634"/>
      <c r="AM306" s="2632" t="s">
        <v>1646</v>
      </c>
      <c r="AN306" s="2632"/>
      <c r="AO306" s="2632"/>
      <c r="AP306" s="2632"/>
      <c r="AQ306" s="2632"/>
      <c r="AR306" s="2633"/>
      <c r="AS306" s="2632"/>
      <c r="AT306" s="2632"/>
      <c r="AU306" s="2632"/>
      <c r="AV306" s="2632"/>
      <c r="AW306" s="2634"/>
    </row>
    <row r="307" spans="1:49" ht="30.6" thickBot="1">
      <c r="A307" s="2595"/>
      <c r="B307" s="2595"/>
      <c r="C307" s="2595"/>
      <c r="D307" s="2596"/>
      <c r="E307" s="2595"/>
      <c r="F307" s="2595"/>
      <c r="G307" s="2595"/>
      <c r="H307" s="2595"/>
      <c r="I307" s="2595"/>
      <c r="J307" s="2595"/>
      <c r="K307" s="2588"/>
      <c r="M307" s="2571"/>
      <c r="N307" s="2572"/>
      <c r="O307" s="2572"/>
      <c r="P307" s="2572"/>
      <c r="Q307" s="4048" t="s">
        <v>152</v>
      </c>
      <c r="R307" s="4049"/>
      <c r="S307" s="4048" t="s">
        <v>153</v>
      </c>
      <c r="T307" s="4049"/>
      <c r="U307" s="2662" t="s">
        <v>154</v>
      </c>
      <c r="V307" s="2663"/>
      <c r="W307" s="2575" t="s">
        <v>132</v>
      </c>
      <c r="Y307" s="2641"/>
      <c r="Z307" s="2641">
        <v>960673</v>
      </c>
      <c r="AA307" s="2641" t="s">
        <v>1379</v>
      </c>
      <c r="AB307" s="2642"/>
      <c r="AC307" s="4069"/>
      <c r="AD307" s="3178"/>
      <c r="AE307" s="4069"/>
      <c r="AF307" s="3178"/>
      <c r="AG307" s="4109"/>
      <c r="AH307" s="3178"/>
      <c r="AI307" s="2634"/>
      <c r="AM307" s="3532" t="s">
        <v>1653</v>
      </c>
      <c r="AN307" s="2634"/>
      <c r="AO307" s="2634"/>
      <c r="AP307" s="2634"/>
      <c r="AQ307" s="2633"/>
      <c r="AR307" s="2634"/>
      <c r="AS307" s="2634"/>
      <c r="AT307" s="2633" t="s">
        <v>261</v>
      </c>
      <c r="AU307" s="2634"/>
      <c r="AV307" s="2634"/>
      <c r="AW307" s="2634"/>
    </row>
    <row r="308" spans="1:49" ht="28.8">
      <c r="A308" s="2595"/>
      <c r="B308" s="2595"/>
      <c r="C308" s="2595"/>
      <c r="D308" s="2596"/>
      <c r="E308" s="2595">
        <f>SUM(E306:E307)</f>
        <v>0</v>
      </c>
      <c r="F308" s="2595">
        <v>150</v>
      </c>
      <c r="G308" s="2595"/>
      <c r="H308" s="2601">
        <f>SUM(H306:H307)</f>
        <v>134.52699999999999</v>
      </c>
      <c r="I308" s="2595"/>
      <c r="J308" s="2595">
        <f>+F308-H308</f>
        <v>15.473000000000013</v>
      </c>
      <c r="K308" s="2588"/>
      <c r="M308" s="2576" t="s">
        <v>223</v>
      </c>
      <c r="N308" s="2576" t="s">
        <v>224</v>
      </c>
      <c r="O308" s="2576" t="s">
        <v>225</v>
      </c>
      <c r="P308" s="2576" t="s">
        <v>157</v>
      </c>
      <c r="Q308" s="2576" t="s">
        <v>944</v>
      </c>
      <c r="R308" s="2576" t="s">
        <v>945</v>
      </c>
      <c r="S308" s="2576" t="s">
        <v>946</v>
      </c>
      <c r="T308" s="2576" t="s">
        <v>947</v>
      </c>
      <c r="U308" s="2576" t="s">
        <v>948</v>
      </c>
      <c r="V308" s="2576" t="s">
        <v>949</v>
      </c>
      <c r="W308" s="2570"/>
      <c r="Y308" s="2641"/>
      <c r="Z308" s="2641">
        <v>950815</v>
      </c>
      <c r="AA308" s="2641" t="s">
        <v>1175</v>
      </c>
      <c r="AB308" s="2642"/>
      <c r="AC308" s="4060"/>
      <c r="AD308" s="3178"/>
      <c r="AE308" s="4060"/>
      <c r="AF308" s="3178"/>
      <c r="AG308" s="4110"/>
      <c r="AH308" s="3178"/>
      <c r="AI308" s="2634"/>
      <c r="AM308" s="2635"/>
      <c r="AN308" s="2636"/>
      <c r="AO308" s="2636"/>
      <c r="AP308" s="2636"/>
      <c r="AQ308" s="4053" t="s">
        <v>152</v>
      </c>
      <c r="AR308" s="4054"/>
      <c r="AS308" s="4053" t="s">
        <v>153</v>
      </c>
      <c r="AT308" s="4054"/>
      <c r="AU308" s="3605" t="s">
        <v>154</v>
      </c>
      <c r="AV308" s="3606"/>
      <c r="AW308" s="2639" t="s">
        <v>132</v>
      </c>
    </row>
    <row r="309" spans="1:49" ht="14.4">
      <c r="A309" s="3433"/>
      <c r="B309" s="3433"/>
      <c r="C309" s="3433"/>
      <c r="D309" s="3434"/>
      <c r="E309" s="3433"/>
      <c r="F309" s="3433"/>
      <c r="G309" s="3433"/>
      <c r="H309" s="3449"/>
      <c r="I309" s="3433"/>
      <c r="J309" s="3433"/>
      <c r="K309" s="3436"/>
      <c r="M309" s="2577"/>
      <c r="N309" s="2577">
        <v>953144</v>
      </c>
      <c r="O309" s="2577" t="s">
        <v>204</v>
      </c>
      <c r="P309" s="2578"/>
      <c r="Q309" s="2577">
        <v>40</v>
      </c>
      <c r="R309" s="2577">
        <v>260</v>
      </c>
      <c r="S309" s="2577">
        <v>0.53400000000000003</v>
      </c>
      <c r="T309" s="2577">
        <v>298.77600000000001</v>
      </c>
      <c r="U309" s="2577">
        <f>(Q309-S309)</f>
        <v>39.466000000000001</v>
      </c>
      <c r="V309" s="2577">
        <f t="shared" ref="V309" si="215">(R309-T309)</f>
        <v>-38.77600000000001</v>
      </c>
      <c r="W309" s="2570"/>
      <c r="Y309" s="2641"/>
      <c r="Z309" s="2641"/>
      <c r="AA309" s="2641"/>
      <c r="AB309" s="2642"/>
      <c r="AC309" s="2641"/>
      <c r="AD309" s="3479" t="s">
        <v>1558</v>
      </c>
      <c r="AE309" s="3480" t="s">
        <v>127</v>
      </c>
      <c r="AF309" s="2641"/>
      <c r="AG309" s="2641"/>
      <c r="AH309" s="2641"/>
      <c r="AI309" s="2634"/>
      <c r="AM309" s="2640" t="s">
        <v>223</v>
      </c>
      <c r="AN309" s="2640" t="s">
        <v>224</v>
      </c>
      <c r="AO309" s="2640" t="s">
        <v>225</v>
      </c>
      <c r="AP309" s="2640" t="s">
        <v>157</v>
      </c>
      <c r="AQ309" s="2640" t="s">
        <v>1158</v>
      </c>
      <c r="AR309" s="2640" t="s">
        <v>261</v>
      </c>
      <c r="AS309" s="2640" t="s">
        <v>1158</v>
      </c>
      <c r="AT309" s="2640" t="s">
        <v>261</v>
      </c>
      <c r="AU309" s="2640" t="s">
        <v>1158</v>
      </c>
      <c r="AV309" s="2640" t="s">
        <v>261</v>
      </c>
      <c r="AW309" s="2634"/>
    </row>
    <row r="310" spans="1:49" ht="14.4">
      <c r="A310" s="3433"/>
      <c r="B310" s="3433"/>
      <c r="C310" s="3433"/>
      <c r="D310" s="3434"/>
      <c r="E310" s="3433"/>
      <c r="F310" s="3433"/>
      <c r="G310" s="3433"/>
      <c r="H310" s="3449"/>
      <c r="I310" s="3433"/>
      <c r="J310" s="3433"/>
      <c r="K310" s="3436"/>
      <c r="M310" s="2577"/>
      <c r="N310" s="2577"/>
      <c r="O310" s="2577"/>
      <c r="P310" s="2578"/>
      <c r="Q310" s="2577"/>
      <c r="R310" s="2577"/>
      <c r="S310" s="2577"/>
      <c r="T310" s="2577"/>
      <c r="U310" s="2577"/>
      <c r="V310" s="2577"/>
      <c r="W310" s="2570"/>
      <c r="Y310" s="2641"/>
      <c r="Z310" s="2641"/>
      <c r="AA310" s="2641"/>
      <c r="AB310" s="2642"/>
      <c r="AC310" s="2641"/>
      <c r="AD310" s="2641"/>
      <c r="AE310" s="2641"/>
      <c r="AF310" s="2641"/>
      <c r="AG310" s="2641"/>
      <c r="AH310" s="2641"/>
      <c r="AI310" s="2634"/>
      <c r="AM310" s="2640"/>
      <c r="AN310" s="2640" t="s">
        <v>951</v>
      </c>
      <c r="AO310" s="2640">
        <v>953053</v>
      </c>
      <c r="AP310" s="2640"/>
      <c r="AQ310" s="2640">
        <v>142</v>
      </c>
      <c r="AR310" s="2640"/>
      <c r="AS310" s="2640"/>
      <c r="AT310" s="2640"/>
      <c r="AU310" s="2641">
        <f>(AQ310-AS310)</f>
        <v>142</v>
      </c>
      <c r="AV310" s="2641">
        <f>(AR310-AT310)</f>
        <v>0</v>
      </c>
      <c r="AW310" s="2634"/>
    </row>
    <row r="311" spans="1:49" ht="30">
      <c r="A311" s="3664" t="s">
        <v>1617</v>
      </c>
      <c r="B311" s="3665"/>
      <c r="C311" s="3665"/>
      <c r="D311" s="3665"/>
      <c r="E311" s="3665"/>
      <c r="F311" s="3665"/>
      <c r="G311" s="3665"/>
      <c r="H311" s="3665"/>
      <c r="I311" s="3665"/>
      <c r="J311" s="3665"/>
      <c r="K311" s="3666"/>
      <c r="M311" s="2579"/>
      <c r="N311" s="2579"/>
      <c r="O311" s="2579"/>
      <c r="P311" s="2580"/>
      <c r="Q311" s="2581"/>
      <c r="R311" s="2581"/>
      <c r="S311" s="2581"/>
      <c r="T311" s="2581"/>
      <c r="U311" s="2581"/>
      <c r="V311" s="2581"/>
      <c r="W311" s="2570"/>
      <c r="AM311" s="2641"/>
      <c r="AN311" s="2641"/>
      <c r="AO311" s="2641"/>
      <c r="AP311" s="2642"/>
      <c r="AQ311" s="2641"/>
      <c r="AR311" s="2641"/>
      <c r="AS311" s="2641"/>
      <c r="AT311" s="2641"/>
      <c r="AU311" s="2641">
        <f>(AQ311-AS311)</f>
        <v>0</v>
      </c>
      <c r="AV311" s="2641">
        <f>(AR311-AT311)</f>
        <v>0</v>
      </c>
      <c r="AW311" s="2634"/>
    </row>
    <row r="312" spans="1:49" ht="30">
      <c r="A312" s="3665" t="s">
        <v>1620</v>
      </c>
      <c r="B312" s="3665"/>
      <c r="C312" s="3665"/>
      <c r="D312" s="3665"/>
      <c r="E312" s="3665"/>
      <c r="F312" s="3667" t="s">
        <v>1158</v>
      </c>
      <c r="G312" s="3665"/>
      <c r="H312" s="3665"/>
      <c r="I312" s="3665"/>
      <c r="J312" s="3665"/>
      <c r="K312" s="3666"/>
      <c r="M312" s="2568"/>
      <c r="N312" s="2568"/>
      <c r="O312" s="2568"/>
      <c r="P312" s="2568"/>
      <c r="Q312" s="2664">
        <f t="shared" ref="Q312:V312" si="216">SUM(Q309:Q311)</f>
        <v>40</v>
      </c>
      <c r="R312" s="2665">
        <f t="shared" si="216"/>
        <v>260</v>
      </c>
      <c r="S312" s="2664">
        <f t="shared" si="216"/>
        <v>0.53400000000000003</v>
      </c>
      <c r="T312" s="2664">
        <f t="shared" si="216"/>
        <v>298.77600000000001</v>
      </c>
      <c r="U312" s="2664">
        <f t="shared" si="216"/>
        <v>39.466000000000001</v>
      </c>
      <c r="V312" s="2664">
        <f t="shared" si="216"/>
        <v>-38.77600000000001</v>
      </c>
      <c r="W312" s="2570"/>
      <c r="Y312" s="2632" t="s">
        <v>1407</v>
      </c>
      <c r="Z312" s="2632"/>
      <c r="AA312" s="2632"/>
      <c r="AB312" s="2632"/>
      <c r="AC312" s="2632"/>
      <c r="AD312" s="2633"/>
      <c r="AE312" s="2632"/>
      <c r="AF312" s="2632"/>
      <c r="AG312" s="2632"/>
      <c r="AH312" s="2632"/>
      <c r="AI312" s="2634"/>
      <c r="AM312" s="2643"/>
      <c r="AN312" s="2643"/>
      <c r="AO312" s="2643"/>
      <c r="AP312" s="3604"/>
      <c r="AQ312" s="2645">
        <f t="shared" ref="AQ312:AV312" si="217">SUM(AQ310:AQ311)</f>
        <v>142</v>
      </c>
      <c r="AR312" s="2645">
        <f t="shared" si="217"/>
        <v>0</v>
      </c>
      <c r="AS312" s="2645">
        <f t="shared" si="217"/>
        <v>0</v>
      </c>
      <c r="AT312" s="2645">
        <f t="shared" si="217"/>
        <v>0</v>
      </c>
      <c r="AU312" s="2645">
        <f t="shared" si="217"/>
        <v>142</v>
      </c>
      <c r="AV312" s="2645">
        <f t="shared" si="217"/>
        <v>0</v>
      </c>
      <c r="AW312" s="2634"/>
    </row>
    <row r="313" spans="1:49" ht="30.6" thickBot="1">
      <c r="A313" s="3666" t="s">
        <v>1659</v>
      </c>
      <c r="B313" s="3666"/>
      <c r="C313" s="3666"/>
      <c r="D313" s="3666"/>
      <c r="E313" s="3666"/>
      <c r="F313" s="3666"/>
      <c r="G313" s="3666"/>
      <c r="H313" s="3666"/>
      <c r="I313" s="3666"/>
      <c r="J313" s="3666"/>
      <c r="K313" s="3666"/>
      <c r="M313" s="2628"/>
      <c r="N313" s="2628"/>
      <c r="O313" s="2628"/>
      <c r="P313" s="2628"/>
      <c r="Q313" s="2628"/>
      <c r="R313" s="2628"/>
      <c r="S313" s="2628"/>
      <c r="T313" s="2628"/>
      <c r="U313" s="2628"/>
      <c r="V313" s="2628"/>
      <c r="W313" s="2628"/>
      <c r="Y313" s="2632" t="s">
        <v>1408</v>
      </c>
      <c r="Z313" s="2634"/>
      <c r="AA313" s="2634"/>
      <c r="AB313" s="2634"/>
      <c r="AC313" s="2633"/>
      <c r="AD313" s="2634"/>
      <c r="AE313" s="2634"/>
      <c r="AF313" s="2633" t="s">
        <v>38</v>
      </c>
      <c r="AG313" s="2634"/>
      <c r="AH313" s="2634"/>
      <c r="AI313" s="2634"/>
      <c r="AM313" s="3525"/>
      <c r="AN313" s="3525"/>
      <c r="AO313" s="3525"/>
      <c r="AP313" s="3526"/>
      <c r="AQ313" s="3527"/>
      <c r="AR313" s="3527"/>
      <c r="AS313" s="3527"/>
      <c r="AT313" s="3527"/>
      <c r="AU313" s="3531"/>
      <c r="AV313" s="3527"/>
      <c r="AW313" s="2634"/>
    </row>
    <row r="314" spans="1:49" ht="14.4">
      <c r="A314" s="3668"/>
      <c r="B314" s="3669"/>
      <c r="C314" s="3669"/>
      <c r="D314" s="3669"/>
      <c r="E314" s="4099" t="s">
        <v>152</v>
      </c>
      <c r="F314" s="4100"/>
      <c r="G314" s="4099" t="s">
        <v>153</v>
      </c>
      <c r="H314" s="4100"/>
      <c r="I314" s="3670" t="s">
        <v>154</v>
      </c>
      <c r="J314" s="3671"/>
      <c r="K314" s="3666"/>
      <c r="Y314" s="2635"/>
      <c r="Z314" s="2636"/>
      <c r="AA314" s="2636"/>
      <c r="AB314" s="2636"/>
      <c r="AC314" s="4053" t="s">
        <v>152</v>
      </c>
      <c r="AD314" s="4054"/>
      <c r="AE314" s="4053" t="s">
        <v>153</v>
      </c>
      <c r="AF314" s="4054"/>
      <c r="AG314" s="3215" t="s">
        <v>154</v>
      </c>
      <c r="AH314" s="3216"/>
      <c r="AI314" s="2639" t="s">
        <v>132</v>
      </c>
    </row>
    <row r="315" spans="1:49" ht="30">
      <c r="A315" s="3672" t="s">
        <v>957</v>
      </c>
      <c r="B315" s="3672" t="s">
        <v>224</v>
      </c>
      <c r="C315" s="3672" t="s">
        <v>225</v>
      </c>
      <c r="D315" s="3672" t="s">
        <v>157</v>
      </c>
      <c r="E315" s="3672" t="s">
        <v>944</v>
      </c>
      <c r="F315" s="3672" t="s">
        <v>945</v>
      </c>
      <c r="G315" s="3672" t="s">
        <v>946</v>
      </c>
      <c r="H315" s="3672" t="s">
        <v>947</v>
      </c>
      <c r="I315" s="3672" t="s">
        <v>948</v>
      </c>
      <c r="J315" s="3672" t="s">
        <v>949</v>
      </c>
      <c r="K315" s="3666"/>
      <c r="M315" s="2568" t="s">
        <v>1234</v>
      </c>
      <c r="N315" s="2568"/>
      <c r="O315" s="2568"/>
      <c r="P315" s="2568"/>
      <c r="Q315" s="2568"/>
      <c r="R315" s="2569"/>
      <c r="S315" s="2568"/>
      <c r="T315" s="2568"/>
      <c r="U315" s="2568"/>
      <c r="V315" s="2568"/>
      <c r="W315" s="2570"/>
      <c r="Y315" s="2640" t="s">
        <v>223</v>
      </c>
      <c r="Z315" s="2640" t="s">
        <v>224</v>
      </c>
      <c r="AA315" s="2640" t="s">
        <v>225</v>
      </c>
      <c r="AB315" s="2640" t="s">
        <v>157</v>
      </c>
      <c r="AC315" s="2640" t="s">
        <v>1409</v>
      </c>
      <c r="AD315" s="2640"/>
      <c r="AE315" s="2640" t="s">
        <v>946</v>
      </c>
      <c r="AF315" s="2640"/>
      <c r="AG315" s="2640" t="s">
        <v>948</v>
      </c>
      <c r="AH315" s="2640" t="s">
        <v>949</v>
      </c>
      <c r="AI315" s="2634"/>
    </row>
    <row r="316" spans="1:49" ht="30.6" thickBot="1">
      <c r="A316" s="3673"/>
      <c r="B316" s="3673">
        <v>953084</v>
      </c>
      <c r="C316" s="3673" t="s">
        <v>1660</v>
      </c>
      <c r="D316" s="3674"/>
      <c r="E316" s="3673"/>
      <c r="F316" s="3673">
        <v>120</v>
      </c>
      <c r="G316" s="3673">
        <v>13.718999999999999</v>
      </c>
      <c r="H316" s="3673">
        <v>102.621</v>
      </c>
      <c r="I316" s="3673">
        <f>(E316-G316)</f>
        <v>-13.718999999999999</v>
      </c>
      <c r="J316" s="3673">
        <f>+F316-H316</f>
        <v>17.379000000000005</v>
      </c>
      <c r="K316" s="3666"/>
      <c r="M316" s="2568" t="s">
        <v>1235</v>
      </c>
      <c r="N316" s="2570"/>
      <c r="O316" s="2570"/>
      <c r="P316" s="2570"/>
      <c r="Q316" s="2569" t="s">
        <v>261</v>
      </c>
      <c r="R316" s="2570"/>
      <c r="S316" s="2570"/>
      <c r="T316" s="2570"/>
      <c r="U316" s="2570"/>
      <c r="V316" s="2570"/>
      <c r="W316" s="2570"/>
      <c r="Y316" s="2641"/>
      <c r="Z316" s="2641"/>
      <c r="AA316" s="2641"/>
      <c r="AB316" s="2642"/>
      <c r="AC316" s="4063">
        <v>1000</v>
      </c>
      <c r="AD316" s="3591"/>
      <c r="AE316" s="4063">
        <v>318.55500000000001</v>
      </c>
      <c r="AF316" s="3591"/>
      <c r="AG316" s="4063">
        <f>+AC316-AE316</f>
        <v>681.44499999999994</v>
      </c>
      <c r="AH316" s="3178"/>
      <c r="AI316" s="2634"/>
    </row>
    <row r="317" spans="1:49" ht="14.4">
      <c r="A317" s="3673"/>
      <c r="B317" s="3673"/>
      <c r="C317" s="3673"/>
      <c r="D317" s="3674"/>
      <c r="E317" s="3673"/>
      <c r="F317" s="3673"/>
      <c r="G317" s="3673"/>
      <c r="H317" s="3673"/>
      <c r="I317" s="3673"/>
      <c r="J317" s="3673"/>
      <c r="K317" s="3666"/>
      <c r="M317" s="2571"/>
      <c r="N317" s="2572"/>
      <c r="O317" s="2572"/>
      <c r="P317" s="2572"/>
      <c r="Q317" s="4048" t="s">
        <v>152</v>
      </c>
      <c r="R317" s="4049"/>
      <c r="S317" s="4048" t="s">
        <v>153</v>
      </c>
      <c r="T317" s="4049"/>
      <c r="U317" s="2573" t="s">
        <v>154</v>
      </c>
      <c r="V317" s="2574"/>
      <c r="W317" s="2575" t="s">
        <v>132</v>
      </c>
      <c r="Y317" s="2641"/>
      <c r="Z317" s="2641"/>
      <c r="AA317" s="2641"/>
      <c r="AB317" s="2642"/>
      <c r="AC317" s="4064"/>
      <c r="AD317" s="3591"/>
      <c r="AE317" s="4064"/>
      <c r="AF317" s="3591"/>
      <c r="AG317" s="4064"/>
      <c r="AH317" s="3178"/>
      <c r="AI317" s="2634"/>
    </row>
    <row r="318" spans="1:49" ht="28.8">
      <c r="A318" s="3673"/>
      <c r="B318" s="3673"/>
      <c r="C318" s="3673"/>
      <c r="D318" s="3674"/>
      <c r="E318" s="3673">
        <f>SUM(E316:E317)</f>
        <v>0</v>
      </c>
      <c r="F318" s="3673">
        <v>150</v>
      </c>
      <c r="G318" s="3673"/>
      <c r="H318" s="3675">
        <f>SUM(H316:H317)</f>
        <v>102.621</v>
      </c>
      <c r="I318" s="3673"/>
      <c r="J318" s="3673">
        <f>+F318-H318</f>
        <v>47.379000000000005</v>
      </c>
      <c r="K318" s="3666"/>
      <c r="M318" s="2576" t="s">
        <v>223</v>
      </c>
      <c r="N318" s="2576" t="s">
        <v>224</v>
      </c>
      <c r="O318" s="2576" t="s">
        <v>225</v>
      </c>
      <c r="P318" s="2576" t="s">
        <v>157</v>
      </c>
      <c r="Q318" s="2576" t="s">
        <v>944</v>
      </c>
      <c r="R318" s="2576" t="s">
        <v>945</v>
      </c>
      <c r="S318" s="2576" t="s">
        <v>946</v>
      </c>
      <c r="T318" s="2576" t="s">
        <v>947</v>
      </c>
      <c r="U318" s="2576" t="s">
        <v>948</v>
      </c>
      <c r="V318" s="2576" t="s">
        <v>949</v>
      </c>
      <c r="W318" s="2570"/>
      <c r="Y318" s="2641"/>
      <c r="Z318" s="2641"/>
      <c r="AA318" s="2641"/>
      <c r="AB318" s="2642"/>
      <c r="AC318" s="4064"/>
      <c r="AD318" s="3591"/>
      <c r="AE318" s="4064"/>
      <c r="AF318" s="3591"/>
      <c r="AG318" s="4064"/>
      <c r="AH318" s="3178"/>
      <c r="AI318" s="2634"/>
    </row>
    <row r="319" spans="1:49">
      <c r="A319" s="3433"/>
      <c r="B319" s="3433"/>
      <c r="C319" s="3433"/>
      <c r="D319" s="3434"/>
      <c r="E319" s="3433"/>
      <c r="F319" s="3433"/>
      <c r="G319" s="3433"/>
      <c r="H319" s="3449"/>
      <c r="I319" s="3433"/>
      <c r="J319" s="3433"/>
      <c r="K319" s="3436"/>
      <c r="M319" s="2577"/>
      <c r="N319" s="2577">
        <v>954862</v>
      </c>
      <c r="O319" s="2577" t="s">
        <v>1236</v>
      </c>
      <c r="P319" s="2578"/>
      <c r="Q319" s="2577">
        <v>70</v>
      </c>
      <c r="R319" s="2577"/>
      <c r="S319" s="2577">
        <v>69.674999999999997</v>
      </c>
      <c r="T319" s="2577"/>
      <c r="U319" s="2577">
        <f>(Q319-S319)</f>
        <v>0.32500000000000284</v>
      </c>
      <c r="V319" s="2577">
        <f t="shared" ref="V319" si="218">(R319-T319)</f>
        <v>0</v>
      </c>
      <c r="W319" s="2570"/>
      <c r="Y319" s="2641"/>
      <c r="Z319" s="2641"/>
      <c r="AA319" s="2641"/>
      <c r="AB319" s="2642"/>
      <c r="AC319" s="4064"/>
      <c r="AD319" s="3591"/>
      <c r="AE319" s="4064"/>
      <c r="AF319" s="3591"/>
      <c r="AG319" s="4064"/>
      <c r="AH319" s="3178"/>
      <c r="AI319" s="2634"/>
    </row>
    <row r="320" spans="1:49">
      <c r="A320" s="3433"/>
      <c r="B320" s="3433"/>
      <c r="C320" s="3433"/>
      <c r="D320" s="3434"/>
      <c r="E320" s="3433"/>
      <c r="F320" s="3433"/>
      <c r="G320" s="3433"/>
      <c r="H320" s="3449"/>
      <c r="I320" s="3433"/>
      <c r="J320" s="3433"/>
      <c r="K320" s="3436"/>
      <c r="M320" s="2577"/>
      <c r="N320" s="2577"/>
      <c r="O320" s="2577"/>
      <c r="P320" s="2578"/>
      <c r="Q320" s="2577"/>
      <c r="R320" s="2577"/>
      <c r="S320" s="2577"/>
      <c r="T320" s="2577"/>
      <c r="U320" s="2577"/>
      <c r="V320" s="2577"/>
      <c r="W320" s="2570"/>
      <c r="Y320" s="2641"/>
      <c r="Z320" s="2641"/>
      <c r="AA320" s="2641"/>
      <c r="AB320" s="2642"/>
      <c r="AC320" s="4064"/>
      <c r="AD320" s="3591"/>
      <c r="AE320" s="4064"/>
      <c r="AF320" s="3591"/>
      <c r="AG320" s="4064"/>
      <c r="AH320" s="3178"/>
      <c r="AI320" s="2634"/>
    </row>
    <row r="321" spans="1:35">
      <c r="A321" s="3433"/>
      <c r="B321" s="3433"/>
      <c r="C321" s="3433"/>
      <c r="D321" s="3434"/>
      <c r="E321" s="3433"/>
      <c r="F321" s="3433"/>
      <c r="G321" s="3433"/>
      <c r="H321" s="3449"/>
      <c r="I321" s="3433"/>
      <c r="J321" s="3433"/>
      <c r="K321" s="3436"/>
      <c r="M321" s="2579"/>
      <c r="N321" s="2579"/>
      <c r="O321" s="2579"/>
      <c r="P321" s="2580"/>
      <c r="Q321" s="2581">
        <f t="shared" ref="Q321:V321" si="219">SUM(Q319:Q320)</f>
        <v>70</v>
      </c>
      <c r="R321" s="2581">
        <f t="shared" si="219"/>
        <v>0</v>
      </c>
      <c r="S321" s="2581">
        <f t="shared" si="219"/>
        <v>69.674999999999997</v>
      </c>
      <c r="T321" s="2581">
        <f t="shared" si="219"/>
        <v>0</v>
      </c>
      <c r="U321" s="2581">
        <f t="shared" si="219"/>
        <v>0.32500000000000284</v>
      </c>
      <c r="V321" s="2581">
        <f t="shared" si="219"/>
        <v>0</v>
      </c>
      <c r="W321" s="2570"/>
      <c r="Y321" s="2641"/>
      <c r="Z321" s="2641"/>
      <c r="AA321" s="2641"/>
      <c r="AB321" s="2642"/>
      <c r="AC321" s="4064"/>
      <c r="AD321" s="3591"/>
      <c r="AE321" s="4064"/>
      <c r="AF321" s="3591"/>
      <c r="AG321" s="4064"/>
      <c r="AH321" s="3178"/>
      <c r="AI321" s="2634"/>
    </row>
    <row r="322" spans="1:35">
      <c r="A322" s="3433"/>
      <c r="B322" s="3433"/>
      <c r="C322" s="3433"/>
      <c r="D322" s="3434"/>
      <c r="E322" s="3433"/>
      <c r="F322" s="3433"/>
      <c r="G322" s="3433"/>
      <c r="H322" s="3449"/>
      <c r="I322" s="3433"/>
      <c r="J322" s="3433"/>
      <c r="K322" s="3436"/>
      <c r="M322" s="2524"/>
      <c r="N322" s="2524"/>
      <c r="O322" s="2524"/>
      <c r="P322" s="2524"/>
      <c r="Q322" s="2524"/>
      <c r="R322" s="2524"/>
      <c r="S322" s="2524"/>
      <c r="T322" s="2524"/>
      <c r="U322" s="2524"/>
      <c r="V322" s="2524"/>
      <c r="W322" s="2524"/>
      <c r="Y322" s="2641"/>
      <c r="Z322" s="2641"/>
      <c r="AA322" s="2641"/>
      <c r="AB322" s="2642"/>
      <c r="AC322" s="4064"/>
      <c r="AD322" s="3591"/>
      <c r="AE322" s="4064"/>
      <c r="AF322" s="3591"/>
      <c r="AG322" s="4064"/>
      <c r="AH322" s="3178"/>
      <c r="AI322" s="2634"/>
    </row>
    <row r="323" spans="1:35">
      <c r="A323" s="3433"/>
      <c r="B323" s="3433"/>
      <c r="C323" s="3433"/>
      <c r="D323" s="3434"/>
      <c r="E323" s="3433"/>
      <c r="F323" s="3433"/>
      <c r="G323" s="3433"/>
      <c r="H323" s="3449"/>
      <c r="I323" s="3433"/>
      <c r="J323" s="3433"/>
      <c r="K323" s="3436"/>
      <c r="M323" s="2524"/>
      <c r="N323" s="2524"/>
      <c r="O323" s="2524"/>
      <c r="P323" s="2524"/>
      <c r="Q323" s="2524"/>
      <c r="R323" s="2524"/>
      <c r="S323" s="2524"/>
      <c r="T323" s="2524"/>
      <c r="U323" s="2524"/>
      <c r="V323" s="2524"/>
      <c r="W323" s="2524"/>
      <c r="Y323" s="2641"/>
      <c r="Z323" s="2641"/>
      <c r="AA323" s="2641"/>
      <c r="AB323" s="2642"/>
      <c r="AC323" s="4064"/>
      <c r="AD323" s="3591"/>
      <c r="AE323" s="4064"/>
      <c r="AF323" s="3591"/>
      <c r="AG323" s="4064"/>
      <c r="AH323" s="3178"/>
      <c r="AI323" s="2634"/>
    </row>
    <row r="324" spans="1:35" ht="30">
      <c r="A324" s="3105"/>
      <c r="B324" s="3105"/>
      <c r="C324" s="3105"/>
      <c r="D324" s="3105"/>
      <c r="E324" s="3105"/>
      <c r="F324" s="3105"/>
      <c r="G324" s="3105"/>
      <c r="H324" s="3105"/>
      <c r="I324" s="3105"/>
      <c r="J324" s="3105"/>
      <c r="K324" s="3105"/>
      <c r="M324" s="2568" t="s">
        <v>1234</v>
      </c>
      <c r="N324" s="2568"/>
      <c r="O324" s="2568"/>
      <c r="P324" s="2568"/>
      <c r="Q324" s="2568"/>
      <c r="R324" s="2569"/>
      <c r="S324" s="2568"/>
      <c r="T324" s="2568"/>
      <c r="U324" s="2568"/>
      <c r="V324" s="2568"/>
      <c r="W324" s="2570"/>
      <c r="Y324" s="2641"/>
      <c r="Z324" s="2641"/>
      <c r="AA324" s="2641"/>
      <c r="AB324" s="2642"/>
      <c r="AC324" s="4064"/>
      <c r="AD324" s="3591"/>
      <c r="AE324" s="4064"/>
      <c r="AF324" s="3591"/>
      <c r="AG324" s="4064"/>
      <c r="AH324" s="3178"/>
      <c r="AI324" s="2634"/>
    </row>
    <row r="325" spans="1:35" ht="30.6" thickBot="1">
      <c r="A325" s="2453" t="s">
        <v>942</v>
      </c>
      <c r="B325" s="2453"/>
      <c r="C325" s="2453"/>
      <c r="D325" s="2453"/>
      <c r="E325" s="2453"/>
      <c r="F325" s="2453"/>
      <c r="G325" s="2453"/>
      <c r="H325" s="2453"/>
      <c r="I325" s="2452"/>
      <c r="J325" s="2452"/>
      <c r="K325" s="2441"/>
      <c r="M325" s="2568" t="s">
        <v>1237</v>
      </c>
      <c r="N325" s="2570"/>
      <c r="O325" s="2570"/>
      <c r="P325" s="2570"/>
      <c r="Q325" s="2569" t="s">
        <v>261</v>
      </c>
      <c r="R325" s="2570"/>
      <c r="S325" s="2570"/>
      <c r="T325" s="2570"/>
      <c r="U325" s="2570"/>
      <c r="V325" s="2570"/>
      <c r="W325" s="2570"/>
      <c r="Y325" s="2641"/>
      <c r="Z325" s="2641"/>
      <c r="AA325" s="2641"/>
      <c r="AB325" s="2642"/>
      <c r="AC325" s="4064"/>
      <c r="AD325" s="3591"/>
      <c r="AE325" s="4064"/>
      <c r="AF325" s="3591"/>
      <c r="AG325" s="4064"/>
      <c r="AH325" s="3178"/>
      <c r="AI325" s="2634"/>
    </row>
    <row r="326" spans="1:35" ht="30">
      <c r="A326" s="2453" t="s">
        <v>955</v>
      </c>
      <c r="B326" s="2452"/>
      <c r="C326" s="2452"/>
      <c r="D326" s="2452"/>
      <c r="E326" s="2452"/>
      <c r="F326" s="2454" t="s">
        <v>943</v>
      </c>
      <c r="G326" s="2452"/>
      <c r="H326" s="2452"/>
      <c r="I326" s="2452"/>
      <c r="J326" s="2452"/>
      <c r="K326" s="2441"/>
      <c r="M326" s="2571"/>
      <c r="N326" s="2572"/>
      <c r="O326" s="2572"/>
      <c r="P326" s="2572"/>
      <c r="Q326" s="4048" t="s">
        <v>152</v>
      </c>
      <c r="R326" s="4049"/>
      <c r="S326" s="4048" t="s">
        <v>153</v>
      </c>
      <c r="T326" s="4049"/>
      <c r="U326" s="2573" t="s">
        <v>154</v>
      </c>
      <c r="V326" s="2574"/>
      <c r="W326" s="2575" t="s">
        <v>132</v>
      </c>
      <c r="Y326" s="2641"/>
      <c r="Z326" s="2641"/>
      <c r="AA326" s="2641"/>
      <c r="AB326" s="2642"/>
      <c r="AC326" s="4064"/>
      <c r="AD326" s="3591"/>
      <c r="AE326" s="4064"/>
      <c r="AF326" s="3591"/>
      <c r="AG326" s="4064"/>
      <c r="AH326" s="3178"/>
      <c r="AI326" s="2634"/>
    </row>
    <row r="327" spans="1:35" ht="29.4" thickBot="1">
      <c r="A327" s="2441"/>
      <c r="B327" s="2441"/>
      <c r="C327" s="2441"/>
      <c r="D327" s="2441"/>
      <c r="E327" s="2441"/>
      <c r="F327" s="2441"/>
      <c r="G327" s="2441"/>
      <c r="H327" s="2441"/>
      <c r="I327" s="2441"/>
      <c r="J327" s="2441"/>
      <c r="K327" s="2441"/>
      <c r="M327" s="2576" t="s">
        <v>223</v>
      </c>
      <c r="N327" s="2576" t="s">
        <v>224</v>
      </c>
      <c r="O327" s="2576" t="s">
        <v>225</v>
      </c>
      <c r="P327" s="2576" t="s">
        <v>157</v>
      </c>
      <c r="Q327" s="2576" t="s">
        <v>944</v>
      </c>
      <c r="R327" s="2576" t="s">
        <v>945</v>
      </c>
      <c r="S327" s="2576" t="s">
        <v>946</v>
      </c>
      <c r="T327" s="2576" t="s">
        <v>947</v>
      </c>
      <c r="U327" s="2576" t="s">
        <v>948</v>
      </c>
      <c r="V327" s="2576" t="s">
        <v>949</v>
      </c>
      <c r="W327" s="2570"/>
      <c r="Y327" s="2641"/>
      <c r="Z327" s="2641"/>
      <c r="AA327" s="2641"/>
      <c r="AB327" s="2642"/>
      <c r="AC327" s="4064"/>
      <c r="AD327" s="3591"/>
      <c r="AE327" s="4064"/>
      <c r="AF327" s="3591"/>
      <c r="AG327" s="4064"/>
      <c r="AH327" s="3178"/>
      <c r="AI327" s="2634"/>
    </row>
    <row r="328" spans="1:35" ht="14.4">
      <c r="A328" s="2442"/>
      <c r="B328" s="2443"/>
      <c r="C328" s="2443"/>
      <c r="D328" s="2443"/>
      <c r="E328" s="4066" t="s">
        <v>152</v>
      </c>
      <c r="F328" s="4068"/>
      <c r="G328" s="4066" t="s">
        <v>153</v>
      </c>
      <c r="H328" s="4068"/>
      <c r="I328" s="2526" t="s">
        <v>154</v>
      </c>
      <c r="J328" s="2527"/>
      <c r="K328" s="2441"/>
      <c r="M328" s="2577"/>
      <c r="N328" s="2577">
        <v>957483</v>
      </c>
      <c r="O328" s="2577" t="s">
        <v>1238</v>
      </c>
      <c r="P328" s="2578"/>
      <c r="Q328" s="2577">
        <v>70</v>
      </c>
      <c r="R328" s="2577"/>
      <c r="S328" s="2577">
        <v>69.135000000000005</v>
      </c>
      <c r="T328" s="2577"/>
      <c r="U328" s="2577">
        <f>(Q328-S328)</f>
        <v>0.86499999999999488</v>
      </c>
      <c r="V328" s="2577">
        <f t="shared" ref="V328:V329" si="220">(R328-T328)</f>
        <v>0</v>
      </c>
      <c r="W328" s="2570"/>
      <c r="Y328" s="2641"/>
      <c r="Z328" s="2641"/>
      <c r="AA328" s="2641"/>
      <c r="AB328" s="2642"/>
      <c r="AC328" s="4064"/>
      <c r="AD328" s="3591"/>
      <c r="AE328" s="4064"/>
      <c r="AF328" s="3591"/>
      <c r="AG328" s="4064"/>
      <c r="AH328" s="3178"/>
      <c r="AI328" s="2634"/>
    </row>
    <row r="329" spans="1:35" ht="28.8">
      <c r="A329" s="2444" t="s">
        <v>223</v>
      </c>
      <c r="B329" s="2444" t="s">
        <v>224</v>
      </c>
      <c r="C329" s="2444" t="s">
        <v>225</v>
      </c>
      <c r="D329" s="2444" t="s">
        <v>157</v>
      </c>
      <c r="E329" s="2444" t="s">
        <v>944</v>
      </c>
      <c r="F329" s="2444" t="s">
        <v>945</v>
      </c>
      <c r="G329" s="2444" t="s">
        <v>946</v>
      </c>
      <c r="H329" s="2444" t="s">
        <v>947</v>
      </c>
      <c r="I329" s="2445" t="s">
        <v>948</v>
      </c>
      <c r="J329" s="2445" t="s">
        <v>949</v>
      </c>
      <c r="K329" s="2456" t="s">
        <v>132</v>
      </c>
      <c r="M329" s="2577"/>
      <c r="N329" s="2577"/>
      <c r="O329" s="2577"/>
      <c r="P329" s="2578"/>
      <c r="Q329" s="2577"/>
      <c r="R329" s="2577"/>
      <c r="S329" s="2577"/>
      <c r="T329" s="2577"/>
      <c r="U329" s="2577">
        <f t="shared" ref="U329" si="221">(Q329-S329)</f>
        <v>0</v>
      </c>
      <c r="V329" s="2577">
        <f t="shared" si="220"/>
        <v>0</v>
      </c>
      <c r="W329" s="2570"/>
      <c r="Y329" s="2641"/>
      <c r="Z329" s="2641"/>
      <c r="AA329" s="2641"/>
      <c r="AB329" s="2642"/>
      <c r="AC329" s="4065"/>
      <c r="AD329" s="3591"/>
      <c r="AE329" s="4065"/>
      <c r="AF329" s="3591"/>
      <c r="AG329" s="4065"/>
      <c r="AH329" s="3178"/>
      <c r="AI329" s="2634"/>
    </row>
    <row r="330" spans="1:35">
      <c r="A330" s="2446"/>
      <c r="B330" s="2446">
        <v>951220</v>
      </c>
      <c r="C330" s="2447" t="s">
        <v>289</v>
      </c>
      <c r="D330" s="2448"/>
      <c r="E330" s="2446">
        <v>40</v>
      </c>
      <c r="F330" s="2446">
        <v>400</v>
      </c>
      <c r="G330" s="2446">
        <v>16.841999999999999</v>
      </c>
      <c r="H330" s="2446">
        <v>400</v>
      </c>
      <c r="I330" s="2446">
        <f>(E330-G330)</f>
        <v>23.158000000000001</v>
      </c>
      <c r="J330" s="2473">
        <f t="shared" ref="J330:J346" si="222">(F330-H330)</f>
        <v>0</v>
      </c>
      <c r="K330" s="2517" t="s">
        <v>1060</v>
      </c>
      <c r="M330" s="2579"/>
      <c r="N330" s="2579"/>
      <c r="O330" s="2579"/>
      <c r="P330" s="2580"/>
      <c r="Q330" s="2581">
        <f t="shared" ref="Q330:V330" si="223">SUM(Q328:Q329)</f>
        <v>70</v>
      </c>
      <c r="R330" s="2581">
        <f t="shared" si="223"/>
        <v>0</v>
      </c>
      <c r="S330" s="2581">
        <f t="shared" si="223"/>
        <v>69.135000000000005</v>
      </c>
      <c r="T330" s="2581">
        <f t="shared" si="223"/>
        <v>0</v>
      </c>
      <c r="U330" s="2581">
        <f t="shared" si="223"/>
        <v>0.86499999999999488</v>
      </c>
      <c r="V330" s="2581">
        <f t="shared" si="223"/>
        <v>0</v>
      </c>
      <c r="W330" s="2570"/>
      <c r="Y330" s="2641"/>
      <c r="Z330" s="2641"/>
      <c r="AA330" s="2641"/>
      <c r="AB330" s="2642"/>
      <c r="AC330" s="2641"/>
      <c r="AD330" s="2641"/>
      <c r="AE330" s="2641"/>
      <c r="AF330" s="2641"/>
      <c r="AG330" s="2641"/>
      <c r="AH330" s="2641"/>
      <c r="AI330" s="2634"/>
    </row>
    <row r="331" spans="1:35">
      <c r="A331" s="2446"/>
      <c r="B331" s="2446">
        <v>950656</v>
      </c>
      <c r="C331" s="2447" t="s">
        <v>291</v>
      </c>
      <c r="D331" s="2448"/>
      <c r="E331" s="2446">
        <v>40</v>
      </c>
      <c r="F331" s="2446">
        <v>400</v>
      </c>
      <c r="G331" s="2446">
        <v>9.3309999999999995</v>
      </c>
      <c r="H331" s="2446">
        <v>400</v>
      </c>
      <c r="I331" s="2446">
        <f t="shared" ref="I331:I346" si="224">(E331-G331)</f>
        <v>30.669</v>
      </c>
      <c r="J331" s="2473">
        <f t="shared" si="222"/>
        <v>0</v>
      </c>
      <c r="K331" s="2517"/>
      <c r="M331" s="2524"/>
      <c r="N331" s="2524"/>
      <c r="O331" s="2524"/>
      <c r="P331" s="2524"/>
      <c r="Q331" s="2524"/>
      <c r="R331" s="2524"/>
      <c r="S331" s="2524"/>
      <c r="T331" s="2524"/>
      <c r="U331" s="2524"/>
      <c r="V331" s="2524"/>
      <c r="W331" s="2524"/>
      <c r="AF331" s="2266" t="s">
        <v>1648</v>
      </c>
    </row>
    <row r="332" spans="1:35">
      <c r="A332" s="2446"/>
      <c r="B332" s="2446">
        <v>958703</v>
      </c>
      <c r="C332" s="2447" t="s">
        <v>950</v>
      </c>
      <c r="D332" s="2448"/>
      <c r="E332" s="2446">
        <v>40</v>
      </c>
      <c r="F332" s="2446">
        <v>400</v>
      </c>
      <c r="G332" s="2446">
        <v>0</v>
      </c>
      <c r="H332" s="2446">
        <v>399.99999999999994</v>
      </c>
      <c r="I332" s="2446">
        <f t="shared" si="224"/>
        <v>40</v>
      </c>
      <c r="J332" s="2473">
        <f t="shared" si="222"/>
        <v>5.6843418860808015E-14</v>
      </c>
      <c r="K332" s="2517"/>
      <c r="M332" s="2524"/>
      <c r="N332" s="2524"/>
      <c r="O332" s="2524"/>
      <c r="P332" s="2524"/>
      <c r="Q332" s="2524"/>
      <c r="R332" s="2524"/>
      <c r="S332" s="2524"/>
      <c r="T332" s="2524"/>
      <c r="U332" s="2524"/>
      <c r="V332" s="2524"/>
      <c r="W332" s="2524"/>
    </row>
    <row r="333" spans="1:35" ht="30">
      <c r="A333" s="2446"/>
      <c r="B333" s="2446">
        <v>953053</v>
      </c>
      <c r="C333" s="2447" t="s">
        <v>951</v>
      </c>
      <c r="D333" s="2448"/>
      <c r="E333" s="2446">
        <v>40</v>
      </c>
      <c r="F333" s="2446">
        <v>400</v>
      </c>
      <c r="G333" s="2446">
        <v>0</v>
      </c>
      <c r="H333" s="2446">
        <v>400</v>
      </c>
      <c r="I333" s="2446">
        <f t="shared" si="224"/>
        <v>40</v>
      </c>
      <c r="J333" s="2473">
        <f t="shared" si="222"/>
        <v>0</v>
      </c>
      <c r="K333" s="2517"/>
      <c r="M333" s="2568" t="s">
        <v>1234</v>
      </c>
      <c r="N333" s="2568"/>
      <c r="O333" s="2568"/>
      <c r="P333" s="2568"/>
      <c r="Q333" s="2568"/>
      <c r="R333" s="2569"/>
      <c r="S333" s="2568"/>
      <c r="T333" s="2568"/>
      <c r="U333" s="2568"/>
      <c r="V333" s="2568"/>
      <c r="W333" s="2570"/>
    </row>
    <row r="334" spans="1:35" ht="30.6" thickBot="1">
      <c r="A334" s="2446"/>
      <c r="B334" s="2446">
        <v>953746</v>
      </c>
      <c r="C334" s="2447" t="s">
        <v>286</v>
      </c>
      <c r="D334" s="2448"/>
      <c r="E334" s="2446">
        <v>40</v>
      </c>
      <c r="F334" s="2446">
        <v>400</v>
      </c>
      <c r="G334" s="2446">
        <v>19.396999999999998</v>
      </c>
      <c r="H334" s="2446">
        <v>399.99999999999994</v>
      </c>
      <c r="I334" s="2446">
        <f t="shared" si="224"/>
        <v>20.603000000000002</v>
      </c>
      <c r="J334" s="2473">
        <f t="shared" si="222"/>
        <v>5.6843418860808015E-14</v>
      </c>
      <c r="K334" s="2517" t="s">
        <v>1060</v>
      </c>
      <c r="M334" s="2568" t="s">
        <v>1239</v>
      </c>
      <c r="N334" s="2570"/>
      <c r="O334" s="2570"/>
      <c r="P334" s="2570"/>
      <c r="Q334" s="2569" t="s">
        <v>261</v>
      </c>
      <c r="R334" s="2570"/>
      <c r="S334" s="2570"/>
      <c r="T334" s="2570"/>
      <c r="U334" s="2570"/>
      <c r="V334" s="2570"/>
      <c r="W334" s="2570"/>
    </row>
    <row r="335" spans="1:35" ht="14.4">
      <c r="A335" s="2446"/>
      <c r="B335" s="2446" t="s">
        <v>1644</v>
      </c>
      <c r="C335" s="2447" t="s">
        <v>1643</v>
      </c>
      <c r="D335" s="2448"/>
      <c r="E335" s="2446">
        <v>40</v>
      </c>
      <c r="F335" s="2446">
        <v>400</v>
      </c>
      <c r="G335" s="2446">
        <v>0</v>
      </c>
      <c r="H335" s="2446">
        <v>400</v>
      </c>
      <c r="I335" s="2446">
        <f t="shared" si="224"/>
        <v>40</v>
      </c>
      <c r="J335" s="2473">
        <f t="shared" si="222"/>
        <v>0</v>
      </c>
      <c r="K335" s="2517"/>
      <c r="M335" s="2571"/>
      <c r="N335" s="2572"/>
      <c r="O335" s="2572"/>
      <c r="P335" s="2572"/>
      <c r="Q335" s="4048" t="s">
        <v>152</v>
      </c>
      <c r="R335" s="4049"/>
      <c r="S335" s="4048" t="s">
        <v>153</v>
      </c>
      <c r="T335" s="4049"/>
      <c r="U335" s="2573" t="s">
        <v>154</v>
      </c>
      <c r="V335" s="2574"/>
      <c r="W335" s="2575" t="s">
        <v>132</v>
      </c>
    </row>
    <row r="336" spans="1:35" ht="28.8">
      <c r="A336" s="2446"/>
      <c r="B336" s="2446">
        <v>956926</v>
      </c>
      <c r="C336" s="2447" t="s">
        <v>464</v>
      </c>
      <c r="D336" s="2448"/>
      <c r="E336" s="2446">
        <v>40</v>
      </c>
      <c r="F336" s="2446">
        <v>400</v>
      </c>
      <c r="G336" s="2446">
        <v>2.6749999999999998</v>
      </c>
      <c r="H336" s="2446">
        <v>400</v>
      </c>
      <c r="I336" s="2446">
        <f t="shared" si="224"/>
        <v>37.325000000000003</v>
      </c>
      <c r="J336" s="2473">
        <f t="shared" si="222"/>
        <v>0</v>
      </c>
      <c r="K336" s="2517" t="s">
        <v>1060</v>
      </c>
      <c r="M336" s="2576" t="s">
        <v>223</v>
      </c>
      <c r="N336" s="2576" t="s">
        <v>224</v>
      </c>
      <c r="O336" s="2576" t="s">
        <v>225</v>
      </c>
      <c r="P336" s="2576" t="s">
        <v>157</v>
      </c>
      <c r="Q336" s="2576" t="s">
        <v>944</v>
      </c>
      <c r="R336" s="2576" t="s">
        <v>945</v>
      </c>
      <c r="S336" s="2576" t="s">
        <v>946</v>
      </c>
      <c r="T336" s="2576" t="s">
        <v>947</v>
      </c>
      <c r="U336" s="2576" t="s">
        <v>948</v>
      </c>
      <c r="V336" s="2576" t="s">
        <v>949</v>
      </c>
      <c r="W336" s="2570"/>
    </row>
    <row r="337" spans="1:23">
      <c r="A337" s="2446"/>
      <c r="B337" s="2446">
        <v>957377</v>
      </c>
      <c r="C337" s="2447" t="s">
        <v>952</v>
      </c>
      <c r="D337" s="2448"/>
      <c r="E337" s="2446">
        <v>40</v>
      </c>
      <c r="F337" s="2446">
        <v>400</v>
      </c>
      <c r="G337" s="2446">
        <v>0</v>
      </c>
      <c r="H337" s="2446">
        <v>399.99999999999994</v>
      </c>
      <c r="I337" s="2446">
        <f t="shared" si="224"/>
        <v>40</v>
      </c>
      <c r="J337" s="2473">
        <f t="shared" si="222"/>
        <v>5.6843418860808015E-14</v>
      </c>
      <c r="K337" s="2517"/>
      <c r="M337" s="2577"/>
      <c r="N337" s="2577">
        <v>3816</v>
      </c>
      <c r="O337" s="2577" t="s">
        <v>1240</v>
      </c>
      <c r="P337" s="2578"/>
      <c r="Q337" s="2577">
        <v>70</v>
      </c>
      <c r="R337" s="2577"/>
      <c r="S337" s="2577">
        <v>69.064999999999998</v>
      </c>
      <c r="T337" s="2577"/>
      <c r="U337" s="2577">
        <f>(Q337-S337)</f>
        <v>0.93500000000000227</v>
      </c>
      <c r="V337" s="2577">
        <f t="shared" ref="V337:V338" si="225">(R337-T337)</f>
        <v>0</v>
      </c>
      <c r="W337" s="2570"/>
    </row>
    <row r="338" spans="1:23">
      <c r="A338" s="2446"/>
      <c r="B338" s="2446">
        <v>11718</v>
      </c>
      <c r="C338" s="2447" t="s">
        <v>953</v>
      </c>
      <c r="D338" s="2448"/>
      <c r="E338" s="2446">
        <v>40</v>
      </c>
      <c r="F338" s="2446">
        <v>400</v>
      </c>
      <c r="G338" s="2446">
        <v>0</v>
      </c>
      <c r="H338" s="2446">
        <v>399.99999999999994</v>
      </c>
      <c r="I338" s="2446">
        <f t="shared" si="224"/>
        <v>40</v>
      </c>
      <c r="J338" s="2473">
        <f t="shared" si="222"/>
        <v>5.6843418860808015E-14</v>
      </c>
      <c r="K338" s="2517"/>
      <c r="M338" s="2577"/>
      <c r="N338" s="2577"/>
      <c r="O338" s="2577"/>
      <c r="P338" s="2578"/>
      <c r="Q338" s="2577"/>
      <c r="R338" s="2577"/>
      <c r="S338" s="2577"/>
      <c r="T338" s="2577"/>
      <c r="U338" s="2577">
        <f t="shared" ref="U338" si="226">(Q338-S338)</f>
        <v>0</v>
      </c>
      <c r="V338" s="2577">
        <f t="shared" si="225"/>
        <v>0</v>
      </c>
      <c r="W338" s="2570"/>
    </row>
    <row r="339" spans="1:23">
      <c r="A339" s="2446"/>
      <c r="B339" s="2446">
        <v>957495</v>
      </c>
      <c r="C339" s="2447" t="s">
        <v>487</v>
      </c>
      <c r="D339" s="2448"/>
      <c r="E339" s="2446">
        <v>40</v>
      </c>
      <c r="F339" s="2446">
        <v>400</v>
      </c>
      <c r="G339" s="2446">
        <v>5.4309999999999992</v>
      </c>
      <c r="H339" s="2446">
        <v>400</v>
      </c>
      <c r="I339" s="2446">
        <f t="shared" si="224"/>
        <v>34.569000000000003</v>
      </c>
      <c r="J339" s="2473">
        <f t="shared" si="222"/>
        <v>0</v>
      </c>
      <c r="K339" s="2517" t="s">
        <v>1060</v>
      </c>
      <c r="M339" s="2579"/>
      <c r="N339" s="2579"/>
      <c r="O339" s="2579"/>
      <c r="P339" s="2580"/>
      <c r="Q339" s="2581">
        <f t="shared" ref="Q339:V339" si="227">SUM(Q337:Q338)</f>
        <v>70</v>
      </c>
      <c r="R339" s="2581">
        <f t="shared" si="227"/>
        <v>0</v>
      </c>
      <c r="S339" s="2581">
        <f t="shared" si="227"/>
        <v>69.064999999999998</v>
      </c>
      <c r="T339" s="2581">
        <f t="shared" si="227"/>
        <v>0</v>
      </c>
      <c r="U339" s="2581">
        <f t="shared" si="227"/>
        <v>0.93500000000000227</v>
      </c>
      <c r="V339" s="2581">
        <f t="shared" si="227"/>
        <v>0</v>
      </c>
      <c r="W339" s="2570"/>
    </row>
    <row r="340" spans="1:23">
      <c r="A340" s="2446"/>
      <c r="B340" s="2446">
        <v>925451</v>
      </c>
      <c r="C340" s="2447" t="s">
        <v>284</v>
      </c>
      <c r="D340" s="2448"/>
      <c r="E340" s="2446">
        <v>40</v>
      </c>
      <c r="F340" s="2446">
        <v>400</v>
      </c>
      <c r="G340" s="2446">
        <v>0</v>
      </c>
      <c r="H340" s="2446">
        <v>400.00000000000006</v>
      </c>
      <c r="I340" s="2446">
        <f t="shared" si="224"/>
        <v>40</v>
      </c>
      <c r="J340" s="2473">
        <f t="shared" si="222"/>
        <v>-5.6843418860808015E-14</v>
      </c>
      <c r="K340" s="2517" t="s">
        <v>1078</v>
      </c>
      <c r="M340" s="2524"/>
      <c r="N340" s="2524"/>
      <c r="O340" s="2524"/>
      <c r="P340" s="2524"/>
      <c r="Q340" s="2524"/>
      <c r="R340" s="2524"/>
      <c r="S340" s="2524"/>
      <c r="T340" s="2524"/>
      <c r="U340" s="2524"/>
      <c r="V340" s="2524"/>
      <c r="W340" s="2524"/>
    </row>
    <row r="341" spans="1:23" ht="30">
      <c r="A341" s="2446"/>
      <c r="B341" s="2446">
        <v>916067</v>
      </c>
      <c r="C341" s="2447" t="s">
        <v>461</v>
      </c>
      <c r="D341" s="2448"/>
      <c r="E341" s="2446">
        <v>40</v>
      </c>
      <c r="F341" s="2446">
        <v>400</v>
      </c>
      <c r="G341" s="2446">
        <v>0</v>
      </c>
      <c r="H341" s="2446">
        <v>399.99999999999994</v>
      </c>
      <c r="I341" s="2446">
        <f t="shared" si="224"/>
        <v>40</v>
      </c>
      <c r="J341" s="2473">
        <f t="shared" si="222"/>
        <v>5.6843418860808015E-14</v>
      </c>
      <c r="K341" s="2517"/>
      <c r="M341" s="2568" t="s">
        <v>1064</v>
      </c>
      <c r="N341" s="2568"/>
      <c r="O341" s="2568"/>
      <c r="P341" s="2568"/>
      <c r="Q341" s="2568"/>
      <c r="R341" s="2569"/>
      <c r="S341" s="2568"/>
      <c r="T341" s="2568"/>
      <c r="U341" s="2568"/>
      <c r="V341" s="2568"/>
      <c r="W341" s="2570"/>
    </row>
    <row r="342" spans="1:23" ht="30.6" thickBot="1">
      <c r="A342" s="2446"/>
      <c r="B342" s="2446">
        <v>925404</v>
      </c>
      <c r="C342" s="2447" t="s">
        <v>462</v>
      </c>
      <c r="D342" s="2448"/>
      <c r="E342" s="2446">
        <v>40</v>
      </c>
      <c r="F342" s="2446">
        <v>400</v>
      </c>
      <c r="G342" s="2446">
        <v>3.4689999999999999</v>
      </c>
      <c r="H342" s="2446">
        <v>400</v>
      </c>
      <c r="I342" s="2446">
        <f t="shared" si="224"/>
        <v>36.530999999999999</v>
      </c>
      <c r="J342" s="2473">
        <f t="shared" si="222"/>
        <v>0</v>
      </c>
      <c r="K342" s="2517"/>
      <c r="M342" s="2568" t="s">
        <v>1219</v>
      </c>
      <c r="N342" s="2570"/>
      <c r="O342" s="2570"/>
      <c r="P342" s="2570"/>
      <c r="Q342" s="2569" t="s">
        <v>1243</v>
      </c>
      <c r="R342" s="2570"/>
      <c r="S342" s="2570"/>
      <c r="T342" s="2570"/>
      <c r="U342" s="2570"/>
      <c r="V342" s="2570"/>
      <c r="W342" s="2570"/>
    </row>
    <row r="343" spans="1:23" ht="14.4">
      <c r="A343" s="2446"/>
      <c r="B343" s="2446">
        <v>951206</v>
      </c>
      <c r="C343" s="2447" t="s">
        <v>463</v>
      </c>
      <c r="D343" s="2448"/>
      <c r="E343" s="2446">
        <v>40</v>
      </c>
      <c r="F343" s="2446">
        <v>400</v>
      </c>
      <c r="G343" s="2446">
        <v>34.951999999999998</v>
      </c>
      <c r="H343" s="2446">
        <v>399.99999999999994</v>
      </c>
      <c r="I343" s="2446">
        <f t="shared" si="224"/>
        <v>5.0480000000000018</v>
      </c>
      <c r="J343" s="2473">
        <f t="shared" si="222"/>
        <v>5.6843418860808015E-14</v>
      </c>
      <c r="K343" s="2517"/>
      <c r="M343" s="2571"/>
      <c r="N343" s="2572"/>
      <c r="O343" s="2572"/>
      <c r="P343" s="2572"/>
      <c r="Q343" s="4048" t="s">
        <v>152</v>
      </c>
      <c r="R343" s="4049"/>
      <c r="S343" s="4048" t="s">
        <v>153</v>
      </c>
      <c r="T343" s="4049"/>
      <c r="U343" s="2573" t="s">
        <v>154</v>
      </c>
      <c r="V343" s="2574"/>
      <c r="W343" s="2575" t="s">
        <v>132</v>
      </c>
    </row>
    <row r="344" spans="1:23" ht="28.8">
      <c r="A344" s="2446"/>
      <c r="B344" s="2446">
        <v>11972</v>
      </c>
      <c r="C344" s="2447" t="s">
        <v>954</v>
      </c>
      <c r="D344" s="2448"/>
      <c r="E344" s="2446">
        <v>40</v>
      </c>
      <c r="F344" s="2446">
        <v>400</v>
      </c>
      <c r="G344" s="2446">
        <v>0</v>
      </c>
      <c r="H344" s="2446">
        <v>400</v>
      </c>
      <c r="I344" s="2446">
        <f t="shared" si="224"/>
        <v>40</v>
      </c>
      <c r="J344" s="2473">
        <f t="shared" si="222"/>
        <v>0</v>
      </c>
      <c r="K344" s="2517"/>
      <c r="M344" s="2576" t="s">
        <v>223</v>
      </c>
      <c r="N344" s="2576" t="s">
        <v>224</v>
      </c>
      <c r="O344" s="2576" t="s">
        <v>225</v>
      </c>
      <c r="P344" s="2576" t="s">
        <v>157</v>
      </c>
      <c r="Q344" s="2576" t="s">
        <v>944</v>
      </c>
      <c r="R344" s="2576" t="s">
        <v>945</v>
      </c>
      <c r="S344" s="2576" t="s">
        <v>946</v>
      </c>
      <c r="T344" s="2576" t="s">
        <v>947</v>
      </c>
      <c r="U344" s="2576" t="s">
        <v>948</v>
      </c>
      <c r="V344" s="2576" t="s">
        <v>949</v>
      </c>
      <c r="W344" s="2570"/>
    </row>
    <row r="345" spans="1:23">
      <c r="A345" s="2446"/>
      <c r="B345" s="2446">
        <v>956970</v>
      </c>
      <c r="C345" s="2447" t="s">
        <v>288</v>
      </c>
      <c r="D345" s="2448"/>
      <c r="E345" s="2446">
        <v>40</v>
      </c>
      <c r="F345" s="2446">
        <v>400</v>
      </c>
      <c r="G345" s="2446">
        <v>0</v>
      </c>
      <c r="H345" s="2446">
        <v>399.99999999999994</v>
      </c>
      <c r="I345" s="2446">
        <f t="shared" si="224"/>
        <v>40</v>
      </c>
      <c r="J345" s="2473">
        <f t="shared" si="222"/>
        <v>5.6843418860808015E-14</v>
      </c>
      <c r="K345" s="2517"/>
      <c r="M345" s="2577"/>
      <c r="N345" s="2577">
        <v>960812</v>
      </c>
      <c r="O345" s="2577" t="s">
        <v>1220</v>
      </c>
      <c r="P345" s="2578"/>
      <c r="Q345" s="2577">
        <v>95</v>
      </c>
      <c r="R345" s="2577">
        <v>405</v>
      </c>
      <c r="S345" s="2577">
        <v>38.954999999999998</v>
      </c>
      <c r="T345" s="2577">
        <v>461.04500000000002</v>
      </c>
      <c r="U345" s="2577">
        <f>(Q345-S345)</f>
        <v>56.045000000000002</v>
      </c>
      <c r="V345" s="3141">
        <f t="shared" ref="V345:V355" si="228">(R345-T345)</f>
        <v>-56.045000000000016</v>
      </c>
      <c r="W345" s="2570"/>
    </row>
    <row r="346" spans="1:23">
      <c r="A346" s="2446"/>
      <c r="B346" s="2446">
        <v>952178</v>
      </c>
      <c r="C346" s="2447" t="s">
        <v>292</v>
      </c>
      <c r="D346" s="2448"/>
      <c r="E346" s="2446">
        <v>40</v>
      </c>
      <c r="F346" s="2446">
        <v>400</v>
      </c>
      <c r="G346" s="2446">
        <v>0</v>
      </c>
      <c r="H346" s="2446">
        <v>400</v>
      </c>
      <c r="I346" s="2446">
        <f t="shared" si="224"/>
        <v>40</v>
      </c>
      <c r="J346" s="2473">
        <f t="shared" si="222"/>
        <v>0</v>
      </c>
      <c r="K346" s="2517"/>
      <c r="M346" s="2577"/>
      <c r="N346" s="2577">
        <v>959036</v>
      </c>
      <c r="O346" s="2577" t="s">
        <v>1221</v>
      </c>
      <c r="P346" s="2578"/>
      <c r="Q346" s="2577">
        <v>95</v>
      </c>
      <c r="R346" s="2577">
        <v>405</v>
      </c>
      <c r="S346" s="2577">
        <v>15.118</v>
      </c>
      <c r="T346" s="2577">
        <v>184.88200000000001</v>
      </c>
      <c r="U346" s="2577">
        <f t="shared" ref="U346:U354" si="229">(Q346-S346)</f>
        <v>79.882000000000005</v>
      </c>
      <c r="V346" s="2577">
        <f t="shared" si="228"/>
        <v>220.11799999999999</v>
      </c>
      <c r="W346" s="2570"/>
    </row>
    <row r="347" spans="1:23">
      <c r="A347" s="2449"/>
      <c r="B347" s="2449"/>
      <c r="C347" s="2449"/>
      <c r="D347" s="2450"/>
      <c r="E347" s="2451">
        <f t="shared" ref="E347:I347" si="230">SUM(E330:E346)</f>
        <v>680</v>
      </c>
      <c r="F347" s="2451">
        <f t="shared" si="230"/>
        <v>6800</v>
      </c>
      <c r="G347" s="2451">
        <f t="shared" si="230"/>
        <v>92.09699999999998</v>
      </c>
      <c r="H347" s="2451">
        <f t="shared" si="230"/>
        <v>6800</v>
      </c>
      <c r="I347" s="2451">
        <f t="shared" si="230"/>
        <v>587.90300000000002</v>
      </c>
      <c r="J347" s="2525">
        <f>SUM(J330:J346)</f>
        <v>3.4106051316484809E-13</v>
      </c>
      <c r="K347" s="2517"/>
      <c r="M347" s="2577"/>
      <c r="N347" s="2577">
        <v>957986</v>
      </c>
      <c r="O347" s="2577" t="s">
        <v>194</v>
      </c>
      <c r="P347" s="2578"/>
      <c r="Q347" s="2577">
        <v>95</v>
      </c>
      <c r="R347" s="2577">
        <v>405</v>
      </c>
      <c r="S347" s="2577">
        <v>26.771999999999998</v>
      </c>
      <c r="T347" s="2577">
        <v>756.77800000000002</v>
      </c>
      <c r="U347" s="2577">
        <f t="shared" si="229"/>
        <v>68.228000000000009</v>
      </c>
      <c r="V347" s="2577">
        <f t="shared" si="228"/>
        <v>-351.77800000000002</v>
      </c>
      <c r="W347" s="2570"/>
    </row>
    <row r="348" spans="1:23">
      <c r="M348" s="2577"/>
      <c r="N348" s="2577">
        <v>910840</v>
      </c>
      <c r="O348" s="2577" t="s">
        <v>202</v>
      </c>
      <c r="P348" s="2578"/>
      <c r="Q348" s="2577">
        <v>95</v>
      </c>
      <c r="R348" s="2577">
        <v>405</v>
      </c>
      <c r="S348" s="2577">
        <v>83.331000000000003</v>
      </c>
      <c r="T348" s="2577">
        <v>416.66899999999998</v>
      </c>
      <c r="U348" s="2577">
        <f t="shared" si="229"/>
        <v>11.668999999999997</v>
      </c>
      <c r="V348" s="2577">
        <f t="shared" si="228"/>
        <v>-11.668999999999983</v>
      </c>
      <c r="W348" s="2570"/>
    </row>
    <row r="349" spans="1:23" ht="30">
      <c r="A349" s="2528" t="s">
        <v>956</v>
      </c>
      <c r="B349" s="2452"/>
      <c r="C349" s="2452"/>
      <c r="D349" s="2452"/>
      <c r="E349" s="2452"/>
      <c r="F349" s="2452"/>
      <c r="G349" s="2452"/>
      <c r="H349" s="2452"/>
      <c r="I349" s="2452"/>
      <c r="J349" s="2452"/>
      <c r="K349" s="2441"/>
      <c r="M349" s="2577"/>
      <c r="N349" s="2577">
        <v>910615</v>
      </c>
      <c r="O349" s="2577" t="s">
        <v>1222</v>
      </c>
      <c r="P349" s="2578"/>
      <c r="Q349" s="2577">
        <v>95</v>
      </c>
      <c r="R349" s="2577">
        <v>405</v>
      </c>
      <c r="S349" s="2577">
        <v>39.512999999999998</v>
      </c>
      <c r="T349" s="2577">
        <v>460.48700000000002</v>
      </c>
      <c r="U349" s="2577">
        <f t="shared" si="229"/>
        <v>55.487000000000002</v>
      </c>
      <c r="V349" s="2577">
        <f t="shared" si="228"/>
        <v>-55.487000000000023</v>
      </c>
      <c r="W349" s="2570"/>
    </row>
    <row r="350" spans="1:23" ht="30">
      <c r="A350" s="2453" t="s">
        <v>1038</v>
      </c>
      <c r="B350" s="2452"/>
      <c r="C350" s="2452"/>
      <c r="D350" s="2452"/>
      <c r="E350" s="2452"/>
      <c r="F350" s="2454" t="s">
        <v>943</v>
      </c>
      <c r="G350" s="2452"/>
      <c r="H350" s="2452"/>
      <c r="I350" s="2452"/>
      <c r="J350" s="2452"/>
      <c r="K350" s="2441"/>
      <c r="M350" s="2577"/>
      <c r="N350" s="2577">
        <v>957940</v>
      </c>
      <c r="O350" s="2577" t="s">
        <v>1223</v>
      </c>
      <c r="P350" s="2578"/>
      <c r="Q350" s="2577">
        <v>95</v>
      </c>
      <c r="R350" s="2577">
        <v>405</v>
      </c>
      <c r="S350" s="2577">
        <v>14.34</v>
      </c>
      <c r="T350" s="2577">
        <v>485.66</v>
      </c>
      <c r="U350" s="2577">
        <f t="shared" si="229"/>
        <v>80.66</v>
      </c>
      <c r="V350" s="3141">
        <f t="shared" si="228"/>
        <v>-80.660000000000025</v>
      </c>
      <c r="W350" s="2570"/>
    </row>
    <row r="351" spans="1:23" ht="13.8" thickBot="1">
      <c r="A351" s="2441"/>
      <c r="B351" s="2441"/>
      <c r="C351" s="2441"/>
      <c r="D351" s="2441"/>
      <c r="E351" s="2441"/>
      <c r="F351" s="2441"/>
      <c r="G351" s="2441"/>
      <c r="H351" s="2441"/>
      <c r="I351" s="2441"/>
      <c r="J351" s="2441"/>
      <c r="K351" s="2441"/>
      <c r="M351" s="2577"/>
      <c r="N351" s="2577">
        <v>959621</v>
      </c>
      <c r="O351" s="2577" t="s">
        <v>1241</v>
      </c>
      <c r="P351" s="2578"/>
      <c r="Q351" s="2577">
        <v>95</v>
      </c>
      <c r="R351" s="2577">
        <v>405</v>
      </c>
      <c r="S351" s="2577">
        <v>11.455</v>
      </c>
      <c r="T351" s="2577">
        <v>488.54500000000002</v>
      </c>
      <c r="U351" s="2577">
        <f t="shared" si="229"/>
        <v>83.545000000000002</v>
      </c>
      <c r="V351" s="2577">
        <f t="shared" si="228"/>
        <v>-83.545000000000016</v>
      </c>
      <c r="W351" s="2570"/>
    </row>
    <row r="352" spans="1:23" ht="14.4">
      <c r="A352" s="2442"/>
      <c r="B352" s="2443"/>
      <c r="C352" s="2443"/>
      <c r="D352" s="2443"/>
      <c r="E352" s="4066" t="s">
        <v>152</v>
      </c>
      <c r="F352" s="4068"/>
      <c r="G352" s="4066" t="s">
        <v>153</v>
      </c>
      <c r="H352" s="4068"/>
      <c r="I352" s="2526" t="s">
        <v>154</v>
      </c>
      <c r="J352" s="2527"/>
      <c r="K352" s="2441"/>
      <c r="M352" s="2577"/>
      <c r="N352" s="2577">
        <v>4564</v>
      </c>
      <c r="O352" s="2577" t="s">
        <v>889</v>
      </c>
      <c r="P352" s="2578"/>
      <c r="Q352" s="2577">
        <v>95</v>
      </c>
      <c r="R352" s="2577">
        <v>405</v>
      </c>
      <c r="S352" s="2577">
        <v>25.827000000000002</v>
      </c>
      <c r="T352" s="2577">
        <v>474.173</v>
      </c>
      <c r="U352" s="2577">
        <f t="shared" si="229"/>
        <v>69.173000000000002</v>
      </c>
      <c r="V352" s="2577">
        <f t="shared" si="228"/>
        <v>-69.173000000000002</v>
      </c>
      <c r="W352" s="2570"/>
    </row>
    <row r="353" spans="1:24" ht="28.8">
      <c r="A353" s="2444" t="s">
        <v>957</v>
      </c>
      <c r="B353" s="2444" t="s">
        <v>224</v>
      </c>
      <c r="C353" s="2444" t="s">
        <v>225</v>
      </c>
      <c r="D353" s="2444" t="s">
        <v>157</v>
      </c>
      <c r="E353" s="2444" t="s">
        <v>944</v>
      </c>
      <c r="F353" s="2444" t="s">
        <v>945</v>
      </c>
      <c r="G353" s="2444" t="s">
        <v>946</v>
      </c>
      <c r="H353" s="2444" t="s">
        <v>947</v>
      </c>
      <c r="I353" s="2445" t="s">
        <v>948</v>
      </c>
      <c r="J353" s="2445" t="s">
        <v>949</v>
      </c>
      <c r="K353" s="2441"/>
      <c r="M353" s="2577"/>
      <c r="N353" s="2577">
        <v>923977</v>
      </c>
      <c r="O353" s="2577" t="s">
        <v>1242</v>
      </c>
      <c r="P353" s="2578"/>
      <c r="Q353" s="2577">
        <v>95</v>
      </c>
      <c r="R353" s="2577">
        <v>405</v>
      </c>
      <c r="S353" s="2577">
        <v>10.763999999999999</v>
      </c>
      <c r="T353" s="2577">
        <v>463.08100000000002</v>
      </c>
      <c r="U353" s="2577">
        <f t="shared" si="229"/>
        <v>84.236000000000004</v>
      </c>
      <c r="V353" s="2577">
        <f t="shared" si="228"/>
        <v>-58.081000000000017</v>
      </c>
      <c r="W353" s="2570"/>
      <c r="X353" s="3515">
        <v>41939</v>
      </c>
    </row>
    <row r="354" spans="1:24">
      <c r="A354" s="2447" t="s">
        <v>129</v>
      </c>
      <c r="B354" s="2447">
        <v>916009</v>
      </c>
      <c r="C354" s="2447" t="s">
        <v>246</v>
      </c>
      <c r="D354" s="2448"/>
      <c r="E354" s="2446">
        <v>5</v>
      </c>
      <c r="F354" s="2446">
        <v>245</v>
      </c>
      <c r="G354" s="3101">
        <v>0</v>
      </c>
      <c r="H354" s="2446">
        <v>245</v>
      </c>
      <c r="I354" s="2446">
        <f>(E354-G354)</f>
        <v>5</v>
      </c>
      <c r="J354" s="2446">
        <f t="shared" ref="J354:J356" si="231">(F354-H354)</f>
        <v>0</v>
      </c>
      <c r="K354" s="2441"/>
      <c r="M354" s="2577"/>
      <c r="N354" s="2577">
        <v>910399</v>
      </c>
      <c r="O354" s="2577" t="s">
        <v>199</v>
      </c>
      <c r="P354" s="2578"/>
      <c r="Q354" s="2577">
        <v>95</v>
      </c>
      <c r="R354" s="2577">
        <v>405</v>
      </c>
      <c r="S354" s="2577">
        <v>30.846</v>
      </c>
      <c r="T354" s="2577">
        <v>469.15100000000001</v>
      </c>
      <c r="U354" s="2577">
        <f t="shared" si="229"/>
        <v>64.153999999999996</v>
      </c>
      <c r="V354" s="2577">
        <f t="shared" si="228"/>
        <v>-64.15100000000001</v>
      </c>
      <c r="W354" s="2570"/>
    </row>
    <row r="355" spans="1:24">
      <c r="A355" s="2447" t="s">
        <v>129</v>
      </c>
      <c r="B355" s="2446">
        <v>950786</v>
      </c>
      <c r="C355" s="2447" t="s">
        <v>958</v>
      </c>
      <c r="D355" s="2448"/>
      <c r="E355" s="2446">
        <v>5</v>
      </c>
      <c r="F355" s="2446">
        <v>245</v>
      </c>
      <c r="G355" s="3101">
        <v>5</v>
      </c>
      <c r="H355" s="2446">
        <v>244.82</v>
      </c>
      <c r="I355" s="2446">
        <f t="shared" ref="I355:I356" si="232">(E355-G355)</f>
        <v>0</v>
      </c>
      <c r="J355" s="2446">
        <f t="shared" si="231"/>
        <v>0.18000000000000682</v>
      </c>
      <c r="K355" s="2441"/>
      <c r="M355" s="2577"/>
      <c r="N355" s="2577"/>
      <c r="O355" s="2577"/>
      <c r="P355" s="2578"/>
      <c r="Q355" s="2581">
        <f>SUM(Q345:Q354)</f>
        <v>950</v>
      </c>
      <c r="R355" s="2581">
        <f>SUM(R345:R354)</f>
        <v>4050</v>
      </c>
      <c r="S355" s="2577">
        <f>SUM(S345:S354)</f>
        <v>296.92099999999999</v>
      </c>
      <c r="T355" s="2577">
        <f>SUM(T345:T354)</f>
        <v>4660.4709999999995</v>
      </c>
      <c r="U355" s="2577">
        <f t="shared" ref="U355" si="233">(Q355-S355)</f>
        <v>653.07899999999995</v>
      </c>
      <c r="V355" s="2577">
        <f t="shared" si="228"/>
        <v>-610.47099999999955</v>
      </c>
      <c r="W355" s="2570"/>
    </row>
    <row r="356" spans="1:24">
      <c r="A356" s="2447" t="s">
        <v>129</v>
      </c>
      <c r="B356" s="2446">
        <v>954700</v>
      </c>
      <c r="C356" s="2447" t="s">
        <v>264</v>
      </c>
      <c r="D356" s="2448"/>
      <c r="E356" s="2446">
        <v>5</v>
      </c>
      <c r="F356" s="2446">
        <v>245</v>
      </c>
      <c r="G356" s="3101">
        <v>5</v>
      </c>
      <c r="H356" s="2446">
        <v>245</v>
      </c>
      <c r="I356" s="2446">
        <f t="shared" si="232"/>
        <v>0</v>
      </c>
      <c r="J356" s="2446">
        <f t="shared" si="231"/>
        <v>0</v>
      </c>
      <c r="K356" s="2441"/>
      <c r="M356" s="2579"/>
      <c r="N356" s="2579"/>
      <c r="O356" s="2579"/>
      <c r="P356" s="2580"/>
      <c r="Q356" s="2581">
        <f>SUM(Q345:Q354)</f>
        <v>950</v>
      </c>
      <c r="R356" s="2581">
        <f>SUM(R345:R354)</f>
        <v>4050</v>
      </c>
      <c r="S356" s="2581">
        <f>SUM(S355)</f>
        <v>296.92099999999999</v>
      </c>
      <c r="T356" s="2581">
        <f t="shared" ref="T356" si="234">SUM(T355)</f>
        <v>4660.4709999999995</v>
      </c>
      <c r="U356" s="2581">
        <f>SUM(U355)</f>
        <v>653.07899999999995</v>
      </c>
      <c r="V356" s="2581">
        <f>SUM(V355)</f>
        <v>-610.47099999999955</v>
      </c>
      <c r="W356" s="2570"/>
    </row>
    <row r="357" spans="1:24">
      <c r="A357" s="2447" t="s">
        <v>129</v>
      </c>
      <c r="B357" s="2446">
        <v>913369</v>
      </c>
      <c r="C357" s="2447" t="s">
        <v>959</v>
      </c>
      <c r="D357" s="2448"/>
      <c r="E357" s="2446">
        <v>5</v>
      </c>
      <c r="F357" s="2446">
        <v>245</v>
      </c>
      <c r="G357" s="3101">
        <v>5</v>
      </c>
      <c r="H357" s="2446">
        <v>226.10999999999999</v>
      </c>
      <c r="I357" s="2446">
        <f t="shared" ref="I357:I359" si="235">(E357-G357)</f>
        <v>0</v>
      </c>
      <c r="J357" s="2446">
        <f t="shared" ref="J357:J359" si="236">(F357-H357)</f>
        <v>18.890000000000015</v>
      </c>
      <c r="K357" s="2441"/>
      <c r="M357" s="2524"/>
      <c r="N357" s="2524"/>
      <c r="O357" s="2524"/>
      <c r="P357" s="2524"/>
      <c r="Q357" s="2524"/>
      <c r="R357" s="2524"/>
      <c r="S357" s="2524"/>
      <c r="T357" s="2524"/>
      <c r="U357" s="2524"/>
      <c r="V357" s="2524"/>
      <c r="W357" s="2524"/>
    </row>
    <row r="358" spans="1:24">
      <c r="A358" s="2447" t="s">
        <v>129</v>
      </c>
      <c r="B358" s="2446">
        <v>953048</v>
      </c>
      <c r="C358" s="2447" t="s">
        <v>263</v>
      </c>
      <c r="D358" s="2448"/>
      <c r="E358" s="2446">
        <v>5</v>
      </c>
      <c r="F358" s="2446">
        <v>145</v>
      </c>
      <c r="G358" s="3101">
        <v>0.622</v>
      </c>
      <c r="H358" s="2446">
        <v>145.37400000000002</v>
      </c>
      <c r="I358" s="2446">
        <f t="shared" si="235"/>
        <v>4.3780000000000001</v>
      </c>
      <c r="J358" s="2446">
        <f t="shared" si="236"/>
        <v>-0.37400000000002365</v>
      </c>
      <c r="K358" s="2531" t="s">
        <v>1590</v>
      </c>
      <c r="W358" s="2524"/>
    </row>
    <row r="359" spans="1:24" ht="30">
      <c r="A359" s="2447" t="s">
        <v>12</v>
      </c>
      <c r="B359" s="2446">
        <v>902835</v>
      </c>
      <c r="C359" s="2447" t="s">
        <v>296</v>
      </c>
      <c r="D359" s="2448"/>
      <c r="E359" s="2446">
        <v>5</v>
      </c>
      <c r="F359" s="2446">
        <v>400</v>
      </c>
      <c r="G359" s="3101">
        <v>3.2759999999999998</v>
      </c>
      <c r="H359" s="2446">
        <v>349.40499999999997</v>
      </c>
      <c r="I359" s="2446">
        <f t="shared" si="235"/>
        <v>1.7240000000000002</v>
      </c>
      <c r="J359" s="2446">
        <f t="shared" si="236"/>
        <v>50.595000000000027</v>
      </c>
      <c r="K359" s="2531">
        <f>SUM(J354:J359)</f>
        <v>69.291000000000025</v>
      </c>
      <c r="M359" s="2502" t="s">
        <v>1217</v>
      </c>
      <c r="N359" s="2502"/>
      <c r="O359" s="2502"/>
      <c r="P359" s="2502"/>
      <c r="Q359" s="2502"/>
      <c r="R359" s="2503"/>
      <c r="S359" s="2502"/>
      <c r="T359" s="2502"/>
      <c r="U359" s="2502"/>
      <c r="V359" s="2502"/>
      <c r="W359" s="2504"/>
    </row>
    <row r="360" spans="1:24" ht="30.6" thickBot="1">
      <c r="A360" s="2447" t="s">
        <v>129</v>
      </c>
      <c r="B360" s="2446">
        <v>916010</v>
      </c>
      <c r="C360" s="2447" t="s">
        <v>247</v>
      </c>
      <c r="D360" s="2448"/>
      <c r="E360" s="2446">
        <v>5</v>
      </c>
      <c r="F360" s="2446">
        <v>245</v>
      </c>
      <c r="G360" s="3101">
        <v>2.2730000000000001</v>
      </c>
      <c r="H360" s="2446">
        <v>245</v>
      </c>
      <c r="I360" s="2446">
        <f t="shared" ref="I360:I361" si="237">(E360-G360)</f>
        <v>2.7269999999999999</v>
      </c>
      <c r="J360" s="2446">
        <f t="shared" ref="J360:J361" si="238">(F360-H360)</f>
        <v>0</v>
      </c>
      <c r="K360" s="2531">
        <f>SUM(I354:I360)</f>
        <v>13.829000000000001</v>
      </c>
      <c r="M360" s="2502" t="s">
        <v>1219</v>
      </c>
      <c r="N360" s="2504"/>
      <c r="O360" s="2504"/>
      <c r="P360" s="2504"/>
      <c r="Q360" s="2505"/>
      <c r="R360" s="2503" t="s">
        <v>1218</v>
      </c>
      <c r="S360" s="2504"/>
      <c r="T360" s="2504"/>
      <c r="U360" s="2504"/>
      <c r="V360" s="2504"/>
      <c r="W360" s="2504"/>
    </row>
    <row r="361" spans="1:24" ht="14.4">
      <c r="A361" s="2550" t="s">
        <v>17</v>
      </c>
      <c r="B361" s="2550">
        <v>957995</v>
      </c>
      <c r="C361" s="2550" t="s">
        <v>239</v>
      </c>
      <c r="D361" s="2649"/>
      <c r="E361" s="2550">
        <v>100</v>
      </c>
      <c r="F361" s="2550">
        <v>500</v>
      </c>
      <c r="G361" s="3102">
        <v>5</v>
      </c>
      <c r="H361" s="2550"/>
      <c r="I361" s="2550">
        <f t="shared" si="237"/>
        <v>95</v>
      </c>
      <c r="J361" s="2550">
        <f t="shared" si="238"/>
        <v>500</v>
      </c>
      <c r="K361" s="2441"/>
      <c r="M361" s="2506"/>
      <c r="N361" s="2505"/>
      <c r="O361" s="2505"/>
      <c r="P361" s="2505"/>
      <c r="Q361" s="4070" t="s">
        <v>152</v>
      </c>
      <c r="R361" s="4071"/>
      <c r="S361" s="4070" t="s">
        <v>153</v>
      </c>
      <c r="T361" s="4071"/>
      <c r="U361" s="2522" t="s">
        <v>154</v>
      </c>
      <c r="V361" s="2523"/>
      <c r="W361" s="2509" t="s">
        <v>132</v>
      </c>
    </row>
    <row r="362" spans="1:24" ht="28.8">
      <c r="A362" s="2447"/>
      <c r="B362" s="2446"/>
      <c r="C362" s="2447"/>
      <c r="D362" s="2448"/>
      <c r="E362" s="2446"/>
      <c r="F362" s="2446"/>
      <c r="G362" s="2446"/>
      <c r="H362" s="2446"/>
      <c r="I362" s="2446"/>
      <c r="J362" s="2446"/>
      <c r="K362" s="2441"/>
      <c r="M362" s="2510" t="s">
        <v>223</v>
      </c>
      <c r="N362" s="2510" t="s">
        <v>224</v>
      </c>
      <c r="O362" s="2510" t="s">
        <v>225</v>
      </c>
      <c r="P362" s="2510" t="s">
        <v>157</v>
      </c>
      <c r="Q362" s="2510" t="s">
        <v>944</v>
      </c>
      <c r="R362" s="2510" t="s">
        <v>1225</v>
      </c>
      <c r="S362" s="2510" t="s">
        <v>946</v>
      </c>
      <c r="T362" s="2510" t="s">
        <v>1177</v>
      </c>
      <c r="U362" s="2510" t="s">
        <v>948</v>
      </c>
      <c r="V362" s="2510" t="s">
        <v>1177</v>
      </c>
      <c r="W362" s="2504"/>
    </row>
    <row r="363" spans="1:24">
      <c r="A363" s="2447"/>
      <c r="B363" s="2446"/>
      <c r="C363" s="2447"/>
      <c r="D363" s="2448"/>
      <c r="E363" s="2446"/>
      <c r="F363" s="2446"/>
      <c r="G363" s="2446"/>
      <c r="H363" s="2446"/>
      <c r="I363" s="2446"/>
      <c r="J363" s="2446"/>
      <c r="K363" s="2441"/>
      <c r="M363" s="2511"/>
      <c r="N363" s="2511">
        <v>960812</v>
      </c>
      <c r="O363" s="2511" t="s">
        <v>1220</v>
      </c>
      <c r="P363" s="2512"/>
      <c r="Q363" s="2511">
        <v>95</v>
      </c>
      <c r="R363" s="2511">
        <v>405</v>
      </c>
      <c r="S363" s="2511">
        <v>0</v>
      </c>
      <c r="T363" s="2511">
        <v>0</v>
      </c>
      <c r="U363" s="2511">
        <f t="shared" ref="U363:U372" si="239">(Q363-S363)</f>
        <v>95</v>
      </c>
      <c r="V363" s="2511">
        <f t="shared" ref="V363:V372" si="240">(R363-T363)</f>
        <v>405</v>
      </c>
      <c r="W363" s="2504"/>
    </row>
    <row r="364" spans="1:24">
      <c r="A364" s="2446"/>
      <c r="B364" s="2446"/>
      <c r="C364" s="2446"/>
      <c r="D364" s="2448"/>
      <c r="E364" s="3507">
        <f t="shared" ref="E364:J364" si="241">SUM(E354:E363)</f>
        <v>135</v>
      </c>
      <c r="F364" s="3507">
        <f t="shared" si="241"/>
        <v>2270</v>
      </c>
      <c r="G364" s="3507">
        <f t="shared" si="241"/>
        <v>26.170999999999999</v>
      </c>
      <c r="H364" s="3507">
        <f t="shared" si="241"/>
        <v>1700.7090000000001</v>
      </c>
      <c r="I364" s="3507">
        <f t="shared" si="241"/>
        <v>108.82900000000001</v>
      </c>
      <c r="J364" s="3507">
        <f t="shared" si="241"/>
        <v>569.29100000000005</v>
      </c>
      <c r="K364" s="2441"/>
      <c r="M364" s="2511"/>
      <c r="N364" s="2511">
        <v>959036</v>
      </c>
      <c r="O364" s="2511" t="s">
        <v>1221</v>
      </c>
      <c r="P364" s="2512"/>
      <c r="Q364" s="2511">
        <v>95</v>
      </c>
      <c r="R364" s="2511">
        <v>405</v>
      </c>
      <c r="S364" s="2511">
        <v>0</v>
      </c>
      <c r="T364" s="2511">
        <v>0</v>
      </c>
      <c r="U364" s="2511">
        <f t="shared" si="239"/>
        <v>95</v>
      </c>
      <c r="V364" s="2511">
        <f t="shared" si="240"/>
        <v>405</v>
      </c>
      <c r="W364" s="2504"/>
    </row>
    <row r="365" spans="1:24">
      <c r="M365" s="2511"/>
      <c r="N365" s="2511">
        <v>957986</v>
      </c>
      <c r="O365" s="2511" t="s">
        <v>194</v>
      </c>
      <c r="P365" s="2512"/>
      <c r="Q365" s="2511">
        <v>95</v>
      </c>
      <c r="R365" s="2511">
        <v>405</v>
      </c>
      <c r="S365" s="2511">
        <v>0</v>
      </c>
      <c r="T365" s="2511">
        <v>0</v>
      </c>
      <c r="U365" s="2511">
        <f t="shared" si="239"/>
        <v>95</v>
      </c>
      <c r="V365" s="2511">
        <f t="shared" si="240"/>
        <v>405</v>
      </c>
      <c r="W365" s="2504"/>
    </row>
    <row r="366" spans="1:24">
      <c r="M366" s="2511"/>
      <c r="N366" s="2511">
        <v>910840</v>
      </c>
      <c r="O366" s="2511" t="s">
        <v>202</v>
      </c>
      <c r="P366" s="2512"/>
      <c r="Q366" s="2511">
        <v>95</v>
      </c>
      <c r="R366" s="2511">
        <v>405</v>
      </c>
      <c r="S366" s="2511">
        <v>0</v>
      </c>
      <c r="T366" s="2511">
        <v>0</v>
      </c>
      <c r="U366" s="2511">
        <f t="shared" si="239"/>
        <v>95</v>
      </c>
      <c r="V366" s="2511">
        <f t="shared" si="240"/>
        <v>405</v>
      </c>
      <c r="W366" s="2504"/>
    </row>
    <row r="367" spans="1:24" ht="30">
      <c r="A367" s="2453" t="s">
        <v>1040</v>
      </c>
      <c r="B367" s="2452"/>
      <c r="C367" s="2452"/>
      <c r="D367" s="2452"/>
      <c r="E367" s="2452"/>
      <c r="F367" s="2452"/>
      <c r="G367" s="2452"/>
      <c r="H367" s="2452"/>
      <c r="I367" s="2452"/>
      <c r="J367" s="2452"/>
      <c r="K367" s="2441"/>
      <c r="M367" s="2511"/>
      <c r="N367" s="2511">
        <v>910615</v>
      </c>
      <c r="O367" s="2511" t="s">
        <v>1222</v>
      </c>
      <c r="P367" s="2512"/>
      <c r="Q367" s="2511">
        <v>95</v>
      </c>
      <c r="R367" s="2511">
        <v>405</v>
      </c>
      <c r="S367" s="2511">
        <v>38.418999999999997</v>
      </c>
      <c r="T367" s="2511">
        <v>2.2080000000000002</v>
      </c>
      <c r="U367" s="2511">
        <f t="shared" si="239"/>
        <v>56.581000000000003</v>
      </c>
      <c r="V367" s="2511">
        <f t="shared" si="240"/>
        <v>402.79199999999997</v>
      </c>
      <c r="W367" s="2504"/>
    </row>
    <row r="368" spans="1:24" ht="30">
      <c r="A368" s="2453" t="s">
        <v>1039</v>
      </c>
      <c r="B368" s="2452"/>
      <c r="C368" s="2452"/>
      <c r="D368" s="2452"/>
      <c r="E368" s="2452"/>
      <c r="F368" s="2454" t="s">
        <v>943</v>
      </c>
      <c r="G368" s="2452"/>
      <c r="H368" s="2452"/>
      <c r="I368" s="2452"/>
      <c r="J368" s="2452"/>
      <c r="K368" s="2441"/>
      <c r="M368" s="2511"/>
      <c r="N368" s="2511">
        <v>957940</v>
      </c>
      <c r="O368" s="2511" t="s">
        <v>1223</v>
      </c>
      <c r="P368" s="2512"/>
      <c r="Q368" s="2511">
        <v>95</v>
      </c>
      <c r="R368" s="2511">
        <v>405</v>
      </c>
      <c r="S368" s="2511">
        <v>5.72</v>
      </c>
      <c r="T368" s="2511">
        <v>4.6900000000000004</v>
      </c>
      <c r="U368" s="2511">
        <f t="shared" si="239"/>
        <v>89.28</v>
      </c>
      <c r="V368" s="2511">
        <f t="shared" si="240"/>
        <v>400.31</v>
      </c>
      <c r="W368" s="2504"/>
    </row>
    <row r="369" spans="1:23" ht="13.8" thickBot="1">
      <c r="A369" s="2441"/>
      <c r="B369" s="2441"/>
      <c r="C369" s="2441"/>
      <c r="D369" s="2441"/>
      <c r="E369" s="2441"/>
      <c r="F369" s="2441"/>
      <c r="G369" s="2441"/>
      <c r="H369" s="2441"/>
      <c r="I369" s="2441"/>
      <c r="J369" s="2441"/>
      <c r="K369" s="2441"/>
      <c r="M369" s="2511"/>
      <c r="N369" s="2511">
        <v>959621</v>
      </c>
      <c r="O369" s="2511" t="s">
        <v>1224</v>
      </c>
      <c r="P369" s="2512"/>
      <c r="Q369" s="2511">
        <v>95</v>
      </c>
      <c r="R369" s="2511">
        <v>405</v>
      </c>
      <c r="S369" s="2511">
        <v>9.4949999999999992</v>
      </c>
      <c r="T369" s="2511">
        <v>1.675</v>
      </c>
      <c r="U369" s="2511">
        <f t="shared" si="239"/>
        <v>85.504999999999995</v>
      </c>
      <c r="V369" s="2511">
        <f t="shared" si="240"/>
        <v>403.32499999999999</v>
      </c>
      <c r="W369" s="2504"/>
    </row>
    <row r="370" spans="1:23" ht="14.4">
      <c r="A370" s="2442"/>
      <c r="B370" s="2443"/>
      <c r="C370" s="2443"/>
      <c r="D370" s="2443"/>
      <c r="E370" s="4066" t="s">
        <v>152</v>
      </c>
      <c r="F370" s="4068"/>
      <c r="G370" s="4066" t="s">
        <v>153</v>
      </c>
      <c r="H370" s="4068"/>
      <c r="I370" s="2526" t="s">
        <v>154</v>
      </c>
      <c r="J370" s="2527"/>
      <c r="K370" s="2441"/>
      <c r="M370" s="2511"/>
      <c r="N370" s="2511">
        <v>4564</v>
      </c>
      <c r="O370" s="2511" t="s">
        <v>889</v>
      </c>
      <c r="P370" s="2512"/>
      <c r="Q370" s="2511">
        <v>95</v>
      </c>
      <c r="R370" s="2511">
        <v>405</v>
      </c>
      <c r="S370" s="2511">
        <v>14.446999999999999</v>
      </c>
      <c r="T370" s="2511">
        <v>2.4079999999999999</v>
      </c>
      <c r="U370" s="2511">
        <f t="shared" si="239"/>
        <v>80.552999999999997</v>
      </c>
      <c r="V370" s="2511">
        <f t="shared" si="240"/>
        <v>402.59199999999998</v>
      </c>
      <c r="W370" s="2504"/>
    </row>
    <row r="371" spans="1:23" ht="28.8">
      <c r="A371" s="2444" t="s">
        <v>957</v>
      </c>
      <c r="B371" s="2444" t="s">
        <v>224</v>
      </c>
      <c r="C371" s="2444" t="s">
        <v>225</v>
      </c>
      <c r="D371" s="2444" t="s">
        <v>157</v>
      </c>
      <c r="E371" s="2444" t="s">
        <v>944</v>
      </c>
      <c r="F371" s="2444" t="s">
        <v>945</v>
      </c>
      <c r="G371" s="2444" t="s">
        <v>946</v>
      </c>
      <c r="H371" s="2444" t="s">
        <v>947</v>
      </c>
      <c r="I371" s="2445" t="s">
        <v>948</v>
      </c>
      <c r="J371" s="2445" t="s">
        <v>949</v>
      </c>
      <c r="K371" s="2441"/>
      <c r="M371" s="2511"/>
      <c r="N371" s="2511">
        <v>923977</v>
      </c>
      <c r="O371" s="2511" t="s">
        <v>196</v>
      </c>
      <c r="P371" s="2512"/>
      <c r="Q371" s="2511">
        <v>95</v>
      </c>
      <c r="R371" s="2511">
        <v>405</v>
      </c>
      <c r="S371" s="2511">
        <v>0</v>
      </c>
      <c r="T371" s="2511">
        <v>0</v>
      </c>
      <c r="U371" s="2511">
        <f t="shared" si="239"/>
        <v>95</v>
      </c>
      <c r="V371" s="2511">
        <f t="shared" si="240"/>
        <v>405</v>
      </c>
      <c r="W371" s="2504"/>
    </row>
    <row r="372" spans="1:23">
      <c r="A372" s="2447"/>
      <c r="B372" s="2447">
        <v>959370</v>
      </c>
      <c r="C372" s="2447" t="s">
        <v>689</v>
      </c>
      <c r="D372" s="2448">
        <v>3002</v>
      </c>
      <c r="E372" s="2446">
        <v>8.9090000000000007</v>
      </c>
      <c r="F372" s="2446">
        <v>191.381</v>
      </c>
      <c r="G372" s="2446">
        <v>1.6919999999999999</v>
      </c>
      <c r="H372" s="2446">
        <v>187.273</v>
      </c>
      <c r="I372" s="2446">
        <f>(E372-G372)</f>
        <v>7.2170000000000005</v>
      </c>
      <c r="J372" s="2446">
        <f t="shared" ref="J372:J378" si="242">(F372-H372)</f>
        <v>4.1080000000000041</v>
      </c>
      <c r="K372" s="2441"/>
      <c r="M372" s="2511"/>
      <c r="N372" s="2511">
        <v>910399</v>
      </c>
      <c r="O372" s="2511" t="s">
        <v>199</v>
      </c>
      <c r="P372" s="2512"/>
      <c r="Q372" s="2511">
        <v>95</v>
      </c>
      <c r="R372" s="2511">
        <v>405</v>
      </c>
      <c r="S372" s="2511">
        <v>0</v>
      </c>
      <c r="T372" s="2511">
        <v>0</v>
      </c>
      <c r="U372" s="2511">
        <f t="shared" si="239"/>
        <v>95</v>
      </c>
      <c r="V372" s="2511">
        <f t="shared" si="240"/>
        <v>405</v>
      </c>
      <c r="W372" s="2504"/>
    </row>
    <row r="373" spans="1:23">
      <c r="A373" s="2447"/>
      <c r="B373" s="2446">
        <v>955514</v>
      </c>
      <c r="C373" s="2447" t="s">
        <v>162</v>
      </c>
      <c r="D373" s="2448">
        <v>2881</v>
      </c>
      <c r="E373" s="2446">
        <v>8.9090000000000007</v>
      </c>
      <c r="F373" s="2446">
        <v>191.381</v>
      </c>
      <c r="G373" s="2446">
        <v>0</v>
      </c>
      <c r="H373" s="2446">
        <v>200.29</v>
      </c>
      <c r="I373" s="2446">
        <f t="shared" ref="I373:I378" si="243">(E373-G373)</f>
        <v>8.9090000000000007</v>
      </c>
      <c r="J373" s="2446">
        <f t="shared" si="242"/>
        <v>-8.9089999999999918</v>
      </c>
      <c r="K373" s="2441"/>
      <c r="M373" s="2511"/>
      <c r="N373" s="2511"/>
      <c r="O373" s="2511"/>
      <c r="P373" s="2512"/>
      <c r="Q373" s="2511"/>
      <c r="R373" s="2511"/>
      <c r="S373" s="2511"/>
      <c r="T373" s="2511"/>
      <c r="U373" s="2511"/>
      <c r="V373" s="2511"/>
      <c r="W373" s="2504"/>
    </row>
    <row r="374" spans="1:23">
      <c r="A374" s="2447"/>
      <c r="B374" s="2446">
        <v>959391</v>
      </c>
      <c r="C374" s="2447" t="s">
        <v>446</v>
      </c>
      <c r="D374" s="2448">
        <v>2995</v>
      </c>
      <c r="E374" s="2446"/>
      <c r="F374" s="2446"/>
      <c r="G374" s="2446">
        <v>0</v>
      </c>
      <c r="H374" s="2446">
        <v>0</v>
      </c>
      <c r="I374" s="2446">
        <f t="shared" si="243"/>
        <v>0</v>
      </c>
      <c r="J374" s="2446">
        <f t="shared" si="242"/>
        <v>0</v>
      </c>
      <c r="K374" s="2441"/>
      <c r="M374" s="2511"/>
      <c r="N374" s="2511"/>
      <c r="O374" s="2511"/>
      <c r="P374" s="2512"/>
      <c r="Q374" s="2511"/>
      <c r="R374" s="2511"/>
      <c r="S374" s="2511"/>
      <c r="T374" s="2511"/>
      <c r="U374" s="2511"/>
      <c r="V374" s="2511"/>
      <c r="W374" s="2504"/>
    </row>
    <row r="375" spans="1:23">
      <c r="A375" s="2447"/>
      <c r="B375" s="2446">
        <v>953964</v>
      </c>
      <c r="C375" s="2447" t="s">
        <v>173</v>
      </c>
      <c r="D375" s="2448">
        <v>2830</v>
      </c>
      <c r="E375" s="2446">
        <v>8.9090000000000007</v>
      </c>
      <c r="F375" s="2446">
        <v>191.381</v>
      </c>
      <c r="G375" s="2446">
        <v>8.9090000000000007</v>
      </c>
      <c r="H375" s="2446">
        <v>171.803</v>
      </c>
      <c r="I375" s="2550">
        <f t="shared" si="243"/>
        <v>0</v>
      </c>
      <c r="J375" s="2446">
        <f t="shared" si="242"/>
        <v>19.578000000000003</v>
      </c>
      <c r="K375" s="2441"/>
      <c r="M375" s="2511"/>
      <c r="N375" s="2511"/>
      <c r="O375" s="2511"/>
      <c r="P375" s="2512"/>
      <c r="Q375" s="2511"/>
      <c r="R375" s="2511"/>
      <c r="S375" s="2511"/>
      <c r="T375" s="2511"/>
      <c r="U375" s="2511"/>
      <c r="V375" s="2511"/>
      <c r="W375" s="2504"/>
    </row>
    <row r="376" spans="1:23">
      <c r="A376" s="2447"/>
      <c r="B376" s="2446">
        <v>957800</v>
      </c>
      <c r="C376" s="2447" t="s">
        <v>167</v>
      </c>
      <c r="D376" s="2448">
        <v>2949</v>
      </c>
      <c r="E376" s="2446">
        <v>8.9090000000000007</v>
      </c>
      <c r="F376" s="2446">
        <v>191.381</v>
      </c>
      <c r="G376" s="2446">
        <v>5.2050000000000001</v>
      </c>
      <c r="H376" s="2446">
        <v>81.346000000000004</v>
      </c>
      <c r="I376" s="2446">
        <f t="shared" si="243"/>
        <v>3.7040000000000006</v>
      </c>
      <c r="J376" s="2446">
        <f t="shared" si="242"/>
        <v>110.035</v>
      </c>
      <c r="K376" s="2441"/>
      <c r="M376" s="2511"/>
      <c r="N376" s="2511"/>
      <c r="O376" s="2511"/>
      <c r="P376" s="2512"/>
      <c r="Q376" s="2511"/>
      <c r="R376" s="2511"/>
      <c r="S376" s="2511"/>
      <c r="T376" s="2511"/>
      <c r="U376" s="2511"/>
      <c r="V376" s="2511"/>
      <c r="W376" s="2504"/>
    </row>
    <row r="377" spans="1:23">
      <c r="A377" s="2447"/>
      <c r="B377" s="2446">
        <v>955396</v>
      </c>
      <c r="C377" s="2447" t="s">
        <v>203</v>
      </c>
      <c r="D377" s="2448">
        <v>2836</v>
      </c>
      <c r="E377" s="2446">
        <v>1.7270000000000001</v>
      </c>
      <c r="F377" s="2446">
        <v>38.597999999999999</v>
      </c>
      <c r="G377" s="2446">
        <v>0.97899999999999998</v>
      </c>
      <c r="H377" s="2446">
        <v>38.177</v>
      </c>
      <c r="I377" s="2446">
        <f t="shared" si="243"/>
        <v>0.74800000000000011</v>
      </c>
      <c r="J377" s="2446">
        <f t="shared" si="242"/>
        <v>0.42099999999999937</v>
      </c>
      <c r="K377" s="2441"/>
      <c r="M377" s="2511"/>
      <c r="N377" s="2513"/>
      <c r="O377" s="2513"/>
      <c r="P377" s="2512"/>
      <c r="Q377" s="2515">
        <v>10826</v>
      </c>
      <c r="R377" s="2515">
        <v>100</v>
      </c>
      <c r="S377" s="2518">
        <v>1898.3040000000001</v>
      </c>
      <c r="T377" s="2511"/>
      <c r="U377" s="2518">
        <f t="shared" ref="U377:U378" si="244">(Q377-S377)</f>
        <v>8927.6959999999999</v>
      </c>
      <c r="V377" s="2511">
        <f t="shared" ref="V377:V378" si="245">(R377-T377)</f>
        <v>100</v>
      </c>
      <c r="W377" s="2504"/>
    </row>
    <row r="378" spans="1:23">
      <c r="A378" s="2447"/>
      <c r="B378" s="2446">
        <v>955486</v>
      </c>
      <c r="C378" s="2447" t="s">
        <v>172</v>
      </c>
      <c r="D378" s="2448">
        <v>2882</v>
      </c>
      <c r="E378" s="2446">
        <v>8.9090000000000007</v>
      </c>
      <c r="F378" s="2446">
        <v>191.381</v>
      </c>
      <c r="G378" s="2446">
        <v>0.218</v>
      </c>
      <c r="H378" s="2446">
        <v>182.97300000000001</v>
      </c>
      <c r="I378" s="2446">
        <f t="shared" si="243"/>
        <v>8.6910000000000007</v>
      </c>
      <c r="J378" s="2446">
        <f t="shared" si="242"/>
        <v>8.407999999999987</v>
      </c>
      <c r="K378" s="2441"/>
      <c r="M378" s="2513"/>
      <c r="N378" s="2513"/>
      <c r="O378" s="2513"/>
      <c r="P378" s="2514"/>
      <c r="Q378" s="2515">
        <v>10826</v>
      </c>
      <c r="R378" s="2515">
        <v>100</v>
      </c>
      <c r="S378" s="2515">
        <f>SUM(S363:S376)</f>
        <v>68.080999999999989</v>
      </c>
      <c r="T378" s="2515">
        <f>SUM(T363:T376)</f>
        <v>10.981</v>
      </c>
      <c r="U378" s="2511">
        <f t="shared" si="244"/>
        <v>10757.919</v>
      </c>
      <c r="V378" s="2511">
        <f t="shared" si="245"/>
        <v>89.019000000000005</v>
      </c>
      <c r="W378" s="2516"/>
    </row>
    <row r="379" spans="1:23">
      <c r="A379" s="2446"/>
      <c r="B379" s="2446"/>
      <c r="C379" s="2447"/>
      <c r="D379" s="2448"/>
      <c r="E379" s="2446"/>
      <c r="F379" s="2446"/>
      <c r="G379" s="2446"/>
      <c r="H379" s="2446"/>
      <c r="I379" s="2446"/>
      <c r="J379" s="2446"/>
      <c r="K379" s="2441"/>
    </row>
    <row r="380" spans="1:23">
      <c r="A380" s="2449"/>
      <c r="B380" s="2449"/>
      <c r="C380" s="2449"/>
      <c r="D380" s="2450"/>
      <c r="E380" s="2451">
        <f t="shared" ref="E380:J380" si="246">SUM(E372:E379)</f>
        <v>46.271999999999998</v>
      </c>
      <c r="F380" s="2451">
        <f t="shared" si="246"/>
        <v>995.50299999999993</v>
      </c>
      <c r="G380" s="2451">
        <f t="shared" si="246"/>
        <v>17.003</v>
      </c>
      <c r="H380" s="2451">
        <f t="shared" si="246"/>
        <v>861.86200000000008</v>
      </c>
      <c r="I380" s="2451">
        <f t="shared" si="246"/>
        <v>29.269000000000005</v>
      </c>
      <c r="J380" s="2451">
        <f t="shared" si="246"/>
        <v>133.64099999999999</v>
      </c>
      <c r="K380" s="2441"/>
    </row>
    <row r="383" spans="1:23" ht="30">
      <c r="A383" s="2453" t="s">
        <v>942</v>
      </c>
      <c r="B383" s="2452"/>
      <c r="C383" s="2452"/>
      <c r="D383" s="2452"/>
      <c r="E383" s="2452"/>
      <c r="F383" s="2452"/>
      <c r="G383" s="2452"/>
      <c r="H383" s="2452"/>
      <c r="I383" s="2452"/>
      <c r="J383" s="2452"/>
      <c r="K383" s="2441"/>
    </row>
    <row r="384" spans="1:23" ht="30">
      <c r="A384" s="2453" t="s">
        <v>1067</v>
      </c>
      <c r="B384" s="2452"/>
      <c r="C384" s="2452"/>
      <c r="D384" s="2452"/>
      <c r="E384" s="2452"/>
      <c r="F384" s="2454" t="s">
        <v>943</v>
      </c>
      <c r="G384" s="2452"/>
      <c r="H384" s="2452"/>
      <c r="I384" s="2452"/>
      <c r="J384" s="2452"/>
      <c r="K384" s="2441"/>
    </row>
    <row r="385" spans="1:11" ht="13.8" thickBot="1">
      <c r="A385" s="2441"/>
      <c r="B385" s="2441"/>
      <c r="C385" s="2441"/>
      <c r="D385" s="2441"/>
      <c r="E385" s="2441"/>
      <c r="F385" s="2441"/>
      <c r="G385" s="2441"/>
      <c r="H385" s="2441"/>
      <c r="I385" s="2441"/>
      <c r="J385" s="2441"/>
      <c r="K385" s="2441"/>
    </row>
    <row r="386" spans="1:11" ht="14.4">
      <c r="A386" s="2442"/>
      <c r="B386" s="2443"/>
      <c r="C386" s="2443"/>
      <c r="D386" s="2443"/>
      <c r="E386" s="4066" t="s">
        <v>152</v>
      </c>
      <c r="F386" s="4068"/>
      <c r="G386" s="4066" t="s">
        <v>153</v>
      </c>
      <c r="H386" s="4068"/>
      <c r="I386" s="2526" t="s">
        <v>154</v>
      </c>
      <c r="J386" s="2527"/>
      <c r="K386" s="2441"/>
    </row>
    <row r="387" spans="1:11" ht="28.8">
      <c r="A387" s="2444" t="s">
        <v>223</v>
      </c>
      <c r="B387" s="2444" t="s">
        <v>224</v>
      </c>
      <c r="C387" s="2444" t="s">
        <v>225</v>
      </c>
      <c r="D387" s="2444" t="s">
        <v>157</v>
      </c>
      <c r="E387" s="2444" t="s">
        <v>944</v>
      </c>
      <c r="F387" s="2444" t="s">
        <v>945</v>
      </c>
      <c r="G387" s="2444" t="s">
        <v>946</v>
      </c>
      <c r="H387" s="2444" t="s">
        <v>947</v>
      </c>
      <c r="I387" s="2445" t="s">
        <v>948</v>
      </c>
      <c r="J387" s="2445" t="s">
        <v>949</v>
      </c>
      <c r="K387" s="2456" t="s">
        <v>132</v>
      </c>
    </row>
    <row r="388" spans="1:11">
      <c r="A388" s="2446"/>
      <c r="B388" s="2446">
        <v>951220</v>
      </c>
      <c r="C388" s="2447" t="s">
        <v>289</v>
      </c>
      <c r="D388" s="2448"/>
      <c r="E388" s="2446">
        <v>20</v>
      </c>
      <c r="F388" s="2446">
        <v>400</v>
      </c>
      <c r="G388" s="2446">
        <v>0</v>
      </c>
      <c r="H388" s="2446">
        <v>400.00000000000006</v>
      </c>
      <c r="I388" s="2446">
        <f>(E388-G388)</f>
        <v>20</v>
      </c>
      <c r="J388" s="2473">
        <f t="shared" ref="J388:J406" si="247">(F388-H388)</f>
        <v>-5.6843418860808015E-14</v>
      </c>
      <c r="K388" s="2517"/>
    </row>
    <row r="389" spans="1:11">
      <c r="A389" s="2446"/>
      <c r="B389" s="2446">
        <v>950656</v>
      </c>
      <c r="C389" s="2447" t="s">
        <v>291</v>
      </c>
      <c r="D389" s="2448"/>
      <c r="E389" s="2446">
        <v>20</v>
      </c>
      <c r="F389" s="2446">
        <v>400</v>
      </c>
      <c r="G389" s="2446">
        <v>0</v>
      </c>
      <c r="H389" s="2446">
        <v>400.00000000000006</v>
      </c>
      <c r="I389" s="2446">
        <f t="shared" ref="I389:I402" si="248">(E389-G389)</f>
        <v>20</v>
      </c>
      <c r="J389" s="2473">
        <f t="shared" si="247"/>
        <v>-5.6843418860808015E-14</v>
      </c>
      <c r="K389" s="2517"/>
    </row>
    <row r="390" spans="1:11">
      <c r="A390" s="2446"/>
      <c r="B390" s="2446">
        <v>958703</v>
      </c>
      <c r="C390" s="2551" t="s">
        <v>950</v>
      </c>
      <c r="D390" s="2448"/>
      <c r="E390" s="2446">
        <v>20</v>
      </c>
      <c r="F390" s="2446">
        <v>400</v>
      </c>
      <c r="G390" s="2446">
        <v>0</v>
      </c>
      <c r="H390" s="2551">
        <v>400</v>
      </c>
      <c r="I390" s="2446">
        <f t="shared" si="248"/>
        <v>20</v>
      </c>
      <c r="J390" s="2552">
        <f t="shared" si="247"/>
        <v>0</v>
      </c>
      <c r="K390" s="2517" t="s">
        <v>1068</v>
      </c>
    </row>
    <row r="391" spans="1:11">
      <c r="A391" s="2446"/>
      <c r="B391" s="2446">
        <v>953053</v>
      </c>
      <c r="C391" s="2447" t="s">
        <v>951</v>
      </c>
      <c r="D391" s="2448"/>
      <c r="E391" s="2446">
        <v>20</v>
      </c>
      <c r="F391" s="2446">
        <v>400</v>
      </c>
      <c r="G391" s="2446">
        <v>0</v>
      </c>
      <c r="H391" s="2446">
        <v>400</v>
      </c>
      <c r="I391" s="2446">
        <f t="shared" si="248"/>
        <v>20</v>
      </c>
      <c r="J391" s="2473">
        <f t="shared" si="247"/>
        <v>0</v>
      </c>
      <c r="K391" s="2517"/>
    </row>
    <row r="392" spans="1:11">
      <c r="A392" s="2446"/>
      <c r="B392" s="2446">
        <v>953746</v>
      </c>
      <c r="C392" s="2447" t="s">
        <v>286</v>
      </c>
      <c r="D392" s="2448"/>
      <c r="E392" s="2446">
        <v>20</v>
      </c>
      <c r="F392" s="2446">
        <v>400</v>
      </c>
      <c r="G392" s="2446">
        <v>0</v>
      </c>
      <c r="H392" s="2446">
        <v>400</v>
      </c>
      <c r="I392" s="2446">
        <f t="shared" si="248"/>
        <v>20</v>
      </c>
      <c r="J392" s="2473">
        <f t="shared" si="247"/>
        <v>0</v>
      </c>
      <c r="K392" s="2517"/>
    </row>
    <row r="393" spans="1:11">
      <c r="A393" s="2446"/>
      <c r="B393" s="2446" t="s">
        <v>1644</v>
      </c>
      <c r="C393" s="2447" t="s">
        <v>1643</v>
      </c>
      <c r="D393" s="2448"/>
      <c r="E393" s="2446">
        <v>20</v>
      </c>
      <c r="F393" s="2446">
        <v>400</v>
      </c>
      <c r="G393" s="2446">
        <v>0</v>
      </c>
      <c r="H393" s="2446">
        <v>400</v>
      </c>
      <c r="I393" s="2446">
        <f t="shared" si="248"/>
        <v>20</v>
      </c>
      <c r="J393" s="2473">
        <f t="shared" si="247"/>
        <v>0</v>
      </c>
      <c r="K393" s="2517"/>
    </row>
    <row r="394" spans="1:11">
      <c r="A394" s="2446"/>
      <c r="B394" s="2446">
        <v>956926</v>
      </c>
      <c r="C394" s="2551" t="s">
        <v>464</v>
      </c>
      <c r="D394" s="2448"/>
      <c r="E394" s="2446">
        <v>20</v>
      </c>
      <c r="F394" s="2446">
        <v>400</v>
      </c>
      <c r="G394" s="2446">
        <v>0</v>
      </c>
      <c r="H394" s="2551">
        <v>399.99899999999997</v>
      </c>
      <c r="I394" s="2446">
        <f t="shared" si="248"/>
        <v>20</v>
      </c>
      <c r="J394" s="2552">
        <f t="shared" si="247"/>
        <v>1.0000000000331966E-3</v>
      </c>
      <c r="K394" s="2517" t="s">
        <v>1068</v>
      </c>
    </row>
    <row r="395" spans="1:11">
      <c r="A395" s="2446"/>
      <c r="B395" s="2446">
        <v>957377</v>
      </c>
      <c r="C395" s="2551" t="s">
        <v>952</v>
      </c>
      <c r="D395" s="2448"/>
      <c r="E395" s="2446">
        <v>20</v>
      </c>
      <c r="F395" s="2446">
        <v>400</v>
      </c>
      <c r="G395" s="2446">
        <v>0</v>
      </c>
      <c r="H395" s="2551">
        <v>400</v>
      </c>
      <c r="I395" s="2446">
        <f t="shared" si="248"/>
        <v>20</v>
      </c>
      <c r="J395" s="2552">
        <f t="shared" si="247"/>
        <v>0</v>
      </c>
      <c r="K395" s="2517" t="s">
        <v>1068</v>
      </c>
    </row>
    <row r="396" spans="1:11">
      <c r="A396" s="2446"/>
      <c r="B396" s="2446">
        <v>11718</v>
      </c>
      <c r="C396" s="2551" t="s">
        <v>953</v>
      </c>
      <c r="D396" s="2448"/>
      <c r="E396" s="2446">
        <v>20</v>
      </c>
      <c r="F396" s="2446">
        <v>400</v>
      </c>
      <c r="G396" s="2446">
        <v>3.6880000000000002</v>
      </c>
      <c r="H396" s="2551">
        <v>400</v>
      </c>
      <c r="I396" s="2446">
        <f t="shared" si="248"/>
        <v>16.312000000000001</v>
      </c>
      <c r="J396" s="2552">
        <f t="shared" si="247"/>
        <v>0</v>
      </c>
      <c r="K396" s="2517" t="s">
        <v>1068</v>
      </c>
    </row>
    <row r="397" spans="1:11">
      <c r="A397" s="2446"/>
      <c r="B397" s="2446">
        <v>957495</v>
      </c>
      <c r="C397" s="2551" t="s">
        <v>487</v>
      </c>
      <c r="D397" s="2448"/>
      <c r="E397" s="2446">
        <v>20</v>
      </c>
      <c r="F397" s="2446">
        <v>400</v>
      </c>
      <c r="G397" s="2446">
        <v>0</v>
      </c>
      <c r="H397" s="2551">
        <v>399.99999999999994</v>
      </c>
      <c r="I397" s="2446">
        <f t="shared" si="248"/>
        <v>20</v>
      </c>
      <c r="J397" s="2552">
        <f t="shared" si="247"/>
        <v>5.6843418860808015E-14</v>
      </c>
      <c r="K397" s="2517" t="s">
        <v>1068</v>
      </c>
    </row>
    <row r="398" spans="1:11">
      <c r="A398" s="2446"/>
      <c r="B398" s="2446">
        <v>925451</v>
      </c>
      <c r="C398" s="2447" t="s">
        <v>284</v>
      </c>
      <c r="D398" s="2448"/>
      <c r="E398" s="2446">
        <v>20</v>
      </c>
      <c r="F398" s="2446">
        <v>400</v>
      </c>
      <c r="G398" s="2446">
        <v>0</v>
      </c>
      <c r="H398" s="2446">
        <v>400</v>
      </c>
      <c r="I398" s="2446">
        <f t="shared" si="248"/>
        <v>20</v>
      </c>
      <c r="J398" s="2473">
        <f t="shared" si="247"/>
        <v>0</v>
      </c>
      <c r="K398" s="2441"/>
    </row>
    <row r="399" spans="1:11">
      <c r="A399" s="2446"/>
      <c r="B399" s="2446">
        <v>916067</v>
      </c>
      <c r="C399" s="2447" t="s">
        <v>461</v>
      </c>
      <c r="D399" s="2448"/>
      <c r="E399" s="2446">
        <v>20</v>
      </c>
      <c r="F399" s="2446">
        <v>400</v>
      </c>
      <c r="G399" s="2446">
        <v>0</v>
      </c>
      <c r="H399" s="2446">
        <v>399.99</v>
      </c>
      <c r="I399" s="2446">
        <f t="shared" si="248"/>
        <v>20</v>
      </c>
      <c r="J399" s="2473">
        <f t="shared" si="247"/>
        <v>9.9999999999909051E-3</v>
      </c>
      <c r="K399" s="2441"/>
    </row>
    <row r="400" spans="1:11">
      <c r="A400" s="2446"/>
      <c r="B400" s="2446">
        <v>925404</v>
      </c>
      <c r="C400" s="2447" t="s">
        <v>462</v>
      </c>
      <c r="D400" s="2448"/>
      <c r="E400" s="2446">
        <v>20</v>
      </c>
      <c r="F400" s="2446">
        <v>400</v>
      </c>
      <c r="G400" s="2446">
        <v>0</v>
      </c>
      <c r="H400" s="2446">
        <v>400</v>
      </c>
      <c r="I400" s="2446">
        <f t="shared" si="248"/>
        <v>20</v>
      </c>
      <c r="J400" s="2473">
        <f t="shared" si="247"/>
        <v>0</v>
      </c>
      <c r="K400" s="2441"/>
    </row>
    <row r="401" spans="1:11">
      <c r="A401" s="2446"/>
      <c r="B401" s="2446">
        <v>951206</v>
      </c>
      <c r="C401" s="2551" t="s">
        <v>463</v>
      </c>
      <c r="D401" s="2448"/>
      <c r="E401" s="2446">
        <v>20</v>
      </c>
      <c r="F401" s="2446">
        <v>400</v>
      </c>
      <c r="G401" s="2446">
        <v>0</v>
      </c>
      <c r="H401" s="2551">
        <v>400</v>
      </c>
      <c r="I401" s="2446">
        <f t="shared" si="248"/>
        <v>20</v>
      </c>
      <c r="J401" s="2552">
        <f t="shared" si="247"/>
        <v>0</v>
      </c>
      <c r="K401" s="2441"/>
    </row>
    <row r="402" spans="1:11">
      <c r="A402" s="2446"/>
      <c r="B402" s="2446">
        <v>11972</v>
      </c>
      <c r="C402" s="2550" t="s">
        <v>954</v>
      </c>
      <c r="D402" s="2448"/>
      <c r="E402" s="3110">
        <v>20</v>
      </c>
      <c r="F402" s="2446">
        <v>400</v>
      </c>
      <c r="G402" s="2446">
        <v>0</v>
      </c>
      <c r="H402" s="2551">
        <v>399.99999999999994</v>
      </c>
      <c r="I402" s="2446">
        <f t="shared" si="248"/>
        <v>20</v>
      </c>
      <c r="J402" s="2552">
        <f t="shared" si="247"/>
        <v>5.6843418860808015E-14</v>
      </c>
      <c r="K402" s="2441"/>
    </row>
    <row r="403" spans="1:11">
      <c r="A403" s="2446"/>
      <c r="B403" s="2446">
        <v>956970</v>
      </c>
      <c r="C403" s="2447" t="s">
        <v>288</v>
      </c>
      <c r="D403" s="2448"/>
      <c r="E403" s="3110">
        <v>20</v>
      </c>
      <c r="F403" s="2446">
        <v>400</v>
      </c>
      <c r="G403" s="2446">
        <v>0</v>
      </c>
      <c r="H403" s="2446">
        <v>400</v>
      </c>
      <c r="I403" s="2446">
        <f t="shared" ref="I403:I406" si="249">(E403-G403)</f>
        <v>20</v>
      </c>
      <c r="J403" s="2473">
        <f t="shared" si="247"/>
        <v>0</v>
      </c>
      <c r="K403" s="2441"/>
    </row>
    <row r="404" spans="1:11">
      <c r="A404" s="2446"/>
      <c r="B404" s="2446">
        <v>952178</v>
      </c>
      <c r="C404" s="2447" t="s">
        <v>292</v>
      </c>
      <c r="D404" s="2448"/>
      <c r="E404" s="2446">
        <v>20</v>
      </c>
      <c r="F404" s="2446">
        <v>400</v>
      </c>
      <c r="G404" s="2446">
        <v>0</v>
      </c>
      <c r="H404" s="2446">
        <v>400.00000000000006</v>
      </c>
      <c r="I404" s="2446">
        <f t="shared" si="249"/>
        <v>20</v>
      </c>
      <c r="J404" s="2473">
        <f t="shared" si="247"/>
        <v>-5.6843418860808015E-14</v>
      </c>
      <c r="K404" s="2441"/>
    </row>
    <row r="405" spans="1:11">
      <c r="A405" s="2446"/>
      <c r="B405" s="2446"/>
      <c r="C405" s="2447"/>
      <c r="D405" s="2448"/>
      <c r="E405" s="2446"/>
      <c r="F405" s="2446"/>
      <c r="G405" s="2446"/>
      <c r="H405" s="2446"/>
      <c r="I405" s="2446">
        <f t="shared" si="249"/>
        <v>0</v>
      </c>
      <c r="J405" s="2473">
        <f t="shared" si="247"/>
        <v>0</v>
      </c>
      <c r="K405" s="2517" t="s">
        <v>1078</v>
      </c>
    </row>
    <row r="406" spans="1:11">
      <c r="A406" s="2446"/>
      <c r="B406" s="2446"/>
      <c r="C406" s="2447"/>
      <c r="D406" s="2448"/>
      <c r="E406" s="2446"/>
      <c r="F406" s="2446"/>
      <c r="G406" s="2446"/>
      <c r="H406" s="2446"/>
      <c r="I406" s="2446">
        <f t="shared" si="249"/>
        <v>0</v>
      </c>
      <c r="J406" s="2473">
        <f t="shared" si="247"/>
        <v>0</v>
      </c>
      <c r="K406" s="2441"/>
    </row>
    <row r="407" spans="1:11">
      <c r="A407" s="2449"/>
      <c r="B407" s="2449"/>
      <c r="C407" s="2449"/>
      <c r="D407" s="2450"/>
      <c r="E407" s="2451">
        <f>SUM(E388:E406)</f>
        <v>340</v>
      </c>
      <c r="F407" s="2451">
        <f>SUM(F388:F406)</f>
        <v>6800</v>
      </c>
      <c r="G407" s="2451">
        <f t="shared" ref="G407:J407" si="250">SUM(G388:G406)</f>
        <v>3.6880000000000002</v>
      </c>
      <c r="H407" s="2451">
        <f t="shared" si="250"/>
        <v>6799.9889999999996</v>
      </c>
      <c r="I407" s="2451">
        <f t="shared" si="250"/>
        <v>336.31200000000001</v>
      </c>
      <c r="J407" s="2451">
        <f t="shared" si="250"/>
        <v>1.0999999999967258E-2</v>
      </c>
      <c r="K407" s="2441"/>
    </row>
    <row r="413" spans="1:11" ht="30">
      <c r="A413" s="2453" t="s">
        <v>1309</v>
      </c>
      <c r="B413" s="2452"/>
      <c r="C413" s="2452"/>
      <c r="D413" s="2452"/>
      <c r="E413" s="2452"/>
      <c r="F413" s="2454"/>
      <c r="G413" s="2452"/>
      <c r="H413" s="2452"/>
      <c r="I413" s="2452"/>
      <c r="J413" s="2452"/>
      <c r="K413" s="2441"/>
    </row>
    <row r="414" spans="1:11" ht="30.6" thickBot="1">
      <c r="A414" s="2453" t="s">
        <v>1061</v>
      </c>
      <c r="B414" s="2441"/>
      <c r="C414" s="2441"/>
      <c r="D414" s="2441"/>
      <c r="E414" s="2454" t="s">
        <v>943</v>
      </c>
      <c r="F414" s="2441"/>
      <c r="G414" s="2441"/>
      <c r="H414" s="2441"/>
      <c r="I414" s="2441"/>
      <c r="J414" s="2441"/>
      <c r="K414" s="2441"/>
    </row>
    <row r="415" spans="1:11" ht="14.4">
      <c r="A415" s="2442"/>
      <c r="B415" s="2443"/>
      <c r="C415" s="2443"/>
      <c r="D415" s="2443"/>
      <c r="E415" s="4066" t="s">
        <v>152</v>
      </c>
      <c r="F415" s="4068"/>
      <c r="G415" s="4066" t="s">
        <v>153</v>
      </c>
      <c r="H415" s="4068"/>
      <c r="I415" s="2526" t="s">
        <v>154</v>
      </c>
      <c r="J415" s="2527"/>
      <c r="K415" s="2441"/>
    </row>
    <row r="416" spans="1:11" ht="28.8">
      <c r="A416" s="2444" t="s">
        <v>223</v>
      </c>
      <c r="B416" s="2444" t="s">
        <v>224</v>
      </c>
      <c r="C416" s="2444" t="s">
        <v>225</v>
      </c>
      <c r="D416" s="2444" t="s">
        <v>157</v>
      </c>
      <c r="E416" s="2444" t="s">
        <v>944</v>
      </c>
      <c r="F416" s="2444" t="s">
        <v>945</v>
      </c>
      <c r="G416" s="2444" t="s">
        <v>946</v>
      </c>
      <c r="H416" s="2444" t="s">
        <v>947</v>
      </c>
      <c r="I416" s="2445" t="s">
        <v>948</v>
      </c>
      <c r="J416" s="2445" t="s">
        <v>949</v>
      </c>
      <c r="K416" s="2456" t="s">
        <v>132</v>
      </c>
    </row>
    <row r="417" spans="1:13">
      <c r="A417" s="2446"/>
      <c r="B417" s="2446">
        <v>953848</v>
      </c>
      <c r="C417" s="2447" t="s">
        <v>1055</v>
      </c>
      <c r="D417" s="2448"/>
      <c r="E417" s="2446">
        <v>35</v>
      </c>
      <c r="F417" s="2446">
        <v>800</v>
      </c>
      <c r="G417" s="2446">
        <v>17.948</v>
      </c>
      <c r="H417" s="2446">
        <v>788.86699999999996</v>
      </c>
      <c r="I417" s="2446">
        <f>(E417-G417)</f>
        <v>17.052</v>
      </c>
      <c r="J417" s="2446">
        <f t="shared" ref="J417:J419" si="251">(F417-H417)</f>
        <v>11.133000000000038</v>
      </c>
      <c r="K417" s="2441"/>
    </row>
    <row r="418" spans="1:13">
      <c r="A418" s="2446"/>
      <c r="B418" s="2446">
        <v>951113</v>
      </c>
      <c r="C418" s="2447" t="s">
        <v>282</v>
      </c>
      <c r="D418" s="2448"/>
      <c r="E418" s="2446">
        <v>35</v>
      </c>
      <c r="F418" s="2446">
        <v>800</v>
      </c>
      <c r="G418" s="2446">
        <v>3.5659999999999998</v>
      </c>
      <c r="H418" s="2446">
        <v>791.529</v>
      </c>
      <c r="I418" s="2446">
        <f t="shared" ref="I418:I419" si="252">(E418-G418)</f>
        <v>31.434000000000001</v>
      </c>
      <c r="J418" s="2446">
        <f t="shared" si="251"/>
        <v>8.4710000000000036</v>
      </c>
      <c r="K418" s="2441"/>
    </row>
    <row r="419" spans="1:13">
      <c r="A419" s="2446"/>
      <c r="B419" s="2446"/>
      <c r="C419" s="2447"/>
      <c r="D419" s="2448"/>
      <c r="E419" s="2446"/>
      <c r="F419" s="2446"/>
      <c r="G419" s="2446"/>
      <c r="H419" s="2446"/>
      <c r="I419" s="2446">
        <f t="shared" si="252"/>
        <v>0</v>
      </c>
      <c r="J419" s="2446">
        <f t="shared" si="251"/>
        <v>0</v>
      </c>
      <c r="K419" s="2441"/>
    </row>
    <row r="420" spans="1:13">
      <c r="A420" s="2449"/>
      <c r="B420" s="2449"/>
      <c r="C420" s="2449"/>
      <c r="D420" s="2450"/>
      <c r="E420" s="2451">
        <f t="shared" ref="E420:J420" si="253">SUM(E417:E419)</f>
        <v>70</v>
      </c>
      <c r="F420" s="2451">
        <f t="shared" si="253"/>
        <v>1600</v>
      </c>
      <c r="G420" s="2451">
        <f t="shared" si="253"/>
        <v>21.513999999999999</v>
      </c>
      <c r="H420" s="2451">
        <f t="shared" si="253"/>
        <v>1580.396</v>
      </c>
      <c r="I420" s="2451">
        <f t="shared" si="253"/>
        <v>48.486000000000004</v>
      </c>
      <c r="J420" s="2451">
        <f t="shared" si="253"/>
        <v>19.604000000000042</v>
      </c>
      <c r="K420" s="2441"/>
    </row>
    <row r="423" spans="1:13" ht="30">
      <c r="A423" s="2586" t="s">
        <v>1064</v>
      </c>
      <c r="B423" s="2586"/>
      <c r="C423" s="2586"/>
      <c r="D423" s="2586"/>
      <c r="E423" s="2586"/>
      <c r="F423" s="2587"/>
      <c r="G423" s="2586"/>
      <c r="H423" s="2586"/>
      <c r="I423" s="2586"/>
      <c r="J423" s="2586"/>
      <c r="K423" s="2588"/>
      <c r="M423" s="3515">
        <v>41939</v>
      </c>
    </row>
    <row r="424" spans="1:13" ht="30.6" thickBot="1">
      <c r="A424" s="2586" t="s">
        <v>1065</v>
      </c>
      <c r="B424" s="2588"/>
      <c r="C424" s="2588"/>
      <c r="D424" s="2588"/>
      <c r="E424" s="2587" t="s">
        <v>943</v>
      </c>
      <c r="F424" s="2588"/>
      <c r="G424" s="2588"/>
      <c r="H424" s="2588"/>
      <c r="I424" s="2588"/>
      <c r="J424" s="2588"/>
      <c r="K424" s="2588"/>
    </row>
    <row r="425" spans="1:13" ht="14.4">
      <c r="A425" s="2590"/>
      <c r="B425" s="2589"/>
      <c r="C425" s="2589"/>
      <c r="D425" s="2589"/>
      <c r="E425" s="4076" t="s">
        <v>152</v>
      </c>
      <c r="F425" s="4077"/>
      <c r="G425" s="4076" t="s">
        <v>153</v>
      </c>
      <c r="H425" s="4077"/>
      <c r="I425" s="2591" t="s">
        <v>154</v>
      </c>
      <c r="J425" s="2592"/>
      <c r="K425" s="2593" t="s">
        <v>132</v>
      </c>
    </row>
    <row r="426" spans="1:13" ht="28.8">
      <c r="A426" s="2594" t="s">
        <v>223</v>
      </c>
      <c r="B426" s="2594" t="s">
        <v>224</v>
      </c>
      <c r="C426" s="2594" t="s">
        <v>225</v>
      </c>
      <c r="D426" s="2594" t="s">
        <v>157</v>
      </c>
      <c r="E426" s="2594" t="s">
        <v>944</v>
      </c>
      <c r="F426" s="2594" t="s">
        <v>945</v>
      </c>
      <c r="G426" s="2594" t="s">
        <v>946</v>
      </c>
      <c r="H426" s="2594" t="s">
        <v>947</v>
      </c>
      <c r="I426" s="2594" t="s">
        <v>948</v>
      </c>
      <c r="J426" s="2594" t="s">
        <v>949</v>
      </c>
      <c r="K426" s="2588"/>
    </row>
    <row r="427" spans="1:13">
      <c r="A427" s="2595"/>
      <c r="B427" s="2595">
        <v>922513</v>
      </c>
      <c r="C427" s="2595" t="s">
        <v>205</v>
      </c>
      <c r="D427" s="2596"/>
      <c r="E427" s="2595">
        <v>40</v>
      </c>
      <c r="F427" s="2595">
        <v>260</v>
      </c>
      <c r="G427" s="2595">
        <v>37.996000000000002</v>
      </c>
      <c r="H427" s="2595">
        <v>260</v>
      </c>
      <c r="I427" s="2595">
        <f>(E427-G427)</f>
        <v>2.0039999999999978</v>
      </c>
      <c r="J427" s="2595">
        <f t="shared" ref="J427:J429" si="254">(F427-H427)</f>
        <v>0</v>
      </c>
      <c r="K427" s="2588"/>
    </row>
    <row r="428" spans="1:13">
      <c r="A428" s="2595"/>
      <c r="B428" s="2595"/>
      <c r="C428" s="2595"/>
      <c r="D428" s="2596"/>
      <c r="E428" s="2595"/>
      <c r="F428" s="2595"/>
      <c r="G428" s="2595"/>
      <c r="H428" s="2595"/>
      <c r="I428" s="2595">
        <f t="shared" ref="I428:I429" si="255">(E428-G428)</f>
        <v>0</v>
      </c>
      <c r="J428" s="2595">
        <f t="shared" si="254"/>
        <v>0</v>
      </c>
      <c r="K428" s="2588"/>
    </row>
    <row r="429" spans="1:13">
      <c r="A429" s="2595"/>
      <c r="B429" s="2595"/>
      <c r="C429" s="2595"/>
      <c r="D429" s="2596"/>
      <c r="E429" s="2595"/>
      <c r="F429" s="2595"/>
      <c r="G429" s="2595"/>
      <c r="H429" s="2595"/>
      <c r="I429" s="2595">
        <f t="shared" si="255"/>
        <v>0</v>
      </c>
      <c r="J429" s="2595">
        <f t="shared" si="254"/>
        <v>0</v>
      </c>
      <c r="K429" s="2588"/>
    </row>
    <row r="430" spans="1:13">
      <c r="A430" s="2597"/>
      <c r="B430" s="2597"/>
      <c r="C430" s="2597"/>
      <c r="D430" s="2598"/>
      <c r="E430" s="2599">
        <f t="shared" ref="E430:J430" si="256">SUM(E427:E429)</f>
        <v>40</v>
      </c>
      <c r="F430" s="2599">
        <f t="shared" si="256"/>
        <v>260</v>
      </c>
      <c r="G430" s="2599">
        <f t="shared" si="256"/>
        <v>37.996000000000002</v>
      </c>
      <c r="H430" s="2599">
        <f t="shared" si="256"/>
        <v>260</v>
      </c>
      <c r="I430" s="2599">
        <f t="shared" si="256"/>
        <v>2.0039999999999978</v>
      </c>
      <c r="J430" s="2599">
        <f t="shared" si="256"/>
        <v>0</v>
      </c>
      <c r="K430" s="2588"/>
    </row>
    <row r="433" spans="1:11" ht="30">
      <c r="A433" s="2453" t="s">
        <v>1071</v>
      </c>
      <c r="B433" s="2452"/>
      <c r="C433" s="2452"/>
      <c r="D433" s="2452"/>
      <c r="E433" s="2452"/>
      <c r="F433" s="2454"/>
      <c r="G433" s="2452"/>
      <c r="H433" s="2452"/>
      <c r="I433" s="2452"/>
      <c r="J433" s="2452"/>
      <c r="K433" s="2441"/>
    </row>
    <row r="434" spans="1:11" ht="30.6" thickBot="1">
      <c r="A434" s="2453" t="s">
        <v>1072</v>
      </c>
      <c r="B434" s="2441"/>
      <c r="C434" s="2441"/>
      <c r="D434" s="2441"/>
      <c r="E434" s="2454" t="s">
        <v>943</v>
      </c>
      <c r="F434" s="2441"/>
      <c r="G434" s="2441"/>
      <c r="H434" s="2441"/>
      <c r="I434" s="2441"/>
      <c r="J434" s="2441"/>
      <c r="K434" s="2441"/>
    </row>
    <row r="435" spans="1:11" ht="14.4">
      <c r="A435" s="2442"/>
      <c r="B435" s="2443"/>
      <c r="C435" s="2443"/>
      <c r="D435" s="2443"/>
      <c r="E435" s="4066" t="s">
        <v>152</v>
      </c>
      <c r="F435" s="4068"/>
      <c r="G435" s="4066" t="s">
        <v>153</v>
      </c>
      <c r="H435" s="4068"/>
      <c r="I435" s="2526" t="s">
        <v>154</v>
      </c>
      <c r="J435" s="2527"/>
      <c r="K435" s="2441"/>
    </row>
    <row r="436" spans="1:11" ht="28.8">
      <c r="A436" s="2444" t="s">
        <v>223</v>
      </c>
      <c r="B436" s="2444" t="s">
        <v>224</v>
      </c>
      <c r="C436" s="2444" t="s">
        <v>225</v>
      </c>
      <c r="D436" s="2444" t="s">
        <v>157</v>
      </c>
      <c r="E436" s="2444" t="s">
        <v>944</v>
      </c>
      <c r="F436" s="2444" t="s">
        <v>945</v>
      </c>
      <c r="G436" s="2444" t="s">
        <v>946</v>
      </c>
      <c r="H436" s="2444" t="s">
        <v>947</v>
      </c>
      <c r="I436" s="2445" t="s">
        <v>948</v>
      </c>
      <c r="J436" s="2445" t="s">
        <v>949</v>
      </c>
      <c r="K436" s="2456" t="s">
        <v>132</v>
      </c>
    </row>
    <row r="437" spans="1:11">
      <c r="A437" s="2446"/>
      <c r="B437" s="2446">
        <v>923199</v>
      </c>
      <c r="C437" s="2447" t="s">
        <v>248</v>
      </c>
      <c r="D437" s="2448"/>
      <c r="E437" s="2446">
        <v>26.91</v>
      </c>
      <c r="F437" s="2446">
        <v>573.34</v>
      </c>
      <c r="G437" s="2446">
        <v>18.544</v>
      </c>
      <c r="H437" s="2518">
        <v>581.70600000000002</v>
      </c>
      <c r="I437" s="2446">
        <f>(E437-G437)</f>
        <v>8.3659999999999997</v>
      </c>
      <c r="J437" s="2446">
        <f t="shared" ref="J437:J439" si="257">(F437-H437)</f>
        <v>-8.3659999999999854</v>
      </c>
      <c r="K437" s="2441"/>
    </row>
    <row r="438" spans="1:11">
      <c r="A438" s="2446"/>
      <c r="B438" s="2446">
        <v>958905</v>
      </c>
      <c r="C438" s="2447" t="s">
        <v>1073</v>
      </c>
      <c r="D438" s="2448"/>
      <c r="E438" s="2446">
        <v>44.73</v>
      </c>
      <c r="F438" s="2446">
        <v>955.3</v>
      </c>
      <c r="G438" s="2446">
        <v>35.305999999999997</v>
      </c>
      <c r="H438" s="2446">
        <v>949.92399999999998</v>
      </c>
      <c r="I438" s="2446">
        <f t="shared" ref="I438:I439" si="258">(E438-G438)</f>
        <v>9.4239999999999995</v>
      </c>
      <c r="J438" s="2446">
        <f t="shared" si="257"/>
        <v>5.3759999999999764</v>
      </c>
      <c r="K438" s="2441"/>
    </row>
    <row r="439" spans="1:11">
      <c r="A439" s="2446"/>
      <c r="B439" s="2446"/>
      <c r="C439" s="2447"/>
      <c r="D439" s="2448"/>
      <c r="E439" s="2446"/>
      <c r="F439" s="2446"/>
      <c r="G439" s="2446"/>
      <c r="H439" s="2446"/>
      <c r="I439" s="2446">
        <f t="shared" si="258"/>
        <v>0</v>
      </c>
      <c r="J439" s="2446">
        <f t="shared" si="257"/>
        <v>0</v>
      </c>
      <c r="K439" s="2441"/>
    </row>
    <row r="440" spans="1:11">
      <c r="A440" s="2449"/>
      <c r="B440" s="2449"/>
      <c r="C440" s="2449"/>
      <c r="D440" s="2450"/>
      <c r="E440" s="2451">
        <f t="shared" ref="E440:J440" si="259">SUM(E437:E439)</f>
        <v>71.64</v>
      </c>
      <c r="F440" s="2451">
        <f t="shared" si="259"/>
        <v>1528.6399999999999</v>
      </c>
      <c r="G440" s="2451">
        <f t="shared" si="259"/>
        <v>53.849999999999994</v>
      </c>
      <c r="H440" s="2451">
        <f t="shared" si="259"/>
        <v>1531.63</v>
      </c>
      <c r="I440" s="2451">
        <f t="shared" si="259"/>
        <v>17.79</v>
      </c>
      <c r="J440" s="2451">
        <f t="shared" si="259"/>
        <v>-2.9900000000000091</v>
      </c>
      <c r="K440" s="2441"/>
    </row>
    <row r="442" spans="1:11" ht="30">
      <c r="A442" s="2453" t="s">
        <v>1071</v>
      </c>
      <c r="B442" s="2452"/>
      <c r="C442" s="2452"/>
      <c r="D442" s="2452"/>
      <c r="E442" s="2452"/>
      <c r="F442" s="2454"/>
      <c r="G442" s="2452"/>
      <c r="H442" s="2452"/>
      <c r="I442" s="2452"/>
      <c r="J442" s="2452"/>
      <c r="K442" s="2441"/>
    </row>
    <row r="443" spans="1:11" ht="30.6" thickBot="1">
      <c r="A443" s="2453" t="s">
        <v>1074</v>
      </c>
      <c r="B443" s="2441"/>
      <c r="C443" s="2441"/>
      <c r="D443" s="2441"/>
      <c r="E443" s="2454" t="s">
        <v>943</v>
      </c>
      <c r="F443" s="2441"/>
      <c r="G443" s="2441"/>
      <c r="H443" s="2441"/>
      <c r="I443" s="2441"/>
      <c r="J443" s="2441"/>
      <c r="K443" s="2441"/>
    </row>
    <row r="444" spans="1:11" ht="14.4">
      <c r="A444" s="2442"/>
      <c r="B444" s="2443"/>
      <c r="C444" s="2443"/>
      <c r="D444" s="2443"/>
      <c r="E444" s="4066" t="s">
        <v>152</v>
      </c>
      <c r="F444" s="4068"/>
      <c r="G444" s="4066" t="s">
        <v>153</v>
      </c>
      <c r="H444" s="4068"/>
      <c r="I444" s="2526" t="s">
        <v>154</v>
      </c>
      <c r="J444" s="2527"/>
      <c r="K444" s="2441"/>
    </row>
    <row r="445" spans="1:11" ht="28.8">
      <c r="A445" s="2444" t="s">
        <v>223</v>
      </c>
      <c r="B445" s="2444" t="s">
        <v>224</v>
      </c>
      <c r="C445" s="2444" t="s">
        <v>225</v>
      </c>
      <c r="D445" s="2444" t="s">
        <v>157</v>
      </c>
      <c r="E445" s="2444" t="s">
        <v>944</v>
      </c>
      <c r="F445" s="2444" t="s">
        <v>945</v>
      </c>
      <c r="G445" s="2444" t="s">
        <v>946</v>
      </c>
      <c r="H445" s="2444" t="s">
        <v>947</v>
      </c>
      <c r="I445" s="2445" t="s">
        <v>948</v>
      </c>
      <c r="J445" s="2445" t="s">
        <v>949</v>
      </c>
      <c r="K445" s="2456" t="s">
        <v>132</v>
      </c>
    </row>
    <row r="446" spans="1:11">
      <c r="A446" s="2446"/>
      <c r="B446" s="2446">
        <v>902374</v>
      </c>
      <c r="C446" s="2447" t="s">
        <v>217</v>
      </c>
      <c r="D446" s="2448"/>
      <c r="E446" s="2446">
        <v>17.908999999999999</v>
      </c>
      <c r="F446" s="2446">
        <v>382.76100000000002</v>
      </c>
      <c r="G446" s="2446">
        <v>40.506999999999998</v>
      </c>
      <c r="H446" s="2446">
        <v>360.16300000000001</v>
      </c>
      <c r="I446" s="2446">
        <f>(E446-G446)</f>
        <v>-22.597999999999999</v>
      </c>
      <c r="J446" s="2446">
        <f t="shared" ref="J446:J447" si="260">(F446-H446)</f>
        <v>22.598000000000013</v>
      </c>
      <c r="K446" s="2441"/>
    </row>
    <row r="447" spans="1:11">
      <c r="A447" s="2446"/>
      <c r="B447" s="2446">
        <v>952808</v>
      </c>
      <c r="C447" s="2447" t="s">
        <v>160</v>
      </c>
      <c r="D447" s="2448"/>
      <c r="E447" s="2446">
        <v>22.364000000000001</v>
      </c>
      <c r="F447" s="2446">
        <v>477.64699999999999</v>
      </c>
      <c r="G447" s="2446">
        <v>14.654999999999999</v>
      </c>
      <c r="H447" s="2446">
        <v>458.608</v>
      </c>
      <c r="I447" s="2446">
        <f t="shared" ref="I447" si="261">(E447-G447)</f>
        <v>7.7090000000000014</v>
      </c>
      <c r="J447" s="2446">
        <f t="shared" si="260"/>
        <v>19.038999999999987</v>
      </c>
      <c r="K447" s="2441"/>
    </row>
    <row r="448" spans="1:11">
      <c r="A448" s="2446"/>
      <c r="B448" s="2446">
        <v>5547</v>
      </c>
      <c r="C448" s="2447" t="s">
        <v>186</v>
      </c>
      <c r="D448" s="2448"/>
      <c r="E448" s="2446">
        <v>11.182</v>
      </c>
      <c r="F448" s="2446">
        <v>238.82400000000001</v>
      </c>
      <c r="G448" s="2446">
        <v>11.182</v>
      </c>
      <c r="H448" s="2446">
        <v>238.82400000000001</v>
      </c>
      <c r="I448" s="2446">
        <f t="shared" ref="I448:I449" si="262">(E448-G448)</f>
        <v>0</v>
      </c>
      <c r="J448" s="2446">
        <f t="shared" ref="J448:J449" si="263">(F448-H448)</f>
        <v>0</v>
      </c>
      <c r="K448" s="2441"/>
    </row>
    <row r="449" spans="1:13">
      <c r="A449" s="2446"/>
      <c r="B449" s="2446">
        <v>954752</v>
      </c>
      <c r="C449" s="2447" t="s">
        <v>187</v>
      </c>
      <c r="D449" s="2448"/>
      <c r="E449" s="2446">
        <v>11.182</v>
      </c>
      <c r="F449" s="2446">
        <v>238.82400000000001</v>
      </c>
      <c r="G449" s="2446">
        <v>11.182</v>
      </c>
      <c r="H449" s="2446">
        <v>157.904</v>
      </c>
      <c r="I449" s="2446">
        <f t="shared" si="262"/>
        <v>0</v>
      </c>
      <c r="J449" s="2446">
        <f t="shared" si="263"/>
        <v>80.920000000000016</v>
      </c>
      <c r="K449" s="2441"/>
    </row>
    <row r="450" spans="1:13">
      <c r="A450" s="2449"/>
      <c r="B450" s="2449"/>
      <c r="C450" s="2449"/>
      <c r="D450" s="2450"/>
      <c r="E450" s="2451">
        <f t="shared" ref="E450:J450" si="264">SUM(E446:E449)</f>
        <v>62.637</v>
      </c>
      <c r="F450" s="2451">
        <f t="shared" si="264"/>
        <v>1338.056</v>
      </c>
      <c r="G450" s="2451">
        <f t="shared" si="264"/>
        <v>77.525999999999996</v>
      </c>
      <c r="H450" s="2451">
        <f t="shared" si="264"/>
        <v>1215.499</v>
      </c>
      <c r="I450" s="2451">
        <f t="shared" si="264"/>
        <v>-14.888999999999998</v>
      </c>
      <c r="J450" s="2451">
        <f t="shared" si="264"/>
        <v>122.55700000000002</v>
      </c>
      <c r="K450" s="2441"/>
    </row>
    <row r="453" spans="1:13" ht="30">
      <c r="A453" s="2553" t="s">
        <v>1077</v>
      </c>
      <c r="B453" s="2452"/>
      <c r="C453" s="2452"/>
      <c r="D453" s="2452"/>
      <c r="E453" s="2452"/>
      <c r="F453" s="2454"/>
      <c r="G453" s="2452"/>
      <c r="H453" s="2452"/>
      <c r="I453" s="2452"/>
      <c r="J453" s="2452"/>
      <c r="K453" s="2441"/>
    </row>
    <row r="454" spans="1:13" ht="30.6" thickBot="1">
      <c r="A454" s="2453" t="s">
        <v>1075</v>
      </c>
      <c r="B454" s="2441"/>
      <c r="C454" s="2441"/>
      <c r="D454" s="2441"/>
      <c r="E454" s="2454" t="s">
        <v>943</v>
      </c>
      <c r="F454" s="2441"/>
      <c r="G454" s="2441"/>
      <c r="H454" s="2441"/>
      <c r="I454" s="2441"/>
      <c r="J454" s="2441"/>
      <c r="K454" s="2441"/>
    </row>
    <row r="455" spans="1:13" ht="14.4">
      <c r="A455" s="2442"/>
      <c r="B455" s="2443"/>
      <c r="C455" s="2443"/>
      <c r="D455" s="2443"/>
      <c r="E455" s="4066" t="s">
        <v>152</v>
      </c>
      <c r="F455" s="4068"/>
      <c r="G455" s="4066" t="s">
        <v>153</v>
      </c>
      <c r="H455" s="4068"/>
      <c r="I455" s="2526" t="s">
        <v>154</v>
      </c>
      <c r="J455" s="2527"/>
      <c r="K455" s="2441"/>
    </row>
    <row r="456" spans="1:13" ht="28.8">
      <c r="A456" s="2444" t="s">
        <v>223</v>
      </c>
      <c r="B456" s="2444" t="s">
        <v>224</v>
      </c>
      <c r="C456" s="2444" t="s">
        <v>225</v>
      </c>
      <c r="D456" s="2444" t="s">
        <v>157</v>
      </c>
      <c r="E456" s="2444" t="s">
        <v>944</v>
      </c>
      <c r="F456" s="2444" t="s">
        <v>945</v>
      </c>
      <c r="G456" s="2444" t="s">
        <v>946</v>
      </c>
      <c r="H456" s="2444" t="s">
        <v>947</v>
      </c>
      <c r="I456" s="2445" t="s">
        <v>948</v>
      </c>
      <c r="J456" s="2445" t="s">
        <v>949</v>
      </c>
      <c r="K456" s="2456" t="s">
        <v>132</v>
      </c>
      <c r="M456" s="3561">
        <v>42006</v>
      </c>
    </row>
    <row r="457" spans="1:13">
      <c r="A457" s="2446"/>
      <c r="B457" s="2446">
        <v>916009</v>
      </c>
      <c r="C457" s="2447" t="s">
        <v>246</v>
      </c>
      <c r="D457" s="2448"/>
      <c r="E457" s="2446">
        <v>5</v>
      </c>
      <c r="F457" s="2446">
        <v>350</v>
      </c>
      <c r="G457" s="2446">
        <v>0</v>
      </c>
      <c r="H457" s="2446">
        <v>350</v>
      </c>
      <c r="I457" s="2446">
        <f>(E457-G457)</f>
        <v>5</v>
      </c>
      <c r="J457" s="2446">
        <f t="shared" ref="J457:J458" si="265">(F457-H457)</f>
        <v>0</v>
      </c>
      <c r="K457" s="2441"/>
    </row>
    <row r="458" spans="1:13">
      <c r="A458" s="2446"/>
      <c r="B458" s="2446">
        <v>950786</v>
      </c>
      <c r="C458" s="2447" t="s">
        <v>1076</v>
      </c>
      <c r="D458" s="2448"/>
      <c r="E458" s="2446">
        <v>5</v>
      </c>
      <c r="F458" s="2446">
        <v>400</v>
      </c>
      <c r="G458" s="2446">
        <v>5</v>
      </c>
      <c r="H458" s="2446">
        <v>393.66399999999999</v>
      </c>
      <c r="I458" s="2446">
        <f t="shared" ref="I458" si="266">(E458-G458)</f>
        <v>0</v>
      </c>
      <c r="J458" s="2446">
        <f t="shared" si="265"/>
        <v>6.3360000000000127</v>
      </c>
      <c r="K458" s="2441"/>
    </row>
    <row r="459" spans="1:13">
      <c r="A459" s="2446"/>
      <c r="B459" s="2446">
        <v>954700</v>
      </c>
      <c r="C459" s="2447" t="s">
        <v>264</v>
      </c>
      <c r="D459" s="2448"/>
      <c r="E459" s="2446">
        <v>5</v>
      </c>
      <c r="F459" s="2446">
        <v>350</v>
      </c>
      <c r="G459" s="2446">
        <v>0</v>
      </c>
      <c r="H459" s="2446">
        <v>350</v>
      </c>
      <c r="I459" s="2446">
        <f t="shared" ref="I459:I462" si="267">(E459-G459)</f>
        <v>5</v>
      </c>
      <c r="J459" s="2446">
        <f t="shared" ref="J459:J462" si="268">(F459-H459)</f>
        <v>0</v>
      </c>
      <c r="K459" s="2441"/>
    </row>
    <row r="460" spans="1:13">
      <c r="A460" s="2446"/>
      <c r="B460" s="2446">
        <v>913369</v>
      </c>
      <c r="C460" s="2447" t="s">
        <v>959</v>
      </c>
      <c r="D460" s="2448"/>
      <c r="E460" s="2446">
        <v>5</v>
      </c>
      <c r="F460" s="2446">
        <v>265</v>
      </c>
      <c r="G460" s="2446">
        <v>1.9910000000000001</v>
      </c>
      <c r="H460" s="2446">
        <v>263.75299999999999</v>
      </c>
      <c r="I460" s="2446">
        <f t="shared" si="267"/>
        <v>3.0089999999999999</v>
      </c>
      <c r="J460" s="2446">
        <f t="shared" si="268"/>
        <v>1.2470000000000141</v>
      </c>
      <c r="K460" s="2441"/>
    </row>
    <row r="461" spans="1:13">
      <c r="A461" s="2446"/>
      <c r="B461" s="2446">
        <v>953048</v>
      </c>
      <c r="C461" s="2447" t="s">
        <v>1213</v>
      </c>
      <c r="D461" s="2448"/>
      <c r="E461" s="2446">
        <v>5</v>
      </c>
      <c r="F461" s="2446">
        <v>300</v>
      </c>
      <c r="G461" s="2446">
        <v>0</v>
      </c>
      <c r="H461" s="2446">
        <v>266.78199999999998</v>
      </c>
      <c r="I461" s="2446">
        <f t="shared" si="267"/>
        <v>5</v>
      </c>
      <c r="J461" s="2446">
        <f t="shared" si="268"/>
        <v>33.218000000000018</v>
      </c>
      <c r="K461" s="2441"/>
    </row>
    <row r="462" spans="1:13">
      <c r="A462" s="2446"/>
      <c r="B462" s="2446">
        <v>916010</v>
      </c>
      <c r="C462" s="2447" t="s">
        <v>247</v>
      </c>
      <c r="D462" s="2448"/>
      <c r="E462" s="2446">
        <v>5</v>
      </c>
      <c r="F462" s="2446">
        <v>400</v>
      </c>
      <c r="G462" s="2446">
        <v>0</v>
      </c>
      <c r="H462" s="2446">
        <v>400</v>
      </c>
      <c r="I462" s="2446">
        <f t="shared" si="267"/>
        <v>5</v>
      </c>
      <c r="J462" s="2446">
        <f t="shared" si="268"/>
        <v>0</v>
      </c>
      <c r="K462" s="2441"/>
    </row>
    <row r="463" spans="1:13">
      <c r="A463" s="2449"/>
      <c r="B463" s="2449"/>
      <c r="C463" s="2449"/>
      <c r="D463" s="2450"/>
      <c r="E463" s="2451">
        <f t="shared" ref="E463:J463" si="269">SUM(E457:E462)</f>
        <v>30</v>
      </c>
      <c r="F463" s="2451">
        <f t="shared" si="269"/>
        <v>2065</v>
      </c>
      <c r="G463" s="2451">
        <f t="shared" si="269"/>
        <v>6.9909999999999997</v>
      </c>
      <c r="H463" s="2451">
        <f t="shared" si="269"/>
        <v>2024.1989999999998</v>
      </c>
      <c r="I463" s="3331">
        <f t="shared" si="269"/>
        <v>23.009</v>
      </c>
      <c r="J463" s="2451">
        <f t="shared" si="269"/>
        <v>40.801000000000045</v>
      </c>
      <c r="K463" s="2441"/>
    </row>
    <row r="466" spans="1:11" ht="30">
      <c r="A466" s="2554" t="s">
        <v>1079</v>
      </c>
      <c r="B466" s="2554"/>
      <c r="C466" s="2554"/>
      <c r="D466" s="2554"/>
      <c r="E466" s="2554"/>
      <c r="F466" s="2555"/>
      <c r="G466" s="2554"/>
      <c r="H466" s="2554"/>
      <c r="I466" s="2554"/>
      <c r="J466" s="2554"/>
      <c r="K466" s="2556"/>
    </row>
    <row r="467" spans="1:11" ht="30.6" thickBot="1">
      <c r="A467" s="2554" t="s">
        <v>1080</v>
      </c>
      <c r="B467" s="2556"/>
      <c r="C467" s="2556"/>
      <c r="D467" s="2556"/>
      <c r="E467" s="2555" t="s">
        <v>943</v>
      </c>
      <c r="F467" s="2556"/>
      <c r="G467" s="2556"/>
      <c r="H467" s="2556"/>
      <c r="I467" s="2556"/>
      <c r="J467" s="2556"/>
      <c r="K467" s="2556"/>
    </row>
    <row r="468" spans="1:11" ht="14.4">
      <c r="A468" s="2557"/>
      <c r="B468" s="2558"/>
      <c r="C468" s="2558"/>
      <c r="D468" s="2558"/>
      <c r="E468" s="4091" t="s">
        <v>152</v>
      </c>
      <c r="F468" s="4092"/>
      <c r="G468" s="4091" t="s">
        <v>153</v>
      </c>
      <c r="H468" s="4092"/>
      <c r="I468" s="2559" t="s">
        <v>154</v>
      </c>
      <c r="J468" s="2560"/>
      <c r="K468" s="2561" t="s">
        <v>132</v>
      </c>
    </row>
    <row r="469" spans="1:11" ht="28.8">
      <c r="A469" s="2562" t="s">
        <v>223</v>
      </c>
      <c r="B469" s="2562" t="s">
        <v>224</v>
      </c>
      <c r="C469" s="2562" t="s">
        <v>225</v>
      </c>
      <c r="D469" s="2562" t="s">
        <v>157</v>
      </c>
      <c r="E469" s="2562" t="s">
        <v>944</v>
      </c>
      <c r="F469" s="2562" t="s">
        <v>945</v>
      </c>
      <c r="G469" s="2562" t="s">
        <v>946</v>
      </c>
      <c r="H469" s="2562" t="s">
        <v>947</v>
      </c>
      <c r="I469" s="2562" t="s">
        <v>948</v>
      </c>
      <c r="J469" s="2562" t="s">
        <v>949</v>
      </c>
      <c r="K469" s="2556"/>
    </row>
    <row r="470" spans="1:11">
      <c r="A470" s="2563"/>
      <c r="B470" s="2563">
        <v>952314</v>
      </c>
      <c r="C470" s="2563" t="s">
        <v>1081</v>
      </c>
      <c r="D470" s="2564"/>
      <c r="E470" s="2563">
        <v>22.364000000000001</v>
      </c>
      <c r="F470" s="2563">
        <v>477.64699999999999</v>
      </c>
      <c r="G470" s="2563">
        <v>45.84</v>
      </c>
      <c r="H470" s="2563">
        <v>452.12599999999998</v>
      </c>
      <c r="I470" s="2563">
        <f>(E470-G470)</f>
        <v>-23.476000000000003</v>
      </c>
      <c r="J470" s="2563">
        <f t="shared" ref="J470" si="270">(F470-H470)</f>
        <v>25.521000000000015</v>
      </c>
      <c r="K470" s="2556"/>
    </row>
    <row r="471" spans="1:11">
      <c r="A471" s="2563"/>
      <c r="B471" s="2563"/>
      <c r="C471" s="2563"/>
      <c r="D471" s="2564"/>
      <c r="E471" s="2563"/>
      <c r="F471" s="2563"/>
      <c r="G471" s="2563"/>
      <c r="H471" s="2563"/>
      <c r="I471" s="2563"/>
      <c r="J471" s="2563"/>
      <c r="K471" s="2556"/>
    </row>
    <row r="472" spans="1:11">
      <c r="A472" s="2563"/>
      <c r="B472" s="2563"/>
      <c r="C472" s="2563"/>
      <c r="D472" s="2564"/>
      <c r="E472" s="2563"/>
      <c r="F472" s="2563"/>
      <c r="G472" s="2563"/>
      <c r="H472" s="2563"/>
      <c r="I472" s="2563">
        <f t="shared" ref="I472" si="271">(E472-G472)</f>
        <v>0</v>
      </c>
      <c r="J472" s="2563">
        <f t="shared" ref="J472" si="272">(F472-H472)</f>
        <v>0</v>
      </c>
      <c r="K472" s="2556"/>
    </row>
    <row r="473" spans="1:11">
      <c r="A473" s="2565"/>
      <c r="B473" s="2565"/>
      <c r="C473" s="2565"/>
      <c r="D473" s="2566"/>
      <c r="E473" s="2567">
        <f t="shared" ref="E473:J473" si="273">SUM(E470:E472)</f>
        <v>22.364000000000001</v>
      </c>
      <c r="F473" s="2567">
        <f t="shared" si="273"/>
        <v>477.64699999999999</v>
      </c>
      <c r="G473" s="2567">
        <f t="shared" si="273"/>
        <v>45.84</v>
      </c>
      <c r="H473" s="2567">
        <f t="shared" si="273"/>
        <v>452.12599999999998</v>
      </c>
      <c r="I473" s="2567">
        <f t="shared" si="273"/>
        <v>-23.476000000000003</v>
      </c>
      <c r="J473" s="2567">
        <f t="shared" si="273"/>
        <v>25.521000000000015</v>
      </c>
      <c r="K473" s="2556"/>
    </row>
    <row r="476" spans="1:11" ht="30">
      <c r="A476" s="2568" t="s">
        <v>1079</v>
      </c>
      <c r="B476" s="2568"/>
      <c r="C476" s="2568"/>
      <c r="D476" s="2568"/>
      <c r="E476" s="2568"/>
      <c r="F476" s="2569"/>
      <c r="G476" s="2568"/>
      <c r="H476" s="2568"/>
      <c r="I476" s="2568"/>
      <c r="J476" s="2568"/>
      <c r="K476" s="2570"/>
    </row>
    <row r="477" spans="1:11" ht="30.6" thickBot="1">
      <c r="A477" s="2568" t="s">
        <v>1082</v>
      </c>
      <c r="B477" s="2570"/>
      <c r="C477" s="2570"/>
      <c r="D477" s="2570"/>
      <c r="E477" s="2569" t="s">
        <v>943</v>
      </c>
      <c r="F477" s="2570"/>
      <c r="G477" s="2570"/>
      <c r="H477" s="2570"/>
      <c r="I477" s="2570"/>
      <c r="J477" s="2570"/>
      <c r="K477" s="2570"/>
    </row>
    <row r="478" spans="1:11" ht="14.4">
      <c r="A478" s="2571"/>
      <c r="B478" s="2572"/>
      <c r="C478" s="2572"/>
      <c r="D478" s="2572"/>
      <c r="E478" s="4048" t="s">
        <v>152</v>
      </c>
      <c r="F478" s="4049"/>
      <c r="G478" s="4048" t="s">
        <v>153</v>
      </c>
      <c r="H478" s="4049"/>
      <c r="I478" s="2573" t="s">
        <v>154</v>
      </c>
      <c r="J478" s="2574"/>
      <c r="K478" s="2575" t="s">
        <v>132</v>
      </c>
    </row>
    <row r="479" spans="1:11" ht="28.8">
      <c r="A479" s="2576" t="s">
        <v>223</v>
      </c>
      <c r="B479" s="2576" t="s">
        <v>224</v>
      </c>
      <c r="C479" s="2576" t="s">
        <v>225</v>
      </c>
      <c r="D479" s="2576" t="s">
        <v>157</v>
      </c>
      <c r="E479" s="2576" t="s">
        <v>944</v>
      </c>
      <c r="F479" s="2576" t="s">
        <v>945</v>
      </c>
      <c r="G479" s="2576" t="s">
        <v>946</v>
      </c>
      <c r="H479" s="2576" t="s">
        <v>947</v>
      </c>
      <c r="I479" s="2576" t="s">
        <v>948</v>
      </c>
      <c r="J479" s="2576" t="s">
        <v>949</v>
      </c>
      <c r="K479" s="2570"/>
    </row>
    <row r="480" spans="1:11">
      <c r="A480" s="2577"/>
      <c r="B480" s="2577">
        <v>961308</v>
      </c>
      <c r="C480" s="2577" t="s">
        <v>1572</v>
      </c>
      <c r="D480" s="2578"/>
      <c r="E480" s="2577">
        <v>2.1819999999999999</v>
      </c>
      <c r="F480" s="2577">
        <v>48.247</v>
      </c>
      <c r="G480" s="2577">
        <v>0</v>
      </c>
      <c r="H480" s="2577">
        <v>50.429000000000002</v>
      </c>
      <c r="I480" s="2577">
        <f>(E480-G480)</f>
        <v>2.1819999999999999</v>
      </c>
      <c r="J480" s="2577">
        <f t="shared" ref="J480" si="274">(F480-H480)</f>
        <v>-2.1820000000000022</v>
      </c>
      <c r="K480" s="2570"/>
    </row>
    <row r="481" spans="1:11">
      <c r="A481" s="2577"/>
      <c r="B481" s="2577">
        <v>961309</v>
      </c>
      <c r="C481" s="2577" t="s">
        <v>1571</v>
      </c>
      <c r="D481" s="2578"/>
      <c r="E481" s="2577">
        <v>2.1819999999999999</v>
      </c>
      <c r="F481" s="2577">
        <v>48.247</v>
      </c>
      <c r="G481" s="2577">
        <v>1.5620000000000001</v>
      </c>
      <c r="H481" s="2577">
        <v>29.89</v>
      </c>
      <c r="I481" s="2577">
        <f t="shared" ref="I481:I483" si="275">(E481-G481)</f>
        <v>0.61999999999999988</v>
      </c>
      <c r="J481" s="2577">
        <f t="shared" ref="J481:J483" si="276">(F481-H481)</f>
        <v>18.356999999999999</v>
      </c>
      <c r="K481" s="2570"/>
    </row>
    <row r="482" spans="1:11">
      <c r="A482" s="2577"/>
      <c r="B482" s="2577">
        <v>961338</v>
      </c>
      <c r="C482" s="2577" t="s">
        <v>1570</v>
      </c>
      <c r="D482" s="2578"/>
      <c r="E482" s="2577">
        <v>2.1819999999999999</v>
      </c>
      <c r="F482" s="2577">
        <v>48.247</v>
      </c>
      <c r="G482" s="2577">
        <v>1.6679999999999999</v>
      </c>
      <c r="H482" s="2577">
        <v>46.44</v>
      </c>
      <c r="I482" s="2577">
        <f t="shared" si="275"/>
        <v>0.51400000000000001</v>
      </c>
      <c r="J482" s="2577">
        <f t="shared" si="276"/>
        <v>1.8070000000000022</v>
      </c>
      <c r="K482" s="2570"/>
    </row>
    <row r="483" spans="1:11">
      <c r="A483" s="2577"/>
      <c r="B483" s="2577">
        <v>958676</v>
      </c>
      <c r="C483" s="2577" t="s">
        <v>323</v>
      </c>
      <c r="D483" s="2578"/>
      <c r="E483" s="2577">
        <v>13.090999999999999</v>
      </c>
      <c r="F483" s="2577">
        <v>287.875</v>
      </c>
      <c r="G483" s="2577">
        <v>22.061</v>
      </c>
      <c r="H483" s="2577">
        <v>278.90499999999997</v>
      </c>
      <c r="I483" s="2550">
        <f t="shared" si="275"/>
        <v>-8.9700000000000006</v>
      </c>
      <c r="J483" s="2577">
        <f t="shared" si="276"/>
        <v>8.9700000000000273</v>
      </c>
      <c r="K483" s="2570"/>
    </row>
    <row r="484" spans="1:11">
      <c r="A484" s="2577"/>
      <c r="B484" s="2577">
        <v>961395</v>
      </c>
      <c r="C484" s="2577" t="s">
        <v>212</v>
      </c>
      <c r="D484" s="2578"/>
      <c r="E484" s="2577">
        <v>13.090999999999999</v>
      </c>
      <c r="F484" s="2577">
        <v>287.875</v>
      </c>
      <c r="G484" s="2577">
        <v>5.407</v>
      </c>
      <c r="H484" s="2577">
        <v>295.55900000000003</v>
      </c>
      <c r="I484" s="2577">
        <f t="shared" ref="I484" si="277">(E484-G484)</f>
        <v>7.6839999999999993</v>
      </c>
      <c r="J484" s="2577">
        <f t="shared" ref="J484" si="278">(F484-H484)</f>
        <v>-7.6840000000000259</v>
      </c>
      <c r="K484" s="2570"/>
    </row>
    <row r="485" spans="1:11">
      <c r="A485" s="2579"/>
      <c r="B485" s="2579"/>
      <c r="C485" s="2579"/>
      <c r="D485" s="2580"/>
      <c r="E485" s="2581">
        <f t="shared" ref="E485:J485" si="279">SUM(E480:E484)</f>
        <v>32.728000000000002</v>
      </c>
      <c r="F485" s="2581">
        <f t="shared" si="279"/>
        <v>720.49099999999999</v>
      </c>
      <c r="G485" s="2581">
        <f t="shared" si="279"/>
        <v>30.698</v>
      </c>
      <c r="H485" s="2581">
        <f t="shared" si="279"/>
        <v>701.22299999999996</v>
      </c>
      <c r="I485" s="2581">
        <f t="shared" si="279"/>
        <v>2.0299999999999985</v>
      </c>
      <c r="J485" s="2581">
        <f t="shared" si="279"/>
        <v>19.268000000000001</v>
      </c>
      <c r="K485" s="2570"/>
    </row>
    <row r="487" spans="1:11" ht="30">
      <c r="A487" s="3064" t="s">
        <v>1083</v>
      </c>
      <c r="B487" s="3064"/>
      <c r="C487" s="3064"/>
      <c r="D487" s="3064"/>
      <c r="E487" s="3064"/>
      <c r="F487" s="3065"/>
      <c r="G487" s="3064"/>
      <c r="H487" s="3064"/>
      <c r="I487" s="3064"/>
      <c r="J487" s="3064"/>
      <c r="K487" s="3066"/>
    </row>
    <row r="488" spans="1:11" ht="30.6" thickBot="1">
      <c r="A488" s="3064" t="s">
        <v>1082</v>
      </c>
      <c r="B488" s="3066"/>
      <c r="C488" s="3066"/>
      <c r="D488" s="3066"/>
      <c r="E488" s="3065" t="s">
        <v>943</v>
      </c>
      <c r="F488" s="3066"/>
      <c r="G488" s="3066"/>
      <c r="H488" s="3066"/>
      <c r="I488" s="3066"/>
      <c r="J488" s="3066"/>
      <c r="K488" s="3066"/>
    </row>
    <row r="489" spans="1:11" ht="14.4">
      <c r="A489" s="3067"/>
      <c r="B489" s="3068"/>
      <c r="C489" s="3068"/>
      <c r="D489" s="3068"/>
      <c r="E489" s="4089" t="s">
        <v>152</v>
      </c>
      <c r="F489" s="4090"/>
      <c r="G489" s="4089" t="s">
        <v>153</v>
      </c>
      <c r="H489" s="4090"/>
      <c r="I489" s="3069" t="s">
        <v>154</v>
      </c>
      <c r="J489" s="3070"/>
      <c r="K489" s="3071" t="s">
        <v>132</v>
      </c>
    </row>
    <row r="490" spans="1:11" ht="28.8">
      <c r="A490" s="3072" t="s">
        <v>223</v>
      </c>
      <c r="B490" s="3072" t="s">
        <v>224</v>
      </c>
      <c r="C490" s="3072" t="s">
        <v>225</v>
      </c>
      <c r="D490" s="3072" t="s">
        <v>157</v>
      </c>
      <c r="E490" s="3072" t="s">
        <v>944</v>
      </c>
      <c r="F490" s="3072" t="s">
        <v>945</v>
      </c>
      <c r="G490" s="3072" t="s">
        <v>946</v>
      </c>
      <c r="H490" s="3072" t="s">
        <v>947</v>
      </c>
      <c r="I490" s="3072" t="s">
        <v>948</v>
      </c>
      <c r="J490" s="3072" t="s">
        <v>949</v>
      </c>
      <c r="K490" s="3066"/>
    </row>
    <row r="491" spans="1:11">
      <c r="A491" s="3073"/>
      <c r="B491" s="3073">
        <v>924618</v>
      </c>
      <c r="C491" s="3073" t="s">
        <v>169</v>
      </c>
      <c r="D491" s="3074"/>
      <c r="E491" s="4093">
        <v>31.818999999999999</v>
      </c>
      <c r="F491" s="4093">
        <v>718.88300000000004</v>
      </c>
      <c r="G491" s="3073">
        <v>0</v>
      </c>
      <c r="H491" s="3073">
        <v>43.607999999999997</v>
      </c>
      <c r="I491" s="4096">
        <f>(E491-G491-G492-G493-G494-G495-G496-G497)</f>
        <v>-8.8817841970012523E-16</v>
      </c>
      <c r="J491" s="4096">
        <f>(F491-H491-H492-H493-H494-H495-H496-H497)</f>
        <v>8.5265128291212022E-14</v>
      </c>
      <c r="K491" s="3066"/>
    </row>
    <row r="492" spans="1:11">
      <c r="A492" s="3073"/>
      <c r="B492" s="3073">
        <v>957798</v>
      </c>
      <c r="C492" s="3073" t="s">
        <v>403</v>
      </c>
      <c r="D492" s="3074"/>
      <c r="E492" s="4094"/>
      <c r="F492" s="4094"/>
      <c r="G492" s="3073">
        <v>0</v>
      </c>
      <c r="H492" s="3073">
        <v>164.79900000000001</v>
      </c>
      <c r="I492" s="4097"/>
      <c r="J492" s="4097"/>
      <c r="K492" s="3066"/>
    </row>
    <row r="493" spans="1:11">
      <c r="A493" s="3073"/>
      <c r="B493" s="3073">
        <v>952844</v>
      </c>
      <c r="C493" s="3073" t="s">
        <v>405</v>
      </c>
      <c r="D493" s="3074"/>
      <c r="E493" s="4094"/>
      <c r="F493" s="4094"/>
      <c r="G493" s="3073">
        <v>9.0869999999999997</v>
      </c>
      <c r="H493" s="3073">
        <v>148.441</v>
      </c>
      <c r="I493" s="4097"/>
      <c r="J493" s="4097"/>
      <c r="K493" s="3066"/>
    </row>
    <row r="494" spans="1:11">
      <c r="A494" s="3073"/>
      <c r="B494" s="3073">
        <v>957816</v>
      </c>
      <c r="C494" s="3073" t="s">
        <v>1084</v>
      </c>
      <c r="D494" s="3074"/>
      <c r="E494" s="4094"/>
      <c r="F494" s="4094"/>
      <c r="G494" s="3073">
        <v>0</v>
      </c>
      <c r="H494" s="3073">
        <v>95.447000000000003</v>
      </c>
      <c r="I494" s="4097"/>
      <c r="J494" s="4097"/>
      <c r="K494" s="3066"/>
    </row>
    <row r="495" spans="1:11">
      <c r="A495" s="3073"/>
      <c r="B495" s="3073">
        <v>952073</v>
      </c>
      <c r="C495" s="3073" t="s">
        <v>1336</v>
      </c>
      <c r="D495" s="3074"/>
      <c r="E495" s="4094"/>
      <c r="F495" s="4094"/>
      <c r="G495" s="3073">
        <v>15.185</v>
      </c>
      <c r="H495" s="3073">
        <v>82.025000000000006</v>
      </c>
      <c r="I495" s="4097"/>
      <c r="J495" s="4097"/>
      <c r="K495" s="3066"/>
    </row>
    <row r="496" spans="1:11">
      <c r="A496" s="3073"/>
      <c r="B496" s="3146">
        <v>958676</v>
      </c>
      <c r="C496" s="3146" t="s">
        <v>323</v>
      </c>
      <c r="D496" s="3074"/>
      <c r="E496" s="4094"/>
      <c r="F496" s="4094"/>
      <c r="G496" s="3073">
        <v>0</v>
      </c>
      <c r="H496" s="3073">
        <v>0</v>
      </c>
      <c r="I496" s="4097"/>
      <c r="J496" s="4097"/>
      <c r="K496" s="3066"/>
    </row>
    <row r="497" spans="1:11">
      <c r="A497" s="3073"/>
      <c r="B497" s="3073">
        <v>953902</v>
      </c>
      <c r="C497" s="3073" t="s">
        <v>404</v>
      </c>
      <c r="D497" s="3074"/>
      <c r="E497" s="4095"/>
      <c r="F497" s="4095"/>
      <c r="G497" s="3073">
        <v>7.5469999999999997</v>
      </c>
      <c r="H497" s="3073">
        <v>184.56299999999999</v>
      </c>
      <c r="I497" s="4098"/>
      <c r="J497" s="4098"/>
      <c r="K497" s="3066"/>
    </row>
    <row r="498" spans="1:11">
      <c r="A498" s="3075"/>
      <c r="B498" s="3075"/>
      <c r="C498" s="3075"/>
      <c r="D498" s="3076"/>
      <c r="E498" s="3077">
        <v>31.818999999999999</v>
      </c>
      <c r="F498" s="3077">
        <v>718.88300000000004</v>
      </c>
      <c r="G498" s="3077">
        <f>SUM(G491:G497)</f>
        <v>31.818999999999999</v>
      </c>
      <c r="H498" s="3077">
        <f>SUM(H491:H497)</f>
        <v>718.88300000000004</v>
      </c>
      <c r="I498" s="3073">
        <f t="shared" ref="I498" si="280">(E498-G498)</f>
        <v>0</v>
      </c>
      <c r="J498" s="3073">
        <f t="shared" ref="J498" si="281">(F498-H498)</f>
        <v>0</v>
      </c>
      <c r="K498" s="3066"/>
    </row>
    <row r="501" spans="1:11" ht="30">
      <c r="A501" s="2600" t="s">
        <v>1085</v>
      </c>
      <c r="B501" s="2586"/>
      <c r="C501" s="2586"/>
      <c r="D501" s="2586"/>
      <c r="E501" s="2586"/>
      <c r="F501" s="2586"/>
      <c r="G501" s="2586"/>
      <c r="H501" s="2586"/>
      <c r="I501" s="2586"/>
      <c r="J501" s="2586"/>
      <c r="K501" s="2588"/>
    </row>
    <row r="502" spans="1:11" ht="30">
      <c r="A502" s="2586" t="s">
        <v>1086</v>
      </c>
      <c r="B502" s="2586"/>
      <c r="C502" s="2586"/>
      <c r="D502" s="2586"/>
      <c r="E502" s="2586"/>
      <c r="F502" s="2587" t="s">
        <v>943</v>
      </c>
      <c r="G502" s="2586"/>
      <c r="H502" s="2586"/>
      <c r="I502" s="2586"/>
      <c r="J502" s="2586"/>
      <c r="K502" s="2588"/>
    </row>
    <row r="503" spans="1:11" ht="13.8" thickBot="1">
      <c r="A503" s="2588"/>
      <c r="B503" s="2588"/>
      <c r="C503" s="2588"/>
      <c r="D503" s="2588"/>
      <c r="E503" s="2588"/>
      <c r="F503" s="2588"/>
      <c r="G503" s="2588"/>
      <c r="H503" s="2588"/>
      <c r="I503" s="2588"/>
      <c r="J503" s="2588"/>
      <c r="K503" s="2588"/>
    </row>
    <row r="504" spans="1:11" ht="14.4">
      <c r="A504" s="2590"/>
      <c r="B504" s="2589"/>
      <c r="C504" s="2589"/>
      <c r="D504" s="2589"/>
      <c r="E504" s="4076" t="s">
        <v>152</v>
      </c>
      <c r="F504" s="4077"/>
      <c r="G504" s="4076" t="s">
        <v>153</v>
      </c>
      <c r="H504" s="4077"/>
      <c r="I504" s="2591" t="s">
        <v>154</v>
      </c>
      <c r="J504" s="2592"/>
      <c r="K504" s="2588"/>
    </row>
    <row r="505" spans="1:11" ht="28.8">
      <c r="A505" s="2594" t="s">
        <v>957</v>
      </c>
      <c r="B505" s="2594" t="s">
        <v>224</v>
      </c>
      <c r="C505" s="2594" t="s">
        <v>225</v>
      </c>
      <c r="D505" s="2594" t="s">
        <v>157</v>
      </c>
      <c r="E505" s="2594" t="s">
        <v>944</v>
      </c>
      <c r="F505" s="2594" t="s">
        <v>945</v>
      </c>
      <c r="G505" s="2594" t="s">
        <v>946</v>
      </c>
      <c r="H505" s="2594" t="s">
        <v>947</v>
      </c>
      <c r="I505" s="2594" t="s">
        <v>948</v>
      </c>
      <c r="J505" s="2594" t="s">
        <v>949</v>
      </c>
      <c r="K505" s="2588"/>
    </row>
    <row r="506" spans="1:11">
      <c r="A506" s="2595"/>
      <c r="B506" s="2595">
        <v>925404</v>
      </c>
      <c r="C506" s="2595" t="s">
        <v>264</v>
      </c>
      <c r="D506" s="2596"/>
      <c r="E506" s="2595">
        <v>35.22</v>
      </c>
      <c r="F506" s="2595">
        <v>476.88</v>
      </c>
      <c r="G506" s="2595"/>
      <c r="H506" s="2595">
        <v>476.86099999999999</v>
      </c>
      <c r="I506" s="2595">
        <f>(E506-G506)</f>
        <v>35.22</v>
      </c>
      <c r="J506" s="2595">
        <f t="shared" ref="J506" si="282">(F506-H506)</f>
        <v>1.9000000000005457E-2</v>
      </c>
      <c r="K506" s="2588"/>
    </row>
    <row r="507" spans="1:11">
      <c r="A507" s="2595"/>
      <c r="B507" s="2595"/>
      <c r="C507" s="2595"/>
      <c r="D507" s="2596"/>
      <c r="E507" s="2595"/>
      <c r="F507" s="2595"/>
      <c r="G507" s="2595"/>
      <c r="H507" s="2596"/>
      <c r="I507" s="2595"/>
      <c r="J507" s="2595"/>
      <c r="K507" s="2588"/>
    </row>
    <row r="508" spans="1:11">
      <c r="A508" s="2595"/>
      <c r="B508" s="2595"/>
      <c r="C508" s="2595"/>
      <c r="D508" s="2596"/>
      <c r="E508" s="2595">
        <f>SUM(E506:E507)</f>
        <v>35.22</v>
      </c>
      <c r="F508" s="2595">
        <f t="shared" ref="F508:H508" si="283">SUM(F506:F507)</f>
        <v>476.88</v>
      </c>
      <c r="G508" s="2595">
        <f t="shared" si="283"/>
        <v>0</v>
      </c>
      <c r="H508" s="2601">
        <f t="shared" si="283"/>
        <v>476.86099999999999</v>
      </c>
      <c r="I508" s="2595">
        <f>SUM(I506:I507)</f>
        <v>35.22</v>
      </c>
      <c r="J508" s="2595">
        <f>SUM(J506:J507)</f>
        <v>1.9000000000005457E-2</v>
      </c>
      <c r="K508" s="2588"/>
    </row>
    <row r="511" spans="1:11" ht="30">
      <c r="A511" s="2600" t="s">
        <v>1091</v>
      </c>
      <c r="B511" s="2586"/>
      <c r="C511" s="2586"/>
      <c r="D511" s="2586"/>
      <c r="E511" s="2586"/>
      <c r="F511" s="2586"/>
      <c r="G511" s="2586"/>
      <c r="H511" s="2586"/>
      <c r="I511" s="2586"/>
      <c r="J511" s="2586"/>
      <c r="K511" s="2588"/>
    </row>
    <row r="512" spans="1:11" ht="30">
      <c r="A512" s="2586" t="s">
        <v>1090</v>
      </c>
      <c r="B512" s="2586"/>
      <c r="C512" s="2586"/>
      <c r="D512" s="2586"/>
      <c r="E512" s="2586"/>
      <c r="F512" s="2587" t="s">
        <v>943</v>
      </c>
      <c r="G512" s="2586"/>
      <c r="H512" s="2586"/>
      <c r="I512" s="2586"/>
      <c r="J512" s="2586"/>
      <c r="K512" s="2588"/>
    </row>
    <row r="513" spans="1:11" ht="13.8" thickBot="1">
      <c r="A513" s="2588"/>
      <c r="B513" s="2588"/>
      <c r="C513" s="2588"/>
      <c r="D513" s="2588"/>
      <c r="E513" s="2588"/>
      <c r="F513" s="2588"/>
      <c r="G513" s="2588"/>
      <c r="H513" s="2588"/>
      <c r="I513" s="2588"/>
      <c r="J513" s="2588"/>
      <c r="K513" s="2588"/>
    </row>
    <row r="514" spans="1:11" ht="14.4">
      <c r="A514" s="2590"/>
      <c r="B514" s="2589"/>
      <c r="C514" s="2589"/>
      <c r="D514" s="2589"/>
      <c r="E514" s="4076" t="s">
        <v>152</v>
      </c>
      <c r="F514" s="4077"/>
      <c r="G514" s="4076" t="s">
        <v>153</v>
      </c>
      <c r="H514" s="4077"/>
      <c r="I514" s="2591" t="s">
        <v>154</v>
      </c>
      <c r="J514" s="2592"/>
      <c r="K514" s="2588"/>
    </row>
    <row r="515" spans="1:11" ht="28.8">
      <c r="A515" s="2594" t="s">
        <v>957</v>
      </c>
      <c r="B515" s="2594" t="s">
        <v>224</v>
      </c>
      <c r="C515" s="2594" t="s">
        <v>225</v>
      </c>
      <c r="D515" s="2594" t="s">
        <v>157</v>
      </c>
      <c r="E515" s="2594" t="s">
        <v>944</v>
      </c>
      <c r="F515" s="2594" t="s">
        <v>945</v>
      </c>
      <c r="G515" s="2594" t="s">
        <v>946</v>
      </c>
      <c r="H515" s="2594" t="s">
        <v>947</v>
      </c>
      <c r="I515" s="2594" t="s">
        <v>948</v>
      </c>
      <c r="J515" s="2594" t="s">
        <v>949</v>
      </c>
      <c r="K515" s="2588"/>
    </row>
    <row r="516" spans="1:11">
      <c r="A516" s="2595"/>
      <c r="B516" s="3551">
        <v>960113</v>
      </c>
      <c r="C516" s="3551" t="s">
        <v>842</v>
      </c>
      <c r="D516" s="2596"/>
      <c r="E516" s="2595">
        <v>10</v>
      </c>
      <c r="F516" s="2595">
        <v>90</v>
      </c>
      <c r="G516" s="2595">
        <v>0</v>
      </c>
      <c r="H516" s="2595">
        <v>89.716999999999999</v>
      </c>
      <c r="I516" s="2595">
        <f>(E516-G516)</f>
        <v>10</v>
      </c>
      <c r="J516" s="2595">
        <f t="shared" ref="J516:J519" si="284">(F516-H516)</f>
        <v>0.28300000000000125</v>
      </c>
      <c r="K516" s="2588"/>
    </row>
    <row r="517" spans="1:11">
      <c r="A517" s="2595"/>
      <c r="B517" s="3551">
        <v>959845</v>
      </c>
      <c r="C517" s="3551" t="s">
        <v>965</v>
      </c>
      <c r="D517" s="2596"/>
      <c r="E517" s="2595">
        <v>10</v>
      </c>
      <c r="F517" s="2595">
        <v>90</v>
      </c>
      <c r="G517" s="2595">
        <v>0</v>
      </c>
      <c r="H517" s="2595">
        <v>40.600999999999999</v>
      </c>
      <c r="I517" s="2595"/>
      <c r="J517" s="2595">
        <f t="shared" si="284"/>
        <v>49.399000000000001</v>
      </c>
      <c r="K517" s="2588"/>
    </row>
    <row r="518" spans="1:11">
      <c r="A518" s="2595"/>
      <c r="B518" s="3551">
        <v>959841</v>
      </c>
      <c r="C518" s="3551" t="s">
        <v>859</v>
      </c>
      <c r="D518" s="2596"/>
      <c r="E518" s="2595">
        <v>10</v>
      </c>
      <c r="F518" s="2595">
        <v>90</v>
      </c>
      <c r="G518" s="2595">
        <v>1.9850000000000001</v>
      </c>
      <c r="H518" s="2595">
        <v>38.622</v>
      </c>
      <c r="I518" s="2595"/>
      <c r="J518" s="2595">
        <f t="shared" si="284"/>
        <v>51.378</v>
      </c>
      <c r="K518" s="2588"/>
    </row>
    <row r="519" spans="1:11">
      <c r="A519" s="2595"/>
      <c r="B519" s="3551">
        <v>5991</v>
      </c>
      <c r="C519" s="3551" t="s">
        <v>1628</v>
      </c>
      <c r="D519" s="2596"/>
      <c r="E519" s="2595">
        <v>0</v>
      </c>
      <c r="F519" s="2595">
        <v>0</v>
      </c>
      <c r="G519" s="2595">
        <v>0</v>
      </c>
      <c r="H519" s="2596">
        <v>0</v>
      </c>
      <c r="I519" s="2595"/>
      <c r="J519" s="2595">
        <f t="shared" si="284"/>
        <v>0</v>
      </c>
      <c r="K519" s="2588"/>
    </row>
    <row r="520" spans="1:11">
      <c r="A520" s="2595"/>
      <c r="B520" s="2595"/>
      <c r="C520" s="2595"/>
      <c r="D520" s="2596"/>
      <c r="E520" s="2595">
        <f t="shared" ref="E520:J520" si="285">SUM(E516:E519)</f>
        <v>30</v>
      </c>
      <c r="F520" s="2595">
        <f t="shared" si="285"/>
        <v>270</v>
      </c>
      <c r="G520" s="2595">
        <f t="shared" si="285"/>
        <v>1.9850000000000001</v>
      </c>
      <c r="H520" s="2601">
        <f t="shared" si="285"/>
        <v>168.94</v>
      </c>
      <c r="I520" s="2595">
        <f t="shared" si="285"/>
        <v>10</v>
      </c>
      <c r="J520" s="2595">
        <f t="shared" si="285"/>
        <v>101.06</v>
      </c>
      <c r="K520" s="2588"/>
    </row>
    <row r="523" spans="1:11" ht="30">
      <c r="A523" s="2582" t="s">
        <v>1087</v>
      </c>
      <c r="B523" s="2568"/>
      <c r="C523" s="2568"/>
      <c r="D523" s="2568"/>
      <c r="E523" s="2568"/>
      <c r="F523" s="2568"/>
      <c r="G523" s="2568"/>
      <c r="H523" s="2568"/>
      <c r="I523" s="2568"/>
      <c r="J523" s="2568"/>
      <c r="K523" s="2570"/>
    </row>
    <row r="524" spans="1:11" ht="30">
      <c r="A524" s="2568" t="s">
        <v>1088</v>
      </c>
      <c r="B524" s="2568"/>
      <c r="C524" s="2568"/>
      <c r="D524" s="2568"/>
      <c r="E524" s="2568"/>
      <c r="F524" s="2569" t="s">
        <v>943</v>
      </c>
      <c r="G524" s="2568"/>
      <c r="H524" s="2568"/>
      <c r="I524" s="2568"/>
      <c r="J524" s="2568"/>
      <c r="K524" s="2570"/>
    </row>
    <row r="525" spans="1:11" ht="13.8" thickBot="1">
      <c r="A525" s="2570"/>
      <c r="B525" s="2570"/>
      <c r="C525" s="2570"/>
      <c r="D525" s="2570"/>
      <c r="E525" s="2570"/>
      <c r="F525" s="2570"/>
      <c r="G525" s="2570"/>
      <c r="H525" s="2570"/>
      <c r="I525" s="2570"/>
      <c r="J525" s="2570"/>
      <c r="K525" s="2570"/>
    </row>
    <row r="526" spans="1:11" ht="14.4">
      <c r="A526" s="2571"/>
      <c r="B526" s="2572"/>
      <c r="C526" s="2572"/>
      <c r="D526" s="2572"/>
      <c r="E526" s="4048" t="s">
        <v>152</v>
      </c>
      <c r="F526" s="4049"/>
      <c r="G526" s="4048" t="s">
        <v>153</v>
      </c>
      <c r="H526" s="4049"/>
      <c r="I526" s="2573" t="s">
        <v>154</v>
      </c>
      <c r="J526" s="2574"/>
      <c r="K526" s="2570"/>
    </row>
    <row r="527" spans="1:11" ht="28.8">
      <c r="A527" s="2576" t="s">
        <v>957</v>
      </c>
      <c r="B527" s="2576" t="s">
        <v>224</v>
      </c>
      <c r="C527" s="2576" t="s">
        <v>225</v>
      </c>
      <c r="D527" s="2576" t="s">
        <v>157</v>
      </c>
      <c r="E527" s="2576" t="s">
        <v>944</v>
      </c>
      <c r="F527" s="2576" t="s">
        <v>945</v>
      </c>
      <c r="G527" s="2576" t="s">
        <v>946</v>
      </c>
      <c r="H527" s="2576" t="s">
        <v>947</v>
      </c>
      <c r="I527" s="2576" t="s">
        <v>948</v>
      </c>
      <c r="J527" s="2576" t="s">
        <v>949</v>
      </c>
      <c r="K527" s="2570"/>
    </row>
    <row r="528" spans="1:11">
      <c r="A528" s="2577"/>
      <c r="B528" s="2577">
        <v>960104</v>
      </c>
      <c r="C528" s="2577" t="s">
        <v>1089</v>
      </c>
      <c r="D528" s="2578"/>
      <c r="E528" s="2577">
        <v>80</v>
      </c>
      <c r="F528" s="2577">
        <v>520</v>
      </c>
      <c r="G528" s="2577">
        <v>65.784999999999997</v>
      </c>
      <c r="H528" s="2577">
        <v>534.21500000000003</v>
      </c>
      <c r="I528" s="2577">
        <f>(E528-G528)</f>
        <v>14.215000000000003</v>
      </c>
      <c r="J528" s="2577">
        <f t="shared" ref="J528" si="286">(F528-H528)</f>
        <v>-14.215000000000032</v>
      </c>
      <c r="K528" s="2570"/>
    </row>
    <row r="529" spans="1:11">
      <c r="A529" s="2577"/>
      <c r="B529" s="2577"/>
      <c r="C529" s="2577"/>
      <c r="D529" s="2578"/>
      <c r="E529" s="2577"/>
      <c r="F529" s="2577"/>
      <c r="G529" s="2577"/>
      <c r="H529" s="2578"/>
      <c r="I529" s="2577"/>
      <c r="J529" s="2577"/>
      <c r="K529" s="2570"/>
    </row>
    <row r="530" spans="1:11">
      <c r="A530" s="2577"/>
      <c r="B530" s="2577"/>
      <c r="C530" s="2577"/>
      <c r="D530" s="2578"/>
      <c r="E530" s="2577">
        <f>SUM(E528:E529)</f>
        <v>80</v>
      </c>
      <c r="F530" s="2577">
        <f t="shared" ref="F530:H530" si="287">SUM(F528:F529)</f>
        <v>520</v>
      </c>
      <c r="G530" s="2577">
        <f t="shared" si="287"/>
        <v>65.784999999999997</v>
      </c>
      <c r="H530" s="2583">
        <f t="shared" si="287"/>
        <v>534.21500000000003</v>
      </c>
      <c r="I530" s="2577">
        <f>SUM(I528:I529)</f>
        <v>14.215000000000003</v>
      </c>
      <c r="J530" s="2577">
        <f>SUM(J528:J529)</f>
        <v>-14.215000000000032</v>
      </c>
      <c r="K530" s="2570"/>
    </row>
    <row r="533" spans="1:11" ht="30">
      <c r="A533" s="2582" t="s">
        <v>1087</v>
      </c>
      <c r="B533" s="2568"/>
      <c r="C533" s="2568"/>
      <c r="D533" s="2568"/>
      <c r="E533" s="2568"/>
      <c r="F533" s="2568"/>
      <c r="G533" s="2568"/>
      <c r="H533" s="2568"/>
      <c r="I533" s="2568"/>
      <c r="J533" s="2568"/>
      <c r="K533" s="2570"/>
    </row>
    <row r="534" spans="1:11" ht="30">
      <c r="A534" s="2568" t="s">
        <v>1216</v>
      </c>
      <c r="B534" s="2568"/>
      <c r="C534" s="2568"/>
      <c r="D534" s="2568"/>
      <c r="E534" s="2568"/>
      <c r="F534" s="2569" t="s">
        <v>943</v>
      </c>
      <c r="G534" s="2568"/>
      <c r="H534" s="2568"/>
      <c r="I534" s="2568"/>
      <c r="J534" s="2568"/>
      <c r="K534" s="2570"/>
    </row>
    <row r="535" spans="1:11" ht="13.8" thickBot="1">
      <c r="A535" s="2570"/>
      <c r="B535" s="2570"/>
      <c r="C535" s="2570"/>
      <c r="D535" s="2570"/>
      <c r="E535" s="2570"/>
      <c r="F535" s="2570"/>
      <c r="G535" s="2570"/>
      <c r="H535" s="2570"/>
      <c r="I535" s="2570"/>
      <c r="J535" s="2570"/>
      <c r="K535" s="2570"/>
    </row>
    <row r="536" spans="1:11" ht="14.4">
      <c r="A536" s="2571"/>
      <c r="B536" s="2572"/>
      <c r="C536" s="2572"/>
      <c r="D536" s="2572"/>
      <c r="E536" s="4048" t="s">
        <v>152</v>
      </c>
      <c r="F536" s="4049"/>
      <c r="G536" s="4048" t="s">
        <v>153</v>
      </c>
      <c r="H536" s="4049"/>
      <c r="I536" s="2573" t="s">
        <v>154</v>
      </c>
      <c r="J536" s="2574"/>
      <c r="K536" s="2570"/>
    </row>
    <row r="537" spans="1:11" ht="28.8">
      <c r="A537" s="2576" t="s">
        <v>957</v>
      </c>
      <c r="B537" s="2576" t="s">
        <v>224</v>
      </c>
      <c r="C537" s="2576" t="s">
        <v>225</v>
      </c>
      <c r="D537" s="2576" t="s">
        <v>157</v>
      </c>
      <c r="E537" s="2576" t="s">
        <v>944</v>
      </c>
      <c r="F537" s="2576" t="s">
        <v>945</v>
      </c>
      <c r="G537" s="2576" t="s">
        <v>946</v>
      </c>
      <c r="H537" s="2576" t="s">
        <v>947</v>
      </c>
      <c r="I537" s="2576" t="s">
        <v>948</v>
      </c>
      <c r="J537" s="2576" t="s">
        <v>949</v>
      </c>
      <c r="K537" s="2570"/>
    </row>
    <row r="538" spans="1:11">
      <c r="A538" s="2577"/>
      <c r="B538" s="2577">
        <v>958248</v>
      </c>
      <c r="C538" s="2577" t="s">
        <v>249</v>
      </c>
      <c r="D538" s="2578"/>
      <c r="E538" s="2577">
        <v>100</v>
      </c>
      <c r="F538" s="2577"/>
      <c r="G538" s="2577"/>
      <c r="H538" s="2577"/>
      <c r="I538" s="2577">
        <f>(E538-G538)</f>
        <v>100</v>
      </c>
      <c r="J538" s="2577">
        <f t="shared" ref="J538" si="288">(F538-H538)</f>
        <v>0</v>
      </c>
      <c r="K538" s="2570"/>
    </row>
    <row r="539" spans="1:11">
      <c r="A539" s="2577"/>
      <c r="B539" s="2577"/>
      <c r="C539" s="2577"/>
      <c r="D539" s="2578"/>
      <c r="E539" s="2577"/>
      <c r="F539" s="2577"/>
      <c r="G539" s="2577"/>
      <c r="H539" s="2578"/>
      <c r="I539" s="2577"/>
      <c r="J539" s="2577"/>
      <c r="K539" s="2570"/>
    </row>
    <row r="540" spans="1:11">
      <c r="A540" s="2577"/>
      <c r="B540" s="2577"/>
      <c r="C540" s="2577"/>
      <c r="D540" s="2578"/>
      <c r="E540" s="2577">
        <f>SUM(E538:E539)</f>
        <v>100</v>
      </c>
      <c r="F540" s="2577">
        <f t="shared" ref="F540:H540" si="289">SUM(F538:F539)</f>
        <v>0</v>
      </c>
      <c r="G540" s="2577">
        <f t="shared" si="289"/>
        <v>0</v>
      </c>
      <c r="H540" s="2583">
        <f t="shared" si="289"/>
        <v>0</v>
      </c>
      <c r="I540" s="2577">
        <f>SUM(I538:I539)</f>
        <v>100</v>
      </c>
      <c r="J540" s="2577">
        <f>SUM(J538:J539)</f>
        <v>0</v>
      </c>
      <c r="K540" s="2570"/>
    </row>
  </sheetData>
  <mergeCells count="308">
    <mergeCell ref="AQ308:AR308"/>
    <mergeCell ref="AS308:AT308"/>
    <mergeCell ref="AQ298:AR298"/>
    <mergeCell ref="AS298:AT298"/>
    <mergeCell ref="AS278:AT278"/>
    <mergeCell ref="AQ259:AR259"/>
    <mergeCell ref="AS259:AT259"/>
    <mergeCell ref="AQ269:AR269"/>
    <mergeCell ref="AS269:AT269"/>
    <mergeCell ref="AS221:AT221"/>
    <mergeCell ref="AQ249:AR249"/>
    <mergeCell ref="AS249:AT249"/>
    <mergeCell ref="AQ239:AR239"/>
    <mergeCell ref="AS239:AT239"/>
    <mergeCell ref="AQ232:AR232"/>
    <mergeCell ref="AS232:AT232"/>
    <mergeCell ref="AQ288:AR288"/>
    <mergeCell ref="AS288:AT288"/>
    <mergeCell ref="AE253:AF253"/>
    <mergeCell ref="AC243:AD243"/>
    <mergeCell ref="AE243:AF243"/>
    <mergeCell ref="AC219:AD219"/>
    <mergeCell ref="AC234:AD234"/>
    <mergeCell ref="AE234:AF234"/>
    <mergeCell ref="AC253:AD253"/>
    <mergeCell ref="E217:F217"/>
    <mergeCell ref="AQ278:AR278"/>
    <mergeCell ref="AH221:AH226"/>
    <mergeCell ref="E304:F304"/>
    <mergeCell ref="E293:F293"/>
    <mergeCell ref="F282:F284"/>
    <mergeCell ref="AG316:AG329"/>
    <mergeCell ref="AG255:AG268"/>
    <mergeCell ref="AC316:AC329"/>
    <mergeCell ref="AE316:AE329"/>
    <mergeCell ref="AG295:AG308"/>
    <mergeCell ref="AC314:AD314"/>
    <mergeCell ref="AE314:AF314"/>
    <mergeCell ref="AC276:AD276"/>
    <mergeCell ref="AE276:AF276"/>
    <mergeCell ref="AC284:AD284"/>
    <mergeCell ref="AE284:AF284"/>
    <mergeCell ref="AE293:AF293"/>
    <mergeCell ref="AC295:AC308"/>
    <mergeCell ref="AE295:AE308"/>
    <mergeCell ref="AC293:AD293"/>
    <mergeCell ref="S263:T263"/>
    <mergeCell ref="J491:J497"/>
    <mergeCell ref="S253:T253"/>
    <mergeCell ref="AC107:AD107"/>
    <mergeCell ref="AE107:AF107"/>
    <mergeCell ref="G370:H370"/>
    <mergeCell ref="G386:H386"/>
    <mergeCell ref="J209:J210"/>
    <mergeCell ref="S243:T243"/>
    <mergeCell ref="Q263:R263"/>
    <mergeCell ref="G184:H184"/>
    <mergeCell ref="S273:T273"/>
    <mergeCell ref="I125:I127"/>
    <mergeCell ref="J125:J127"/>
    <mergeCell ref="J158:J161"/>
    <mergeCell ref="Q193:R193"/>
    <mergeCell ref="S193:T193"/>
    <mergeCell ref="S317:T317"/>
    <mergeCell ref="AC210:AD210"/>
    <mergeCell ref="AE210:AF210"/>
    <mergeCell ref="AC197:AD197"/>
    <mergeCell ref="J149:J150"/>
    <mergeCell ref="S326:T326"/>
    <mergeCell ref="G425:H425"/>
    <mergeCell ref="S307:T307"/>
    <mergeCell ref="AE29:AF29"/>
    <mergeCell ref="AC52:AD52"/>
    <mergeCell ref="G113:H113"/>
    <mergeCell ref="S232:T232"/>
    <mergeCell ref="Q273:R273"/>
    <mergeCell ref="Q243:R243"/>
    <mergeCell ref="AE255:AE268"/>
    <mergeCell ref="G238:H238"/>
    <mergeCell ref="I145:I148"/>
    <mergeCell ref="J145:J148"/>
    <mergeCell ref="AC255:AC268"/>
    <mergeCell ref="AC187:AD187"/>
    <mergeCell ref="AE187:AF187"/>
    <mergeCell ref="AE197:AF197"/>
    <mergeCell ref="G217:H217"/>
    <mergeCell ref="G193:H193"/>
    <mergeCell ref="G269:H269"/>
    <mergeCell ref="Q253:R253"/>
    <mergeCell ref="S156:T156"/>
    <mergeCell ref="Q232:R232"/>
    <mergeCell ref="Q156:R156"/>
    <mergeCell ref="S81:T81"/>
    <mergeCell ref="S103:T103"/>
    <mergeCell ref="G170:H170"/>
    <mergeCell ref="Q24:R24"/>
    <mergeCell ref="Q47:R47"/>
    <mergeCell ref="AC129:AC134"/>
    <mergeCell ref="AD129:AD134"/>
    <mergeCell ref="G19:H19"/>
    <mergeCell ref="S47:T47"/>
    <mergeCell ref="AC29:AD29"/>
    <mergeCell ref="Q361:R361"/>
    <mergeCell ref="S361:T361"/>
    <mergeCell ref="S335:T335"/>
    <mergeCell ref="G134:H134"/>
    <mergeCell ref="G143:H143"/>
    <mergeCell ref="S297:T297"/>
    <mergeCell ref="Q284:R284"/>
    <mergeCell ref="S284:T284"/>
    <mergeCell ref="Q297:R297"/>
    <mergeCell ref="J172:J176"/>
    <mergeCell ref="E386:F386"/>
    <mergeCell ref="Q343:R343"/>
    <mergeCell ref="S343:T343"/>
    <mergeCell ref="AC7:AD7"/>
    <mergeCell ref="AE7:AF7"/>
    <mergeCell ref="S146:T146"/>
    <mergeCell ref="AC83:AD83"/>
    <mergeCell ref="AE83:AF83"/>
    <mergeCell ref="AC20:AD20"/>
    <mergeCell ref="AE20:AF20"/>
    <mergeCell ref="AC43:AD43"/>
    <mergeCell ref="AE43:AF43"/>
    <mergeCell ref="AE52:AF52"/>
    <mergeCell ref="AC62:AD62"/>
    <mergeCell ref="AE62:AF62"/>
    <mergeCell ref="AC71:AD71"/>
    <mergeCell ref="AE71:AF71"/>
    <mergeCell ref="AC142:AD142"/>
    <mergeCell ref="AE142:AF142"/>
    <mergeCell ref="S24:T24"/>
    <mergeCell ref="AC127:AE127"/>
    <mergeCell ref="E225:F225"/>
    <mergeCell ref="E257:F257"/>
    <mergeCell ref="F145:F148"/>
    <mergeCell ref="E536:F536"/>
    <mergeCell ref="G536:H536"/>
    <mergeCell ref="E526:F526"/>
    <mergeCell ref="G468:H468"/>
    <mergeCell ref="E514:F514"/>
    <mergeCell ref="Q307:R307"/>
    <mergeCell ref="G526:H526"/>
    <mergeCell ref="E504:F504"/>
    <mergeCell ref="G504:H504"/>
    <mergeCell ref="E468:F468"/>
    <mergeCell ref="E491:E497"/>
    <mergeCell ref="F491:F497"/>
    <mergeCell ref="I491:I497"/>
    <mergeCell ref="G514:H514"/>
    <mergeCell ref="G478:H478"/>
    <mergeCell ref="G489:H489"/>
    <mergeCell ref="Q335:R335"/>
    <mergeCell ref="E370:F370"/>
    <mergeCell ref="Q326:R326"/>
    <mergeCell ref="Q317:R317"/>
    <mergeCell ref="E314:F314"/>
    <mergeCell ref="G314:H314"/>
    <mergeCell ref="E435:F435"/>
    <mergeCell ref="E425:F425"/>
    <mergeCell ref="E478:F478"/>
    <mergeCell ref="E444:F444"/>
    <mergeCell ref="G444:H444"/>
    <mergeCell ref="H227:H230"/>
    <mergeCell ref="F227:F230"/>
    <mergeCell ref="J227:J230"/>
    <mergeCell ref="E489:F489"/>
    <mergeCell ref="E455:F455"/>
    <mergeCell ref="G225:H225"/>
    <mergeCell ref="G455:H455"/>
    <mergeCell ref="G257:H257"/>
    <mergeCell ref="E280:F280"/>
    <mergeCell ref="H282:H284"/>
    <mergeCell ref="J282:J284"/>
    <mergeCell ref="G246:H246"/>
    <mergeCell ref="E238:F238"/>
    <mergeCell ref="E246:F246"/>
    <mergeCell ref="G304:H304"/>
    <mergeCell ref="G293:H293"/>
    <mergeCell ref="E415:F415"/>
    <mergeCell ref="G415:H415"/>
    <mergeCell ref="G435:H435"/>
    <mergeCell ref="G280:H280"/>
    <mergeCell ref="E269:F269"/>
    <mergeCell ref="E113:F113"/>
    <mergeCell ref="F158:F161"/>
    <mergeCell ref="E207:F207"/>
    <mergeCell ref="G207:H207"/>
    <mergeCell ref="G156:H156"/>
    <mergeCell ref="E193:F193"/>
    <mergeCell ref="E149:E150"/>
    <mergeCell ref="F149:F150"/>
    <mergeCell ref="F209:F210"/>
    <mergeCell ref="E123:F123"/>
    <mergeCell ref="G123:H123"/>
    <mergeCell ref="E184:F184"/>
    <mergeCell ref="E170:F170"/>
    <mergeCell ref="F172:F176"/>
    <mergeCell ref="E8:F8"/>
    <mergeCell ref="G8:H8"/>
    <mergeCell ref="E32:F32"/>
    <mergeCell ref="G32:H32"/>
    <mergeCell ref="E61:F61"/>
    <mergeCell ref="G61:H61"/>
    <mergeCell ref="E19:F19"/>
    <mergeCell ref="S15:T15"/>
    <mergeCell ref="Q146:R146"/>
    <mergeCell ref="F125:F127"/>
    <mergeCell ref="E145:E148"/>
    <mergeCell ref="Q71:R71"/>
    <mergeCell ref="Q81:R81"/>
    <mergeCell ref="E93:F93"/>
    <mergeCell ref="E42:F42"/>
    <mergeCell ref="G42:H42"/>
    <mergeCell ref="E51:F51"/>
    <mergeCell ref="G51:H51"/>
    <mergeCell ref="E103:F103"/>
    <mergeCell ref="G103:H103"/>
    <mergeCell ref="G72:H72"/>
    <mergeCell ref="E82:F82"/>
    <mergeCell ref="G82:H82"/>
    <mergeCell ref="S71:T71"/>
    <mergeCell ref="AG113:AG114"/>
    <mergeCell ref="AH113:AH114"/>
    <mergeCell ref="AG117:AG119"/>
    <mergeCell ref="AC156:AD156"/>
    <mergeCell ref="AE156:AF156"/>
    <mergeCell ref="S6:T6"/>
    <mergeCell ref="E328:F328"/>
    <mergeCell ref="G328:H328"/>
    <mergeCell ref="E352:F352"/>
    <mergeCell ref="G352:H352"/>
    <mergeCell ref="Q124:R124"/>
    <mergeCell ref="S124:T124"/>
    <mergeCell ref="Q113:R113"/>
    <mergeCell ref="S113:T113"/>
    <mergeCell ref="Q92:R92"/>
    <mergeCell ref="S92:T92"/>
    <mergeCell ref="Q15:R15"/>
    <mergeCell ref="Q103:R103"/>
    <mergeCell ref="Q6:R6"/>
    <mergeCell ref="G93:H93"/>
    <mergeCell ref="E134:F134"/>
    <mergeCell ref="E143:F143"/>
    <mergeCell ref="E156:F156"/>
    <mergeCell ref="E72:F72"/>
    <mergeCell ref="AG109:AG111"/>
    <mergeCell ref="AH109:AH111"/>
    <mergeCell ref="AG129:AG134"/>
    <mergeCell ref="AH129:AH134"/>
    <mergeCell ref="AY110:AY115"/>
    <mergeCell ref="AS191:AT191"/>
    <mergeCell ref="AW110:AW115"/>
    <mergeCell ref="AS122:AT122"/>
    <mergeCell ref="AQ97:AR97"/>
    <mergeCell ref="AS97:AT97"/>
    <mergeCell ref="AS164:AT164"/>
    <mergeCell ref="AQ155:AR155"/>
    <mergeCell ref="AS155:AT155"/>
    <mergeCell ref="AQ172:AR172"/>
    <mergeCell ref="AS172:AT172"/>
    <mergeCell ref="AQ108:AS108"/>
    <mergeCell ref="AT108:AV108"/>
    <mergeCell ref="AQ110:AQ115"/>
    <mergeCell ref="AR110:AR115"/>
    <mergeCell ref="AS110:AS115"/>
    <mergeCell ref="AT110:AT115"/>
    <mergeCell ref="AQ191:AR191"/>
    <mergeCell ref="AQ122:AR122"/>
    <mergeCell ref="AQ183:AR183"/>
    <mergeCell ref="AH117:AH119"/>
    <mergeCell ref="AF129:AF134"/>
    <mergeCell ref="AF127:AH127"/>
    <mergeCell ref="AI129:AI134"/>
    <mergeCell ref="AE219:AF219"/>
    <mergeCell ref="AD221:AD226"/>
    <mergeCell ref="AF221:AF226"/>
    <mergeCell ref="AQ221:AR221"/>
    <mergeCell ref="AQ207:AR207"/>
    <mergeCell ref="AJ129:AJ134"/>
    <mergeCell ref="AK129:AK134"/>
    <mergeCell ref="AC166:AD166"/>
    <mergeCell ref="AE166:AF166"/>
    <mergeCell ref="AC176:AD176"/>
    <mergeCell ref="AE176:AF176"/>
    <mergeCell ref="AE129:AE134"/>
    <mergeCell ref="AQ6:AR6"/>
    <mergeCell ref="AS6:AT6"/>
    <mergeCell ref="AX110:AX115"/>
    <mergeCell ref="AS71:AT71"/>
    <mergeCell ref="AQ81:AR81"/>
    <mergeCell ref="AS81:AT81"/>
    <mergeCell ref="AS61:AT61"/>
    <mergeCell ref="AS207:AT207"/>
    <mergeCell ref="AR209:AR215"/>
    <mergeCell ref="AQ209:AQ215"/>
    <mergeCell ref="AU209:AU215"/>
    <mergeCell ref="AV209:AV215"/>
    <mergeCell ref="AQ132:AR132"/>
    <mergeCell ref="AS132:AT132"/>
    <mergeCell ref="AQ143:AR143"/>
    <mergeCell ref="AS143:AT143"/>
    <mergeCell ref="AU110:AU115"/>
    <mergeCell ref="AV110:AV115"/>
    <mergeCell ref="AQ164:AR164"/>
    <mergeCell ref="AQ61:AR61"/>
    <mergeCell ref="AQ71:AR71"/>
    <mergeCell ref="AS183:AT183"/>
  </mergeCells>
  <pageMargins left="0.7" right="0.7" top="0.75" bottom="0.75" header="0.3" footer="0.3"/>
  <pageSetup paperSize="130" orientation="portrait" r:id="rId1"/>
  <legacyDrawing r:id="rId2"/>
</worksheet>
</file>

<file path=xl/worksheets/sheet25.xml><?xml version="1.0" encoding="utf-8"?>
<worksheet xmlns="http://schemas.openxmlformats.org/spreadsheetml/2006/main" xmlns:r="http://schemas.openxmlformats.org/officeDocument/2006/relationships">
  <sheetPr>
    <tabColor theme="5" tint="-0.499984740745262"/>
  </sheetPr>
  <dimension ref="A1:X71"/>
  <sheetViews>
    <sheetView tabSelected="1" topLeftCell="A43" workbookViewId="0">
      <selection activeCell="H55" sqref="H55"/>
    </sheetView>
  </sheetViews>
  <sheetFormatPr baseColWidth="10" defaultRowHeight="13.2"/>
  <cols>
    <col min="3" max="3" width="18.5546875" bestFit="1" customWidth="1"/>
    <col min="4" max="4" width="17.6640625" bestFit="1" customWidth="1"/>
    <col min="5" max="5" width="17" bestFit="1" customWidth="1"/>
    <col min="8" max="8" width="14.44140625" bestFit="1" customWidth="1"/>
    <col min="9" max="9" width="15.6640625" bestFit="1" customWidth="1"/>
    <col min="11" max="11" width="26" bestFit="1" customWidth="1"/>
    <col min="12" max="12" width="13.5546875" bestFit="1" customWidth="1"/>
    <col min="13" max="13" width="18.5546875" bestFit="1" customWidth="1"/>
    <col min="14" max="14" width="17.6640625" bestFit="1" customWidth="1"/>
    <col min="15" max="15" width="17" bestFit="1" customWidth="1"/>
    <col min="17" max="17" width="21" customWidth="1"/>
    <col min="18" max="18" width="19" customWidth="1"/>
    <col min="19" max="19" width="15.6640625" bestFit="1" customWidth="1"/>
    <col min="21" max="21" width="26" bestFit="1" customWidth="1"/>
    <col min="22" max="22" width="17" customWidth="1"/>
    <col min="23" max="23" width="14.6640625" customWidth="1"/>
    <col min="24" max="24" width="16.6640625" customWidth="1"/>
  </cols>
  <sheetData>
    <row r="1" spans="1:21" ht="13.8">
      <c r="A1" s="3885" t="s">
        <v>790</v>
      </c>
      <c r="B1" s="4114"/>
      <c r="C1" s="48"/>
      <c r="D1" s="48"/>
      <c r="E1" s="160"/>
      <c r="F1" s="50"/>
      <c r="G1" s="49"/>
      <c r="H1" s="145"/>
      <c r="I1" s="145"/>
      <c r="J1" s="145"/>
      <c r="K1" s="2268"/>
      <c r="L1" s="2268"/>
      <c r="M1" s="2268"/>
      <c r="N1" s="2268"/>
    </row>
    <row r="2" spans="1:21" ht="14.4" thickBot="1">
      <c r="A2" s="49"/>
      <c r="B2" s="50"/>
      <c r="C2" s="48"/>
      <c r="D2" s="48"/>
      <c r="E2" s="160"/>
      <c r="F2" s="50"/>
      <c r="G2" s="49"/>
      <c r="H2" s="145"/>
      <c r="I2" s="145"/>
      <c r="J2" s="2268"/>
      <c r="P2" s="2494"/>
      <c r="Q2" s="2441"/>
      <c r="R2" s="2441"/>
      <c r="S2" s="2441"/>
      <c r="T2" s="2441"/>
      <c r="U2" s="2441"/>
    </row>
    <row r="3" spans="1:21" ht="14.4" thickBot="1">
      <c r="A3" s="2270" t="s">
        <v>752</v>
      </c>
      <c r="B3" s="2271" t="s">
        <v>46</v>
      </c>
      <c r="C3" s="2272" t="s">
        <v>47</v>
      </c>
      <c r="D3" s="2272" t="s">
        <v>48</v>
      </c>
      <c r="E3" s="2273" t="s">
        <v>19</v>
      </c>
      <c r="F3" s="2271" t="s">
        <v>20</v>
      </c>
      <c r="G3" s="2271" t="s">
        <v>49</v>
      </c>
      <c r="H3" s="2272" t="s">
        <v>22</v>
      </c>
      <c r="I3" s="2274" t="s">
        <v>767</v>
      </c>
      <c r="J3" s="2268"/>
      <c r="P3" s="2494"/>
      <c r="Q3" s="2441"/>
      <c r="R3" s="2441"/>
      <c r="S3" s="2441"/>
      <c r="T3" s="2441"/>
      <c r="U3" s="2441"/>
    </row>
    <row r="4" spans="1:21" ht="13.8">
      <c r="A4" s="2246" t="s">
        <v>768</v>
      </c>
      <c r="B4" s="2275" t="s">
        <v>783</v>
      </c>
      <c r="C4" s="2276">
        <v>15638.8</v>
      </c>
      <c r="D4" s="2277">
        <f>+C4</f>
        <v>15638.8</v>
      </c>
      <c r="E4" s="2278">
        <f>+'[2]ALGAS III-2014'!B149</f>
        <v>4669.4430000000002</v>
      </c>
      <c r="F4" s="2279">
        <f>IF(C4=0,E4,D4-E4)</f>
        <v>10969.357</v>
      </c>
      <c r="G4" s="2280">
        <f>IF(C4=0,0,1-+E4/D4)</f>
        <v>0.70141935442617076</v>
      </c>
      <c r="H4" s="2281"/>
      <c r="I4" s="2237"/>
      <c r="J4" s="2268"/>
      <c r="P4" s="2494"/>
      <c r="Q4" s="2151" t="s">
        <v>1150</v>
      </c>
      <c r="R4" s="2489" t="s">
        <v>1147</v>
      </c>
      <c r="S4" s="2489" t="s">
        <v>1148</v>
      </c>
      <c r="T4" s="2489" t="s">
        <v>1149</v>
      </c>
      <c r="U4" s="2441"/>
    </row>
    <row r="5" spans="1:21" ht="13.8">
      <c r="A5" s="2238" t="s">
        <v>769</v>
      </c>
      <c r="B5" s="2275" t="s">
        <v>783</v>
      </c>
      <c r="C5" s="2288">
        <v>2070</v>
      </c>
      <c r="D5" s="2289">
        <f>+C5</f>
        <v>2070</v>
      </c>
      <c r="E5" s="2290">
        <f>+'[2]ALGAS III-2014'!B282</f>
        <v>704.7170000000001</v>
      </c>
      <c r="F5" s="2291">
        <f t="shared" ref="F5:F15" si="0">IF(C5=0,E5,D5-E5)</f>
        <v>1365.2829999999999</v>
      </c>
      <c r="G5" s="2292">
        <f t="shared" ref="G5:G15" si="1">IF(C5=0,0,1-+E5/D5)</f>
        <v>0.65955700483091784</v>
      </c>
      <c r="H5" s="2293"/>
      <c r="I5" s="2237"/>
      <c r="J5" s="2237"/>
      <c r="P5" s="2494"/>
      <c r="Q5" s="1267" t="s">
        <v>783</v>
      </c>
      <c r="R5" s="2491">
        <v>19390.3</v>
      </c>
      <c r="S5" s="2490">
        <v>2763.4</v>
      </c>
      <c r="T5" s="2492">
        <v>385.2</v>
      </c>
      <c r="U5" s="2441"/>
    </row>
    <row r="6" spans="1:21" ht="14.4" thickBot="1">
      <c r="A6" s="2239" t="s">
        <v>771</v>
      </c>
      <c r="B6" s="2275" t="s">
        <v>783</v>
      </c>
      <c r="C6" s="2295">
        <v>374.5</v>
      </c>
      <c r="D6" s="2296">
        <f>+C6</f>
        <v>374.5</v>
      </c>
      <c r="E6" s="2297">
        <f>+'[2]ALGAS III-2014'!B12</f>
        <v>105.38300000000001</v>
      </c>
      <c r="F6" s="2298">
        <f>IF(C6=0,E6,D6-E6)</f>
        <v>269.11699999999996</v>
      </c>
      <c r="G6" s="2299">
        <f>IF(C6=0,0,1-+E6/D6)</f>
        <v>0.71860347129506008</v>
      </c>
      <c r="H6" s="2285"/>
      <c r="I6" s="2237"/>
      <c r="J6" s="2237"/>
      <c r="P6" s="2494"/>
      <c r="Q6" s="1107" t="s">
        <v>785</v>
      </c>
      <c r="R6" s="2491">
        <v>16749.7</v>
      </c>
      <c r="S6" s="2490">
        <v>3197</v>
      </c>
      <c r="T6" s="2492">
        <v>306</v>
      </c>
      <c r="U6" s="2441"/>
    </row>
    <row r="7" spans="1:21" ht="13.8">
      <c r="A7" s="2236" t="s">
        <v>768</v>
      </c>
      <c r="B7" s="2243" t="s">
        <v>785</v>
      </c>
      <c r="C7" s="2301">
        <v>13509.1</v>
      </c>
      <c r="D7" s="2302">
        <f t="shared" ref="D7:D15" si="2">IF((D4-C4)&gt;0,F4+C7,C7+F4)</f>
        <v>24478.457000000002</v>
      </c>
      <c r="E7" s="2278">
        <f>+'[2]ALGAS III-2014'!B153</f>
        <v>1490.7429999999995</v>
      </c>
      <c r="F7" s="2278">
        <f>IF(C7=0,E7,D7-E7)</f>
        <v>22987.714000000004</v>
      </c>
      <c r="G7" s="2280">
        <f t="shared" si="1"/>
        <v>0.93909979701743462</v>
      </c>
      <c r="H7" s="2281"/>
      <c r="I7" s="2237"/>
      <c r="J7" s="2237"/>
      <c r="P7" s="2494"/>
      <c r="Q7" s="1267" t="s">
        <v>786</v>
      </c>
      <c r="R7" s="2491">
        <v>16335</v>
      </c>
      <c r="S7" s="2490">
        <v>5720.1</v>
      </c>
      <c r="T7" s="2492">
        <v>447.1</v>
      </c>
      <c r="U7" s="2441"/>
    </row>
    <row r="8" spans="1:21" ht="13.8">
      <c r="A8" s="2238" t="s">
        <v>769</v>
      </c>
      <c r="B8" s="1107" t="s">
        <v>785</v>
      </c>
      <c r="C8" s="1699">
        <v>2395</v>
      </c>
      <c r="D8" s="2303">
        <f t="shared" si="2"/>
        <v>3760.2829999999999</v>
      </c>
      <c r="E8" s="2290">
        <f>+'[2]ALGAS III-2014'!B286</f>
        <v>48.884999999999998</v>
      </c>
      <c r="F8" s="2304">
        <f t="shared" si="0"/>
        <v>3711.3979999999997</v>
      </c>
      <c r="G8" s="2292">
        <f t="shared" si="1"/>
        <v>0.98699964869665391</v>
      </c>
      <c r="H8" s="2293"/>
      <c r="I8" s="2237"/>
      <c r="J8" s="2237"/>
      <c r="P8" s="2494"/>
      <c r="Q8" s="1107" t="s">
        <v>39</v>
      </c>
      <c r="R8" s="2491">
        <v>11525</v>
      </c>
      <c r="S8" s="2490">
        <v>2015.8</v>
      </c>
      <c r="T8" s="2492">
        <v>495.4</v>
      </c>
      <c r="U8" s="2441"/>
    </row>
    <row r="9" spans="1:21" ht="14.4" thickBot="1">
      <c r="A9" s="2244" t="s">
        <v>771</v>
      </c>
      <c r="B9" s="2245" t="s">
        <v>785</v>
      </c>
      <c r="C9" s="2306">
        <v>297.39999999999998</v>
      </c>
      <c r="D9" s="2307">
        <f>IF((D6-C6)&gt;0,F6+C9,C9+F6)</f>
        <v>566.51699999999994</v>
      </c>
      <c r="E9" s="2297">
        <f>+'[2]ALGAS III-2014'!B16</f>
        <v>181.76</v>
      </c>
      <c r="F9" s="2308">
        <f t="shared" si="0"/>
        <v>384.75699999999995</v>
      </c>
      <c r="G9" s="2299">
        <f t="shared" si="1"/>
        <v>0.67916231993038156</v>
      </c>
      <c r="H9" s="2285"/>
      <c r="I9" s="2237"/>
      <c r="J9" s="2237"/>
      <c r="P9" s="2494"/>
      <c r="Q9" s="2151"/>
      <c r="R9" s="2151">
        <f>SUM(R5:R8)</f>
        <v>64000</v>
      </c>
      <c r="S9" s="2151">
        <f t="shared" ref="S9:T9" si="3">SUM(S5:S8)</f>
        <v>13696.3</v>
      </c>
      <c r="T9" s="2151">
        <f t="shared" si="3"/>
        <v>1633.7000000000003</v>
      </c>
      <c r="U9" s="2441"/>
    </row>
    <row r="10" spans="1:21" ht="13.8">
      <c r="A10" s="2236" t="s">
        <v>768</v>
      </c>
      <c r="B10" s="2275" t="s">
        <v>786</v>
      </c>
      <c r="C10" s="2301">
        <v>13174.6</v>
      </c>
      <c r="D10" s="2302">
        <f t="shared" si="2"/>
        <v>36162.314000000006</v>
      </c>
      <c r="E10" s="2278">
        <f>+'[2]ALGAS III-2014'!B157</f>
        <v>0</v>
      </c>
      <c r="F10" s="2278">
        <f>IF(C10=0,E10,D10-E10)</f>
        <v>36162.314000000006</v>
      </c>
      <c r="G10" s="2280">
        <f t="shared" si="1"/>
        <v>1</v>
      </c>
      <c r="H10" s="2281"/>
      <c r="I10" s="2237"/>
      <c r="J10" s="2268"/>
      <c r="P10" s="2494"/>
      <c r="Q10" s="2268"/>
      <c r="R10" s="2268"/>
      <c r="S10" s="2268"/>
      <c r="T10" s="2268"/>
      <c r="U10" s="2441"/>
    </row>
    <row r="11" spans="1:21" ht="13.8">
      <c r="A11" s="2238" t="s">
        <v>769</v>
      </c>
      <c r="B11" s="2275" t="s">
        <v>786</v>
      </c>
      <c r="C11" s="1699">
        <v>4285</v>
      </c>
      <c r="D11" s="2303">
        <f t="shared" si="2"/>
        <v>7996.3979999999992</v>
      </c>
      <c r="E11" s="2290">
        <f>+'[2]ALGAS III-2014'!B290</f>
        <v>0</v>
      </c>
      <c r="F11" s="2304">
        <f t="shared" si="0"/>
        <v>7996.3979999999992</v>
      </c>
      <c r="G11" s="2292">
        <f t="shared" si="1"/>
        <v>1</v>
      </c>
      <c r="H11" s="2293"/>
      <c r="I11" s="2237"/>
      <c r="J11" s="2268"/>
      <c r="P11" s="2494"/>
      <c r="Q11" s="2151" t="s">
        <v>1146</v>
      </c>
      <c r="R11" s="2489" t="s">
        <v>1149</v>
      </c>
      <c r="S11" s="2268"/>
      <c r="T11" s="2268"/>
      <c r="U11" s="2441"/>
    </row>
    <row r="12" spans="1:21" ht="14.4" thickBot="1">
      <c r="A12" s="2244" t="s">
        <v>771</v>
      </c>
      <c r="B12" s="2275" t="s">
        <v>786</v>
      </c>
      <c r="C12" s="2306">
        <v>434.5</v>
      </c>
      <c r="D12" s="2307">
        <f t="shared" si="2"/>
        <v>819.25699999999995</v>
      </c>
      <c r="E12" s="2297">
        <f>+'[2]ALGAS III-2014'!B20</f>
        <v>0</v>
      </c>
      <c r="F12" s="2308">
        <f t="shared" si="0"/>
        <v>819.25699999999995</v>
      </c>
      <c r="G12" s="2299">
        <f t="shared" si="1"/>
        <v>1</v>
      </c>
      <c r="H12" s="2285"/>
      <c r="I12" s="2237"/>
      <c r="J12" s="2268"/>
      <c r="P12" s="2494"/>
      <c r="Q12" s="1267" t="s">
        <v>783</v>
      </c>
      <c r="R12" s="2492">
        <v>935.3</v>
      </c>
      <c r="S12" s="2268"/>
      <c r="T12" s="2268"/>
      <c r="U12" s="2441"/>
    </row>
    <row r="13" spans="1:21" ht="13.8">
      <c r="A13" s="2246" t="s">
        <v>768</v>
      </c>
      <c r="B13" s="2243" t="s">
        <v>39</v>
      </c>
      <c r="C13" s="2312">
        <v>9295.2000000000007</v>
      </c>
      <c r="D13" s="2302">
        <f t="shared" si="2"/>
        <v>45457.51400000001</v>
      </c>
      <c r="E13" s="2278">
        <f>+'[2]ALGAS III-2014'!B161</f>
        <v>0</v>
      </c>
      <c r="F13" s="2278">
        <f>IF(C13=0,E13,D13-E13)</f>
        <v>45457.51400000001</v>
      </c>
      <c r="G13" s="2280">
        <f t="shared" si="1"/>
        <v>1</v>
      </c>
      <c r="H13" s="2281"/>
      <c r="I13" s="2313">
        <f>IF(H13="",0,'[1]Algas IV reg '!$AL$15/1000)</f>
        <v>0</v>
      </c>
      <c r="J13" s="145"/>
      <c r="P13" s="2494"/>
      <c r="Q13" s="1107" t="s">
        <v>785</v>
      </c>
      <c r="R13" s="2492">
        <v>742.8</v>
      </c>
      <c r="S13" s="2268"/>
      <c r="T13" s="2268"/>
      <c r="U13" s="2441"/>
    </row>
    <row r="14" spans="1:21" ht="13.8">
      <c r="A14" s="2238" t="s">
        <v>769</v>
      </c>
      <c r="B14" s="1107" t="s">
        <v>39</v>
      </c>
      <c r="C14" s="1699">
        <v>1510</v>
      </c>
      <c r="D14" s="2303">
        <f t="shared" si="2"/>
        <v>9506.3979999999992</v>
      </c>
      <c r="E14" s="2290">
        <f>+'[2]ALGAS III-2014'!B294</f>
        <v>0</v>
      </c>
      <c r="F14" s="2304">
        <f t="shared" si="0"/>
        <v>9506.3979999999992</v>
      </c>
      <c r="G14" s="2292">
        <f t="shared" si="1"/>
        <v>1</v>
      </c>
      <c r="H14" s="2293"/>
      <c r="I14" s="2314">
        <f>IF(H14="",0,'[1]Algas IV reg '!AL32/1000)</f>
        <v>0</v>
      </c>
      <c r="J14" s="145"/>
      <c r="P14" s="2494"/>
      <c r="Q14" s="1267" t="s">
        <v>786</v>
      </c>
      <c r="R14" s="2492">
        <v>1085.3</v>
      </c>
      <c r="S14" s="2268"/>
      <c r="T14" s="2268"/>
      <c r="U14" s="2441"/>
    </row>
    <row r="15" spans="1:21" ht="14.4" thickBot="1">
      <c r="A15" s="2244" t="s">
        <v>771</v>
      </c>
      <c r="B15" s="2245" t="s">
        <v>39</v>
      </c>
      <c r="C15" s="2306">
        <v>481.5</v>
      </c>
      <c r="D15" s="2307">
        <f t="shared" si="2"/>
        <v>1300.7570000000001</v>
      </c>
      <c r="E15" s="2297">
        <f>+'[2]ALGAS III-2014'!B24</f>
        <v>0</v>
      </c>
      <c r="F15" s="2308">
        <f t="shared" si="0"/>
        <v>1300.7570000000001</v>
      </c>
      <c r="G15" s="2299">
        <f t="shared" si="1"/>
        <v>1</v>
      </c>
      <c r="H15" s="2285"/>
      <c r="I15" s="2315">
        <f>IF(H15="",0,'[1]Algas IV reg '!$AL$49/1000)</f>
        <v>0</v>
      </c>
      <c r="J15" s="145"/>
      <c r="P15" s="2494"/>
      <c r="Q15" s="1107" t="s">
        <v>39</v>
      </c>
      <c r="R15" s="2493">
        <v>1202.8</v>
      </c>
      <c r="S15" s="2268"/>
      <c r="T15" s="2268"/>
      <c r="U15" s="2441"/>
    </row>
    <row r="16" spans="1:21" ht="13.8">
      <c r="A16" s="2252" t="s">
        <v>50</v>
      </c>
      <c r="B16" s="2252"/>
      <c r="C16" s="2259"/>
      <c r="D16" s="2259"/>
      <c r="E16" s="2259"/>
      <c r="F16" s="2316">
        <f>+D16-E16</f>
        <v>0</v>
      </c>
      <c r="G16" s="49"/>
      <c r="H16" s="145"/>
      <c r="I16" s="145"/>
      <c r="J16" s="145"/>
      <c r="P16" s="2494"/>
      <c r="Q16" s="2268"/>
      <c r="R16" s="2151">
        <f>SUM(R12:R15)</f>
        <v>3966.2</v>
      </c>
      <c r="S16" s="2268"/>
      <c r="T16" s="2268"/>
      <c r="U16" s="2441"/>
    </row>
    <row r="17" spans="1:24" ht="14.4" thickBot="1">
      <c r="A17" s="161"/>
      <c r="B17" s="50"/>
      <c r="C17" s="922"/>
      <c r="D17" s="922"/>
      <c r="E17" s="162"/>
      <c r="F17" s="2317"/>
      <c r="G17" s="49"/>
      <c r="H17" s="145"/>
      <c r="I17" s="145"/>
      <c r="J17" s="145"/>
      <c r="P17" s="2494"/>
      <c r="Q17" s="2441"/>
      <c r="R17" s="2441"/>
      <c r="S17" s="2441"/>
      <c r="T17" s="2441"/>
      <c r="U17" s="2441"/>
    </row>
    <row r="18" spans="1:24" ht="14.4" thickBot="1">
      <c r="A18" s="2318" t="s">
        <v>779</v>
      </c>
      <c r="B18" s="2319" t="s">
        <v>46</v>
      </c>
      <c r="C18" s="2320" t="s">
        <v>47</v>
      </c>
      <c r="D18" s="2320" t="s">
        <v>48</v>
      </c>
      <c r="E18" s="2319" t="s">
        <v>19</v>
      </c>
      <c r="F18" s="2319" t="s">
        <v>20</v>
      </c>
      <c r="G18" s="2319" t="s">
        <v>49</v>
      </c>
      <c r="H18" s="2320" t="s">
        <v>22</v>
      </c>
      <c r="I18" s="2321" t="s">
        <v>767</v>
      </c>
      <c r="J18" s="145"/>
      <c r="K18" s="2268"/>
      <c r="L18" s="2268"/>
      <c r="M18" s="2268"/>
      <c r="N18" s="2268"/>
      <c r="P18" s="2494"/>
      <c r="Q18" s="2441"/>
      <c r="R18" s="2441"/>
      <c r="S18" s="2441"/>
      <c r="T18" s="2441"/>
      <c r="U18" s="2441"/>
    </row>
    <row r="19" spans="1:24" ht="14.4" thickBot="1">
      <c r="A19" s="2236" t="s">
        <v>768</v>
      </c>
      <c r="B19" s="2275" t="s">
        <v>783</v>
      </c>
      <c r="C19" s="2276">
        <v>2444.3000000000002</v>
      </c>
      <c r="D19" s="2322">
        <f>+C19</f>
        <v>2444.3000000000002</v>
      </c>
      <c r="E19" s="2278">
        <f>+'[2]ALGAS III-2014'!B194</f>
        <v>3128.5480000000007</v>
      </c>
      <c r="F19" s="2278">
        <f>IF(C19=0,E19,D19-E19)</f>
        <v>-684.2480000000005</v>
      </c>
      <c r="G19" s="2280">
        <f>IF(C19=0,0,1-+E19/D19)</f>
        <v>-0.27993617804688475</v>
      </c>
      <c r="H19" s="2281"/>
      <c r="I19" s="2237"/>
      <c r="J19" s="145"/>
      <c r="K19" s="2268"/>
      <c r="L19" s="2268"/>
      <c r="M19" s="2268"/>
      <c r="N19" s="2268"/>
    </row>
    <row r="20" spans="1:24" ht="14.4" thickBot="1">
      <c r="A20" s="2238" t="s">
        <v>769</v>
      </c>
      <c r="B20" s="2275" t="s">
        <v>783</v>
      </c>
      <c r="C20" s="2288">
        <v>677.1</v>
      </c>
      <c r="D20" s="2303">
        <f>+C20</f>
        <v>677.1</v>
      </c>
      <c r="E20" s="2290">
        <f>+'[2]ALGAS III-2014'!B328</f>
        <v>752.90199999999993</v>
      </c>
      <c r="F20" s="2304">
        <f t="shared" ref="F20:F30" si="4">IF(C20=0,E20,D20-E20)</f>
        <v>-75.801999999999907</v>
      </c>
      <c r="G20" s="2292">
        <f t="shared" ref="G20:G30" si="5">IF(C20=0,0,1-+E20/D20)</f>
        <v>-0.11195096736080323</v>
      </c>
      <c r="H20" s="2465" t="s">
        <v>1066</v>
      </c>
      <c r="I20" s="2237"/>
      <c r="J20" s="145"/>
      <c r="K20" s="2270" t="s">
        <v>1153</v>
      </c>
      <c r="L20" s="2271" t="s">
        <v>46</v>
      </c>
      <c r="M20" s="2272" t="s">
        <v>47</v>
      </c>
      <c r="N20" s="2272" t="s">
        <v>48</v>
      </c>
      <c r="O20" s="2273" t="s">
        <v>19</v>
      </c>
      <c r="P20" s="2271" t="s">
        <v>20</v>
      </c>
      <c r="Q20" s="2271" t="s">
        <v>49</v>
      </c>
      <c r="R20" s="2272" t="s">
        <v>22</v>
      </c>
      <c r="S20" s="2274" t="s">
        <v>767</v>
      </c>
      <c r="U20" s="2495"/>
      <c r="V20" s="4111" t="s">
        <v>1154</v>
      </c>
      <c r="W20" s="4112"/>
      <c r="X20" s="4113"/>
    </row>
    <row r="21" spans="1:24" ht="14.4" thickBot="1">
      <c r="A21" s="2244" t="s">
        <v>771</v>
      </c>
      <c r="B21" s="2275" t="s">
        <v>783</v>
      </c>
      <c r="C21" s="2295">
        <v>944.8</v>
      </c>
      <c r="D21" s="2307">
        <f>+C21</f>
        <v>944.8</v>
      </c>
      <c r="E21" s="2297">
        <f>+'[2]ALGAS III-2014'!B61</f>
        <v>1057.643</v>
      </c>
      <c r="F21" s="2308">
        <f t="shared" si="4"/>
        <v>-112.84300000000007</v>
      </c>
      <c r="G21" s="2299">
        <f t="shared" si="5"/>
        <v>-0.11943585944115176</v>
      </c>
      <c r="H21" s="2415">
        <v>41682</v>
      </c>
      <c r="I21" s="2237"/>
      <c r="J21" s="145"/>
      <c r="K21" s="2246" t="s">
        <v>768</v>
      </c>
      <c r="L21" s="2275" t="s">
        <v>783</v>
      </c>
      <c r="M21" s="2276">
        <v>19390</v>
      </c>
      <c r="N21" s="2277">
        <f>+M21</f>
        <v>19390</v>
      </c>
      <c r="O21" s="2498">
        <f>+'[2]ALGAS III-2014'!AQ57</f>
        <v>8785.4719999999998</v>
      </c>
      <c r="P21" s="2279">
        <f>IF(M21=0,O21,N21-O21)</f>
        <v>10604.528</v>
      </c>
      <c r="Q21" s="2280">
        <f>IF(M21=0,0,1-+O21/N21)</f>
        <v>0.5469070654976792</v>
      </c>
      <c r="R21" s="2281"/>
      <c r="S21" s="2237"/>
      <c r="U21" s="2495"/>
      <c r="V21" s="2250" t="s">
        <v>768</v>
      </c>
      <c r="W21" s="2251" t="s">
        <v>769</v>
      </c>
      <c r="X21" s="2251" t="s">
        <v>770</v>
      </c>
    </row>
    <row r="22" spans="1:24" ht="14.4" thickBot="1">
      <c r="A22" s="2236" t="s">
        <v>768</v>
      </c>
      <c r="B22" s="2243" t="s">
        <v>785</v>
      </c>
      <c r="C22" s="2301">
        <v>2111.4</v>
      </c>
      <c r="D22" s="2302">
        <f t="shared" ref="D22:D30" si="6">IF((D19-C19)&gt;0,F19+C22,C22+F19)</f>
        <v>1427.1519999999996</v>
      </c>
      <c r="E22" s="2278">
        <f>+'[2]ALGAS III-2014'!B198</f>
        <v>1427.9589999999998</v>
      </c>
      <c r="F22" s="2278">
        <f>IF(C22=0,E22,D22-E22)</f>
        <v>-0.80700000000024374</v>
      </c>
      <c r="G22" s="2280">
        <f t="shared" si="5"/>
        <v>-5.6546184288719381E-4</v>
      </c>
      <c r="H22" s="2281"/>
      <c r="I22" s="2237"/>
      <c r="J22" s="145"/>
      <c r="K22" s="2238" t="s">
        <v>769</v>
      </c>
      <c r="L22" s="2275" t="s">
        <v>783</v>
      </c>
      <c r="M22" s="2288">
        <v>2763.4</v>
      </c>
      <c r="N22" s="2289">
        <f>+M22</f>
        <v>2763.4</v>
      </c>
      <c r="O22" s="2499">
        <f>+'[2]ALGAS III-2014'!AQ101</f>
        <v>1610.2049999999999</v>
      </c>
      <c r="P22" s="2291">
        <f t="shared" ref="P22" si="7">IF(M22=0,O22,N22-O22)</f>
        <v>1153.1950000000002</v>
      </c>
      <c r="Q22" s="2292">
        <f t="shared" ref="Q22" si="8">IF(M22=0,0,1-+O22/N22)</f>
        <v>0.41731019758268806</v>
      </c>
      <c r="R22" s="2293"/>
      <c r="S22" s="2237"/>
      <c r="U22" s="2495"/>
      <c r="V22" s="2286">
        <f>+M21+M24+M27+M30</f>
        <v>63999.7</v>
      </c>
      <c r="W22" s="2287">
        <f>+M22+M25+M28+M31</f>
        <v>13696.3</v>
      </c>
      <c r="X22" s="2287">
        <f>+M23+M26+M29+M32</f>
        <v>1633.7000000000003</v>
      </c>
    </row>
    <row r="23" spans="1:24" ht="14.4" thickBot="1">
      <c r="A23" s="2238" t="s">
        <v>769</v>
      </c>
      <c r="B23" s="1107" t="s">
        <v>785</v>
      </c>
      <c r="C23" s="1699">
        <v>783.1</v>
      </c>
      <c r="D23" s="2303">
        <f t="shared" si="6"/>
        <v>707.29800000000012</v>
      </c>
      <c r="E23" s="2290">
        <f>+'[2]ALGAS III-2014'!B332</f>
        <v>21.18</v>
      </c>
      <c r="F23" s="2304">
        <f t="shared" si="4"/>
        <v>686.11800000000017</v>
      </c>
      <c r="G23" s="2292">
        <f t="shared" si="5"/>
        <v>0.97005505458802377</v>
      </c>
      <c r="H23" s="2293"/>
      <c r="I23" s="2237"/>
      <c r="J23" s="145"/>
      <c r="K23" s="2239" t="s">
        <v>771</v>
      </c>
      <c r="L23" s="2275" t="s">
        <v>783</v>
      </c>
      <c r="M23" s="2295">
        <v>385.2</v>
      </c>
      <c r="N23" s="2296">
        <f>+M23</f>
        <v>385.2</v>
      </c>
      <c r="O23" s="2500">
        <f>+'[2]ALGAS III-2014'!AQ12</f>
        <v>193.95299999999997</v>
      </c>
      <c r="P23" s="2298">
        <f>IF(M23=0,O23,N23-O23)</f>
        <v>191.24700000000001</v>
      </c>
      <c r="Q23" s="2299">
        <f>IF(M23=0,0,1-+O23/N23)</f>
        <v>0.49648753894080999</v>
      </c>
      <c r="R23" s="2285"/>
      <c r="S23" s="2237"/>
      <c r="U23" s="2253" t="s">
        <v>783</v>
      </c>
      <c r="V23" s="2294">
        <f>+O21</f>
        <v>8785.4719999999998</v>
      </c>
      <c r="W23" s="2294">
        <f>+O22</f>
        <v>1610.2049999999999</v>
      </c>
      <c r="X23" s="2294">
        <f>+O23</f>
        <v>193.95299999999997</v>
      </c>
    </row>
    <row r="24" spans="1:24" ht="14.4" thickBot="1">
      <c r="A24" s="2244" t="s">
        <v>771</v>
      </c>
      <c r="B24" s="2245" t="s">
        <v>785</v>
      </c>
      <c r="C24" s="2306">
        <v>750.3</v>
      </c>
      <c r="D24" s="2307">
        <f t="shared" si="6"/>
        <v>637.45699999999988</v>
      </c>
      <c r="E24" s="2297">
        <f>+'[2]ALGAS III-2014'!B65</f>
        <v>454.71600000000001</v>
      </c>
      <c r="F24" s="2308">
        <f t="shared" si="4"/>
        <v>182.74099999999987</v>
      </c>
      <c r="G24" s="2299">
        <f t="shared" si="5"/>
        <v>0.28667188531932331</v>
      </c>
      <c r="H24" s="2285"/>
      <c r="I24" s="2237"/>
      <c r="J24" s="145"/>
      <c r="K24" s="2236" t="s">
        <v>768</v>
      </c>
      <c r="L24" s="2243" t="s">
        <v>785</v>
      </c>
      <c r="M24" s="2301">
        <v>16749.7</v>
      </c>
      <c r="N24" s="2302">
        <f t="shared" ref="N24:N25" si="9">IF((N21-M21)&gt;0,P21+M24,M24+P21)</f>
        <v>27354.228000000003</v>
      </c>
      <c r="O24" s="2498">
        <f>+'[2]ALGAS III-2014'!AQ61</f>
        <v>22146.595000000001</v>
      </c>
      <c r="P24" s="2278">
        <f>IF(M24=0,O24,N24-O24)</f>
        <v>5207.6330000000016</v>
      </c>
      <c r="Q24" s="2280">
        <f t="shared" ref="Q24:Q32" si="10">IF(M24=0,0,1-+O24/N24)</f>
        <v>0.19037762644955658</v>
      </c>
      <c r="R24" s="2281"/>
      <c r="S24" s="2237"/>
      <c r="U24" s="2254" t="s">
        <v>785</v>
      </c>
      <c r="V24" s="2300">
        <f>+O24</f>
        <v>22146.595000000001</v>
      </c>
      <c r="W24" s="2300">
        <f>+O25</f>
        <v>2119.7749999999996</v>
      </c>
      <c r="X24" s="2300">
        <f>+O26</f>
        <v>351.60599999999999</v>
      </c>
    </row>
    <row r="25" spans="1:24" ht="13.8">
      <c r="A25" s="2236" t="s">
        <v>768</v>
      </c>
      <c r="B25" s="2275" t="s">
        <v>786</v>
      </c>
      <c r="C25" s="2301">
        <v>2059.1</v>
      </c>
      <c r="D25" s="2302">
        <f t="shared" si="6"/>
        <v>2058.2929999999997</v>
      </c>
      <c r="E25" s="2278">
        <f>+'[2]ALGAS III-2014'!B202</f>
        <v>0</v>
      </c>
      <c r="F25" s="2278">
        <f>IF(C25=0,E25,D25-E25)</f>
        <v>2058.2929999999997</v>
      </c>
      <c r="G25" s="2280">
        <f t="shared" si="5"/>
        <v>1</v>
      </c>
      <c r="H25" s="2281"/>
      <c r="I25" s="2237"/>
      <c r="J25" s="145"/>
      <c r="K25" s="2238" t="s">
        <v>769</v>
      </c>
      <c r="L25" s="1107" t="s">
        <v>785</v>
      </c>
      <c r="M25" s="1699">
        <v>3197</v>
      </c>
      <c r="N25" s="2303">
        <f t="shared" si="9"/>
        <v>4350.1949999999997</v>
      </c>
      <c r="O25" s="2499">
        <f>+'[2]ALGAS III-2014'!AQ105</f>
        <v>2119.7749999999996</v>
      </c>
      <c r="P25" s="2304">
        <f t="shared" ref="P25:P26" si="11">IF(M25=0,O25,N25-O25)</f>
        <v>2230.42</v>
      </c>
      <c r="Q25" s="2292">
        <f t="shared" si="10"/>
        <v>0.51271724600851232</v>
      </c>
      <c r="R25" s="2293"/>
      <c r="S25" s="2237"/>
      <c r="U25" s="2254" t="s">
        <v>786</v>
      </c>
      <c r="V25" s="2300">
        <f>+O27</f>
        <v>13907.895</v>
      </c>
      <c r="W25" s="2300">
        <f>+O28</f>
        <v>3514.549</v>
      </c>
      <c r="X25" s="2300">
        <f>+O29</f>
        <v>283.77999999999997</v>
      </c>
    </row>
    <row r="26" spans="1:24" ht="14.4" thickBot="1">
      <c r="A26" s="2238" t="s">
        <v>769</v>
      </c>
      <c r="B26" s="2275" t="s">
        <v>786</v>
      </c>
      <c r="C26" s="1699">
        <v>1401.3</v>
      </c>
      <c r="D26" s="2303">
        <f t="shared" si="6"/>
        <v>2087.4180000000001</v>
      </c>
      <c r="E26" s="2290">
        <f>+'[2]ALGAS III-2014'!B336</f>
        <v>0</v>
      </c>
      <c r="F26" s="2304">
        <f t="shared" si="4"/>
        <v>2087.4180000000001</v>
      </c>
      <c r="G26" s="2292">
        <f t="shared" si="5"/>
        <v>1</v>
      </c>
      <c r="H26" s="2293"/>
      <c r="I26" s="2237"/>
      <c r="J26" s="145"/>
      <c r="K26" s="2244" t="s">
        <v>771</v>
      </c>
      <c r="L26" s="2245" t="s">
        <v>785</v>
      </c>
      <c r="M26" s="2306">
        <v>306</v>
      </c>
      <c r="N26" s="2307">
        <f>IF((N23-M23)&gt;0,P23+M26,M26+P23)</f>
        <v>497.24700000000001</v>
      </c>
      <c r="O26" s="2500">
        <f>+'[2]ALGAS III-2014'!AQ16</f>
        <v>351.60599999999999</v>
      </c>
      <c r="P26" s="2308">
        <f t="shared" si="11"/>
        <v>145.64100000000002</v>
      </c>
      <c r="Q26" s="2299">
        <f t="shared" si="10"/>
        <v>0.2928946780976055</v>
      </c>
      <c r="R26" s="2285"/>
      <c r="S26" s="2237"/>
      <c r="U26" s="2255" t="s">
        <v>39</v>
      </c>
      <c r="V26" s="2305">
        <f>+O30</f>
        <v>12904.683999999999</v>
      </c>
      <c r="W26" s="2305">
        <f>+O31</f>
        <v>2817.2440000000001</v>
      </c>
      <c r="X26" s="2305">
        <f>+O32</f>
        <v>406.58299999999997</v>
      </c>
    </row>
    <row r="27" spans="1:24" ht="14.4" thickBot="1">
      <c r="A27" s="2244" t="s">
        <v>771</v>
      </c>
      <c r="B27" s="2275" t="s">
        <v>786</v>
      </c>
      <c r="C27" s="2306">
        <v>1096.3</v>
      </c>
      <c r="D27" s="2307">
        <f t="shared" si="6"/>
        <v>1279.0409999999997</v>
      </c>
      <c r="E27" s="2297">
        <f>+'[2]ALGAS III-2014'!B69</f>
        <v>0</v>
      </c>
      <c r="F27" s="2308">
        <f t="shared" si="4"/>
        <v>1279.0409999999997</v>
      </c>
      <c r="G27" s="2299">
        <f t="shared" si="5"/>
        <v>1</v>
      </c>
      <c r="H27" s="2285"/>
      <c r="I27" s="2237"/>
      <c r="J27" s="145"/>
      <c r="K27" s="2236" t="s">
        <v>768</v>
      </c>
      <c r="L27" s="2275" t="s">
        <v>786</v>
      </c>
      <c r="M27" s="2301">
        <v>16335</v>
      </c>
      <c r="N27" s="2302">
        <f t="shared" ref="N27:N32" si="12">IF((N24-M24)&gt;0,P24+M27,M27+P24)</f>
        <v>21542.633000000002</v>
      </c>
      <c r="O27" s="2498">
        <f>+'[2]ALGAS III-2014'!AQ65</f>
        <v>13907.895</v>
      </c>
      <c r="P27" s="2278">
        <f>IF(M27=0,O27,N27-O27)</f>
        <v>7634.7380000000012</v>
      </c>
      <c r="Q27" s="2280">
        <f t="shared" si="10"/>
        <v>0.35440133989192502</v>
      </c>
      <c r="R27" s="2281"/>
      <c r="S27" s="2237"/>
      <c r="U27" s="2256" t="s">
        <v>774</v>
      </c>
      <c r="V27" s="2309">
        <f>SUM(V23:V26)</f>
        <v>57744.646000000001</v>
      </c>
      <c r="W27" s="2309">
        <f>SUM(W23:W26)</f>
        <v>10061.772999999999</v>
      </c>
      <c r="X27" s="2309">
        <f>SUM(X23:X26)</f>
        <v>1235.922</v>
      </c>
    </row>
    <row r="28" spans="1:24" ht="14.4" thickBot="1">
      <c r="A28" s="2236" t="s">
        <v>768</v>
      </c>
      <c r="B28" s="2243" t="s">
        <v>39</v>
      </c>
      <c r="C28" s="2312">
        <v>1452.8</v>
      </c>
      <c r="D28" s="2302">
        <f t="shared" si="6"/>
        <v>3511.0929999999998</v>
      </c>
      <c r="E28" s="2278">
        <f>+'[2]ALGAS III-2014'!B206</f>
        <v>0</v>
      </c>
      <c r="F28" s="2278">
        <f>IF(C28=0,E28,D28-E28)</f>
        <v>3511.0929999999998</v>
      </c>
      <c r="G28" s="2280">
        <f t="shared" si="5"/>
        <v>1</v>
      </c>
      <c r="H28" s="2281"/>
      <c r="I28" s="2247">
        <f>IF(H28="",0,'[1]Algas IV reg '!$AL$66/1000)</f>
        <v>0</v>
      </c>
      <c r="J28" s="145"/>
      <c r="K28" s="2238" t="s">
        <v>769</v>
      </c>
      <c r="L28" s="2275" t="s">
        <v>786</v>
      </c>
      <c r="M28" s="1699">
        <v>5720.1</v>
      </c>
      <c r="N28" s="2303">
        <f t="shared" si="12"/>
        <v>7950.52</v>
      </c>
      <c r="O28" s="2499">
        <f>+'[2]ALGAS III-2014'!AQ109</f>
        <v>3514.549</v>
      </c>
      <c r="P28" s="2304">
        <f t="shared" ref="P28:P29" si="13">IF(M28=0,O28,N28-O28)</f>
        <v>4435.9710000000005</v>
      </c>
      <c r="Q28" s="2292">
        <f t="shared" si="10"/>
        <v>0.55794727892012097</v>
      </c>
      <c r="R28" s="2293"/>
      <c r="S28" s="2237"/>
      <c r="U28" s="2257" t="s">
        <v>775</v>
      </c>
      <c r="V28" s="2258">
        <f>IF(V22=0,"",V22-(V27-V33))</f>
        <v>6255.0539999999964</v>
      </c>
      <c r="W28" s="2258">
        <f>IF(W22=0,"",W22-(W27-W33))</f>
        <v>3634.527</v>
      </c>
      <c r="X28" s="2258">
        <f>IF(X22=0,"",X22-(X27-X33))</f>
        <v>397.77800000000025</v>
      </c>
    </row>
    <row r="29" spans="1:24" ht="14.4" thickBot="1">
      <c r="A29" s="2238" t="s">
        <v>769</v>
      </c>
      <c r="B29" s="1107" t="s">
        <v>39</v>
      </c>
      <c r="C29" s="1699">
        <v>493.9</v>
      </c>
      <c r="D29" s="2303">
        <f t="shared" si="6"/>
        <v>2581.3180000000002</v>
      </c>
      <c r="E29" s="2290">
        <f>+'[2]ALGAS III-2014'!B340</f>
        <v>0</v>
      </c>
      <c r="F29" s="2304">
        <f t="shared" si="4"/>
        <v>2581.3180000000002</v>
      </c>
      <c r="G29" s="2292">
        <f t="shared" si="5"/>
        <v>1</v>
      </c>
      <c r="H29" s="2293"/>
      <c r="I29" s="2248">
        <f>IF(H29="",0,'[1]Algas IV reg '!$AL$83/1000)</f>
        <v>0</v>
      </c>
      <c r="J29" s="145"/>
      <c r="K29" s="2244" t="s">
        <v>771</v>
      </c>
      <c r="L29" s="2275" t="s">
        <v>786</v>
      </c>
      <c r="M29" s="2306">
        <v>447.1</v>
      </c>
      <c r="N29" s="2307">
        <f t="shared" si="12"/>
        <v>592.74099999999999</v>
      </c>
      <c r="O29" s="2500">
        <f>+'[2]ALGAS III-2014'!AQ20</f>
        <v>283.77999999999997</v>
      </c>
      <c r="P29" s="2308">
        <f t="shared" si="13"/>
        <v>308.96100000000001</v>
      </c>
      <c r="Q29" s="2299">
        <f t="shared" si="10"/>
        <v>0.52124114916970488</v>
      </c>
      <c r="R29" s="2285"/>
      <c r="S29" s="2237"/>
      <c r="U29" s="2495"/>
      <c r="V29" s="611"/>
      <c r="W29" s="611"/>
      <c r="X29" s="611"/>
    </row>
    <row r="30" spans="1:24" ht="14.4" thickBot="1">
      <c r="A30" s="2244" t="s">
        <v>771</v>
      </c>
      <c r="B30" s="2245" t="s">
        <v>39</v>
      </c>
      <c r="C30" s="2306">
        <v>1215</v>
      </c>
      <c r="D30" s="2307">
        <f t="shared" si="6"/>
        <v>2494.0409999999997</v>
      </c>
      <c r="E30" s="2297">
        <f>+'[2]ALGAS III-2014'!B73</f>
        <v>0</v>
      </c>
      <c r="F30" s="2308">
        <f t="shared" si="4"/>
        <v>2494.0409999999997</v>
      </c>
      <c r="G30" s="2299">
        <f t="shared" si="5"/>
        <v>1</v>
      </c>
      <c r="H30" s="2285"/>
      <c r="I30" s="2249">
        <f>IF(H30="",0,'[1]Algas IV reg '!$AL$100/1000)</f>
        <v>0</v>
      </c>
      <c r="J30" s="145"/>
      <c r="K30" s="2246" t="s">
        <v>768</v>
      </c>
      <c r="L30" s="2243" t="s">
        <v>39</v>
      </c>
      <c r="M30" s="2312">
        <v>11525</v>
      </c>
      <c r="N30" s="2302">
        <f t="shared" si="12"/>
        <v>19159.738000000001</v>
      </c>
      <c r="O30" s="2498">
        <f>+'[2]ALGAS III-2014'!AQ69</f>
        <v>12904.683999999999</v>
      </c>
      <c r="P30" s="2278">
        <f>IF(M30=0,O30,N30-O30)</f>
        <v>6255.0540000000019</v>
      </c>
      <c r="Q30" s="2280">
        <f t="shared" si="10"/>
        <v>0.32646866047959533</v>
      </c>
      <c r="R30" s="2281"/>
      <c r="S30" s="2313">
        <f>IF(R30="",0,'[1]Algas IV reg '!$AL$15/1000)</f>
        <v>0</v>
      </c>
      <c r="U30" s="2310" t="s">
        <v>787</v>
      </c>
      <c r="V30" s="2311" t="str">
        <f>IF(V22=0,"",IF(V28&lt;0,-(V28/V22),""))</f>
        <v/>
      </c>
      <c r="W30" s="2311" t="str">
        <f>IF(W22=0,"",IF(W28&lt;0,-(W28/W22),""))</f>
        <v/>
      </c>
      <c r="X30" s="2311" t="str">
        <f>IF(X22=0,"",IF(X28&lt;0,-(X28/X22),""))</f>
        <v/>
      </c>
    </row>
    <row r="31" spans="1:24" ht="14.4" thickBot="1">
      <c r="A31" s="2252" t="s">
        <v>50</v>
      </c>
      <c r="B31" s="2323"/>
      <c r="C31" s="2259"/>
      <c r="D31" s="2259"/>
      <c r="E31" s="2259"/>
      <c r="F31" s="2316">
        <f>+D31-E31</f>
        <v>0</v>
      </c>
      <c r="G31" s="49"/>
      <c r="H31" s="145"/>
      <c r="I31" s="145"/>
      <c r="J31" s="145"/>
      <c r="K31" s="2238" t="s">
        <v>769</v>
      </c>
      <c r="L31" s="1107" t="s">
        <v>39</v>
      </c>
      <c r="M31" s="1699">
        <v>2015.8</v>
      </c>
      <c r="N31" s="2303">
        <f t="shared" si="12"/>
        <v>6451.7710000000006</v>
      </c>
      <c r="O31" s="2499">
        <f>+'[2]ALGAS III-2014'!AQ113</f>
        <v>2817.2440000000001</v>
      </c>
      <c r="P31" s="2304">
        <f t="shared" ref="P31:P32" si="14">IF(M31=0,O31,N31-O31)</f>
        <v>3634.5270000000005</v>
      </c>
      <c r="Q31" s="2292">
        <f t="shared" si="10"/>
        <v>0.56333788040524069</v>
      </c>
      <c r="R31" s="2293"/>
      <c r="S31" s="2314">
        <f>IF(R31="",0,'[1]Algas IV reg '!BB49/1000)</f>
        <v>0</v>
      </c>
      <c r="U31" s="2495"/>
      <c r="V31" s="2495"/>
      <c r="W31" s="2495"/>
      <c r="X31" s="2495"/>
    </row>
    <row r="32" spans="1:24" ht="14.4" thickBot="1">
      <c r="A32" s="163"/>
      <c r="B32" s="164"/>
      <c r="C32" s="922"/>
      <c r="D32" s="922"/>
      <c r="E32" s="165"/>
      <c r="F32" s="2317"/>
      <c r="G32" s="49"/>
      <c r="H32" s="145"/>
      <c r="I32" s="145"/>
      <c r="J32" s="145"/>
      <c r="K32" s="2244" t="s">
        <v>771</v>
      </c>
      <c r="L32" s="2245" t="s">
        <v>39</v>
      </c>
      <c r="M32" s="2306">
        <v>495.4</v>
      </c>
      <c r="N32" s="2307">
        <f t="shared" si="12"/>
        <v>804.36099999999999</v>
      </c>
      <c r="O32" s="2500">
        <f>+'[2]ALGAS III-2014'!AQ24</f>
        <v>406.58299999999997</v>
      </c>
      <c r="P32" s="2308">
        <f t="shared" si="14"/>
        <v>397.77800000000002</v>
      </c>
      <c r="Q32" s="2299">
        <f t="shared" si="10"/>
        <v>0.49452671126521552</v>
      </c>
      <c r="R32" s="2285"/>
      <c r="S32" s="2315">
        <f>IF(R32="",0,'[1]Algas IV reg '!$AL$49/1000)</f>
        <v>0</v>
      </c>
      <c r="U32" s="2256" t="s">
        <v>766</v>
      </c>
      <c r="V32" s="2309">
        <f>IF(O69="",0,(#REF!+M46+M61)*0.1)</f>
        <v>0</v>
      </c>
      <c r="W32" s="2309">
        <f>IF(O70="",0,(#REF!+M47+M62)*0.1)</f>
        <v>0</v>
      </c>
      <c r="X32" s="2309">
        <f>IF(O71="",0,(#REF!+M48+M63)*0.1)</f>
        <v>0</v>
      </c>
    </row>
    <row r="33" spans="1:24" ht="14.4" thickBot="1">
      <c r="A33" s="2324" t="s">
        <v>753</v>
      </c>
      <c r="B33" s="2325" t="s">
        <v>46</v>
      </c>
      <c r="C33" s="2326" t="s">
        <v>47</v>
      </c>
      <c r="D33" s="2326" t="s">
        <v>48</v>
      </c>
      <c r="E33" s="2325" t="s">
        <v>19</v>
      </c>
      <c r="F33" s="2325" t="s">
        <v>20</v>
      </c>
      <c r="G33" s="2325" t="s">
        <v>49</v>
      </c>
      <c r="H33" s="2326" t="s">
        <v>22</v>
      </c>
      <c r="I33" s="2327" t="s">
        <v>767</v>
      </c>
      <c r="J33" s="145"/>
      <c r="K33" s="2252" t="s">
        <v>50</v>
      </c>
      <c r="L33" s="2252"/>
      <c r="M33" s="2259"/>
      <c r="N33" s="2259"/>
      <c r="O33" s="2259"/>
      <c r="P33" s="2316">
        <f>+N33-O33</f>
        <v>0</v>
      </c>
      <c r="Q33" s="49"/>
      <c r="R33" s="145"/>
      <c r="S33" s="145"/>
      <c r="U33" s="2256" t="s">
        <v>788</v>
      </c>
      <c r="V33" s="2294">
        <f>+M69</f>
        <v>0</v>
      </c>
      <c r="W33" s="2294">
        <f>+M70</f>
        <v>0</v>
      </c>
      <c r="X33" s="2294">
        <f>+M71</f>
        <v>0</v>
      </c>
    </row>
    <row r="34" spans="1:24" ht="14.4" thickBot="1">
      <c r="A34" s="2236" t="s">
        <v>768</v>
      </c>
      <c r="B34" s="2275" t="s">
        <v>783</v>
      </c>
      <c r="C34" s="2276">
        <v>1307.02</v>
      </c>
      <c r="D34" s="2322">
        <f>+C34</f>
        <v>1307.02</v>
      </c>
      <c r="E34" s="2278">
        <f>+'[2]ALGAS III-2014'!B238</f>
        <v>681.85799999999995</v>
      </c>
      <c r="F34" s="2278">
        <f>IF(C34=0,E34,D34-E34)</f>
        <v>625.16200000000003</v>
      </c>
      <c r="G34" s="2280">
        <f>IF(C34=0,0,1-+E34/D34)</f>
        <v>0.47831096693241115</v>
      </c>
      <c r="H34" s="2281"/>
      <c r="I34" s="2237"/>
      <c r="J34" s="145"/>
      <c r="K34" s="2268"/>
      <c r="L34" s="2268"/>
      <c r="M34" s="2268"/>
      <c r="N34" s="2268"/>
      <c r="U34" s="2257" t="s">
        <v>789</v>
      </c>
      <c r="V34" s="2258">
        <f>IF(V32=0,V33,V32-(V33))</f>
        <v>0</v>
      </c>
      <c r="W34" s="2258">
        <f>IF(W32=0,W33,W32-(W33))</f>
        <v>0</v>
      </c>
      <c r="X34" s="2258">
        <f>IF(X32=0,X33,X32-(X33))</f>
        <v>0</v>
      </c>
    </row>
    <row r="35" spans="1:24" ht="14.4" thickBot="1">
      <c r="A35" s="2238" t="s">
        <v>769</v>
      </c>
      <c r="B35" s="2275" t="s">
        <v>783</v>
      </c>
      <c r="C35" s="2288">
        <v>16.3</v>
      </c>
      <c r="D35" s="2303">
        <f>+C35</f>
        <v>16.3</v>
      </c>
      <c r="E35" s="2290">
        <f>+'[2]ALGAS III-2014'!B373</f>
        <v>6.9</v>
      </c>
      <c r="F35" s="2304">
        <f t="shared" ref="F35:F45" si="15">IF(C35=0,E35,D35-E35)</f>
        <v>9.4</v>
      </c>
      <c r="G35" s="2292">
        <f t="shared" ref="G35:G45" si="16">IF(C35=0,0,1-+E35/D35)</f>
        <v>0.57668711656441718</v>
      </c>
      <c r="H35" s="2293"/>
      <c r="I35" s="2237"/>
      <c r="J35" s="145"/>
      <c r="K35" s="2268"/>
      <c r="L35" s="2268"/>
      <c r="M35" s="2268"/>
      <c r="N35" s="2268"/>
      <c r="U35" s="2310" t="s">
        <v>787</v>
      </c>
      <c r="V35" s="2311" t="str">
        <f>IF(V34&lt;0,-(V34/V32),"")</f>
        <v/>
      </c>
      <c r="W35" s="2311" t="str">
        <f>IF(W34&lt;0,-(W34/W32),"")</f>
        <v/>
      </c>
      <c r="X35" s="2311" t="str">
        <f>IF(X34&lt;0,-(X34/X32),"")</f>
        <v/>
      </c>
    </row>
    <row r="36" spans="1:24" ht="14.4" thickBot="1">
      <c r="A36" s="2244" t="s">
        <v>771</v>
      </c>
      <c r="B36" s="2275" t="s">
        <v>783</v>
      </c>
      <c r="C36" s="2295">
        <v>1.3</v>
      </c>
      <c r="D36" s="2307">
        <f>+C36</f>
        <v>1.3</v>
      </c>
      <c r="E36" s="2297">
        <f>+'[2]ALGAS III-2014'!B106</f>
        <v>0</v>
      </c>
      <c r="F36" s="2308">
        <f t="shared" si="15"/>
        <v>1.3</v>
      </c>
      <c r="G36" s="2299">
        <f t="shared" si="16"/>
        <v>1</v>
      </c>
      <c r="H36" s="2285"/>
      <c r="I36" s="2237"/>
      <c r="J36" s="145"/>
      <c r="K36" s="2324" t="s">
        <v>1151</v>
      </c>
      <c r="L36" s="2325" t="s">
        <v>46</v>
      </c>
      <c r="M36" s="2326" t="s">
        <v>47</v>
      </c>
      <c r="N36" s="2326" t="s">
        <v>48</v>
      </c>
      <c r="O36" s="2325" t="s">
        <v>19</v>
      </c>
      <c r="P36" s="2325" t="s">
        <v>20</v>
      </c>
      <c r="Q36" s="2325" t="s">
        <v>49</v>
      </c>
      <c r="R36" s="2326" t="s">
        <v>22</v>
      </c>
      <c r="S36" s="2327" t="s">
        <v>767</v>
      </c>
    </row>
    <row r="37" spans="1:24" ht="13.8">
      <c r="A37" s="2236" t="s">
        <v>768</v>
      </c>
      <c r="B37" s="2243" t="s">
        <v>785</v>
      </c>
      <c r="C37" s="2301">
        <v>1129.2</v>
      </c>
      <c r="D37" s="2302">
        <f t="shared" ref="D37:D45" si="17">IF((D34-C34)&gt;0,F34+C37,C37+F34)</f>
        <v>1754.3620000000001</v>
      </c>
      <c r="E37" s="2278">
        <f>+'[2]ALGAS III-2014'!B242</f>
        <v>550.65000000000009</v>
      </c>
      <c r="F37" s="2278">
        <f>IF(C37=0,E37,D37-E37)</f>
        <v>1203.712</v>
      </c>
      <c r="G37" s="2280">
        <f t="shared" si="16"/>
        <v>0.68612521247040226</v>
      </c>
      <c r="H37" s="2281"/>
      <c r="I37" s="2237"/>
      <c r="J37" s="145"/>
      <c r="K37" s="2236" t="s">
        <v>768</v>
      </c>
      <c r="L37" s="2275" t="s">
        <v>783</v>
      </c>
      <c r="M37" s="2276"/>
      <c r="N37" s="2322"/>
      <c r="O37" s="2278"/>
      <c r="P37" s="2278"/>
      <c r="Q37" s="2280"/>
      <c r="R37" s="2281"/>
      <c r="S37" s="2237"/>
    </row>
    <row r="38" spans="1:24" ht="13.8">
      <c r="A38" s="2238" t="s">
        <v>769</v>
      </c>
      <c r="B38" s="1107" t="s">
        <v>785</v>
      </c>
      <c r="C38" s="1699">
        <v>18.899999999999999</v>
      </c>
      <c r="D38" s="2303">
        <f t="shared" si="17"/>
        <v>28.299999999999997</v>
      </c>
      <c r="E38" s="2290">
        <f>+'[2]ALGAS III-2014'!B377</f>
        <v>2</v>
      </c>
      <c r="F38" s="2304">
        <f t="shared" si="15"/>
        <v>26.299999999999997</v>
      </c>
      <c r="G38" s="2292">
        <f t="shared" si="16"/>
        <v>0.92932862190812715</v>
      </c>
      <c r="H38" s="2293"/>
      <c r="I38" s="2237"/>
      <c r="J38" s="2268"/>
      <c r="K38" s="2238" t="s">
        <v>769</v>
      </c>
      <c r="L38" s="2275" t="s">
        <v>783</v>
      </c>
      <c r="M38" s="2288"/>
      <c r="N38" s="2303"/>
      <c r="O38" s="2290"/>
      <c r="P38" s="2304"/>
      <c r="Q38" s="2292"/>
      <c r="R38" s="2293"/>
      <c r="S38" s="2237"/>
    </row>
    <row r="39" spans="1:24" ht="14.4" thickBot="1">
      <c r="A39" s="2244" t="s">
        <v>771</v>
      </c>
      <c r="B39" s="2245" t="s">
        <v>785</v>
      </c>
      <c r="C39" s="2306">
        <v>1.1000000000000001</v>
      </c>
      <c r="D39" s="2307">
        <f t="shared" si="17"/>
        <v>2.4000000000000004</v>
      </c>
      <c r="E39" s="2297">
        <f>+'[2]ALGAS III-2014'!B110</f>
        <v>0</v>
      </c>
      <c r="F39" s="2308">
        <f t="shared" si="15"/>
        <v>2.4000000000000004</v>
      </c>
      <c r="G39" s="2299">
        <f t="shared" si="16"/>
        <v>1</v>
      </c>
      <c r="H39" s="2285"/>
      <c r="I39" s="2237"/>
      <c r="J39" s="2268"/>
      <c r="K39" s="2244" t="s">
        <v>771</v>
      </c>
      <c r="L39" s="2275" t="s">
        <v>783</v>
      </c>
      <c r="M39" s="2295">
        <v>935.3</v>
      </c>
      <c r="N39" s="2307">
        <f>+M39</f>
        <v>935.3</v>
      </c>
      <c r="O39" s="2297">
        <f>+'[2]ALGAS III-2014'!AQ147</f>
        <v>1021.7740000000001</v>
      </c>
      <c r="P39" s="2308">
        <f t="shared" ref="P39" si="18">IF(M39=0,O39,N39-O39)</f>
        <v>-86.47400000000016</v>
      </c>
      <c r="Q39" s="2299">
        <f t="shared" ref="Q39" si="19">IF(M39=0,0,1-+O39/N39)</f>
        <v>-9.245589650379582E-2</v>
      </c>
      <c r="R39" s="2285"/>
      <c r="S39" s="2237"/>
    </row>
    <row r="40" spans="1:24" ht="13.8">
      <c r="A40" s="2236" t="s">
        <v>768</v>
      </c>
      <c r="B40" s="2275" t="s">
        <v>786</v>
      </c>
      <c r="C40" s="2301">
        <v>1101.3</v>
      </c>
      <c r="D40" s="2302">
        <f t="shared" si="17"/>
        <v>2305.0119999999997</v>
      </c>
      <c r="E40" s="2278">
        <f>+'[2]ALGAS III-2014'!B246</f>
        <v>0</v>
      </c>
      <c r="F40" s="2278">
        <f>IF(C40=0,E40,D40-E40)</f>
        <v>2305.0119999999997</v>
      </c>
      <c r="G40" s="2280">
        <f t="shared" si="16"/>
        <v>1</v>
      </c>
      <c r="H40" s="2281"/>
      <c r="I40" s="2237"/>
      <c r="J40" s="2268"/>
      <c r="K40" s="2236" t="s">
        <v>768</v>
      </c>
      <c r="L40" s="2243" t="s">
        <v>785</v>
      </c>
      <c r="M40" s="2301"/>
      <c r="N40" s="2302"/>
      <c r="O40" s="2278"/>
      <c r="P40" s="2278"/>
      <c r="Q40" s="2280"/>
      <c r="R40" s="2281"/>
      <c r="S40" s="2237"/>
    </row>
    <row r="41" spans="1:24" ht="13.8">
      <c r="A41" s="2238" t="s">
        <v>769</v>
      </c>
      <c r="B41" s="2275" t="s">
        <v>786</v>
      </c>
      <c r="C41" s="1699">
        <v>33.799999999999997</v>
      </c>
      <c r="D41" s="2303">
        <f t="shared" si="17"/>
        <v>60.099999999999994</v>
      </c>
      <c r="E41" s="2290">
        <f>+'[2]ALGAS III-2014'!B381</f>
        <v>0</v>
      </c>
      <c r="F41" s="2304">
        <f t="shared" si="15"/>
        <v>60.099999999999994</v>
      </c>
      <c r="G41" s="2292">
        <f t="shared" si="16"/>
        <v>1</v>
      </c>
      <c r="H41" s="2293"/>
      <c r="I41" s="2237"/>
      <c r="J41" s="2268"/>
      <c r="K41" s="2238" t="s">
        <v>769</v>
      </c>
      <c r="L41" s="1107" t="s">
        <v>785</v>
      </c>
      <c r="M41" s="1699"/>
      <c r="N41" s="2303"/>
      <c r="O41" s="2290"/>
      <c r="P41" s="2304"/>
      <c r="Q41" s="2292"/>
      <c r="R41" s="2293"/>
      <c r="S41" s="2237"/>
    </row>
    <row r="42" spans="1:24" ht="14.4" thickBot="1">
      <c r="A42" s="2244" t="s">
        <v>771</v>
      </c>
      <c r="B42" s="2275" t="s">
        <v>786</v>
      </c>
      <c r="C42" s="2306">
        <v>1.6</v>
      </c>
      <c r="D42" s="2307">
        <f t="shared" si="17"/>
        <v>4</v>
      </c>
      <c r="E42" s="2297">
        <f>+'[2]ALGAS III-2014'!B114</f>
        <v>0</v>
      </c>
      <c r="F42" s="2308">
        <f t="shared" si="15"/>
        <v>4</v>
      </c>
      <c r="G42" s="2299">
        <f t="shared" si="16"/>
        <v>1</v>
      </c>
      <c r="H42" s="2285"/>
      <c r="I42" s="2237"/>
      <c r="J42" s="2268"/>
      <c r="K42" s="2244" t="s">
        <v>771</v>
      </c>
      <c r="L42" s="2245" t="s">
        <v>785</v>
      </c>
      <c r="M42" s="2306">
        <v>742.8</v>
      </c>
      <c r="N42" s="2307">
        <f t="shared" ref="N42" si="20">IF((N39-M39)&gt;0,P39+M42,M42+P39)</f>
        <v>656.32599999999979</v>
      </c>
      <c r="O42" s="2297">
        <f>+'[2]ALGAS III-2014'!AQ151</f>
        <v>737.505</v>
      </c>
      <c r="P42" s="2308">
        <f t="shared" ref="P42" si="21">IF(M42=0,O42,N42-O42)</f>
        <v>-81.179000000000201</v>
      </c>
      <c r="Q42" s="2299">
        <f t="shared" ref="Q42" si="22">IF(M42=0,0,1-+O42/N42)</f>
        <v>-0.12368700919969688</v>
      </c>
      <c r="R42" s="2285"/>
      <c r="S42" s="2237"/>
    </row>
    <row r="43" spans="1:24" ht="13.8">
      <c r="A43" s="2236" t="s">
        <v>768</v>
      </c>
      <c r="B43" s="2243" t="s">
        <v>39</v>
      </c>
      <c r="C43" s="2312">
        <v>777</v>
      </c>
      <c r="D43" s="2302">
        <f t="shared" si="17"/>
        <v>3082.0119999999997</v>
      </c>
      <c r="E43" s="2278">
        <f>+'[2]ALGAS III-2014'!B250</f>
        <v>0</v>
      </c>
      <c r="F43" s="2278">
        <f>IF(C43=0,E43,D43-E43)</f>
        <v>3082.0119999999997</v>
      </c>
      <c r="G43" s="2280">
        <f t="shared" si="16"/>
        <v>1</v>
      </c>
      <c r="H43" s="2281"/>
      <c r="I43" s="2247">
        <f>IF(H43="",0,'[1]Algas IV reg '!$AL$117/1000)</f>
        <v>0</v>
      </c>
      <c r="J43" s="2268"/>
      <c r="K43" s="2236" t="s">
        <v>768</v>
      </c>
      <c r="L43" s="2275" t="s">
        <v>786</v>
      </c>
      <c r="M43" s="2301"/>
      <c r="N43" s="2302"/>
      <c r="O43" s="2278"/>
      <c r="P43" s="2278"/>
      <c r="Q43" s="2280"/>
      <c r="R43" s="2281"/>
      <c r="S43" s="2237"/>
    </row>
    <row r="44" spans="1:24" ht="13.8">
      <c r="A44" s="2238" t="s">
        <v>769</v>
      </c>
      <c r="B44" s="1107" t="s">
        <v>39</v>
      </c>
      <c r="C44" s="1699">
        <v>11.9</v>
      </c>
      <c r="D44" s="2303">
        <f t="shared" si="17"/>
        <v>72</v>
      </c>
      <c r="E44" s="2290">
        <f>+'[2]ALGAS III-2014'!B385</f>
        <v>0</v>
      </c>
      <c r="F44" s="2304">
        <f t="shared" si="15"/>
        <v>72</v>
      </c>
      <c r="G44" s="2292">
        <f t="shared" si="16"/>
        <v>1</v>
      </c>
      <c r="H44" s="2293"/>
      <c r="I44" s="2248">
        <f>IF(H44="",0,'[1]Algas IV reg '!$AL$134/1000)</f>
        <v>0</v>
      </c>
      <c r="J44" s="2268"/>
      <c r="K44" s="2238" t="s">
        <v>769</v>
      </c>
      <c r="L44" s="2275" t="s">
        <v>786</v>
      </c>
      <c r="M44" s="1699"/>
      <c r="N44" s="2303"/>
      <c r="O44" s="2290"/>
      <c r="P44" s="2304"/>
      <c r="Q44" s="2292"/>
      <c r="R44" s="2293"/>
      <c r="S44" s="2237"/>
    </row>
    <row r="45" spans="1:24" ht="14.4" thickBot="1">
      <c r="A45" s="2244" t="s">
        <v>771</v>
      </c>
      <c r="B45" s="2245" t="s">
        <v>39</v>
      </c>
      <c r="C45" s="2306">
        <v>1.7</v>
      </c>
      <c r="D45" s="2307">
        <f t="shared" si="17"/>
        <v>5.7</v>
      </c>
      <c r="E45" s="2297">
        <f>+'[2]ALGAS III-2014'!B118</f>
        <v>0</v>
      </c>
      <c r="F45" s="2308">
        <f t="shared" si="15"/>
        <v>5.7</v>
      </c>
      <c r="G45" s="2299">
        <f t="shared" si="16"/>
        <v>1</v>
      </c>
      <c r="H45" s="2285"/>
      <c r="I45" s="2249">
        <f>IF(H45="",0,'[1]Algas IV reg '!$AL$151/1000)</f>
        <v>0</v>
      </c>
      <c r="J45" s="2268"/>
      <c r="K45" s="2244" t="s">
        <v>771</v>
      </c>
      <c r="L45" s="2275" t="s">
        <v>786</v>
      </c>
      <c r="M45" s="2306">
        <v>1085.3</v>
      </c>
      <c r="N45" s="2307">
        <f t="shared" ref="N45" si="23">IF((N42-M42)&gt;0,P42+M45,M45+P42)</f>
        <v>1004.1209999999998</v>
      </c>
      <c r="O45" s="2297">
        <f>+'[2]ALGAS III-2014'!AQ155</f>
        <v>1209.4319999999998</v>
      </c>
      <c r="P45" s="2308">
        <f t="shared" ref="P45" si="24">IF(M45=0,O45,N45-O45)</f>
        <v>-205.31100000000004</v>
      </c>
      <c r="Q45" s="2299">
        <f t="shared" ref="Q45" si="25">IF(M45=0,0,1-+O45/N45)</f>
        <v>-0.20446838578219162</v>
      </c>
      <c r="R45" s="2285"/>
      <c r="S45" s="2237"/>
    </row>
    <row r="46" spans="1:24" ht="13.8">
      <c r="A46" s="2252" t="s">
        <v>50</v>
      </c>
      <c r="B46" s="2323"/>
      <c r="C46" s="2259"/>
      <c r="D46" s="2259"/>
      <c r="E46" s="2259"/>
      <c r="F46" s="2316">
        <f>+D46-E46</f>
        <v>0</v>
      </c>
      <c r="G46" s="49"/>
      <c r="H46" s="145"/>
      <c r="I46" s="145"/>
      <c r="J46" s="2268"/>
      <c r="K46" s="2236" t="s">
        <v>768</v>
      </c>
      <c r="L46" s="2243" t="s">
        <v>39</v>
      </c>
      <c r="M46" s="2312"/>
      <c r="N46" s="2302"/>
      <c r="O46" s="2278"/>
      <c r="P46" s="2278"/>
      <c r="Q46" s="2280"/>
      <c r="R46" s="2281"/>
      <c r="S46" s="2247"/>
    </row>
    <row r="47" spans="1:24" ht="13.8">
      <c r="K47" s="2238" t="s">
        <v>769</v>
      </c>
      <c r="L47" s="1107" t="s">
        <v>39</v>
      </c>
      <c r="M47" s="1699"/>
      <c r="N47" s="2303"/>
      <c r="O47" s="2290"/>
      <c r="P47" s="2304"/>
      <c r="Q47" s="2292"/>
      <c r="R47" s="2293"/>
      <c r="S47" s="2248"/>
    </row>
    <row r="48" spans="1:24" ht="14.4" thickBot="1">
      <c r="K48" s="2244" t="s">
        <v>771</v>
      </c>
      <c r="L48" s="2245" t="s">
        <v>39</v>
      </c>
      <c r="M48" s="2306">
        <v>1202.8</v>
      </c>
      <c r="N48" s="2307">
        <f t="shared" ref="N48" si="26">IF((N45-M45)&gt;0,P45+M48,M48+P45)</f>
        <v>997.48899999999992</v>
      </c>
      <c r="O48" s="2297">
        <f>+'[2]ALGAS III-2014'!AQ159</f>
        <v>1554.0040000000001</v>
      </c>
      <c r="P48" s="2308">
        <f t="shared" ref="P48" si="27">IF(M48=0,O48,N48-O48)</f>
        <v>-556.51500000000021</v>
      </c>
      <c r="Q48" s="2299">
        <f t="shared" ref="Q48" si="28">IF(M48=0,0,1-+O48/N48)</f>
        <v>-0.55791592689242719</v>
      </c>
      <c r="R48" s="2285"/>
      <c r="S48" s="2249">
        <f>IF(R48="",0,'[1]Algas IV reg '!$AL$151/1000)</f>
        <v>0</v>
      </c>
    </row>
    <row r="49" spans="1:19" ht="13.8">
      <c r="A49" s="2268"/>
      <c r="B49" s="4115" t="s">
        <v>766</v>
      </c>
      <c r="C49" s="4117" t="s">
        <v>19</v>
      </c>
      <c r="D49" s="4115" t="s">
        <v>782</v>
      </c>
      <c r="E49" s="4115" t="s">
        <v>22</v>
      </c>
      <c r="K49" s="2252" t="s">
        <v>50</v>
      </c>
      <c r="L49" s="2323"/>
      <c r="M49" s="2259"/>
      <c r="N49" s="2259"/>
      <c r="O49" s="2259"/>
      <c r="P49" s="2316">
        <f>+N49-O49</f>
        <v>0</v>
      </c>
      <c r="Q49" s="49"/>
      <c r="R49" s="145"/>
      <c r="S49" s="145"/>
    </row>
    <row r="50" spans="1:19" ht="13.8" thickBot="1">
      <c r="A50" s="2268"/>
      <c r="B50" s="4116"/>
      <c r="C50" s="4118"/>
      <c r="D50" s="4116"/>
      <c r="E50" s="4116"/>
    </row>
    <row r="51" spans="1:19" ht="14.4" thickBot="1">
      <c r="A51" s="2282" t="s">
        <v>768</v>
      </c>
      <c r="B51" s="2283">
        <f>(C10+C22+C34)*0.1</f>
        <v>1659.3020000000001</v>
      </c>
      <c r="C51" s="2283">
        <f>I10+I22+I34</f>
        <v>0</v>
      </c>
      <c r="D51" s="2284">
        <f>B51-C51</f>
        <v>1659.3020000000001</v>
      </c>
      <c r="E51" s="2285"/>
    </row>
    <row r="52" spans="1:19" ht="14.4" thickBot="1">
      <c r="A52" s="2282" t="s">
        <v>769</v>
      </c>
      <c r="B52" s="2283">
        <f>(C11+C23+C35)*0.1</f>
        <v>508.44000000000005</v>
      </c>
      <c r="C52" s="2283">
        <f>I11+I23+I35</f>
        <v>0</v>
      </c>
      <c r="D52" s="2284">
        <f>B52-C52</f>
        <v>508.44000000000005</v>
      </c>
      <c r="E52" s="2285"/>
      <c r="K52" s="2495"/>
      <c r="L52" s="2240" t="s">
        <v>1155</v>
      </c>
      <c r="M52" s="2241"/>
      <c r="N52" s="2242"/>
    </row>
    <row r="53" spans="1:19" ht="14.4" thickBot="1">
      <c r="A53" s="2282" t="s">
        <v>771</v>
      </c>
      <c r="B53" s="2283" t="s">
        <v>784</v>
      </c>
      <c r="C53" s="2283">
        <f>I12+I24+I36</f>
        <v>0</v>
      </c>
      <c r="D53" s="2284"/>
      <c r="E53" s="2285"/>
      <c r="K53" s="2495"/>
      <c r="L53" s="2250" t="s">
        <v>768</v>
      </c>
      <c r="M53" s="2251" t="s">
        <v>769</v>
      </c>
      <c r="N53" s="2251" t="s">
        <v>770</v>
      </c>
    </row>
    <row r="54" spans="1:19" ht="13.8" thickBot="1">
      <c r="K54" s="2495"/>
      <c r="L54" s="2286">
        <f t="shared" ref="L54:M58" si="29">+V22</f>
        <v>63999.7</v>
      </c>
      <c r="M54" s="2287">
        <f t="shared" si="29"/>
        <v>13696.3</v>
      </c>
      <c r="N54" s="2287">
        <f>+X22+M39+M42+M45+M48</f>
        <v>5599.9000000000005</v>
      </c>
    </row>
    <row r="55" spans="1:19" ht="13.8">
      <c r="K55" s="2253" t="s">
        <v>783</v>
      </c>
      <c r="L55" s="2294">
        <f t="shared" si="29"/>
        <v>8785.4719999999998</v>
      </c>
      <c r="M55" s="2294">
        <f t="shared" si="29"/>
        <v>1610.2049999999999</v>
      </c>
      <c r="N55" s="2294">
        <f>+X23+O39</f>
        <v>1215.7270000000001</v>
      </c>
    </row>
    <row r="56" spans="1:19" ht="13.8" thickBot="1">
      <c r="A56" s="2268"/>
      <c r="B56" s="2240" t="s">
        <v>772</v>
      </c>
      <c r="C56" s="2241"/>
      <c r="D56" s="2242"/>
      <c r="K56" s="2254" t="s">
        <v>785</v>
      </c>
      <c r="L56" s="2300">
        <f t="shared" si="29"/>
        <v>22146.595000000001</v>
      </c>
      <c r="M56" s="2300">
        <f t="shared" si="29"/>
        <v>2119.7749999999996</v>
      </c>
      <c r="N56" s="2300">
        <f>+X24+O42</f>
        <v>1089.1109999999999</v>
      </c>
    </row>
    <row r="57" spans="1:19" ht="13.8">
      <c r="A57" s="2268"/>
      <c r="B57" s="2250" t="s">
        <v>768</v>
      </c>
      <c r="C57" s="2251" t="s">
        <v>769</v>
      </c>
      <c r="D57" s="2251" t="s">
        <v>770</v>
      </c>
      <c r="K57" s="2254" t="s">
        <v>786</v>
      </c>
      <c r="L57" s="2300">
        <f t="shared" si="29"/>
        <v>13907.895</v>
      </c>
      <c r="M57" s="2300">
        <f t="shared" si="29"/>
        <v>3514.549</v>
      </c>
      <c r="N57" s="2300">
        <f>+X25+O45</f>
        <v>1493.2119999999998</v>
      </c>
    </row>
    <row r="58" spans="1:19" ht="13.8" thickBot="1">
      <c r="A58" s="2268"/>
      <c r="B58" s="2286">
        <f>+C4+C7+C10+C13+C19+C22+C25+C28+C34+C37+C40+C43</f>
        <v>63999.82</v>
      </c>
      <c r="C58" s="2287">
        <f>+C5+C8+C11+C14+C20+C23+C26+C29+C35+C38+C41+C44</f>
        <v>13696.299999999997</v>
      </c>
      <c r="D58" s="2287">
        <f>+C6+C9+C12+C15+C21+C24+C27+C30+C36+C39+C42+C45</f>
        <v>5600.0000000000009</v>
      </c>
      <c r="K58" s="2255" t="s">
        <v>39</v>
      </c>
      <c r="L58" s="2305">
        <f t="shared" si="29"/>
        <v>12904.683999999999</v>
      </c>
      <c r="M58" s="2305">
        <f t="shared" si="29"/>
        <v>2817.2440000000001</v>
      </c>
      <c r="N58" s="2305">
        <f>+X26+O48</f>
        <v>1960.587</v>
      </c>
    </row>
    <row r="59" spans="1:19" ht="14.4" thickBot="1">
      <c r="A59" s="2253" t="s">
        <v>783</v>
      </c>
      <c r="B59" s="2294">
        <f>SUM(E4+E19+E34)</f>
        <v>8479.8490000000002</v>
      </c>
      <c r="C59" s="2294">
        <f>SUM(E5,E20,E35)</f>
        <v>1464.5190000000002</v>
      </c>
      <c r="D59" s="2294">
        <f>SUM(E6+E21+E36)</f>
        <v>1163.0260000000001</v>
      </c>
      <c r="K59" s="2256" t="s">
        <v>774</v>
      </c>
      <c r="L59" s="2309">
        <f>SUM(L55:L58)</f>
        <v>57744.646000000001</v>
      </c>
      <c r="M59" s="2309">
        <f>SUM(M55:M58)</f>
        <v>10061.772999999999</v>
      </c>
      <c r="N59" s="2309">
        <f>SUM(N55:N58)</f>
        <v>5758.6369999999988</v>
      </c>
    </row>
    <row r="60" spans="1:19" ht="13.8" thickBot="1">
      <c r="A60" s="2254" t="s">
        <v>785</v>
      </c>
      <c r="B60" s="2300">
        <f>SUM(E7,E22,E37)</f>
        <v>3469.3519999999994</v>
      </c>
      <c r="C60" s="2300">
        <f>SUM(E8,E23,E38)</f>
        <v>72.064999999999998</v>
      </c>
      <c r="D60" s="2300">
        <f>SUM(E9+E24+E39)</f>
        <v>636.476</v>
      </c>
      <c r="K60" s="2257" t="s">
        <v>775</v>
      </c>
      <c r="L60" s="2258">
        <f>IF(L54=0,"",L54-(L59-L65))</f>
        <v>6255.0539999999964</v>
      </c>
      <c r="M60" s="2258">
        <f>IF(M54=0,"",M54-(M59-M65))</f>
        <v>3634.527</v>
      </c>
      <c r="N60" s="2258">
        <f>IF(N54=0,"",N54-(N59-N65))</f>
        <v>-158.73699999999826</v>
      </c>
    </row>
    <row r="61" spans="1:19">
      <c r="A61" s="2254" t="s">
        <v>786</v>
      </c>
      <c r="B61" s="2300">
        <f>SUM(E10,E25,E40)</f>
        <v>0</v>
      </c>
      <c r="C61" s="2300">
        <f>SUM(E11,E26,E41)</f>
        <v>0</v>
      </c>
      <c r="D61" s="2300">
        <f>SUM(E12+E27+E42)</f>
        <v>0</v>
      </c>
      <c r="K61" s="2495"/>
      <c r="L61" s="611"/>
      <c r="M61" s="611"/>
      <c r="N61" s="611"/>
    </row>
    <row r="62" spans="1:19" ht="14.4" thickBot="1">
      <c r="A62" s="2255" t="s">
        <v>39</v>
      </c>
      <c r="B62" s="2305">
        <f>SUM(E13,E28,E43)+SUM(I13,I28,I43)</f>
        <v>0</v>
      </c>
      <c r="C62" s="2305">
        <f>SUM(E14,E29,E44)</f>
        <v>0</v>
      </c>
      <c r="D62" s="2305">
        <f>SUM(E15+E30+E45)</f>
        <v>0</v>
      </c>
      <c r="K62" s="2310" t="s">
        <v>787</v>
      </c>
      <c r="L62" s="2311" t="str">
        <f>IF(L54=0,"",IF(L60&lt;0,-(L60/L54),""))</f>
        <v/>
      </c>
      <c r="M62" s="2311" t="str">
        <f>IF(M54=0,"",IF(M60&lt;0,-(M60/M54),""))</f>
        <v/>
      </c>
      <c r="N62" s="2311">
        <f>IF(N54=0,"",IF(N60&lt;0,-(N60/N54),""))</f>
        <v>2.8346399042839737E-2</v>
      </c>
    </row>
    <row r="63" spans="1:19" ht="13.8" thickBot="1">
      <c r="A63" s="2256" t="s">
        <v>774</v>
      </c>
      <c r="B63" s="2309">
        <f>SUM(B59:B62)</f>
        <v>11949.200999999999</v>
      </c>
      <c r="C63" s="2309">
        <f>SUM(C59:C62)</f>
        <v>1536.5840000000003</v>
      </c>
      <c r="D63" s="2309">
        <f>SUM(D59:D62)</f>
        <v>1799.502</v>
      </c>
      <c r="K63" s="2495"/>
      <c r="L63" s="2495"/>
      <c r="M63" s="2495"/>
      <c r="N63" s="2495"/>
    </row>
    <row r="64" spans="1:19" ht="13.8" thickBot="1">
      <c r="A64" s="2257" t="s">
        <v>775</v>
      </c>
      <c r="B64" s="2258">
        <f>IF(B58=0,"",B58-(B63-B69))</f>
        <v>52050.618999999999</v>
      </c>
      <c r="C64" s="2258">
        <f>IF(C58=0,"",C58-(C63-C69))</f>
        <v>12159.715999999997</v>
      </c>
      <c r="D64" s="2258">
        <f>IF(D58=0,"",D58-(D63-D69))</f>
        <v>3800.498000000001</v>
      </c>
      <c r="K64" s="2256" t="s">
        <v>766</v>
      </c>
      <c r="L64" s="2309">
        <f>IF(E101="",0,(#REF!+C78+C93)*0.1)</f>
        <v>0</v>
      </c>
      <c r="M64" s="2309">
        <f>IF(E102="",0,(#REF!+C79+C94)*0.1)</f>
        <v>0</v>
      </c>
      <c r="N64" s="2309">
        <f>IF(E103="",0,(#REF!+C80+C95)*0.1)</f>
        <v>0</v>
      </c>
    </row>
    <row r="65" spans="1:14" ht="13.8" thickBot="1">
      <c r="A65" s="2268"/>
      <c r="B65" s="611"/>
      <c r="C65" s="611"/>
      <c r="D65" s="611"/>
      <c r="K65" s="2256" t="s">
        <v>788</v>
      </c>
      <c r="L65" s="2294">
        <f>+C101</f>
        <v>0</v>
      </c>
      <c r="M65" s="2294">
        <f>+C102</f>
        <v>0</v>
      </c>
      <c r="N65" s="2294">
        <f>+C103</f>
        <v>0</v>
      </c>
    </row>
    <row r="66" spans="1:14" ht="14.4" thickBot="1">
      <c r="A66" s="2310" t="s">
        <v>787</v>
      </c>
      <c r="B66" s="2311" t="str">
        <f>IF(B58=0,"",IF(B64&lt;0,-(B64/B58),""))</f>
        <v/>
      </c>
      <c r="C66" s="2311" t="str">
        <f>IF(C58=0,"",IF(C64&lt;0,-(C64/C58),""))</f>
        <v/>
      </c>
      <c r="D66" s="2311" t="str">
        <f>IF(D58=0,"",IF(D64&lt;0,-(D64/D58),""))</f>
        <v/>
      </c>
      <c r="K66" s="2257" t="s">
        <v>789</v>
      </c>
      <c r="L66" s="2258">
        <f>IF(L64=0,L65,L64-(L65))</f>
        <v>0</v>
      </c>
      <c r="M66" s="2258">
        <f>IF(M64=0,M65,M64-(M65))</f>
        <v>0</v>
      </c>
      <c r="N66" s="2258">
        <f>IF(N64=0,N65,N64-(N65))</f>
        <v>0</v>
      </c>
    </row>
    <row r="67" spans="1:14" ht="14.4" thickBot="1">
      <c r="A67" s="2268"/>
      <c r="B67" s="2268"/>
      <c r="C67" s="2268"/>
      <c r="D67" s="2268"/>
      <c r="K67" s="2310" t="s">
        <v>787</v>
      </c>
      <c r="L67" s="2311" t="str">
        <f>IF(L66&lt;0,-(L66/L64),"")</f>
        <v/>
      </c>
      <c r="M67" s="2311" t="str">
        <f>IF(M66&lt;0,-(M66/M64),"")</f>
        <v/>
      </c>
      <c r="N67" s="2311" t="str">
        <f>IF(N66&lt;0,-(N66/N64),"")</f>
        <v/>
      </c>
    </row>
    <row r="68" spans="1:14" ht="13.8" thickBot="1">
      <c r="A68" s="2256" t="s">
        <v>766</v>
      </c>
      <c r="B68" s="2309">
        <f>IF(E51="",0,(C13+C28+C43)*0.1)</f>
        <v>0</v>
      </c>
      <c r="C68" s="2309">
        <f>IF(E52="",0,(C14+C29+C44)*0.1)</f>
        <v>0</v>
      </c>
      <c r="D68" s="2309">
        <f>IF(E53="",0,(C15+C30+C45)*0.1)</f>
        <v>0</v>
      </c>
    </row>
    <row r="69" spans="1:14" ht="13.8" thickBot="1">
      <c r="A69" s="2256" t="s">
        <v>788</v>
      </c>
      <c r="B69" s="2294">
        <f>+C51</f>
        <v>0</v>
      </c>
      <c r="C69" s="2294">
        <f>+C52</f>
        <v>0</v>
      </c>
      <c r="D69" s="2294">
        <f>+C53</f>
        <v>0</v>
      </c>
    </row>
    <row r="70" spans="1:14" ht="13.8" thickBot="1">
      <c r="A70" s="2257" t="s">
        <v>789</v>
      </c>
      <c r="B70" s="2258">
        <f>IF(B68=0,B69,B68-(B69))</f>
        <v>0</v>
      </c>
      <c r="C70" s="2258">
        <f>IF(C68=0,C69,C68-(C69))</f>
        <v>0</v>
      </c>
      <c r="D70" s="2258">
        <f>IF(D68=0,D69,D68-(D69))</f>
        <v>0</v>
      </c>
    </row>
    <row r="71" spans="1:14" ht="13.8">
      <c r="A71" s="2310" t="s">
        <v>787</v>
      </c>
      <c r="B71" s="2311" t="str">
        <f>IF(B70&lt;0,-(B70/B68),"")</f>
        <v/>
      </c>
      <c r="C71" s="2311" t="str">
        <f>IF(C70&lt;0,-(C70/C68),"")</f>
        <v/>
      </c>
      <c r="D71" s="2311" t="str">
        <f>IF(D70&lt;0,-(D70/D68),"")</f>
        <v/>
      </c>
    </row>
  </sheetData>
  <mergeCells count="6">
    <mergeCell ref="V20:X20"/>
    <mergeCell ref="A1:B1"/>
    <mergeCell ref="B49:B50"/>
    <mergeCell ref="C49:C50"/>
    <mergeCell ref="D49:D50"/>
    <mergeCell ref="E49:E50"/>
  </mergeCells>
  <conditionalFormatting sqref="P36:P40 P21:P33 F4:F37">
    <cfRule type="cellIs" dxfId="119" priority="131" stopIfTrue="1" operator="lessThan">
      <formula>0</formula>
    </cfRule>
  </conditionalFormatting>
  <conditionalFormatting sqref="P36:P40 P21:P33 F4:F37">
    <cfRule type="cellIs" dxfId="118" priority="129" operator="lessThan">
      <formula>0</formula>
    </cfRule>
    <cfRule type="cellIs" dxfId="117" priority="130" operator="lessThan">
      <formula>0</formula>
    </cfRule>
  </conditionalFormatting>
  <conditionalFormatting sqref="M40:O40 N36:N40 Q46 M30:O30 N21:N33 Q30 D51:D53 C25:E25 C13:E13 C37:E37 D4:D37 G13 G28 G43">
    <cfRule type="cellIs" dxfId="116" priority="128" operator="lessThan">
      <formula>0</formula>
    </cfRule>
  </conditionalFormatting>
  <conditionalFormatting sqref="P40 P30:P31 F13:F14 F25:F26 F37">
    <cfRule type="cellIs" dxfId="115" priority="115" operator="lessThan">
      <formula>0</formula>
    </cfRule>
    <cfRule type="cellIs" dxfId="114" priority="116" operator="lessThan">
      <formula>0</formula>
    </cfRule>
  </conditionalFormatting>
  <conditionalFormatting sqref="B58:D58 M40 O40 M49 O49 N36:N49 Q46 M30 O30 M33 O33 N21:N33 Q30 C25 E25 C13 E13 C37 E37 C31 E31 C16 E16 C46 E46 D4:D46 G13 G28 G43 L54:N54">
    <cfRule type="cellIs" dxfId="113" priority="114" operator="lessThan">
      <formula>0</formula>
    </cfRule>
  </conditionalFormatting>
  <conditionalFormatting sqref="F4:F6">
    <cfRule type="expression" dxfId="112" priority="111">
      <formula>E4&gt;C4</formula>
    </cfRule>
  </conditionalFormatting>
  <conditionalFormatting sqref="F7:F9">
    <cfRule type="expression" dxfId="111" priority="110">
      <formula>E7&gt;C7</formula>
    </cfRule>
  </conditionalFormatting>
  <conditionalFormatting sqref="F10:F12">
    <cfRule type="expression" dxfId="110" priority="109">
      <formula>E10&gt;C10</formula>
    </cfRule>
  </conditionalFormatting>
  <conditionalFormatting sqref="F13:F15">
    <cfRule type="expression" dxfId="109" priority="108">
      <formula>E13&gt;C13</formula>
    </cfRule>
  </conditionalFormatting>
  <conditionalFormatting sqref="F19:F21">
    <cfRule type="expression" dxfId="108" priority="107">
      <formula>E19&gt;C19</formula>
    </cfRule>
  </conditionalFormatting>
  <conditionalFormatting sqref="F22:F24">
    <cfRule type="expression" dxfId="107" priority="106">
      <formula>E22&gt;C22</formula>
    </cfRule>
  </conditionalFormatting>
  <conditionalFormatting sqref="F25:F27">
    <cfRule type="expression" dxfId="106" priority="105">
      <formula>E25&gt;C25</formula>
    </cfRule>
  </conditionalFormatting>
  <conditionalFormatting sqref="F28:F30">
    <cfRule type="expression" dxfId="105" priority="104">
      <formula>E28&gt;C28</formula>
    </cfRule>
  </conditionalFormatting>
  <conditionalFormatting sqref="F34:F36">
    <cfRule type="expression" dxfId="104" priority="103">
      <formula>E34&gt;C34</formula>
    </cfRule>
  </conditionalFormatting>
  <conditionalFormatting sqref="F37:F39">
    <cfRule type="expression" dxfId="103" priority="102">
      <formula>E37&gt;C37</formula>
    </cfRule>
  </conditionalFormatting>
  <conditionalFormatting sqref="F40:F42">
    <cfRule type="expression" dxfId="102" priority="101">
      <formula>E40&gt;C40</formula>
    </cfRule>
  </conditionalFormatting>
  <conditionalFormatting sqref="F43:F45">
    <cfRule type="expression" dxfId="101" priority="100">
      <formula>E43&gt;C43</formula>
    </cfRule>
  </conditionalFormatting>
  <conditionalFormatting sqref="B71:D71 B66:D66 L67:N67 L62:N62">
    <cfRule type="cellIs" dxfId="100" priority="99" operator="greaterThan">
      <formula>0</formula>
    </cfRule>
  </conditionalFormatting>
  <conditionalFormatting sqref="P37:P39">
    <cfRule type="expression" dxfId="99" priority="39">
      <formula>O37&gt;M37</formula>
    </cfRule>
  </conditionalFormatting>
  <conditionalFormatting sqref="P40:P42">
    <cfRule type="expression" dxfId="98" priority="38">
      <formula>O40&gt;M40</formula>
    </cfRule>
  </conditionalFormatting>
  <conditionalFormatting sqref="P43:P45">
    <cfRule type="expression" dxfId="97" priority="37">
      <formula>O43&gt;M43</formula>
    </cfRule>
  </conditionalFormatting>
  <conditionalFormatting sqref="P46:P48">
    <cfRule type="expression" dxfId="96" priority="36">
      <formula>O46&gt;M46</formula>
    </cfRule>
  </conditionalFormatting>
  <conditionalFormatting sqref="P21:P23">
    <cfRule type="expression" dxfId="95" priority="13">
      <formula>O21&gt;M21</formula>
    </cfRule>
  </conditionalFormatting>
  <conditionalFormatting sqref="P24:P26">
    <cfRule type="expression" dxfId="94" priority="12">
      <formula>O24&gt;M24</formula>
    </cfRule>
  </conditionalFormatting>
  <conditionalFormatting sqref="P27:P29">
    <cfRule type="expression" dxfId="93" priority="11">
      <formula>O27&gt;M27</formula>
    </cfRule>
  </conditionalFormatting>
  <conditionalFormatting sqref="P30:P32">
    <cfRule type="expression" dxfId="92" priority="10">
      <formula>O30&gt;M30</formula>
    </cfRule>
  </conditionalFormatting>
  <conditionalFormatting sqref="V22:X22">
    <cfRule type="cellIs" dxfId="91" priority="2" operator="lessThan">
      <formula>0</formula>
    </cfRule>
  </conditionalFormatting>
  <conditionalFormatting sqref="V35:X35 V30:X30">
    <cfRule type="cellIs" dxfId="90" priority="1" operator="greaterThan">
      <formula>0</formula>
    </cfRule>
  </conditionalFormatting>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sheetPr>
    <tabColor theme="5" tint="-0.249977111117893"/>
  </sheetPr>
  <dimension ref="A1:AL153"/>
  <sheetViews>
    <sheetView workbookViewId="0"/>
  </sheetViews>
  <sheetFormatPr baseColWidth="10" defaultColWidth="11.44140625" defaultRowHeight="10.199999999999999"/>
  <cols>
    <col min="1" max="1" width="11.44140625" style="137"/>
    <col min="2" max="2" width="9.33203125" style="137" bestFit="1" customWidth="1"/>
    <col min="3" max="5" width="5.33203125" style="137" customWidth="1"/>
    <col min="6" max="6" width="9.109375" style="137" customWidth="1"/>
    <col min="7" max="13" width="5.33203125" style="137" customWidth="1"/>
    <col min="14" max="14" width="5.6640625" style="137" bestFit="1" customWidth="1"/>
    <col min="15" max="15" width="5.88671875" style="137" bestFit="1" customWidth="1"/>
    <col min="16" max="16" width="5.6640625" style="137" bestFit="1" customWidth="1"/>
    <col min="17" max="24" width="5.33203125" style="137" customWidth="1"/>
    <col min="25" max="25" width="5.6640625" style="137" bestFit="1" customWidth="1"/>
    <col min="26" max="33" width="5.33203125" style="137" customWidth="1"/>
    <col min="34" max="34" width="12" style="137" bestFit="1" customWidth="1"/>
    <col min="35" max="35" width="15.44140625" style="137" customWidth="1"/>
    <col min="36" max="16384" width="11.44140625" style="137"/>
  </cols>
  <sheetData>
    <row r="1" spans="1:38" ht="13.8" thickBot="1">
      <c r="A1" s="2328" t="s">
        <v>754</v>
      </c>
      <c r="B1" s="2329"/>
      <c r="C1" s="2330"/>
      <c r="D1" s="2267"/>
      <c r="E1" s="2267"/>
      <c r="F1" s="2331"/>
      <c r="G1" s="2332"/>
      <c r="H1" s="4125"/>
      <c r="I1" s="4125"/>
      <c r="J1" s="2267"/>
      <c r="K1" s="2267"/>
      <c r="L1" s="2267"/>
      <c r="M1" s="2267"/>
      <c r="N1" s="2267"/>
      <c r="O1" s="2267"/>
      <c r="P1" s="2267"/>
      <c r="Q1" s="2267"/>
      <c r="R1" s="2267"/>
      <c r="S1" s="2267"/>
      <c r="T1" s="2267"/>
      <c r="U1" s="2267"/>
      <c r="V1" s="2267"/>
      <c r="W1" s="2267"/>
      <c r="X1" s="2267"/>
      <c r="Y1" s="2267"/>
      <c r="Z1" s="2267"/>
      <c r="AA1" s="2267"/>
      <c r="AB1" s="2267"/>
      <c r="AC1" s="2267"/>
      <c r="AD1" s="2267"/>
      <c r="AE1" s="2267"/>
      <c r="AF1" s="2267"/>
      <c r="AG1" s="2267"/>
      <c r="AH1" s="2267"/>
      <c r="AI1" s="2264"/>
      <c r="AJ1" s="2264"/>
      <c r="AK1" s="2264"/>
      <c r="AL1" s="2264"/>
    </row>
    <row r="2" spans="1:38" ht="13.2">
      <c r="A2" s="2267"/>
      <c r="B2" s="2267"/>
      <c r="C2" s="2267"/>
      <c r="D2" s="2267"/>
      <c r="E2" s="2267"/>
      <c r="F2" s="2267"/>
      <c r="G2" s="2267"/>
      <c r="H2" s="2267"/>
      <c r="I2" s="2267"/>
      <c r="J2" s="2267"/>
      <c r="K2" s="2267"/>
      <c r="L2" s="2267"/>
      <c r="M2" s="2267"/>
      <c r="N2" s="2267"/>
      <c r="O2" s="2267"/>
      <c r="P2" s="2267"/>
      <c r="Q2" s="2267"/>
      <c r="R2" s="2267"/>
      <c r="S2" s="2267"/>
      <c r="T2" s="2267"/>
      <c r="U2" s="2267"/>
      <c r="V2" s="2267"/>
      <c r="W2" s="2267"/>
      <c r="X2" s="2267"/>
      <c r="Y2" s="2267"/>
      <c r="Z2" s="2267"/>
      <c r="AA2" s="2267"/>
      <c r="AB2" s="2267"/>
      <c r="AC2" s="2267"/>
      <c r="AD2" s="2267"/>
      <c r="AE2" s="2267"/>
      <c r="AF2" s="2267"/>
      <c r="AG2" s="2267"/>
      <c r="AH2" s="2267"/>
      <c r="AI2" s="2264"/>
      <c r="AJ2" s="2264"/>
      <c r="AK2" s="2264"/>
      <c r="AL2" s="2264"/>
    </row>
    <row r="3" spans="1:38" ht="13.8">
      <c r="A3" s="4122" t="s">
        <v>755</v>
      </c>
      <c r="B3" s="4123"/>
      <c r="C3" s="4124"/>
      <c r="D3" s="49"/>
      <c r="E3" s="49"/>
      <c r="F3" s="49"/>
      <c r="G3" s="49"/>
      <c r="H3" s="49"/>
      <c r="I3" s="49"/>
      <c r="J3" s="49"/>
      <c r="K3" s="49"/>
      <c r="L3" s="49"/>
      <c r="M3" s="144"/>
      <c r="N3" s="49"/>
      <c r="O3" s="49"/>
      <c r="P3" s="49"/>
      <c r="Q3" s="49"/>
      <c r="R3" s="49"/>
      <c r="S3" s="49"/>
      <c r="T3" s="49"/>
      <c r="U3" s="49"/>
      <c r="V3" s="49"/>
      <c r="W3" s="49"/>
      <c r="X3" s="49"/>
      <c r="Y3" s="49"/>
      <c r="Z3" s="49"/>
      <c r="AA3" s="49"/>
      <c r="AB3" s="49"/>
      <c r="AC3" s="49"/>
      <c r="AD3" s="49"/>
      <c r="AE3" s="49"/>
      <c r="AF3" s="49"/>
      <c r="AG3" s="49"/>
      <c r="AH3" s="145"/>
      <c r="AI3" s="2264"/>
      <c r="AJ3" s="2264"/>
      <c r="AK3" s="2264"/>
      <c r="AL3" s="2264"/>
    </row>
    <row r="4" spans="1:38" ht="13.8">
      <c r="A4" s="146" t="s">
        <v>70</v>
      </c>
      <c r="B4" s="146" t="s">
        <v>71</v>
      </c>
      <c r="C4" s="147">
        <v>1</v>
      </c>
      <c r="D4" s="147">
        <v>2</v>
      </c>
      <c r="E4" s="147">
        <v>3</v>
      </c>
      <c r="F4" s="147">
        <v>4</v>
      </c>
      <c r="G4" s="147">
        <v>5</v>
      </c>
      <c r="H4" s="147">
        <v>6</v>
      </c>
      <c r="I4" s="147">
        <v>7</v>
      </c>
      <c r="J4" s="147">
        <v>8</v>
      </c>
      <c r="K4" s="147">
        <v>9</v>
      </c>
      <c r="L4" s="147">
        <v>10</v>
      </c>
      <c r="M4" s="147">
        <v>11</v>
      </c>
      <c r="N4" s="147">
        <v>12</v>
      </c>
      <c r="O4" s="147">
        <v>13</v>
      </c>
      <c r="P4" s="147">
        <v>14</v>
      </c>
      <c r="Q4" s="147">
        <v>15</v>
      </c>
      <c r="R4" s="147">
        <v>16</v>
      </c>
      <c r="S4" s="147">
        <v>17</v>
      </c>
      <c r="T4" s="147">
        <v>18</v>
      </c>
      <c r="U4" s="147">
        <v>19</v>
      </c>
      <c r="V4" s="147">
        <v>20</v>
      </c>
      <c r="W4" s="147">
        <v>21</v>
      </c>
      <c r="X4" s="147">
        <v>22</v>
      </c>
      <c r="Y4" s="147">
        <v>23</v>
      </c>
      <c r="Z4" s="147">
        <v>24</v>
      </c>
      <c r="AA4" s="147">
        <v>25</v>
      </c>
      <c r="AB4" s="147">
        <v>26</v>
      </c>
      <c r="AC4" s="147">
        <v>27</v>
      </c>
      <c r="AD4" s="147">
        <v>28</v>
      </c>
      <c r="AE4" s="147">
        <v>29</v>
      </c>
      <c r="AF4" s="147">
        <v>30</v>
      </c>
      <c r="AG4" s="147">
        <v>31</v>
      </c>
      <c r="AH4" s="149" t="s">
        <v>50</v>
      </c>
      <c r="AI4" s="2264"/>
      <c r="AJ4" s="2235"/>
      <c r="AK4" s="2235"/>
      <c r="AL4" s="2235"/>
    </row>
    <row r="5" spans="1:38" ht="13.8">
      <c r="A5" s="1073" t="s">
        <v>73</v>
      </c>
      <c r="B5" s="2333">
        <f>+AH5/1000</f>
        <v>502.93099999999998</v>
      </c>
      <c r="C5" s="2334">
        <v>10830</v>
      </c>
      <c r="D5" s="2334">
        <v>23070</v>
      </c>
      <c r="E5" s="2334">
        <v>8430</v>
      </c>
      <c r="F5" s="2334">
        <v>18030</v>
      </c>
      <c r="G5" s="2334">
        <v>11343</v>
      </c>
      <c r="H5" s="2334">
        <v>68031</v>
      </c>
      <c r="I5" s="2334">
        <v>39269</v>
      </c>
      <c r="J5" s="2334">
        <v>37240</v>
      </c>
      <c r="K5" s="2334">
        <v>33756</v>
      </c>
      <c r="L5" s="2334">
        <v>41531</v>
      </c>
      <c r="M5" s="2334">
        <v>4266</v>
      </c>
      <c r="N5" s="2334">
        <v>14408</v>
      </c>
      <c r="O5" s="2334">
        <v>96412</v>
      </c>
      <c r="P5" s="2334">
        <v>20184</v>
      </c>
      <c r="Q5" s="2334">
        <v>1600</v>
      </c>
      <c r="R5" s="2334">
        <v>2350</v>
      </c>
      <c r="S5" s="2334">
        <v>0</v>
      </c>
      <c r="T5" s="2334">
        <v>0</v>
      </c>
      <c r="U5" s="2334">
        <v>0</v>
      </c>
      <c r="V5" s="2334">
        <v>4421</v>
      </c>
      <c r="W5" s="2334">
        <v>7285</v>
      </c>
      <c r="X5" s="2334">
        <v>1000</v>
      </c>
      <c r="Y5" s="2334">
        <v>11900</v>
      </c>
      <c r="Z5" s="2334">
        <v>6481</v>
      </c>
      <c r="AA5" s="2334">
        <v>6381</v>
      </c>
      <c r="AB5" s="2334">
        <v>9201</v>
      </c>
      <c r="AC5" s="2334">
        <v>6120</v>
      </c>
      <c r="AD5" s="2334">
        <v>1100</v>
      </c>
      <c r="AE5" s="2334">
        <v>16906</v>
      </c>
      <c r="AF5" s="2334">
        <v>0</v>
      </c>
      <c r="AG5" s="2334">
        <v>1386</v>
      </c>
      <c r="AH5" s="2335">
        <f>SUM(C5:AG5)</f>
        <v>502931</v>
      </c>
      <c r="AI5" s="2264"/>
      <c r="AJ5" s="139"/>
      <c r="AK5" s="139"/>
      <c r="AL5" s="139"/>
    </row>
    <row r="6" spans="1:38" ht="13.8">
      <c r="A6" s="1073" t="s">
        <v>74</v>
      </c>
      <c r="B6" s="2333">
        <f t="shared" ref="B6:B16" si="0">+AH6/1000</f>
        <v>295.11700000000002</v>
      </c>
      <c r="C6" s="2334">
        <v>4093</v>
      </c>
      <c r="D6" s="2334">
        <v>12547</v>
      </c>
      <c r="E6" s="2334">
        <v>6890</v>
      </c>
      <c r="F6" s="2334">
        <v>33669</v>
      </c>
      <c r="G6" s="2334">
        <v>36108</v>
      </c>
      <c r="H6" s="2334">
        <v>8280</v>
      </c>
      <c r="I6" s="2334">
        <v>10178</v>
      </c>
      <c r="J6" s="2334">
        <v>2235</v>
      </c>
      <c r="K6" s="2334">
        <v>5610</v>
      </c>
      <c r="L6" s="2334">
        <v>7982</v>
      </c>
      <c r="M6" s="2334">
        <v>9500</v>
      </c>
      <c r="N6" s="2334">
        <v>13595</v>
      </c>
      <c r="O6" s="2334">
        <v>6200</v>
      </c>
      <c r="P6" s="2334">
        <v>9108</v>
      </c>
      <c r="Q6" s="2334">
        <v>8040</v>
      </c>
      <c r="R6" s="2334">
        <v>16169</v>
      </c>
      <c r="S6" s="2334">
        <v>2614</v>
      </c>
      <c r="T6" s="2334">
        <v>22085</v>
      </c>
      <c r="U6" s="2334">
        <v>15476</v>
      </c>
      <c r="V6" s="2334">
        <v>21900</v>
      </c>
      <c r="W6" s="2334">
        <v>9420</v>
      </c>
      <c r="X6" s="2334">
        <v>12540</v>
      </c>
      <c r="Y6" s="2334">
        <v>7182</v>
      </c>
      <c r="Z6" s="2334">
        <v>11196</v>
      </c>
      <c r="AA6" s="2334">
        <v>2500</v>
      </c>
      <c r="AB6" s="2334">
        <v>0</v>
      </c>
      <c r="AC6" s="2334">
        <v>0</v>
      </c>
      <c r="AD6" s="2334">
        <v>0</v>
      </c>
      <c r="AE6" s="2334">
        <v>0</v>
      </c>
      <c r="AF6" s="2334">
        <v>0</v>
      </c>
      <c r="AG6" s="2334">
        <v>0</v>
      </c>
      <c r="AH6" s="2335">
        <f>SUM(C6:AG6)</f>
        <v>295117</v>
      </c>
      <c r="AI6" s="2264"/>
      <c r="AJ6" s="1146"/>
      <c r="AK6" s="139"/>
      <c r="AL6" s="139"/>
    </row>
    <row r="7" spans="1:38" ht="13.8">
      <c r="A7" s="1073" t="s">
        <v>75</v>
      </c>
      <c r="B7" s="2333">
        <f t="shared" si="0"/>
        <v>0</v>
      </c>
      <c r="C7" s="2334"/>
      <c r="D7" s="2334"/>
      <c r="E7" s="2334"/>
      <c r="F7" s="2334"/>
      <c r="G7" s="2334"/>
      <c r="H7" s="2334"/>
      <c r="I7" s="2334"/>
      <c r="J7" s="2334"/>
      <c r="K7" s="2334"/>
      <c r="L7" s="2334"/>
      <c r="M7" s="2334"/>
      <c r="N7" s="2334"/>
      <c r="O7" s="2334"/>
      <c r="P7" s="2334"/>
      <c r="Q7" s="2334"/>
      <c r="R7" s="2334"/>
      <c r="S7" s="2334"/>
      <c r="T7" s="2334"/>
      <c r="U7" s="2334"/>
      <c r="V7" s="2334"/>
      <c r="W7" s="2334"/>
      <c r="X7" s="2334"/>
      <c r="Y7" s="2334"/>
      <c r="Z7" s="2334"/>
      <c r="AA7" s="2334"/>
      <c r="AB7" s="2334"/>
      <c r="AC7" s="2334"/>
      <c r="AD7" s="2334"/>
      <c r="AE7" s="2334"/>
      <c r="AF7" s="2334"/>
      <c r="AG7" s="2334"/>
      <c r="AH7" s="2335">
        <f>SUM(C7:AG7)</f>
        <v>0</v>
      </c>
      <c r="AI7" s="2264"/>
      <c r="AJ7" s="139"/>
      <c r="AK7" s="139"/>
      <c r="AL7" s="139"/>
    </row>
    <row r="8" spans="1:38" ht="13.8">
      <c r="A8" s="2336" t="s">
        <v>76</v>
      </c>
      <c r="B8" s="2333">
        <f t="shared" si="0"/>
        <v>538.69100000000003</v>
      </c>
      <c r="C8" s="2334">
        <v>17900</v>
      </c>
      <c r="D8" s="2334">
        <v>17210</v>
      </c>
      <c r="E8" s="2334">
        <v>92320</v>
      </c>
      <c r="F8" s="2334">
        <v>51966</v>
      </c>
      <c r="G8" s="2334">
        <v>14960</v>
      </c>
      <c r="H8" s="2334">
        <v>20900</v>
      </c>
      <c r="I8" s="2334">
        <v>44880</v>
      </c>
      <c r="J8" s="2334">
        <v>47799</v>
      </c>
      <c r="K8" s="2334">
        <v>15226</v>
      </c>
      <c r="L8" s="2334">
        <v>28210</v>
      </c>
      <c r="M8" s="2334">
        <v>0</v>
      </c>
      <c r="N8" s="2334">
        <v>7850</v>
      </c>
      <c r="O8" s="2334">
        <v>0</v>
      </c>
      <c r="P8" s="2334">
        <v>0</v>
      </c>
      <c r="Q8" s="2334">
        <v>0</v>
      </c>
      <c r="R8" s="2334">
        <v>0</v>
      </c>
      <c r="S8" s="2334">
        <v>0</v>
      </c>
      <c r="T8" s="2334">
        <v>0</v>
      </c>
      <c r="U8" s="2334">
        <v>0</v>
      </c>
      <c r="V8" s="2334">
        <v>0</v>
      </c>
      <c r="W8" s="2334">
        <v>0</v>
      </c>
      <c r="X8" s="2334">
        <v>0</v>
      </c>
      <c r="Y8" s="2334">
        <v>0</v>
      </c>
      <c r="Z8" s="2334">
        <v>3870</v>
      </c>
      <c r="AA8" s="2334">
        <v>54953</v>
      </c>
      <c r="AB8" s="2334">
        <v>7650</v>
      </c>
      <c r="AC8" s="2334">
        <v>30177</v>
      </c>
      <c r="AD8" s="2334">
        <v>33078</v>
      </c>
      <c r="AE8" s="2334">
        <v>18097</v>
      </c>
      <c r="AF8" s="2334">
        <v>31645</v>
      </c>
      <c r="AG8" s="2334">
        <v>0</v>
      </c>
      <c r="AH8" s="2335">
        <f t="shared" ref="AH8:AH16" si="1">SUM(C8:AG8)</f>
        <v>538691</v>
      </c>
      <c r="AI8" s="2264"/>
      <c r="AJ8" s="139"/>
      <c r="AK8" s="139"/>
      <c r="AL8" s="139"/>
    </row>
    <row r="9" spans="1:38" ht="13.8">
      <c r="A9" s="2336" t="s">
        <v>77</v>
      </c>
      <c r="B9" s="2333">
        <f t="shared" si="0"/>
        <v>303.79500000000002</v>
      </c>
      <c r="C9" s="2334">
        <v>27388</v>
      </c>
      <c r="D9" s="2334">
        <v>24020</v>
      </c>
      <c r="E9" s="2334">
        <v>4699</v>
      </c>
      <c r="F9" s="2334">
        <v>21586</v>
      </c>
      <c r="G9" s="2334">
        <v>4075</v>
      </c>
      <c r="H9" s="2334">
        <v>20610</v>
      </c>
      <c r="I9" s="2334">
        <v>11780</v>
      </c>
      <c r="J9" s="2334">
        <v>16453</v>
      </c>
      <c r="K9" s="2334">
        <v>2338</v>
      </c>
      <c r="L9" s="2334">
        <v>1826</v>
      </c>
      <c r="M9" s="2334">
        <v>0</v>
      </c>
      <c r="N9" s="2334">
        <v>1850</v>
      </c>
      <c r="O9" s="2334">
        <v>21363</v>
      </c>
      <c r="P9" s="2334">
        <v>16513</v>
      </c>
      <c r="Q9" s="2334">
        <v>4500</v>
      </c>
      <c r="R9" s="2334">
        <v>5680</v>
      </c>
      <c r="S9" s="2334">
        <v>1800</v>
      </c>
      <c r="T9" s="2334">
        <v>17682</v>
      </c>
      <c r="U9" s="2334">
        <v>9020</v>
      </c>
      <c r="V9" s="2334">
        <v>18560</v>
      </c>
      <c r="W9" s="2334">
        <v>10195</v>
      </c>
      <c r="X9" s="2334">
        <v>15030</v>
      </c>
      <c r="Y9" s="2334">
        <v>3984</v>
      </c>
      <c r="Z9" s="2334">
        <v>9500</v>
      </c>
      <c r="AA9" s="2334">
        <v>17330</v>
      </c>
      <c r="AB9" s="2334">
        <v>10300</v>
      </c>
      <c r="AC9" s="2334">
        <v>2443</v>
      </c>
      <c r="AD9" s="2334">
        <v>0</v>
      </c>
      <c r="AE9" s="2334">
        <v>1890</v>
      </c>
      <c r="AF9" s="2334">
        <v>1380</v>
      </c>
      <c r="AG9" s="2334">
        <v>0</v>
      </c>
      <c r="AH9" s="2335">
        <f t="shared" si="1"/>
        <v>303795</v>
      </c>
      <c r="AI9" s="2264"/>
      <c r="AJ9" s="139"/>
      <c r="AK9" s="139"/>
      <c r="AL9" s="139"/>
    </row>
    <row r="10" spans="1:38" ht="13.8">
      <c r="A10" s="2336" t="s">
        <v>78</v>
      </c>
      <c r="B10" s="2333">
        <f t="shared" si="0"/>
        <v>165.44499999999999</v>
      </c>
      <c r="C10" s="2334">
        <v>6327</v>
      </c>
      <c r="D10" s="2334">
        <v>5530</v>
      </c>
      <c r="E10" s="2334">
        <v>4963</v>
      </c>
      <c r="F10" s="2334">
        <v>300</v>
      </c>
      <c r="G10" s="2334">
        <v>1350</v>
      </c>
      <c r="H10" s="2334">
        <v>8180</v>
      </c>
      <c r="I10" s="2334">
        <v>11549</v>
      </c>
      <c r="J10" s="2334">
        <v>8820</v>
      </c>
      <c r="K10" s="2334">
        <v>0</v>
      </c>
      <c r="L10" s="2334">
        <v>7075</v>
      </c>
      <c r="M10" s="2334">
        <v>0</v>
      </c>
      <c r="N10" s="2334">
        <v>1636</v>
      </c>
      <c r="O10" s="2334">
        <v>6300</v>
      </c>
      <c r="P10" s="2334">
        <v>6494</v>
      </c>
      <c r="Q10" s="2334">
        <v>7434</v>
      </c>
      <c r="R10" s="2334">
        <v>2500</v>
      </c>
      <c r="S10" s="2334">
        <v>12781</v>
      </c>
      <c r="T10" s="2334">
        <v>9907</v>
      </c>
      <c r="U10" s="2334">
        <v>3100</v>
      </c>
      <c r="V10" s="2334">
        <v>14813</v>
      </c>
      <c r="W10" s="2334">
        <v>7450</v>
      </c>
      <c r="X10" s="2334">
        <v>9908</v>
      </c>
      <c r="Y10" s="2334">
        <v>12450</v>
      </c>
      <c r="Z10" s="2334">
        <v>5931</v>
      </c>
      <c r="AA10" s="2334">
        <v>1980</v>
      </c>
      <c r="AB10" s="2334">
        <v>1894</v>
      </c>
      <c r="AC10" s="2334">
        <v>0</v>
      </c>
      <c r="AD10" s="2334">
        <v>2873</v>
      </c>
      <c r="AE10" s="2334">
        <v>0</v>
      </c>
      <c r="AF10" s="2334">
        <v>3900</v>
      </c>
      <c r="AG10" s="2334">
        <v>0</v>
      </c>
      <c r="AH10" s="2335">
        <f t="shared" si="1"/>
        <v>165445</v>
      </c>
      <c r="AI10" s="2264"/>
      <c r="AJ10" s="139"/>
      <c r="AK10" s="139"/>
      <c r="AL10" s="139"/>
    </row>
    <row r="11" spans="1:38" ht="13.8">
      <c r="A11" s="2337" t="s">
        <v>79</v>
      </c>
      <c r="B11" s="2333">
        <f t="shared" si="0"/>
        <v>146.69499999999999</v>
      </c>
      <c r="C11" s="2334">
        <v>2228</v>
      </c>
      <c r="D11" s="2334">
        <v>1790</v>
      </c>
      <c r="E11" s="2334">
        <v>600</v>
      </c>
      <c r="F11" s="2334">
        <v>5500</v>
      </c>
      <c r="G11" s="2334">
        <v>0</v>
      </c>
      <c r="H11" s="2334">
        <v>1200</v>
      </c>
      <c r="I11" s="2334">
        <v>5836</v>
      </c>
      <c r="J11" s="2334">
        <v>11749</v>
      </c>
      <c r="K11" s="2334">
        <v>8195</v>
      </c>
      <c r="L11" s="2334">
        <v>3814</v>
      </c>
      <c r="M11" s="2334">
        <v>0</v>
      </c>
      <c r="N11" s="2334">
        <v>11883</v>
      </c>
      <c r="O11" s="2334">
        <v>4250</v>
      </c>
      <c r="P11" s="2334">
        <v>12105</v>
      </c>
      <c r="Q11" s="2334">
        <v>21021</v>
      </c>
      <c r="R11" s="2334">
        <v>0</v>
      </c>
      <c r="S11" s="2334">
        <v>8110</v>
      </c>
      <c r="T11" s="2334">
        <v>1200</v>
      </c>
      <c r="U11" s="2334">
        <v>9600</v>
      </c>
      <c r="V11" s="2334">
        <v>6150</v>
      </c>
      <c r="W11" s="2334">
        <v>0</v>
      </c>
      <c r="X11" s="2334">
        <v>0</v>
      </c>
      <c r="Y11" s="2334">
        <v>0</v>
      </c>
      <c r="Z11" s="2334">
        <v>4800</v>
      </c>
      <c r="AA11" s="2334">
        <v>11700</v>
      </c>
      <c r="AB11" s="2334">
        <v>0</v>
      </c>
      <c r="AC11" s="2334">
        <v>0</v>
      </c>
      <c r="AD11" s="2334">
        <v>7884</v>
      </c>
      <c r="AE11" s="2334">
        <v>7080</v>
      </c>
      <c r="AF11" s="2334">
        <v>0</v>
      </c>
      <c r="AG11" s="2334">
        <v>0</v>
      </c>
      <c r="AH11" s="2335">
        <f t="shared" si="1"/>
        <v>146695</v>
      </c>
      <c r="AI11" s="2264"/>
      <c r="AJ11" s="139"/>
      <c r="AK11" s="139"/>
      <c r="AL11" s="139"/>
    </row>
    <row r="12" spans="1:38" ht="13.8">
      <c r="A12" s="2337" t="s">
        <v>80</v>
      </c>
      <c r="B12" s="2333">
        <f t="shared" si="0"/>
        <v>76.709000000000003</v>
      </c>
      <c r="C12" s="2334">
        <v>2000</v>
      </c>
      <c r="D12" s="2334">
        <v>4180</v>
      </c>
      <c r="E12" s="2334">
        <v>8182</v>
      </c>
      <c r="F12" s="2334">
        <v>1388</v>
      </c>
      <c r="G12" s="2334">
        <v>5129</v>
      </c>
      <c r="H12" s="2334">
        <v>1000</v>
      </c>
      <c r="I12" s="2334">
        <v>0</v>
      </c>
      <c r="J12" s="2334">
        <v>2882</v>
      </c>
      <c r="K12" s="2334">
        <v>0</v>
      </c>
      <c r="L12" s="2334">
        <v>5820</v>
      </c>
      <c r="M12" s="2334">
        <v>0</v>
      </c>
      <c r="N12" s="2334">
        <v>7146</v>
      </c>
      <c r="O12" s="2334">
        <v>1500</v>
      </c>
      <c r="P12" s="2334">
        <v>3000</v>
      </c>
      <c r="Q12" s="2334">
        <v>0</v>
      </c>
      <c r="R12" s="2334">
        <v>5061</v>
      </c>
      <c r="S12" s="2334">
        <v>3060</v>
      </c>
      <c r="T12" s="2334">
        <v>1120</v>
      </c>
      <c r="U12" s="2334">
        <v>3800</v>
      </c>
      <c r="V12" s="2334">
        <v>0</v>
      </c>
      <c r="W12" s="2334">
        <v>0</v>
      </c>
      <c r="X12" s="2334">
        <v>3562</v>
      </c>
      <c r="Y12" s="2334">
        <v>0</v>
      </c>
      <c r="Z12" s="2334">
        <v>2552</v>
      </c>
      <c r="AA12" s="2334">
        <v>0</v>
      </c>
      <c r="AB12" s="2334">
        <v>9700</v>
      </c>
      <c r="AC12" s="2334">
        <v>2300</v>
      </c>
      <c r="AD12" s="2334">
        <v>1000</v>
      </c>
      <c r="AE12" s="2334">
        <v>2327</v>
      </c>
      <c r="AF12" s="2334">
        <v>0</v>
      </c>
      <c r="AG12" s="2334">
        <v>0</v>
      </c>
      <c r="AH12" s="2335">
        <f t="shared" si="1"/>
        <v>76709</v>
      </c>
      <c r="AI12" s="2264"/>
      <c r="AJ12" s="139"/>
      <c r="AK12" s="139"/>
      <c r="AL12" s="139"/>
    </row>
    <row r="13" spans="1:38" ht="13.8">
      <c r="A13" s="2337" t="s">
        <v>81</v>
      </c>
      <c r="B13" s="2333">
        <f t="shared" si="0"/>
        <v>33.723999999999997</v>
      </c>
      <c r="C13" s="2334">
        <v>2500</v>
      </c>
      <c r="D13" s="2334">
        <v>5380</v>
      </c>
      <c r="E13" s="2334">
        <v>700</v>
      </c>
      <c r="F13" s="2334">
        <v>0</v>
      </c>
      <c r="G13" s="2334">
        <v>0</v>
      </c>
      <c r="H13" s="2334">
        <v>0</v>
      </c>
      <c r="I13" s="2334">
        <v>0</v>
      </c>
      <c r="J13" s="2334">
        <v>2820</v>
      </c>
      <c r="K13" s="2334">
        <v>1000</v>
      </c>
      <c r="L13" s="2334">
        <v>5284</v>
      </c>
      <c r="M13" s="2334">
        <v>0</v>
      </c>
      <c r="N13" s="2334">
        <v>0</v>
      </c>
      <c r="O13" s="2334">
        <v>2000</v>
      </c>
      <c r="P13" s="2334">
        <v>0</v>
      </c>
      <c r="Q13" s="2334">
        <v>476</v>
      </c>
      <c r="R13" s="2334">
        <v>0</v>
      </c>
      <c r="S13" s="2334">
        <v>0</v>
      </c>
      <c r="T13" s="2334">
        <v>0</v>
      </c>
      <c r="U13" s="2334">
        <v>1461</v>
      </c>
      <c r="V13" s="2334">
        <v>2685</v>
      </c>
      <c r="W13" s="2334">
        <v>0</v>
      </c>
      <c r="X13" s="2334">
        <v>1400</v>
      </c>
      <c r="Y13" s="2334">
        <v>0</v>
      </c>
      <c r="Z13" s="2334">
        <v>50</v>
      </c>
      <c r="AA13" s="2334">
        <v>1000</v>
      </c>
      <c r="AB13" s="2334">
        <v>0</v>
      </c>
      <c r="AC13" s="2334">
        <v>3617</v>
      </c>
      <c r="AD13" s="2334">
        <v>1591</v>
      </c>
      <c r="AE13" s="2334">
        <v>1760</v>
      </c>
      <c r="AF13" s="2334">
        <v>0</v>
      </c>
      <c r="AG13" s="2334">
        <v>0</v>
      </c>
      <c r="AH13" s="2335">
        <f t="shared" si="1"/>
        <v>33724</v>
      </c>
      <c r="AI13" s="2264"/>
      <c r="AJ13" s="139"/>
      <c r="AK13" s="139"/>
      <c r="AL13" s="139"/>
    </row>
    <row r="14" spans="1:38" ht="13.8">
      <c r="A14" s="2338" t="s">
        <v>82</v>
      </c>
      <c r="B14" s="2333">
        <f t="shared" si="0"/>
        <v>0</v>
      </c>
      <c r="C14" s="2334">
        <v>0</v>
      </c>
      <c r="D14" s="2334">
        <v>0</v>
      </c>
      <c r="E14" s="2334">
        <v>0</v>
      </c>
      <c r="F14" s="2334">
        <v>0</v>
      </c>
      <c r="G14" s="2334">
        <v>0</v>
      </c>
      <c r="H14" s="2334">
        <v>0</v>
      </c>
      <c r="I14" s="2334">
        <v>0</v>
      </c>
      <c r="J14" s="2334">
        <v>0</v>
      </c>
      <c r="K14" s="2334">
        <v>0</v>
      </c>
      <c r="L14" s="2334">
        <v>0</v>
      </c>
      <c r="M14" s="2334">
        <v>0</v>
      </c>
      <c r="N14" s="2334">
        <v>0</v>
      </c>
      <c r="O14" s="2334">
        <v>0</v>
      </c>
      <c r="P14" s="2334">
        <v>0</v>
      </c>
      <c r="Q14" s="2334">
        <v>0</v>
      </c>
      <c r="R14" s="2334">
        <v>0</v>
      </c>
      <c r="S14" s="2334">
        <v>0</v>
      </c>
      <c r="T14" s="2334">
        <v>0</v>
      </c>
      <c r="U14" s="2334">
        <v>0</v>
      </c>
      <c r="V14" s="2334">
        <v>0</v>
      </c>
      <c r="W14" s="2334">
        <v>0</v>
      </c>
      <c r="X14" s="2334">
        <v>0</v>
      </c>
      <c r="Y14" s="2334">
        <v>0</v>
      </c>
      <c r="Z14" s="2334">
        <v>0</v>
      </c>
      <c r="AA14" s="2334">
        <v>0</v>
      </c>
      <c r="AB14" s="2334">
        <v>0</v>
      </c>
      <c r="AC14" s="2334">
        <v>0</v>
      </c>
      <c r="AD14" s="2334">
        <v>0</v>
      </c>
      <c r="AE14" s="2334">
        <v>0</v>
      </c>
      <c r="AF14" s="2334">
        <v>0</v>
      </c>
      <c r="AG14" s="2334">
        <v>0</v>
      </c>
      <c r="AH14" s="2335">
        <f t="shared" si="1"/>
        <v>0</v>
      </c>
      <c r="AI14" s="2264"/>
      <c r="AJ14" s="139"/>
      <c r="AK14" s="2339"/>
      <c r="AL14" s="139"/>
    </row>
    <row r="15" spans="1:38" ht="13.8">
      <c r="A15" s="2338" t="s">
        <v>83</v>
      </c>
      <c r="B15" s="2333">
        <f t="shared" si="0"/>
        <v>0</v>
      </c>
      <c r="C15" s="2334">
        <v>0</v>
      </c>
      <c r="D15" s="2334">
        <v>0</v>
      </c>
      <c r="E15" s="2334">
        <v>0</v>
      </c>
      <c r="F15" s="2334">
        <v>0</v>
      </c>
      <c r="G15" s="2334">
        <v>0</v>
      </c>
      <c r="H15" s="2334">
        <v>0</v>
      </c>
      <c r="I15" s="2334">
        <v>0</v>
      </c>
      <c r="J15" s="2334">
        <v>0</v>
      </c>
      <c r="K15" s="2334">
        <v>0</v>
      </c>
      <c r="L15" s="2334">
        <v>0</v>
      </c>
      <c r="M15" s="2334">
        <v>0</v>
      </c>
      <c r="N15" s="2334">
        <v>0</v>
      </c>
      <c r="O15" s="2334">
        <v>0</v>
      </c>
      <c r="P15" s="2334">
        <v>0</v>
      </c>
      <c r="Q15" s="2334">
        <v>0</v>
      </c>
      <c r="R15" s="2334">
        <v>0</v>
      </c>
      <c r="S15" s="2334">
        <v>0</v>
      </c>
      <c r="T15" s="2334">
        <v>0</v>
      </c>
      <c r="U15" s="2334">
        <v>0</v>
      </c>
      <c r="V15" s="2334">
        <v>0</v>
      </c>
      <c r="W15" s="2334">
        <v>0</v>
      </c>
      <c r="X15" s="2334">
        <v>0</v>
      </c>
      <c r="Y15" s="2334">
        <v>0</v>
      </c>
      <c r="Z15" s="2334">
        <v>0</v>
      </c>
      <c r="AA15" s="2334">
        <v>0</v>
      </c>
      <c r="AB15" s="2334">
        <v>0</v>
      </c>
      <c r="AC15" s="2334">
        <v>0</v>
      </c>
      <c r="AD15" s="2334">
        <v>0</v>
      </c>
      <c r="AE15" s="2334">
        <v>0</v>
      </c>
      <c r="AF15" s="2334">
        <v>0</v>
      </c>
      <c r="AG15" s="2334">
        <v>0</v>
      </c>
      <c r="AH15" s="2335">
        <f t="shared" si="1"/>
        <v>0</v>
      </c>
      <c r="AI15" s="2335">
        <f>IF('[1]Resumen algas IV reg '!$H$13="","",IF('[1]Resumen algas IV reg '!$H$13&lt;'[1]Algas IV reg '!AJ15,AH15,SUMIFS(C15:AG15,C18:AG18,AK15)))</f>
        <v>0</v>
      </c>
      <c r="AJ15" s="2340">
        <v>41214</v>
      </c>
      <c r="AK15" s="2264">
        <f>IF('[1]Resumen algas IV reg '!$H$13="","",VALUE(DAY('[1]Resumen algas IV reg '!$H$13)))</f>
        <v>0</v>
      </c>
      <c r="AL15" s="2341">
        <f>IF(AI16=0,AI15,AI16)</f>
        <v>0</v>
      </c>
    </row>
    <row r="16" spans="1:38" ht="13.8">
      <c r="A16" s="2338" t="s">
        <v>84</v>
      </c>
      <c r="B16" s="2333">
        <f t="shared" si="0"/>
        <v>0</v>
      </c>
      <c r="C16" s="2334">
        <v>0</v>
      </c>
      <c r="D16" s="2334">
        <v>0</v>
      </c>
      <c r="E16" s="2334">
        <v>0</v>
      </c>
      <c r="F16" s="2334">
        <v>0</v>
      </c>
      <c r="G16" s="2334">
        <v>0</v>
      </c>
      <c r="H16" s="2334">
        <v>0</v>
      </c>
      <c r="I16" s="2334">
        <v>0</v>
      </c>
      <c r="J16" s="2334">
        <v>0</v>
      </c>
      <c r="K16" s="2334">
        <v>0</v>
      </c>
      <c r="L16" s="2334">
        <v>0</v>
      </c>
      <c r="M16" s="2334">
        <v>0</v>
      </c>
      <c r="N16" s="2334">
        <v>0</v>
      </c>
      <c r="O16" s="2334">
        <v>0</v>
      </c>
      <c r="P16" s="2334">
        <v>0</v>
      </c>
      <c r="Q16" s="2334">
        <v>0</v>
      </c>
      <c r="R16" s="2334">
        <v>0</v>
      </c>
      <c r="S16" s="2334">
        <v>0</v>
      </c>
      <c r="T16" s="2334">
        <v>0</v>
      </c>
      <c r="U16" s="2334">
        <v>0</v>
      </c>
      <c r="V16" s="2334">
        <v>0</v>
      </c>
      <c r="W16" s="2334">
        <v>0</v>
      </c>
      <c r="X16" s="2334">
        <v>0</v>
      </c>
      <c r="Y16" s="2334">
        <v>0</v>
      </c>
      <c r="Z16" s="2334">
        <v>0</v>
      </c>
      <c r="AA16" s="2334">
        <v>0</v>
      </c>
      <c r="AB16" s="2334">
        <v>0</v>
      </c>
      <c r="AC16" s="2334">
        <v>0</v>
      </c>
      <c r="AD16" s="2334">
        <v>0</v>
      </c>
      <c r="AE16" s="2334">
        <v>0</v>
      </c>
      <c r="AF16" s="2334">
        <v>0</v>
      </c>
      <c r="AG16" s="2334">
        <v>0</v>
      </c>
      <c r="AH16" s="2335">
        <f t="shared" si="1"/>
        <v>0</v>
      </c>
      <c r="AI16" s="2335">
        <f>IF(AI15="",SUMIFS(N16:AG16,N18:AG18,AK15),AH16+AI15)</f>
        <v>0</v>
      </c>
      <c r="AJ16" s="2340">
        <v>41244</v>
      </c>
      <c r="AK16" s="2264"/>
      <c r="AL16" s="2264"/>
    </row>
    <row r="17" spans="1:38" ht="13.8">
      <c r="A17" s="154" t="s">
        <v>50</v>
      </c>
      <c r="B17" s="2342">
        <f>SUM(B5:B16)</f>
        <v>2063.107</v>
      </c>
      <c r="C17" s="2334">
        <v>0</v>
      </c>
      <c r="D17" s="2334">
        <v>0</v>
      </c>
      <c r="E17" s="2334">
        <v>0</v>
      </c>
      <c r="F17" s="2334">
        <v>0</v>
      </c>
      <c r="G17" s="2334">
        <v>0</v>
      </c>
      <c r="H17" s="2334">
        <v>0</v>
      </c>
      <c r="I17" s="2343">
        <v>39269</v>
      </c>
      <c r="J17" s="2343">
        <v>37240</v>
      </c>
      <c r="K17" s="2343">
        <v>33756</v>
      </c>
      <c r="L17" s="2343">
        <v>41531</v>
      </c>
      <c r="M17" s="2343">
        <v>4266</v>
      </c>
      <c r="N17" s="2343">
        <v>14408</v>
      </c>
      <c r="O17" s="2343">
        <v>96412</v>
      </c>
      <c r="P17" s="2343">
        <v>20184</v>
      </c>
      <c r="Q17" s="2343">
        <v>1600</v>
      </c>
      <c r="R17" s="2343">
        <v>2350</v>
      </c>
      <c r="S17" s="2343">
        <v>0</v>
      </c>
      <c r="T17" s="2343">
        <v>0</v>
      </c>
      <c r="U17" s="2343">
        <v>0</v>
      </c>
      <c r="V17" s="2343">
        <v>4421</v>
      </c>
      <c r="W17" s="2343">
        <v>7285</v>
      </c>
      <c r="X17" s="2343">
        <v>1000</v>
      </c>
      <c r="Y17" s="2343">
        <v>0</v>
      </c>
      <c r="Z17" s="2343">
        <v>0</v>
      </c>
      <c r="AA17" s="2343">
        <v>0</v>
      </c>
      <c r="AB17" s="2343">
        <v>0</v>
      </c>
      <c r="AC17" s="2343">
        <v>0</v>
      </c>
      <c r="AD17" s="2343">
        <v>0</v>
      </c>
      <c r="AE17" s="2343">
        <v>0</v>
      </c>
      <c r="AF17" s="2343">
        <v>0</v>
      </c>
      <c r="AG17" s="2343">
        <v>0</v>
      </c>
      <c r="AH17" s="2344">
        <f>SUM(AH5:AH16)</f>
        <v>2063107</v>
      </c>
      <c r="AI17" s="2264"/>
      <c r="AJ17" s="2264"/>
      <c r="AK17" s="2264"/>
      <c r="AL17" s="2264"/>
    </row>
    <row r="18" spans="1:38" ht="13.2">
      <c r="A18" s="2345"/>
      <c r="B18" s="2345"/>
      <c r="C18" s="2345">
        <v>0</v>
      </c>
      <c r="D18" s="2345">
        <v>0</v>
      </c>
      <c r="E18" s="2345">
        <v>0</v>
      </c>
      <c r="F18" s="2345">
        <v>0</v>
      </c>
      <c r="G18" s="2345">
        <v>0</v>
      </c>
      <c r="H18" s="2345">
        <v>0</v>
      </c>
      <c r="I18" s="2345">
        <v>0</v>
      </c>
      <c r="J18" s="2345">
        <v>0</v>
      </c>
      <c r="K18" s="2345">
        <v>0</v>
      </c>
      <c r="L18" s="2345">
        <v>0</v>
      </c>
      <c r="M18" s="2345">
        <v>0</v>
      </c>
      <c r="N18" s="2345">
        <v>0</v>
      </c>
      <c r="O18" s="2345">
        <v>0</v>
      </c>
      <c r="P18" s="2345">
        <v>0</v>
      </c>
      <c r="Q18" s="2345">
        <v>0</v>
      </c>
      <c r="R18" s="2345">
        <v>0</v>
      </c>
      <c r="S18" s="2345">
        <v>0</v>
      </c>
      <c r="T18" s="2345">
        <v>0</v>
      </c>
      <c r="U18" s="2345">
        <v>0</v>
      </c>
      <c r="V18" s="2345">
        <v>0</v>
      </c>
      <c r="W18" s="2345">
        <v>0</v>
      </c>
      <c r="X18" s="2345">
        <v>0</v>
      </c>
      <c r="Y18" s="2345">
        <v>0</v>
      </c>
      <c r="Z18" s="2345">
        <v>0</v>
      </c>
      <c r="AA18" s="2345">
        <v>0</v>
      </c>
      <c r="AB18" s="2345">
        <v>0</v>
      </c>
      <c r="AC18" s="2345">
        <v>0</v>
      </c>
      <c r="AD18" s="2345">
        <v>0</v>
      </c>
      <c r="AE18" s="2345">
        <v>0</v>
      </c>
      <c r="AF18" s="2345">
        <v>0</v>
      </c>
      <c r="AG18" s="2345">
        <v>0</v>
      </c>
      <c r="AH18" s="2346"/>
      <c r="AI18" s="2264"/>
      <c r="AJ18" s="2264"/>
      <c r="AK18" s="2264"/>
      <c r="AL18" s="2264"/>
    </row>
    <row r="19" spans="1:38" ht="13.2">
      <c r="A19" s="2267"/>
      <c r="B19" s="2267"/>
      <c r="C19" s="2267"/>
      <c r="D19" s="2267"/>
      <c r="E19" s="2267"/>
      <c r="F19" s="2267"/>
      <c r="G19" s="2267"/>
      <c r="H19" s="2267"/>
      <c r="I19" s="2267"/>
      <c r="J19" s="2267"/>
      <c r="K19" s="2267"/>
      <c r="L19" s="2267"/>
      <c r="M19" s="2267"/>
      <c r="N19" s="2267"/>
      <c r="O19" s="2267"/>
      <c r="P19" s="2267"/>
      <c r="Q19" s="2267"/>
      <c r="R19" s="2267"/>
      <c r="S19" s="2267"/>
      <c r="T19" s="2267"/>
      <c r="U19" s="2267"/>
      <c r="V19" s="2267"/>
      <c r="W19" s="2267"/>
      <c r="X19" s="2267"/>
      <c r="Y19" s="2267"/>
      <c r="Z19" s="2267"/>
      <c r="AA19" s="2267"/>
      <c r="AB19" s="2267"/>
      <c r="AC19" s="2267"/>
      <c r="AD19" s="2267"/>
      <c r="AE19" s="2267"/>
      <c r="AF19" s="2267"/>
      <c r="AG19" s="2267"/>
      <c r="AH19" s="2267"/>
      <c r="AI19" s="2264"/>
      <c r="AJ19" s="2264"/>
      <c r="AK19" s="2264"/>
      <c r="AL19" s="2264"/>
    </row>
    <row r="20" spans="1:38" ht="13.8">
      <c r="A20" s="4122" t="s">
        <v>756</v>
      </c>
      <c r="B20" s="4123"/>
      <c r="C20" s="4124"/>
      <c r="D20" s="49"/>
      <c r="E20" s="49"/>
      <c r="F20" s="49"/>
      <c r="G20" s="49"/>
      <c r="H20" s="49"/>
      <c r="I20" s="49"/>
      <c r="J20" s="49"/>
      <c r="K20" s="49"/>
      <c r="L20" s="49"/>
      <c r="M20" s="144"/>
      <c r="N20" s="49"/>
      <c r="O20" s="49"/>
      <c r="P20" s="49"/>
      <c r="Q20" s="49"/>
      <c r="R20" s="49"/>
      <c r="S20" s="49"/>
      <c r="T20" s="49"/>
      <c r="U20" s="49"/>
      <c r="V20" s="49"/>
      <c r="W20" s="49"/>
      <c r="X20" s="49"/>
      <c r="Y20" s="49"/>
      <c r="Z20" s="49"/>
      <c r="AA20" s="49"/>
      <c r="AB20" s="49"/>
      <c r="AC20" s="49"/>
      <c r="AD20" s="49"/>
      <c r="AE20" s="49"/>
      <c r="AF20" s="49"/>
      <c r="AG20" s="49"/>
      <c r="AH20" s="145"/>
      <c r="AI20" s="2264"/>
      <c r="AJ20" s="2264"/>
      <c r="AK20" s="2264"/>
      <c r="AL20" s="2264"/>
    </row>
    <row r="21" spans="1:38" ht="13.8">
      <c r="A21" s="146" t="s">
        <v>70</v>
      </c>
      <c r="B21" s="146" t="s">
        <v>71</v>
      </c>
      <c r="C21" s="147">
        <v>1</v>
      </c>
      <c r="D21" s="147">
        <v>2</v>
      </c>
      <c r="E21" s="147">
        <v>3</v>
      </c>
      <c r="F21" s="147">
        <v>4</v>
      </c>
      <c r="G21" s="147">
        <v>5</v>
      </c>
      <c r="H21" s="147">
        <v>6</v>
      </c>
      <c r="I21" s="147">
        <v>7</v>
      </c>
      <c r="J21" s="147">
        <v>8</v>
      </c>
      <c r="K21" s="147">
        <v>9</v>
      </c>
      <c r="L21" s="147">
        <v>10</v>
      </c>
      <c r="M21" s="147">
        <v>11</v>
      </c>
      <c r="N21" s="147">
        <v>12</v>
      </c>
      <c r="O21" s="147">
        <v>13</v>
      </c>
      <c r="P21" s="147">
        <v>14</v>
      </c>
      <c r="Q21" s="147">
        <v>15</v>
      </c>
      <c r="R21" s="147">
        <v>16</v>
      </c>
      <c r="S21" s="147">
        <v>17</v>
      </c>
      <c r="T21" s="147">
        <v>18</v>
      </c>
      <c r="U21" s="147">
        <v>19</v>
      </c>
      <c r="V21" s="147">
        <v>20</v>
      </c>
      <c r="W21" s="1267">
        <v>21</v>
      </c>
      <c r="X21" s="147">
        <v>22</v>
      </c>
      <c r="Y21" s="147">
        <v>23</v>
      </c>
      <c r="Z21" s="147">
        <v>24</v>
      </c>
      <c r="AA21" s="147">
        <v>25</v>
      </c>
      <c r="AB21" s="147">
        <v>26</v>
      </c>
      <c r="AC21" s="147">
        <v>27</v>
      </c>
      <c r="AD21" s="147">
        <v>28</v>
      </c>
      <c r="AE21" s="147">
        <v>29</v>
      </c>
      <c r="AF21" s="147">
        <v>30</v>
      </c>
      <c r="AG21" s="147">
        <v>31</v>
      </c>
      <c r="AH21" s="149" t="s">
        <v>50</v>
      </c>
      <c r="AI21" s="2264"/>
      <c r="AJ21" s="2264"/>
      <c r="AK21" s="2264"/>
      <c r="AL21" s="2264"/>
    </row>
    <row r="22" spans="1:38" ht="13.8">
      <c r="A22" s="1073" t="s">
        <v>73</v>
      </c>
      <c r="B22" s="2333">
        <f>+AH22/1000</f>
        <v>896.327</v>
      </c>
      <c r="C22" s="2334">
        <v>0</v>
      </c>
      <c r="D22" s="2334">
        <v>0</v>
      </c>
      <c r="E22" s="2334">
        <v>522</v>
      </c>
      <c r="F22" s="2334">
        <v>6989</v>
      </c>
      <c r="G22" s="2334">
        <v>0</v>
      </c>
      <c r="H22" s="2334">
        <v>28613</v>
      </c>
      <c r="I22" s="2334">
        <v>51837</v>
      </c>
      <c r="J22" s="2334">
        <v>21366</v>
      </c>
      <c r="K22" s="2334">
        <v>40957</v>
      </c>
      <c r="L22" s="2334">
        <v>19545</v>
      </c>
      <c r="M22" s="2334">
        <v>18429</v>
      </c>
      <c r="N22" s="2334">
        <v>23922</v>
      </c>
      <c r="O22" s="2334">
        <v>30038</v>
      </c>
      <c r="P22" s="2334">
        <v>121017</v>
      </c>
      <c r="Q22" s="2334">
        <v>0</v>
      </c>
      <c r="R22" s="2334">
        <v>64882</v>
      </c>
      <c r="S22" s="2334">
        <v>33000</v>
      </c>
      <c r="T22" s="2334">
        <v>18832</v>
      </c>
      <c r="U22" s="2334">
        <v>48840</v>
      </c>
      <c r="V22" s="2334">
        <v>22500</v>
      </c>
      <c r="W22" s="2334">
        <v>21750</v>
      </c>
      <c r="X22" s="2334">
        <v>37322</v>
      </c>
      <c r="Y22" s="2334">
        <v>111597</v>
      </c>
      <c r="Z22" s="2334">
        <v>19042</v>
      </c>
      <c r="AA22" s="2334">
        <v>2815</v>
      </c>
      <c r="AB22" s="2334">
        <v>63917</v>
      </c>
      <c r="AC22" s="2334">
        <v>88595</v>
      </c>
      <c r="AD22" s="2334">
        <v>0</v>
      </c>
      <c r="AE22" s="2334">
        <v>0</v>
      </c>
      <c r="AF22" s="2334">
        <v>0</v>
      </c>
      <c r="AG22" s="2334">
        <v>0</v>
      </c>
      <c r="AH22" s="2335">
        <f>SUM(C22:AG22)</f>
        <v>896327</v>
      </c>
      <c r="AI22" s="2264"/>
      <c r="AJ22" s="2264"/>
      <c r="AK22" s="2264"/>
      <c r="AL22" s="2264"/>
    </row>
    <row r="23" spans="1:38" ht="13.8">
      <c r="A23" s="1073" t="s">
        <v>74</v>
      </c>
      <c r="B23" s="2333">
        <f t="shared" ref="B23:B33" si="2">+AH23/1000</f>
        <v>0.432</v>
      </c>
      <c r="C23" s="2334">
        <v>0</v>
      </c>
      <c r="D23" s="2334">
        <v>0</v>
      </c>
      <c r="E23" s="2334">
        <v>0</v>
      </c>
      <c r="F23" s="2334">
        <v>0</v>
      </c>
      <c r="G23" s="2334">
        <v>0</v>
      </c>
      <c r="H23" s="2334">
        <v>432</v>
      </c>
      <c r="I23" s="2334">
        <v>0</v>
      </c>
      <c r="J23" s="2334">
        <v>0</v>
      </c>
      <c r="K23" s="2334">
        <v>0</v>
      </c>
      <c r="L23" s="2334">
        <v>0</v>
      </c>
      <c r="M23" s="2334">
        <v>0</v>
      </c>
      <c r="N23" s="2334">
        <v>0</v>
      </c>
      <c r="O23" s="2334">
        <v>0</v>
      </c>
      <c r="P23" s="2334">
        <v>0</v>
      </c>
      <c r="Q23" s="2334">
        <v>0</v>
      </c>
      <c r="R23" s="2334">
        <v>0</v>
      </c>
      <c r="S23" s="2334">
        <v>0</v>
      </c>
      <c r="T23" s="2334">
        <v>0</v>
      </c>
      <c r="U23" s="2334">
        <v>0</v>
      </c>
      <c r="V23" s="2334">
        <v>0</v>
      </c>
      <c r="W23" s="2334">
        <v>0</v>
      </c>
      <c r="X23" s="2334">
        <v>0</v>
      </c>
      <c r="Y23" s="2334">
        <v>0</v>
      </c>
      <c r="Z23" s="2334">
        <v>0</v>
      </c>
      <c r="AA23" s="2334">
        <v>0</v>
      </c>
      <c r="AB23" s="2334">
        <v>0</v>
      </c>
      <c r="AC23" s="2334">
        <v>0</v>
      </c>
      <c r="AD23" s="2334">
        <v>0</v>
      </c>
      <c r="AE23" s="2334">
        <v>0</v>
      </c>
      <c r="AF23" s="2334">
        <v>0</v>
      </c>
      <c r="AG23" s="2334">
        <v>0</v>
      </c>
      <c r="AH23" s="2335">
        <f>SUM(C23:AG23)</f>
        <v>432</v>
      </c>
      <c r="AI23" s="2264"/>
      <c r="AJ23" s="2264"/>
      <c r="AK23" s="2264"/>
      <c r="AL23" s="2264"/>
    </row>
    <row r="24" spans="1:38" ht="13.8">
      <c r="A24" s="1073" t="s">
        <v>75</v>
      </c>
      <c r="B24" s="2333">
        <f t="shared" si="2"/>
        <v>0</v>
      </c>
      <c r="C24" s="2334">
        <v>0</v>
      </c>
      <c r="D24" s="2334">
        <v>0</v>
      </c>
      <c r="E24" s="2334">
        <v>0</v>
      </c>
      <c r="F24" s="2334">
        <v>0</v>
      </c>
      <c r="G24" s="2334">
        <v>0</v>
      </c>
      <c r="H24" s="2334">
        <v>0</v>
      </c>
      <c r="I24" s="2334">
        <v>0</v>
      </c>
      <c r="J24" s="2334">
        <v>0</v>
      </c>
      <c r="K24" s="2334">
        <v>0</v>
      </c>
      <c r="L24" s="2334">
        <v>0</v>
      </c>
      <c r="M24" s="2334">
        <v>0</v>
      </c>
      <c r="N24" s="2334">
        <v>0</v>
      </c>
      <c r="O24" s="2334">
        <v>0</v>
      </c>
      <c r="P24" s="2334">
        <v>0</v>
      </c>
      <c r="Q24" s="2334">
        <v>0</v>
      </c>
      <c r="R24" s="2334">
        <v>0</v>
      </c>
      <c r="S24" s="2334">
        <v>0</v>
      </c>
      <c r="T24" s="2334">
        <v>0</v>
      </c>
      <c r="U24" s="2334">
        <v>0</v>
      </c>
      <c r="V24" s="2334">
        <v>0</v>
      </c>
      <c r="W24" s="2334">
        <v>0</v>
      </c>
      <c r="X24" s="2334">
        <v>0</v>
      </c>
      <c r="Y24" s="2334">
        <v>0</v>
      </c>
      <c r="Z24" s="2334">
        <v>0</v>
      </c>
      <c r="AA24" s="2334">
        <v>0</v>
      </c>
      <c r="AB24" s="2334">
        <v>0</v>
      </c>
      <c r="AC24" s="2334">
        <v>0</v>
      </c>
      <c r="AD24" s="2334">
        <v>0</v>
      </c>
      <c r="AE24" s="2334">
        <v>0</v>
      </c>
      <c r="AF24" s="2334">
        <v>0</v>
      </c>
      <c r="AG24" s="2334">
        <v>0</v>
      </c>
      <c r="AH24" s="2335">
        <f>SUM(C24:AG24)</f>
        <v>0</v>
      </c>
      <c r="AI24" s="2264"/>
      <c r="AJ24" s="2264"/>
      <c r="AK24" s="2264"/>
      <c r="AL24" s="2264"/>
    </row>
    <row r="25" spans="1:38" ht="13.8">
      <c r="A25" s="2336" t="s">
        <v>76</v>
      </c>
      <c r="B25" s="2333">
        <f t="shared" si="2"/>
        <v>0</v>
      </c>
      <c r="C25" s="2334">
        <v>0</v>
      </c>
      <c r="D25" s="2334">
        <v>0</v>
      </c>
      <c r="E25" s="2334">
        <v>0</v>
      </c>
      <c r="F25" s="2334">
        <v>0</v>
      </c>
      <c r="G25" s="2334">
        <v>0</v>
      </c>
      <c r="H25" s="2334">
        <v>0</v>
      </c>
      <c r="I25" s="2334">
        <v>0</v>
      </c>
      <c r="J25" s="2334">
        <v>0</v>
      </c>
      <c r="K25" s="2334">
        <v>0</v>
      </c>
      <c r="L25" s="2334">
        <v>0</v>
      </c>
      <c r="M25" s="2334">
        <v>0</v>
      </c>
      <c r="N25" s="2334">
        <v>0</v>
      </c>
      <c r="O25" s="2334">
        <v>0</v>
      </c>
      <c r="P25" s="2334">
        <v>0</v>
      </c>
      <c r="Q25" s="2334">
        <v>0</v>
      </c>
      <c r="R25" s="2334">
        <v>0</v>
      </c>
      <c r="S25" s="2334">
        <v>0</v>
      </c>
      <c r="T25" s="2334">
        <v>0</v>
      </c>
      <c r="U25" s="2334">
        <v>0</v>
      </c>
      <c r="V25" s="2334">
        <v>0</v>
      </c>
      <c r="W25" s="2334">
        <v>0</v>
      </c>
      <c r="X25" s="2334">
        <v>0</v>
      </c>
      <c r="Y25" s="2334">
        <v>0</v>
      </c>
      <c r="Z25" s="2334">
        <v>0</v>
      </c>
      <c r="AA25" s="2334">
        <v>0</v>
      </c>
      <c r="AB25" s="2334">
        <v>0</v>
      </c>
      <c r="AC25" s="2334">
        <v>0</v>
      </c>
      <c r="AD25" s="2334">
        <v>0</v>
      </c>
      <c r="AE25" s="2334">
        <v>0</v>
      </c>
      <c r="AF25" s="2334">
        <v>0</v>
      </c>
      <c r="AG25" s="2334">
        <v>0</v>
      </c>
      <c r="AH25" s="2335">
        <f t="shared" ref="AH25:AH33" si="3">SUM(C25:AG25)</f>
        <v>0</v>
      </c>
      <c r="AI25" s="2264"/>
      <c r="AJ25" s="2264"/>
      <c r="AK25" s="2264"/>
      <c r="AL25" s="2264"/>
    </row>
    <row r="26" spans="1:38" ht="13.8">
      <c r="A26" s="2336" t="s">
        <v>77</v>
      </c>
      <c r="B26" s="2333">
        <f t="shared" si="2"/>
        <v>6.5339999999999998</v>
      </c>
      <c r="C26" s="3206">
        <v>0</v>
      </c>
      <c r="D26" s="2334">
        <v>1500</v>
      </c>
      <c r="E26" s="2334">
        <v>0</v>
      </c>
      <c r="F26" s="2334">
        <v>0</v>
      </c>
      <c r="G26" s="2334">
        <v>0</v>
      </c>
      <c r="H26" s="2334">
        <v>0</v>
      </c>
      <c r="I26" s="2334">
        <v>0</v>
      </c>
      <c r="J26" s="2334">
        <v>260</v>
      </c>
      <c r="K26" s="2334">
        <v>0</v>
      </c>
      <c r="L26" s="2334">
        <v>0</v>
      </c>
      <c r="M26" s="2334">
        <v>0</v>
      </c>
      <c r="N26" s="2334">
        <v>2188</v>
      </c>
      <c r="O26" s="2334">
        <v>0</v>
      </c>
      <c r="P26" s="2334">
        <v>0</v>
      </c>
      <c r="Q26" s="2334">
        <v>0</v>
      </c>
      <c r="R26" s="2334">
        <v>0</v>
      </c>
      <c r="S26" s="2334">
        <v>0</v>
      </c>
      <c r="T26" s="2334">
        <v>0</v>
      </c>
      <c r="U26" s="2334">
        <v>0</v>
      </c>
      <c r="V26" s="2334">
        <v>2000</v>
      </c>
      <c r="W26" s="2334">
        <v>0</v>
      </c>
      <c r="X26" s="2334">
        <v>0</v>
      </c>
      <c r="Y26" s="2334">
        <v>0</v>
      </c>
      <c r="Z26" s="2334">
        <v>0</v>
      </c>
      <c r="AA26" s="2334">
        <v>0</v>
      </c>
      <c r="AB26" s="2334">
        <v>0</v>
      </c>
      <c r="AC26" s="2334">
        <v>586</v>
      </c>
      <c r="AD26" s="2334">
        <v>0</v>
      </c>
      <c r="AE26" s="2334">
        <v>0</v>
      </c>
      <c r="AF26" s="2334">
        <v>0</v>
      </c>
      <c r="AG26" s="2334">
        <v>0</v>
      </c>
      <c r="AH26" s="2335">
        <f t="shared" si="3"/>
        <v>6534</v>
      </c>
      <c r="AI26" s="2264"/>
      <c r="AJ26" s="2264"/>
      <c r="AK26" s="2264"/>
      <c r="AL26" s="2264"/>
    </row>
    <row r="27" spans="1:38" ht="13.8">
      <c r="A27" s="2336" t="s">
        <v>78</v>
      </c>
      <c r="B27" s="2333">
        <f t="shared" si="2"/>
        <v>6.6680000000000001</v>
      </c>
      <c r="C27" s="2334">
        <v>0</v>
      </c>
      <c r="D27" s="2334">
        <v>0</v>
      </c>
      <c r="E27" s="2334">
        <v>0</v>
      </c>
      <c r="F27" s="2334">
        <v>0</v>
      </c>
      <c r="G27" s="2334">
        <v>0</v>
      </c>
      <c r="H27" s="2334">
        <v>2638</v>
      </c>
      <c r="I27" s="2334">
        <v>0</v>
      </c>
      <c r="J27" s="2334">
        <v>0</v>
      </c>
      <c r="K27" s="2334">
        <v>0</v>
      </c>
      <c r="L27" s="2334">
        <v>220</v>
      </c>
      <c r="M27" s="2334">
        <v>0</v>
      </c>
      <c r="N27" s="2334">
        <v>0</v>
      </c>
      <c r="O27" s="2334">
        <v>0</v>
      </c>
      <c r="P27" s="2334">
        <v>0</v>
      </c>
      <c r="Q27" s="2334">
        <v>0</v>
      </c>
      <c r="R27" s="2334">
        <v>0</v>
      </c>
      <c r="S27" s="2334">
        <v>0</v>
      </c>
      <c r="T27" s="2334">
        <v>1500</v>
      </c>
      <c r="U27" s="2334">
        <v>0</v>
      </c>
      <c r="V27" s="2334">
        <v>0</v>
      </c>
      <c r="W27" s="2334">
        <v>680</v>
      </c>
      <c r="X27" s="2334">
        <v>686</v>
      </c>
      <c r="Y27" s="2334">
        <v>0</v>
      </c>
      <c r="Z27" s="2334">
        <v>476</v>
      </c>
      <c r="AA27" s="2334">
        <v>0</v>
      </c>
      <c r="AB27" s="2334">
        <v>0</v>
      </c>
      <c r="AC27" s="2334">
        <v>0</v>
      </c>
      <c r="AD27" s="2334">
        <v>468</v>
      </c>
      <c r="AE27" s="2334">
        <v>0</v>
      </c>
      <c r="AF27" s="2334">
        <v>0</v>
      </c>
      <c r="AG27" s="2334">
        <v>0</v>
      </c>
      <c r="AH27" s="2335">
        <f t="shared" si="3"/>
        <v>6668</v>
      </c>
      <c r="AI27" s="2264"/>
      <c r="AJ27" s="2264"/>
      <c r="AK27" s="2264"/>
      <c r="AL27" s="2264"/>
    </row>
    <row r="28" spans="1:38" ht="13.8">
      <c r="A28" s="2337" t="s">
        <v>79</v>
      </c>
      <c r="B28" s="2333">
        <f t="shared" si="2"/>
        <v>180.69800000000001</v>
      </c>
      <c r="C28" s="2334">
        <v>1132</v>
      </c>
      <c r="D28" s="2334">
        <v>1563</v>
      </c>
      <c r="E28" s="2334">
        <v>0</v>
      </c>
      <c r="F28" s="2334">
        <v>3400</v>
      </c>
      <c r="G28" s="2334">
        <v>0</v>
      </c>
      <c r="H28" s="2334">
        <v>0</v>
      </c>
      <c r="I28" s="2334">
        <v>4270</v>
      </c>
      <c r="J28" s="2334">
        <v>18920</v>
      </c>
      <c r="K28" s="2334">
        <v>39776</v>
      </c>
      <c r="L28" s="2334">
        <v>20395</v>
      </c>
      <c r="M28" s="2334">
        <v>15964</v>
      </c>
      <c r="N28" s="2334">
        <v>32880</v>
      </c>
      <c r="O28" s="2334">
        <v>10263</v>
      </c>
      <c r="P28" s="2334">
        <v>10415</v>
      </c>
      <c r="Q28" s="2334">
        <v>7420</v>
      </c>
      <c r="R28" s="2334">
        <v>0</v>
      </c>
      <c r="S28" s="2334">
        <v>0</v>
      </c>
      <c r="T28" s="2334">
        <v>0</v>
      </c>
      <c r="U28" s="2334">
        <v>0</v>
      </c>
      <c r="V28" s="2334">
        <v>830</v>
      </c>
      <c r="W28" s="2334">
        <v>9500</v>
      </c>
      <c r="X28" s="2334">
        <v>0</v>
      </c>
      <c r="Y28" s="2334">
        <v>2800</v>
      </c>
      <c r="Z28" s="2334">
        <v>0</v>
      </c>
      <c r="AA28" s="2334">
        <v>0</v>
      </c>
      <c r="AB28" s="2334">
        <v>0</v>
      </c>
      <c r="AC28" s="2334">
        <v>1170</v>
      </c>
      <c r="AD28" s="2334">
        <v>0</v>
      </c>
      <c r="AE28" s="2334">
        <v>0</v>
      </c>
      <c r="AF28" s="2334">
        <v>0</v>
      </c>
      <c r="AG28" s="2334">
        <v>0</v>
      </c>
      <c r="AH28" s="2335">
        <f t="shared" si="3"/>
        <v>180698</v>
      </c>
      <c r="AI28" s="2264"/>
      <c r="AJ28" s="2264"/>
      <c r="AK28" s="2264"/>
      <c r="AL28" s="2264"/>
    </row>
    <row r="29" spans="1:38" ht="13.8">
      <c r="A29" s="2337" t="s">
        <v>80</v>
      </c>
      <c r="B29" s="2333">
        <f t="shared" si="2"/>
        <v>29.902000000000001</v>
      </c>
      <c r="C29" s="2334">
        <v>0</v>
      </c>
      <c r="D29" s="2334">
        <v>0</v>
      </c>
      <c r="E29" s="2334">
        <v>5000</v>
      </c>
      <c r="F29" s="2334">
        <v>0</v>
      </c>
      <c r="G29" s="2334">
        <v>2180</v>
      </c>
      <c r="H29" s="2334">
        <v>1387</v>
      </c>
      <c r="I29" s="2334">
        <v>2255</v>
      </c>
      <c r="J29" s="2334">
        <v>0</v>
      </c>
      <c r="K29" s="2334">
        <v>0</v>
      </c>
      <c r="L29" s="2334">
        <v>2000</v>
      </c>
      <c r="M29" s="2334">
        <v>0</v>
      </c>
      <c r="N29" s="2334">
        <v>1560</v>
      </c>
      <c r="O29" s="2334">
        <v>2200</v>
      </c>
      <c r="P29" s="2334">
        <v>0</v>
      </c>
      <c r="Q29" s="2334">
        <v>0</v>
      </c>
      <c r="R29" s="2334">
        <v>0</v>
      </c>
      <c r="S29" s="2334">
        <v>5874</v>
      </c>
      <c r="T29" s="2334">
        <v>0</v>
      </c>
      <c r="U29" s="2334">
        <v>0</v>
      </c>
      <c r="V29" s="2334">
        <v>0</v>
      </c>
      <c r="W29" s="2334">
        <v>0</v>
      </c>
      <c r="X29" s="2334">
        <v>1595</v>
      </c>
      <c r="Y29" s="2334">
        <v>0</v>
      </c>
      <c r="Z29" s="2334">
        <v>851</v>
      </c>
      <c r="AA29" s="2334">
        <v>0</v>
      </c>
      <c r="AB29" s="2334">
        <v>2700</v>
      </c>
      <c r="AC29" s="2334">
        <v>2300</v>
      </c>
      <c r="AD29" s="2334">
        <v>0</v>
      </c>
      <c r="AE29" s="2334">
        <v>0</v>
      </c>
      <c r="AF29" s="2334">
        <v>0</v>
      </c>
      <c r="AG29" s="2334">
        <v>0</v>
      </c>
      <c r="AH29" s="2335">
        <f t="shared" si="3"/>
        <v>29902</v>
      </c>
      <c r="AI29" s="2264"/>
      <c r="AJ29" s="2264"/>
      <c r="AK29" s="2264"/>
      <c r="AL29" s="2264"/>
    </row>
    <row r="30" spans="1:38" ht="13.8">
      <c r="A30" s="2337" t="s">
        <v>81</v>
      </c>
      <c r="B30" s="2333">
        <f t="shared" si="2"/>
        <v>5.0810000000000004</v>
      </c>
      <c r="C30" s="2334">
        <v>400</v>
      </c>
      <c r="D30" s="2334">
        <v>0</v>
      </c>
      <c r="E30" s="2334">
        <v>0</v>
      </c>
      <c r="F30" s="2334">
        <v>0</v>
      </c>
      <c r="G30" s="2334">
        <v>0</v>
      </c>
      <c r="H30" s="2334">
        <v>0</v>
      </c>
      <c r="I30" s="2334">
        <v>0</v>
      </c>
      <c r="J30" s="2334">
        <v>0</v>
      </c>
      <c r="K30" s="2334">
        <v>960</v>
      </c>
      <c r="L30" s="2334">
        <v>1150</v>
      </c>
      <c r="M30" s="2334">
        <v>0</v>
      </c>
      <c r="N30" s="2334">
        <v>2000</v>
      </c>
      <c r="O30" s="2334">
        <v>0</v>
      </c>
      <c r="P30" s="2334">
        <v>0</v>
      </c>
      <c r="Q30" s="2334">
        <v>302</v>
      </c>
      <c r="R30" s="2334">
        <v>0</v>
      </c>
      <c r="S30" s="2334">
        <v>0</v>
      </c>
      <c r="T30" s="2334">
        <v>0</v>
      </c>
      <c r="U30" s="2334">
        <v>0</v>
      </c>
      <c r="V30" s="2334">
        <v>0</v>
      </c>
      <c r="W30" s="2334">
        <v>0</v>
      </c>
      <c r="X30" s="2334">
        <v>0</v>
      </c>
      <c r="Y30" s="2334">
        <v>0</v>
      </c>
      <c r="Z30" s="2334">
        <v>269</v>
      </c>
      <c r="AA30" s="2334">
        <v>0</v>
      </c>
      <c r="AB30" s="2334">
        <v>0</v>
      </c>
      <c r="AC30" s="2334">
        <v>0</v>
      </c>
      <c r="AD30" s="2334">
        <v>0</v>
      </c>
      <c r="AE30" s="2334">
        <v>0</v>
      </c>
      <c r="AF30" s="2334">
        <v>0</v>
      </c>
      <c r="AG30" s="2334">
        <v>0</v>
      </c>
      <c r="AH30" s="2335">
        <f t="shared" si="3"/>
        <v>5081</v>
      </c>
      <c r="AI30" s="2264"/>
      <c r="AJ30" s="2264"/>
      <c r="AK30" s="2264"/>
      <c r="AL30" s="2264"/>
    </row>
    <row r="31" spans="1:38" ht="13.8">
      <c r="A31" s="2338" t="s">
        <v>82</v>
      </c>
      <c r="B31" s="2333">
        <f t="shared" si="2"/>
        <v>0</v>
      </c>
      <c r="C31" s="2334">
        <v>0</v>
      </c>
      <c r="D31" s="2334">
        <v>0</v>
      </c>
      <c r="E31" s="2334">
        <v>0</v>
      </c>
      <c r="F31" s="2334">
        <v>0</v>
      </c>
      <c r="G31" s="2334">
        <v>0</v>
      </c>
      <c r="H31" s="2334">
        <v>0</v>
      </c>
      <c r="I31" s="2334">
        <v>0</v>
      </c>
      <c r="J31" s="2334">
        <v>0</v>
      </c>
      <c r="K31" s="2334">
        <v>0</v>
      </c>
      <c r="L31" s="2334">
        <v>0</v>
      </c>
      <c r="M31" s="2334">
        <v>0</v>
      </c>
      <c r="N31" s="2334">
        <v>0</v>
      </c>
      <c r="O31" s="2334">
        <v>0</v>
      </c>
      <c r="P31" s="2334">
        <v>0</v>
      </c>
      <c r="Q31" s="2334">
        <v>0</v>
      </c>
      <c r="R31" s="2334">
        <v>0</v>
      </c>
      <c r="S31" s="2334">
        <v>0</v>
      </c>
      <c r="T31" s="2334">
        <v>0</v>
      </c>
      <c r="U31" s="2334">
        <v>0</v>
      </c>
      <c r="V31" s="2334">
        <v>0</v>
      </c>
      <c r="W31" s="2334">
        <v>0</v>
      </c>
      <c r="X31" s="2334">
        <v>0</v>
      </c>
      <c r="Y31" s="2334">
        <v>0</v>
      </c>
      <c r="Z31" s="2334">
        <v>0</v>
      </c>
      <c r="AA31" s="2334">
        <v>0</v>
      </c>
      <c r="AB31" s="2334">
        <v>0</v>
      </c>
      <c r="AC31" s="2334">
        <v>0</v>
      </c>
      <c r="AD31" s="2334">
        <v>0</v>
      </c>
      <c r="AE31" s="2334">
        <v>0</v>
      </c>
      <c r="AF31" s="2334">
        <v>0</v>
      </c>
      <c r="AG31" s="2334">
        <v>0</v>
      </c>
      <c r="AH31" s="2335">
        <f t="shared" si="3"/>
        <v>0</v>
      </c>
      <c r="AI31" s="2264"/>
      <c r="AJ31" s="2264"/>
      <c r="AK31" s="2264"/>
      <c r="AL31" s="2264"/>
    </row>
    <row r="32" spans="1:38" ht="13.8">
      <c r="A32" s="2338" t="s">
        <v>83</v>
      </c>
      <c r="B32" s="2333">
        <f t="shared" si="2"/>
        <v>0</v>
      </c>
      <c r="C32" s="2334">
        <v>0</v>
      </c>
      <c r="D32" s="2334">
        <v>0</v>
      </c>
      <c r="E32" s="2334">
        <v>0</v>
      </c>
      <c r="F32" s="2334">
        <v>0</v>
      </c>
      <c r="G32" s="2334">
        <v>0</v>
      </c>
      <c r="H32" s="2334">
        <v>0</v>
      </c>
      <c r="I32" s="2334">
        <v>0</v>
      </c>
      <c r="J32" s="2334">
        <v>0</v>
      </c>
      <c r="K32" s="2334">
        <v>0</v>
      </c>
      <c r="L32" s="2334">
        <v>0</v>
      </c>
      <c r="M32" s="2334">
        <v>0</v>
      </c>
      <c r="N32" s="2334">
        <v>0</v>
      </c>
      <c r="O32" s="2334">
        <v>0</v>
      </c>
      <c r="P32" s="2334">
        <v>0</v>
      </c>
      <c r="Q32" s="2334">
        <v>0</v>
      </c>
      <c r="R32" s="2334">
        <v>0</v>
      </c>
      <c r="S32" s="2334">
        <v>0</v>
      </c>
      <c r="T32" s="2334">
        <v>0</v>
      </c>
      <c r="U32" s="2334">
        <v>0</v>
      </c>
      <c r="V32" s="2334">
        <v>0</v>
      </c>
      <c r="W32" s="2334">
        <v>0</v>
      </c>
      <c r="X32" s="2334">
        <v>0</v>
      </c>
      <c r="Y32" s="2334">
        <v>0</v>
      </c>
      <c r="Z32" s="2334">
        <v>0</v>
      </c>
      <c r="AA32" s="2334">
        <v>0</v>
      </c>
      <c r="AB32" s="2334">
        <v>0</v>
      </c>
      <c r="AC32" s="2334">
        <v>0</v>
      </c>
      <c r="AD32" s="2334">
        <v>0</v>
      </c>
      <c r="AE32" s="2334">
        <v>0</v>
      </c>
      <c r="AF32" s="2334">
        <v>0</v>
      </c>
      <c r="AG32" s="2334">
        <v>0</v>
      </c>
      <c r="AH32" s="2335">
        <f t="shared" si="3"/>
        <v>0</v>
      </c>
      <c r="AI32" s="2335">
        <f>IF('[1]Resumen algas IV reg '!$H$14="","",IF('[1]Resumen algas IV reg '!$H$14&lt;'[1]Algas IV reg '!AJ32,AH32,SUMIFS(C32:AG32,C35:AG35,AK32)))</f>
        <v>0</v>
      </c>
      <c r="AJ32" s="2340">
        <v>41214</v>
      </c>
      <c r="AK32" s="2264">
        <f>IF('[1]Resumen algas IV reg '!$H$14="","",VALUE(DAY('[1]Resumen algas IV reg '!$H$14)))</f>
        <v>0</v>
      </c>
      <c r="AL32" s="2341">
        <f>IF(AI33=0,AI32,AI33)</f>
        <v>0</v>
      </c>
    </row>
    <row r="33" spans="1:38" ht="13.8">
      <c r="A33" s="2338" t="s">
        <v>84</v>
      </c>
      <c r="B33" s="2333">
        <f t="shared" si="2"/>
        <v>0</v>
      </c>
      <c r="C33" s="2334">
        <v>0</v>
      </c>
      <c r="D33" s="2334">
        <v>0</v>
      </c>
      <c r="E33" s="2334">
        <v>0</v>
      </c>
      <c r="F33" s="2334">
        <v>0</v>
      </c>
      <c r="G33" s="2334">
        <v>0</v>
      </c>
      <c r="H33" s="2334">
        <v>0</v>
      </c>
      <c r="I33" s="2334">
        <v>0</v>
      </c>
      <c r="J33" s="2334">
        <v>0</v>
      </c>
      <c r="K33" s="2334">
        <v>0</v>
      </c>
      <c r="L33" s="2334">
        <v>0</v>
      </c>
      <c r="M33" s="2334">
        <v>0</v>
      </c>
      <c r="N33" s="2334">
        <v>0</v>
      </c>
      <c r="O33" s="2334">
        <v>0</v>
      </c>
      <c r="P33" s="2334">
        <v>0</v>
      </c>
      <c r="Q33" s="2334">
        <v>0</v>
      </c>
      <c r="R33" s="2334">
        <v>0</v>
      </c>
      <c r="S33" s="2334">
        <v>0</v>
      </c>
      <c r="T33" s="2334">
        <v>0</v>
      </c>
      <c r="U33" s="2334">
        <v>0</v>
      </c>
      <c r="V33" s="2334">
        <v>0</v>
      </c>
      <c r="W33" s="2334">
        <v>0</v>
      </c>
      <c r="X33" s="2334">
        <v>0</v>
      </c>
      <c r="Y33" s="2334">
        <v>0</v>
      </c>
      <c r="Z33" s="2334">
        <v>0</v>
      </c>
      <c r="AA33" s="2334">
        <v>0</v>
      </c>
      <c r="AB33" s="2334">
        <v>0</v>
      </c>
      <c r="AC33" s="2334">
        <v>0</v>
      </c>
      <c r="AD33" s="2334">
        <v>0</v>
      </c>
      <c r="AE33" s="2334">
        <v>0</v>
      </c>
      <c r="AF33" s="2334">
        <v>0</v>
      </c>
      <c r="AG33" s="2334">
        <v>0</v>
      </c>
      <c r="AH33" s="2335">
        <f t="shared" si="3"/>
        <v>0</v>
      </c>
      <c r="AI33" s="2335">
        <f>IF(AI32="",SUMIFS(N33:AG33,N35:AG35,AK32),AH33+AI32)</f>
        <v>0</v>
      </c>
      <c r="AJ33" s="2340">
        <v>41244</v>
      </c>
      <c r="AK33" s="2264"/>
      <c r="AL33" s="2264"/>
    </row>
    <row r="34" spans="1:38" ht="13.8">
      <c r="A34" s="154" t="s">
        <v>50</v>
      </c>
      <c r="B34" s="2342">
        <f>SUM(B22:B33)</f>
        <v>1125.6420000000001</v>
      </c>
      <c r="C34" s="2334">
        <v>0</v>
      </c>
      <c r="D34" s="2334">
        <v>0</v>
      </c>
      <c r="E34" s="2334">
        <v>0</v>
      </c>
      <c r="F34" s="2334">
        <v>0</v>
      </c>
      <c r="G34" s="2334">
        <v>0</v>
      </c>
      <c r="H34" s="2334">
        <v>0</v>
      </c>
      <c r="I34" s="2343">
        <v>51837</v>
      </c>
      <c r="J34" s="2343">
        <v>21366</v>
      </c>
      <c r="K34" s="2343">
        <v>40957</v>
      </c>
      <c r="L34" s="2343">
        <v>19545</v>
      </c>
      <c r="M34" s="2343">
        <v>18429</v>
      </c>
      <c r="N34" s="2343">
        <v>23922</v>
      </c>
      <c r="O34" s="2343">
        <v>30038</v>
      </c>
      <c r="P34" s="2343">
        <v>121017</v>
      </c>
      <c r="Q34" s="2343">
        <v>0</v>
      </c>
      <c r="R34" s="2343">
        <v>64882</v>
      </c>
      <c r="S34" s="2343">
        <v>33000</v>
      </c>
      <c r="T34" s="2343">
        <v>18832</v>
      </c>
      <c r="U34" s="2343">
        <v>48840</v>
      </c>
      <c r="V34" s="2343">
        <v>22500</v>
      </c>
      <c r="W34" s="2343">
        <v>21750</v>
      </c>
      <c r="X34" s="2343">
        <v>37322</v>
      </c>
      <c r="Y34" s="2343">
        <v>30567</v>
      </c>
      <c r="Z34" s="2343">
        <v>0</v>
      </c>
      <c r="AA34" s="2343">
        <v>0</v>
      </c>
      <c r="AB34" s="2343">
        <v>0</v>
      </c>
      <c r="AC34" s="2343">
        <v>0</v>
      </c>
      <c r="AD34" s="2343">
        <v>0</v>
      </c>
      <c r="AE34" s="2343">
        <v>0</v>
      </c>
      <c r="AF34" s="2343">
        <v>0</v>
      </c>
      <c r="AG34" s="2343">
        <v>0</v>
      </c>
      <c r="AH34" s="2344">
        <f>SUM(AH22:AH33)</f>
        <v>1125642</v>
      </c>
      <c r="AI34" s="2264"/>
      <c r="AJ34" s="2264"/>
      <c r="AK34" s="2264"/>
      <c r="AL34" s="2264"/>
    </row>
    <row r="35" spans="1:38" ht="13.2">
      <c r="A35" s="2267"/>
      <c r="B35" s="2267"/>
      <c r="C35" s="2345">
        <v>0</v>
      </c>
      <c r="D35" s="2345">
        <v>0</v>
      </c>
      <c r="E35" s="2345">
        <v>0</v>
      </c>
      <c r="F35" s="2345">
        <v>0</v>
      </c>
      <c r="G35" s="2345">
        <v>0</v>
      </c>
      <c r="H35" s="2345">
        <v>0</v>
      </c>
      <c r="I35" s="2345">
        <v>0</v>
      </c>
      <c r="J35" s="2345">
        <v>0</v>
      </c>
      <c r="K35" s="2345">
        <v>0</v>
      </c>
      <c r="L35" s="2345">
        <v>0</v>
      </c>
      <c r="M35" s="2345">
        <v>0</v>
      </c>
      <c r="N35" s="2345">
        <v>0</v>
      </c>
      <c r="O35" s="2345">
        <v>0</v>
      </c>
      <c r="P35" s="2345">
        <v>0</v>
      </c>
      <c r="Q35" s="2345">
        <v>0</v>
      </c>
      <c r="R35" s="2345">
        <v>0</v>
      </c>
      <c r="S35" s="2345">
        <v>0</v>
      </c>
      <c r="T35" s="2345">
        <v>0</v>
      </c>
      <c r="U35" s="2345">
        <v>0</v>
      </c>
      <c r="V35" s="2345">
        <v>0</v>
      </c>
      <c r="W35" s="2345">
        <v>0</v>
      </c>
      <c r="X35" s="2345">
        <v>0</v>
      </c>
      <c r="Y35" s="2345">
        <v>0</v>
      </c>
      <c r="Z35" s="2345">
        <v>0</v>
      </c>
      <c r="AA35" s="2345">
        <v>0</v>
      </c>
      <c r="AB35" s="2345">
        <v>0</v>
      </c>
      <c r="AC35" s="2345">
        <v>0</v>
      </c>
      <c r="AD35" s="2345">
        <v>0</v>
      </c>
      <c r="AE35" s="2345">
        <v>0</v>
      </c>
      <c r="AF35" s="2345">
        <v>0</v>
      </c>
      <c r="AG35" s="2345">
        <v>0</v>
      </c>
      <c r="AH35" s="2267"/>
      <c r="AI35" s="2264"/>
      <c r="AJ35" s="2264"/>
      <c r="AK35" s="2264"/>
      <c r="AL35" s="2264"/>
    </row>
    <row r="36" spans="1:38" ht="13.2">
      <c r="A36" s="2267"/>
      <c r="B36" s="2267"/>
      <c r="C36" s="2267"/>
      <c r="D36" s="2267"/>
      <c r="E36" s="2267"/>
      <c r="F36" s="2267"/>
      <c r="G36" s="2267"/>
      <c r="H36" s="2267"/>
      <c r="I36" s="2267"/>
      <c r="J36" s="2267"/>
      <c r="K36" s="2267"/>
      <c r="L36" s="2267"/>
      <c r="M36" s="2267"/>
      <c r="N36" s="2267"/>
      <c r="O36" s="2267"/>
      <c r="P36" s="2267"/>
      <c r="Q36" s="2267"/>
      <c r="R36" s="2267"/>
      <c r="S36" s="2267"/>
      <c r="T36" s="2267"/>
      <c r="U36" s="2267"/>
      <c r="V36" s="2267"/>
      <c r="W36" s="2267"/>
      <c r="X36" s="2267"/>
      <c r="Y36" s="2267"/>
      <c r="Z36" s="2267"/>
      <c r="AA36" s="2267"/>
      <c r="AB36" s="2267"/>
      <c r="AC36" s="2267"/>
      <c r="AD36" s="2267"/>
      <c r="AE36" s="2267"/>
      <c r="AF36" s="2267"/>
      <c r="AG36" s="2267"/>
      <c r="AH36" s="2267"/>
      <c r="AI36" s="2264"/>
      <c r="AJ36" s="2264"/>
      <c r="AK36" s="2264"/>
      <c r="AL36" s="2264"/>
    </row>
    <row r="37" spans="1:38" ht="13.8">
      <c r="A37" s="4122" t="s">
        <v>757</v>
      </c>
      <c r="B37" s="4123"/>
      <c r="C37" s="4124"/>
      <c r="D37" s="49"/>
      <c r="E37" s="49"/>
      <c r="F37" s="49"/>
      <c r="G37" s="49"/>
      <c r="H37" s="49"/>
      <c r="I37" s="49"/>
      <c r="J37" s="49"/>
      <c r="K37" s="49"/>
      <c r="L37" s="49"/>
      <c r="M37" s="144"/>
      <c r="N37" s="49"/>
      <c r="O37" s="49"/>
      <c r="P37" s="49"/>
      <c r="Q37" s="49"/>
      <c r="R37" s="49"/>
      <c r="S37" s="49"/>
      <c r="T37" s="49"/>
      <c r="U37" s="49"/>
      <c r="V37" s="49"/>
      <c r="W37" s="49"/>
      <c r="X37" s="49"/>
      <c r="Y37" s="49"/>
      <c r="Z37" s="49"/>
      <c r="AA37" s="49"/>
      <c r="AB37" s="49"/>
      <c r="AC37" s="49"/>
      <c r="AD37" s="49"/>
      <c r="AE37" s="49"/>
      <c r="AF37" s="49"/>
      <c r="AG37" s="49"/>
      <c r="AH37" s="145"/>
      <c r="AI37" s="2264"/>
      <c r="AJ37" s="2264"/>
      <c r="AK37" s="2264"/>
      <c r="AL37" s="2264"/>
    </row>
    <row r="38" spans="1:38" ht="13.8">
      <c r="A38" s="146" t="s">
        <v>70</v>
      </c>
      <c r="B38" s="146" t="s">
        <v>71</v>
      </c>
      <c r="C38" s="147">
        <v>1</v>
      </c>
      <c r="D38" s="147">
        <v>2</v>
      </c>
      <c r="E38" s="147">
        <v>3</v>
      </c>
      <c r="F38" s="147">
        <v>4</v>
      </c>
      <c r="G38" s="147">
        <v>5</v>
      </c>
      <c r="H38" s="147">
        <v>6</v>
      </c>
      <c r="I38" s="147">
        <v>7</v>
      </c>
      <c r="J38" s="147">
        <v>8</v>
      </c>
      <c r="K38" s="147">
        <v>9</v>
      </c>
      <c r="L38" s="147">
        <v>10</v>
      </c>
      <c r="M38" s="147">
        <v>11</v>
      </c>
      <c r="N38" s="147">
        <v>12</v>
      </c>
      <c r="O38" s="147">
        <v>13</v>
      </c>
      <c r="P38" s="147">
        <v>14</v>
      </c>
      <c r="Q38" s="147">
        <v>15</v>
      </c>
      <c r="R38" s="147">
        <v>16</v>
      </c>
      <c r="S38" s="147">
        <v>17</v>
      </c>
      <c r="T38" s="147">
        <v>18</v>
      </c>
      <c r="U38" s="147">
        <v>19</v>
      </c>
      <c r="V38" s="147">
        <v>20</v>
      </c>
      <c r="W38" s="1267">
        <v>21</v>
      </c>
      <c r="X38" s="147">
        <v>22</v>
      </c>
      <c r="Y38" s="147">
        <v>23</v>
      </c>
      <c r="Z38" s="147">
        <v>24</v>
      </c>
      <c r="AA38" s="147">
        <v>25</v>
      </c>
      <c r="AB38" s="147">
        <v>26</v>
      </c>
      <c r="AC38" s="147">
        <v>27</v>
      </c>
      <c r="AD38" s="147">
        <v>28</v>
      </c>
      <c r="AE38" s="147">
        <v>29</v>
      </c>
      <c r="AF38" s="147">
        <v>30</v>
      </c>
      <c r="AG38" s="147">
        <v>31</v>
      </c>
      <c r="AH38" s="149" t="s">
        <v>50</v>
      </c>
      <c r="AI38" s="2264"/>
      <c r="AJ38" s="2264"/>
      <c r="AK38" s="2264"/>
      <c r="AL38" s="2264"/>
    </row>
    <row r="39" spans="1:38" ht="13.8">
      <c r="A39" s="1073" t="s">
        <v>73</v>
      </c>
      <c r="B39" s="2333">
        <f>+AH39/1000</f>
        <v>93.998999999999995</v>
      </c>
      <c r="C39" s="2334">
        <v>0</v>
      </c>
      <c r="D39" s="2334">
        <v>3910</v>
      </c>
      <c r="E39" s="2334">
        <v>0</v>
      </c>
      <c r="F39" s="2334">
        <v>1308</v>
      </c>
      <c r="G39" s="2334">
        <v>0</v>
      </c>
      <c r="H39" s="2334">
        <v>9600</v>
      </c>
      <c r="I39" s="2334">
        <v>4180</v>
      </c>
      <c r="J39" s="2334">
        <v>8340</v>
      </c>
      <c r="K39" s="2334">
        <v>8037</v>
      </c>
      <c r="L39" s="2334">
        <v>7304</v>
      </c>
      <c r="M39" s="2334">
        <v>0</v>
      </c>
      <c r="N39" s="2334">
        <v>0</v>
      </c>
      <c r="O39" s="2334">
        <v>2100</v>
      </c>
      <c r="P39" s="2334">
        <v>2279</v>
      </c>
      <c r="Q39" s="2334">
        <v>0</v>
      </c>
      <c r="R39" s="2334">
        <v>6500</v>
      </c>
      <c r="S39" s="2334">
        <v>0</v>
      </c>
      <c r="T39" s="2334">
        <v>0</v>
      </c>
      <c r="U39" s="2334">
        <v>0</v>
      </c>
      <c r="V39" s="2334">
        <v>0</v>
      </c>
      <c r="W39" s="2334">
        <v>0</v>
      </c>
      <c r="X39" s="2334">
        <v>8627</v>
      </c>
      <c r="Y39" s="2334">
        <v>800</v>
      </c>
      <c r="Z39" s="2334">
        <v>8480</v>
      </c>
      <c r="AA39" s="2334">
        <v>4538</v>
      </c>
      <c r="AB39" s="2334">
        <v>6896</v>
      </c>
      <c r="AC39" s="2334">
        <v>5100</v>
      </c>
      <c r="AD39" s="2334">
        <v>0</v>
      </c>
      <c r="AE39" s="2334">
        <v>0</v>
      </c>
      <c r="AF39" s="2334">
        <v>6000</v>
      </c>
      <c r="AG39" s="2334">
        <v>0</v>
      </c>
      <c r="AH39" s="2335">
        <f>SUM(C39:AG39)</f>
        <v>93999</v>
      </c>
      <c r="AI39" s="2264"/>
      <c r="AJ39" s="2264"/>
      <c r="AK39" s="2264"/>
      <c r="AL39" s="2264"/>
    </row>
    <row r="40" spans="1:38" ht="13.8">
      <c r="A40" s="1073" t="s">
        <v>74</v>
      </c>
      <c r="B40" s="2333">
        <f t="shared" ref="B40:B50" si="4">+AH40/1000</f>
        <v>19.189</v>
      </c>
      <c r="C40" s="2334">
        <v>0</v>
      </c>
      <c r="D40" s="2334">
        <v>11721</v>
      </c>
      <c r="E40" s="2334">
        <v>0</v>
      </c>
      <c r="F40" s="2334">
        <v>0</v>
      </c>
      <c r="G40" s="2334">
        <v>0</v>
      </c>
      <c r="H40" s="2334">
        <v>4602</v>
      </c>
      <c r="I40" s="2334">
        <v>0</v>
      </c>
      <c r="J40" s="2334">
        <v>2866</v>
      </c>
      <c r="K40" s="2334">
        <v>0</v>
      </c>
      <c r="L40" s="2334">
        <v>0</v>
      </c>
      <c r="M40" s="2334">
        <v>0</v>
      </c>
      <c r="N40" s="2334">
        <v>0</v>
      </c>
      <c r="O40" s="2334">
        <v>0</v>
      </c>
      <c r="P40" s="2334">
        <v>0</v>
      </c>
      <c r="Q40" s="2334">
        <v>0</v>
      </c>
      <c r="R40" s="2334">
        <v>0</v>
      </c>
      <c r="S40" s="2334">
        <v>0</v>
      </c>
      <c r="T40" s="2334">
        <v>0</v>
      </c>
      <c r="U40" s="2334">
        <v>0</v>
      </c>
      <c r="V40" s="2334">
        <v>0</v>
      </c>
      <c r="W40" s="2334">
        <v>0</v>
      </c>
      <c r="X40" s="2334">
        <v>0</v>
      </c>
      <c r="Y40" s="2334">
        <v>0</v>
      </c>
      <c r="Z40" s="2334">
        <v>0</v>
      </c>
      <c r="AA40" s="2334">
        <v>0</v>
      </c>
      <c r="AB40" s="2334">
        <v>0</v>
      </c>
      <c r="AC40" s="2334">
        <v>0</v>
      </c>
      <c r="AD40" s="2334">
        <v>0</v>
      </c>
      <c r="AE40" s="2334">
        <v>0</v>
      </c>
      <c r="AF40" s="2334">
        <v>0</v>
      </c>
      <c r="AG40" s="2334">
        <v>0</v>
      </c>
      <c r="AH40" s="2335">
        <f>SUM(C40:AG40)</f>
        <v>19189</v>
      </c>
      <c r="AI40" s="2264"/>
      <c r="AJ40" s="2264"/>
      <c r="AK40" s="2264"/>
      <c r="AL40" s="2264"/>
    </row>
    <row r="41" spans="1:38" ht="13.8">
      <c r="A41" s="1073" t="s">
        <v>75</v>
      </c>
      <c r="B41" s="2333">
        <f t="shared" si="4"/>
        <v>0</v>
      </c>
      <c r="C41" s="2334">
        <v>0</v>
      </c>
      <c r="D41" s="2334">
        <v>0</v>
      </c>
      <c r="E41" s="2334">
        <v>0</v>
      </c>
      <c r="F41" s="2334">
        <v>0</v>
      </c>
      <c r="G41" s="2334">
        <v>0</v>
      </c>
      <c r="H41" s="2334">
        <v>0</v>
      </c>
      <c r="I41" s="2334">
        <v>0</v>
      </c>
      <c r="J41" s="2334">
        <v>0</v>
      </c>
      <c r="K41" s="2334">
        <v>0</v>
      </c>
      <c r="L41" s="2334">
        <v>0</v>
      </c>
      <c r="M41" s="2334">
        <v>0</v>
      </c>
      <c r="N41" s="2334">
        <v>0</v>
      </c>
      <c r="O41" s="2334">
        <v>0</v>
      </c>
      <c r="P41" s="2334">
        <v>0</v>
      </c>
      <c r="Q41" s="2334">
        <v>0</v>
      </c>
      <c r="R41" s="2334">
        <v>0</v>
      </c>
      <c r="S41" s="2334">
        <v>0</v>
      </c>
      <c r="T41" s="2334">
        <v>0</v>
      </c>
      <c r="U41" s="2334">
        <v>0</v>
      </c>
      <c r="V41" s="2334">
        <v>0</v>
      </c>
      <c r="W41" s="2334">
        <v>0</v>
      </c>
      <c r="X41" s="2334">
        <v>0</v>
      </c>
      <c r="Y41" s="2334">
        <v>0</v>
      </c>
      <c r="Z41" s="2334">
        <v>0</v>
      </c>
      <c r="AA41" s="2334">
        <v>0</v>
      </c>
      <c r="AB41" s="2334">
        <v>0</v>
      </c>
      <c r="AC41" s="2334">
        <v>0</v>
      </c>
      <c r="AD41" s="2334">
        <v>0</v>
      </c>
      <c r="AE41" s="2334">
        <v>0</v>
      </c>
      <c r="AF41" s="2334">
        <v>0</v>
      </c>
      <c r="AG41" s="2334">
        <v>0</v>
      </c>
      <c r="AH41" s="2335">
        <f>SUM(C41:AG41)</f>
        <v>0</v>
      </c>
      <c r="AI41" s="2264"/>
      <c r="AJ41" s="2264"/>
      <c r="AK41" s="2264"/>
      <c r="AL41" s="2264"/>
    </row>
    <row r="42" spans="1:38" ht="13.8">
      <c r="A42" s="2336" t="s">
        <v>76</v>
      </c>
      <c r="B42" s="2333">
        <f t="shared" si="4"/>
        <v>4</v>
      </c>
      <c r="C42" s="2334">
        <v>0</v>
      </c>
      <c r="D42" s="2334">
        <v>0</v>
      </c>
      <c r="E42" s="2334">
        <v>0</v>
      </c>
      <c r="F42" s="2334">
        <v>0</v>
      </c>
      <c r="G42" s="2334">
        <v>0</v>
      </c>
      <c r="H42" s="2334">
        <v>0</v>
      </c>
      <c r="I42" s="2334">
        <v>0</v>
      </c>
      <c r="J42" s="2334">
        <v>0</v>
      </c>
      <c r="K42" s="2334">
        <v>0</v>
      </c>
      <c r="L42" s="2334">
        <v>0</v>
      </c>
      <c r="M42" s="2334">
        <v>0</v>
      </c>
      <c r="N42" s="2334">
        <v>0</v>
      </c>
      <c r="O42" s="2334">
        <v>0</v>
      </c>
      <c r="P42" s="2334">
        <v>0</v>
      </c>
      <c r="Q42" s="2334">
        <v>0</v>
      </c>
      <c r="R42" s="2334">
        <v>0</v>
      </c>
      <c r="S42" s="2334">
        <v>0</v>
      </c>
      <c r="T42" s="2334">
        <v>0</v>
      </c>
      <c r="U42" s="2334">
        <v>0</v>
      </c>
      <c r="V42" s="2334">
        <v>0</v>
      </c>
      <c r="W42" s="2334">
        <v>0</v>
      </c>
      <c r="X42" s="2334">
        <v>0</v>
      </c>
      <c r="Y42" s="2334">
        <v>0</v>
      </c>
      <c r="Z42" s="2334">
        <v>4000</v>
      </c>
      <c r="AA42" s="2334">
        <v>0</v>
      </c>
      <c r="AB42" s="2334">
        <v>0</v>
      </c>
      <c r="AC42" s="2334">
        <v>0</v>
      </c>
      <c r="AD42" s="2334">
        <v>0</v>
      </c>
      <c r="AE42" s="2334">
        <v>0</v>
      </c>
      <c r="AF42" s="2334">
        <v>0</v>
      </c>
      <c r="AG42" s="2334">
        <v>0</v>
      </c>
      <c r="AH42" s="2335">
        <f t="shared" ref="AH42:AH50" si="5">SUM(C42:AG42)</f>
        <v>4000</v>
      </c>
      <c r="AI42" s="2264"/>
      <c r="AJ42" s="2264"/>
      <c r="AK42" s="2264"/>
      <c r="AL42" s="2264"/>
    </row>
    <row r="43" spans="1:38" ht="13.8">
      <c r="A43" s="2336" t="s">
        <v>77</v>
      </c>
      <c r="B43" s="2333">
        <f t="shared" si="4"/>
        <v>37.853999999999999</v>
      </c>
      <c r="C43" s="2334">
        <v>0</v>
      </c>
      <c r="D43" s="2334">
        <v>0</v>
      </c>
      <c r="E43" s="2334">
        <v>0</v>
      </c>
      <c r="F43" s="2334">
        <v>0</v>
      </c>
      <c r="G43" s="2334">
        <v>0</v>
      </c>
      <c r="H43" s="2334">
        <v>6537</v>
      </c>
      <c r="I43" s="2334">
        <v>5150</v>
      </c>
      <c r="J43" s="2334">
        <v>0</v>
      </c>
      <c r="K43" s="2334">
        <v>1876</v>
      </c>
      <c r="L43" s="2334">
        <v>0</v>
      </c>
      <c r="M43" s="2334">
        <v>0</v>
      </c>
      <c r="N43" s="2334">
        <v>0</v>
      </c>
      <c r="O43" s="2334">
        <v>1600</v>
      </c>
      <c r="P43" s="2334">
        <v>0</v>
      </c>
      <c r="Q43" s="2334">
        <v>5200</v>
      </c>
      <c r="R43" s="2334">
        <v>0</v>
      </c>
      <c r="S43" s="2334">
        <v>0</v>
      </c>
      <c r="T43" s="2334">
        <v>4000</v>
      </c>
      <c r="U43" s="2334">
        <v>0</v>
      </c>
      <c r="V43" s="2334">
        <v>4000</v>
      </c>
      <c r="W43" s="2334">
        <v>3267</v>
      </c>
      <c r="X43" s="2334">
        <v>0</v>
      </c>
      <c r="Y43" s="2334">
        <v>0</v>
      </c>
      <c r="Z43" s="2334">
        <v>0</v>
      </c>
      <c r="AA43" s="2334">
        <v>0</v>
      </c>
      <c r="AB43" s="2334">
        <v>1900</v>
      </c>
      <c r="AC43" s="2334">
        <v>0</v>
      </c>
      <c r="AD43" s="2334">
        <v>0</v>
      </c>
      <c r="AE43" s="2334">
        <v>0</v>
      </c>
      <c r="AF43" s="2334">
        <v>4324</v>
      </c>
      <c r="AG43" s="2334">
        <v>0</v>
      </c>
      <c r="AH43" s="2335">
        <f t="shared" si="5"/>
        <v>37854</v>
      </c>
      <c r="AI43" s="2264"/>
      <c r="AJ43" s="2264"/>
      <c r="AK43" s="2264"/>
      <c r="AL43" s="2264"/>
    </row>
    <row r="44" spans="1:38" ht="13.8">
      <c r="A44" s="2336" t="s">
        <v>78</v>
      </c>
      <c r="B44" s="2333">
        <f t="shared" si="4"/>
        <v>10.51</v>
      </c>
      <c r="C44" s="2334">
        <v>0</v>
      </c>
      <c r="D44" s="2334">
        <v>0</v>
      </c>
      <c r="E44" s="2334">
        <v>0</v>
      </c>
      <c r="F44" s="2334">
        <v>0</v>
      </c>
      <c r="G44" s="2334">
        <v>0</v>
      </c>
      <c r="H44" s="2334">
        <v>0</v>
      </c>
      <c r="I44" s="2334">
        <v>0</v>
      </c>
      <c r="J44" s="2334">
        <v>0</v>
      </c>
      <c r="K44" s="2334">
        <v>0</v>
      </c>
      <c r="L44" s="2334">
        <v>0</v>
      </c>
      <c r="M44" s="2334">
        <v>0</v>
      </c>
      <c r="N44" s="2334">
        <v>0</v>
      </c>
      <c r="O44" s="2334">
        <v>0</v>
      </c>
      <c r="P44" s="2334">
        <v>0</v>
      </c>
      <c r="Q44" s="2334">
        <v>0</v>
      </c>
      <c r="R44" s="2334">
        <v>1120</v>
      </c>
      <c r="S44" s="2334">
        <v>0</v>
      </c>
      <c r="T44" s="2334">
        <v>0</v>
      </c>
      <c r="U44" s="2334">
        <v>0</v>
      </c>
      <c r="V44" s="2334">
        <v>0</v>
      </c>
      <c r="W44" s="2334">
        <v>0</v>
      </c>
      <c r="X44" s="2334">
        <v>4210</v>
      </c>
      <c r="Y44" s="2334">
        <v>0</v>
      </c>
      <c r="Z44" s="2334">
        <v>1080</v>
      </c>
      <c r="AA44" s="2334">
        <v>0</v>
      </c>
      <c r="AB44" s="2334">
        <v>0</v>
      </c>
      <c r="AC44" s="2334">
        <v>2890</v>
      </c>
      <c r="AD44" s="2334">
        <v>1210</v>
      </c>
      <c r="AE44" s="2334">
        <v>0</v>
      </c>
      <c r="AF44" s="2334">
        <v>0</v>
      </c>
      <c r="AG44" s="2334">
        <v>0</v>
      </c>
      <c r="AH44" s="2335">
        <f t="shared" si="5"/>
        <v>10510</v>
      </c>
      <c r="AI44" s="2264"/>
      <c r="AJ44" s="2264"/>
      <c r="AK44" s="2264"/>
      <c r="AL44" s="2264"/>
    </row>
    <row r="45" spans="1:38" ht="13.8">
      <c r="A45" s="2337" t="s">
        <v>79</v>
      </c>
      <c r="B45" s="2333">
        <f t="shared" si="4"/>
        <v>16.189</v>
      </c>
      <c r="C45" s="2334">
        <v>0</v>
      </c>
      <c r="D45" s="2334">
        <v>9922</v>
      </c>
      <c r="E45" s="2334">
        <v>0</v>
      </c>
      <c r="F45" s="2334">
        <v>0</v>
      </c>
      <c r="G45" s="2334">
        <v>0</v>
      </c>
      <c r="H45" s="2334">
        <v>0</v>
      </c>
      <c r="I45" s="2334">
        <v>0</v>
      </c>
      <c r="J45" s="2334">
        <v>0</v>
      </c>
      <c r="K45" s="2334">
        <v>0</v>
      </c>
      <c r="L45" s="2334">
        <v>0</v>
      </c>
      <c r="M45" s="2334">
        <v>0</v>
      </c>
      <c r="N45" s="2334">
        <v>0</v>
      </c>
      <c r="O45" s="2334">
        <v>0</v>
      </c>
      <c r="P45" s="2334">
        <v>0</v>
      </c>
      <c r="Q45" s="2334">
        <v>0</v>
      </c>
      <c r="R45" s="2334">
        <v>0</v>
      </c>
      <c r="S45" s="2334">
        <v>0</v>
      </c>
      <c r="T45" s="2334">
        <v>0</v>
      </c>
      <c r="U45" s="2334">
        <v>0</v>
      </c>
      <c r="V45" s="2334">
        <v>0</v>
      </c>
      <c r="W45" s="2334">
        <v>0</v>
      </c>
      <c r="X45" s="2334">
        <v>0</v>
      </c>
      <c r="Y45" s="2334">
        <v>0</v>
      </c>
      <c r="Z45" s="2334">
        <v>0</v>
      </c>
      <c r="AA45" s="2334">
        <v>0</v>
      </c>
      <c r="AB45" s="2334">
        <v>0</v>
      </c>
      <c r="AC45" s="2334">
        <v>0</v>
      </c>
      <c r="AD45" s="2334">
        <v>0</v>
      </c>
      <c r="AE45" s="2334">
        <v>3100</v>
      </c>
      <c r="AF45" s="2334">
        <v>3167</v>
      </c>
      <c r="AG45" s="2334">
        <v>0</v>
      </c>
      <c r="AH45" s="2335">
        <f t="shared" si="5"/>
        <v>16189</v>
      </c>
      <c r="AI45" s="2264"/>
      <c r="AJ45" s="2264"/>
      <c r="AK45" s="2264"/>
      <c r="AL45" s="2264"/>
    </row>
    <row r="46" spans="1:38" ht="13.8">
      <c r="A46" s="2337" t="s">
        <v>80</v>
      </c>
      <c r="B46" s="2333">
        <f t="shared" si="4"/>
        <v>8.1999999999999993</v>
      </c>
      <c r="C46" s="2334">
        <v>0</v>
      </c>
      <c r="D46" s="2334">
        <v>0</v>
      </c>
      <c r="E46" s="2334">
        <v>0</v>
      </c>
      <c r="F46" s="2334">
        <v>0</v>
      </c>
      <c r="G46" s="2334">
        <v>0</v>
      </c>
      <c r="H46" s="2334">
        <v>0</v>
      </c>
      <c r="I46" s="2334">
        <v>0</v>
      </c>
      <c r="J46" s="2334">
        <v>0</v>
      </c>
      <c r="K46" s="2334">
        <v>0</v>
      </c>
      <c r="L46" s="2334">
        <v>0</v>
      </c>
      <c r="M46" s="2334">
        <v>0</v>
      </c>
      <c r="N46" s="2334">
        <v>0</v>
      </c>
      <c r="O46" s="2334">
        <v>0</v>
      </c>
      <c r="P46" s="2334">
        <v>0</v>
      </c>
      <c r="Q46" s="2334">
        <v>0</v>
      </c>
      <c r="R46" s="2334">
        <v>0</v>
      </c>
      <c r="S46" s="2334">
        <v>1700</v>
      </c>
      <c r="T46" s="2334">
        <v>0</v>
      </c>
      <c r="U46" s="2334">
        <v>0</v>
      </c>
      <c r="V46" s="2334">
        <v>0</v>
      </c>
      <c r="W46" s="2334">
        <v>0</v>
      </c>
      <c r="X46" s="2334">
        <v>0</v>
      </c>
      <c r="Y46" s="2334">
        <v>0</v>
      </c>
      <c r="Z46" s="2334">
        <v>0</v>
      </c>
      <c r="AA46" s="2334">
        <v>0</v>
      </c>
      <c r="AB46" s="2334">
        <v>0</v>
      </c>
      <c r="AC46" s="2334">
        <v>6500</v>
      </c>
      <c r="AD46" s="2334">
        <v>0</v>
      </c>
      <c r="AE46" s="2334">
        <v>0</v>
      </c>
      <c r="AF46" s="2334">
        <v>0</v>
      </c>
      <c r="AG46" s="2334">
        <v>0</v>
      </c>
      <c r="AH46" s="2335">
        <f t="shared" si="5"/>
        <v>8200</v>
      </c>
      <c r="AI46" s="2264"/>
      <c r="AJ46" s="2264"/>
      <c r="AK46" s="2264"/>
      <c r="AL46" s="2264"/>
    </row>
    <row r="47" spans="1:38" ht="13.8">
      <c r="A47" s="2337" t="s">
        <v>81</v>
      </c>
      <c r="B47" s="2333">
        <f t="shared" si="4"/>
        <v>6.4969999999999999</v>
      </c>
      <c r="C47" s="2334">
        <v>0</v>
      </c>
      <c r="D47" s="2334">
        <v>0</v>
      </c>
      <c r="E47" s="2334">
        <v>1117</v>
      </c>
      <c r="F47" s="2334">
        <v>0</v>
      </c>
      <c r="G47" s="2334">
        <v>0</v>
      </c>
      <c r="H47" s="2334">
        <v>0</v>
      </c>
      <c r="I47" s="2334">
        <v>0</v>
      </c>
      <c r="J47" s="2334">
        <v>0</v>
      </c>
      <c r="K47" s="2334">
        <v>0</v>
      </c>
      <c r="L47" s="2334">
        <v>1000</v>
      </c>
      <c r="M47" s="2334">
        <v>840</v>
      </c>
      <c r="N47" s="2334">
        <v>0</v>
      </c>
      <c r="O47" s="2334">
        <v>0</v>
      </c>
      <c r="P47" s="2334">
        <v>1040</v>
      </c>
      <c r="Q47" s="2334">
        <v>0</v>
      </c>
      <c r="R47" s="2334">
        <v>0</v>
      </c>
      <c r="S47" s="2334">
        <v>0</v>
      </c>
      <c r="T47" s="2334">
        <v>0</v>
      </c>
      <c r="U47" s="2334">
        <v>0</v>
      </c>
      <c r="V47" s="2334">
        <v>0</v>
      </c>
      <c r="W47" s="2334">
        <v>2500</v>
      </c>
      <c r="X47" s="2334">
        <v>0</v>
      </c>
      <c r="Y47" s="2334">
        <v>0</v>
      </c>
      <c r="Z47" s="2334">
        <v>0</v>
      </c>
      <c r="AA47" s="2334">
        <v>0</v>
      </c>
      <c r="AB47" s="2334">
        <v>0</v>
      </c>
      <c r="AC47" s="2334">
        <v>0</v>
      </c>
      <c r="AD47" s="2334">
        <v>0</v>
      </c>
      <c r="AE47" s="2334">
        <v>0</v>
      </c>
      <c r="AF47" s="2334">
        <v>0</v>
      </c>
      <c r="AG47" s="2334">
        <v>0</v>
      </c>
      <c r="AH47" s="2335">
        <f t="shared" si="5"/>
        <v>6497</v>
      </c>
      <c r="AI47" s="2264"/>
      <c r="AJ47" s="2264"/>
      <c r="AK47" s="2264"/>
      <c r="AL47" s="2264"/>
    </row>
    <row r="48" spans="1:38" ht="13.8">
      <c r="A48" s="2338" t="s">
        <v>82</v>
      </c>
      <c r="B48" s="2333">
        <f t="shared" si="4"/>
        <v>0</v>
      </c>
      <c r="C48" s="2334">
        <v>0</v>
      </c>
      <c r="D48" s="2334">
        <v>0</v>
      </c>
      <c r="E48" s="2334">
        <v>0</v>
      </c>
      <c r="F48" s="2334">
        <v>0</v>
      </c>
      <c r="G48" s="2334">
        <v>0</v>
      </c>
      <c r="H48" s="2334">
        <v>0</v>
      </c>
      <c r="I48" s="2334">
        <v>0</v>
      </c>
      <c r="J48" s="2334">
        <v>0</v>
      </c>
      <c r="K48" s="2334">
        <v>0</v>
      </c>
      <c r="L48" s="2334">
        <v>0</v>
      </c>
      <c r="M48" s="2334">
        <v>0</v>
      </c>
      <c r="N48" s="2334">
        <v>0</v>
      </c>
      <c r="O48" s="2334">
        <v>0</v>
      </c>
      <c r="P48" s="2334">
        <v>0</v>
      </c>
      <c r="Q48" s="2334">
        <v>0</v>
      </c>
      <c r="R48" s="2334">
        <v>0</v>
      </c>
      <c r="S48" s="2334">
        <v>0</v>
      </c>
      <c r="T48" s="2334">
        <v>0</v>
      </c>
      <c r="U48" s="2334">
        <v>0</v>
      </c>
      <c r="V48" s="2334">
        <v>0</v>
      </c>
      <c r="W48" s="2334">
        <v>0</v>
      </c>
      <c r="X48" s="2334">
        <v>0</v>
      </c>
      <c r="Y48" s="2334">
        <v>0</v>
      </c>
      <c r="Z48" s="2334">
        <v>0</v>
      </c>
      <c r="AA48" s="2334">
        <v>0</v>
      </c>
      <c r="AB48" s="2334">
        <v>0</v>
      </c>
      <c r="AC48" s="2334">
        <v>0</v>
      </c>
      <c r="AD48" s="2334">
        <v>0</v>
      </c>
      <c r="AE48" s="2334">
        <v>0</v>
      </c>
      <c r="AF48" s="2334">
        <v>0</v>
      </c>
      <c r="AG48" s="2334">
        <v>0</v>
      </c>
      <c r="AH48" s="2335">
        <f t="shared" si="5"/>
        <v>0</v>
      </c>
      <c r="AI48" s="2264"/>
      <c r="AJ48" s="2264"/>
      <c r="AK48" s="2264"/>
      <c r="AL48" s="2264"/>
    </row>
    <row r="49" spans="1:38" ht="13.8">
      <c r="A49" s="2338" t="s">
        <v>83</v>
      </c>
      <c r="B49" s="2333">
        <f t="shared" si="4"/>
        <v>0</v>
      </c>
      <c r="C49" s="2334">
        <v>0</v>
      </c>
      <c r="D49" s="2334">
        <v>0</v>
      </c>
      <c r="E49" s="2334">
        <v>0</v>
      </c>
      <c r="F49" s="2334">
        <v>0</v>
      </c>
      <c r="G49" s="2334">
        <v>0</v>
      </c>
      <c r="H49" s="2334">
        <v>0</v>
      </c>
      <c r="I49" s="2334">
        <v>0</v>
      </c>
      <c r="J49" s="2334">
        <v>0</v>
      </c>
      <c r="K49" s="2334">
        <v>0</v>
      </c>
      <c r="L49" s="2334">
        <v>0</v>
      </c>
      <c r="M49" s="2334">
        <v>0</v>
      </c>
      <c r="N49" s="2334">
        <v>0</v>
      </c>
      <c r="O49" s="2334">
        <v>0</v>
      </c>
      <c r="P49" s="2334">
        <v>0</v>
      </c>
      <c r="Q49" s="2334">
        <v>0</v>
      </c>
      <c r="R49" s="2334">
        <v>0</v>
      </c>
      <c r="S49" s="2334">
        <v>0</v>
      </c>
      <c r="T49" s="2334">
        <v>0</v>
      </c>
      <c r="U49" s="2334">
        <v>0</v>
      </c>
      <c r="V49" s="2334">
        <v>0</v>
      </c>
      <c r="W49" s="2334">
        <v>0</v>
      </c>
      <c r="X49" s="2334">
        <v>0</v>
      </c>
      <c r="Y49" s="2334">
        <v>0</v>
      </c>
      <c r="Z49" s="2334">
        <v>0</v>
      </c>
      <c r="AA49" s="2334">
        <v>0</v>
      </c>
      <c r="AB49" s="2334">
        <v>0</v>
      </c>
      <c r="AC49" s="2334">
        <v>0</v>
      </c>
      <c r="AD49" s="2334">
        <v>0</v>
      </c>
      <c r="AE49" s="2334">
        <v>0</v>
      </c>
      <c r="AF49" s="2334">
        <v>0</v>
      </c>
      <c r="AG49" s="2334">
        <v>0</v>
      </c>
      <c r="AH49" s="2335">
        <f t="shared" si="5"/>
        <v>0</v>
      </c>
      <c r="AI49" s="2335">
        <f>IF('[1]Resumen algas IV reg '!$H$15="","",IF('[1]Resumen algas IV reg '!$H$15&lt;'[1]Algas IV reg '!AJ49,AH49,SUMIFS(C49:AG49,C52:AG52,AK49)))</f>
        <v>0</v>
      </c>
      <c r="AJ49" s="2340">
        <v>41214</v>
      </c>
      <c r="AK49" s="2264">
        <f>IF('[1]Resumen algas IV reg '!$H$15="","",VALUE(DAY('[1]Resumen algas IV reg '!$H$15)))</f>
        <v>0</v>
      </c>
      <c r="AL49" s="2341">
        <f>IF(AI50=0,AI49,AI50)</f>
        <v>0</v>
      </c>
    </row>
    <row r="50" spans="1:38" ht="13.8">
      <c r="A50" s="2338" t="s">
        <v>84</v>
      </c>
      <c r="B50" s="2333">
        <f t="shared" si="4"/>
        <v>0</v>
      </c>
      <c r="C50" s="2334">
        <v>0</v>
      </c>
      <c r="D50" s="2334">
        <v>0</v>
      </c>
      <c r="E50" s="2334">
        <v>0</v>
      </c>
      <c r="F50" s="2334">
        <v>0</v>
      </c>
      <c r="G50" s="2334">
        <v>0</v>
      </c>
      <c r="H50" s="2334">
        <v>0</v>
      </c>
      <c r="I50" s="2334">
        <v>0</v>
      </c>
      <c r="J50" s="2334">
        <v>0</v>
      </c>
      <c r="K50" s="2334">
        <v>0</v>
      </c>
      <c r="L50" s="2334">
        <v>0</v>
      </c>
      <c r="M50" s="2334">
        <v>0</v>
      </c>
      <c r="N50" s="2334">
        <v>0</v>
      </c>
      <c r="O50" s="2334">
        <v>0</v>
      </c>
      <c r="P50" s="2334">
        <v>0</v>
      </c>
      <c r="Q50" s="2334">
        <v>0</v>
      </c>
      <c r="R50" s="2334">
        <v>0</v>
      </c>
      <c r="S50" s="2334">
        <v>0</v>
      </c>
      <c r="T50" s="2334">
        <v>0</v>
      </c>
      <c r="U50" s="2334">
        <v>0</v>
      </c>
      <c r="V50" s="2334">
        <v>0</v>
      </c>
      <c r="W50" s="2334">
        <v>0</v>
      </c>
      <c r="X50" s="2334">
        <v>0</v>
      </c>
      <c r="Y50" s="2334">
        <v>0</v>
      </c>
      <c r="Z50" s="2334">
        <v>0</v>
      </c>
      <c r="AA50" s="2334">
        <v>0</v>
      </c>
      <c r="AB50" s="2334">
        <v>0</v>
      </c>
      <c r="AC50" s="2334">
        <v>0</v>
      </c>
      <c r="AD50" s="2334">
        <v>0</v>
      </c>
      <c r="AE50" s="2334">
        <v>0</v>
      </c>
      <c r="AF50" s="2334">
        <v>0</v>
      </c>
      <c r="AG50" s="2334">
        <v>0</v>
      </c>
      <c r="AH50" s="2335">
        <f t="shared" si="5"/>
        <v>0</v>
      </c>
      <c r="AI50" s="2335">
        <f>IF(AI49="",SUMIFS(N50:AG50,N52:AG52,AK49),AH50+AI49)</f>
        <v>0</v>
      </c>
      <c r="AJ50" s="2340">
        <v>41244</v>
      </c>
      <c r="AK50" s="2264"/>
      <c r="AL50" s="2264"/>
    </row>
    <row r="51" spans="1:38" ht="13.8">
      <c r="A51" s="154" t="s">
        <v>50</v>
      </c>
      <c r="B51" s="2342">
        <f>SUM(B39:B50)</f>
        <v>196.43799999999993</v>
      </c>
      <c r="C51" s="2343">
        <v>0</v>
      </c>
      <c r="D51" s="2343">
        <v>3910</v>
      </c>
      <c r="E51" s="2343">
        <v>0</v>
      </c>
      <c r="F51" s="2343">
        <v>1308</v>
      </c>
      <c r="G51" s="2343">
        <v>0</v>
      </c>
      <c r="H51" s="2343">
        <v>9600</v>
      </c>
      <c r="I51" s="2343">
        <v>4180</v>
      </c>
      <c r="J51" s="2343">
        <v>8340</v>
      </c>
      <c r="K51" s="2343">
        <v>8037</v>
      </c>
      <c r="L51" s="2343">
        <v>7304</v>
      </c>
      <c r="M51" s="2343">
        <v>0</v>
      </c>
      <c r="N51" s="2343">
        <v>0</v>
      </c>
      <c r="O51" s="2343">
        <v>2100</v>
      </c>
      <c r="P51" s="2343">
        <v>2279</v>
      </c>
      <c r="Q51" s="2343">
        <v>0</v>
      </c>
      <c r="R51" s="2343">
        <v>6500</v>
      </c>
      <c r="S51" s="2343">
        <v>0</v>
      </c>
      <c r="T51" s="2343">
        <v>0</v>
      </c>
      <c r="U51" s="2343">
        <v>0</v>
      </c>
      <c r="V51" s="2343">
        <v>0</v>
      </c>
      <c r="W51" s="2343">
        <v>0</v>
      </c>
      <c r="X51" s="2343">
        <v>8627</v>
      </c>
      <c r="Y51" s="2343">
        <v>0</v>
      </c>
      <c r="Z51" s="2343">
        <v>0</v>
      </c>
      <c r="AA51" s="2343">
        <v>0</v>
      </c>
      <c r="AB51" s="2343">
        <v>0</v>
      </c>
      <c r="AC51" s="2343">
        <v>0</v>
      </c>
      <c r="AD51" s="2343">
        <v>0</v>
      </c>
      <c r="AE51" s="2343">
        <v>0</v>
      </c>
      <c r="AF51" s="2343">
        <v>0</v>
      </c>
      <c r="AG51" s="2343">
        <v>0</v>
      </c>
      <c r="AH51" s="2344">
        <f>SUM(AH39:AH50)</f>
        <v>196438</v>
      </c>
      <c r="AI51" s="2264"/>
      <c r="AJ51" s="2264"/>
      <c r="AK51" s="2264"/>
      <c r="AL51" s="2264"/>
    </row>
    <row r="52" spans="1:38" ht="13.2">
      <c r="A52" s="2267"/>
      <c r="B52" s="2267"/>
      <c r="C52" s="2345">
        <v>0</v>
      </c>
      <c r="D52" s="2345">
        <v>0</v>
      </c>
      <c r="E52" s="2345">
        <v>0</v>
      </c>
      <c r="F52" s="2345">
        <v>0</v>
      </c>
      <c r="G52" s="2345">
        <v>0</v>
      </c>
      <c r="H52" s="2345">
        <v>0</v>
      </c>
      <c r="I52" s="2345">
        <v>0</v>
      </c>
      <c r="J52" s="2345">
        <v>0</v>
      </c>
      <c r="K52" s="2345">
        <v>0</v>
      </c>
      <c r="L52" s="2345">
        <v>0</v>
      </c>
      <c r="M52" s="2345">
        <v>0</v>
      </c>
      <c r="N52" s="2345">
        <v>0</v>
      </c>
      <c r="O52" s="2345">
        <v>0</v>
      </c>
      <c r="P52" s="2345">
        <v>0</v>
      </c>
      <c r="Q52" s="2345">
        <v>0</v>
      </c>
      <c r="R52" s="2345">
        <v>0</v>
      </c>
      <c r="S52" s="2345">
        <v>0</v>
      </c>
      <c r="T52" s="2345">
        <v>0</v>
      </c>
      <c r="U52" s="2345">
        <v>0</v>
      </c>
      <c r="V52" s="2345">
        <v>0</v>
      </c>
      <c r="W52" s="2345">
        <v>0</v>
      </c>
      <c r="X52" s="2345">
        <v>0</v>
      </c>
      <c r="Y52" s="2345">
        <v>0</v>
      </c>
      <c r="Z52" s="2345">
        <v>0</v>
      </c>
      <c r="AA52" s="2345">
        <v>0</v>
      </c>
      <c r="AB52" s="2345">
        <v>0</v>
      </c>
      <c r="AC52" s="2345">
        <v>0</v>
      </c>
      <c r="AD52" s="2345">
        <v>0</v>
      </c>
      <c r="AE52" s="2345">
        <v>0</v>
      </c>
      <c r="AF52" s="2345">
        <v>0</v>
      </c>
      <c r="AG52" s="2345">
        <v>0</v>
      </c>
      <c r="AH52" s="2267"/>
      <c r="AI52" s="2264"/>
      <c r="AJ52" s="2264"/>
      <c r="AK52" s="2264"/>
      <c r="AL52" s="2264"/>
    </row>
    <row r="53" spans="1:38" ht="13.2">
      <c r="A53" s="2267"/>
      <c r="B53" s="2267"/>
      <c r="C53" s="2267"/>
      <c r="D53" s="2267"/>
      <c r="E53" s="2267"/>
      <c r="F53" s="2267"/>
      <c r="G53" s="2267"/>
      <c r="H53" s="2267"/>
      <c r="I53" s="2267"/>
      <c r="J53" s="2267"/>
      <c r="K53" s="2267"/>
      <c r="L53" s="2267"/>
      <c r="M53" s="2267"/>
      <c r="N53" s="2267"/>
      <c r="O53" s="2267"/>
      <c r="P53" s="2267"/>
      <c r="Q53" s="2267"/>
      <c r="R53" s="2267"/>
      <c r="S53" s="2267"/>
      <c r="T53" s="2267"/>
      <c r="U53" s="2267"/>
      <c r="V53" s="2267"/>
      <c r="W53" s="2267"/>
      <c r="X53" s="2267"/>
      <c r="Y53" s="2267"/>
      <c r="Z53" s="2267"/>
      <c r="AA53" s="2267"/>
      <c r="AB53" s="2267"/>
      <c r="AC53" s="2267"/>
      <c r="AD53" s="2267"/>
      <c r="AE53" s="2267"/>
      <c r="AF53" s="2267"/>
      <c r="AG53" s="2267"/>
      <c r="AH53" s="2267"/>
      <c r="AI53" s="2264"/>
      <c r="AJ53" s="2264"/>
      <c r="AK53" s="2264"/>
      <c r="AL53" s="2264"/>
    </row>
    <row r="54" spans="1:38" ht="13.8">
      <c r="A54" s="4126" t="s">
        <v>758</v>
      </c>
      <c r="B54" s="4127"/>
      <c r="C54" s="4128"/>
      <c r="D54" s="49"/>
      <c r="E54" s="49"/>
      <c r="F54" s="49"/>
      <c r="G54" s="49"/>
      <c r="H54" s="49"/>
      <c r="I54" s="49"/>
      <c r="J54" s="49"/>
      <c r="K54" s="49"/>
      <c r="L54" s="49"/>
      <c r="M54" s="144"/>
      <c r="N54" s="49"/>
      <c r="O54" s="49"/>
      <c r="P54" s="49"/>
      <c r="Q54" s="49"/>
      <c r="R54" s="49"/>
      <c r="S54" s="49"/>
      <c r="T54" s="49"/>
      <c r="U54" s="49"/>
      <c r="V54" s="49"/>
      <c r="W54" s="49"/>
      <c r="X54" s="49"/>
      <c r="Y54" s="49"/>
      <c r="Z54" s="49"/>
      <c r="AA54" s="49"/>
      <c r="AB54" s="49"/>
      <c r="AC54" s="49"/>
      <c r="AD54" s="49"/>
      <c r="AE54" s="49"/>
      <c r="AF54" s="49"/>
      <c r="AG54" s="49"/>
      <c r="AH54" s="145"/>
      <c r="AI54" s="2264"/>
      <c r="AJ54" s="2264"/>
      <c r="AK54" s="2264"/>
      <c r="AL54" s="2264"/>
    </row>
    <row r="55" spans="1:38" ht="13.8">
      <c r="A55" s="146" t="s">
        <v>70</v>
      </c>
      <c r="B55" s="146" t="s">
        <v>71</v>
      </c>
      <c r="C55" s="147">
        <v>1</v>
      </c>
      <c r="D55" s="147">
        <v>2</v>
      </c>
      <c r="E55" s="147">
        <v>3</v>
      </c>
      <c r="F55" s="147">
        <v>4</v>
      </c>
      <c r="G55" s="147">
        <v>5</v>
      </c>
      <c r="H55" s="147">
        <v>6</v>
      </c>
      <c r="I55" s="147">
        <v>7</v>
      </c>
      <c r="J55" s="147">
        <v>8</v>
      </c>
      <c r="K55" s="147">
        <v>9</v>
      </c>
      <c r="L55" s="147">
        <v>10</v>
      </c>
      <c r="M55" s="147">
        <v>11</v>
      </c>
      <c r="N55" s="147">
        <v>12</v>
      </c>
      <c r="O55" s="147">
        <v>13</v>
      </c>
      <c r="P55" s="147">
        <v>14</v>
      </c>
      <c r="Q55" s="147">
        <v>15</v>
      </c>
      <c r="R55" s="147">
        <v>16</v>
      </c>
      <c r="S55" s="147">
        <v>17</v>
      </c>
      <c r="T55" s="147">
        <v>18</v>
      </c>
      <c r="U55" s="147">
        <v>19</v>
      </c>
      <c r="V55" s="147">
        <v>20</v>
      </c>
      <c r="W55" s="1267">
        <v>21</v>
      </c>
      <c r="X55" s="147">
        <v>22</v>
      </c>
      <c r="Y55" s="147">
        <v>23</v>
      </c>
      <c r="Z55" s="147">
        <v>24</v>
      </c>
      <c r="AA55" s="147">
        <v>25</v>
      </c>
      <c r="AB55" s="147">
        <v>26</v>
      </c>
      <c r="AC55" s="147">
        <v>27</v>
      </c>
      <c r="AD55" s="147">
        <v>28</v>
      </c>
      <c r="AE55" s="147">
        <v>29</v>
      </c>
      <c r="AF55" s="147">
        <v>30</v>
      </c>
      <c r="AG55" s="147">
        <v>31</v>
      </c>
      <c r="AH55" s="149" t="s">
        <v>50</v>
      </c>
      <c r="AI55" s="2264"/>
      <c r="AJ55" s="2264"/>
      <c r="AK55" s="2264"/>
      <c r="AL55" s="2264"/>
    </row>
    <row r="56" spans="1:38" ht="13.8">
      <c r="A56" s="1073" t="s">
        <v>73</v>
      </c>
      <c r="B56" s="2333">
        <f>+AH56/1000</f>
        <v>496.92</v>
      </c>
      <c r="C56" s="2334">
        <v>1809</v>
      </c>
      <c r="D56" s="2334">
        <v>7049</v>
      </c>
      <c r="E56" s="2334">
        <v>842</v>
      </c>
      <c r="F56" s="2334">
        <v>6432</v>
      </c>
      <c r="G56" s="2334">
        <v>11064</v>
      </c>
      <c r="H56" s="2334">
        <v>12707</v>
      </c>
      <c r="I56" s="2334">
        <v>26310</v>
      </c>
      <c r="J56" s="2334">
        <v>21179</v>
      </c>
      <c r="K56" s="2334">
        <v>10836</v>
      </c>
      <c r="L56" s="2334">
        <v>34199</v>
      </c>
      <c r="M56" s="2334">
        <v>37538</v>
      </c>
      <c r="N56" s="2334">
        <v>23954</v>
      </c>
      <c r="O56" s="2334">
        <v>57448</v>
      </c>
      <c r="P56" s="2334">
        <v>38572</v>
      </c>
      <c r="Q56" s="2334">
        <v>26536</v>
      </c>
      <c r="R56" s="2334">
        <v>13265</v>
      </c>
      <c r="S56" s="2334">
        <v>6156</v>
      </c>
      <c r="T56" s="2334">
        <v>20150</v>
      </c>
      <c r="U56" s="2334">
        <v>21631</v>
      </c>
      <c r="V56" s="2334">
        <v>29456</v>
      </c>
      <c r="W56" s="2334">
        <v>20467</v>
      </c>
      <c r="X56" s="2334">
        <v>7204</v>
      </c>
      <c r="Y56" s="2334">
        <v>4499</v>
      </c>
      <c r="Z56" s="2334">
        <v>850</v>
      </c>
      <c r="AA56" s="2334">
        <v>12166</v>
      </c>
      <c r="AB56" s="2334">
        <v>12355</v>
      </c>
      <c r="AC56" s="2334">
        <v>6007</v>
      </c>
      <c r="AD56" s="2334">
        <v>7113</v>
      </c>
      <c r="AE56" s="2334">
        <v>1955</v>
      </c>
      <c r="AF56" s="2334">
        <v>9287</v>
      </c>
      <c r="AG56" s="2334">
        <v>7884</v>
      </c>
      <c r="AH56" s="2335">
        <f>SUM(C56:AG56)</f>
        <v>496920</v>
      </c>
      <c r="AI56" s="2264"/>
      <c r="AJ56" s="2264"/>
      <c r="AK56" s="2264"/>
      <c r="AL56" s="2264"/>
    </row>
    <row r="57" spans="1:38" ht="13.8">
      <c r="A57" s="1073" t="s">
        <v>74</v>
      </c>
      <c r="B57" s="2333">
        <f t="shared" ref="B57:B67" si="6">+AH57/1000</f>
        <v>319.94200000000001</v>
      </c>
      <c r="C57" s="2334">
        <v>3430</v>
      </c>
      <c r="D57" s="2334">
        <v>14880</v>
      </c>
      <c r="E57" s="2334">
        <v>12502</v>
      </c>
      <c r="F57" s="2334">
        <v>22192</v>
      </c>
      <c r="G57" s="2334">
        <v>9946</v>
      </c>
      <c r="H57" s="2334">
        <v>5047</v>
      </c>
      <c r="I57" s="2334">
        <v>6310</v>
      </c>
      <c r="J57" s="2334">
        <v>14125</v>
      </c>
      <c r="K57" s="2334">
        <v>9319</v>
      </c>
      <c r="L57" s="2334">
        <v>9693</v>
      </c>
      <c r="M57" s="2334">
        <v>16474</v>
      </c>
      <c r="N57" s="2334">
        <v>30785</v>
      </c>
      <c r="O57" s="2334">
        <v>9712</v>
      </c>
      <c r="P57" s="2334">
        <v>4228</v>
      </c>
      <c r="Q57" s="2334">
        <v>16945</v>
      </c>
      <c r="R57" s="2334">
        <v>9682</v>
      </c>
      <c r="S57" s="2334">
        <v>4389</v>
      </c>
      <c r="T57" s="2334">
        <v>7496</v>
      </c>
      <c r="U57" s="2334">
        <v>8876</v>
      </c>
      <c r="V57" s="2334">
        <v>22420</v>
      </c>
      <c r="W57" s="2334">
        <v>2656</v>
      </c>
      <c r="X57" s="2334">
        <v>11751</v>
      </c>
      <c r="Y57" s="2334">
        <v>9870</v>
      </c>
      <c r="Z57" s="2334">
        <v>8848</v>
      </c>
      <c r="AA57" s="2334">
        <v>14622</v>
      </c>
      <c r="AB57" s="2334">
        <v>11183</v>
      </c>
      <c r="AC57" s="2334">
        <v>14536</v>
      </c>
      <c r="AD57" s="2334">
        <v>8025</v>
      </c>
      <c r="AE57" s="2334">
        <v>0</v>
      </c>
      <c r="AF57" s="2334">
        <v>0</v>
      </c>
      <c r="AG57" s="2334">
        <v>0</v>
      </c>
      <c r="AH57" s="2335">
        <f>SUM(C57:AG57)</f>
        <v>319942</v>
      </c>
      <c r="AI57" s="2264"/>
      <c r="AJ57" s="2264"/>
      <c r="AK57" s="2264"/>
      <c r="AL57" s="2264"/>
    </row>
    <row r="58" spans="1:38" ht="13.8">
      <c r="A58" s="1073" t="s">
        <v>75</v>
      </c>
      <c r="B58" s="2333">
        <f t="shared" si="6"/>
        <v>625.91999999999996</v>
      </c>
      <c r="C58" s="2334">
        <v>22128</v>
      </c>
      <c r="D58" s="2334">
        <v>21665</v>
      </c>
      <c r="E58" s="2334">
        <v>84221</v>
      </c>
      <c r="F58" s="2334">
        <v>77654</v>
      </c>
      <c r="G58" s="2334">
        <v>28472</v>
      </c>
      <c r="H58" s="2334">
        <v>62350</v>
      </c>
      <c r="I58" s="2334">
        <v>42211</v>
      </c>
      <c r="J58" s="2334">
        <v>15910</v>
      </c>
      <c r="K58" s="2334">
        <v>29783</v>
      </c>
      <c r="L58" s="2334">
        <v>35371</v>
      </c>
      <c r="M58" s="2334">
        <v>28855</v>
      </c>
      <c r="N58" s="2334">
        <v>65473</v>
      </c>
      <c r="O58" s="2334">
        <v>97365</v>
      </c>
      <c r="P58" s="2334">
        <v>3122</v>
      </c>
      <c r="Q58" s="2334">
        <v>0</v>
      </c>
      <c r="R58" s="2334">
        <v>0</v>
      </c>
      <c r="S58" s="2334">
        <v>11340</v>
      </c>
      <c r="T58" s="2334">
        <v>0</v>
      </c>
      <c r="U58" s="2334">
        <v>0</v>
      </c>
      <c r="V58" s="2334">
        <v>0</v>
      </c>
      <c r="W58" s="2334">
        <v>0</v>
      </c>
      <c r="X58" s="2334">
        <v>0</v>
      </c>
      <c r="Y58" s="2334">
        <v>0</v>
      </c>
      <c r="Z58" s="2334">
        <v>0</v>
      </c>
      <c r="AA58" s="2334">
        <v>0</v>
      </c>
      <c r="AB58" s="2334">
        <v>0</v>
      </c>
      <c r="AC58" s="2334">
        <v>0</v>
      </c>
      <c r="AD58" s="2334">
        <v>0</v>
      </c>
      <c r="AE58" s="2334">
        <v>0</v>
      </c>
      <c r="AF58" s="2334">
        <v>0</v>
      </c>
      <c r="AG58" s="2334">
        <v>0</v>
      </c>
      <c r="AH58" s="2335">
        <f>SUM(C58:AG58)</f>
        <v>625920</v>
      </c>
      <c r="AI58" s="2264"/>
      <c r="AJ58" s="2264"/>
      <c r="AK58" s="2264"/>
      <c r="AL58" s="2264"/>
    </row>
    <row r="59" spans="1:38" ht="13.8">
      <c r="A59" s="2336" t="s">
        <v>76</v>
      </c>
      <c r="B59" s="2333">
        <f t="shared" si="6"/>
        <v>1400.047</v>
      </c>
      <c r="C59" s="2334">
        <v>17000</v>
      </c>
      <c r="D59" s="2334">
        <v>25430</v>
      </c>
      <c r="E59" s="2334">
        <v>33567</v>
      </c>
      <c r="F59" s="2334">
        <v>18813</v>
      </c>
      <c r="G59" s="2334">
        <v>52203</v>
      </c>
      <c r="H59" s="2334">
        <v>47385</v>
      </c>
      <c r="I59" s="2334">
        <v>52207</v>
      </c>
      <c r="J59" s="2334">
        <v>40384</v>
      </c>
      <c r="K59" s="2334">
        <v>14068</v>
      </c>
      <c r="L59" s="2334">
        <v>55421</v>
      </c>
      <c r="M59" s="2334">
        <v>11229</v>
      </c>
      <c r="N59" s="2334">
        <v>12688</v>
      </c>
      <c r="O59" s="2334">
        <v>23491</v>
      </c>
      <c r="P59" s="2334">
        <v>47317</v>
      </c>
      <c r="Q59" s="2334">
        <v>79413</v>
      </c>
      <c r="R59" s="2334">
        <v>78182</v>
      </c>
      <c r="S59" s="2334">
        <v>63653</v>
      </c>
      <c r="T59" s="2334">
        <v>23245</v>
      </c>
      <c r="U59" s="2334">
        <v>48371</v>
      </c>
      <c r="V59" s="2334">
        <v>162803</v>
      </c>
      <c r="W59" s="2334">
        <v>160835</v>
      </c>
      <c r="X59" s="2334">
        <v>3270</v>
      </c>
      <c r="Y59" s="2334">
        <v>37337</v>
      </c>
      <c r="Z59" s="2334">
        <v>26532</v>
      </c>
      <c r="AA59" s="2334">
        <v>29360</v>
      </c>
      <c r="AB59" s="2334">
        <v>36746</v>
      </c>
      <c r="AC59" s="2334">
        <v>58557</v>
      </c>
      <c r="AD59" s="2334">
        <v>19328</v>
      </c>
      <c r="AE59" s="2334">
        <v>59281</v>
      </c>
      <c r="AF59" s="2334">
        <v>61931</v>
      </c>
      <c r="AG59" s="2334">
        <v>0</v>
      </c>
      <c r="AH59" s="2335">
        <f t="shared" ref="AH59:AH67" si="7">SUM(C59:AG59)</f>
        <v>1400047</v>
      </c>
      <c r="AI59" s="2264"/>
      <c r="AJ59" s="2264"/>
      <c r="AK59" s="2264"/>
      <c r="AL59" s="2264"/>
    </row>
    <row r="60" spans="1:38" ht="13.8">
      <c r="A60" s="2336" t="s">
        <v>77</v>
      </c>
      <c r="B60" s="2333">
        <f t="shared" si="6"/>
        <v>827.31700000000001</v>
      </c>
      <c r="C60" s="2334">
        <v>31937</v>
      </c>
      <c r="D60" s="2334">
        <v>93458</v>
      </c>
      <c r="E60" s="2334">
        <v>49901</v>
      </c>
      <c r="F60" s="2334">
        <v>24229</v>
      </c>
      <c r="G60" s="2334">
        <v>25957</v>
      </c>
      <c r="H60" s="2334">
        <v>1553</v>
      </c>
      <c r="I60" s="2334">
        <v>13304</v>
      </c>
      <c r="J60" s="2334">
        <v>16042</v>
      </c>
      <c r="K60" s="2334">
        <v>56634</v>
      </c>
      <c r="L60" s="2334">
        <v>36723</v>
      </c>
      <c r="M60" s="2334">
        <v>15565</v>
      </c>
      <c r="N60" s="2334">
        <v>12522</v>
      </c>
      <c r="O60" s="2334">
        <v>29773</v>
      </c>
      <c r="P60" s="2334">
        <v>66544</v>
      </c>
      <c r="Q60" s="2334">
        <v>84729</v>
      </c>
      <c r="R60" s="2334">
        <v>19290</v>
      </c>
      <c r="S60" s="2334">
        <v>15078</v>
      </c>
      <c r="T60" s="2334">
        <v>47267</v>
      </c>
      <c r="U60" s="2334">
        <v>26741</v>
      </c>
      <c r="V60" s="2334">
        <v>26804</v>
      </c>
      <c r="W60" s="2334">
        <v>2517</v>
      </c>
      <c r="X60" s="2334">
        <v>16277</v>
      </c>
      <c r="Y60" s="2334">
        <v>0</v>
      </c>
      <c r="Z60" s="2334">
        <v>10653</v>
      </c>
      <c r="AA60" s="2334">
        <v>31800</v>
      </c>
      <c r="AB60" s="2334">
        <v>22726</v>
      </c>
      <c r="AC60" s="2334">
        <v>12300</v>
      </c>
      <c r="AD60" s="2334">
        <v>14047</v>
      </c>
      <c r="AE60" s="2334">
        <v>9525</v>
      </c>
      <c r="AF60" s="2334">
        <v>6692</v>
      </c>
      <c r="AG60" s="2334">
        <v>6729</v>
      </c>
      <c r="AH60" s="2335">
        <f t="shared" si="7"/>
        <v>827317</v>
      </c>
      <c r="AI60" s="2264"/>
      <c r="AJ60" s="2264"/>
      <c r="AK60" s="2264"/>
      <c r="AL60" s="2264"/>
    </row>
    <row r="61" spans="1:38" ht="13.8">
      <c r="A61" s="2336" t="s">
        <v>78</v>
      </c>
      <c r="B61" s="2333">
        <f t="shared" si="6"/>
        <v>231.351</v>
      </c>
      <c r="C61" s="2334">
        <v>0</v>
      </c>
      <c r="D61" s="2334">
        <v>6112</v>
      </c>
      <c r="E61" s="2334">
        <v>5711</v>
      </c>
      <c r="F61" s="2334">
        <v>7213</v>
      </c>
      <c r="G61" s="2334">
        <v>5375</v>
      </c>
      <c r="H61" s="2334">
        <v>6183</v>
      </c>
      <c r="I61" s="2334">
        <v>8545</v>
      </c>
      <c r="J61" s="2334">
        <v>3426</v>
      </c>
      <c r="K61" s="2334">
        <v>14044</v>
      </c>
      <c r="L61" s="2334">
        <v>14584</v>
      </c>
      <c r="M61" s="2334">
        <v>1638</v>
      </c>
      <c r="N61" s="2334">
        <v>1905</v>
      </c>
      <c r="O61" s="2334">
        <v>821</v>
      </c>
      <c r="P61" s="2334">
        <v>0</v>
      </c>
      <c r="Q61" s="2334">
        <v>11983</v>
      </c>
      <c r="R61" s="2334">
        <v>992</v>
      </c>
      <c r="S61" s="2334">
        <v>11979</v>
      </c>
      <c r="T61" s="2334">
        <v>21543</v>
      </c>
      <c r="U61" s="2334">
        <v>0</v>
      </c>
      <c r="V61" s="2334">
        <v>5371</v>
      </c>
      <c r="W61" s="2334">
        <v>10440</v>
      </c>
      <c r="X61" s="2334">
        <v>8746</v>
      </c>
      <c r="Y61" s="2334">
        <v>7143</v>
      </c>
      <c r="Z61" s="2334">
        <v>23185</v>
      </c>
      <c r="AA61" s="2334">
        <v>4045</v>
      </c>
      <c r="AB61" s="2334">
        <v>20883</v>
      </c>
      <c r="AC61" s="2334">
        <v>4454</v>
      </c>
      <c r="AD61" s="2334">
        <v>10288</v>
      </c>
      <c r="AE61" s="2334">
        <v>586</v>
      </c>
      <c r="AF61" s="2334">
        <v>14156</v>
      </c>
      <c r="AG61" s="2334">
        <v>0</v>
      </c>
      <c r="AH61" s="2335">
        <f>SUM(C61:AG61)</f>
        <v>231351</v>
      </c>
      <c r="AI61" s="2264"/>
      <c r="AJ61" s="2264"/>
      <c r="AK61" s="2264"/>
      <c r="AL61" s="2264"/>
    </row>
    <row r="62" spans="1:38" ht="13.8">
      <c r="A62" s="2337" t="s">
        <v>79</v>
      </c>
      <c r="B62" s="2333">
        <f t="shared" si="6"/>
        <v>240.226</v>
      </c>
      <c r="C62" s="2334">
        <v>8282</v>
      </c>
      <c r="D62" s="2334">
        <v>3973</v>
      </c>
      <c r="E62" s="2334">
        <v>1967</v>
      </c>
      <c r="F62" s="2334">
        <v>5325</v>
      </c>
      <c r="G62" s="2334">
        <v>800</v>
      </c>
      <c r="H62" s="2334">
        <v>8155</v>
      </c>
      <c r="I62" s="2334">
        <v>5057</v>
      </c>
      <c r="J62" s="2334">
        <v>12266</v>
      </c>
      <c r="K62" s="2334">
        <v>16453</v>
      </c>
      <c r="L62" s="2334">
        <v>15834</v>
      </c>
      <c r="M62" s="2334">
        <v>9823</v>
      </c>
      <c r="N62" s="2334">
        <v>19637</v>
      </c>
      <c r="O62" s="2334">
        <v>10204</v>
      </c>
      <c r="P62" s="2334">
        <v>30535</v>
      </c>
      <c r="Q62" s="2334">
        <v>1456</v>
      </c>
      <c r="R62" s="2334">
        <v>1090</v>
      </c>
      <c r="S62" s="2334">
        <v>7174</v>
      </c>
      <c r="T62" s="2334">
        <v>4622</v>
      </c>
      <c r="U62" s="2334">
        <v>4385</v>
      </c>
      <c r="V62" s="2334">
        <v>5787</v>
      </c>
      <c r="W62" s="2334">
        <v>7927</v>
      </c>
      <c r="X62" s="2334">
        <v>3921</v>
      </c>
      <c r="Y62" s="2334">
        <v>0</v>
      </c>
      <c r="Z62" s="2334">
        <v>5993</v>
      </c>
      <c r="AA62" s="2334">
        <v>4270</v>
      </c>
      <c r="AB62" s="2334">
        <v>14137</v>
      </c>
      <c r="AC62" s="2334">
        <v>5009</v>
      </c>
      <c r="AD62" s="2334">
        <v>4165</v>
      </c>
      <c r="AE62" s="2334">
        <v>8289</v>
      </c>
      <c r="AF62" s="2334">
        <v>10640</v>
      </c>
      <c r="AG62" s="2334">
        <v>3050</v>
      </c>
      <c r="AH62" s="2335">
        <f t="shared" si="7"/>
        <v>240226</v>
      </c>
      <c r="AI62" s="2264"/>
      <c r="AJ62" s="2264"/>
      <c r="AK62" s="2264"/>
      <c r="AL62" s="2264"/>
    </row>
    <row r="63" spans="1:38" ht="13.8">
      <c r="A63" s="2337" t="s">
        <v>80</v>
      </c>
      <c r="B63" s="2333">
        <f t="shared" si="6"/>
        <v>133.001</v>
      </c>
      <c r="C63" s="2334">
        <v>4171</v>
      </c>
      <c r="D63" s="2334">
        <v>3708</v>
      </c>
      <c r="E63" s="2334">
        <v>710</v>
      </c>
      <c r="F63" s="2334">
        <v>790</v>
      </c>
      <c r="G63" s="2334">
        <v>300</v>
      </c>
      <c r="H63" s="2334">
        <v>0</v>
      </c>
      <c r="I63" s="2334">
        <v>2312</v>
      </c>
      <c r="J63" s="2334">
        <v>13695</v>
      </c>
      <c r="K63" s="2334">
        <v>0</v>
      </c>
      <c r="L63" s="2334">
        <v>8969</v>
      </c>
      <c r="M63" s="2334">
        <v>5184</v>
      </c>
      <c r="N63" s="2334">
        <v>9223</v>
      </c>
      <c r="O63" s="2334">
        <v>5085</v>
      </c>
      <c r="P63" s="2334">
        <v>0</v>
      </c>
      <c r="Q63" s="2334">
        <v>9502</v>
      </c>
      <c r="R63" s="2334">
        <v>13281</v>
      </c>
      <c r="S63" s="2334">
        <v>13192</v>
      </c>
      <c r="T63" s="2334">
        <v>1300</v>
      </c>
      <c r="U63" s="2334">
        <v>5166</v>
      </c>
      <c r="V63" s="2334">
        <v>3750</v>
      </c>
      <c r="W63" s="2334">
        <v>1372</v>
      </c>
      <c r="X63" s="2334">
        <v>4490</v>
      </c>
      <c r="Y63" s="2334">
        <v>8324</v>
      </c>
      <c r="Z63" s="2334">
        <v>1120</v>
      </c>
      <c r="AA63" s="2334">
        <v>3460</v>
      </c>
      <c r="AB63" s="2334">
        <v>654</v>
      </c>
      <c r="AC63" s="2334">
        <v>6457</v>
      </c>
      <c r="AD63" s="2334">
        <v>0</v>
      </c>
      <c r="AE63" s="2334">
        <v>2600</v>
      </c>
      <c r="AF63" s="2334">
        <v>4186</v>
      </c>
      <c r="AG63" s="2334">
        <v>0</v>
      </c>
      <c r="AH63" s="2335">
        <f t="shared" si="7"/>
        <v>133001</v>
      </c>
      <c r="AI63" s="2264"/>
      <c r="AJ63" s="2264"/>
      <c r="AK63" s="2264"/>
      <c r="AL63" s="2264"/>
    </row>
    <row r="64" spans="1:38" ht="13.8">
      <c r="A64" s="2337" t="s">
        <v>81</v>
      </c>
      <c r="B64" s="2333">
        <f t="shared" si="6"/>
        <v>156.00800000000001</v>
      </c>
      <c r="C64" s="2334">
        <v>4116</v>
      </c>
      <c r="D64" s="2334">
        <v>10133</v>
      </c>
      <c r="E64" s="2334">
        <v>5279</v>
      </c>
      <c r="F64" s="2334">
        <v>0</v>
      </c>
      <c r="G64" s="2334">
        <v>7610</v>
      </c>
      <c r="H64" s="2334">
        <v>2489</v>
      </c>
      <c r="I64" s="2334">
        <v>851</v>
      </c>
      <c r="J64" s="2334">
        <v>4277</v>
      </c>
      <c r="K64" s="2334">
        <v>5412</v>
      </c>
      <c r="L64" s="2334">
        <v>1856</v>
      </c>
      <c r="M64" s="2334">
        <v>10266</v>
      </c>
      <c r="N64" s="2334">
        <v>12150</v>
      </c>
      <c r="O64" s="2334">
        <v>0</v>
      </c>
      <c r="P64" s="2334">
        <v>3790</v>
      </c>
      <c r="Q64" s="2334">
        <v>7206</v>
      </c>
      <c r="R64" s="2334">
        <v>2589</v>
      </c>
      <c r="S64" s="2334">
        <v>2013</v>
      </c>
      <c r="T64" s="2334">
        <v>0</v>
      </c>
      <c r="U64" s="2334">
        <v>0</v>
      </c>
      <c r="V64" s="2334">
        <v>15181</v>
      </c>
      <c r="W64" s="2334">
        <v>2453</v>
      </c>
      <c r="X64" s="2334">
        <v>12442</v>
      </c>
      <c r="Y64" s="2334">
        <v>5683</v>
      </c>
      <c r="Z64" s="2334">
        <v>6502</v>
      </c>
      <c r="AA64" s="2334">
        <v>14315</v>
      </c>
      <c r="AB64" s="2334">
        <v>8417</v>
      </c>
      <c r="AC64" s="2334">
        <v>2880</v>
      </c>
      <c r="AD64" s="2334">
        <v>645</v>
      </c>
      <c r="AE64" s="2334">
        <v>7453</v>
      </c>
      <c r="AF64" s="2334">
        <v>0</v>
      </c>
      <c r="AG64" s="2334">
        <v>0</v>
      </c>
      <c r="AH64" s="2335">
        <f t="shared" si="7"/>
        <v>156008</v>
      </c>
      <c r="AI64" s="2264"/>
      <c r="AJ64" s="2264"/>
      <c r="AK64" s="2264"/>
      <c r="AL64" s="2264"/>
    </row>
    <row r="65" spans="1:38" ht="13.8">
      <c r="A65" s="2338" t="s">
        <v>82</v>
      </c>
      <c r="B65" s="2333">
        <f t="shared" si="6"/>
        <v>0</v>
      </c>
      <c r="C65" s="2334">
        <v>0</v>
      </c>
      <c r="D65" s="2334">
        <v>0</v>
      </c>
      <c r="E65" s="2334">
        <v>0</v>
      </c>
      <c r="F65" s="2334">
        <v>0</v>
      </c>
      <c r="G65" s="2334">
        <v>0</v>
      </c>
      <c r="H65" s="2334">
        <v>0</v>
      </c>
      <c r="I65" s="2334">
        <v>0</v>
      </c>
      <c r="J65" s="2334">
        <v>0</v>
      </c>
      <c r="K65" s="2334">
        <v>0</v>
      </c>
      <c r="L65" s="2334">
        <v>0</v>
      </c>
      <c r="M65" s="2334">
        <v>0</v>
      </c>
      <c r="N65" s="2334">
        <v>0</v>
      </c>
      <c r="O65" s="2334">
        <v>0</v>
      </c>
      <c r="P65" s="2334">
        <v>0</v>
      </c>
      <c r="Q65" s="2334">
        <v>0</v>
      </c>
      <c r="R65" s="2334">
        <v>0</v>
      </c>
      <c r="S65" s="2334">
        <v>0</v>
      </c>
      <c r="T65" s="2334">
        <v>0</v>
      </c>
      <c r="U65" s="2334">
        <v>0</v>
      </c>
      <c r="V65" s="2334">
        <v>0</v>
      </c>
      <c r="W65" s="2334">
        <v>0</v>
      </c>
      <c r="X65" s="2334">
        <v>0</v>
      </c>
      <c r="Y65" s="2334">
        <v>0</v>
      </c>
      <c r="Z65" s="2334">
        <v>0</v>
      </c>
      <c r="AA65" s="2334">
        <v>0</v>
      </c>
      <c r="AB65" s="2334">
        <v>0</v>
      </c>
      <c r="AC65" s="2334">
        <v>0</v>
      </c>
      <c r="AD65" s="2334">
        <v>0</v>
      </c>
      <c r="AE65" s="2334">
        <v>0</v>
      </c>
      <c r="AF65" s="2334">
        <v>0</v>
      </c>
      <c r="AG65" s="2334">
        <v>0</v>
      </c>
      <c r="AH65" s="2335">
        <f t="shared" si="7"/>
        <v>0</v>
      </c>
      <c r="AI65" s="2264"/>
      <c r="AJ65" s="2264"/>
      <c r="AK65" s="2264"/>
      <c r="AL65" s="2264"/>
    </row>
    <row r="66" spans="1:38" ht="13.8">
      <c r="A66" s="2338" t="s">
        <v>83</v>
      </c>
      <c r="B66" s="2333">
        <f t="shared" si="6"/>
        <v>0</v>
      </c>
      <c r="C66" s="2334">
        <v>0</v>
      </c>
      <c r="D66" s="2334">
        <v>0</v>
      </c>
      <c r="E66" s="2334">
        <v>0</v>
      </c>
      <c r="F66" s="2334">
        <v>0</v>
      </c>
      <c r="G66" s="2334">
        <v>0</v>
      </c>
      <c r="H66" s="2334">
        <v>0</v>
      </c>
      <c r="I66" s="2334">
        <v>0</v>
      </c>
      <c r="J66" s="2334">
        <v>0</v>
      </c>
      <c r="K66" s="2334">
        <v>0</v>
      </c>
      <c r="L66" s="2334">
        <v>0</v>
      </c>
      <c r="M66" s="2334">
        <v>0</v>
      </c>
      <c r="N66" s="2334">
        <v>0</v>
      </c>
      <c r="O66" s="2334">
        <v>0</v>
      </c>
      <c r="P66" s="2334">
        <v>0</v>
      </c>
      <c r="Q66" s="2334">
        <v>0</v>
      </c>
      <c r="R66" s="2334">
        <v>0</v>
      </c>
      <c r="S66" s="2334">
        <v>0</v>
      </c>
      <c r="T66" s="2334">
        <v>0</v>
      </c>
      <c r="U66" s="2334">
        <v>0</v>
      </c>
      <c r="V66" s="2334">
        <v>0</v>
      </c>
      <c r="W66" s="2334">
        <v>0</v>
      </c>
      <c r="X66" s="2334">
        <v>0</v>
      </c>
      <c r="Y66" s="2334">
        <v>0</v>
      </c>
      <c r="Z66" s="2334">
        <v>0</v>
      </c>
      <c r="AA66" s="2334">
        <v>0</v>
      </c>
      <c r="AB66" s="2334">
        <v>0</v>
      </c>
      <c r="AC66" s="2334">
        <v>0</v>
      </c>
      <c r="AD66" s="2334">
        <v>0</v>
      </c>
      <c r="AE66" s="2334">
        <v>0</v>
      </c>
      <c r="AF66" s="2334">
        <v>0</v>
      </c>
      <c r="AG66" s="2334">
        <v>0</v>
      </c>
      <c r="AH66" s="2335">
        <f t="shared" si="7"/>
        <v>0</v>
      </c>
      <c r="AI66" s="2335">
        <f>IF('[1]Resumen algas IV reg '!$H$28="","",IF('[1]Resumen algas IV reg '!$H$28&lt;'[1]Algas IV reg '!AJ66,AH66,SUMIFS(C66:AG66,C69:AG69,AK66)))</f>
        <v>0</v>
      </c>
      <c r="AJ66" s="2340">
        <v>41214</v>
      </c>
      <c r="AK66" s="2264">
        <f>IF('[1]Resumen algas IV reg '!$H$28="","",VALUE(DAY('[1]Resumen algas IV reg '!$H$28)))</f>
        <v>30</v>
      </c>
      <c r="AL66" s="2341">
        <f>IF(AI67=0,AI66,AI67)</f>
        <v>0</v>
      </c>
    </row>
    <row r="67" spans="1:38" ht="13.8">
      <c r="A67" s="2338" t="s">
        <v>84</v>
      </c>
      <c r="B67" s="2333">
        <f t="shared" si="6"/>
        <v>0</v>
      </c>
      <c r="C67" s="2334">
        <v>0</v>
      </c>
      <c r="D67" s="2334">
        <v>0</v>
      </c>
      <c r="E67" s="2334">
        <v>0</v>
      </c>
      <c r="F67" s="2334">
        <v>0</v>
      </c>
      <c r="G67" s="2334">
        <v>0</v>
      </c>
      <c r="H67" s="2334">
        <v>0</v>
      </c>
      <c r="I67" s="2334">
        <v>0</v>
      </c>
      <c r="J67" s="2334">
        <v>0</v>
      </c>
      <c r="K67" s="2334">
        <v>0</v>
      </c>
      <c r="L67" s="2334">
        <v>0</v>
      </c>
      <c r="M67" s="2334">
        <v>0</v>
      </c>
      <c r="N67" s="2334">
        <v>0</v>
      </c>
      <c r="O67" s="2334">
        <v>0</v>
      </c>
      <c r="P67" s="2334">
        <v>0</v>
      </c>
      <c r="Q67" s="2334">
        <v>0</v>
      </c>
      <c r="R67" s="2334">
        <v>0</v>
      </c>
      <c r="S67" s="2334">
        <v>0</v>
      </c>
      <c r="T67" s="2334">
        <v>0</v>
      </c>
      <c r="U67" s="2334">
        <v>0</v>
      </c>
      <c r="V67" s="2334">
        <v>0</v>
      </c>
      <c r="W67" s="2334">
        <v>0</v>
      </c>
      <c r="X67" s="2334">
        <v>0</v>
      </c>
      <c r="Y67" s="2334">
        <v>0</v>
      </c>
      <c r="Z67" s="2334">
        <v>0</v>
      </c>
      <c r="AA67" s="2334">
        <v>0</v>
      </c>
      <c r="AB67" s="2334">
        <v>0</v>
      </c>
      <c r="AC67" s="2334">
        <v>0</v>
      </c>
      <c r="AD67" s="2334">
        <v>0</v>
      </c>
      <c r="AE67" s="2334">
        <v>0</v>
      </c>
      <c r="AF67" s="2334">
        <v>0</v>
      </c>
      <c r="AG67" s="2334">
        <v>0</v>
      </c>
      <c r="AH67" s="2335">
        <f t="shared" si="7"/>
        <v>0</v>
      </c>
      <c r="AI67" s="2335">
        <f>IF(AI66="",SUMIFS(N67:AG67,N69:AG69,AK66),AH67+AI66)</f>
        <v>0</v>
      </c>
      <c r="AJ67" s="2340">
        <v>41244</v>
      </c>
      <c r="AK67" s="2264"/>
      <c r="AL67" s="2264"/>
    </row>
    <row r="68" spans="1:38" ht="13.8">
      <c r="A68" s="154" t="s">
        <v>50</v>
      </c>
      <c r="B68" s="2342">
        <f>SUM(B56:B67)</f>
        <v>4430.732</v>
      </c>
      <c r="C68" s="2343">
        <v>1809</v>
      </c>
      <c r="D68" s="2343">
        <v>4902</v>
      </c>
      <c r="E68" s="2343">
        <v>842</v>
      </c>
      <c r="F68" s="2343">
        <v>6432</v>
      </c>
      <c r="G68" s="2343">
        <v>11064</v>
      </c>
      <c r="H68" s="2343">
        <v>12164</v>
      </c>
      <c r="I68" s="2343">
        <v>26310</v>
      </c>
      <c r="J68" s="2343">
        <v>20042</v>
      </c>
      <c r="K68" s="2343">
        <v>10836</v>
      </c>
      <c r="L68" s="2343">
        <v>34199</v>
      </c>
      <c r="M68" s="2343">
        <v>30761</v>
      </c>
      <c r="N68" s="2343">
        <v>23954</v>
      </c>
      <c r="O68" s="2343">
        <v>53646</v>
      </c>
      <c r="P68" s="2343">
        <v>31753</v>
      </c>
      <c r="Q68" s="2343">
        <v>21742</v>
      </c>
      <c r="R68" s="2343">
        <v>13265</v>
      </c>
      <c r="S68" s="2343">
        <v>5893</v>
      </c>
      <c r="T68" s="2343">
        <v>18950</v>
      </c>
      <c r="U68" s="2343">
        <v>21631</v>
      </c>
      <c r="V68" s="2343">
        <v>29456</v>
      </c>
      <c r="W68" s="2343">
        <v>16381</v>
      </c>
      <c r="X68" s="2343">
        <v>1720</v>
      </c>
      <c r="Y68" s="2343">
        <v>0</v>
      </c>
      <c r="Z68" s="2343">
        <v>0</v>
      </c>
      <c r="AA68" s="2343">
        <v>0</v>
      </c>
      <c r="AB68" s="2343">
        <v>0</v>
      </c>
      <c r="AC68" s="2343">
        <v>0</v>
      </c>
      <c r="AD68" s="2343">
        <v>0</v>
      </c>
      <c r="AE68" s="2343">
        <v>0</v>
      </c>
      <c r="AF68" s="2343">
        <v>0</v>
      </c>
      <c r="AG68" s="2343">
        <v>0</v>
      </c>
      <c r="AH68" s="2344">
        <f>SUM(AH56:AH67)</f>
        <v>4430732</v>
      </c>
      <c r="AI68" s="2264"/>
      <c r="AJ68" s="2264"/>
      <c r="AK68" s="2264"/>
      <c r="AL68" s="2264"/>
    </row>
    <row r="69" spans="1:38" ht="13.2">
      <c r="A69" s="2267"/>
      <c r="B69" s="2267"/>
      <c r="C69" s="2345">
        <v>0</v>
      </c>
      <c r="D69" s="2345">
        <v>0</v>
      </c>
      <c r="E69" s="2345">
        <v>0</v>
      </c>
      <c r="F69" s="2345">
        <v>0</v>
      </c>
      <c r="G69" s="2345">
        <v>0</v>
      </c>
      <c r="H69" s="2345">
        <v>0</v>
      </c>
      <c r="I69" s="2345">
        <v>0</v>
      </c>
      <c r="J69" s="2345">
        <v>0</v>
      </c>
      <c r="K69" s="2345">
        <v>0</v>
      </c>
      <c r="L69" s="2345">
        <v>0</v>
      </c>
      <c r="M69" s="2345">
        <v>0</v>
      </c>
      <c r="N69" s="2345">
        <v>0</v>
      </c>
      <c r="O69" s="2345">
        <v>0</v>
      </c>
      <c r="P69" s="2345">
        <v>0</v>
      </c>
      <c r="Q69" s="2345">
        <v>0</v>
      </c>
      <c r="R69" s="2345">
        <v>0</v>
      </c>
      <c r="S69" s="2345">
        <v>0</v>
      </c>
      <c r="T69" s="2345">
        <v>0</v>
      </c>
      <c r="U69" s="2345">
        <v>0</v>
      </c>
      <c r="V69" s="2345">
        <v>0</v>
      </c>
      <c r="W69" s="2345">
        <v>0</v>
      </c>
      <c r="X69" s="2345">
        <v>0</v>
      </c>
      <c r="Y69" s="2345">
        <v>0</v>
      </c>
      <c r="Z69" s="2345">
        <v>0</v>
      </c>
      <c r="AA69" s="2345">
        <v>0</v>
      </c>
      <c r="AB69" s="2345">
        <v>0</v>
      </c>
      <c r="AC69" s="2345">
        <v>0</v>
      </c>
      <c r="AD69" s="2345">
        <v>0</v>
      </c>
      <c r="AE69" s="2345">
        <v>0</v>
      </c>
      <c r="AF69" s="2345">
        <v>0</v>
      </c>
      <c r="AG69" s="2345">
        <v>0</v>
      </c>
      <c r="AH69" s="2267"/>
      <c r="AI69" s="2264"/>
      <c r="AJ69" s="2264"/>
      <c r="AK69" s="2264"/>
      <c r="AL69" s="2264"/>
    </row>
    <row r="70" spans="1:38" ht="13.2">
      <c r="A70" s="2267"/>
      <c r="B70" s="2267"/>
      <c r="C70" s="2267"/>
      <c r="D70" s="2267"/>
      <c r="E70" s="2267"/>
      <c r="F70" s="2267"/>
      <c r="G70" s="2267"/>
      <c r="H70" s="2267"/>
      <c r="I70" s="2267"/>
      <c r="J70" s="2267"/>
      <c r="K70" s="2267"/>
      <c r="L70" s="2267"/>
      <c r="M70" s="2267"/>
      <c r="N70" s="2267"/>
      <c r="O70" s="2267"/>
      <c r="P70" s="2267"/>
      <c r="Q70" s="2267"/>
      <c r="R70" s="2267"/>
      <c r="S70" s="2267"/>
      <c r="T70" s="2267"/>
      <c r="U70" s="2267"/>
      <c r="V70" s="2267"/>
      <c r="W70" s="2267"/>
      <c r="X70" s="2267"/>
      <c r="Y70" s="2267"/>
      <c r="Z70" s="2267"/>
      <c r="AA70" s="2267"/>
      <c r="AB70" s="2267"/>
      <c r="AC70" s="2267"/>
      <c r="AD70" s="2267"/>
      <c r="AE70" s="2267"/>
      <c r="AF70" s="2267"/>
      <c r="AG70" s="2267"/>
      <c r="AH70" s="2267"/>
      <c r="AI70" s="2264"/>
      <c r="AJ70" s="2264"/>
      <c r="AK70" s="2264"/>
      <c r="AL70" s="2264"/>
    </row>
    <row r="71" spans="1:38" ht="13.8">
      <c r="A71" s="4126" t="s">
        <v>759</v>
      </c>
      <c r="B71" s="4127"/>
      <c r="C71" s="4128"/>
      <c r="D71" s="49"/>
      <c r="E71" s="49"/>
      <c r="F71" s="49"/>
      <c r="G71" s="49"/>
      <c r="H71" s="49"/>
      <c r="I71" s="49"/>
      <c r="J71" s="49"/>
      <c r="K71" s="49"/>
      <c r="L71" s="49"/>
      <c r="M71" s="144"/>
      <c r="N71" s="49"/>
      <c r="O71" s="49"/>
      <c r="P71" s="49"/>
      <c r="Q71" s="49"/>
      <c r="R71" s="49"/>
      <c r="S71" s="49"/>
      <c r="T71" s="49"/>
      <c r="U71" s="49"/>
      <c r="V71" s="49"/>
      <c r="W71" s="49"/>
      <c r="X71" s="49"/>
      <c r="Y71" s="49"/>
      <c r="Z71" s="49"/>
      <c r="AA71" s="49"/>
      <c r="AB71" s="49"/>
      <c r="AC71" s="49"/>
      <c r="AD71" s="49"/>
      <c r="AE71" s="49"/>
      <c r="AF71" s="49"/>
      <c r="AG71" s="49"/>
      <c r="AH71" s="145"/>
      <c r="AI71" s="2264"/>
      <c r="AJ71" s="2264"/>
      <c r="AK71" s="2264"/>
      <c r="AL71" s="2264"/>
    </row>
    <row r="72" spans="1:38" ht="13.8">
      <c r="A72" s="146" t="s">
        <v>70</v>
      </c>
      <c r="B72" s="146" t="s">
        <v>71</v>
      </c>
      <c r="C72" s="147">
        <v>1</v>
      </c>
      <c r="D72" s="147">
        <v>2</v>
      </c>
      <c r="E72" s="147">
        <v>3</v>
      </c>
      <c r="F72" s="147">
        <v>4</v>
      </c>
      <c r="G72" s="147">
        <v>5</v>
      </c>
      <c r="H72" s="147">
        <v>6</v>
      </c>
      <c r="I72" s="147">
        <v>7</v>
      </c>
      <c r="J72" s="147">
        <v>8</v>
      </c>
      <c r="K72" s="147">
        <v>9</v>
      </c>
      <c r="L72" s="147">
        <v>10</v>
      </c>
      <c r="M72" s="147">
        <v>11</v>
      </c>
      <c r="N72" s="147">
        <v>12</v>
      </c>
      <c r="O72" s="147">
        <v>13</v>
      </c>
      <c r="P72" s="147">
        <v>14</v>
      </c>
      <c r="Q72" s="147">
        <v>15</v>
      </c>
      <c r="R72" s="147">
        <v>16</v>
      </c>
      <c r="S72" s="147">
        <v>17</v>
      </c>
      <c r="T72" s="147">
        <v>18</v>
      </c>
      <c r="U72" s="147">
        <v>19</v>
      </c>
      <c r="V72" s="147">
        <v>20</v>
      </c>
      <c r="W72" s="1267">
        <v>21</v>
      </c>
      <c r="X72" s="147">
        <v>22</v>
      </c>
      <c r="Y72" s="147">
        <v>23</v>
      </c>
      <c r="Z72" s="147">
        <v>24</v>
      </c>
      <c r="AA72" s="147">
        <v>25</v>
      </c>
      <c r="AB72" s="147">
        <v>26</v>
      </c>
      <c r="AC72" s="147">
        <v>27</v>
      </c>
      <c r="AD72" s="147">
        <v>28</v>
      </c>
      <c r="AE72" s="147">
        <v>29</v>
      </c>
      <c r="AF72" s="147">
        <v>30</v>
      </c>
      <c r="AG72" s="147">
        <v>31</v>
      </c>
      <c r="AH72" s="149" t="s">
        <v>50</v>
      </c>
      <c r="AI72" s="2264"/>
      <c r="AJ72" s="2264"/>
      <c r="AK72" s="2264"/>
      <c r="AL72" s="2264"/>
    </row>
    <row r="73" spans="1:38" ht="13.8">
      <c r="A73" s="1073" t="s">
        <v>73</v>
      </c>
      <c r="B73" s="2333">
        <f>+AH73/1000</f>
        <v>456.185</v>
      </c>
      <c r="C73" s="2334">
        <v>0</v>
      </c>
      <c r="D73" s="2334">
        <v>1887</v>
      </c>
      <c r="E73" s="2334">
        <v>4739</v>
      </c>
      <c r="F73" s="2334">
        <v>1467</v>
      </c>
      <c r="G73" s="2334">
        <v>10491</v>
      </c>
      <c r="H73" s="2334">
        <v>2603</v>
      </c>
      <c r="I73" s="2334">
        <v>6222</v>
      </c>
      <c r="J73" s="2334">
        <v>15077</v>
      </c>
      <c r="K73" s="2334">
        <v>14152</v>
      </c>
      <c r="L73" s="2334">
        <v>3038</v>
      </c>
      <c r="M73" s="2334">
        <v>9711</v>
      </c>
      <c r="N73" s="2334">
        <v>8848</v>
      </c>
      <c r="O73" s="2334">
        <v>10192</v>
      </c>
      <c r="P73" s="2334">
        <v>22449</v>
      </c>
      <c r="Q73" s="2334">
        <v>25998</v>
      </c>
      <c r="R73" s="2334">
        <v>16192</v>
      </c>
      <c r="S73" s="2334">
        <v>20193</v>
      </c>
      <c r="T73" s="2334">
        <v>10363</v>
      </c>
      <c r="U73" s="2334">
        <v>40651</v>
      </c>
      <c r="V73" s="2334">
        <v>23850</v>
      </c>
      <c r="W73" s="2334">
        <v>17329</v>
      </c>
      <c r="X73" s="2334">
        <v>26269</v>
      </c>
      <c r="Y73" s="2334">
        <v>10344</v>
      </c>
      <c r="Z73" s="2334">
        <v>13180</v>
      </c>
      <c r="AA73" s="2334">
        <v>18906</v>
      </c>
      <c r="AB73" s="2334">
        <v>23069</v>
      </c>
      <c r="AC73" s="2334">
        <v>23118</v>
      </c>
      <c r="AD73" s="2334">
        <v>14947</v>
      </c>
      <c r="AE73" s="2334">
        <v>29364</v>
      </c>
      <c r="AF73" s="2334">
        <v>20096</v>
      </c>
      <c r="AG73" s="2334">
        <v>11440</v>
      </c>
      <c r="AH73" s="2335">
        <f>SUM(C73:AG73)</f>
        <v>456185</v>
      </c>
      <c r="AI73" s="2264"/>
      <c r="AJ73" s="2264"/>
      <c r="AK73" s="2264"/>
      <c r="AL73" s="2264"/>
    </row>
    <row r="74" spans="1:38" ht="13.8">
      <c r="A74" s="1073" t="s">
        <v>74</v>
      </c>
      <c r="B74" s="2333">
        <f t="shared" ref="B74:B84" si="8">+AH74/1000</f>
        <v>786.31100000000004</v>
      </c>
      <c r="C74" s="2334">
        <v>7209</v>
      </c>
      <c r="D74" s="2334">
        <v>3081</v>
      </c>
      <c r="E74" s="2334">
        <v>6145</v>
      </c>
      <c r="F74" s="2334">
        <v>33136</v>
      </c>
      <c r="G74" s="2334">
        <v>74146</v>
      </c>
      <c r="H74" s="2334">
        <v>14718</v>
      </c>
      <c r="I74" s="2334">
        <v>58674</v>
      </c>
      <c r="J74" s="2334">
        <v>37073</v>
      </c>
      <c r="K74" s="2334">
        <v>66064</v>
      </c>
      <c r="L74" s="2334">
        <v>72974</v>
      </c>
      <c r="M74" s="2334">
        <v>78169</v>
      </c>
      <c r="N74" s="2334">
        <v>106686</v>
      </c>
      <c r="O74" s="2334">
        <v>105904</v>
      </c>
      <c r="P74" s="2334">
        <v>52843</v>
      </c>
      <c r="Q74" s="2334">
        <v>11862</v>
      </c>
      <c r="R74" s="2334">
        <v>17469</v>
      </c>
      <c r="S74" s="2334">
        <v>37381</v>
      </c>
      <c r="T74" s="2334">
        <v>2777</v>
      </c>
      <c r="U74" s="2334">
        <v>0</v>
      </c>
      <c r="V74" s="2334">
        <v>0</v>
      </c>
      <c r="W74" s="2334">
        <v>0</v>
      </c>
      <c r="X74" s="2334">
        <v>0</v>
      </c>
      <c r="Y74" s="2334">
        <v>0</v>
      </c>
      <c r="Z74" s="2334">
        <v>0</v>
      </c>
      <c r="AA74" s="2334">
        <v>0</v>
      </c>
      <c r="AB74" s="2334">
        <v>0</v>
      </c>
      <c r="AC74" s="2334">
        <v>0</v>
      </c>
      <c r="AD74" s="2334">
        <v>0</v>
      </c>
      <c r="AE74" s="2334">
        <v>0</v>
      </c>
      <c r="AF74" s="2334">
        <v>0</v>
      </c>
      <c r="AG74" s="2334">
        <v>0</v>
      </c>
      <c r="AH74" s="2335">
        <f t="shared" ref="AH74:AH84" si="9">SUM(C74:AG74)</f>
        <v>786311</v>
      </c>
      <c r="AI74" s="2264"/>
      <c r="AJ74" s="2264"/>
      <c r="AK74" s="2264"/>
      <c r="AL74" s="2264"/>
    </row>
    <row r="75" spans="1:38" ht="13.8">
      <c r="A75" s="1073" t="s">
        <v>75</v>
      </c>
      <c r="B75" s="2333">
        <f t="shared" si="8"/>
        <v>0</v>
      </c>
      <c r="C75" s="2334">
        <v>0</v>
      </c>
      <c r="D75" s="2334">
        <v>0</v>
      </c>
      <c r="E75" s="2334">
        <v>0</v>
      </c>
      <c r="F75" s="2334">
        <v>0</v>
      </c>
      <c r="G75" s="2334">
        <v>0</v>
      </c>
      <c r="H75" s="2334">
        <v>0</v>
      </c>
      <c r="I75" s="2334">
        <v>0</v>
      </c>
      <c r="J75" s="2334">
        <v>0</v>
      </c>
      <c r="K75" s="2334">
        <v>0</v>
      </c>
      <c r="L75" s="2334">
        <v>0</v>
      </c>
      <c r="M75" s="2334">
        <v>0</v>
      </c>
      <c r="N75" s="2334">
        <v>0</v>
      </c>
      <c r="O75" s="2334">
        <v>0</v>
      </c>
      <c r="P75" s="2334">
        <v>0</v>
      </c>
      <c r="Q75" s="2334">
        <v>0</v>
      </c>
      <c r="R75" s="2334">
        <v>0</v>
      </c>
      <c r="S75" s="2334">
        <v>0</v>
      </c>
      <c r="T75" s="2334">
        <v>0</v>
      </c>
      <c r="U75" s="2334">
        <v>0</v>
      </c>
      <c r="V75" s="2334">
        <v>0</v>
      </c>
      <c r="W75" s="2334">
        <v>0</v>
      </c>
      <c r="X75" s="2334">
        <v>0</v>
      </c>
      <c r="Y75" s="2334">
        <v>0</v>
      </c>
      <c r="Z75" s="2334">
        <v>0</v>
      </c>
      <c r="AA75" s="2334">
        <v>0</v>
      </c>
      <c r="AB75" s="2334">
        <v>0</v>
      </c>
      <c r="AC75" s="2334">
        <v>0</v>
      </c>
      <c r="AD75" s="2334">
        <v>0</v>
      </c>
      <c r="AE75" s="2334">
        <v>0</v>
      </c>
      <c r="AF75" s="2334">
        <v>0</v>
      </c>
      <c r="AG75" s="2334">
        <v>0</v>
      </c>
      <c r="AH75" s="2335">
        <f t="shared" si="9"/>
        <v>0</v>
      </c>
      <c r="AI75" s="2264"/>
      <c r="AJ75" s="2264"/>
      <c r="AK75" s="2264"/>
      <c r="AL75" s="2264"/>
    </row>
    <row r="76" spans="1:38" ht="13.8">
      <c r="A76" s="2336" t="s">
        <v>76</v>
      </c>
      <c r="B76" s="2333">
        <f t="shared" si="8"/>
        <v>626.35400000000004</v>
      </c>
      <c r="C76" s="2334">
        <v>29237</v>
      </c>
      <c r="D76" s="2334">
        <v>15163</v>
      </c>
      <c r="E76" s="2334">
        <v>15520</v>
      </c>
      <c r="F76" s="2334">
        <v>28488</v>
      </c>
      <c r="G76" s="2334">
        <v>19307</v>
      </c>
      <c r="H76" s="2334">
        <v>19273</v>
      </c>
      <c r="I76" s="2334">
        <v>37185</v>
      </c>
      <c r="J76" s="2334">
        <v>24342</v>
      </c>
      <c r="K76" s="2334">
        <v>22972</v>
      </c>
      <c r="L76" s="2334">
        <v>16965</v>
      </c>
      <c r="M76" s="2334">
        <v>4718</v>
      </c>
      <c r="N76" s="2334">
        <v>3702</v>
      </c>
      <c r="O76" s="2334">
        <v>11076</v>
      </c>
      <c r="P76" s="2334">
        <v>14584</v>
      </c>
      <c r="Q76" s="2334">
        <v>14347</v>
      </c>
      <c r="R76" s="2334">
        <v>31538</v>
      </c>
      <c r="S76" s="2334">
        <v>22224</v>
      </c>
      <c r="T76" s="2334">
        <v>4962</v>
      </c>
      <c r="U76" s="2334">
        <v>10041</v>
      </c>
      <c r="V76" s="2334">
        <v>11559</v>
      </c>
      <c r="W76" s="2334">
        <v>12226</v>
      </c>
      <c r="X76" s="2334">
        <v>34583</v>
      </c>
      <c r="Y76" s="2334">
        <v>73561</v>
      </c>
      <c r="Z76" s="2334">
        <v>27332</v>
      </c>
      <c r="AA76" s="2334">
        <v>22735</v>
      </c>
      <c r="AB76" s="2334">
        <v>37069</v>
      </c>
      <c r="AC76" s="2334">
        <v>28993</v>
      </c>
      <c r="AD76" s="2334">
        <v>7306</v>
      </c>
      <c r="AE76" s="2334">
        <v>7240</v>
      </c>
      <c r="AF76" s="2334">
        <v>18106</v>
      </c>
      <c r="AG76" s="2334">
        <v>0</v>
      </c>
      <c r="AH76" s="2335">
        <f t="shared" si="9"/>
        <v>626354</v>
      </c>
      <c r="AI76" s="2264"/>
      <c r="AJ76" s="2264"/>
      <c r="AK76" s="2264"/>
      <c r="AL76" s="2264"/>
    </row>
    <row r="77" spans="1:38" ht="13.8">
      <c r="A77" s="2336" t="s">
        <v>77</v>
      </c>
      <c r="B77" s="2333">
        <f t="shared" si="8"/>
        <v>682.24</v>
      </c>
      <c r="C77" s="2334">
        <v>22374</v>
      </c>
      <c r="D77" s="2334">
        <v>32053</v>
      </c>
      <c r="E77" s="2334">
        <v>47596</v>
      </c>
      <c r="F77" s="2334">
        <v>25127</v>
      </c>
      <c r="G77" s="2334">
        <v>24054</v>
      </c>
      <c r="H77" s="2334">
        <v>7626</v>
      </c>
      <c r="I77" s="2334">
        <v>14757</v>
      </c>
      <c r="J77" s="2334">
        <v>42068</v>
      </c>
      <c r="K77" s="2334">
        <v>21341</v>
      </c>
      <c r="L77" s="2334">
        <v>42580</v>
      </c>
      <c r="M77" s="2334">
        <v>30086</v>
      </c>
      <c r="N77" s="2334">
        <v>40975</v>
      </c>
      <c r="O77" s="2334">
        <v>62621</v>
      </c>
      <c r="P77" s="2334">
        <v>65503</v>
      </c>
      <c r="Q77" s="2334">
        <v>46274</v>
      </c>
      <c r="R77" s="2334">
        <v>10736</v>
      </c>
      <c r="S77" s="2334">
        <v>5774</v>
      </c>
      <c r="T77" s="2334">
        <v>30186</v>
      </c>
      <c r="U77" s="2334">
        <v>8711</v>
      </c>
      <c r="V77" s="2334">
        <v>14511</v>
      </c>
      <c r="W77" s="2334">
        <v>5081</v>
      </c>
      <c r="X77" s="2334">
        <v>5442</v>
      </c>
      <c r="Y77" s="2334">
        <v>2049</v>
      </c>
      <c r="Z77" s="2334">
        <v>13140</v>
      </c>
      <c r="AA77" s="2334">
        <v>14897</v>
      </c>
      <c r="AB77" s="2334">
        <v>6467</v>
      </c>
      <c r="AC77" s="2334">
        <v>6675</v>
      </c>
      <c r="AD77" s="2334">
        <v>13585</v>
      </c>
      <c r="AE77" s="2334">
        <v>9880</v>
      </c>
      <c r="AF77" s="2334">
        <v>2863</v>
      </c>
      <c r="AG77" s="2334">
        <v>7208</v>
      </c>
      <c r="AH77" s="2335">
        <f t="shared" si="9"/>
        <v>682240</v>
      </c>
      <c r="AI77" s="2264"/>
      <c r="AJ77" s="2264"/>
      <c r="AK77" s="2264"/>
      <c r="AL77" s="2264"/>
    </row>
    <row r="78" spans="1:38" ht="13.8">
      <c r="A78" s="2336" t="s">
        <v>78</v>
      </c>
      <c r="B78" s="2333">
        <f t="shared" si="8"/>
        <v>158.447</v>
      </c>
      <c r="C78" s="2334">
        <v>0</v>
      </c>
      <c r="D78" s="2334">
        <v>3160</v>
      </c>
      <c r="E78" s="2334">
        <v>901</v>
      </c>
      <c r="F78" s="2334">
        <v>5848</v>
      </c>
      <c r="G78" s="2334">
        <v>15672</v>
      </c>
      <c r="H78" s="2334">
        <v>2143</v>
      </c>
      <c r="I78" s="2334">
        <v>3666</v>
      </c>
      <c r="J78" s="2334">
        <v>2752</v>
      </c>
      <c r="K78" s="2334">
        <v>5201</v>
      </c>
      <c r="L78" s="2334">
        <v>8248</v>
      </c>
      <c r="M78" s="2334">
        <v>2596</v>
      </c>
      <c r="N78" s="2334">
        <v>987</v>
      </c>
      <c r="O78" s="2334">
        <v>1923</v>
      </c>
      <c r="P78" s="2334">
        <v>0</v>
      </c>
      <c r="Q78" s="2334">
        <v>7097</v>
      </c>
      <c r="R78" s="2334">
        <v>363</v>
      </c>
      <c r="S78" s="2334">
        <v>4018</v>
      </c>
      <c r="T78" s="2334">
        <v>11240</v>
      </c>
      <c r="U78" s="2334">
        <v>2647</v>
      </c>
      <c r="V78" s="2334">
        <v>3054</v>
      </c>
      <c r="W78" s="2334">
        <v>9980</v>
      </c>
      <c r="X78" s="2334">
        <v>7761</v>
      </c>
      <c r="Y78" s="2334">
        <v>3992</v>
      </c>
      <c r="Z78" s="2334">
        <v>10940</v>
      </c>
      <c r="AA78" s="2334">
        <v>1702</v>
      </c>
      <c r="AB78" s="2334">
        <v>16843</v>
      </c>
      <c r="AC78" s="2334">
        <v>7654</v>
      </c>
      <c r="AD78" s="2334">
        <v>8542</v>
      </c>
      <c r="AE78" s="2334">
        <v>1956</v>
      </c>
      <c r="AF78" s="2334">
        <v>7561</v>
      </c>
      <c r="AG78" s="2334">
        <v>0</v>
      </c>
      <c r="AH78" s="2335">
        <f t="shared" si="9"/>
        <v>158447</v>
      </c>
      <c r="AI78" s="2264"/>
      <c r="AJ78" s="2264"/>
      <c r="AK78" s="2264"/>
      <c r="AL78" s="2264"/>
    </row>
    <row r="79" spans="1:38" ht="13.8">
      <c r="A79" s="2337" t="s">
        <v>79</v>
      </c>
      <c r="B79" s="2333">
        <f t="shared" si="8"/>
        <v>920.61699999999996</v>
      </c>
      <c r="C79" s="2334">
        <v>13189</v>
      </c>
      <c r="D79" s="2334">
        <v>23225</v>
      </c>
      <c r="E79" s="2334">
        <v>29680</v>
      </c>
      <c r="F79" s="2334">
        <v>74297</v>
      </c>
      <c r="G79" s="2334">
        <v>76309</v>
      </c>
      <c r="H79" s="2334">
        <v>34753</v>
      </c>
      <c r="I79" s="2334">
        <v>34080</v>
      </c>
      <c r="J79" s="2334">
        <v>41954</v>
      </c>
      <c r="K79" s="2334">
        <v>65175</v>
      </c>
      <c r="L79" s="2334">
        <v>67262</v>
      </c>
      <c r="M79" s="2334">
        <v>37796</v>
      </c>
      <c r="N79" s="2334">
        <v>38779</v>
      </c>
      <c r="O79" s="2334">
        <v>37810</v>
      </c>
      <c r="P79" s="2334">
        <v>47557</v>
      </c>
      <c r="Q79" s="2334">
        <v>29470</v>
      </c>
      <c r="R79" s="2334">
        <v>2670</v>
      </c>
      <c r="S79" s="2334">
        <v>3943</v>
      </c>
      <c r="T79" s="2334">
        <v>18109</v>
      </c>
      <c r="U79" s="2334">
        <v>41290</v>
      </c>
      <c r="V79" s="2334">
        <v>41142</v>
      </c>
      <c r="W79" s="2334">
        <v>63375</v>
      </c>
      <c r="X79" s="2334">
        <v>11180</v>
      </c>
      <c r="Y79" s="2334">
        <v>8860</v>
      </c>
      <c r="Z79" s="2334">
        <v>0</v>
      </c>
      <c r="AA79" s="2334">
        <v>3012</v>
      </c>
      <c r="AB79" s="2334">
        <v>19228</v>
      </c>
      <c r="AC79" s="2334">
        <v>19645</v>
      </c>
      <c r="AD79" s="2334">
        <v>16106</v>
      </c>
      <c r="AE79" s="2334">
        <v>5652</v>
      </c>
      <c r="AF79" s="2334">
        <v>12919</v>
      </c>
      <c r="AG79" s="2334">
        <v>2150</v>
      </c>
      <c r="AH79" s="2335">
        <f t="shared" si="9"/>
        <v>920617</v>
      </c>
      <c r="AI79" s="2264"/>
      <c r="AJ79" s="2264"/>
      <c r="AK79" s="2264"/>
      <c r="AL79" s="2264"/>
    </row>
    <row r="80" spans="1:38" ht="13.8">
      <c r="A80" s="2337" t="s">
        <v>80</v>
      </c>
      <c r="B80" s="2333">
        <f t="shared" si="8"/>
        <v>113.74299999999999</v>
      </c>
      <c r="C80" s="2334">
        <v>3039</v>
      </c>
      <c r="D80" s="2334">
        <v>3956</v>
      </c>
      <c r="E80" s="2334">
        <v>1394</v>
      </c>
      <c r="F80" s="2334">
        <v>2100</v>
      </c>
      <c r="G80" s="2334">
        <v>2450</v>
      </c>
      <c r="H80" s="2334">
        <v>2129</v>
      </c>
      <c r="I80" s="2334">
        <v>0</v>
      </c>
      <c r="J80" s="2334">
        <v>7270</v>
      </c>
      <c r="K80" s="2334">
        <v>2215</v>
      </c>
      <c r="L80" s="2334">
        <v>4876</v>
      </c>
      <c r="M80" s="2334">
        <v>10958</v>
      </c>
      <c r="N80" s="2334">
        <v>4752</v>
      </c>
      <c r="O80" s="2334">
        <v>1026</v>
      </c>
      <c r="P80" s="2334">
        <v>0</v>
      </c>
      <c r="Q80" s="2334">
        <v>2572</v>
      </c>
      <c r="R80" s="2334">
        <v>10395</v>
      </c>
      <c r="S80" s="2334">
        <v>9374</v>
      </c>
      <c r="T80" s="2334">
        <v>3380</v>
      </c>
      <c r="U80" s="2334">
        <v>8104</v>
      </c>
      <c r="V80" s="2334">
        <v>3175</v>
      </c>
      <c r="W80" s="2334">
        <v>904</v>
      </c>
      <c r="X80" s="2334">
        <v>5630</v>
      </c>
      <c r="Y80" s="2334">
        <v>2636</v>
      </c>
      <c r="Z80" s="2334">
        <v>0</v>
      </c>
      <c r="AA80" s="2334">
        <v>3045</v>
      </c>
      <c r="AB80" s="2334">
        <v>925</v>
      </c>
      <c r="AC80" s="2334">
        <v>9805</v>
      </c>
      <c r="AD80" s="2334">
        <v>1650</v>
      </c>
      <c r="AE80" s="2334">
        <v>1344</v>
      </c>
      <c r="AF80" s="2334">
        <v>4639</v>
      </c>
      <c r="AG80" s="2334">
        <v>0</v>
      </c>
      <c r="AH80" s="2335">
        <f t="shared" si="9"/>
        <v>113743</v>
      </c>
      <c r="AI80" s="2264"/>
      <c r="AJ80" s="2264"/>
      <c r="AK80" s="2264"/>
      <c r="AL80" s="2264"/>
    </row>
    <row r="81" spans="1:38" ht="13.8">
      <c r="A81" s="2337" t="s">
        <v>81</v>
      </c>
      <c r="B81" s="2333">
        <f t="shared" si="8"/>
        <v>97.858999999999995</v>
      </c>
      <c r="C81" s="2334">
        <v>10876</v>
      </c>
      <c r="D81" s="2334">
        <v>2645</v>
      </c>
      <c r="E81" s="2334">
        <v>4610</v>
      </c>
      <c r="F81" s="2334">
        <v>0</v>
      </c>
      <c r="G81" s="2334">
        <v>522</v>
      </c>
      <c r="H81" s="2334">
        <v>2463</v>
      </c>
      <c r="I81" s="2334">
        <v>1638</v>
      </c>
      <c r="J81" s="2334">
        <v>12238</v>
      </c>
      <c r="K81" s="2334">
        <v>2590</v>
      </c>
      <c r="L81" s="2334">
        <v>2044</v>
      </c>
      <c r="M81" s="2334">
        <v>7124</v>
      </c>
      <c r="N81" s="2334">
        <v>1753</v>
      </c>
      <c r="O81" s="2334">
        <v>0</v>
      </c>
      <c r="P81" s="2334">
        <v>7342</v>
      </c>
      <c r="Q81" s="2334">
        <v>600</v>
      </c>
      <c r="R81" s="2334">
        <v>3563</v>
      </c>
      <c r="S81" s="2334">
        <v>3670</v>
      </c>
      <c r="T81" s="2334">
        <v>0</v>
      </c>
      <c r="U81" s="2334">
        <v>0</v>
      </c>
      <c r="V81" s="2334">
        <v>11046</v>
      </c>
      <c r="W81" s="2334">
        <v>971</v>
      </c>
      <c r="X81" s="2334">
        <v>3246</v>
      </c>
      <c r="Y81" s="2334">
        <v>772</v>
      </c>
      <c r="Z81" s="2334">
        <v>1450</v>
      </c>
      <c r="AA81" s="2334">
        <v>12295</v>
      </c>
      <c r="AB81" s="2334">
        <v>2465</v>
      </c>
      <c r="AC81" s="2334">
        <v>0</v>
      </c>
      <c r="AD81" s="2334">
        <v>1936</v>
      </c>
      <c r="AE81" s="2334">
        <v>0</v>
      </c>
      <c r="AF81" s="2334">
        <v>0</v>
      </c>
      <c r="AG81" s="2334">
        <v>0</v>
      </c>
      <c r="AH81" s="2335">
        <f t="shared" si="9"/>
        <v>97859</v>
      </c>
      <c r="AI81" s="2264"/>
      <c r="AJ81" s="2264"/>
      <c r="AK81" s="2264"/>
      <c r="AL81" s="2264"/>
    </row>
    <row r="82" spans="1:38" ht="13.8">
      <c r="A82" s="2338" t="s">
        <v>82</v>
      </c>
      <c r="B82" s="2333">
        <f t="shared" si="8"/>
        <v>0</v>
      </c>
      <c r="C82" s="2334">
        <v>0</v>
      </c>
      <c r="D82" s="2334">
        <v>0</v>
      </c>
      <c r="E82" s="2334">
        <v>0</v>
      </c>
      <c r="F82" s="2334">
        <v>0</v>
      </c>
      <c r="G82" s="2334">
        <v>0</v>
      </c>
      <c r="H82" s="2334">
        <v>0</v>
      </c>
      <c r="I82" s="2334">
        <v>0</v>
      </c>
      <c r="J82" s="2334">
        <v>0</v>
      </c>
      <c r="K82" s="2334">
        <v>0</v>
      </c>
      <c r="L82" s="2334">
        <v>0</v>
      </c>
      <c r="M82" s="2334">
        <v>0</v>
      </c>
      <c r="N82" s="2334">
        <v>0</v>
      </c>
      <c r="O82" s="2334">
        <v>0</v>
      </c>
      <c r="P82" s="2334">
        <v>0</v>
      </c>
      <c r="Q82" s="2334">
        <v>0</v>
      </c>
      <c r="R82" s="2334">
        <v>0</v>
      </c>
      <c r="S82" s="2334">
        <v>0</v>
      </c>
      <c r="T82" s="2334">
        <v>0</v>
      </c>
      <c r="U82" s="2334">
        <v>0</v>
      </c>
      <c r="V82" s="2334">
        <v>0</v>
      </c>
      <c r="W82" s="2334">
        <v>0</v>
      </c>
      <c r="X82" s="2334">
        <v>0</v>
      </c>
      <c r="Y82" s="2334">
        <v>0</v>
      </c>
      <c r="Z82" s="2334">
        <v>0</v>
      </c>
      <c r="AA82" s="2334">
        <v>0</v>
      </c>
      <c r="AB82" s="2334">
        <v>0</v>
      </c>
      <c r="AC82" s="2334">
        <v>0</v>
      </c>
      <c r="AD82" s="2334">
        <v>0</v>
      </c>
      <c r="AE82" s="2334">
        <v>0</v>
      </c>
      <c r="AF82" s="2334">
        <v>0</v>
      </c>
      <c r="AG82" s="2334">
        <v>0</v>
      </c>
      <c r="AH82" s="2335">
        <f t="shared" si="9"/>
        <v>0</v>
      </c>
      <c r="AI82" s="2264"/>
      <c r="AJ82" s="2264"/>
      <c r="AK82" s="2264"/>
      <c r="AL82" s="2264"/>
    </row>
    <row r="83" spans="1:38" ht="13.8">
      <c r="A83" s="2338" t="s">
        <v>83</v>
      </c>
      <c r="B83" s="2333">
        <f t="shared" si="8"/>
        <v>0</v>
      </c>
      <c r="C83" s="2334">
        <v>0</v>
      </c>
      <c r="D83" s="2334">
        <v>0</v>
      </c>
      <c r="E83" s="2334">
        <v>0</v>
      </c>
      <c r="F83" s="2334">
        <v>0</v>
      </c>
      <c r="G83" s="2334">
        <v>0</v>
      </c>
      <c r="H83" s="2334">
        <v>0</v>
      </c>
      <c r="I83" s="2334">
        <v>0</v>
      </c>
      <c r="J83" s="2334">
        <v>0</v>
      </c>
      <c r="K83" s="2334">
        <v>0</v>
      </c>
      <c r="L83" s="2334">
        <v>0</v>
      </c>
      <c r="M83" s="2334">
        <v>0</v>
      </c>
      <c r="N83" s="2334">
        <v>0</v>
      </c>
      <c r="O83" s="2334">
        <v>0</v>
      </c>
      <c r="P83" s="2334">
        <v>0</v>
      </c>
      <c r="Q83" s="2334">
        <v>0</v>
      </c>
      <c r="R83" s="2334">
        <v>0</v>
      </c>
      <c r="S83" s="2334">
        <v>0</v>
      </c>
      <c r="T83" s="2334">
        <v>0</v>
      </c>
      <c r="U83" s="2334">
        <v>0</v>
      </c>
      <c r="V83" s="2334">
        <v>0</v>
      </c>
      <c r="W83" s="2334">
        <v>0</v>
      </c>
      <c r="X83" s="2334">
        <v>0</v>
      </c>
      <c r="Y83" s="2334">
        <v>0</v>
      </c>
      <c r="Z83" s="2334">
        <v>0</v>
      </c>
      <c r="AA83" s="2334">
        <v>0</v>
      </c>
      <c r="AB83" s="2334">
        <v>0</v>
      </c>
      <c r="AC83" s="2334">
        <v>0</v>
      </c>
      <c r="AD83" s="2334">
        <v>0</v>
      </c>
      <c r="AE83" s="2334">
        <v>0</v>
      </c>
      <c r="AF83" s="2334">
        <v>0</v>
      </c>
      <c r="AG83" s="2334">
        <v>0</v>
      </c>
      <c r="AH83" s="2335">
        <f t="shared" si="9"/>
        <v>0</v>
      </c>
      <c r="AI83" s="2335">
        <f>IF('[1]Resumen algas IV reg '!$H$29="","",IF('[1]Resumen algas IV reg '!$H$29&lt;'[1]Algas IV reg '!AJ83,AH83,SUMIFS(C83:AG83,C86:AG86,AK83)))</f>
        <v>0</v>
      </c>
      <c r="AJ83" s="2340">
        <v>41214</v>
      </c>
      <c r="AK83" s="2264">
        <f>IF('[1]Resumen algas IV reg '!$H$29="","",VALUE(DAY('[1]Resumen algas IV reg '!$H$29)))</f>
        <v>0</v>
      </c>
      <c r="AL83" s="2341">
        <f>IF(AI84=0,AI83,AI84)</f>
        <v>0</v>
      </c>
    </row>
    <row r="84" spans="1:38" ht="13.8">
      <c r="A84" s="2338" t="s">
        <v>84</v>
      </c>
      <c r="B84" s="2333">
        <f t="shared" si="8"/>
        <v>0</v>
      </c>
      <c r="C84" s="2334">
        <v>0</v>
      </c>
      <c r="D84" s="2334">
        <v>0</v>
      </c>
      <c r="E84" s="2334">
        <v>0</v>
      </c>
      <c r="F84" s="2334">
        <v>0</v>
      </c>
      <c r="G84" s="2334">
        <v>0</v>
      </c>
      <c r="H84" s="2334">
        <v>0</v>
      </c>
      <c r="I84" s="2334">
        <v>0</v>
      </c>
      <c r="J84" s="2334">
        <v>0</v>
      </c>
      <c r="K84" s="2334">
        <v>0</v>
      </c>
      <c r="L84" s="2334">
        <v>0</v>
      </c>
      <c r="M84" s="2334">
        <v>0</v>
      </c>
      <c r="N84" s="2334">
        <v>0</v>
      </c>
      <c r="O84" s="2334">
        <v>0</v>
      </c>
      <c r="P84" s="2334">
        <v>0</v>
      </c>
      <c r="Q84" s="2334">
        <v>0</v>
      </c>
      <c r="R84" s="2334">
        <v>0</v>
      </c>
      <c r="S84" s="2334">
        <v>0</v>
      </c>
      <c r="T84" s="2334">
        <v>0</v>
      </c>
      <c r="U84" s="2334">
        <v>0</v>
      </c>
      <c r="V84" s="2334">
        <v>0</v>
      </c>
      <c r="W84" s="2334">
        <v>0</v>
      </c>
      <c r="X84" s="2334">
        <v>0</v>
      </c>
      <c r="Y84" s="2334">
        <v>0</v>
      </c>
      <c r="Z84" s="2334">
        <v>0</v>
      </c>
      <c r="AA84" s="2334">
        <v>0</v>
      </c>
      <c r="AB84" s="2334">
        <v>0</v>
      </c>
      <c r="AC84" s="2334">
        <v>0</v>
      </c>
      <c r="AD84" s="2334">
        <v>0</v>
      </c>
      <c r="AE84" s="2334">
        <v>0</v>
      </c>
      <c r="AF84" s="2334">
        <v>0</v>
      </c>
      <c r="AG84" s="2334">
        <v>0</v>
      </c>
      <c r="AH84" s="2335">
        <f t="shared" si="9"/>
        <v>0</v>
      </c>
      <c r="AI84" s="2335">
        <f>IF(AI83="",SUMIFS(N84:AG84,N86:AG86,AK83),AH84+AI83)</f>
        <v>0</v>
      </c>
      <c r="AJ84" s="2340">
        <v>41244</v>
      </c>
      <c r="AK84" s="2264"/>
      <c r="AL84" s="2264"/>
    </row>
    <row r="85" spans="1:38" ht="13.8">
      <c r="A85" s="154" t="s">
        <v>50</v>
      </c>
      <c r="B85" s="2342">
        <f>SUM(B73:B84)</f>
        <v>3841.7560000000003</v>
      </c>
      <c r="C85" s="2343">
        <v>0</v>
      </c>
      <c r="D85" s="2343">
        <v>1887</v>
      </c>
      <c r="E85" s="2343">
        <v>4739</v>
      </c>
      <c r="F85" s="2343">
        <v>1467</v>
      </c>
      <c r="G85" s="2343">
        <v>10491</v>
      </c>
      <c r="H85" s="2343">
        <v>2603</v>
      </c>
      <c r="I85" s="2343">
        <v>6222</v>
      </c>
      <c r="J85" s="2343">
        <v>15077</v>
      </c>
      <c r="K85" s="2343">
        <v>14152</v>
      </c>
      <c r="L85" s="2343">
        <v>3038</v>
      </c>
      <c r="M85" s="2343">
        <v>8943</v>
      </c>
      <c r="N85" s="2343">
        <v>8848</v>
      </c>
      <c r="O85" s="2343">
        <v>8036</v>
      </c>
      <c r="P85" s="2343">
        <v>19817</v>
      </c>
      <c r="Q85" s="2343">
        <v>23301</v>
      </c>
      <c r="R85" s="2343">
        <v>16192</v>
      </c>
      <c r="S85" s="2343">
        <v>20193</v>
      </c>
      <c r="T85" s="2343">
        <v>10363</v>
      </c>
      <c r="U85" s="2343">
        <v>40651</v>
      </c>
      <c r="V85" s="2343">
        <v>16031</v>
      </c>
      <c r="W85" s="2343">
        <v>2925</v>
      </c>
      <c r="X85" s="2343">
        <v>11570</v>
      </c>
      <c r="Y85" s="2343">
        <v>0</v>
      </c>
      <c r="Z85" s="2343">
        <v>0</v>
      </c>
      <c r="AA85" s="2343">
        <v>0</v>
      </c>
      <c r="AB85" s="2343">
        <v>0</v>
      </c>
      <c r="AC85" s="2343">
        <v>0</v>
      </c>
      <c r="AD85" s="2343">
        <v>0</v>
      </c>
      <c r="AE85" s="2343">
        <v>0</v>
      </c>
      <c r="AF85" s="2343">
        <v>0</v>
      </c>
      <c r="AG85" s="2343">
        <v>0</v>
      </c>
      <c r="AH85" s="2344">
        <f>SUM(AH73:AH84)</f>
        <v>3841756</v>
      </c>
      <c r="AI85" s="2264"/>
      <c r="AJ85" s="2264"/>
      <c r="AK85" s="2264"/>
      <c r="AL85" s="2264"/>
    </row>
    <row r="86" spans="1:38" ht="13.2">
      <c r="A86" s="2267"/>
      <c r="B86" s="2267"/>
      <c r="C86" s="2345">
        <v>0</v>
      </c>
      <c r="D86" s="2345">
        <v>0</v>
      </c>
      <c r="E86" s="2345">
        <v>0</v>
      </c>
      <c r="F86" s="2345">
        <v>0</v>
      </c>
      <c r="G86" s="2345">
        <v>0</v>
      </c>
      <c r="H86" s="2345">
        <v>0</v>
      </c>
      <c r="I86" s="2345">
        <v>0</v>
      </c>
      <c r="J86" s="2345">
        <v>0</v>
      </c>
      <c r="K86" s="2345">
        <v>0</v>
      </c>
      <c r="L86" s="2345">
        <v>0</v>
      </c>
      <c r="M86" s="2345">
        <v>0</v>
      </c>
      <c r="N86" s="2345">
        <v>0</v>
      </c>
      <c r="O86" s="2345">
        <v>0</v>
      </c>
      <c r="P86" s="2345">
        <v>0</v>
      </c>
      <c r="Q86" s="2345">
        <v>0</v>
      </c>
      <c r="R86" s="2345">
        <v>0</v>
      </c>
      <c r="S86" s="2345">
        <v>0</v>
      </c>
      <c r="T86" s="2345">
        <v>0</v>
      </c>
      <c r="U86" s="2345">
        <v>0</v>
      </c>
      <c r="V86" s="2345">
        <v>0</v>
      </c>
      <c r="W86" s="2345">
        <v>0</v>
      </c>
      <c r="X86" s="2345">
        <v>0</v>
      </c>
      <c r="Y86" s="2345">
        <v>0</v>
      </c>
      <c r="Z86" s="2345">
        <v>0</v>
      </c>
      <c r="AA86" s="2345">
        <v>0</v>
      </c>
      <c r="AB86" s="2345">
        <v>0</v>
      </c>
      <c r="AC86" s="2345">
        <v>0</v>
      </c>
      <c r="AD86" s="2345">
        <v>0</v>
      </c>
      <c r="AE86" s="2345">
        <v>0</v>
      </c>
      <c r="AF86" s="2345">
        <v>0</v>
      </c>
      <c r="AG86" s="2345">
        <v>0</v>
      </c>
      <c r="AH86" s="2267"/>
      <c r="AI86" s="2264"/>
      <c r="AJ86" s="2264"/>
      <c r="AK86" s="2264"/>
      <c r="AL86" s="2264"/>
    </row>
    <row r="87" spans="1:38" ht="13.2">
      <c r="A87" s="2267"/>
      <c r="B87" s="2267"/>
      <c r="C87" s="2267"/>
      <c r="D87" s="2267"/>
      <c r="E87" s="2267"/>
      <c r="F87" s="2267"/>
      <c r="G87" s="2267"/>
      <c r="H87" s="2267"/>
      <c r="I87" s="2267"/>
      <c r="J87" s="2267"/>
      <c r="K87" s="2267"/>
      <c r="L87" s="2267"/>
      <c r="M87" s="2267"/>
      <c r="N87" s="2267"/>
      <c r="O87" s="2267"/>
      <c r="P87" s="2267"/>
      <c r="Q87" s="2267"/>
      <c r="R87" s="2267"/>
      <c r="S87" s="2267"/>
      <c r="T87" s="2267"/>
      <c r="U87" s="2267"/>
      <c r="V87" s="2267"/>
      <c r="W87" s="2267"/>
      <c r="X87" s="2267"/>
      <c r="Y87" s="2267"/>
      <c r="Z87" s="2267"/>
      <c r="AA87" s="2267"/>
      <c r="AB87" s="2267"/>
      <c r="AC87" s="2267"/>
      <c r="AD87" s="2267"/>
      <c r="AE87" s="2267"/>
      <c r="AF87" s="2267"/>
      <c r="AG87" s="2267"/>
      <c r="AH87" s="2267"/>
      <c r="AI87" s="2264"/>
      <c r="AJ87" s="2264"/>
      <c r="AK87" s="2264"/>
      <c r="AL87" s="2264"/>
    </row>
    <row r="88" spans="1:38" ht="13.8">
      <c r="A88" s="4126" t="s">
        <v>760</v>
      </c>
      <c r="B88" s="4127"/>
      <c r="C88" s="4128"/>
      <c r="D88" s="49"/>
      <c r="E88" s="49"/>
      <c r="F88" s="49"/>
      <c r="G88" s="49"/>
      <c r="H88" s="49"/>
      <c r="I88" s="49"/>
      <c r="J88" s="49"/>
      <c r="K88" s="49"/>
      <c r="L88" s="49"/>
      <c r="M88" s="144"/>
      <c r="N88" s="49"/>
      <c r="O88" s="49"/>
      <c r="P88" s="49"/>
      <c r="Q88" s="49"/>
      <c r="R88" s="49"/>
      <c r="S88" s="49"/>
      <c r="T88" s="49"/>
      <c r="U88" s="49"/>
      <c r="V88" s="49"/>
      <c r="W88" s="49"/>
      <c r="X88" s="49"/>
      <c r="Y88" s="49"/>
      <c r="Z88" s="49"/>
      <c r="AA88" s="49"/>
      <c r="AB88" s="49"/>
      <c r="AC88" s="49"/>
      <c r="AD88" s="49"/>
      <c r="AE88" s="49"/>
      <c r="AF88" s="49"/>
      <c r="AG88" s="49"/>
      <c r="AH88" s="145"/>
      <c r="AI88" s="2264"/>
      <c r="AJ88" s="2264"/>
      <c r="AK88" s="2264"/>
      <c r="AL88" s="2264"/>
    </row>
    <row r="89" spans="1:38" ht="13.8">
      <c r="A89" s="146" t="s">
        <v>70</v>
      </c>
      <c r="B89" s="146" t="s">
        <v>71</v>
      </c>
      <c r="C89" s="147">
        <v>1</v>
      </c>
      <c r="D89" s="147">
        <v>2</v>
      </c>
      <c r="E89" s="147">
        <v>3</v>
      </c>
      <c r="F89" s="147">
        <v>4</v>
      </c>
      <c r="G89" s="147">
        <v>5</v>
      </c>
      <c r="H89" s="147">
        <v>6</v>
      </c>
      <c r="I89" s="147">
        <v>7</v>
      </c>
      <c r="J89" s="147">
        <v>8</v>
      </c>
      <c r="K89" s="147">
        <v>9</v>
      </c>
      <c r="L89" s="147">
        <v>10</v>
      </c>
      <c r="M89" s="147">
        <v>11</v>
      </c>
      <c r="N89" s="147">
        <v>12</v>
      </c>
      <c r="O89" s="147">
        <v>13</v>
      </c>
      <c r="P89" s="147">
        <v>14</v>
      </c>
      <c r="Q89" s="147">
        <v>15</v>
      </c>
      <c r="R89" s="147">
        <v>16</v>
      </c>
      <c r="S89" s="147">
        <v>17</v>
      </c>
      <c r="T89" s="147">
        <v>18</v>
      </c>
      <c r="U89" s="147">
        <v>19</v>
      </c>
      <c r="V89" s="147">
        <v>20</v>
      </c>
      <c r="W89" s="1267">
        <v>21</v>
      </c>
      <c r="X89" s="147">
        <v>22</v>
      </c>
      <c r="Y89" s="147">
        <v>23</v>
      </c>
      <c r="Z89" s="147">
        <v>24</v>
      </c>
      <c r="AA89" s="147">
        <v>25</v>
      </c>
      <c r="AB89" s="147">
        <v>26</v>
      </c>
      <c r="AC89" s="147">
        <v>27</v>
      </c>
      <c r="AD89" s="147">
        <v>28</v>
      </c>
      <c r="AE89" s="147">
        <v>29</v>
      </c>
      <c r="AF89" s="147">
        <v>30</v>
      </c>
      <c r="AG89" s="147">
        <v>31</v>
      </c>
      <c r="AH89" s="149" t="s">
        <v>50</v>
      </c>
      <c r="AI89" s="2264"/>
      <c r="AJ89" s="2264"/>
      <c r="AK89" s="2264"/>
      <c r="AL89" s="2264"/>
    </row>
    <row r="90" spans="1:38" ht="13.8">
      <c r="A90" s="1073" t="s">
        <v>73</v>
      </c>
      <c r="B90" s="2333">
        <f>+AH90/1000</f>
        <v>429.44200000000001</v>
      </c>
      <c r="C90" s="2334">
        <v>0</v>
      </c>
      <c r="D90" s="2334">
        <v>17084</v>
      </c>
      <c r="E90" s="2334">
        <v>345</v>
      </c>
      <c r="F90" s="2334">
        <v>11763</v>
      </c>
      <c r="G90" s="2334">
        <v>18995</v>
      </c>
      <c r="H90" s="2334">
        <v>23732</v>
      </c>
      <c r="I90" s="2334">
        <v>11142</v>
      </c>
      <c r="J90" s="2334">
        <v>22050</v>
      </c>
      <c r="K90" s="2334">
        <v>11588</v>
      </c>
      <c r="L90" s="2334">
        <v>1883</v>
      </c>
      <c r="M90" s="2334">
        <v>19755</v>
      </c>
      <c r="N90" s="2334">
        <v>10386</v>
      </c>
      <c r="O90" s="2334">
        <v>22042</v>
      </c>
      <c r="P90" s="2334">
        <v>13388</v>
      </c>
      <c r="Q90" s="2334">
        <v>17277</v>
      </c>
      <c r="R90" s="2334">
        <v>22560</v>
      </c>
      <c r="S90" s="2334">
        <v>2249</v>
      </c>
      <c r="T90" s="2334">
        <v>14876</v>
      </c>
      <c r="U90" s="2334">
        <v>14009</v>
      </c>
      <c r="V90" s="2334">
        <v>19739</v>
      </c>
      <c r="W90" s="2334">
        <v>9024</v>
      </c>
      <c r="X90" s="2334">
        <v>8320</v>
      </c>
      <c r="Y90" s="2334">
        <v>40840</v>
      </c>
      <c r="Z90" s="2334">
        <v>6066</v>
      </c>
      <c r="AA90" s="2334">
        <v>28089</v>
      </c>
      <c r="AB90" s="2334">
        <v>13818</v>
      </c>
      <c r="AC90" s="2334">
        <v>22946</v>
      </c>
      <c r="AD90" s="2334">
        <v>7546</v>
      </c>
      <c r="AE90" s="2334">
        <v>6864</v>
      </c>
      <c r="AF90" s="2334">
        <v>7956</v>
      </c>
      <c r="AG90" s="2334">
        <v>3110</v>
      </c>
      <c r="AH90" s="2335">
        <f>SUM(C90:AG90)</f>
        <v>429442</v>
      </c>
      <c r="AI90" s="2264"/>
      <c r="AJ90" s="2264"/>
      <c r="AK90" s="2264"/>
      <c r="AL90" s="2264"/>
    </row>
    <row r="91" spans="1:38" ht="13.8">
      <c r="A91" s="1073" t="s">
        <v>74</v>
      </c>
      <c r="B91" s="2333">
        <f t="shared" ref="B91:B101" si="10">+AH91/1000</f>
        <v>503.33100000000002</v>
      </c>
      <c r="C91" s="2334">
        <v>9571</v>
      </c>
      <c r="D91" s="2334">
        <v>21328</v>
      </c>
      <c r="E91" s="2334">
        <v>18017</v>
      </c>
      <c r="F91" s="2334">
        <v>17530</v>
      </c>
      <c r="G91" s="2334">
        <v>31986</v>
      </c>
      <c r="H91" s="2334">
        <v>18038</v>
      </c>
      <c r="I91" s="2334">
        <v>678</v>
      </c>
      <c r="J91" s="2334">
        <v>14430</v>
      </c>
      <c r="K91" s="2334">
        <v>23558</v>
      </c>
      <c r="L91" s="2334">
        <v>11005</v>
      </c>
      <c r="M91" s="2334">
        <v>32520</v>
      </c>
      <c r="N91" s="2334">
        <v>16502</v>
      </c>
      <c r="O91" s="2334">
        <v>12692</v>
      </c>
      <c r="P91" s="2334">
        <v>11719</v>
      </c>
      <c r="Q91" s="2334">
        <v>14643</v>
      </c>
      <c r="R91" s="2334">
        <v>6562</v>
      </c>
      <c r="S91" s="2334">
        <v>25990</v>
      </c>
      <c r="T91" s="2334">
        <v>14325</v>
      </c>
      <c r="U91" s="2334">
        <v>8748</v>
      </c>
      <c r="V91" s="2334">
        <v>41449</v>
      </c>
      <c r="W91" s="2334">
        <v>4867</v>
      </c>
      <c r="X91" s="2334">
        <v>32552</v>
      </c>
      <c r="Y91" s="2334">
        <v>43856</v>
      </c>
      <c r="Z91" s="2334">
        <v>13261</v>
      </c>
      <c r="AA91" s="2334">
        <v>19566</v>
      </c>
      <c r="AB91" s="2334">
        <v>3125</v>
      </c>
      <c r="AC91" s="2334">
        <v>25679</v>
      </c>
      <c r="AD91" s="2334">
        <v>9134</v>
      </c>
      <c r="AE91" s="2334">
        <v>0</v>
      </c>
      <c r="AF91" s="2334">
        <v>0</v>
      </c>
      <c r="AG91" s="2334">
        <v>0</v>
      </c>
      <c r="AH91" s="2335">
        <f>SUM(C91:AG91)</f>
        <v>503331</v>
      </c>
      <c r="AI91" s="2264"/>
      <c r="AJ91" s="2264"/>
      <c r="AK91" s="2264"/>
      <c r="AL91" s="2264"/>
    </row>
    <row r="92" spans="1:38" ht="13.8">
      <c r="A92" s="1073" t="s">
        <v>75</v>
      </c>
      <c r="B92" s="2333">
        <f t="shared" si="10"/>
        <v>366.23</v>
      </c>
      <c r="C92" s="2334">
        <v>3835</v>
      </c>
      <c r="D92" s="2334">
        <v>11401</v>
      </c>
      <c r="E92" s="2334">
        <v>27626</v>
      </c>
      <c r="F92" s="2334">
        <v>15217</v>
      </c>
      <c r="G92" s="2334">
        <v>1150</v>
      </c>
      <c r="H92" s="2334">
        <v>30549</v>
      </c>
      <c r="I92" s="2334">
        <v>9076</v>
      </c>
      <c r="J92" s="2334">
        <v>6010</v>
      </c>
      <c r="K92" s="2334">
        <v>33377</v>
      </c>
      <c r="L92" s="2334">
        <v>34727</v>
      </c>
      <c r="M92" s="2334">
        <v>6827</v>
      </c>
      <c r="N92" s="2334">
        <v>45726</v>
      </c>
      <c r="O92" s="2334">
        <v>41705</v>
      </c>
      <c r="P92" s="2334">
        <v>6610</v>
      </c>
      <c r="Q92" s="2334">
        <v>20151</v>
      </c>
      <c r="R92" s="2334">
        <v>24734</v>
      </c>
      <c r="S92" s="2334">
        <v>47509</v>
      </c>
      <c r="T92" s="2334">
        <v>0</v>
      </c>
      <c r="U92" s="2334">
        <v>0</v>
      </c>
      <c r="V92" s="2334">
        <v>0</v>
      </c>
      <c r="W92" s="2334">
        <v>0</v>
      </c>
      <c r="X92" s="2334">
        <v>0</v>
      </c>
      <c r="Y92" s="2334">
        <v>0</v>
      </c>
      <c r="Z92" s="2334">
        <v>0</v>
      </c>
      <c r="AA92" s="2334">
        <v>0</v>
      </c>
      <c r="AB92" s="2334">
        <v>0</v>
      </c>
      <c r="AC92" s="2334">
        <v>0</v>
      </c>
      <c r="AD92" s="2334">
        <v>0</v>
      </c>
      <c r="AE92" s="2334">
        <v>0</v>
      </c>
      <c r="AF92" s="2334">
        <v>0</v>
      </c>
      <c r="AG92" s="2334">
        <v>0</v>
      </c>
      <c r="AH92" s="2335">
        <f>SUM(C92:AG92)</f>
        <v>366230</v>
      </c>
      <c r="AI92" s="2264"/>
      <c r="AJ92" s="2264"/>
      <c r="AK92" s="2264"/>
      <c r="AL92" s="2264"/>
    </row>
    <row r="93" spans="1:38" ht="13.8">
      <c r="A93" s="2336" t="s">
        <v>76</v>
      </c>
      <c r="B93" s="2333">
        <f t="shared" si="10"/>
        <v>289.791</v>
      </c>
      <c r="C93" s="2334">
        <v>31515</v>
      </c>
      <c r="D93" s="2334">
        <v>23720</v>
      </c>
      <c r="E93" s="2334">
        <v>7165</v>
      </c>
      <c r="F93" s="2334">
        <v>5680</v>
      </c>
      <c r="G93" s="2334">
        <v>13704</v>
      </c>
      <c r="H93" s="2334">
        <v>21113</v>
      </c>
      <c r="I93" s="2334">
        <v>24987</v>
      </c>
      <c r="J93" s="2334">
        <v>29420</v>
      </c>
      <c r="K93" s="2334">
        <v>13666</v>
      </c>
      <c r="L93" s="2334">
        <v>49412</v>
      </c>
      <c r="M93" s="2334">
        <v>0</v>
      </c>
      <c r="N93" s="2334">
        <v>0</v>
      </c>
      <c r="O93" s="2334">
        <v>0</v>
      </c>
      <c r="P93" s="2334">
        <v>0</v>
      </c>
      <c r="Q93" s="2334">
        <v>0</v>
      </c>
      <c r="R93" s="2334">
        <v>0</v>
      </c>
      <c r="S93" s="2334">
        <v>0</v>
      </c>
      <c r="T93" s="2334">
        <v>0</v>
      </c>
      <c r="U93" s="2334">
        <v>0</v>
      </c>
      <c r="V93" s="2334">
        <v>0</v>
      </c>
      <c r="W93" s="2334">
        <v>0</v>
      </c>
      <c r="X93" s="2334">
        <v>0</v>
      </c>
      <c r="Y93" s="2334">
        <v>4470</v>
      </c>
      <c r="Z93" s="2334">
        <v>10724</v>
      </c>
      <c r="AA93" s="2334">
        <v>8744</v>
      </c>
      <c r="AB93" s="2334">
        <v>8290</v>
      </c>
      <c r="AC93" s="2334">
        <v>20290</v>
      </c>
      <c r="AD93" s="2334">
        <v>5200</v>
      </c>
      <c r="AE93" s="2334">
        <v>10848</v>
      </c>
      <c r="AF93" s="2334">
        <v>843</v>
      </c>
      <c r="AG93" s="2334">
        <v>0</v>
      </c>
      <c r="AH93" s="2335">
        <f t="shared" ref="AH93:AH101" si="11">SUM(C93:AG93)</f>
        <v>289791</v>
      </c>
      <c r="AI93" s="2264"/>
      <c r="AJ93" s="2264"/>
      <c r="AK93" s="2264"/>
      <c r="AL93" s="2264"/>
    </row>
    <row r="94" spans="1:38" ht="13.8">
      <c r="A94" s="2336" t="s">
        <v>77</v>
      </c>
      <c r="B94" s="2333">
        <f t="shared" si="10"/>
        <v>246.45500000000001</v>
      </c>
      <c r="C94" s="2334">
        <v>2080</v>
      </c>
      <c r="D94" s="2334">
        <v>10017</v>
      </c>
      <c r="E94" s="2334">
        <v>1860</v>
      </c>
      <c r="F94" s="2334">
        <v>10265</v>
      </c>
      <c r="G94" s="2334">
        <v>14765</v>
      </c>
      <c r="H94" s="2334">
        <v>9319</v>
      </c>
      <c r="I94" s="2334">
        <v>18910</v>
      </c>
      <c r="J94" s="2334">
        <v>19298</v>
      </c>
      <c r="K94" s="2334">
        <v>6578</v>
      </c>
      <c r="L94" s="2334">
        <v>3000</v>
      </c>
      <c r="M94" s="2334">
        <v>24365</v>
      </c>
      <c r="N94" s="2334">
        <v>5805</v>
      </c>
      <c r="O94" s="2334">
        <v>3680</v>
      </c>
      <c r="P94" s="2334">
        <v>2000</v>
      </c>
      <c r="Q94" s="2334">
        <v>5707</v>
      </c>
      <c r="R94" s="2334">
        <v>2500</v>
      </c>
      <c r="S94" s="2334">
        <v>1220</v>
      </c>
      <c r="T94" s="2334">
        <v>17483</v>
      </c>
      <c r="U94" s="2334">
        <v>1860</v>
      </c>
      <c r="V94" s="2334">
        <v>7740</v>
      </c>
      <c r="W94" s="2334">
        <v>19534</v>
      </c>
      <c r="X94" s="2334">
        <v>917</v>
      </c>
      <c r="Y94" s="2334">
        <v>1880</v>
      </c>
      <c r="Z94" s="2334">
        <v>7715</v>
      </c>
      <c r="AA94" s="2334">
        <v>9700</v>
      </c>
      <c r="AB94" s="2334">
        <v>3456</v>
      </c>
      <c r="AC94" s="2334">
        <v>6850</v>
      </c>
      <c r="AD94" s="2334">
        <v>18059</v>
      </c>
      <c r="AE94" s="2334">
        <v>4586</v>
      </c>
      <c r="AF94" s="2334">
        <v>4686</v>
      </c>
      <c r="AG94" s="2334">
        <v>620</v>
      </c>
      <c r="AH94" s="2335">
        <f t="shared" si="11"/>
        <v>246455</v>
      </c>
      <c r="AI94" s="2264"/>
      <c r="AJ94" s="2264"/>
      <c r="AK94" s="2264"/>
      <c r="AL94" s="2264"/>
    </row>
    <row r="95" spans="1:38" ht="13.8">
      <c r="A95" s="2336" t="s">
        <v>78</v>
      </c>
      <c r="B95" s="2333">
        <f t="shared" si="10"/>
        <v>177.21899999999999</v>
      </c>
      <c r="C95" s="2334">
        <v>12928</v>
      </c>
      <c r="D95" s="2334">
        <v>6141</v>
      </c>
      <c r="E95" s="2334">
        <v>0</v>
      </c>
      <c r="F95" s="2334">
        <v>2497</v>
      </c>
      <c r="G95" s="2334">
        <v>537</v>
      </c>
      <c r="H95" s="2334">
        <v>0</v>
      </c>
      <c r="I95" s="2334">
        <v>0</v>
      </c>
      <c r="J95" s="2334">
        <v>3971</v>
      </c>
      <c r="K95" s="2334">
        <v>2990</v>
      </c>
      <c r="L95" s="2334">
        <v>9773</v>
      </c>
      <c r="M95" s="2334">
        <v>4999</v>
      </c>
      <c r="N95" s="2334">
        <v>6750</v>
      </c>
      <c r="O95" s="2334">
        <v>0</v>
      </c>
      <c r="P95" s="2334">
        <v>0</v>
      </c>
      <c r="Q95" s="2334">
        <v>11030</v>
      </c>
      <c r="R95" s="2334">
        <v>5746</v>
      </c>
      <c r="S95" s="2334">
        <v>2772</v>
      </c>
      <c r="T95" s="2334">
        <v>3990</v>
      </c>
      <c r="U95" s="2334">
        <v>5116</v>
      </c>
      <c r="V95" s="2334">
        <v>1290</v>
      </c>
      <c r="W95" s="2334">
        <v>2000</v>
      </c>
      <c r="X95" s="2334">
        <v>5959</v>
      </c>
      <c r="Y95" s="2334">
        <v>2696</v>
      </c>
      <c r="Z95" s="2334">
        <v>4353</v>
      </c>
      <c r="AA95" s="2334">
        <v>18188</v>
      </c>
      <c r="AB95" s="2334">
        <v>29344</v>
      </c>
      <c r="AC95" s="2334">
        <v>8879</v>
      </c>
      <c r="AD95" s="2334">
        <v>11378</v>
      </c>
      <c r="AE95" s="2334">
        <v>8061</v>
      </c>
      <c r="AF95" s="2334">
        <v>5831</v>
      </c>
      <c r="AG95" s="2334">
        <v>0</v>
      </c>
      <c r="AH95" s="2335">
        <f t="shared" si="11"/>
        <v>177219</v>
      </c>
      <c r="AI95" s="2264"/>
      <c r="AJ95" s="2264"/>
      <c r="AK95" s="2264"/>
      <c r="AL95" s="2264"/>
    </row>
    <row r="96" spans="1:38" ht="13.8">
      <c r="A96" s="2337" t="s">
        <v>79</v>
      </c>
      <c r="B96" s="2333">
        <f t="shared" si="10"/>
        <v>100.10299999999999</v>
      </c>
      <c r="C96" s="2334">
        <v>8711</v>
      </c>
      <c r="D96" s="2334">
        <v>7897</v>
      </c>
      <c r="E96" s="2334">
        <v>1320</v>
      </c>
      <c r="F96" s="2334">
        <v>7230</v>
      </c>
      <c r="G96" s="2334">
        <v>494</v>
      </c>
      <c r="H96" s="2334">
        <v>0</v>
      </c>
      <c r="I96" s="2334">
        <v>0</v>
      </c>
      <c r="J96" s="2334">
        <v>4918</v>
      </c>
      <c r="K96" s="2334">
        <v>5813</v>
      </c>
      <c r="L96" s="2334">
        <v>6580</v>
      </c>
      <c r="M96" s="2334">
        <v>493</v>
      </c>
      <c r="N96" s="2334">
        <v>12796</v>
      </c>
      <c r="O96" s="2334">
        <v>3720</v>
      </c>
      <c r="P96" s="2334">
        <v>2610</v>
      </c>
      <c r="Q96" s="2334">
        <v>2200</v>
      </c>
      <c r="R96" s="2334">
        <v>0</v>
      </c>
      <c r="S96" s="2334">
        <v>2040</v>
      </c>
      <c r="T96" s="2334">
        <v>0</v>
      </c>
      <c r="U96" s="2334">
        <v>99</v>
      </c>
      <c r="V96" s="2334">
        <v>2612</v>
      </c>
      <c r="W96" s="2334">
        <v>409</v>
      </c>
      <c r="X96" s="2334">
        <v>4683</v>
      </c>
      <c r="Y96" s="2334">
        <v>8588</v>
      </c>
      <c r="Z96" s="2334">
        <v>0</v>
      </c>
      <c r="AA96" s="2334">
        <v>2160</v>
      </c>
      <c r="AB96" s="2334">
        <v>2727</v>
      </c>
      <c r="AC96" s="2334">
        <v>6691</v>
      </c>
      <c r="AD96" s="2334">
        <v>980</v>
      </c>
      <c r="AE96" s="2334">
        <v>3600</v>
      </c>
      <c r="AF96" s="2334">
        <v>0</v>
      </c>
      <c r="AG96" s="2334">
        <v>732</v>
      </c>
      <c r="AH96" s="2335">
        <f t="shared" si="11"/>
        <v>100103</v>
      </c>
      <c r="AI96" s="2264"/>
      <c r="AJ96" s="2264"/>
      <c r="AK96" s="2264"/>
      <c r="AL96" s="2264"/>
    </row>
    <row r="97" spans="1:38" ht="13.8">
      <c r="A97" s="2337" t="s">
        <v>80</v>
      </c>
      <c r="B97" s="2333">
        <f t="shared" si="10"/>
        <v>35.610999999999997</v>
      </c>
      <c r="C97" s="2334">
        <v>1560</v>
      </c>
      <c r="D97" s="2334">
        <v>2672</v>
      </c>
      <c r="E97" s="2334">
        <v>1629</v>
      </c>
      <c r="F97" s="2334">
        <v>3381</v>
      </c>
      <c r="G97" s="2334">
        <v>2817</v>
      </c>
      <c r="H97" s="2334">
        <v>0</v>
      </c>
      <c r="I97" s="2334">
        <v>440</v>
      </c>
      <c r="J97" s="2334">
        <v>2803</v>
      </c>
      <c r="K97" s="2334">
        <v>2300</v>
      </c>
      <c r="L97" s="2334">
        <v>6842</v>
      </c>
      <c r="M97" s="2334">
        <v>1120</v>
      </c>
      <c r="N97" s="2334">
        <v>860</v>
      </c>
      <c r="O97" s="2334">
        <v>0</v>
      </c>
      <c r="P97" s="2334">
        <v>0</v>
      </c>
      <c r="Q97" s="2334">
        <v>0</v>
      </c>
      <c r="R97" s="2334">
        <v>413</v>
      </c>
      <c r="S97" s="2334">
        <v>1560</v>
      </c>
      <c r="T97" s="2334">
        <v>1056</v>
      </c>
      <c r="U97" s="2334">
        <v>1128</v>
      </c>
      <c r="V97" s="2334">
        <v>0</v>
      </c>
      <c r="W97" s="2334">
        <v>0</v>
      </c>
      <c r="X97" s="2334">
        <v>550</v>
      </c>
      <c r="Y97" s="2334">
        <v>0</v>
      </c>
      <c r="Z97" s="2334">
        <v>3500</v>
      </c>
      <c r="AA97" s="2334">
        <v>0</v>
      </c>
      <c r="AB97" s="2334">
        <v>0</v>
      </c>
      <c r="AC97" s="2334">
        <v>980</v>
      </c>
      <c r="AD97" s="2334">
        <v>0</v>
      </c>
      <c r="AE97" s="2334">
        <v>0</v>
      </c>
      <c r="AF97" s="2334">
        <v>0</v>
      </c>
      <c r="AG97" s="2334">
        <v>0</v>
      </c>
      <c r="AH97" s="2335">
        <f t="shared" si="11"/>
        <v>35611</v>
      </c>
      <c r="AI97" s="2264"/>
      <c r="AJ97" s="2264"/>
      <c r="AK97" s="2264"/>
      <c r="AL97" s="2264"/>
    </row>
    <row r="98" spans="1:38" ht="13.8">
      <c r="A98" s="2337" t="s">
        <v>81</v>
      </c>
      <c r="B98" s="2333">
        <f t="shared" si="10"/>
        <v>53.715000000000003</v>
      </c>
      <c r="C98" s="2334">
        <v>2500</v>
      </c>
      <c r="D98" s="2334">
        <v>2190</v>
      </c>
      <c r="E98" s="2334">
        <v>4915</v>
      </c>
      <c r="F98" s="2334">
        <v>0</v>
      </c>
      <c r="G98" s="2334">
        <v>0</v>
      </c>
      <c r="H98" s="2334">
        <v>790</v>
      </c>
      <c r="I98" s="2334">
        <v>500</v>
      </c>
      <c r="J98" s="2334">
        <v>2300</v>
      </c>
      <c r="K98" s="2334">
        <v>0</v>
      </c>
      <c r="L98" s="2334">
        <v>7830</v>
      </c>
      <c r="M98" s="2334">
        <v>2500</v>
      </c>
      <c r="N98" s="2334">
        <v>0</v>
      </c>
      <c r="O98" s="2334">
        <v>0</v>
      </c>
      <c r="P98" s="2334">
        <v>4259</v>
      </c>
      <c r="Q98" s="2334">
        <v>0</v>
      </c>
      <c r="R98" s="2334">
        <v>860</v>
      </c>
      <c r="S98" s="2334">
        <v>1827</v>
      </c>
      <c r="T98" s="2334">
        <v>0</v>
      </c>
      <c r="U98" s="2334">
        <v>0</v>
      </c>
      <c r="V98" s="2334">
        <v>6248</v>
      </c>
      <c r="W98" s="2334">
        <v>1298</v>
      </c>
      <c r="X98" s="2334">
        <v>0</v>
      </c>
      <c r="Y98" s="2334">
        <v>6000</v>
      </c>
      <c r="Z98" s="2334">
        <v>0</v>
      </c>
      <c r="AA98" s="2334">
        <v>6698</v>
      </c>
      <c r="AB98" s="2334">
        <v>0</v>
      </c>
      <c r="AC98" s="2334">
        <v>0</v>
      </c>
      <c r="AD98" s="2334">
        <v>0</v>
      </c>
      <c r="AE98" s="2334">
        <v>0</v>
      </c>
      <c r="AF98" s="2334">
        <v>3000</v>
      </c>
      <c r="AG98" s="2334">
        <v>0</v>
      </c>
      <c r="AH98" s="2335">
        <f t="shared" si="11"/>
        <v>53715</v>
      </c>
      <c r="AI98" s="2264"/>
      <c r="AJ98" s="2264"/>
      <c r="AK98" s="2264"/>
      <c r="AL98" s="2264"/>
    </row>
    <row r="99" spans="1:38" ht="13.8">
      <c r="A99" s="2338" t="s">
        <v>82</v>
      </c>
      <c r="B99" s="2333">
        <f t="shared" si="10"/>
        <v>0</v>
      </c>
      <c r="C99" s="2334">
        <v>0</v>
      </c>
      <c r="D99" s="2334">
        <v>0</v>
      </c>
      <c r="E99" s="2334">
        <v>0</v>
      </c>
      <c r="F99" s="2334">
        <v>0</v>
      </c>
      <c r="G99" s="2334">
        <v>0</v>
      </c>
      <c r="H99" s="2334">
        <v>0</v>
      </c>
      <c r="I99" s="2334">
        <v>0</v>
      </c>
      <c r="J99" s="2334">
        <v>0</v>
      </c>
      <c r="K99" s="2334">
        <v>0</v>
      </c>
      <c r="L99" s="2334">
        <v>0</v>
      </c>
      <c r="M99" s="2334">
        <v>0</v>
      </c>
      <c r="N99" s="2334">
        <v>0</v>
      </c>
      <c r="O99" s="2334">
        <v>0</v>
      </c>
      <c r="P99" s="2334">
        <v>0</v>
      </c>
      <c r="Q99" s="2334">
        <v>0</v>
      </c>
      <c r="R99" s="2334">
        <v>0</v>
      </c>
      <c r="S99" s="2334">
        <v>0</v>
      </c>
      <c r="T99" s="2334">
        <v>0</v>
      </c>
      <c r="U99" s="2334">
        <v>0</v>
      </c>
      <c r="V99" s="2334">
        <v>0</v>
      </c>
      <c r="W99" s="2334">
        <v>0</v>
      </c>
      <c r="X99" s="2334">
        <v>0</v>
      </c>
      <c r="Y99" s="2334">
        <v>0</v>
      </c>
      <c r="Z99" s="2334">
        <v>0</v>
      </c>
      <c r="AA99" s="2334">
        <v>0</v>
      </c>
      <c r="AB99" s="2334">
        <v>0</v>
      </c>
      <c r="AC99" s="2334">
        <v>0</v>
      </c>
      <c r="AD99" s="2334">
        <v>0</v>
      </c>
      <c r="AE99" s="2334">
        <v>0</v>
      </c>
      <c r="AF99" s="2334">
        <v>0</v>
      </c>
      <c r="AG99" s="2334">
        <v>0</v>
      </c>
      <c r="AH99" s="2335">
        <f t="shared" si="11"/>
        <v>0</v>
      </c>
      <c r="AI99" s="2264"/>
      <c r="AJ99" s="2264"/>
      <c r="AK99" s="2264"/>
      <c r="AL99" s="2264"/>
    </row>
    <row r="100" spans="1:38" ht="13.8">
      <c r="A100" s="2338" t="s">
        <v>83</v>
      </c>
      <c r="B100" s="2333">
        <f t="shared" si="10"/>
        <v>0</v>
      </c>
      <c r="C100" s="2334">
        <v>0</v>
      </c>
      <c r="D100" s="2334">
        <v>0</v>
      </c>
      <c r="E100" s="2334">
        <v>0</v>
      </c>
      <c r="F100" s="2334">
        <v>0</v>
      </c>
      <c r="G100" s="2334">
        <v>0</v>
      </c>
      <c r="H100" s="2334">
        <v>0</v>
      </c>
      <c r="I100" s="2334">
        <v>0</v>
      </c>
      <c r="J100" s="2334">
        <v>0</v>
      </c>
      <c r="K100" s="2334">
        <v>0</v>
      </c>
      <c r="L100" s="2334">
        <v>0</v>
      </c>
      <c r="M100" s="2334">
        <v>0</v>
      </c>
      <c r="N100" s="2334">
        <v>0</v>
      </c>
      <c r="O100" s="2334">
        <v>0</v>
      </c>
      <c r="P100" s="2334">
        <v>0</v>
      </c>
      <c r="Q100" s="2334">
        <v>0</v>
      </c>
      <c r="R100" s="2334">
        <v>0</v>
      </c>
      <c r="S100" s="2334">
        <v>0</v>
      </c>
      <c r="T100" s="2334">
        <v>0</v>
      </c>
      <c r="U100" s="2334">
        <v>0</v>
      </c>
      <c r="V100" s="2334">
        <v>0</v>
      </c>
      <c r="W100" s="2334">
        <v>0</v>
      </c>
      <c r="X100" s="2334">
        <v>0</v>
      </c>
      <c r="Y100" s="2334">
        <v>0</v>
      </c>
      <c r="Z100" s="2334">
        <v>0</v>
      </c>
      <c r="AA100" s="2334">
        <v>0</v>
      </c>
      <c r="AB100" s="2334">
        <v>0</v>
      </c>
      <c r="AC100" s="2334">
        <v>0</v>
      </c>
      <c r="AD100" s="2334">
        <v>0</v>
      </c>
      <c r="AE100" s="2334">
        <v>0</v>
      </c>
      <c r="AF100" s="2334">
        <v>0</v>
      </c>
      <c r="AG100" s="2334">
        <v>0</v>
      </c>
      <c r="AH100" s="2335">
        <f t="shared" si="11"/>
        <v>0</v>
      </c>
      <c r="AI100" s="2335">
        <f>IF('[1]Resumen algas IV reg '!$H$30="","",IF('[1]Resumen algas IV reg '!$H$30&lt;'[1]Algas IV reg '!AJ100,AH100,SUMIFS(C100:AG100,C103:AG103,AK100)))</f>
        <v>0</v>
      </c>
      <c r="AJ100" s="2340">
        <v>41214</v>
      </c>
      <c r="AK100" s="2264">
        <f>IF('[1]Resumen algas IV reg '!$H$30="","",VALUE(DAY('[1]Resumen algas IV reg '!$H$30)))</f>
        <v>30</v>
      </c>
      <c r="AL100" s="2341">
        <f>IF(AI101=0,AI100,AI101)</f>
        <v>0</v>
      </c>
    </row>
    <row r="101" spans="1:38" ht="13.8">
      <c r="A101" s="2338" t="s">
        <v>84</v>
      </c>
      <c r="B101" s="2333">
        <f t="shared" si="10"/>
        <v>0</v>
      </c>
      <c r="C101" s="2334">
        <v>0</v>
      </c>
      <c r="D101" s="2334">
        <v>0</v>
      </c>
      <c r="E101" s="2334">
        <v>0</v>
      </c>
      <c r="F101" s="2334">
        <v>0</v>
      </c>
      <c r="G101" s="2334">
        <v>0</v>
      </c>
      <c r="H101" s="2334">
        <v>0</v>
      </c>
      <c r="I101" s="2334">
        <v>0</v>
      </c>
      <c r="J101" s="2334">
        <v>0</v>
      </c>
      <c r="K101" s="2334">
        <v>0</v>
      </c>
      <c r="L101" s="2334">
        <v>0</v>
      </c>
      <c r="M101" s="2334">
        <v>0</v>
      </c>
      <c r="N101" s="2334">
        <v>0</v>
      </c>
      <c r="O101" s="2334">
        <v>0</v>
      </c>
      <c r="P101" s="2334">
        <v>0</v>
      </c>
      <c r="Q101" s="2334">
        <v>0</v>
      </c>
      <c r="R101" s="2334">
        <v>0</v>
      </c>
      <c r="S101" s="2334">
        <v>0</v>
      </c>
      <c r="T101" s="2334">
        <v>0</v>
      </c>
      <c r="U101" s="2334">
        <v>0</v>
      </c>
      <c r="V101" s="2334">
        <v>0</v>
      </c>
      <c r="W101" s="2334">
        <v>0</v>
      </c>
      <c r="X101" s="2334">
        <v>0</v>
      </c>
      <c r="Y101" s="2334">
        <v>0</v>
      </c>
      <c r="Z101" s="2334">
        <v>0</v>
      </c>
      <c r="AA101" s="2334">
        <v>0</v>
      </c>
      <c r="AB101" s="2334">
        <v>0</v>
      </c>
      <c r="AC101" s="2334">
        <v>0</v>
      </c>
      <c r="AD101" s="2334">
        <v>0</v>
      </c>
      <c r="AE101" s="2334">
        <v>0</v>
      </c>
      <c r="AF101" s="2334">
        <v>0</v>
      </c>
      <c r="AG101" s="2334">
        <v>0</v>
      </c>
      <c r="AH101" s="2335">
        <f t="shared" si="11"/>
        <v>0</v>
      </c>
      <c r="AI101" s="2335">
        <f>IF(AI100="",SUMIFS(N101:AG101,N103:AG103,AK100),AH101+AI100)</f>
        <v>0</v>
      </c>
      <c r="AJ101" s="2340">
        <v>41244</v>
      </c>
      <c r="AK101" s="2264"/>
      <c r="AL101" s="2264"/>
    </row>
    <row r="102" spans="1:38" ht="13.8">
      <c r="A102" s="154" t="s">
        <v>50</v>
      </c>
      <c r="B102" s="2342">
        <f>SUM(B90:B101)</f>
        <v>2201.8969999999999</v>
      </c>
      <c r="C102" s="2343">
        <v>0</v>
      </c>
      <c r="D102" s="2343">
        <v>17084</v>
      </c>
      <c r="E102" s="2343">
        <v>345</v>
      </c>
      <c r="F102" s="2343">
        <v>11763</v>
      </c>
      <c r="G102" s="2343">
        <v>18450</v>
      </c>
      <c r="H102" s="2343">
        <v>18662</v>
      </c>
      <c r="I102" s="2343">
        <v>11142</v>
      </c>
      <c r="J102" s="2343">
        <v>17970</v>
      </c>
      <c r="K102" s="2343">
        <v>6370</v>
      </c>
      <c r="L102" s="2343">
        <v>1883</v>
      </c>
      <c r="M102" s="2343">
        <v>17349</v>
      </c>
      <c r="N102" s="2343">
        <v>9011</v>
      </c>
      <c r="O102" s="2343">
        <v>22042</v>
      </c>
      <c r="P102" s="2343">
        <v>4440</v>
      </c>
      <c r="Q102" s="2343">
        <v>4893</v>
      </c>
      <c r="R102" s="2343">
        <v>22560</v>
      </c>
      <c r="S102" s="2343">
        <v>2249</v>
      </c>
      <c r="T102" s="2343">
        <v>14734</v>
      </c>
      <c r="U102" s="2343">
        <v>11377</v>
      </c>
      <c r="V102" s="2343">
        <v>14453</v>
      </c>
      <c r="W102" s="2343">
        <v>7785</v>
      </c>
      <c r="X102" s="2343">
        <v>6628</v>
      </c>
      <c r="Y102" s="2343">
        <v>0</v>
      </c>
      <c r="Z102" s="2343">
        <v>0</v>
      </c>
      <c r="AA102" s="2343">
        <v>0</v>
      </c>
      <c r="AB102" s="2343">
        <v>0</v>
      </c>
      <c r="AC102" s="2343">
        <v>0</v>
      </c>
      <c r="AD102" s="2343">
        <v>0</v>
      </c>
      <c r="AE102" s="2343">
        <v>0</v>
      </c>
      <c r="AF102" s="2343">
        <v>0</v>
      </c>
      <c r="AG102" s="2343">
        <v>0</v>
      </c>
      <c r="AH102" s="2344">
        <f>SUM(AH90:AH101)</f>
        <v>2201897</v>
      </c>
      <c r="AI102" s="2264"/>
      <c r="AJ102" s="2264"/>
      <c r="AK102" s="2264"/>
      <c r="AL102" s="2264"/>
    </row>
    <row r="103" spans="1:38" ht="13.2">
      <c r="A103" s="2267"/>
      <c r="B103" s="2267"/>
      <c r="C103" s="2345">
        <v>0</v>
      </c>
      <c r="D103" s="2345">
        <v>0</v>
      </c>
      <c r="E103" s="2345">
        <v>0</v>
      </c>
      <c r="F103" s="2345">
        <v>0</v>
      </c>
      <c r="G103" s="2345">
        <v>0</v>
      </c>
      <c r="H103" s="2345">
        <v>0</v>
      </c>
      <c r="I103" s="2345">
        <v>0</v>
      </c>
      <c r="J103" s="2345">
        <v>0</v>
      </c>
      <c r="K103" s="2345">
        <v>0</v>
      </c>
      <c r="L103" s="2345">
        <v>0</v>
      </c>
      <c r="M103" s="2345">
        <v>0</v>
      </c>
      <c r="N103" s="2345">
        <v>0</v>
      </c>
      <c r="O103" s="2345">
        <v>0</v>
      </c>
      <c r="P103" s="2345">
        <v>0</v>
      </c>
      <c r="Q103" s="2345">
        <v>0</v>
      </c>
      <c r="R103" s="2345">
        <v>0</v>
      </c>
      <c r="S103" s="2345">
        <v>0</v>
      </c>
      <c r="T103" s="2345">
        <v>0</v>
      </c>
      <c r="U103" s="2345">
        <v>0</v>
      </c>
      <c r="V103" s="2345">
        <v>0</v>
      </c>
      <c r="W103" s="2345">
        <v>0</v>
      </c>
      <c r="X103" s="2345">
        <v>0</v>
      </c>
      <c r="Y103" s="2345">
        <v>0</v>
      </c>
      <c r="Z103" s="2345">
        <v>0</v>
      </c>
      <c r="AA103" s="2345">
        <v>0</v>
      </c>
      <c r="AB103" s="2345">
        <v>0</v>
      </c>
      <c r="AC103" s="2345">
        <v>0</v>
      </c>
      <c r="AD103" s="2345">
        <v>0</v>
      </c>
      <c r="AE103" s="2345">
        <v>0</v>
      </c>
      <c r="AF103" s="2345">
        <v>0</v>
      </c>
      <c r="AG103" s="2345">
        <v>0</v>
      </c>
      <c r="AH103" s="2267"/>
      <c r="AI103" s="2264"/>
      <c r="AJ103" s="2264"/>
      <c r="AK103" s="2264"/>
      <c r="AL103" s="2264"/>
    </row>
    <row r="104" spans="1:38" ht="13.2">
      <c r="A104" s="2267"/>
      <c r="B104" s="2267"/>
      <c r="C104" s="2267"/>
      <c r="D104" s="2267"/>
      <c r="E104" s="2267"/>
      <c r="F104" s="2267"/>
      <c r="G104" s="2267"/>
      <c r="H104" s="2267"/>
      <c r="I104" s="2267"/>
      <c r="J104" s="2267"/>
      <c r="K104" s="2267"/>
      <c r="L104" s="2267"/>
      <c r="M104" s="2267"/>
      <c r="N104" s="2267"/>
      <c r="O104" s="2267"/>
      <c r="P104" s="2267"/>
      <c r="Q104" s="2267"/>
      <c r="R104" s="2267"/>
      <c r="S104" s="2267"/>
      <c r="T104" s="2267"/>
      <c r="U104" s="2267"/>
      <c r="V104" s="2267"/>
      <c r="W104" s="2267"/>
      <c r="X104" s="2267"/>
      <c r="Y104" s="2267"/>
      <c r="Z104" s="2267"/>
      <c r="AA104" s="2267"/>
      <c r="AB104" s="2267"/>
      <c r="AC104" s="2267"/>
      <c r="AD104" s="2267"/>
      <c r="AE104" s="2267"/>
      <c r="AF104" s="2267"/>
      <c r="AG104" s="2267"/>
      <c r="AH104" s="2267"/>
      <c r="AI104" s="2264"/>
      <c r="AJ104" s="2264"/>
      <c r="AK104" s="2264"/>
      <c r="AL104" s="2264"/>
    </row>
    <row r="105" spans="1:38" ht="13.8">
      <c r="A105" s="4119" t="s">
        <v>761</v>
      </c>
      <c r="B105" s="4120"/>
      <c r="C105" s="4121"/>
      <c r="D105" s="49"/>
      <c r="E105" s="49"/>
      <c r="F105" s="49"/>
      <c r="G105" s="49"/>
      <c r="H105" s="49"/>
      <c r="I105" s="49"/>
      <c r="J105" s="49"/>
      <c r="K105" s="49"/>
      <c r="L105" s="49"/>
      <c r="M105" s="144"/>
      <c r="N105" s="49"/>
      <c r="O105" s="49"/>
      <c r="P105" s="49"/>
      <c r="Q105" s="49"/>
      <c r="R105" s="49"/>
      <c r="S105" s="49"/>
      <c r="T105" s="49"/>
      <c r="U105" s="49"/>
      <c r="V105" s="49"/>
      <c r="W105" s="49"/>
      <c r="X105" s="49"/>
      <c r="Y105" s="49"/>
      <c r="Z105" s="49"/>
      <c r="AA105" s="49"/>
      <c r="AB105" s="49"/>
      <c r="AC105" s="49"/>
      <c r="AD105" s="49"/>
      <c r="AE105" s="49"/>
      <c r="AF105" s="49"/>
      <c r="AG105" s="49"/>
      <c r="AH105" s="145"/>
      <c r="AI105" s="2264"/>
      <c r="AJ105" s="2264"/>
      <c r="AK105" s="2264"/>
      <c r="AL105" s="2264"/>
    </row>
    <row r="106" spans="1:38" ht="13.8">
      <c r="A106" s="146" t="s">
        <v>70</v>
      </c>
      <c r="B106" s="146" t="s">
        <v>71</v>
      </c>
      <c r="C106" s="147">
        <v>1</v>
      </c>
      <c r="D106" s="147">
        <v>2</v>
      </c>
      <c r="E106" s="147">
        <v>3</v>
      </c>
      <c r="F106" s="147">
        <v>4</v>
      </c>
      <c r="G106" s="147">
        <v>5</v>
      </c>
      <c r="H106" s="147">
        <v>6</v>
      </c>
      <c r="I106" s="147">
        <v>7</v>
      </c>
      <c r="J106" s="147">
        <v>8</v>
      </c>
      <c r="K106" s="147">
        <v>9</v>
      </c>
      <c r="L106" s="147">
        <v>10</v>
      </c>
      <c r="M106" s="147">
        <v>11</v>
      </c>
      <c r="N106" s="147">
        <v>12</v>
      </c>
      <c r="O106" s="147">
        <v>13</v>
      </c>
      <c r="P106" s="147">
        <v>14</v>
      </c>
      <c r="Q106" s="147">
        <v>15</v>
      </c>
      <c r="R106" s="147">
        <v>16</v>
      </c>
      <c r="S106" s="147">
        <v>17</v>
      </c>
      <c r="T106" s="147">
        <v>18</v>
      </c>
      <c r="U106" s="147">
        <v>19</v>
      </c>
      <c r="V106" s="147">
        <v>20</v>
      </c>
      <c r="W106" s="1267">
        <v>21</v>
      </c>
      <c r="X106" s="147">
        <v>22</v>
      </c>
      <c r="Y106" s="147">
        <v>23</v>
      </c>
      <c r="Z106" s="147">
        <v>24</v>
      </c>
      <c r="AA106" s="147">
        <v>25</v>
      </c>
      <c r="AB106" s="147">
        <v>26</v>
      </c>
      <c r="AC106" s="147">
        <v>27</v>
      </c>
      <c r="AD106" s="147">
        <v>28</v>
      </c>
      <c r="AE106" s="147">
        <v>29</v>
      </c>
      <c r="AF106" s="147">
        <v>30</v>
      </c>
      <c r="AG106" s="147">
        <v>31</v>
      </c>
      <c r="AH106" s="149" t="s">
        <v>50</v>
      </c>
      <c r="AI106" s="2264"/>
      <c r="AJ106" s="2264"/>
      <c r="AK106" s="2264"/>
      <c r="AL106" s="2264"/>
    </row>
    <row r="107" spans="1:38" ht="13.8">
      <c r="A107" s="1073" t="s">
        <v>73</v>
      </c>
      <c r="B107" s="2333">
        <f>+AH107/1000</f>
        <v>509.32900000000001</v>
      </c>
      <c r="C107" s="2334">
        <v>3300</v>
      </c>
      <c r="D107" s="2334">
        <v>5300</v>
      </c>
      <c r="E107" s="2334">
        <v>22750</v>
      </c>
      <c r="F107" s="2334">
        <v>2067</v>
      </c>
      <c r="G107" s="2334">
        <v>925</v>
      </c>
      <c r="H107" s="2334">
        <v>8116</v>
      </c>
      <c r="I107" s="2334">
        <v>45093</v>
      </c>
      <c r="J107" s="2334">
        <v>25602</v>
      </c>
      <c r="K107" s="2334">
        <v>6656</v>
      </c>
      <c r="L107" s="2334">
        <v>31290</v>
      </c>
      <c r="M107" s="2334">
        <v>555</v>
      </c>
      <c r="N107" s="2334">
        <v>13362</v>
      </c>
      <c r="O107" s="2334">
        <v>22591</v>
      </c>
      <c r="P107" s="2334">
        <v>64934</v>
      </c>
      <c r="Q107" s="2334">
        <v>14493</v>
      </c>
      <c r="R107" s="2334">
        <v>6655</v>
      </c>
      <c r="S107" s="2334">
        <v>10077</v>
      </c>
      <c r="T107" s="2334">
        <v>27416</v>
      </c>
      <c r="U107" s="2334">
        <v>9291</v>
      </c>
      <c r="V107" s="2334">
        <v>25317</v>
      </c>
      <c r="W107" s="2334">
        <v>30088</v>
      </c>
      <c r="X107" s="2334">
        <v>11988</v>
      </c>
      <c r="Y107" s="2334">
        <v>5723</v>
      </c>
      <c r="Z107" s="2334">
        <v>9918</v>
      </c>
      <c r="AA107" s="2334">
        <v>9219</v>
      </c>
      <c r="AB107" s="2334">
        <v>2120</v>
      </c>
      <c r="AC107" s="2334">
        <v>10415</v>
      </c>
      <c r="AD107" s="2334">
        <v>22022</v>
      </c>
      <c r="AE107" s="2334">
        <v>16741</v>
      </c>
      <c r="AF107" s="2334">
        <v>11379</v>
      </c>
      <c r="AG107" s="2334">
        <v>33926</v>
      </c>
      <c r="AH107" s="2335">
        <f>SUM(C107:AG107)</f>
        <v>509329</v>
      </c>
      <c r="AI107" s="2264"/>
      <c r="AJ107" s="2264"/>
      <c r="AK107" s="2264"/>
      <c r="AL107" s="2264"/>
    </row>
    <row r="108" spans="1:38" ht="13.8">
      <c r="A108" s="1073" t="s">
        <v>74</v>
      </c>
      <c r="B108" s="2333">
        <f t="shared" ref="B108:B118" si="12">+AH108/1000</f>
        <v>515.50599999999997</v>
      </c>
      <c r="C108" s="2334">
        <v>9415</v>
      </c>
      <c r="D108" s="2334">
        <v>1117</v>
      </c>
      <c r="E108" s="2334">
        <v>24061</v>
      </c>
      <c r="F108" s="2334">
        <v>47629</v>
      </c>
      <c r="G108" s="2334">
        <v>9613</v>
      </c>
      <c r="H108" s="2334">
        <v>18444</v>
      </c>
      <c r="I108" s="2334">
        <v>31039</v>
      </c>
      <c r="J108" s="2334">
        <v>5646</v>
      </c>
      <c r="K108" s="2334">
        <v>863</v>
      </c>
      <c r="L108" s="2334">
        <v>14083</v>
      </c>
      <c r="M108" s="2334">
        <v>13828</v>
      </c>
      <c r="N108" s="2334">
        <v>16492</v>
      </c>
      <c r="O108" s="2334">
        <v>17053</v>
      </c>
      <c r="P108" s="2334">
        <v>14634</v>
      </c>
      <c r="Q108" s="2334">
        <v>4926</v>
      </c>
      <c r="R108" s="2334">
        <v>15253</v>
      </c>
      <c r="S108" s="2334">
        <v>39351</v>
      </c>
      <c r="T108" s="2334">
        <v>31693</v>
      </c>
      <c r="U108" s="2334">
        <v>12831</v>
      </c>
      <c r="V108" s="2334">
        <v>13550</v>
      </c>
      <c r="W108" s="2334">
        <v>28655</v>
      </c>
      <c r="X108" s="2334">
        <v>13000</v>
      </c>
      <c r="Y108" s="2334">
        <v>10165</v>
      </c>
      <c r="Z108" s="2334">
        <v>13809</v>
      </c>
      <c r="AA108" s="2334">
        <v>44545</v>
      </c>
      <c r="AB108" s="2334">
        <v>25860</v>
      </c>
      <c r="AC108" s="2334">
        <v>13318</v>
      </c>
      <c r="AD108" s="2334">
        <v>24633</v>
      </c>
      <c r="AE108" s="2334">
        <v>0</v>
      </c>
      <c r="AF108" s="2334">
        <v>0</v>
      </c>
      <c r="AG108" s="2334">
        <v>0</v>
      </c>
      <c r="AH108" s="2335">
        <f>SUM(C108:AG108)</f>
        <v>515506</v>
      </c>
      <c r="AI108" s="2264"/>
      <c r="AJ108" s="2264"/>
      <c r="AK108" s="2264"/>
      <c r="AL108" s="2264"/>
    </row>
    <row r="109" spans="1:38" ht="13.8">
      <c r="A109" s="1073" t="s">
        <v>75</v>
      </c>
      <c r="B109" s="2333">
        <f t="shared" si="12"/>
        <v>115.782</v>
      </c>
      <c r="C109" s="2334">
        <v>15156</v>
      </c>
      <c r="D109" s="2334">
        <v>10242</v>
      </c>
      <c r="E109" s="2334">
        <v>75122</v>
      </c>
      <c r="F109" s="2334">
        <v>6712</v>
      </c>
      <c r="G109" s="2334">
        <v>1901</v>
      </c>
      <c r="H109" s="2334">
        <v>0</v>
      </c>
      <c r="I109" s="2334">
        <v>1873</v>
      </c>
      <c r="J109" s="2334">
        <v>0</v>
      </c>
      <c r="K109" s="2334">
        <v>0</v>
      </c>
      <c r="L109" s="2334">
        <v>0</v>
      </c>
      <c r="M109" s="2334">
        <v>0</v>
      </c>
      <c r="N109" s="2334">
        <v>0</v>
      </c>
      <c r="O109" s="2334">
        <v>0</v>
      </c>
      <c r="P109" s="2334">
        <v>0</v>
      </c>
      <c r="Q109" s="2334">
        <v>0</v>
      </c>
      <c r="R109" s="2334">
        <v>0</v>
      </c>
      <c r="S109" s="2334">
        <v>0</v>
      </c>
      <c r="T109" s="2334">
        <v>0</v>
      </c>
      <c r="U109" s="2334">
        <v>890</v>
      </c>
      <c r="V109" s="2334">
        <v>0</v>
      </c>
      <c r="W109" s="2334">
        <v>0</v>
      </c>
      <c r="X109" s="2334">
        <v>3886</v>
      </c>
      <c r="Y109" s="2334">
        <v>0</v>
      </c>
      <c r="Z109" s="2334">
        <v>0</v>
      </c>
      <c r="AA109" s="2334">
        <v>0</v>
      </c>
      <c r="AB109" s="2334">
        <v>0</v>
      </c>
      <c r="AC109" s="2334">
        <v>0</v>
      </c>
      <c r="AD109" s="2334">
        <v>0</v>
      </c>
      <c r="AE109" s="2334">
        <v>0</v>
      </c>
      <c r="AF109" s="2334">
        <v>0</v>
      </c>
      <c r="AG109" s="2334">
        <v>0</v>
      </c>
      <c r="AH109" s="2335">
        <f>SUM(C109:AG109)</f>
        <v>115782</v>
      </c>
      <c r="AI109" s="2264"/>
      <c r="AJ109" s="2264"/>
      <c r="AK109" s="2264"/>
      <c r="AL109" s="2264"/>
    </row>
    <row r="110" spans="1:38" ht="13.8">
      <c r="A110" s="2336" t="s">
        <v>76</v>
      </c>
      <c r="B110" s="2333">
        <f t="shared" si="12"/>
        <v>904.995</v>
      </c>
      <c r="C110" s="2334">
        <v>37608</v>
      </c>
      <c r="D110" s="2334">
        <v>37547</v>
      </c>
      <c r="E110" s="2334">
        <v>42140</v>
      </c>
      <c r="F110" s="2334">
        <v>26339</v>
      </c>
      <c r="G110" s="2334">
        <v>59443</v>
      </c>
      <c r="H110" s="2334">
        <v>33146</v>
      </c>
      <c r="I110" s="2334">
        <v>20474</v>
      </c>
      <c r="J110" s="2334">
        <v>69355</v>
      </c>
      <c r="K110" s="2334">
        <v>32860</v>
      </c>
      <c r="L110" s="2334">
        <v>44736</v>
      </c>
      <c r="M110" s="2334">
        <v>21639</v>
      </c>
      <c r="N110" s="2334">
        <v>2383</v>
      </c>
      <c r="O110" s="2334">
        <v>1703</v>
      </c>
      <c r="P110" s="2334">
        <v>22916</v>
      </c>
      <c r="Q110" s="2334">
        <v>22355</v>
      </c>
      <c r="R110" s="2334">
        <v>8789</v>
      </c>
      <c r="S110" s="2334">
        <v>20287</v>
      </c>
      <c r="T110" s="2334">
        <v>740</v>
      </c>
      <c r="U110" s="2334">
        <v>6573</v>
      </c>
      <c r="V110" s="2334">
        <v>19339</v>
      </c>
      <c r="W110" s="2334">
        <v>26138</v>
      </c>
      <c r="X110" s="2334">
        <v>44372</v>
      </c>
      <c r="Y110" s="2334">
        <v>30105</v>
      </c>
      <c r="Z110" s="2483">
        <v>48650</v>
      </c>
      <c r="AA110" s="2334">
        <v>56788</v>
      </c>
      <c r="AB110" s="2334">
        <v>20971</v>
      </c>
      <c r="AC110" s="2334">
        <v>8607</v>
      </c>
      <c r="AD110" s="2334">
        <v>42809</v>
      </c>
      <c r="AE110" s="2334">
        <v>50647</v>
      </c>
      <c r="AF110" s="2334">
        <v>45536</v>
      </c>
      <c r="AG110" s="2334">
        <v>0</v>
      </c>
      <c r="AH110" s="2335">
        <f t="shared" ref="AH110:AH118" si="13">SUM(C110:AG110)</f>
        <v>904995</v>
      </c>
      <c r="AI110" s="2264"/>
      <c r="AJ110" s="2264"/>
      <c r="AK110" s="2264"/>
      <c r="AL110" s="2264"/>
    </row>
    <row r="111" spans="1:38" ht="13.8">
      <c r="A111" s="2336" t="s">
        <v>77</v>
      </c>
      <c r="B111" s="2333">
        <f t="shared" si="12"/>
        <v>400.113</v>
      </c>
      <c r="C111" s="2334">
        <v>20285</v>
      </c>
      <c r="D111" s="2334">
        <v>22808</v>
      </c>
      <c r="E111" s="2334">
        <v>35737</v>
      </c>
      <c r="F111" s="2334">
        <v>10027</v>
      </c>
      <c r="G111" s="2334">
        <v>51983</v>
      </c>
      <c r="H111" s="2334">
        <v>13914</v>
      </c>
      <c r="I111" s="2334">
        <v>19197</v>
      </c>
      <c r="J111" s="2334">
        <v>25058</v>
      </c>
      <c r="K111" s="2334">
        <v>9221</v>
      </c>
      <c r="L111" s="2334">
        <v>6204</v>
      </c>
      <c r="M111" s="2334">
        <v>2051</v>
      </c>
      <c r="N111" s="2334">
        <v>11517</v>
      </c>
      <c r="O111" s="2334">
        <v>7422</v>
      </c>
      <c r="P111" s="2334">
        <v>31941</v>
      </c>
      <c r="Q111" s="2334">
        <v>16079</v>
      </c>
      <c r="R111" s="2334">
        <v>11542</v>
      </c>
      <c r="S111" s="2334">
        <v>11657</v>
      </c>
      <c r="T111" s="2334">
        <v>11286</v>
      </c>
      <c r="U111" s="2334">
        <v>7765</v>
      </c>
      <c r="V111" s="2334">
        <v>11342</v>
      </c>
      <c r="W111" s="2334">
        <v>0</v>
      </c>
      <c r="X111" s="2334">
        <v>1170</v>
      </c>
      <c r="Y111" s="2334">
        <v>13926</v>
      </c>
      <c r="Z111" s="2334">
        <v>6262</v>
      </c>
      <c r="AA111" s="2334">
        <v>7383</v>
      </c>
      <c r="AB111" s="2334">
        <v>2279</v>
      </c>
      <c r="AC111" s="2334">
        <v>2000</v>
      </c>
      <c r="AD111" s="2334">
        <v>23615</v>
      </c>
      <c r="AE111" s="2334">
        <v>3651</v>
      </c>
      <c r="AF111" s="2334">
        <v>1679</v>
      </c>
      <c r="AG111" s="2334">
        <v>1112</v>
      </c>
      <c r="AH111" s="2335">
        <f t="shared" si="13"/>
        <v>400113</v>
      </c>
      <c r="AI111" s="2264"/>
      <c r="AJ111" s="2264"/>
      <c r="AK111" s="2264"/>
      <c r="AL111" s="2264"/>
    </row>
    <row r="112" spans="1:38" ht="13.8">
      <c r="A112" s="2336" t="s">
        <v>78</v>
      </c>
      <c r="B112" s="2333">
        <f t="shared" si="12"/>
        <v>104.633</v>
      </c>
      <c r="C112" s="2334">
        <v>5604</v>
      </c>
      <c r="D112" s="2334">
        <v>1605</v>
      </c>
      <c r="E112" s="2334">
        <v>0</v>
      </c>
      <c r="F112" s="2334">
        <v>3072</v>
      </c>
      <c r="G112" s="2334">
        <v>14480</v>
      </c>
      <c r="H112" s="2334">
        <v>2563</v>
      </c>
      <c r="I112" s="2334">
        <v>3912</v>
      </c>
      <c r="J112" s="2334">
        <v>0</v>
      </c>
      <c r="K112" s="2334">
        <v>0</v>
      </c>
      <c r="L112" s="2334">
        <v>1114</v>
      </c>
      <c r="M112" s="2334">
        <v>0</v>
      </c>
      <c r="N112" s="2334">
        <v>0</v>
      </c>
      <c r="O112" s="2334">
        <v>0</v>
      </c>
      <c r="P112" s="2334">
        <v>0</v>
      </c>
      <c r="Q112" s="2334">
        <v>0</v>
      </c>
      <c r="R112" s="2334">
        <v>240</v>
      </c>
      <c r="S112" s="2334">
        <v>1800</v>
      </c>
      <c r="T112" s="2334">
        <v>12704</v>
      </c>
      <c r="U112" s="2334">
        <v>9772</v>
      </c>
      <c r="V112" s="2334">
        <v>8497</v>
      </c>
      <c r="W112" s="2334">
        <v>2130</v>
      </c>
      <c r="X112" s="2334">
        <v>10475</v>
      </c>
      <c r="Y112" s="2334">
        <v>834</v>
      </c>
      <c r="Z112" s="2334">
        <v>5538</v>
      </c>
      <c r="AA112" s="2334">
        <v>5727</v>
      </c>
      <c r="AB112" s="2334">
        <v>0</v>
      </c>
      <c r="AC112" s="2334">
        <v>11614</v>
      </c>
      <c r="AD112" s="2334">
        <v>430</v>
      </c>
      <c r="AE112" s="2334">
        <v>0</v>
      </c>
      <c r="AF112" s="2334">
        <v>2522</v>
      </c>
      <c r="AG112" s="2334">
        <v>0</v>
      </c>
      <c r="AH112" s="2335">
        <f t="shared" si="13"/>
        <v>104633</v>
      </c>
      <c r="AI112" s="2264"/>
      <c r="AJ112" s="2264"/>
      <c r="AK112" s="2264"/>
      <c r="AL112" s="2264"/>
    </row>
    <row r="113" spans="1:38" ht="13.8">
      <c r="A113" s="2337" t="s">
        <v>79</v>
      </c>
      <c r="B113" s="2333">
        <f t="shared" si="12"/>
        <v>177.505</v>
      </c>
      <c r="C113" s="2334">
        <v>7253</v>
      </c>
      <c r="D113" s="2334">
        <v>1231</v>
      </c>
      <c r="E113" s="2334">
        <v>250</v>
      </c>
      <c r="F113" s="2334">
        <v>3454</v>
      </c>
      <c r="G113" s="2334">
        <v>0</v>
      </c>
      <c r="H113" s="2334">
        <v>2561</v>
      </c>
      <c r="I113" s="2334">
        <v>10777</v>
      </c>
      <c r="J113" s="2334">
        <v>5566</v>
      </c>
      <c r="K113" s="2334">
        <v>3947</v>
      </c>
      <c r="L113" s="2334">
        <v>26812</v>
      </c>
      <c r="M113" s="2334">
        <v>230</v>
      </c>
      <c r="N113" s="2334">
        <v>15514</v>
      </c>
      <c r="O113" s="2334">
        <v>652</v>
      </c>
      <c r="P113" s="2334">
        <v>1420</v>
      </c>
      <c r="Q113" s="2334">
        <v>7509</v>
      </c>
      <c r="R113" s="2334">
        <v>0</v>
      </c>
      <c r="S113" s="2334">
        <v>2331</v>
      </c>
      <c r="T113" s="2334">
        <v>10311</v>
      </c>
      <c r="U113" s="2334">
        <v>0</v>
      </c>
      <c r="V113" s="2334">
        <v>70</v>
      </c>
      <c r="W113" s="2334">
        <v>3074</v>
      </c>
      <c r="X113" s="2334">
        <v>6657</v>
      </c>
      <c r="Y113" s="2334">
        <v>6388</v>
      </c>
      <c r="Z113" s="2334">
        <v>17928</v>
      </c>
      <c r="AA113" s="2334">
        <v>24291</v>
      </c>
      <c r="AB113" s="2334">
        <v>418</v>
      </c>
      <c r="AC113" s="2334">
        <v>5757</v>
      </c>
      <c r="AD113" s="2334">
        <v>3527</v>
      </c>
      <c r="AE113" s="2334">
        <v>3106</v>
      </c>
      <c r="AF113" s="2334">
        <v>5891</v>
      </c>
      <c r="AG113" s="2334">
        <v>580</v>
      </c>
      <c r="AH113" s="2335">
        <f t="shared" si="13"/>
        <v>177505</v>
      </c>
      <c r="AI113" s="2264"/>
      <c r="AJ113" s="2264"/>
      <c r="AK113" s="2264"/>
      <c r="AL113" s="2264"/>
    </row>
    <row r="114" spans="1:38" ht="13.8">
      <c r="A114" s="2337" t="s">
        <v>80</v>
      </c>
      <c r="B114" s="2333">
        <f t="shared" si="12"/>
        <v>138.547</v>
      </c>
      <c r="C114" s="2334">
        <v>9278</v>
      </c>
      <c r="D114" s="2334">
        <v>0</v>
      </c>
      <c r="E114" s="2334">
        <v>1989</v>
      </c>
      <c r="F114" s="2334">
        <v>3471</v>
      </c>
      <c r="G114" s="2334">
        <v>3674</v>
      </c>
      <c r="H114" s="2334">
        <v>620</v>
      </c>
      <c r="I114" s="2334">
        <v>11910</v>
      </c>
      <c r="J114" s="2334">
        <v>5666</v>
      </c>
      <c r="K114" s="2334">
        <v>1188</v>
      </c>
      <c r="L114" s="2334">
        <v>2840</v>
      </c>
      <c r="M114" s="2334">
        <v>5490</v>
      </c>
      <c r="N114" s="2334">
        <v>4987</v>
      </c>
      <c r="O114" s="2334">
        <v>232</v>
      </c>
      <c r="P114" s="2334">
        <v>2700</v>
      </c>
      <c r="Q114" s="2334">
        <v>7476</v>
      </c>
      <c r="R114" s="2334">
        <v>3665</v>
      </c>
      <c r="S114" s="2334">
        <v>13916</v>
      </c>
      <c r="T114" s="2334">
        <v>2182</v>
      </c>
      <c r="U114" s="2334">
        <v>2829</v>
      </c>
      <c r="V114" s="2334">
        <v>5183</v>
      </c>
      <c r="W114" s="2334">
        <v>4700</v>
      </c>
      <c r="X114" s="2334">
        <v>16349</v>
      </c>
      <c r="Y114" s="2334">
        <v>0</v>
      </c>
      <c r="Z114" s="2334">
        <v>4330</v>
      </c>
      <c r="AA114" s="2334">
        <v>1010</v>
      </c>
      <c r="AB114" s="2334">
        <v>600</v>
      </c>
      <c r="AC114" s="2334">
        <v>8528</v>
      </c>
      <c r="AD114" s="2334">
        <v>13550</v>
      </c>
      <c r="AE114" s="2334">
        <v>0</v>
      </c>
      <c r="AF114" s="2334">
        <v>0</v>
      </c>
      <c r="AG114" s="2334">
        <v>184</v>
      </c>
      <c r="AH114" s="2335">
        <f t="shared" si="13"/>
        <v>138547</v>
      </c>
      <c r="AI114" s="2264"/>
      <c r="AJ114" s="2264"/>
      <c r="AK114" s="2264"/>
      <c r="AL114" s="2264"/>
    </row>
    <row r="115" spans="1:38" ht="13.8">
      <c r="A115" s="2337" t="s">
        <v>81</v>
      </c>
      <c r="B115" s="2333">
        <f t="shared" si="12"/>
        <v>104.428</v>
      </c>
      <c r="C115" s="2334">
        <v>1291</v>
      </c>
      <c r="D115" s="2334">
        <v>0</v>
      </c>
      <c r="E115" s="2334">
        <v>1448</v>
      </c>
      <c r="F115" s="2334">
        <v>0</v>
      </c>
      <c r="G115" s="2334">
        <v>0</v>
      </c>
      <c r="H115" s="2334">
        <v>3071</v>
      </c>
      <c r="I115" s="2334">
        <v>970</v>
      </c>
      <c r="J115" s="2334">
        <v>810</v>
      </c>
      <c r="K115" s="2334">
        <v>655</v>
      </c>
      <c r="L115" s="2334">
        <v>14573</v>
      </c>
      <c r="M115" s="2334">
        <v>5533</v>
      </c>
      <c r="N115" s="2334">
        <v>27679</v>
      </c>
      <c r="O115" s="2334">
        <v>4186</v>
      </c>
      <c r="P115" s="2334">
        <v>1135</v>
      </c>
      <c r="Q115" s="2334">
        <v>0</v>
      </c>
      <c r="R115" s="2334">
        <v>881</v>
      </c>
      <c r="S115" s="2334">
        <v>2185</v>
      </c>
      <c r="T115" s="2334">
        <v>0</v>
      </c>
      <c r="U115" s="2334">
        <v>0</v>
      </c>
      <c r="V115" s="2334">
        <v>1270</v>
      </c>
      <c r="W115" s="2334">
        <v>0</v>
      </c>
      <c r="X115" s="2334">
        <v>13271</v>
      </c>
      <c r="Y115" s="2334">
        <v>3016</v>
      </c>
      <c r="Z115" s="2334">
        <v>6766</v>
      </c>
      <c r="AA115" s="2334">
        <v>15688</v>
      </c>
      <c r="AB115" s="2334">
        <v>0</v>
      </c>
      <c r="AC115" s="2334">
        <v>0</v>
      </c>
      <c r="AD115" s="2334">
        <v>0</v>
      </c>
      <c r="AE115" s="2334">
        <v>0</v>
      </c>
      <c r="AF115" s="2334">
        <v>0</v>
      </c>
      <c r="AG115" s="2334">
        <v>0</v>
      </c>
      <c r="AH115" s="2335">
        <f t="shared" si="13"/>
        <v>104428</v>
      </c>
      <c r="AI115" s="2264"/>
      <c r="AJ115" s="2264"/>
      <c r="AK115" s="2264"/>
      <c r="AL115" s="2264"/>
    </row>
    <row r="116" spans="1:38" ht="13.8">
      <c r="A116" s="2338" t="s">
        <v>82</v>
      </c>
      <c r="B116" s="2333">
        <f t="shared" si="12"/>
        <v>0</v>
      </c>
      <c r="C116" s="2334">
        <v>0</v>
      </c>
      <c r="D116" s="2334">
        <v>0</v>
      </c>
      <c r="E116" s="2334">
        <v>0</v>
      </c>
      <c r="F116" s="2334">
        <v>0</v>
      </c>
      <c r="G116" s="2334">
        <v>0</v>
      </c>
      <c r="H116" s="2334">
        <v>0</v>
      </c>
      <c r="I116" s="2334">
        <v>0</v>
      </c>
      <c r="J116" s="2334">
        <v>0</v>
      </c>
      <c r="K116" s="2334">
        <v>0</v>
      </c>
      <c r="L116" s="2334">
        <v>0</v>
      </c>
      <c r="M116" s="2334">
        <v>0</v>
      </c>
      <c r="N116" s="2334">
        <v>0</v>
      </c>
      <c r="O116" s="2334">
        <v>0</v>
      </c>
      <c r="P116" s="2334">
        <v>0</v>
      </c>
      <c r="Q116" s="2334">
        <v>0</v>
      </c>
      <c r="R116" s="2334">
        <v>0</v>
      </c>
      <c r="S116" s="2334">
        <v>0</v>
      </c>
      <c r="T116" s="2334">
        <v>0</v>
      </c>
      <c r="U116" s="2334">
        <v>0</v>
      </c>
      <c r="V116" s="2334">
        <v>0</v>
      </c>
      <c r="W116" s="2334">
        <v>0</v>
      </c>
      <c r="X116" s="2334">
        <v>0</v>
      </c>
      <c r="Y116" s="2334">
        <v>0</v>
      </c>
      <c r="Z116" s="2334">
        <v>0</v>
      </c>
      <c r="AA116" s="2334">
        <v>0</v>
      </c>
      <c r="AB116" s="2334">
        <v>0</v>
      </c>
      <c r="AC116" s="2334">
        <v>0</v>
      </c>
      <c r="AD116" s="2334">
        <v>0</v>
      </c>
      <c r="AE116" s="2334">
        <v>0</v>
      </c>
      <c r="AF116" s="2334">
        <v>0</v>
      </c>
      <c r="AG116" s="2334">
        <v>0</v>
      </c>
      <c r="AH116" s="2335">
        <f t="shared" si="13"/>
        <v>0</v>
      </c>
      <c r="AI116" s="2264"/>
      <c r="AJ116" s="2264"/>
      <c r="AK116" s="2264"/>
      <c r="AL116" s="2264"/>
    </row>
    <row r="117" spans="1:38" ht="13.8">
      <c r="A117" s="2338" t="s">
        <v>83</v>
      </c>
      <c r="B117" s="2333">
        <f t="shared" si="12"/>
        <v>0</v>
      </c>
      <c r="C117" s="2334">
        <v>0</v>
      </c>
      <c r="D117" s="2334">
        <v>0</v>
      </c>
      <c r="E117" s="2334">
        <v>0</v>
      </c>
      <c r="F117" s="2334">
        <v>0</v>
      </c>
      <c r="G117" s="2334">
        <v>0</v>
      </c>
      <c r="H117" s="2334">
        <v>0</v>
      </c>
      <c r="I117" s="2334">
        <v>0</v>
      </c>
      <c r="J117" s="2334">
        <v>0</v>
      </c>
      <c r="K117" s="2334">
        <v>0</v>
      </c>
      <c r="L117" s="2334">
        <v>0</v>
      </c>
      <c r="M117" s="2334">
        <v>0</v>
      </c>
      <c r="N117" s="2334">
        <v>0</v>
      </c>
      <c r="O117" s="2334">
        <v>0</v>
      </c>
      <c r="P117" s="2334">
        <v>0</v>
      </c>
      <c r="Q117" s="2334">
        <v>0</v>
      </c>
      <c r="R117" s="2334">
        <v>0</v>
      </c>
      <c r="S117" s="2334">
        <v>0</v>
      </c>
      <c r="T117" s="2334">
        <v>0</v>
      </c>
      <c r="U117" s="2334">
        <v>0</v>
      </c>
      <c r="V117" s="2334">
        <v>0</v>
      </c>
      <c r="W117" s="2334">
        <v>0</v>
      </c>
      <c r="X117" s="2334">
        <v>0</v>
      </c>
      <c r="Y117" s="2334">
        <v>0</v>
      </c>
      <c r="Z117" s="2334">
        <v>0</v>
      </c>
      <c r="AA117" s="2334">
        <v>0</v>
      </c>
      <c r="AB117" s="2334">
        <v>0</v>
      </c>
      <c r="AC117" s="2334">
        <v>0</v>
      </c>
      <c r="AD117" s="2334">
        <v>0</v>
      </c>
      <c r="AE117" s="2334">
        <v>0</v>
      </c>
      <c r="AF117" s="2334">
        <v>0</v>
      </c>
      <c r="AG117" s="2334">
        <v>0</v>
      </c>
      <c r="AH117" s="2335">
        <f t="shared" si="13"/>
        <v>0</v>
      </c>
      <c r="AI117" s="2335">
        <f>IF('[1]Resumen algas IV reg '!$H$43="","",IF('[1]Resumen algas IV reg '!$H$43&lt;'[1]Algas IV reg '!AJ117,AH117,SUMIFS(C117:AG117,C120:AG120,AK117)))</f>
        <v>0</v>
      </c>
      <c r="AJ117" s="2340">
        <v>41214</v>
      </c>
      <c r="AK117" s="2264">
        <f>IF('[1]Resumen algas IV reg '!$H$43="","",VALUE(DAY('[1]Resumen algas IV reg '!$H$43)))</f>
        <v>0</v>
      </c>
      <c r="AL117" s="2341">
        <f>IF(AI118=0,AI117,AI118)</f>
        <v>0</v>
      </c>
    </row>
    <row r="118" spans="1:38" ht="13.8">
      <c r="A118" s="2338" t="s">
        <v>84</v>
      </c>
      <c r="B118" s="2333">
        <f t="shared" si="12"/>
        <v>0</v>
      </c>
      <c r="C118" s="2334">
        <v>0</v>
      </c>
      <c r="D118" s="2334">
        <v>0</v>
      </c>
      <c r="E118" s="2334">
        <v>0</v>
      </c>
      <c r="F118" s="2334">
        <v>0</v>
      </c>
      <c r="G118" s="2334">
        <v>0</v>
      </c>
      <c r="H118" s="2334">
        <v>0</v>
      </c>
      <c r="I118" s="2334">
        <v>0</v>
      </c>
      <c r="J118" s="2334">
        <v>0</v>
      </c>
      <c r="K118" s="2334">
        <v>0</v>
      </c>
      <c r="L118" s="2334">
        <v>0</v>
      </c>
      <c r="M118" s="2334">
        <v>0</v>
      </c>
      <c r="N118" s="2334">
        <v>0</v>
      </c>
      <c r="O118" s="2334">
        <v>0</v>
      </c>
      <c r="P118" s="2334">
        <v>0</v>
      </c>
      <c r="Q118" s="2334">
        <v>0</v>
      </c>
      <c r="R118" s="2334">
        <v>0</v>
      </c>
      <c r="S118" s="2334">
        <v>0</v>
      </c>
      <c r="T118" s="2334">
        <v>0</v>
      </c>
      <c r="U118" s="2334">
        <v>0</v>
      </c>
      <c r="V118" s="2334">
        <v>0</v>
      </c>
      <c r="W118" s="2334">
        <v>0</v>
      </c>
      <c r="X118" s="2334">
        <v>0</v>
      </c>
      <c r="Y118" s="2334">
        <v>0</v>
      </c>
      <c r="Z118" s="2334">
        <v>0</v>
      </c>
      <c r="AA118" s="2334">
        <v>0</v>
      </c>
      <c r="AB118" s="2334">
        <v>0</v>
      </c>
      <c r="AC118" s="2334">
        <v>0</v>
      </c>
      <c r="AD118" s="2334">
        <v>0</v>
      </c>
      <c r="AE118" s="2334">
        <v>0</v>
      </c>
      <c r="AF118" s="2334">
        <v>0</v>
      </c>
      <c r="AG118" s="2334">
        <v>0</v>
      </c>
      <c r="AH118" s="2335">
        <f t="shared" si="13"/>
        <v>0</v>
      </c>
      <c r="AI118" s="2335">
        <f>IF(AI117="",SUMIFS(N118:AG118,N120:AG120,AK117),AH118+AI117)</f>
        <v>0</v>
      </c>
      <c r="AJ118" s="2340">
        <v>41244</v>
      </c>
      <c r="AK118" s="2264"/>
      <c r="AL118" s="2264"/>
    </row>
    <row r="119" spans="1:38" ht="13.8">
      <c r="A119" s="154" t="s">
        <v>50</v>
      </c>
      <c r="B119" s="2342">
        <f>SUM(B107:B118)</f>
        <v>2970.8379999999997</v>
      </c>
      <c r="C119" s="2343">
        <v>3300</v>
      </c>
      <c r="D119" s="2343">
        <v>5300</v>
      </c>
      <c r="E119" s="2343">
        <v>22750</v>
      </c>
      <c r="F119" s="2343">
        <v>1663</v>
      </c>
      <c r="G119" s="2343">
        <v>925</v>
      </c>
      <c r="H119" s="2343">
        <v>8116</v>
      </c>
      <c r="I119" s="2343">
        <v>45093</v>
      </c>
      <c r="J119" s="2343">
        <v>25602</v>
      </c>
      <c r="K119" s="2343">
        <v>3583</v>
      </c>
      <c r="L119" s="2343">
        <v>28692</v>
      </c>
      <c r="M119" s="2343">
        <v>200</v>
      </c>
      <c r="N119" s="2343">
        <v>13362</v>
      </c>
      <c r="O119" s="2343">
        <v>22591</v>
      </c>
      <c r="P119" s="2343">
        <v>63198</v>
      </c>
      <c r="Q119" s="2343">
        <v>11808</v>
      </c>
      <c r="R119" s="2343">
        <v>464</v>
      </c>
      <c r="S119" s="2343">
        <v>8247</v>
      </c>
      <c r="T119" s="2343">
        <v>25073</v>
      </c>
      <c r="U119" s="2343">
        <v>7272</v>
      </c>
      <c r="V119" s="2343">
        <v>12456</v>
      </c>
      <c r="W119" s="2343">
        <v>1660</v>
      </c>
      <c r="X119" s="2343">
        <v>0</v>
      </c>
      <c r="Y119" s="2343">
        <v>0</v>
      </c>
      <c r="Z119" s="2343">
        <v>0</v>
      </c>
      <c r="AA119" s="2343">
        <v>0</v>
      </c>
      <c r="AB119" s="2343">
        <v>0</v>
      </c>
      <c r="AC119" s="2343">
        <v>0</v>
      </c>
      <c r="AD119" s="2343">
        <v>0</v>
      </c>
      <c r="AE119" s="2343">
        <v>0</v>
      </c>
      <c r="AF119" s="2343">
        <v>0</v>
      </c>
      <c r="AG119" s="2343">
        <v>0</v>
      </c>
      <c r="AH119" s="2344">
        <f>SUM(AH107:AH118)</f>
        <v>2970838</v>
      </c>
      <c r="AI119" s="2264"/>
      <c r="AJ119" s="2264"/>
      <c r="AK119" s="2264"/>
      <c r="AL119" s="2264"/>
    </row>
    <row r="120" spans="1:38" ht="13.2">
      <c r="A120" s="2267"/>
      <c r="B120" s="2267"/>
      <c r="C120" s="2345">
        <v>0</v>
      </c>
      <c r="D120" s="2345">
        <v>0</v>
      </c>
      <c r="E120" s="2345">
        <v>0</v>
      </c>
      <c r="F120" s="2345">
        <v>0</v>
      </c>
      <c r="G120" s="2345">
        <v>0</v>
      </c>
      <c r="H120" s="2345">
        <v>0</v>
      </c>
      <c r="I120" s="2345">
        <v>0</v>
      </c>
      <c r="J120" s="2345">
        <v>0</v>
      </c>
      <c r="K120" s="2345">
        <v>0</v>
      </c>
      <c r="L120" s="2345">
        <v>0</v>
      </c>
      <c r="M120" s="2345">
        <v>0</v>
      </c>
      <c r="N120" s="2345">
        <v>0</v>
      </c>
      <c r="O120" s="2345">
        <v>0</v>
      </c>
      <c r="P120" s="2345">
        <v>0</v>
      </c>
      <c r="Q120" s="2345">
        <v>0</v>
      </c>
      <c r="R120" s="2345">
        <v>0</v>
      </c>
      <c r="S120" s="2345">
        <v>0</v>
      </c>
      <c r="T120" s="2345">
        <v>0</v>
      </c>
      <c r="U120" s="2345">
        <v>0</v>
      </c>
      <c r="V120" s="2345">
        <v>0</v>
      </c>
      <c r="W120" s="2345">
        <v>0</v>
      </c>
      <c r="X120" s="2345">
        <v>0</v>
      </c>
      <c r="Y120" s="2345">
        <v>0</v>
      </c>
      <c r="Z120" s="2345">
        <v>0</v>
      </c>
      <c r="AA120" s="2345">
        <v>0</v>
      </c>
      <c r="AB120" s="2345">
        <v>0</v>
      </c>
      <c r="AC120" s="2345">
        <v>0</v>
      </c>
      <c r="AD120" s="2345">
        <v>0</v>
      </c>
      <c r="AE120" s="2345">
        <v>0</v>
      </c>
      <c r="AF120" s="2345">
        <v>0</v>
      </c>
      <c r="AG120" s="2345">
        <v>0</v>
      </c>
      <c r="AH120" s="2267"/>
      <c r="AI120" s="2264"/>
      <c r="AJ120" s="2264"/>
      <c r="AK120" s="2264"/>
      <c r="AL120" s="2264"/>
    </row>
    <row r="121" spans="1:38" ht="13.2">
      <c r="A121" s="2267"/>
      <c r="B121" s="2267"/>
      <c r="C121" s="2267"/>
      <c r="D121" s="2267"/>
      <c r="E121" s="2267"/>
      <c r="F121" s="2267"/>
      <c r="G121" s="2267"/>
      <c r="H121" s="2267"/>
      <c r="I121" s="2267"/>
      <c r="J121" s="2267"/>
      <c r="K121" s="2267"/>
      <c r="L121" s="2267"/>
      <c r="M121" s="2267"/>
      <c r="N121" s="2267"/>
      <c r="O121" s="2267"/>
      <c r="P121" s="2267"/>
      <c r="Q121" s="2267"/>
      <c r="R121" s="2267"/>
      <c r="S121" s="2267"/>
      <c r="T121" s="2267"/>
      <c r="U121" s="2267"/>
      <c r="V121" s="2267"/>
      <c r="W121" s="2267"/>
      <c r="X121" s="2267"/>
      <c r="Y121" s="2267"/>
      <c r="Z121" s="2267"/>
      <c r="AA121" s="2267"/>
      <c r="AB121" s="2267"/>
      <c r="AC121" s="2267"/>
      <c r="AD121" s="2267"/>
      <c r="AE121" s="2267"/>
      <c r="AF121" s="2267"/>
      <c r="AG121" s="2267"/>
      <c r="AH121" s="2267"/>
      <c r="AI121" s="2264"/>
      <c r="AJ121" s="2264"/>
      <c r="AK121" s="2264"/>
      <c r="AL121" s="2264"/>
    </row>
    <row r="122" spans="1:38" ht="13.8">
      <c r="A122" s="4119" t="s">
        <v>762</v>
      </c>
      <c r="B122" s="4120"/>
      <c r="C122" s="4121"/>
      <c r="D122" s="49"/>
      <c r="E122" s="49"/>
      <c r="F122" s="2625">
        <f>+B128+B127</f>
        <v>1698.7759999999998</v>
      </c>
      <c r="G122" s="49"/>
      <c r="H122" s="1201"/>
      <c r="I122" s="49"/>
      <c r="J122" s="49"/>
      <c r="K122" s="49"/>
      <c r="L122" s="49"/>
      <c r="M122" s="144"/>
      <c r="N122" s="49"/>
      <c r="O122" s="49"/>
      <c r="P122" s="49"/>
      <c r="Q122" s="49"/>
      <c r="R122" s="49"/>
      <c r="S122" s="49"/>
      <c r="T122" s="49"/>
      <c r="U122" s="49"/>
      <c r="V122" s="49"/>
      <c r="W122" s="49"/>
      <c r="X122" s="49"/>
      <c r="Y122" s="49"/>
      <c r="Z122" s="49"/>
      <c r="AA122" s="49"/>
      <c r="AB122" s="49"/>
      <c r="AC122" s="49"/>
      <c r="AD122" s="49"/>
      <c r="AE122" s="49"/>
      <c r="AF122" s="49"/>
      <c r="AG122" s="49"/>
      <c r="AH122" s="145"/>
      <c r="AI122" s="2264"/>
      <c r="AJ122" s="2264"/>
      <c r="AK122" s="2264"/>
      <c r="AL122" s="2264"/>
    </row>
    <row r="123" spans="1:38" ht="13.8">
      <c r="A123" s="146" t="s">
        <v>70</v>
      </c>
      <c r="B123" s="146" t="s">
        <v>71</v>
      </c>
      <c r="C123" s="147">
        <v>1</v>
      </c>
      <c r="D123" s="147">
        <v>2</v>
      </c>
      <c r="E123" s="147">
        <v>3</v>
      </c>
      <c r="F123" s="147">
        <v>4</v>
      </c>
      <c r="G123" s="147">
        <v>5</v>
      </c>
      <c r="H123" s="147">
        <v>6</v>
      </c>
      <c r="I123" s="147">
        <v>7</v>
      </c>
      <c r="J123" s="147">
        <v>8</v>
      </c>
      <c r="K123" s="147">
        <v>9</v>
      </c>
      <c r="L123" s="147">
        <v>10</v>
      </c>
      <c r="M123" s="147">
        <v>11</v>
      </c>
      <c r="N123" s="147">
        <v>12</v>
      </c>
      <c r="O123" s="147">
        <v>13</v>
      </c>
      <c r="P123" s="147">
        <v>14</v>
      </c>
      <c r="Q123" s="147">
        <v>15</v>
      </c>
      <c r="R123" s="147">
        <v>16</v>
      </c>
      <c r="S123" s="147">
        <v>17</v>
      </c>
      <c r="T123" s="147">
        <v>18</v>
      </c>
      <c r="U123" s="147">
        <v>19</v>
      </c>
      <c r="V123" s="147">
        <v>20</v>
      </c>
      <c r="W123" s="1267">
        <v>21</v>
      </c>
      <c r="X123" s="147">
        <v>22</v>
      </c>
      <c r="Y123" s="147">
        <v>23</v>
      </c>
      <c r="Z123" s="147">
        <v>24</v>
      </c>
      <c r="AA123" s="147">
        <v>25</v>
      </c>
      <c r="AB123" s="147">
        <v>26</v>
      </c>
      <c r="AC123" s="147">
        <v>27</v>
      </c>
      <c r="AD123" s="147">
        <v>28</v>
      </c>
      <c r="AE123" s="147">
        <v>29</v>
      </c>
      <c r="AF123" s="147">
        <v>30</v>
      </c>
      <c r="AG123" s="147">
        <v>31</v>
      </c>
      <c r="AH123" s="149" t="s">
        <v>50</v>
      </c>
      <c r="AI123" s="2264"/>
      <c r="AJ123" s="2264"/>
      <c r="AK123" s="2264"/>
      <c r="AL123" s="2264"/>
    </row>
    <row r="124" spans="1:38" ht="13.8">
      <c r="A124" s="1073" t="s">
        <v>73</v>
      </c>
      <c r="B124" s="2333">
        <f>+AH124/1000</f>
        <v>473.904</v>
      </c>
      <c r="C124" s="2334">
        <v>0</v>
      </c>
      <c r="D124" s="2334">
        <v>0</v>
      </c>
      <c r="E124" s="2334">
        <v>419</v>
      </c>
      <c r="F124" s="2334">
        <v>0</v>
      </c>
      <c r="G124" s="2334">
        <v>0</v>
      </c>
      <c r="H124" s="2334">
        <v>9609</v>
      </c>
      <c r="I124" s="2334">
        <v>21395</v>
      </c>
      <c r="J124" s="2334">
        <v>11689</v>
      </c>
      <c r="K124" s="2334">
        <v>17683</v>
      </c>
      <c r="L124" s="2334">
        <v>20434</v>
      </c>
      <c r="M124" s="2334">
        <v>11389</v>
      </c>
      <c r="N124" s="2334">
        <v>10764</v>
      </c>
      <c r="O124" s="2334">
        <v>28323</v>
      </c>
      <c r="P124" s="2334">
        <v>33536</v>
      </c>
      <c r="Q124" s="2334">
        <v>12082</v>
      </c>
      <c r="R124" s="2334">
        <v>4648</v>
      </c>
      <c r="S124" s="2334">
        <v>7449</v>
      </c>
      <c r="T124" s="2334">
        <v>28854</v>
      </c>
      <c r="U124" s="2334">
        <v>20689</v>
      </c>
      <c r="V124" s="2334">
        <v>39139</v>
      </c>
      <c r="W124" s="2334">
        <v>34938</v>
      </c>
      <c r="X124" s="2334">
        <v>30777</v>
      </c>
      <c r="Y124" s="2334">
        <v>6658</v>
      </c>
      <c r="Z124" s="2334">
        <v>12310</v>
      </c>
      <c r="AA124" s="2334">
        <v>8087</v>
      </c>
      <c r="AB124" s="2334">
        <v>0</v>
      </c>
      <c r="AC124" s="2334">
        <v>17278</v>
      </c>
      <c r="AD124" s="2334">
        <v>30871</v>
      </c>
      <c r="AE124" s="2334">
        <v>26946</v>
      </c>
      <c r="AF124" s="2334">
        <v>18037</v>
      </c>
      <c r="AG124" s="2334">
        <v>9900</v>
      </c>
      <c r="AH124" s="2335">
        <f>SUM(C124:AG124)</f>
        <v>473904</v>
      </c>
      <c r="AI124" s="2264"/>
      <c r="AJ124" s="2264"/>
      <c r="AK124" s="2264"/>
      <c r="AL124" s="2264"/>
    </row>
    <row r="125" spans="1:38" ht="13.8">
      <c r="A125" s="1073" t="s">
        <v>74</v>
      </c>
      <c r="B125" s="2333">
        <f t="shared" ref="B125:B135" si="14">+AH125/1000</f>
        <v>413.81099999999998</v>
      </c>
      <c r="C125" s="2334">
        <v>1200</v>
      </c>
      <c r="D125" s="2334">
        <v>80</v>
      </c>
      <c r="E125" s="2334">
        <v>13969</v>
      </c>
      <c r="F125" s="2334">
        <v>15119</v>
      </c>
      <c r="G125" s="2334">
        <v>18209</v>
      </c>
      <c r="H125" s="2334">
        <v>21072</v>
      </c>
      <c r="I125" s="2334">
        <v>12484</v>
      </c>
      <c r="J125" s="2334">
        <v>10153</v>
      </c>
      <c r="K125" s="2334">
        <v>7490</v>
      </c>
      <c r="L125" s="2334">
        <v>18083</v>
      </c>
      <c r="M125" s="2334">
        <v>22634</v>
      </c>
      <c r="N125" s="2334">
        <v>22468</v>
      </c>
      <c r="O125" s="2334">
        <v>11434</v>
      </c>
      <c r="P125" s="2334">
        <v>11064</v>
      </c>
      <c r="Q125" s="2334">
        <v>7594</v>
      </c>
      <c r="R125" s="2334">
        <v>9914</v>
      </c>
      <c r="S125" s="2334">
        <v>17559</v>
      </c>
      <c r="T125" s="2334">
        <v>21950</v>
      </c>
      <c r="U125" s="2334">
        <v>17858</v>
      </c>
      <c r="V125" s="2334">
        <v>7384</v>
      </c>
      <c r="W125" s="2334">
        <v>5029</v>
      </c>
      <c r="X125" s="2334">
        <v>15213</v>
      </c>
      <c r="Y125" s="2334">
        <v>10874</v>
      </c>
      <c r="Z125" s="2334">
        <v>19054</v>
      </c>
      <c r="AA125" s="2334">
        <v>27081</v>
      </c>
      <c r="AB125" s="2334">
        <v>30644</v>
      </c>
      <c r="AC125" s="2334">
        <v>20316</v>
      </c>
      <c r="AD125" s="2334">
        <v>17882</v>
      </c>
      <c r="AE125" s="2334">
        <v>0</v>
      </c>
      <c r="AF125" s="2334">
        <v>0</v>
      </c>
      <c r="AG125" s="2334">
        <v>0</v>
      </c>
      <c r="AH125" s="2335">
        <f>SUM(C125:AG125)</f>
        <v>413811</v>
      </c>
      <c r="AI125" s="2264"/>
      <c r="AJ125" s="2264"/>
      <c r="AK125" s="2264"/>
      <c r="AL125" s="2264"/>
    </row>
    <row r="126" spans="1:38" ht="13.8">
      <c r="A126" s="1073" t="s">
        <v>75</v>
      </c>
      <c r="B126" s="2333">
        <f t="shared" si="14"/>
        <v>730.26800000000003</v>
      </c>
      <c r="C126" s="2334">
        <v>15905</v>
      </c>
      <c r="D126" s="2334">
        <v>2215</v>
      </c>
      <c r="E126" s="2334">
        <v>0</v>
      </c>
      <c r="F126" s="2334">
        <v>14135</v>
      </c>
      <c r="G126" s="2334">
        <v>7370</v>
      </c>
      <c r="H126" s="2334">
        <v>14649</v>
      </c>
      <c r="I126" s="2334">
        <v>9236</v>
      </c>
      <c r="J126" s="2334">
        <v>0</v>
      </c>
      <c r="K126" s="2334">
        <v>1212</v>
      </c>
      <c r="L126" s="2334">
        <v>0</v>
      </c>
      <c r="M126" s="2334">
        <v>0</v>
      </c>
      <c r="N126" s="2334">
        <v>13316</v>
      </c>
      <c r="O126" s="2334">
        <v>38569</v>
      </c>
      <c r="P126" s="2334">
        <v>38969</v>
      </c>
      <c r="Q126" s="2334">
        <v>44694</v>
      </c>
      <c r="R126" s="2334">
        <v>56758</v>
      </c>
      <c r="S126" s="2334">
        <v>55315</v>
      </c>
      <c r="T126" s="2334">
        <v>29351</v>
      </c>
      <c r="U126" s="2334">
        <v>81446</v>
      </c>
      <c r="V126" s="2334">
        <v>67148</v>
      </c>
      <c r="W126" s="2334">
        <v>79312</v>
      </c>
      <c r="X126" s="2334">
        <v>6379</v>
      </c>
      <c r="Y126" s="2334">
        <v>9157</v>
      </c>
      <c r="Z126" s="2334">
        <v>35933</v>
      </c>
      <c r="AA126" s="2334">
        <v>48334</v>
      </c>
      <c r="AB126" s="2334">
        <v>56898</v>
      </c>
      <c r="AC126" s="2334">
        <v>3967</v>
      </c>
      <c r="AD126" s="2334">
        <v>0</v>
      </c>
      <c r="AE126" s="2334">
        <v>0</v>
      </c>
      <c r="AF126" s="2334">
        <v>0</v>
      </c>
      <c r="AG126" s="2334">
        <v>0</v>
      </c>
      <c r="AH126" s="2335">
        <f>SUM(C126:AG126)</f>
        <v>730268</v>
      </c>
      <c r="AI126" s="2264"/>
      <c r="AJ126" s="2264"/>
      <c r="AK126" s="2264"/>
      <c r="AL126" s="2264"/>
    </row>
    <row r="127" spans="1:38" ht="13.8">
      <c r="A127" s="2336" t="s">
        <v>76</v>
      </c>
      <c r="B127" s="2333">
        <f t="shared" si="14"/>
        <v>883.40599999999995</v>
      </c>
      <c r="C127" s="2334">
        <v>9333</v>
      </c>
      <c r="D127" s="2334">
        <v>6945</v>
      </c>
      <c r="E127" s="2334">
        <v>55372</v>
      </c>
      <c r="F127" s="2334">
        <v>60922</v>
      </c>
      <c r="G127" s="2334">
        <v>45948</v>
      </c>
      <c r="H127" s="2334">
        <v>53234</v>
      </c>
      <c r="I127" s="2334">
        <v>90486</v>
      </c>
      <c r="J127" s="2334">
        <v>70099</v>
      </c>
      <c r="K127" s="2334">
        <v>25461</v>
      </c>
      <c r="L127" s="2334">
        <v>8375</v>
      </c>
      <c r="M127" s="2334">
        <v>450</v>
      </c>
      <c r="N127" s="2334">
        <v>1500</v>
      </c>
      <c r="O127" s="2334">
        <v>3480</v>
      </c>
      <c r="P127" s="2334">
        <v>906</v>
      </c>
      <c r="Q127" s="2334">
        <v>29286</v>
      </c>
      <c r="R127" s="2334">
        <v>30701</v>
      </c>
      <c r="S127" s="2334">
        <v>16732</v>
      </c>
      <c r="T127" s="2334">
        <v>670</v>
      </c>
      <c r="U127" s="2334">
        <v>2525</v>
      </c>
      <c r="V127" s="2334">
        <v>3124</v>
      </c>
      <c r="W127" s="2334">
        <v>17221</v>
      </c>
      <c r="X127" s="2334">
        <v>52848</v>
      </c>
      <c r="Y127" s="2334">
        <v>44822</v>
      </c>
      <c r="Z127" s="2334">
        <v>9465</v>
      </c>
      <c r="AA127" s="2334">
        <v>10398</v>
      </c>
      <c r="AB127" s="2334">
        <v>38991</v>
      </c>
      <c r="AC127" s="2334">
        <v>39020</v>
      </c>
      <c r="AD127" s="2334">
        <v>15113</v>
      </c>
      <c r="AE127" s="2334">
        <v>55520</v>
      </c>
      <c r="AF127" s="2334">
        <v>84459</v>
      </c>
      <c r="AG127" s="2334">
        <v>0</v>
      </c>
      <c r="AH127" s="2335">
        <f t="shared" ref="AH127:AH135" si="15">SUM(C127:AG127)</f>
        <v>883406</v>
      </c>
      <c r="AI127" s="2264"/>
      <c r="AJ127" s="2264"/>
      <c r="AK127" s="2264"/>
      <c r="AL127" s="2264"/>
    </row>
    <row r="128" spans="1:38" ht="13.8">
      <c r="A128" s="2336" t="s">
        <v>77</v>
      </c>
      <c r="B128" s="2333">
        <f t="shared" si="14"/>
        <v>815.37</v>
      </c>
      <c r="C128" s="2334">
        <v>69969</v>
      </c>
      <c r="D128" s="2334">
        <v>23724</v>
      </c>
      <c r="E128" s="2334">
        <v>17401</v>
      </c>
      <c r="F128" s="2334">
        <v>8193</v>
      </c>
      <c r="G128" s="2334">
        <v>16442</v>
      </c>
      <c r="H128" s="2334">
        <v>8981</v>
      </c>
      <c r="I128" s="2334">
        <v>24694</v>
      </c>
      <c r="J128" s="2334">
        <v>33408</v>
      </c>
      <c r="K128" s="2334">
        <v>42598</v>
      </c>
      <c r="L128" s="2334">
        <v>59024</v>
      </c>
      <c r="M128" s="2334">
        <v>4512</v>
      </c>
      <c r="N128" s="2334">
        <v>56498</v>
      </c>
      <c r="O128" s="2334">
        <v>41328</v>
      </c>
      <c r="P128" s="2334">
        <v>30642</v>
      </c>
      <c r="Q128" s="2334">
        <v>57651</v>
      </c>
      <c r="R128" s="2334">
        <v>85100</v>
      </c>
      <c r="S128" s="2334">
        <v>57327</v>
      </c>
      <c r="T128" s="2334">
        <v>21139</v>
      </c>
      <c r="U128" s="2334">
        <v>35317</v>
      </c>
      <c r="V128" s="2334">
        <v>26802</v>
      </c>
      <c r="W128" s="2334">
        <v>0</v>
      </c>
      <c r="X128" s="2334">
        <v>61550</v>
      </c>
      <c r="Y128" s="2334">
        <v>4919</v>
      </c>
      <c r="Z128" s="2334">
        <v>1013</v>
      </c>
      <c r="AA128" s="2334">
        <v>0</v>
      </c>
      <c r="AB128" s="2334">
        <v>5558</v>
      </c>
      <c r="AC128" s="2334">
        <v>0</v>
      </c>
      <c r="AD128" s="2334">
        <v>13954</v>
      </c>
      <c r="AE128" s="2334">
        <v>6808</v>
      </c>
      <c r="AF128" s="2334">
        <v>249</v>
      </c>
      <c r="AG128" s="2334">
        <v>569</v>
      </c>
      <c r="AH128" s="2335">
        <f t="shared" si="15"/>
        <v>815370</v>
      </c>
      <c r="AI128" s="2264"/>
      <c r="AJ128" s="2264"/>
      <c r="AK128" s="2264"/>
      <c r="AL128" s="2264"/>
    </row>
    <row r="129" spans="1:38" ht="13.8">
      <c r="A129" s="2336" t="s">
        <v>78</v>
      </c>
      <c r="B129" s="2333">
        <f t="shared" si="14"/>
        <v>97.25</v>
      </c>
      <c r="C129" s="2334">
        <v>704</v>
      </c>
      <c r="D129" s="2334">
        <v>1410</v>
      </c>
      <c r="E129" s="2334">
        <v>2178</v>
      </c>
      <c r="F129" s="2334">
        <v>1830</v>
      </c>
      <c r="G129" s="2334">
        <v>9221</v>
      </c>
      <c r="H129" s="2334">
        <v>3629</v>
      </c>
      <c r="I129" s="2334">
        <v>1409</v>
      </c>
      <c r="J129" s="2334">
        <v>600</v>
      </c>
      <c r="K129" s="2334">
        <v>0</v>
      </c>
      <c r="L129" s="2334">
        <v>8640</v>
      </c>
      <c r="M129" s="2334">
        <v>0</v>
      </c>
      <c r="N129" s="2334">
        <v>0</v>
      </c>
      <c r="O129" s="2334">
        <v>0</v>
      </c>
      <c r="P129" s="2334">
        <v>0</v>
      </c>
      <c r="Q129" s="2334">
        <v>0</v>
      </c>
      <c r="R129" s="2334">
        <v>240</v>
      </c>
      <c r="S129" s="2334">
        <v>5437</v>
      </c>
      <c r="T129" s="2334">
        <v>20210</v>
      </c>
      <c r="U129" s="2334">
        <v>7455</v>
      </c>
      <c r="V129" s="2334">
        <v>5753</v>
      </c>
      <c r="W129" s="2334">
        <v>2320</v>
      </c>
      <c r="X129" s="2334">
        <v>4920</v>
      </c>
      <c r="Y129" s="2334">
        <v>531</v>
      </c>
      <c r="Z129" s="2334">
        <v>3480</v>
      </c>
      <c r="AA129" s="2334">
        <v>3250</v>
      </c>
      <c r="AB129" s="2334">
        <v>820</v>
      </c>
      <c r="AC129" s="2334">
        <v>3654</v>
      </c>
      <c r="AD129" s="2334">
        <v>1040</v>
      </c>
      <c r="AE129" s="2334">
        <v>1340</v>
      </c>
      <c r="AF129" s="2334">
        <v>7179</v>
      </c>
      <c r="AG129" s="2334">
        <v>0</v>
      </c>
      <c r="AH129" s="2335">
        <f t="shared" si="15"/>
        <v>97250</v>
      </c>
      <c r="AI129" s="2264"/>
      <c r="AJ129" s="2264"/>
      <c r="AK129" s="2264"/>
      <c r="AL129" s="2264"/>
    </row>
    <row r="130" spans="1:38" ht="13.8">
      <c r="A130" s="2337" t="s">
        <v>79</v>
      </c>
      <c r="B130" s="2333">
        <f t="shared" si="14"/>
        <v>1029.365</v>
      </c>
      <c r="C130" s="2334">
        <v>23270</v>
      </c>
      <c r="D130" s="2334">
        <v>2402</v>
      </c>
      <c r="E130" s="2334">
        <v>2050</v>
      </c>
      <c r="F130" s="2334">
        <v>16222</v>
      </c>
      <c r="G130" s="2334">
        <v>2588</v>
      </c>
      <c r="H130" s="2334">
        <v>13100</v>
      </c>
      <c r="I130" s="2334">
        <v>58434</v>
      </c>
      <c r="J130" s="2334">
        <v>139599</v>
      </c>
      <c r="K130" s="2334">
        <v>74600</v>
      </c>
      <c r="L130" s="2334">
        <v>55635</v>
      </c>
      <c r="M130" s="2334">
        <v>126130</v>
      </c>
      <c r="N130" s="2334">
        <v>72498</v>
      </c>
      <c r="O130" s="2334">
        <v>80626</v>
      </c>
      <c r="P130" s="2334">
        <v>29099</v>
      </c>
      <c r="Q130" s="2334">
        <v>28676</v>
      </c>
      <c r="R130" s="2334">
        <v>250</v>
      </c>
      <c r="S130" s="2334">
        <v>4681</v>
      </c>
      <c r="T130" s="2334">
        <v>8211</v>
      </c>
      <c r="U130" s="2334">
        <v>15241</v>
      </c>
      <c r="V130" s="2334">
        <v>99600</v>
      </c>
      <c r="W130" s="2334">
        <v>92713</v>
      </c>
      <c r="X130" s="2334">
        <v>5016</v>
      </c>
      <c r="Y130" s="2334">
        <v>17269</v>
      </c>
      <c r="Z130" s="2334">
        <v>21611</v>
      </c>
      <c r="AA130" s="2334">
        <v>22623</v>
      </c>
      <c r="AB130" s="2334">
        <v>880</v>
      </c>
      <c r="AC130" s="2334">
        <v>0</v>
      </c>
      <c r="AD130" s="2334">
        <v>127</v>
      </c>
      <c r="AE130" s="2334">
        <v>1409</v>
      </c>
      <c r="AF130" s="2334">
        <v>11372</v>
      </c>
      <c r="AG130" s="2334">
        <v>3433</v>
      </c>
      <c r="AH130" s="2335">
        <f t="shared" si="15"/>
        <v>1029365</v>
      </c>
      <c r="AI130" s="2264"/>
      <c r="AJ130" s="2264"/>
      <c r="AK130" s="2264"/>
      <c r="AL130" s="2264"/>
    </row>
    <row r="131" spans="1:38" ht="13.8">
      <c r="A131" s="2337" t="s">
        <v>80</v>
      </c>
      <c r="B131" s="2333">
        <f t="shared" si="14"/>
        <v>111.17100000000001</v>
      </c>
      <c r="C131" s="2334">
        <v>10723</v>
      </c>
      <c r="D131" s="2334">
        <v>430</v>
      </c>
      <c r="E131" s="2334">
        <v>462</v>
      </c>
      <c r="F131" s="2334">
        <v>1697</v>
      </c>
      <c r="G131" s="2334">
        <v>6173</v>
      </c>
      <c r="H131" s="2334">
        <v>0</v>
      </c>
      <c r="I131" s="2334">
        <v>4778</v>
      </c>
      <c r="J131" s="2334">
        <v>2160</v>
      </c>
      <c r="K131" s="2334">
        <v>20</v>
      </c>
      <c r="L131" s="2334">
        <v>534</v>
      </c>
      <c r="M131" s="2334">
        <v>2765</v>
      </c>
      <c r="N131" s="2334">
        <v>5306</v>
      </c>
      <c r="O131" s="2334">
        <v>194</v>
      </c>
      <c r="P131" s="2334">
        <v>772</v>
      </c>
      <c r="Q131" s="2334">
        <v>3662</v>
      </c>
      <c r="R131" s="2334">
        <v>2655</v>
      </c>
      <c r="S131" s="2334">
        <v>13138</v>
      </c>
      <c r="T131" s="2334">
        <v>5056</v>
      </c>
      <c r="U131" s="2334">
        <v>9708</v>
      </c>
      <c r="V131" s="2334">
        <v>2598</v>
      </c>
      <c r="W131" s="2334">
        <v>4411</v>
      </c>
      <c r="X131" s="2334">
        <v>17203</v>
      </c>
      <c r="Y131" s="2334">
        <v>0</v>
      </c>
      <c r="Z131" s="2334">
        <v>2000</v>
      </c>
      <c r="AA131" s="2334">
        <v>1990</v>
      </c>
      <c r="AB131" s="2334">
        <v>500</v>
      </c>
      <c r="AC131" s="2334">
        <v>604</v>
      </c>
      <c r="AD131" s="2334">
        <v>11632</v>
      </c>
      <c r="AE131" s="2334">
        <v>0</v>
      </c>
      <c r="AF131" s="2334">
        <v>0</v>
      </c>
      <c r="AG131" s="2334">
        <v>0</v>
      </c>
      <c r="AH131" s="2335">
        <f t="shared" si="15"/>
        <v>111171</v>
      </c>
      <c r="AI131" s="2264"/>
      <c r="AJ131" s="2264"/>
      <c r="AK131" s="2264"/>
      <c r="AL131" s="2264"/>
    </row>
    <row r="132" spans="1:38" ht="13.8">
      <c r="A132" s="2337" t="s">
        <v>81</v>
      </c>
      <c r="B132" s="2333">
        <f t="shared" si="14"/>
        <v>44.887</v>
      </c>
      <c r="C132" s="2334">
        <v>0</v>
      </c>
      <c r="D132" s="2334">
        <v>650</v>
      </c>
      <c r="E132" s="2334">
        <v>3498</v>
      </c>
      <c r="F132" s="2334">
        <v>0</v>
      </c>
      <c r="G132" s="2334">
        <v>1310</v>
      </c>
      <c r="H132" s="2334">
        <v>841</v>
      </c>
      <c r="I132" s="2334">
        <v>0</v>
      </c>
      <c r="J132" s="2334">
        <v>524</v>
      </c>
      <c r="K132" s="2334">
        <v>182</v>
      </c>
      <c r="L132" s="2334">
        <v>4557</v>
      </c>
      <c r="M132" s="2334">
        <v>840</v>
      </c>
      <c r="N132" s="2334">
        <v>4230</v>
      </c>
      <c r="O132" s="2334">
        <v>0</v>
      </c>
      <c r="P132" s="2334">
        <v>519</v>
      </c>
      <c r="Q132" s="2334">
        <v>0</v>
      </c>
      <c r="R132" s="2334">
        <v>129</v>
      </c>
      <c r="S132" s="2334">
        <v>1610</v>
      </c>
      <c r="T132" s="2334">
        <v>0</v>
      </c>
      <c r="U132" s="2334">
        <v>0</v>
      </c>
      <c r="V132" s="2334">
        <v>324</v>
      </c>
      <c r="W132" s="2334">
        <v>0</v>
      </c>
      <c r="X132" s="2334">
        <v>6836</v>
      </c>
      <c r="Y132" s="2334">
        <v>3726</v>
      </c>
      <c r="Z132" s="2334">
        <v>9970</v>
      </c>
      <c r="AA132" s="2334">
        <v>5141</v>
      </c>
      <c r="AB132" s="2334">
        <v>0</v>
      </c>
      <c r="AC132" s="2334">
        <v>0</v>
      </c>
      <c r="AD132" s="2334">
        <v>0</v>
      </c>
      <c r="AE132" s="2334">
        <v>0</v>
      </c>
      <c r="AF132" s="2334">
        <v>0</v>
      </c>
      <c r="AG132" s="2334">
        <v>0</v>
      </c>
      <c r="AH132" s="2335">
        <f t="shared" si="15"/>
        <v>44887</v>
      </c>
      <c r="AI132" s="2264"/>
      <c r="AJ132" s="2264"/>
      <c r="AK132" s="2264"/>
      <c r="AL132" s="2264"/>
    </row>
    <row r="133" spans="1:38" ht="13.8">
      <c r="A133" s="2338" t="s">
        <v>82</v>
      </c>
      <c r="B133" s="2333">
        <f t="shared" si="14"/>
        <v>0</v>
      </c>
      <c r="C133" s="2334">
        <v>0</v>
      </c>
      <c r="D133" s="2334">
        <v>0</v>
      </c>
      <c r="E133" s="2334">
        <v>0</v>
      </c>
      <c r="F133" s="2334">
        <v>0</v>
      </c>
      <c r="G133" s="2334">
        <v>0</v>
      </c>
      <c r="H133" s="2334">
        <v>0</v>
      </c>
      <c r="I133" s="2334">
        <v>0</v>
      </c>
      <c r="J133" s="2334">
        <v>0</v>
      </c>
      <c r="K133" s="2334">
        <v>0</v>
      </c>
      <c r="L133" s="2334">
        <v>0</v>
      </c>
      <c r="M133" s="2334">
        <v>0</v>
      </c>
      <c r="N133" s="2334">
        <v>0</v>
      </c>
      <c r="O133" s="2334">
        <v>0</v>
      </c>
      <c r="P133" s="2334">
        <v>0</v>
      </c>
      <c r="Q133" s="2334">
        <v>0</v>
      </c>
      <c r="R133" s="2334">
        <v>0</v>
      </c>
      <c r="S133" s="2334">
        <v>0</v>
      </c>
      <c r="T133" s="2334">
        <v>0</v>
      </c>
      <c r="U133" s="2334">
        <v>0</v>
      </c>
      <c r="V133" s="2334">
        <v>0</v>
      </c>
      <c r="W133" s="2334">
        <v>0</v>
      </c>
      <c r="X133" s="2334">
        <v>0</v>
      </c>
      <c r="Y133" s="2334">
        <v>0</v>
      </c>
      <c r="Z133" s="2334">
        <v>0</v>
      </c>
      <c r="AA133" s="2334">
        <v>0</v>
      </c>
      <c r="AB133" s="2334">
        <v>0</v>
      </c>
      <c r="AC133" s="2334">
        <v>0</v>
      </c>
      <c r="AD133" s="2334">
        <v>0</v>
      </c>
      <c r="AE133" s="2334">
        <v>0</v>
      </c>
      <c r="AF133" s="2334">
        <v>0</v>
      </c>
      <c r="AG133" s="2334">
        <v>0</v>
      </c>
      <c r="AH133" s="2335">
        <f t="shared" si="15"/>
        <v>0</v>
      </c>
      <c r="AI133" s="2264"/>
      <c r="AJ133" s="2264"/>
      <c r="AK133" s="2264"/>
      <c r="AL133" s="2264"/>
    </row>
    <row r="134" spans="1:38" ht="13.8">
      <c r="A134" s="2338" t="s">
        <v>83</v>
      </c>
      <c r="B134" s="2333">
        <f t="shared" si="14"/>
        <v>0</v>
      </c>
      <c r="C134" s="2334">
        <v>0</v>
      </c>
      <c r="D134" s="2334">
        <v>0</v>
      </c>
      <c r="E134" s="2334">
        <v>0</v>
      </c>
      <c r="F134" s="2334">
        <v>0</v>
      </c>
      <c r="G134" s="2334">
        <v>0</v>
      </c>
      <c r="H134" s="2334">
        <v>0</v>
      </c>
      <c r="I134" s="2334">
        <v>0</v>
      </c>
      <c r="J134" s="2334">
        <v>0</v>
      </c>
      <c r="K134" s="2334">
        <v>0</v>
      </c>
      <c r="L134" s="2334">
        <v>0</v>
      </c>
      <c r="M134" s="2334">
        <v>0</v>
      </c>
      <c r="N134" s="2334">
        <v>0</v>
      </c>
      <c r="O134" s="2334">
        <v>0</v>
      </c>
      <c r="P134" s="2334">
        <v>0</v>
      </c>
      <c r="Q134" s="2334">
        <v>0</v>
      </c>
      <c r="R134" s="2334">
        <v>0</v>
      </c>
      <c r="S134" s="2334">
        <v>0</v>
      </c>
      <c r="T134" s="2334">
        <v>0</v>
      </c>
      <c r="U134" s="2334">
        <v>0</v>
      </c>
      <c r="V134" s="2334">
        <v>0</v>
      </c>
      <c r="W134" s="2334">
        <v>0</v>
      </c>
      <c r="X134" s="2334">
        <v>0</v>
      </c>
      <c r="Y134" s="2334">
        <v>0</v>
      </c>
      <c r="Z134" s="2334">
        <v>0</v>
      </c>
      <c r="AA134" s="2334">
        <v>0</v>
      </c>
      <c r="AB134" s="2334">
        <v>0</v>
      </c>
      <c r="AC134" s="2334">
        <v>0</v>
      </c>
      <c r="AD134" s="2334">
        <v>0</v>
      </c>
      <c r="AE134" s="2334">
        <v>0</v>
      </c>
      <c r="AF134" s="2334">
        <v>0</v>
      </c>
      <c r="AG134" s="2334">
        <v>0</v>
      </c>
      <c r="AH134" s="2335">
        <f t="shared" si="15"/>
        <v>0</v>
      </c>
      <c r="AI134" s="2335">
        <f>IF('[1]Resumen algas IV reg '!$H$44="","",IF('[1]Resumen algas IV reg '!$H$44&lt;'[1]Algas IV reg '!AJ134,AH134,SUMIFS(C134:AG134,C137:AG137,AK134)))</f>
        <v>0</v>
      </c>
      <c r="AJ134" s="2340">
        <v>41214</v>
      </c>
      <c r="AK134" s="2264">
        <f>IF('[1]Resumen algas IV reg '!$H$44="","",VALUE(DAY('[1]Resumen algas IV reg '!$H$44)))</f>
        <v>0</v>
      </c>
      <c r="AL134" s="2341">
        <f>IF(AI135=0,AI134,AI135)</f>
        <v>0</v>
      </c>
    </row>
    <row r="135" spans="1:38" ht="13.8">
      <c r="A135" s="2338" t="s">
        <v>84</v>
      </c>
      <c r="B135" s="2333">
        <f t="shared" si="14"/>
        <v>0</v>
      </c>
      <c r="C135" s="2334">
        <v>0</v>
      </c>
      <c r="D135" s="2334">
        <v>0</v>
      </c>
      <c r="E135" s="2334">
        <v>0</v>
      </c>
      <c r="F135" s="2334">
        <v>0</v>
      </c>
      <c r="G135" s="2334">
        <v>0</v>
      </c>
      <c r="H135" s="2334">
        <v>0</v>
      </c>
      <c r="I135" s="2334">
        <v>0</v>
      </c>
      <c r="J135" s="2334">
        <v>0</v>
      </c>
      <c r="K135" s="2334">
        <v>0</v>
      </c>
      <c r="L135" s="2334">
        <v>0</v>
      </c>
      <c r="M135" s="2334">
        <v>0</v>
      </c>
      <c r="N135" s="2334">
        <v>0</v>
      </c>
      <c r="O135" s="2334">
        <v>0</v>
      </c>
      <c r="P135" s="2334">
        <v>0</v>
      </c>
      <c r="Q135" s="2334">
        <v>0</v>
      </c>
      <c r="R135" s="2334">
        <v>0</v>
      </c>
      <c r="S135" s="2334">
        <v>0</v>
      </c>
      <c r="T135" s="2334">
        <v>0</v>
      </c>
      <c r="U135" s="2334">
        <v>0</v>
      </c>
      <c r="V135" s="2334">
        <v>0</v>
      </c>
      <c r="W135" s="2334">
        <v>0</v>
      </c>
      <c r="X135" s="2334">
        <v>0</v>
      </c>
      <c r="Y135" s="2334">
        <v>0</v>
      </c>
      <c r="Z135" s="2334">
        <v>0</v>
      </c>
      <c r="AA135" s="2334">
        <v>0</v>
      </c>
      <c r="AB135" s="2334">
        <v>0</v>
      </c>
      <c r="AC135" s="2334">
        <v>0</v>
      </c>
      <c r="AD135" s="2334">
        <v>0</v>
      </c>
      <c r="AE135" s="2334">
        <v>0</v>
      </c>
      <c r="AF135" s="2334">
        <v>0</v>
      </c>
      <c r="AG135" s="2334">
        <v>0</v>
      </c>
      <c r="AH135" s="2335">
        <f t="shared" si="15"/>
        <v>0</v>
      </c>
      <c r="AI135" s="2335">
        <f>IF(AI134="",SUMIFS(N135:AG135,N137:AG137,AK134),AH135+AI134)</f>
        <v>0</v>
      </c>
      <c r="AJ135" s="2340">
        <v>41244</v>
      </c>
      <c r="AK135" s="2264"/>
      <c r="AL135" s="2264"/>
    </row>
    <row r="136" spans="1:38" ht="13.8">
      <c r="A136" s="154" t="s">
        <v>50</v>
      </c>
      <c r="B136" s="2342">
        <f>SUM(B124:B135)</f>
        <v>4599.4319999999998</v>
      </c>
      <c r="C136" s="2343">
        <v>0</v>
      </c>
      <c r="D136" s="2343">
        <v>0</v>
      </c>
      <c r="E136" s="2343">
        <v>419</v>
      </c>
      <c r="F136" s="2343">
        <v>0</v>
      </c>
      <c r="G136" s="2343">
        <v>0</v>
      </c>
      <c r="H136" s="2343">
        <v>9609</v>
      </c>
      <c r="I136" s="2343">
        <v>21395</v>
      </c>
      <c r="J136" s="2343">
        <v>11689</v>
      </c>
      <c r="K136" s="2343">
        <v>14599</v>
      </c>
      <c r="L136" s="2343">
        <v>20434</v>
      </c>
      <c r="M136" s="2343">
        <v>11389</v>
      </c>
      <c r="N136" s="2343">
        <v>10764</v>
      </c>
      <c r="O136" s="2343">
        <v>28323</v>
      </c>
      <c r="P136" s="2343">
        <v>33536</v>
      </c>
      <c r="Q136" s="2343">
        <v>12082</v>
      </c>
      <c r="R136" s="2343">
        <v>4648</v>
      </c>
      <c r="S136" s="2343">
        <v>7449</v>
      </c>
      <c r="T136" s="2343">
        <v>12955</v>
      </c>
      <c r="U136" s="2343">
        <v>16396</v>
      </c>
      <c r="V136" s="2343">
        <v>28790</v>
      </c>
      <c r="W136" s="2343">
        <v>16729</v>
      </c>
      <c r="X136" s="2343">
        <v>0</v>
      </c>
      <c r="Y136" s="2343">
        <v>0</v>
      </c>
      <c r="Z136" s="2343">
        <v>0</v>
      </c>
      <c r="AA136" s="2343">
        <v>0</v>
      </c>
      <c r="AB136" s="2343">
        <v>0</v>
      </c>
      <c r="AC136" s="2343">
        <v>0</v>
      </c>
      <c r="AD136" s="2343">
        <v>0</v>
      </c>
      <c r="AE136" s="2343">
        <v>0</v>
      </c>
      <c r="AF136" s="2343">
        <v>0</v>
      </c>
      <c r="AG136" s="2343">
        <v>0</v>
      </c>
      <c r="AH136" s="2344">
        <f>SUM(AH124:AH135)</f>
        <v>4599432</v>
      </c>
      <c r="AI136" s="2264"/>
      <c r="AJ136" s="2264"/>
      <c r="AK136" s="2264"/>
      <c r="AL136" s="2264"/>
    </row>
    <row r="137" spans="1:38" ht="13.2">
      <c r="A137" s="2267"/>
      <c r="B137" s="2267"/>
      <c r="C137" s="2345">
        <v>0</v>
      </c>
      <c r="D137" s="2345">
        <v>0</v>
      </c>
      <c r="E137" s="2345">
        <v>0</v>
      </c>
      <c r="F137" s="2345">
        <v>0</v>
      </c>
      <c r="G137" s="2345">
        <v>0</v>
      </c>
      <c r="H137" s="2345">
        <v>0</v>
      </c>
      <c r="I137" s="2345">
        <v>0</v>
      </c>
      <c r="J137" s="2345">
        <v>0</v>
      </c>
      <c r="K137" s="2345">
        <v>0</v>
      </c>
      <c r="L137" s="2345">
        <v>0</v>
      </c>
      <c r="M137" s="2345">
        <v>0</v>
      </c>
      <c r="N137" s="2345">
        <v>0</v>
      </c>
      <c r="O137" s="2345">
        <v>0</v>
      </c>
      <c r="P137" s="2345">
        <v>0</v>
      </c>
      <c r="Q137" s="2345">
        <v>0</v>
      </c>
      <c r="R137" s="2345">
        <v>0</v>
      </c>
      <c r="S137" s="2345">
        <v>0</v>
      </c>
      <c r="T137" s="2345">
        <v>0</v>
      </c>
      <c r="U137" s="2345">
        <v>0</v>
      </c>
      <c r="V137" s="2345">
        <v>0</v>
      </c>
      <c r="W137" s="2345">
        <v>0</v>
      </c>
      <c r="X137" s="2345">
        <v>0</v>
      </c>
      <c r="Y137" s="2345">
        <v>0</v>
      </c>
      <c r="Z137" s="2345">
        <v>0</v>
      </c>
      <c r="AA137" s="2345">
        <v>0</v>
      </c>
      <c r="AB137" s="2345">
        <v>0</v>
      </c>
      <c r="AC137" s="2345">
        <v>0</v>
      </c>
      <c r="AD137" s="2345">
        <v>0</v>
      </c>
      <c r="AE137" s="2345">
        <v>0</v>
      </c>
      <c r="AF137" s="2345">
        <v>0</v>
      </c>
      <c r="AG137" s="2345">
        <v>0</v>
      </c>
      <c r="AH137" s="2267"/>
      <c r="AI137" s="2264"/>
      <c r="AJ137" s="2264"/>
      <c r="AK137" s="2264"/>
      <c r="AL137" s="2264"/>
    </row>
    <row r="138" spans="1:38" ht="13.2">
      <c r="A138" s="2267"/>
      <c r="B138" s="2267"/>
      <c r="C138" s="2267"/>
      <c r="D138" s="2267"/>
      <c r="E138" s="2267"/>
      <c r="F138" s="2267"/>
      <c r="G138" s="2267"/>
      <c r="H138" s="2267"/>
      <c r="I138" s="2267"/>
      <c r="J138" s="2267"/>
      <c r="K138" s="2267"/>
      <c r="L138" s="2267"/>
      <c r="M138" s="2267"/>
      <c r="N138" s="2267"/>
      <c r="O138" s="2267"/>
      <c r="P138" s="2267"/>
      <c r="Q138" s="2267"/>
      <c r="R138" s="2267"/>
      <c r="S138" s="2267"/>
      <c r="T138" s="2267"/>
      <c r="U138" s="2267"/>
      <c r="V138" s="2267"/>
      <c r="W138" s="2267"/>
      <c r="X138" s="2267"/>
      <c r="Y138" s="2267"/>
      <c r="Z138" s="2267"/>
      <c r="AA138" s="2267"/>
      <c r="AB138" s="2267"/>
      <c r="AC138" s="2267"/>
      <c r="AD138" s="2267"/>
      <c r="AE138" s="2267"/>
      <c r="AF138" s="2267"/>
      <c r="AG138" s="2267"/>
      <c r="AH138" s="2267"/>
      <c r="AI138" s="2264"/>
      <c r="AJ138" s="2264"/>
      <c r="AK138" s="2264"/>
      <c r="AL138" s="2264"/>
    </row>
    <row r="139" spans="1:38" ht="13.8">
      <c r="A139" s="4119" t="s">
        <v>763</v>
      </c>
      <c r="B139" s="4120"/>
      <c r="C139" s="4121"/>
      <c r="D139" s="49"/>
      <c r="E139" s="49"/>
      <c r="F139" s="49"/>
      <c r="G139" s="49"/>
      <c r="H139" s="49"/>
      <c r="I139" s="49"/>
      <c r="J139" s="49"/>
      <c r="K139" s="49"/>
      <c r="L139" s="49"/>
      <c r="M139" s="144"/>
      <c r="N139" s="49"/>
      <c r="O139" s="49"/>
      <c r="P139" s="49"/>
      <c r="Q139" s="49"/>
      <c r="R139" s="49"/>
      <c r="S139" s="49"/>
      <c r="T139" s="49"/>
      <c r="U139" s="49"/>
      <c r="V139" s="49"/>
      <c r="W139" s="49"/>
      <c r="X139" s="49"/>
      <c r="Y139" s="49"/>
      <c r="Z139" s="49"/>
      <c r="AA139" s="49"/>
      <c r="AB139" s="49"/>
      <c r="AC139" s="49"/>
      <c r="AD139" s="49"/>
      <c r="AE139" s="49"/>
      <c r="AF139" s="49"/>
      <c r="AG139" s="49"/>
      <c r="AH139" s="145"/>
      <c r="AI139" s="2264"/>
      <c r="AJ139" s="2264"/>
      <c r="AK139" s="2264"/>
      <c r="AL139" s="2264"/>
    </row>
    <row r="140" spans="1:38" ht="13.8">
      <c r="A140" s="146" t="s">
        <v>70</v>
      </c>
      <c r="B140" s="146" t="s">
        <v>71</v>
      </c>
      <c r="C140" s="147">
        <v>1</v>
      </c>
      <c r="D140" s="147">
        <v>2</v>
      </c>
      <c r="E140" s="147">
        <v>3</v>
      </c>
      <c r="F140" s="147">
        <v>4</v>
      </c>
      <c r="G140" s="147">
        <v>5</v>
      </c>
      <c r="H140" s="147">
        <v>6</v>
      </c>
      <c r="I140" s="147">
        <v>7</v>
      </c>
      <c r="J140" s="147">
        <v>8</v>
      </c>
      <c r="K140" s="147">
        <v>9</v>
      </c>
      <c r="L140" s="147">
        <v>10</v>
      </c>
      <c r="M140" s="147">
        <v>11</v>
      </c>
      <c r="N140" s="147">
        <v>12</v>
      </c>
      <c r="O140" s="147">
        <v>13</v>
      </c>
      <c r="P140" s="147">
        <v>14</v>
      </c>
      <c r="Q140" s="147">
        <v>15</v>
      </c>
      <c r="R140" s="147">
        <v>16</v>
      </c>
      <c r="S140" s="147">
        <v>17</v>
      </c>
      <c r="T140" s="147">
        <v>18</v>
      </c>
      <c r="U140" s="147">
        <v>19</v>
      </c>
      <c r="V140" s="147">
        <v>20</v>
      </c>
      <c r="W140" s="1267">
        <v>21</v>
      </c>
      <c r="X140" s="147">
        <v>22</v>
      </c>
      <c r="Y140" s="147">
        <v>23</v>
      </c>
      <c r="Z140" s="147">
        <v>24</v>
      </c>
      <c r="AA140" s="147">
        <v>25</v>
      </c>
      <c r="AB140" s="147">
        <v>26</v>
      </c>
      <c r="AC140" s="147">
        <v>27</v>
      </c>
      <c r="AD140" s="147">
        <v>28</v>
      </c>
      <c r="AE140" s="147">
        <v>29</v>
      </c>
      <c r="AF140" s="147">
        <v>30</v>
      </c>
      <c r="AG140" s="147">
        <v>31</v>
      </c>
      <c r="AH140" s="149" t="s">
        <v>50</v>
      </c>
      <c r="AI140" s="2264"/>
      <c r="AJ140" s="2264"/>
      <c r="AK140" s="2264"/>
      <c r="AL140" s="2264"/>
    </row>
    <row r="141" spans="1:38" ht="13.8">
      <c r="A141" s="1073" t="s">
        <v>73</v>
      </c>
      <c r="B141" s="2333">
        <f>+AH141/1000</f>
        <v>227.83500000000001</v>
      </c>
      <c r="C141" s="2334">
        <v>0</v>
      </c>
      <c r="D141" s="2334">
        <v>1200</v>
      </c>
      <c r="E141" s="2334">
        <v>12187</v>
      </c>
      <c r="F141" s="2334">
        <v>2887</v>
      </c>
      <c r="G141" s="2334">
        <v>0</v>
      </c>
      <c r="H141" s="2334">
        <v>17621</v>
      </c>
      <c r="I141" s="2334">
        <v>11253</v>
      </c>
      <c r="J141" s="2334">
        <v>5404</v>
      </c>
      <c r="K141" s="2334">
        <v>8843</v>
      </c>
      <c r="L141" s="2334">
        <v>304</v>
      </c>
      <c r="M141" s="2334">
        <v>446</v>
      </c>
      <c r="N141" s="2334">
        <v>2589</v>
      </c>
      <c r="O141" s="2334">
        <v>5352</v>
      </c>
      <c r="P141" s="2334">
        <v>12071</v>
      </c>
      <c r="Q141" s="2334">
        <v>13749</v>
      </c>
      <c r="R141" s="2334">
        <v>3297</v>
      </c>
      <c r="S141" s="2334">
        <v>1533</v>
      </c>
      <c r="T141" s="2334">
        <v>11303</v>
      </c>
      <c r="U141" s="2334">
        <v>11646</v>
      </c>
      <c r="V141" s="2334">
        <v>12504</v>
      </c>
      <c r="W141" s="2334">
        <v>3320</v>
      </c>
      <c r="X141" s="2334">
        <v>21293</v>
      </c>
      <c r="Y141" s="2334">
        <v>10720</v>
      </c>
      <c r="Z141" s="2334">
        <v>3736</v>
      </c>
      <c r="AA141" s="2334">
        <v>8805</v>
      </c>
      <c r="AB141" s="2334">
        <v>0</v>
      </c>
      <c r="AC141" s="2334">
        <v>12329</v>
      </c>
      <c r="AD141" s="2334">
        <v>6251</v>
      </c>
      <c r="AE141" s="2334">
        <v>7381</v>
      </c>
      <c r="AF141" s="2334">
        <v>5652</v>
      </c>
      <c r="AG141" s="2334">
        <v>14159</v>
      </c>
      <c r="AH141" s="2335">
        <f>SUM(C141:AG141)</f>
        <v>227835</v>
      </c>
      <c r="AI141" s="2264"/>
      <c r="AJ141" s="2264"/>
      <c r="AK141" s="2264"/>
      <c r="AL141" s="2264"/>
    </row>
    <row r="142" spans="1:38" ht="13.8">
      <c r="A142" s="1073" t="s">
        <v>74</v>
      </c>
      <c r="B142" s="2333">
        <f t="shared" ref="B142:B152" si="16">+AH142/1000</f>
        <v>143.16399999999999</v>
      </c>
      <c r="C142" s="2334">
        <v>2660</v>
      </c>
      <c r="D142" s="2334">
        <v>8482</v>
      </c>
      <c r="E142" s="2334">
        <v>9524</v>
      </c>
      <c r="F142" s="2334">
        <v>6260</v>
      </c>
      <c r="G142" s="2334">
        <v>8490</v>
      </c>
      <c r="H142" s="2334">
        <v>9551</v>
      </c>
      <c r="I142" s="2334">
        <v>2113</v>
      </c>
      <c r="J142" s="2334">
        <v>2931</v>
      </c>
      <c r="K142" s="2334">
        <v>12367</v>
      </c>
      <c r="L142" s="2334">
        <v>11670</v>
      </c>
      <c r="M142" s="2334">
        <v>5411</v>
      </c>
      <c r="N142" s="2334">
        <v>7065</v>
      </c>
      <c r="O142" s="2334">
        <v>28371</v>
      </c>
      <c r="P142" s="2334">
        <v>28269</v>
      </c>
      <c r="Q142" s="2334">
        <v>0</v>
      </c>
      <c r="R142" s="2334">
        <v>0</v>
      </c>
      <c r="S142" s="2334">
        <v>0</v>
      </c>
      <c r="T142" s="2334">
        <v>0</v>
      </c>
      <c r="U142" s="2334">
        <v>0</v>
      </c>
      <c r="V142" s="2334">
        <v>0</v>
      </c>
      <c r="W142" s="2334">
        <v>0</v>
      </c>
      <c r="X142" s="2334">
        <v>0</v>
      </c>
      <c r="Y142" s="2334">
        <v>0</v>
      </c>
      <c r="Z142" s="2334">
        <v>0</v>
      </c>
      <c r="AA142" s="2334">
        <v>0</v>
      </c>
      <c r="AB142" s="2334">
        <v>0</v>
      </c>
      <c r="AC142" s="2334">
        <v>0</v>
      </c>
      <c r="AD142" s="2334">
        <v>0</v>
      </c>
      <c r="AE142" s="2334">
        <v>0</v>
      </c>
      <c r="AF142" s="2334">
        <v>0</v>
      </c>
      <c r="AG142" s="2334">
        <v>0</v>
      </c>
      <c r="AH142" s="2335">
        <f>SUM(C142:AG142)</f>
        <v>143164</v>
      </c>
      <c r="AI142" s="2264"/>
      <c r="AJ142" s="2264"/>
      <c r="AK142" s="2264"/>
      <c r="AL142" s="2264"/>
    </row>
    <row r="143" spans="1:38" ht="13.8">
      <c r="A143" s="1073" t="s">
        <v>75</v>
      </c>
      <c r="B143" s="2333">
        <f t="shared" si="16"/>
        <v>0</v>
      </c>
      <c r="C143" s="2334">
        <v>0</v>
      </c>
      <c r="D143" s="2334">
        <v>0</v>
      </c>
      <c r="E143" s="2334">
        <v>0</v>
      </c>
      <c r="F143" s="2334">
        <v>0</v>
      </c>
      <c r="G143" s="2334">
        <v>0</v>
      </c>
      <c r="H143" s="2334">
        <v>0</v>
      </c>
      <c r="I143" s="2334">
        <v>0</v>
      </c>
      <c r="J143" s="2334">
        <v>0</v>
      </c>
      <c r="K143" s="2334">
        <v>0</v>
      </c>
      <c r="L143" s="2334">
        <v>0</v>
      </c>
      <c r="M143" s="2334">
        <v>0</v>
      </c>
      <c r="N143" s="2334">
        <v>0</v>
      </c>
      <c r="O143" s="2334">
        <v>0</v>
      </c>
      <c r="P143" s="2334">
        <v>0</v>
      </c>
      <c r="Q143" s="2334">
        <v>0</v>
      </c>
      <c r="R143" s="2334">
        <v>0</v>
      </c>
      <c r="S143" s="2334">
        <v>0</v>
      </c>
      <c r="T143" s="2334">
        <v>0</v>
      </c>
      <c r="U143" s="2334">
        <v>0</v>
      </c>
      <c r="V143" s="2334">
        <v>0</v>
      </c>
      <c r="W143" s="2334">
        <v>0</v>
      </c>
      <c r="X143" s="2334">
        <v>0</v>
      </c>
      <c r="Y143" s="2334">
        <v>0</v>
      </c>
      <c r="Z143" s="2334">
        <v>0</v>
      </c>
      <c r="AA143" s="2334">
        <v>0</v>
      </c>
      <c r="AB143" s="2334">
        <v>0</v>
      </c>
      <c r="AC143" s="2334">
        <v>0</v>
      </c>
      <c r="AD143" s="2334">
        <v>0</v>
      </c>
      <c r="AE143" s="2334">
        <v>0</v>
      </c>
      <c r="AF143" s="2334">
        <v>0</v>
      </c>
      <c r="AG143" s="2334">
        <v>0</v>
      </c>
      <c r="AH143" s="2335">
        <f>SUM(C143:AG143)</f>
        <v>0</v>
      </c>
      <c r="AI143" s="2264"/>
      <c r="AJ143" s="2264"/>
      <c r="AK143" s="2264"/>
      <c r="AL143" s="2264"/>
    </row>
    <row r="144" spans="1:38" ht="13.8">
      <c r="A144" s="2336" t="s">
        <v>76</v>
      </c>
      <c r="B144" s="2333">
        <f t="shared" si="16"/>
        <v>99.899000000000001</v>
      </c>
      <c r="C144" s="2334">
        <v>32656</v>
      </c>
      <c r="D144" s="2334">
        <v>36736</v>
      </c>
      <c r="E144" s="2334">
        <v>3000</v>
      </c>
      <c r="F144" s="2334">
        <v>11700</v>
      </c>
      <c r="G144" s="2334">
        <v>0</v>
      </c>
      <c r="H144" s="2334">
        <v>0</v>
      </c>
      <c r="I144" s="2334">
        <v>250</v>
      </c>
      <c r="J144" s="2334">
        <v>0</v>
      </c>
      <c r="K144" s="2334">
        <v>0</v>
      </c>
      <c r="L144" s="2334">
        <v>0</v>
      </c>
      <c r="M144" s="2334">
        <v>390</v>
      </c>
      <c r="N144" s="2334">
        <v>770</v>
      </c>
      <c r="O144" s="2334">
        <v>930</v>
      </c>
      <c r="P144" s="2334">
        <v>730</v>
      </c>
      <c r="Q144" s="2334">
        <v>460</v>
      </c>
      <c r="R144" s="2334">
        <v>770</v>
      </c>
      <c r="S144" s="2334">
        <v>870</v>
      </c>
      <c r="T144" s="2334">
        <v>970</v>
      </c>
      <c r="U144" s="2334">
        <v>750</v>
      </c>
      <c r="V144" s="2334">
        <v>315</v>
      </c>
      <c r="W144" s="2334">
        <v>780</v>
      </c>
      <c r="X144" s="2334">
        <v>360</v>
      </c>
      <c r="Y144" s="2334">
        <v>0</v>
      </c>
      <c r="Z144" s="2334">
        <v>677</v>
      </c>
      <c r="AA144" s="2334">
        <v>0</v>
      </c>
      <c r="AB144" s="2334">
        <v>0</v>
      </c>
      <c r="AC144" s="2334">
        <v>6535</v>
      </c>
      <c r="AD144" s="2334">
        <v>0</v>
      </c>
      <c r="AE144" s="2334">
        <v>0</v>
      </c>
      <c r="AF144" s="2334">
        <v>250</v>
      </c>
      <c r="AG144" s="2334">
        <v>0</v>
      </c>
      <c r="AH144" s="2335">
        <f t="shared" ref="AH144:AH152" si="17">SUM(C144:AG144)</f>
        <v>99899</v>
      </c>
      <c r="AI144" s="2264"/>
      <c r="AJ144" s="2264"/>
      <c r="AK144" s="2264"/>
      <c r="AL144" s="2264"/>
    </row>
    <row r="145" spans="1:38" ht="13.8">
      <c r="A145" s="2336" t="s">
        <v>77</v>
      </c>
      <c r="B145" s="2333">
        <f t="shared" si="16"/>
        <v>47.290999999999997</v>
      </c>
      <c r="C145" s="2334">
        <v>0</v>
      </c>
      <c r="D145" s="2334">
        <v>0</v>
      </c>
      <c r="E145" s="2334">
        <v>350</v>
      </c>
      <c r="F145" s="2334">
        <v>7480</v>
      </c>
      <c r="G145" s="2334">
        <v>320</v>
      </c>
      <c r="H145" s="2334">
        <v>450</v>
      </c>
      <c r="I145" s="2334">
        <v>6754</v>
      </c>
      <c r="J145" s="2334">
        <v>0</v>
      </c>
      <c r="K145" s="2334">
        <v>290</v>
      </c>
      <c r="L145" s="2334">
        <v>230</v>
      </c>
      <c r="M145" s="2334">
        <v>0</v>
      </c>
      <c r="N145" s="2334">
        <v>0</v>
      </c>
      <c r="O145" s="2334">
        <v>350</v>
      </c>
      <c r="P145" s="2334">
        <v>3722</v>
      </c>
      <c r="Q145" s="2334">
        <v>1030</v>
      </c>
      <c r="R145" s="2334">
        <v>450</v>
      </c>
      <c r="S145" s="2334">
        <v>2760</v>
      </c>
      <c r="T145" s="2334">
        <v>720</v>
      </c>
      <c r="U145" s="2334">
        <v>2936</v>
      </c>
      <c r="V145" s="2334">
        <v>4476</v>
      </c>
      <c r="W145" s="2334">
        <v>9896</v>
      </c>
      <c r="X145" s="2334">
        <v>0</v>
      </c>
      <c r="Y145" s="2334">
        <v>0</v>
      </c>
      <c r="Z145" s="2334">
        <v>1240</v>
      </c>
      <c r="AA145" s="2334">
        <v>0</v>
      </c>
      <c r="AB145" s="2334">
        <v>260</v>
      </c>
      <c r="AC145" s="2334">
        <v>1652</v>
      </c>
      <c r="AD145" s="2334">
        <v>1925</v>
      </c>
      <c r="AE145" s="2334">
        <v>0</v>
      </c>
      <c r="AF145" s="2334">
        <v>0</v>
      </c>
      <c r="AG145" s="2334">
        <v>0</v>
      </c>
      <c r="AH145" s="2335">
        <f t="shared" si="17"/>
        <v>47291</v>
      </c>
      <c r="AI145" s="2264"/>
      <c r="AJ145" s="2264"/>
      <c r="AK145" s="2264"/>
      <c r="AL145" s="2264"/>
    </row>
    <row r="146" spans="1:38" ht="13.8">
      <c r="A146" s="2336" t="s">
        <v>78</v>
      </c>
      <c r="B146" s="2333">
        <f t="shared" si="16"/>
        <v>24.439</v>
      </c>
      <c r="C146" s="2334">
        <v>580</v>
      </c>
      <c r="D146" s="2334">
        <v>1305</v>
      </c>
      <c r="E146" s="2334">
        <v>630</v>
      </c>
      <c r="F146" s="2334">
        <v>450</v>
      </c>
      <c r="G146" s="2334">
        <v>520</v>
      </c>
      <c r="H146" s="2334">
        <v>550</v>
      </c>
      <c r="I146" s="2334">
        <v>670</v>
      </c>
      <c r="J146" s="2334">
        <v>515</v>
      </c>
      <c r="K146" s="2334">
        <v>0</v>
      </c>
      <c r="L146" s="2334">
        <v>4229</v>
      </c>
      <c r="M146" s="2334">
        <v>0</v>
      </c>
      <c r="N146" s="2334">
        <v>0</v>
      </c>
      <c r="O146" s="2334">
        <v>0</v>
      </c>
      <c r="P146" s="2334">
        <v>0</v>
      </c>
      <c r="Q146" s="2334">
        <v>0</v>
      </c>
      <c r="R146" s="2334">
        <v>2362</v>
      </c>
      <c r="S146" s="2334">
        <v>3487</v>
      </c>
      <c r="T146" s="2334">
        <v>0</v>
      </c>
      <c r="U146" s="2334">
        <v>0</v>
      </c>
      <c r="V146" s="2334">
        <v>0</v>
      </c>
      <c r="W146" s="2334">
        <v>832</v>
      </c>
      <c r="X146" s="2334">
        <v>1108</v>
      </c>
      <c r="Y146" s="2334">
        <v>0</v>
      </c>
      <c r="Z146" s="2334">
        <v>0</v>
      </c>
      <c r="AA146" s="2334">
        <v>4101</v>
      </c>
      <c r="AB146" s="2334">
        <v>3100</v>
      </c>
      <c r="AC146" s="2334">
        <v>0</v>
      </c>
      <c r="AD146" s="2334">
        <v>0</v>
      </c>
      <c r="AE146" s="2334">
        <v>0</v>
      </c>
      <c r="AF146" s="2334">
        <v>0</v>
      </c>
      <c r="AG146" s="2334">
        <v>0</v>
      </c>
      <c r="AH146" s="2335">
        <f t="shared" si="17"/>
        <v>24439</v>
      </c>
      <c r="AI146" s="2264"/>
      <c r="AJ146" s="2264"/>
      <c r="AK146" s="2264"/>
      <c r="AL146" s="2264"/>
    </row>
    <row r="147" spans="1:38" ht="13.8">
      <c r="A147" s="2337" t="s">
        <v>79</v>
      </c>
      <c r="B147" s="2333">
        <f t="shared" si="16"/>
        <v>16.908999999999999</v>
      </c>
      <c r="C147" s="2334">
        <v>2450</v>
      </c>
      <c r="D147" s="2334">
        <v>0</v>
      </c>
      <c r="E147" s="2334">
        <v>780</v>
      </c>
      <c r="F147" s="2334">
        <v>810</v>
      </c>
      <c r="G147" s="2334">
        <v>0</v>
      </c>
      <c r="H147" s="2334">
        <v>650</v>
      </c>
      <c r="I147" s="2334">
        <v>4715</v>
      </c>
      <c r="J147" s="2334">
        <v>0</v>
      </c>
      <c r="K147" s="2334">
        <v>0</v>
      </c>
      <c r="L147" s="2334">
        <v>710</v>
      </c>
      <c r="M147" s="2334">
        <v>0</v>
      </c>
      <c r="N147" s="2334">
        <v>650</v>
      </c>
      <c r="O147" s="2334">
        <v>0</v>
      </c>
      <c r="P147" s="2334">
        <v>0</v>
      </c>
      <c r="Q147" s="2334">
        <v>0</v>
      </c>
      <c r="R147" s="2334">
        <v>0</v>
      </c>
      <c r="S147" s="2334">
        <v>0</v>
      </c>
      <c r="T147" s="2334">
        <v>0</v>
      </c>
      <c r="U147" s="2334">
        <v>0</v>
      </c>
      <c r="V147" s="2334">
        <v>3984</v>
      </c>
      <c r="W147" s="2334">
        <v>1320</v>
      </c>
      <c r="X147" s="2334">
        <v>0</v>
      </c>
      <c r="Y147" s="2334">
        <v>0</v>
      </c>
      <c r="Z147" s="2334">
        <v>0</v>
      </c>
      <c r="AA147" s="2334">
        <v>0</v>
      </c>
      <c r="AB147" s="2334">
        <v>0</v>
      </c>
      <c r="AC147" s="2334">
        <v>0</v>
      </c>
      <c r="AD147" s="2334">
        <v>0</v>
      </c>
      <c r="AE147" s="2334">
        <v>0</v>
      </c>
      <c r="AF147" s="2334">
        <v>840</v>
      </c>
      <c r="AG147" s="2334">
        <v>0</v>
      </c>
      <c r="AH147" s="2335">
        <f t="shared" si="17"/>
        <v>16909</v>
      </c>
      <c r="AI147" s="2264"/>
      <c r="AJ147" s="2264"/>
      <c r="AK147" s="2264"/>
      <c r="AL147" s="2264"/>
    </row>
    <row r="148" spans="1:38" ht="13.8">
      <c r="A148" s="2337" t="s">
        <v>80</v>
      </c>
      <c r="B148" s="2333">
        <f t="shared" si="16"/>
        <v>2.16</v>
      </c>
      <c r="C148" s="2334">
        <v>0</v>
      </c>
      <c r="D148" s="2334">
        <v>0</v>
      </c>
      <c r="E148" s="2334">
        <v>0</v>
      </c>
      <c r="F148" s="2334">
        <v>0</v>
      </c>
      <c r="G148" s="2334">
        <v>0</v>
      </c>
      <c r="H148" s="2334">
        <v>0</v>
      </c>
      <c r="I148" s="2334">
        <v>0</v>
      </c>
      <c r="J148" s="2334">
        <v>0</v>
      </c>
      <c r="K148" s="2334">
        <v>0</v>
      </c>
      <c r="L148" s="2334">
        <v>0</v>
      </c>
      <c r="M148" s="2334">
        <v>0</v>
      </c>
      <c r="N148" s="2334">
        <v>850</v>
      </c>
      <c r="O148" s="2334">
        <v>0</v>
      </c>
      <c r="P148" s="2334">
        <v>0</v>
      </c>
      <c r="Q148" s="2334">
        <v>380</v>
      </c>
      <c r="R148" s="2334">
        <v>0</v>
      </c>
      <c r="S148" s="2334">
        <v>0</v>
      </c>
      <c r="T148" s="2334">
        <v>0</v>
      </c>
      <c r="U148" s="2334">
        <v>0</v>
      </c>
      <c r="V148" s="2334">
        <v>0</v>
      </c>
      <c r="W148" s="2334">
        <v>0</v>
      </c>
      <c r="X148" s="2334">
        <v>0</v>
      </c>
      <c r="Y148" s="2334">
        <v>0</v>
      </c>
      <c r="Z148" s="2334">
        <v>0</v>
      </c>
      <c r="AA148" s="2334">
        <v>0</v>
      </c>
      <c r="AB148" s="2334">
        <v>420</v>
      </c>
      <c r="AC148" s="2334">
        <v>510</v>
      </c>
      <c r="AD148" s="2334">
        <v>0</v>
      </c>
      <c r="AE148" s="2334">
        <v>0</v>
      </c>
      <c r="AF148" s="2334">
        <v>0</v>
      </c>
      <c r="AG148" s="2334">
        <v>0</v>
      </c>
      <c r="AH148" s="2335">
        <f t="shared" si="17"/>
        <v>2160</v>
      </c>
      <c r="AI148" s="2264"/>
      <c r="AJ148" s="2264"/>
      <c r="AK148" s="2264"/>
      <c r="AL148" s="2264"/>
    </row>
    <row r="149" spans="1:38" ht="13.8">
      <c r="A149" s="2337" t="s">
        <v>81</v>
      </c>
      <c r="B149" s="2333">
        <f t="shared" si="16"/>
        <v>0.51</v>
      </c>
      <c r="C149" s="2334">
        <v>0</v>
      </c>
      <c r="D149" s="2334">
        <v>0</v>
      </c>
      <c r="E149" s="2334">
        <v>0</v>
      </c>
      <c r="F149" s="2334">
        <v>0</v>
      </c>
      <c r="G149" s="2334">
        <v>0</v>
      </c>
      <c r="H149" s="2334">
        <v>0</v>
      </c>
      <c r="I149" s="2334">
        <v>0</v>
      </c>
      <c r="J149" s="2334">
        <v>0</v>
      </c>
      <c r="K149" s="2334">
        <v>0</v>
      </c>
      <c r="L149" s="2334">
        <v>0</v>
      </c>
      <c r="M149" s="2334">
        <v>0</v>
      </c>
      <c r="N149" s="2334">
        <v>0</v>
      </c>
      <c r="O149" s="2334">
        <v>0</v>
      </c>
      <c r="P149" s="2334">
        <v>0</v>
      </c>
      <c r="Q149" s="2334">
        <v>0</v>
      </c>
      <c r="R149" s="2334">
        <v>0</v>
      </c>
      <c r="S149" s="2334">
        <v>510</v>
      </c>
      <c r="T149" s="2334">
        <v>0</v>
      </c>
      <c r="U149" s="2334">
        <v>0</v>
      </c>
      <c r="V149" s="2334">
        <v>0</v>
      </c>
      <c r="W149" s="2334">
        <v>0</v>
      </c>
      <c r="X149" s="2334">
        <v>0</v>
      </c>
      <c r="Y149" s="2334">
        <v>0</v>
      </c>
      <c r="Z149" s="2334">
        <v>0</v>
      </c>
      <c r="AA149" s="2334">
        <v>0</v>
      </c>
      <c r="AB149" s="2334">
        <v>0</v>
      </c>
      <c r="AC149" s="2334">
        <v>0</v>
      </c>
      <c r="AD149" s="2334">
        <v>0</v>
      </c>
      <c r="AE149" s="2334">
        <v>0</v>
      </c>
      <c r="AF149" s="2334">
        <v>0</v>
      </c>
      <c r="AG149" s="2334">
        <v>0</v>
      </c>
      <c r="AH149" s="2335">
        <f t="shared" si="17"/>
        <v>510</v>
      </c>
      <c r="AI149" s="2264"/>
      <c r="AJ149" s="2264"/>
      <c r="AK149" s="2264"/>
      <c r="AL149" s="2264"/>
    </row>
    <row r="150" spans="1:38" ht="13.8">
      <c r="A150" s="2338" t="s">
        <v>82</v>
      </c>
      <c r="B150" s="2333">
        <f t="shared" si="16"/>
        <v>0</v>
      </c>
      <c r="C150" s="2334">
        <v>0</v>
      </c>
      <c r="D150" s="2334">
        <v>0</v>
      </c>
      <c r="E150" s="2334">
        <v>0</v>
      </c>
      <c r="F150" s="2334">
        <v>0</v>
      </c>
      <c r="G150" s="2334">
        <v>0</v>
      </c>
      <c r="H150" s="2334">
        <v>0</v>
      </c>
      <c r="I150" s="2334">
        <v>0</v>
      </c>
      <c r="J150" s="2334">
        <v>0</v>
      </c>
      <c r="K150" s="2334">
        <v>0</v>
      </c>
      <c r="L150" s="2334">
        <v>0</v>
      </c>
      <c r="M150" s="2334">
        <v>0</v>
      </c>
      <c r="N150" s="2334">
        <v>0</v>
      </c>
      <c r="O150" s="2334">
        <v>0</v>
      </c>
      <c r="P150" s="2334">
        <v>0</v>
      </c>
      <c r="Q150" s="2334">
        <v>0</v>
      </c>
      <c r="R150" s="2334">
        <v>0</v>
      </c>
      <c r="S150" s="2334">
        <v>0</v>
      </c>
      <c r="T150" s="2334">
        <v>0</v>
      </c>
      <c r="U150" s="2334">
        <v>0</v>
      </c>
      <c r="V150" s="2334">
        <v>0</v>
      </c>
      <c r="W150" s="2334">
        <v>0</v>
      </c>
      <c r="X150" s="2334">
        <v>0</v>
      </c>
      <c r="Y150" s="2334">
        <v>0</v>
      </c>
      <c r="Z150" s="2334">
        <v>0</v>
      </c>
      <c r="AA150" s="2334">
        <v>0</v>
      </c>
      <c r="AB150" s="2334">
        <v>0</v>
      </c>
      <c r="AC150" s="2334">
        <v>0</v>
      </c>
      <c r="AD150" s="2334">
        <v>0</v>
      </c>
      <c r="AE150" s="2334">
        <v>0</v>
      </c>
      <c r="AF150" s="2334">
        <v>0</v>
      </c>
      <c r="AG150" s="2334">
        <v>0</v>
      </c>
      <c r="AH150" s="2335">
        <f t="shared" si="17"/>
        <v>0</v>
      </c>
      <c r="AI150" s="2264"/>
      <c r="AJ150" s="2264"/>
      <c r="AK150" s="2264"/>
      <c r="AL150" s="2264"/>
    </row>
    <row r="151" spans="1:38" ht="13.8">
      <c r="A151" s="2338" t="s">
        <v>83</v>
      </c>
      <c r="B151" s="2333">
        <f t="shared" si="16"/>
        <v>0</v>
      </c>
      <c r="C151" s="2334">
        <v>0</v>
      </c>
      <c r="D151" s="2334">
        <v>0</v>
      </c>
      <c r="E151" s="2334">
        <v>0</v>
      </c>
      <c r="F151" s="2334">
        <v>0</v>
      </c>
      <c r="G151" s="2334">
        <v>0</v>
      </c>
      <c r="H151" s="2334">
        <v>0</v>
      </c>
      <c r="I151" s="2334">
        <v>0</v>
      </c>
      <c r="J151" s="2334">
        <v>0</v>
      </c>
      <c r="K151" s="2334">
        <v>0</v>
      </c>
      <c r="L151" s="2334">
        <v>0</v>
      </c>
      <c r="M151" s="2334">
        <v>0</v>
      </c>
      <c r="N151" s="2334">
        <v>0</v>
      </c>
      <c r="O151" s="2334">
        <v>0</v>
      </c>
      <c r="P151" s="2334">
        <v>0</v>
      </c>
      <c r="Q151" s="2334">
        <v>0</v>
      </c>
      <c r="R151" s="2334">
        <v>0</v>
      </c>
      <c r="S151" s="2334">
        <v>0</v>
      </c>
      <c r="T151" s="2334">
        <v>0</v>
      </c>
      <c r="U151" s="2334">
        <v>0</v>
      </c>
      <c r="V151" s="2334">
        <v>0</v>
      </c>
      <c r="W151" s="2334">
        <v>0</v>
      </c>
      <c r="X151" s="2334">
        <v>0</v>
      </c>
      <c r="Y151" s="2334">
        <v>0</v>
      </c>
      <c r="Z151" s="2334">
        <v>0</v>
      </c>
      <c r="AA151" s="2334">
        <v>0</v>
      </c>
      <c r="AB151" s="2334">
        <v>0</v>
      </c>
      <c r="AC151" s="2334">
        <v>0</v>
      </c>
      <c r="AD151" s="2334">
        <v>0</v>
      </c>
      <c r="AE151" s="2334">
        <v>0</v>
      </c>
      <c r="AF151" s="2334">
        <v>0</v>
      </c>
      <c r="AG151" s="2334">
        <v>0</v>
      </c>
      <c r="AH151" s="2335">
        <f t="shared" si="17"/>
        <v>0</v>
      </c>
      <c r="AI151" s="2335">
        <f>IF('[1]Resumen algas IV reg '!$H$45="","",IF('[1]Resumen algas IV reg '!$H$45&lt;'[1]Algas IV reg '!AJ151,AH151,SUMIFS(C151:AG151,C154:AG154,AK151)))</f>
        <v>0</v>
      </c>
      <c r="AJ151" s="2340">
        <v>41214</v>
      </c>
      <c r="AK151" s="2264">
        <f>IF('[1]Resumen algas IV reg '!$H$45="","",VALUE(DAY('[1]Resumen algas IV reg '!$H$45)))</f>
        <v>30</v>
      </c>
      <c r="AL151" s="2341">
        <f>IF(AI152=0,AI151,AI152)</f>
        <v>0</v>
      </c>
    </row>
    <row r="152" spans="1:38" ht="13.8">
      <c r="A152" s="2338" t="s">
        <v>84</v>
      </c>
      <c r="B152" s="2333">
        <f t="shared" si="16"/>
        <v>0</v>
      </c>
      <c r="C152" s="2334">
        <v>0</v>
      </c>
      <c r="D152" s="2334">
        <v>0</v>
      </c>
      <c r="E152" s="2334">
        <v>0</v>
      </c>
      <c r="F152" s="2334">
        <v>0</v>
      </c>
      <c r="G152" s="2334">
        <v>0</v>
      </c>
      <c r="H152" s="2334">
        <v>0</v>
      </c>
      <c r="I152" s="2334">
        <v>0</v>
      </c>
      <c r="J152" s="2334">
        <v>0</v>
      </c>
      <c r="K152" s="2334">
        <v>0</v>
      </c>
      <c r="L152" s="2334">
        <v>0</v>
      </c>
      <c r="M152" s="2334">
        <v>0</v>
      </c>
      <c r="N152" s="2334">
        <v>0</v>
      </c>
      <c r="O152" s="2334">
        <v>0</v>
      </c>
      <c r="P152" s="2334">
        <v>0</v>
      </c>
      <c r="Q152" s="2334">
        <v>0</v>
      </c>
      <c r="R152" s="2334">
        <v>0</v>
      </c>
      <c r="S152" s="2334">
        <v>0</v>
      </c>
      <c r="T152" s="2334">
        <v>0</v>
      </c>
      <c r="U152" s="2334">
        <v>0</v>
      </c>
      <c r="V152" s="2334">
        <v>0</v>
      </c>
      <c r="W152" s="2334">
        <v>0</v>
      </c>
      <c r="X152" s="2334">
        <v>0</v>
      </c>
      <c r="Y152" s="2334">
        <v>0</v>
      </c>
      <c r="Z152" s="2334">
        <v>0</v>
      </c>
      <c r="AA152" s="2334">
        <v>0</v>
      </c>
      <c r="AB152" s="2334">
        <v>0</v>
      </c>
      <c r="AC152" s="2334">
        <v>0</v>
      </c>
      <c r="AD152" s="2334">
        <v>0</v>
      </c>
      <c r="AE152" s="2334">
        <v>0</v>
      </c>
      <c r="AF152" s="2334">
        <v>0</v>
      </c>
      <c r="AG152" s="2334">
        <v>0</v>
      </c>
      <c r="AH152" s="2335">
        <f t="shared" si="17"/>
        <v>0</v>
      </c>
      <c r="AI152" s="2335">
        <f>IF(AI151="",SUMIFS(N152:AG152,N154:AG154,AK151),AH152+AI151)</f>
        <v>0</v>
      </c>
      <c r="AJ152" s="2340">
        <v>41244</v>
      </c>
      <c r="AK152" s="2264"/>
      <c r="AL152" s="2264"/>
    </row>
    <row r="153" spans="1:38" ht="13.8">
      <c r="A153" s="154" t="s">
        <v>50</v>
      </c>
      <c r="B153" s="2342">
        <f>SUM(B141:B152)</f>
        <v>562.20699999999999</v>
      </c>
      <c r="C153" s="2343">
        <v>0</v>
      </c>
      <c r="D153" s="2343">
        <v>1200</v>
      </c>
      <c r="E153" s="2343">
        <v>7977</v>
      </c>
      <c r="F153" s="2343">
        <v>2517</v>
      </c>
      <c r="G153" s="2343">
        <v>0</v>
      </c>
      <c r="H153" s="2343">
        <v>17621</v>
      </c>
      <c r="I153" s="2343">
        <v>11253</v>
      </c>
      <c r="J153" s="2343">
        <v>5404</v>
      </c>
      <c r="K153" s="2343">
        <v>8843</v>
      </c>
      <c r="L153" s="2343">
        <v>304</v>
      </c>
      <c r="M153" s="2343">
        <v>300</v>
      </c>
      <c r="N153" s="2343">
        <v>289</v>
      </c>
      <c r="O153" s="2343">
        <v>5352</v>
      </c>
      <c r="P153" s="2343">
        <v>5166</v>
      </c>
      <c r="Q153" s="2343">
        <v>3435</v>
      </c>
      <c r="R153" s="2343">
        <v>600</v>
      </c>
      <c r="S153" s="2343">
        <v>0</v>
      </c>
      <c r="T153" s="2343">
        <v>2925</v>
      </c>
      <c r="U153" s="2343">
        <v>10270</v>
      </c>
      <c r="V153" s="2343">
        <v>0</v>
      </c>
      <c r="W153" s="2343">
        <v>1420</v>
      </c>
      <c r="X153" s="2343">
        <v>10933</v>
      </c>
      <c r="Y153" s="2343">
        <v>0</v>
      </c>
      <c r="Z153" s="2343">
        <v>0</v>
      </c>
      <c r="AA153" s="2343">
        <v>0</v>
      </c>
      <c r="AB153" s="2343">
        <v>0</v>
      </c>
      <c r="AC153" s="2343">
        <v>0</v>
      </c>
      <c r="AD153" s="2343">
        <v>0</v>
      </c>
      <c r="AE153" s="2343">
        <v>0</v>
      </c>
      <c r="AF153" s="2343">
        <v>0</v>
      </c>
      <c r="AG153" s="2343">
        <v>0</v>
      </c>
      <c r="AH153" s="2344">
        <f>SUM(AH141:AH152)</f>
        <v>562207</v>
      </c>
      <c r="AI153" s="2264"/>
      <c r="AJ153" s="2264"/>
      <c r="AK153" s="2264"/>
      <c r="AL153" s="2264"/>
    </row>
  </sheetData>
  <mergeCells count="10">
    <mergeCell ref="A105:C105"/>
    <mergeCell ref="A122:C122"/>
    <mergeCell ref="A139:C139"/>
    <mergeCell ref="A3:C3"/>
    <mergeCell ref="H1:I1"/>
    <mergeCell ref="A20:C20"/>
    <mergeCell ref="A37:C37"/>
    <mergeCell ref="A54:C54"/>
    <mergeCell ref="A71:C71"/>
    <mergeCell ref="A88:C88"/>
  </mergeCells>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sheetPr>
    <tabColor theme="5" tint="-0.499984740745262"/>
  </sheetPr>
  <dimension ref="A1:T48"/>
  <sheetViews>
    <sheetView workbookViewId="0">
      <selection sqref="A1:B1"/>
    </sheetView>
  </sheetViews>
  <sheetFormatPr baseColWidth="10" defaultColWidth="11.44140625" defaultRowHeight="13.2"/>
  <cols>
    <col min="1" max="2" width="11.44140625" style="2232"/>
    <col min="3" max="3" width="18.5546875" style="2232" bestFit="1" customWidth="1"/>
    <col min="4" max="4" width="17.6640625" style="2232" bestFit="1" customWidth="1"/>
    <col min="5" max="5" width="17" style="2232" bestFit="1" customWidth="1"/>
    <col min="6" max="7" width="11.44140625" style="2232"/>
    <col min="8" max="8" width="14.44140625" style="2232" bestFit="1" customWidth="1"/>
    <col min="9" max="9" width="15.6640625" style="2232" bestFit="1" customWidth="1"/>
    <col min="10" max="10" width="11.44140625" style="2232"/>
    <col min="11" max="11" width="12.88671875" style="2232" bestFit="1" customWidth="1"/>
    <col min="12" max="16384" width="11.44140625" style="2232"/>
  </cols>
  <sheetData>
    <row r="1" spans="1:20" ht="14.4" thickBot="1">
      <c r="A1" s="3885" t="s">
        <v>764</v>
      </c>
      <c r="B1" s="4114"/>
      <c r="C1" s="48"/>
      <c r="D1" s="48"/>
      <c r="E1" s="160"/>
      <c r="F1" s="50"/>
      <c r="G1" s="49"/>
      <c r="H1" s="145"/>
      <c r="I1" s="145"/>
      <c r="J1" s="145"/>
      <c r="K1" s="145"/>
      <c r="L1" s="2264"/>
      <c r="M1" s="2264"/>
      <c r="N1" s="2264"/>
      <c r="O1" s="2264"/>
      <c r="P1" s="2264"/>
      <c r="Q1" s="2264"/>
      <c r="R1" s="2264"/>
      <c r="S1" s="2264"/>
      <c r="T1" s="2264"/>
    </row>
    <row r="2" spans="1:20" ht="14.4" thickBot="1">
      <c r="A2" s="49"/>
      <c r="B2" s="50"/>
      <c r="C2" s="48"/>
      <c r="D2" s="48"/>
      <c r="E2" s="160"/>
      <c r="F2" s="50"/>
      <c r="G2" s="49"/>
      <c r="H2" s="145"/>
      <c r="I2" s="145"/>
      <c r="J2" s="2264"/>
      <c r="K2" s="2264"/>
      <c r="L2" s="4115" t="s">
        <v>766</v>
      </c>
      <c r="M2" s="4117" t="s">
        <v>19</v>
      </c>
      <c r="N2" s="4115" t="s">
        <v>782</v>
      </c>
      <c r="O2" s="4115" t="s">
        <v>22</v>
      </c>
      <c r="P2" s="2264"/>
      <c r="Q2" s="2264"/>
      <c r="R2" s="2240" t="s">
        <v>772</v>
      </c>
      <c r="S2" s="2241"/>
      <c r="T2" s="2242"/>
    </row>
    <row r="3" spans="1:20" ht="14.4" thickBot="1">
      <c r="A3" s="2270" t="s">
        <v>765</v>
      </c>
      <c r="B3" s="2271" t="s">
        <v>46</v>
      </c>
      <c r="C3" s="2272" t="s">
        <v>47</v>
      </c>
      <c r="D3" s="2272" t="s">
        <v>48</v>
      </c>
      <c r="E3" s="2273" t="s">
        <v>19</v>
      </c>
      <c r="F3" s="2271" t="s">
        <v>20</v>
      </c>
      <c r="G3" s="2271" t="s">
        <v>49</v>
      </c>
      <c r="H3" s="2272" t="s">
        <v>22</v>
      </c>
      <c r="I3" s="2274" t="s">
        <v>767</v>
      </c>
      <c r="J3" s="2264"/>
      <c r="K3" s="2264"/>
      <c r="L3" s="4116"/>
      <c r="M3" s="4118"/>
      <c r="N3" s="4116"/>
      <c r="O3" s="4116"/>
      <c r="P3" s="2264"/>
      <c r="Q3" s="2264"/>
      <c r="R3" s="2250" t="s">
        <v>768</v>
      </c>
      <c r="S3" s="2251" t="s">
        <v>769</v>
      </c>
      <c r="T3" s="2251" t="s">
        <v>770</v>
      </c>
    </row>
    <row r="4" spans="1:20" ht="14.4" thickBot="1">
      <c r="A4" s="2246" t="s">
        <v>768</v>
      </c>
      <c r="B4" s="2275" t="s">
        <v>783</v>
      </c>
      <c r="C4" s="2276">
        <v>682</v>
      </c>
      <c r="D4" s="2277">
        <f>+C4</f>
        <v>682</v>
      </c>
      <c r="E4" s="2278">
        <f>+SUM('ALGAS IV '!B5:B7)</f>
        <v>798.048</v>
      </c>
      <c r="F4" s="2279">
        <f>IF(C4=0,E4,D4-E4)</f>
        <v>-116.048</v>
      </c>
      <c r="G4" s="2280">
        <f>IF(C4=0,0,1-+E4/D4)</f>
        <v>-0.17015835777126109</v>
      </c>
      <c r="H4" s="2281">
        <v>41694</v>
      </c>
      <c r="I4" s="2237"/>
      <c r="J4" s="2264"/>
      <c r="K4" s="2282" t="s">
        <v>768</v>
      </c>
      <c r="L4" s="2283">
        <f>(C10+C22+C34)*0.1</f>
        <v>220</v>
      </c>
      <c r="M4" s="2283">
        <f>I10+I22+I34</f>
        <v>0</v>
      </c>
      <c r="N4" s="2284">
        <f>L4-M4</f>
        <v>220</v>
      </c>
      <c r="O4" s="2285"/>
      <c r="P4" s="2264"/>
      <c r="Q4" s="2264"/>
      <c r="R4" s="2286">
        <f>+C4+C7+C10+C13+C19+C22+C25+C28+C34+C37+C40+C43</f>
        <v>9500</v>
      </c>
      <c r="S4" s="2287">
        <f>+C5+C8+C11+C14+C20+C23+C26+C29+C35+C38+C41+C44</f>
        <v>11000</v>
      </c>
      <c r="T4" s="2287">
        <f>+C6+C9+C12+C15+C21+C24+C27+C30+C36+C39+C42+C45</f>
        <v>2516.0000000000005</v>
      </c>
    </row>
    <row r="5" spans="1:20" ht="14.4" thickBot="1">
      <c r="A5" s="2238" t="s">
        <v>769</v>
      </c>
      <c r="B5" s="2275" t="s">
        <v>783</v>
      </c>
      <c r="C5" s="2288">
        <v>277</v>
      </c>
      <c r="D5" s="2289">
        <f>+C5</f>
        <v>277</v>
      </c>
      <c r="E5" s="2290">
        <f>+SUM('ALGAS IV '!B22:B24)</f>
        <v>896.75900000000001</v>
      </c>
      <c r="F5" s="2291">
        <f t="shared" ref="F5:F15" si="0">IF(C5=0,E5,D5-E5)</f>
        <v>-619.75900000000001</v>
      </c>
      <c r="G5" s="2292">
        <f t="shared" ref="G5:G15" si="1">IF(C5=0,0,1-+E5/D5)</f>
        <v>-2.2373971119133573</v>
      </c>
      <c r="H5" s="2293">
        <v>41666</v>
      </c>
      <c r="I5" s="2237"/>
      <c r="J5" s="2237"/>
      <c r="K5" s="2282" t="s">
        <v>769</v>
      </c>
      <c r="L5" s="2283">
        <f>(C11+C23+C35)*0.1</f>
        <v>279</v>
      </c>
      <c r="M5" s="2283">
        <f>I11+I23+I35</f>
        <v>0</v>
      </c>
      <c r="N5" s="2284">
        <f>L5-M5</f>
        <v>279</v>
      </c>
      <c r="O5" s="2285"/>
      <c r="P5" s="2264"/>
      <c r="Q5" s="2253" t="s">
        <v>783</v>
      </c>
      <c r="R5" s="2294">
        <f>SUM(E4,E19,E34)</f>
        <v>3381.4470000000001</v>
      </c>
      <c r="S5" s="2294">
        <f>SUM(E5,E20,E35)</f>
        <v>3757.2380000000003</v>
      </c>
      <c r="T5" s="2294">
        <f>SUM(E6,E21,E36)</f>
        <v>1783.1900000000003</v>
      </c>
    </row>
    <row r="6" spans="1:20" ht="14.4" thickBot="1">
      <c r="A6" s="2239" t="s">
        <v>771</v>
      </c>
      <c r="B6" s="2275" t="s">
        <v>783</v>
      </c>
      <c r="C6" s="2295">
        <v>94.86</v>
      </c>
      <c r="D6" s="2296">
        <f>+C6</f>
        <v>94.86</v>
      </c>
      <c r="E6" s="2297">
        <f>+SUM('ALGAS IV '!B39:B41)</f>
        <v>113.18799999999999</v>
      </c>
      <c r="F6" s="2298">
        <f t="shared" si="0"/>
        <v>-18.327999999999989</v>
      </c>
      <c r="G6" s="2299">
        <f t="shared" si="1"/>
        <v>-0.1932110478600042</v>
      </c>
      <c r="H6" s="2285">
        <v>41673</v>
      </c>
      <c r="I6" s="2237"/>
      <c r="J6" s="2237"/>
      <c r="K6" s="2282" t="s">
        <v>771</v>
      </c>
      <c r="L6" s="2283" t="s">
        <v>784</v>
      </c>
      <c r="M6" s="2283">
        <f>I12+I24+I36</f>
        <v>0</v>
      </c>
      <c r="N6" s="2284"/>
      <c r="O6" s="2285"/>
      <c r="P6" s="2264"/>
      <c r="Q6" s="2254" t="s">
        <v>785</v>
      </c>
      <c r="R6" s="2300">
        <f>SUM(E7,E22,E37)</f>
        <v>4876.3870000000006</v>
      </c>
      <c r="S6" s="2300">
        <f>SUM(E8,E23,E38)</f>
        <v>3276.2690000000002</v>
      </c>
      <c r="T6" s="2300">
        <f>SUM(E9,E24,E39)</f>
        <v>937.45799999999997</v>
      </c>
    </row>
    <row r="7" spans="1:20" ht="13.8">
      <c r="A7" s="2236" t="s">
        <v>768</v>
      </c>
      <c r="B7" s="2243" t="s">
        <v>785</v>
      </c>
      <c r="C7" s="2301">
        <v>374</v>
      </c>
      <c r="D7" s="2302">
        <f t="shared" ref="D7:D15" si="2">IF((D4-C4)&gt;0,F4+C7,C7+F4)</f>
        <v>257.952</v>
      </c>
      <c r="E7" s="2278">
        <f>+SUM('ALGAS IV '!B8:B10)</f>
        <v>1007.931</v>
      </c>
      <c r="F7" s="2278">
        <f>IF(C7=0,E7,D7-E7)</f>
        <v>-749.97900000000004</v>
      </c>
      <c r="G7" s="2280">
        <f t="shared" si="1"/>
        <v>-2.9074362672125047</v>
      </c>
      <c r="H7" s="2281">
        <v>41739</v>
      </c>
      <c r="I7" s="2237"/>
      <c r="J7" s="2237"/>
      <c r="K7" s="2237"/>
      <c r="L7" s="2264"/>
      <c r="M7" s="2264"/>
      <c r="N7" s="2264"/>
      <c r="O7" s="2264"/>
      <c r="P7" s="2264"/>
      <c r="Q7" s="2254" t="s">
        <v>786</v>
      </c>
      <c r="R7" s="2300">
        <f>SUM(E10,E25,E40)</f>
        <v>1206.8430000000001</v>
      </c>
      <c r="S7" s="2300">
        <f>SUM(E11,E26,E41)</f>
        <v>2533.3229999999999</v>
      </c>
      <c r="T7" s="2300">
        <f>SUM(E12,E27,E42)</f>
        <v>239.89400000000001</v>
      </c>
    </row>
    <row r="8" spans="1:20" ht="14.4" thickBot="1">
      <c r="A8" s="2238" t="s">
        <v>769</v>
      </c>
      <c r="B8" s="1107" t="s">
        <v>785</v>
      </c>
      <c r="C8" s="1699">
        <v>301</v>
      </c>
      <c r="D8" s="2303">
        <f t="shared" si="2"/>
        <v>-318.75900000000001</v>
      </c>
      <c r="E8" s="2290">
        <f>+SUM('ALGAS IV '!B25:B27)</f>
        <v>13.202</v>
      </c>
      <c r="F8" s="2304">
        <f t="shared" si="0"/>
        <v>-331.96100000000001</v>
      </c>
      <c r="G8" s="2292">
        <f t="shared" si="1"/>
        <v>1.041416869798186</v>
      </c>
      <c r="H8" s="2293">
        <v>41666</v>
      </c>
      <c r="I8" s="2237"/>
      <c r="J8" s="2237"/>
      <c r="K8" s="2237"/>
      <c r="L8" s="2264"/>
      <c r="M8" s="2264"/>
      <c r="N8" s="2264"/>
      <c r="O8" s="2264"/>
      <c r="P8" s="2264"/>
      <c r="Q8" s="2255" t="s">
        <v>39</v>
      </c>
      <c r="R8" s="2305">
        <f>SUM(E13,E28,E43)+SUM(I13,I28,I43)</f>
        <v>0</v>
      </c>
      <c r="S8" s="2305">
        <f>SUM(E14,E29,E44)</f>
        <v>0</v>
      </c>
      <c r="T8" s="2305">
        <f>SUM(E15,E30,E45)</f>
        <v>0</v>
      </c>
    </row>
    <row r="9" spans="1:20" ht="14.4" thickBot="1">
      <c r="A9" s="2244" t="s">
        <v>771</v>
      </c>
      <c r="B9" s="2245" t="s">
        <v>785</v>
      </c>
      <c r="C9" s="2306">
        <v>14.74</v>
      </c>
      <c r="D9" s="2307">
        <f t="shared" si="2"/>
        <v>-3.5879999999999885</v>
      </c>
      <c r="E9" s="2297">
        <f>+SUM('ALGAS IV '!B42:B44)</f>
        <v>52.363999999999997</v>
      </c>
      <c r="F9" s="2308">
        <f t="shared" si="0"/>
        <v>-55.951999999999984</v>
      </c>
      <c r="G9" s="2299">
        <f t="shared" si="1"/>
        <v>15.594202898550771</v>
      </c>
      <c r="H9" s="2285">
        <v>41682</v>
      </c>
      <c r="I9" s="2237"/>
      <c r="J9" s="2237"/>
      <c r="K9" s="2237"/>
      <c r="L9" s="2264"/>
      <c r="M9" s="2264"/>
      <c r="N9" s="2264"/>
      <c r="O9" s="2264"/>
      <c r="P9" s="2264"/>
      <c r="Q9" s="2256" t="s">
        <v>774</v>
      </c>
      <c r="R9" s="2309">
        <f>SUM(R5:R8)</f>
        <v>9464.6770000000015</v>
      </c>
      <c r="S9" s="2309">
        <f>SUM(S5:S8)</f>
        <v>9566.83</v>
      </c>
      <c r="T9" s="2309">
        <f>SUM(T5:T8)</f>
        <v>2960.5420000000004</v>
      </c>
    </row>
    <row r="10" spans="1:20" ht="14.4" thickBot="1">
      <c r="A10" s="2236" t="s">
        <v>768</v>
      </c>
      <c r="B10" s="2275" t="s">
        <v>786</v>
      </c>
      <c r="C10" s="2301">
        <v>323</v>
      </c>
      <c r="D10" s="2302">
        <f t="shared" si="2"/>
        <v>-426.97900000000004</v>
      </c>
      <c r="E10" s="2278">
        <f>+SUM('ALGAS IV '!B11:B13)</f>
        <v>257.12799999999999</v>
      </c>
      <c r="F10" s="2278">
        <f>IF(C10=0,E10,D10-E10)</f>
        <v>-684.10699999999997</v>
      </c>
      <c r="G10" s="2280">
        <f t="shared" si="1"/>
        <v>1.6022029186447106</v>
      </c>
      <c r="H10" s="2281">
        <v>41817</v>
      </c>
      <c r="I10" s="2237"/>
      <c r="J10" s="2264"/>
      <c r="K10" s="2264"/>
      <c r="L10" s="2264"/>
      <c r="M10" s="2264"/>
      <c r="N10" s="2264"/>
      <c r="O10" s="2264"/>
      <c r="P10" s="2264"/>
      <c r="Q10" s="2257" t="s">
        <v>775</v>
      </c>
      <c r="R10" s="2258">
        <f>IF(R4=0,"",R4-(R9-R15))</f>
        <v>35.322999999998501</v>
      </c>
      <c r="S10" s="2258">
        <f>IF(S4=0,"",S4-(S9-S15))</f>
        <v>1433.17</v>
      </c>
      <c r="T10" s="2258">
        <f>IF(T4=0,"",T4-(T9-T15))</f>
        <v>-444.54199999999992</v>
      </c>
    </row>
    <row r="11" spans="1:20" ht="13.8">
      <c r="A11" s="2238" t="s">
        <v>769</v>
      </c>
      <c r="B11" s="2275" t="s">
        <v>786</v>
      </c>
      <c r="C11" s="1699">
        <v>379</v>
      </c>
      <c r="D11" s="2303">
        <f t="shared" si="2"/>
        <v>47.038999999999987</v>
      </c>
      <c r="E11" s="2290">
        <f>+SUM('ALGAS IV '!B28:B30)</f>
        <v>215.68100000000001</v>
      </c>
      <c r="F11" s="2304">
        <f t="shared" si="0"/>
        <v>-168.64200000000002</v>
      </c>
      <c r="G11" s="2292">
        <f t="shared" si="1"/>
        <v>-3.5851527455940833</v>
      </c>
      <c r="H11" s="2293">
        <v>41843</v>
      </c>
      <c r="I11" s="2237"/>
      <c r="J11" s="2264"/>
      <c r="K11" s="2264"/>
      <c r="L11" s="2264"/>
      <c r="M11" s="2264"/>
      <c r="N11" s="2264"/>
      <c r="O11" s="2264"/>
      <c r="P11" s="2264"/>
      <c r="Q11" s="2264"/>
      <c r="R11" s="611"/>
      <c r="S11" s="611"/>
      <c r="T11" s="611"/>
    </row>
    <row r="12" spans="1:20" ht="14.4" thickBot="1">
      <c r="A12" s="2244" t="s">
        <v>771</v>
      </c>
      <c r="B12" s="2275" t="s">
        <v>786</v>
      </c>
      <c r="C12" s="2306">
        <v>6.03</v>
      </c>
      <c r="D12" s="2307">
        <f t="shared" si="2"/>
        <v>-49.921999999999983</v>
      </c>
      <c r="E12" s="2297">
        <f>+SUM('ALGAS IV '!B45:B47)</f>
        <v>30.885999999999999</v>
      </c>
      <c r="F12" s="2308">
        <f t="shared" si="0"/>
        <v>-80.807999999999979</v>
      </c>
      <c r="G12" s="2299">
        <f t="shared" si="1"/>
        <v>1.6186851488321783</v>
      </c>
      <c r="H12" s="2285">
        <v>41817</v>
      </c>
      <c r="I12" s="2237"/>
      <c r="J12" s="3481" t="s">
        <v>132</v>
      </c>
      <c r="K12" s="2264"/>
      <c r="L12" s="2264"/>
      <c r="M12" s="2264"/>
      <c r="N12" s="2264"/>
      <c r="O12" s="2264"/>
      <c r="P12" s="2264"/>
      <c r="Q12" s="2310" t="s">
        <v>787</v>
      </c>
      <c r="R12" s="2311" t="str">
        <f>IF(R4=0,"",IF(R10&lt;0,-(R10/R4),""))</f>
        <v/>
      </c>
      <c r="S12" s="2311" t="str">
        <f>IF(S4=0,"",IF(S10&lt;0,-(S10/S4),""))</f>
        <v/>
      </c>
      <c r="T12" s="2311">
        <f>IF(T4=0,"",IF(T10&lt;0,-(T10/T4),""))</f>
        <v>0.17668600953895064</v>
      </c>
    </row>
    <row r="13" spans="1:20" ht="14.4" thickBot="1">
      <c r="A13" s="2246" t="s">
        <v>768</v>
      </c>
      <c r="B13" s="2243" t="s">
        <v>39</v>
      </c>
      <c r="C13" s="2312">
        <v>917</v>
      </c>
      <c r="D13" s="2302">
        <f t="shared" si="2"/>
        <v>232.89300000000003</v>
      </c>
      <c r="E13" s="2278">
        <f>+SUM('ALGAS IV '!B14:B16)</f>
        <v>0</v>
      </c>
      <c r="F13" s="3483">
        <f>IF(C13=0,E13,D13-E13)</f>
        <v>232.89300000000003</v>
      </c>
      <c r="G13" s="2280">
        <f t="shared" si="1"/>
        <v>1</v>
      </c>
      <c r="H13" s="2281"/>
      <c r="I13" s="2313">
        <f>IF(H13="",0,'[1]Algas IV reg '!$AL$15/1000)</f>
        <v>0</v>
      </c>
      <c r="J13" s="3482">
        <v>41929</v>
      </c>
      <c r="K13" s="145"/>
      <c r="L13" s="2264"/>
      <c r="M13" s="2264"/>
      <c r="N13" s="2264"/>
      <c r="O13" s="2264"/>
      <c r="P13" s="2264"/>
      <c r="Q13" s="2264"/>
      <c r="R13" s="2264"/>
      <c r="S13" s="2264"/>
      <c r="T13" s="2264"/>
    </row>
    <row r="14" spans="1:20" ht="14.4" thickBot="1">
      <c r="A14" s="2238" t="s">
        <v>769</v>
      </c>
      <c r="B14" s="1107" t="s">
        <v>39</v>
      </c>
      <c r="C14" s="1699">
        <v>230</v>
      </c>
      <c r="D14" s="2303">
        <f t="shared" si="2"/>
        <v>61.357999999999976</v>
      </c>
      <c r="E14" s="2290">
        <f>+SUM('ALGAS IV '!B31:B33)</f>
        <v>0</v>
      </c>
      <c r="F14" s="3484">
        <f t="shared" si="0"/>
        <v>61.357999999999976</v>
      </c>
      <c r="G14" s="2292">
        <f t="shared" si="1"/>
        <v>1</v>
      </c>
      <c r="H14" s="2293"/>
      <c r="I14" s="2314">
        <f>IF(H14="",0,'[1]Algas IV reg '!AL32/1000)</f>
        <v>0</v>
      </c>
      <c r="J14" s="3482">
        <v>41929</v>
      </c>
      <c r="K14" s="145"/>
      <c r="L14" s="2264"/>
      <c r="M14" s="2264"/>
      <c r="N14" s="2264"/>
      <c r="O14" s="2264"/>
      <c r="P14" s="2264"/>
      <c r="Q14" s="2256" t="s">
        <v>766</v>
      </c>
      <c r="R14" s="2309">
        <f>IF(O4="",0,(C13+C28+C43)*0.1)</f>
        <v>0</v>
      </c>
      <c r="S14" s="2309">
        <f>IF(O5="",0,(C14+C29+C44)*0.1)</f>
        <v>0</v>
      </c>
      <c r="T14" s="2309">
        <f>IF(O6="",0,(C15+C30+C45)*0.1)</f>
        <v>0</v>
      </c>
    </row>
    <row r="15" spans="1:20" ht="14.4" thickBot="1">
      <c r="A15" s="2244" t="s">
        <v>771</v>
      </c>
      <c r="B15" s="2245" t="s">
        <v>39</v>
      </c>
      <c r="C15" s="2306">
        <v>89.51</v>
      </c>
      <c r="D15" s="2307">
        <f t="shared" si="2"/>
        <v>8.7020000000000266</v>
      </c>
      <c r="E15" s="2297">
        <f>+SUM('ALGAS IV '!B48:B50)</f>
        <v>0</v>
      </c>
      <c r="F15" s="3485">
        <f t="shared" si="0"/>
        <v>8.7020000000000266</v>
      </c>
      <c r="G15" s="2299">
        <f t="shared" si="1"/>
        <v>1</v>
      </c>
      <c r="H15" s="2285"/>
      <c r="I15" s="2315">
        <f>IF(H15="",0,'[1]Algas IV reg '!$AL$49/1000)</f>
        <v>0</v>
      </c>
      <c r="J15" s="3482">
        <v>41929</v>
      </c>
      <c r="K15" s="145"/>
      <c r="L15" s="2264"/>
      <c r="M15" s="2264"/>
      <c r="N15" s="2264"/>
      <c r="O15" s="2264"/>
      <c r="P15" s="2264"/>
      <c r="Q15" s="2256" t="s">
        <v>788</v>
      </c>
      <c r="R15" s="2294">
        <f>+M4</f>
        <v>0</v>
      </c>
      <c r="S15" s="2294">
        <f>+M5</f>
        <v>0</v>
      </c>
      <c r="T15" s="2294">
        <f>+M6</f>
        <v>0</v>
      </c>
    </row>
    <row r="16" spans="1:20" ht="14.4" thickBot="1">
      <c r="A16" s="2252" t="s">
        <v>50</v>
      </c>
      <c r="B16" s="2252"/>
      <c r="C16" s="2259">
        <f>SUM(C4:C15)</f>
        <v>3688.1400000000003</v>
      </c>
      <c r="D16" s="2259"/>
      <c r="E16" s="2259"/>
      <c r="F16" s="2316">
        <f>+D16-E16</f>
        <v>0</v>
      </c>
      <c r="G16" s="49"/>
      <c r="H16" s="145"/>
      <c r="I16" s="145"/>
      <c r="J16" s="145"/>
      <c r="K16" s="145"/>
      <c r="L16" s="2264"/>
      <c r="M16" s="2264"/>
      <c r="N16" s="2264"/>
      <c r="O16" s="2264"/>
      <c r="P16" s="2264"/>
      <c r="Q16" s="2257" t="s">
        <v>789</v>
      </c>
      <c r="R16" s="2258">
        <f>IF(R14=0,R15,R14-(R15))</f>
        <v>0</v>
      </c>
      <c r="S16" s="2258">
        <f>IF(S14=0,S15,S14-(S15))</f>
        <v>0</v>
      </c>
      <c r="T16" s="2258">
        <f>IF(T14=0,T15,T14-(T15))</f>
        <v>0</v>
      </c>
    </row>
    <row r="17" spans="1:20" ht="14.4" thickBot="1">
      <c r="A17" s="161"/>
      <c r="B17" s="50"/>
      <c r="C17" s="922"/>
      <c r="D17" s="922"/>
      <c r="E17" s="162"/>
      <c r="F17" s="2317"/>
      <c r="G17" s="49"/>
      <c r="H17" s="145"/>
      <c r="I17" s="145"/>
      <c r="J17" s="145"/>
      <c r="K17" s="145"/>
      <c r="L17" s="2264"/>
      <c r="M17" s="2264"/>
      <c r="N17" s="2264"/>
      <c r="O17" s="2264"/>
      <c r="P17" s="2264"/>
      <c r="Q17" s="2310" t="s">
        <v>787</v>
      </c>
      <c r="R17" s="2311" t="str">
        <f>IF(R16&lt;0,-(R16/R14),"")</f>
        <v/>
      </c>
      <c r="S17" s="2311" t="str">
        <f>IF(S16&lt;0,-(S16/S14),"")</f>
        <v/>
      </c>
      <c r="T17" s="2311" t="str">
        <f>IF(T16&lt;0,-(T16/T14),"")</f>
        <v/>
      </c>
    </row>
    <row r="18" spans="1:20" ht="14.4" thickBot="1">
      <c r="A18" s="2318" t="s">
        <v>773</v>
      </c>
      <c r="B18" s="2319" t="s">
        <v>46</v>
      </c>
      <c r="C18" s="2320" t="s">
        <v>47</v>
      </c>
      <c r="D18" s="2320" t="s">
        <v>48</v>
      </c>
      <c r="E18" s="2319" t="s">
        <v>19</v>
      </c>
      <c r="F18" s="2319" t="s">
        <v>20</v>
      </c>
      <c r="G18" s="2319" t="s">
        <v>49</v>
      </c>
      <c r="H18" s="2320" t="s">
        <v>22</v>
      </c>
      <c r="I18" s="2321" t="s">
        <v>767</v>
      </c>
      <c r="J18" s="145"/>
      <c r="K18" s="145"/>
      <c r="L18" s="2264"/>
      <c r="M18" s="2264"/>
      <c r="N18" s="2264"/>
      <c r="O18" s="2264"/>
      <c r="P18" s="2264"/>
      <c r="Q18" s="2264"/>
      <c r="R18" s="2264"/>
      <c r="S18" s="2264"/>
      <c r="T18" s="2264"/>
    </row>
    <row r="19" spans="1:20" ht="13.8">
      <c r="A19" s="2236" t="s">
        <v>768</v>
      </c>
      <c r="B19" s="2275" t="s">
        <v>783</v>
      </c>
      <c r="C19" s="2276">
        <v>1143</v>
      </c>
      <c r="D19" s="2322">
        <f>+C19</f>
        <v>1143</v>
      </c>
      <c r="E19" s="2278">
        <f>+SUM('ALGAS IV '!B56:B58)</f>
        <v>1442.7820000000002</v>
      </c>
      <c r="F19" s="2278">
        <f>IF(C19=0,E19,D19-E19)</f>
        <v>-299.78200000000015</v>
      </c>
      <c r="G19" s="2280">
        <f>IF(C19=0,0,1-+E19/D19)</f>
        <v>-0.26227646544181993</v>
      </c>
      <c r="H19" s="2281">
        <v>41711</v>
      </c>
      <c r="I19" s="2237"/>
      <c r="J19" s="145"/>
      <c r="K19" s="145"/>
      <c r="L19" s="2264"/>
      <c r="M19" s="2264"/>
      <c r="N19" s="2264"/>
      <c r="O19" s="2264"/>
      <c r="P19" s="2264"/>
      <c r="Q19" s="2264"/>
      <c r="R19" s="2264"/>
      <c r="S19" s="2264"/>
      <c r="T19" s="2264"/>
    </row>
    <row r="20" spans="1:20" ht="13.8">
      <c r="A20" s="2238" t="s">
        <v>769</v>
      </c>
      <c r="B20" s="2275" t="s">
        <v>783</v>
      </c>
      <c r="C20" s="2288">
        <v>940</v>
      </c>
      <c r="D20" s="2303">
        <f>+C20</f>
        <v>940</v>
      </c>
      <c r="E20" s="2290">
        <f>+SUM('ALGAS IV '!B73:B75)</f>
        <v>1242.4960000000001</v>
      </c>
      <c r="F20" s="2304">
        <f t="shared" ref="F20:F30" si="3">IF(C20=0,E20,D20-E20)</f>
        <v>-302.49600000000009</v>
      </c>
      <c r="G20" s="2292">
        <f t="shared" ref="G20:G30" si="4">IF(C20=0,0,1-+E20/D20)</f>
        <v>-0.32180425531914914</v>
      </c>
      <c r="H20" s="2293">
        <v>41687</v>
      </c>
      <c r="I20" s="2237"/>
      <c r="J20" s="145"/>
      <c r="K20" s="145"/>
      <c r="L20" s="2264"/>
      <c r="M20" s="2264"/>
      <c r="N20" s="2264"/>
      <c r="O20" s="2264"/>
      <c r="P20" s="2264"/>
      <c r="Q20" s="2264"/>
      <c r="R20" s="2264"/>
      <c r="S20" s="2264"/>
      <c r="T20" s="2264"/>
    </row>
    <row r="21" spans="1:20" ht="14.4" thickBot="1">
      <c r="A21" s="2244" t="s">
        <v>771</v>
      </c>
      <c r="B21" s="2275" t="s">
        <v>783</v>
      </c>
      <c r="C21" s="2295">
        <v>988.73</v>
      </c>
      <c r="D21" s="2307">
        <f>+C21</f>
        <v>988.73</v>
      </c>
      <c r="E21" s="2297">
        <f>+SUM('ALGAS IV '!B90:B92)</f>
        <v>1299.0030000000002</v>
      </c>
      <c r="F21" s="2308">
        <f t="shared" si="3"/>
        <v>-310.27300000000014</v>
      </c>
      <c r="G21" s="2299">
        <f t="shared" si="4"/>
        <v>-0.31380963458173627</v>
      </c>
      <c r="H21" s="2285">
        <v>41715</v>
      </c>
      <c r="I21" s="2237"/>
      <c r="J21" s="145"/>
      <c r="K21" s="145"/>
      <c r="L21" s="2264"/>
      <c r="M21" s="2264"/>
      <c r="N21" s="2264"/>
      <c r="O21" s="2264"/>
      <c r="P21" s="2264"/>
      <c r="Q21" s="2264"/>
      <c r="R21" s="2264"/>
      <c r="S21" s="2264"/>
      <c r="T21" s="2264"/>
    </row>
    <row r="22" spans="1:20" ht="13.8">
      <c r="A22" s="2236" t="s">
        <v>768</v>
      </c>
      <c r="B22" s="2243" t="s">
        <v>785</v>
      </c>
      <c r="C22" s="2301">
        <v>898</v>
      </c>
      <c r="D22" s="2302">
        <f t="shared" ref="D22:D30" si="5">IF((D19-C19)&gt;0,F19+C22,C22+F19)</f>
        <v>598.21799999999985</v>
      </c>
      <c r="E22" s="2278">
        <f>+SUM('ALGAS IV '!B59:B61)</f>
        <v>2458.7150000000001</v>
      </c>
      <c r="F22" s="2278">
        <f>IF(C22=0,E22,D22-E22)</f>
        <v>-1860.4970000000003</v>
      </c>
      <c r="G22" s="2280">
        <f t="shared" si="4"/>
        <v>-3.1100652270576958</v>
      </c>
      <c r="H22" s="2281">
        <v>41750</v>
      </c>
      <c r="I22" s="2237"/>
      <c r="J22" s="145"/>
      <c r="K22" s="145"/>
      <c r="L22" s="2264"/>
      <c r="M22" s="2264"/>
      <c r="N22" s="2264"/>
      <c r="O22" s="2264"/>
      <c r="P22" s="2264"/>
      <c r="Q22" s="2264"/>
      <c r="R22" s="2264"/>
      <c r="S22" s="2264"/>
      <c r="T22" s="2264"/>
    </row>
    <row r="23" spans="1:20" ht="13.8">
      <c r="A23" s="2238" t="s">
        <v>769</v>
      </c>
      <c r="B23" s="1107" t="s">
        <v>785</v>
      </c>
      <c r="C23" s="1699">
        <v>1076</v>
      </c>
      <c r="D23" s="2303">
        <f t="shared" si="5"/>
        <v>773.50399999999991</v>
      </c>
      <c r="E23" s="2290">
        <f>+SUM('ALGAS IV '!B76:B78)</f>
        <v>1467.0410000000002</v>
      </c>
      <c r="F23" s="2304">
        <f t="shared" si="3"/>
        <v>-693.53700000000026</v>
      </c>
      <c r="G23" s="2292">
        <f t="shared" si="4"/>
        <v>-0.89661721206354494</v>
      </c>
      <c r="H23" s="2293">
        <v>41775</v>
      </c>
      <c r="I23" s="2237"/>
      <c r="J23" s="145"/>
      <c r="K23" s="145"/>
      <c r="L23" s="2264"/>
      <c r="M23" s="2264"/>
      <c r="N23" s="2264"/>
      <c r="O23" s="2264"/>
      <c r="P23" s="2264"/>
      <c r="Q23" s="2264"/>
      <c r="R23" s="2264"/>
      <c r="S23" s="2264"/>
      <c r="T23" s="2264"/>
    </row>
    <row r="24" spans="1:20" ht="14.4" thickBot="1">
      <c r="A24" s="2244" t="s">
        <v>771</v>
      </c>
      <c r="B24" s="2245" t="s">
        <v>785</v>
      </c>
      <c r="C24" s="2306">
        <v>430.8</v>
      </c>
      <c r="D24" s="2307">
        <f t="shared" si="5"/>
        <v>120.52699999999987</v>
      </c>
      <c r="E24" s="2297">
        <f>+SUM('ALGAS IV '!B93:B95)</f>
        <v>713.46499999999992</v>
      </c>
      <c r="F24" s="2308">
        <f t="shared" si="3"/>
        <v>-592.9380000000001</v>
      </c>
      <c r="G24" s="2299">
        <f t="shared" si="4"/>
        <v>-4.919544998216173</v>
      </c>
      <c r="H24" s="2285">
        <v>41739</v>
      </c>
      <c r="I24" s="2237"/>
      <c r="J24" s="145"/>
      <c r="K24" s="145"/>
      <c r="L24" s="2264"/>
      <c r="M24" s="2264"/>
      <c r="N24" s="2264"/>
      <c r="O24" s="2264"/>
      <c r="P24" s="2264"/>
      <c r="Q24" s="2264"/>
      <c r="R24" s="2264"/>
      <c r="S24" s="2264"/>
      <c r="T24" s="2264"/>
    </row>
    <row r="25" spans="1:20" ht="13.8">
      <c r="A25" s="2236" t="s">
        <v>768</v>
      </c>
      <c r="B25" s="2275" t="s">
        <v>786</v>
      </c>
      <c r="C25" s="2301">
        <v>791</v>
      </c>
      <c r="D25" s="2302">
        <f t="shared" si="5"/>
        <v>-1069.4970000000003</v>
      </c>
      <c r="E25" s="2278">
        <f>+SUM('ALGAS IV '!B62:B64)</f>
        <v>529.23500000000001</v>
      </c>
      <c r="F25" s="2278">
        <f>IF(C25=0,E25,D25-E25)</f>
        <v>-1598.7320000000004</v>
      </c>
      <c r="G25" s="2280">
        <f t="shared" si="4"/>
        <v>1.494844772823112</v>
      </c>
      <c r="H25" s="2281">
        <v>41817</v>
      </c>
      <c r="I25" s="2237"/>
      <c r="J25" s="145"/>
      <c r="K25" s="145"/>
      <c r="L25" s="2264"/>
      <c r="M25" s="2264"/>
      <c r="N25" s="2264"/>
      <c r="O25" s="2264"/>
      <c r="P25" s="2264"/>
      <c r="Q25" s="2264"/>
      <c r="R25" s="2264"/>
      <c r="S25" s="2264"/>
      <c r="T25" s="2264"/>
    </row>
    <row r="26" spans="1:20" ht="13.8">
      <c r="A26" s="2238" t="s">
        <v>769</v>
      </c>
      <c r="B26" s="2275" t="s">
        <v>786</v>
      </c>
      <c r="C26" s="1699">
        <v>1184</v>
      </c>
      <c r="D26" s="2303">
        <f t="shared" si="5"/>
        <v>490.46299999999974</v>
      </c>
      <c r="E26" s="2290">
        <f>+SUM('ALGAS IV '!B79:B81)</f>
        <v>1132.2189999999998</v>
      </c>
      <c r="F26" s="2304">
        <f t="shared" si="3"/>
        <v>-641.75600000000009</v>
      </c>
      <c r="G26" s="2292">
        <f t="shared" si="4"/>
        <v>-1.3084697520506143</v>
      </c>
      <c r="H26" s="2293">
        <v>41844</v>
      </c>
      <c r="I26" s="2237"/>
      <c r="J26" s="145"/>
      <c r="K26" s="145"/>
      <c r="L26" s="2264"/>
      <c r="M26" s="2264"/>
      <c r="N26" s="2264"/>
      <c r="O26" s="2264"/>
      <c r="P26" s="2264"/>
      <c r="Q26" s="2264"/>
      <c r="R26" s="2264"/>
      <c r="S26" s="2264"/>
      <c r="T26" s="2264"/>
    </row>
    <row r="27" spans="1:20" ht="14.4" thickBot="1">
      <c r="A27" s="2244" t="s">
        <v>771</v>
      </c>
      <c r="B27" s="2275" t="s">
        <v>786</v>
      </c>
      <c r="C27" s="2306">
        <v>92.52</v>
      </c>
      <c r="D27" s="2307">
        <f t="shared" si="5"/>
        <v>-500.41800000000012</v>
      </c>
      <c r="E27" s="2297">
        <f>+SUM('ALGAS IV '!B96:B98)</f>
        <v>189.429</v>
      </c>
      <c r="F27" s="2308">
        <f t="shared" si="3"/>
        <v>-689.84700000000009</v>
      </c>
      <c r="G27" s="2299">
        <f t="shared" si="4"/>
        <v>1.3785415392731675</v>
      </c>
      <c r="H27" s="2285">
        <v>41817</v>
      </c>
      <c r="I27" s="2237"/>
      <c r="J27" s="145"/>
      <c r="K27" s="145"/>
      <c r="L27" s="2264"/>
      <c r="M27" s="2264"/>
      <c r="N27" s="2264"/>
      <c r="O27" s="2264"/>
      <c r="P27" s="2264"/>
      <c r="Q27" s="2264"/>
      <c r="R27" s="2264"/>
      <c r="S27" s="2264"/>
      <c r="T27" s="2264"/>
    </row>
    <row r="28" spans="1:20" ht="13.8">
      <c r="A28" s="2236" t="s">
        <v>768</v>
      </c>
      <c r="B28" s="2243" t="s">
        <v>39</v>
      </c>
      <c r="C28" s="2312">
        <v>1085</v>
      </c>
      <c r="D28" s="2302">
        <f t="shared" si="5"/>
        <v>-513.73200000000043</v>
      </c>
      <c r="E28" s="2278">
        <f>+SUM('ALGAS IV '!B65:B67)</f>
        <v>0</v>
      </c>
      <c r="F28" s="2278">
        <f>IF(C28=0,E28,D28-E28)</f>
        <v>-513.73200000000043</v>
      </c>
      <c r="G28" s="2280">
        <f t="shared" si="4"/>
        <v>1</v>
      </c>
      <c r="H28" s="2281">
        <v>41912</v>
      </c>
      <c r="I28" s="2247">
        <f>IF(H28="",0,'[1]Algas IV reg '!$AL$66/1000)</f>
        <v>0</v>
      </c>
      <c r="J28" s="145"/>
      <c r="K28" s="145"/>
      <c r="L28" s="2264"/>
      <c r="M28" s="2264"/>
      <c r="N28" s="2264"/>
      <c r="O28" s="2264"/>
      <c r="P28" s="2264"/>
      <c r="Q28" s="2264"/>
      <c r="R28" s="2264"/>
      <c r="S28" s="2264"/>
      <c r="T28" s="2264"/>
    </row>
    <row r="29" spans="1:20" ht="13.8">
      <c r="A29" s="2238" t="s">
        <v>769</v>
      </c>
      <c r="B29" s="1107" t="s">
        <v>39</v>
      </c>
      <c r="C29" s="1699">
        <v>935</v>
      </c>
      <c r="D29" s="2303">
        <f t="shared" si="5"/>
        <v>293.24399999999991</v>
      </c>
      <c r="E29" s="2290">
        <f>+SUM('ALGAS IV '!B82:B84)</f>
        <v>0</v>
      </c>
      <c r="F29" s="2304">
        <f t="shared" si="3"/>
        <v>293.24399999999991</v>
      </c>
      <c r="G29" s="2292">
        <f t="shared" si="4"/>
        <v>1</v>
      </c>
      <c r="H29" s="2293"/>
      <c r="I29" s="2248">
        <f>IF(H29="",0,'[1]Algas IV reg '!$AL$83/1000)</f>
        <v>0</v>
      </c>
      <c r="J29" s="3482">
        <v>41929</v>
      </c>
      <c r="K29" s="145"/>
      <c r="L29" s="2264"/>
      <c r="M29" s="2264"/>
      <c r="N29" s="2264"/>
      <c r="O29" s="2264"/>
      <c r="P29" s="2264"/>
      <c r="Q29" s="2264"/>
      <c r="R29" s="2264"/>
      <c r="S29" s="2264"/>
      <c r="T29" s="2264"/>
    </row>
    <row r="30" spans="1:20" ht="14.4" thickBot="1">
      <c r="A30" s="2244" t="s">
        <v>771</v>
      </c>
      <c r="B30" s="2245" t="s">
        <v>39</v>
      </c>
      <c r="C30" s="2306">
        <v>282.16000000000003</v>
      </c>
      <c r="D30" s="2307">
        <f t="shared" si="5"/>
        <v>-407.68700000000007</v>
      </c>
      <c r="E30" s="2297">
        <f>+SUM('ALGAS IV '!B99:B101)</f>
        <v>0</v>
      </c>
      <c r="F30" s="2308">
        <f t="shared" si="3"/>
        <v>-407.68700000000007</v>
      </c>
      <c r="G30" s="2299">
        <f t="shared" si="4"/>
        <v>1</v>
      </c>
      <c r="H30" s="2285">
        <v>41912</v>
      </c>
      <c r="I30" s="2249">
        <f>IF(H30="",0,'[1]Algas IV reg '!$AL$100/1000)</f>
        <v>0</v>
      </c>
      <c r="J30" s="145"/>
      <c r="K30" s="145"/>
      <c r="L30" s="2264"/>
      <c r="M30" s="2264"/>
      <c r="N30" s="2264"/>
      <c r="O30" s="2264"/>
      <c r="P30" s="2264"/>
      <c r="Q30" s="2264"/>
      <c r="R30" s="2264"/>
      <c r="S30" s="2264"/>
      <c r="T30" s="2264"/>
    </row>
    <row r="31" spans="1:20" ht="13.8">
      <c r="A31" s="2252" t="s">
        <v>50</v>
      </c>
      <c r="B31" s="2323"/>
      <c r="C31" s="2259">
        <f>SUM(C19:C30)</f>
        <v>9846.2099999999991</v>
      </c>
      <c r="D31" s="2259"/>
      <c r="E31" s="2259">
        <f>SUM(E19:E30)</f>
        <v>10474.385</v>
      </c>
      <c r="F31" s="2316">
        <f>+D31-E31</f>
        <v>-10474.385</v>
      </c>
      <c r="G31" s="49"/>
      <c r="H31" s="145"/>
      <c r="I31" s="145"/>
      <c r="J31" s="145"/>
      <c r="K31" s="145"/>
      <c r="L31" s="2264"/>
      <c r="M31" s="2264"/>
      <c r="N31" s="2264"/>
      <c r="O31" s="2264"/>
      <c r="P31" s="2264"/>
      <c r="Q31" s="2264"/>
      <c r="R31" s="2264"/>
      <c r="S31" s="2264"/>
      <c r="T31" s="2264"/>
    </row>
    <row r="32" spans="1:20" ht="14.4" thickBot="1">
      <c r="A32" s="163"/>
      <c r="B32" s="164"/>
      <c r="C32" s="922"/>
      <c r="D32" s="922"/>
      <c r="E32" s="165"/>
      <c r="F32" s="2317"/>
      <c r="G32" s="49"/>
      <c r="H32" s="145"/>
      <c r="I32" s="145"/>
      <c r="J32" s="145"/>
      <c r="K32" s="145"/>
      <c r="L32" s="2264"/>
      <c r="M32" s="2264"/>
      <c r="N32" s="2264"/>
      <c r="O32" s="2264"/>
      <c r="P32" s="2264"/>
      <c r="Q32" s="2264"/>
      <c r="R32" s="2264"/>
      <c r="S32" s="2264"/>
      <c r="T32" s="2264"/>
    </row>
    <row r="33" spans="1:20" ht="14.4" thickBot="1">
      <c r="A33" s="2324" t="s">
        <v>776</v>
      </c>
      <c r="B33" s="2325" t="s">
        <v>46</v>
      </c>
      <c r="C33" s="2326" t="s">
        <v>47</v>
      </c>
      <c r="D33" s="2326" t="s">
        <v>48</v>
      </c>
      <c r="E33" s="2325" t="s">
        <v>19</v>
      </c>
      <c r="F33" s="2325" t="s">
        <v>20</v>
      </c>
      <c r="G33" s="2325" t="s">
        <v>49</v>
      </c>
      <c r="H33" s="2326" t="s">
        <v>22</v>
      </c>
      <c r="I33" s="2327" t="s">
        <v>767</v>
      </c>
      <c r="J33" s="145"/>
      <c r="K33" s="145"/>
      <c r="L33" s="2264"/>
      <c r="M33" s="2264"/>
      <c r="N33" s="2264"/>
      <c r="O33" s="2264"/>
      <c r="P33" s="2264"/>
      <c r="Q33" s="2264"/>
      <c r="R33" s="2264"/>
      <c r="S33" s="2264"/>
      <c r="T33" s="2264"/>
    </row>
    <row r="34" spans="1:20" ht="13.8">
      <c r="A34" s="2236" t="s">
        <v>768</v>
      </c>
      <c r="B34" s="2275" t="s">
        <v>783</v>
      </c>
      <c r="C34" s="2276">
        <v>979</v>
      </c>
      <c r="D34" s="2322">
        <f>+C34</f>
        <v>979</v>
      </c>
      <c r="E34" s="2278">
        <f>+SUM('ALGAS IV '!B107:B109)</f>
        <v>1140.617</v>
      </c>
      <c r="F34" s="2278">
        <f>IF(C34=0,E34,D34-E34)</f>
        <v>-161.61699999999996</v>
      </c>
      <c r="G34" s="2280">
        <f>IF(C34=0,0,1-+E34/D34)</f>
        <v>-0.16508375893769145</v>
      </c>
      <c r="H34" s="2281">
        <v>41701</v>
      </c>
      <c r="I34" s="2237"/>
      <c r="J34" s="145"/>
      <c r="K34" s="145"/>
      <c r="L34" s="2264"/>
      <c r="M34" s="2264"/>
      <c r="N34" s="2264"/>
      <c r="O34" s="2264"/>
      <c r="P34" s="2264"/>
      <c r="Q34" s="2264"/>
      <c r="R34" s="2264"/>
      <c r="S34" s="2264"/>
      <c r="T34" s="2264"/>
    </row>
    <row r="35" spans="1:20" ht="13.8">
      <c r="A35" s="2238" t="s">
        <v>769</v>
      </c>
      <c r="B35" s="2275" t="s">
        <v>783</v>
      </c>
      <c r="C35" s="2288">
        <v>1335</v>
      </c>
      <c r="D35" s="2303">
        <f>+C35</f>
        <v>1335</v>
      </c>
      <c r="E35" s="2290">
        <f>+SUM('ALGAS IV '!B124:B126)</f>
        <v>1617.9829999999999</v>
      </c>
      <c r="F35" s="2304">
        <f t="shared" ref="F35:F45" si="6">IF(C35=0,E35,D35-E35)</f>
        <v>-282.98299999999995</v>
      </c>
      <c r="G35" s="2292">
        <f t="shared" ref="G35:G45" si="7">IF(C35=0,0,1-+E35/D35)</f>
        <v>-0.21197228464419471</v>
      </c>
      <c r="H35" s="2293">
        <v>41724</v>
      </c>
      <c r="I35" s="2237"/>
      <c r="J35" s="145"/>
      <c r="K35" s="145"/>
      <c r="L35" s="2264"/>
      <c r="M35" s="2264"/>
      <c r="N35" s="2264"/>
      <c r="O35" s="2264"/>
      <c r="P35" s="2264"/>
      <c r="Q35" s="2264"/>
      <c r="R35" s="2264"/>
      <c r="S35" s="2264"/>
      <c r="T35" s="2264"/>
    </row>
    <row r="36" spans="1:20" ht="14.4" thickBot="1">
      <c r="A36" s="2244" t="s">
        <v>771</v>
      </c>
      <c r="B36" s="2275" t="s">
        <v>783</v>
      </c>
      <c r="C36" s="2295">
        <v>266.33999999999997</v>
      </c>
      <c r="D36" s="2307">
        <f>+C36</f>
        <v>266.33999999999997</v>
      </c>
      <c r="E36" s="2297">
        <f>+SUM('ALGAS IV '!B141:B143)</f>
        <v>370.99900000000002</v>
      </c>
      <c r="F36" s="2308">
        <f t="shared" si="6"/>
        <v>-104.65900000000005</v>
      </c>
      <c r="G36" s="2299">
        <f t="shared" si="7"/>
        <v>-0.39295261695577111</v>
      </c>
      <c r="H36" s="2285">
        <v>41683</v>
      </c>
      <c r="I36" s="2237"/>
      <c r="J36" s="145"/>
      <c r="K36" s="145"/>
      <c r="L36" s="2264"/>
      <c r="M36" s="2264"/>
      <c r="N36" s="2264"/>
      <c r="O36" s="2264"/>
      <c r="P36" s="2264"/>
      <c r="Q36" s="2264"/>
      <c r="R36" s="2264"/>
      <c r="S36" s="2264"/>
      <c r="T36" s="2264"/>
    </row>
    <row r="37" spans="1:20" ht="13.8">
      <c r="A37" s="2236" t="s">
        <v>768</v>
      </c>
      <c r="B37" s="2243" t="s">
        <v>785</v>
      </c>
      <c r="C37" s="2301">
        <v>734</v>
      </c>
      <c r="D37" s="2302">
        <f t="shared" ref="D37:D45" si="8">IF((D34-C34)&gt;0,F34+C37,C37+F34)</f>
        <v>572.38300000000004</v>
      </c>
      <c r="E37" s="2278">
        <f>+SUM('ALGAS IV '!B110:B112)</f>
        <v>1409.741</v>
      </c>
      <c r="F37" s="2278">
        <f>IF(C37=0,E37,D37-E37)</f>
        <v>-837.35799999999995</v>
      </c>
      <c r="G37" s="2280">
        <f t="shared" si="7"/>
        <v>-1.4629330360964596</v>
      </c>
      <c r="H37" s="2281">
        <v>41759</v>
      </c>
      <c r="I37" s="2237"/>
      <c r="J37" s="145"/>
      <c r="K37" s="145"/>
      <c r="L37" s="2264"/>
      <c r="M37" s="2264"/>
      <c r="N37" s="2264"/>
      <c r="O37" s="2264"/>
      <c r="P37" s="2264"/>
      <c r="Q37" s="2264"/>
      <c r="R37" s="2264"/>
      <c r="S37" s="2264"/>
      <c r="T37" s="2264"/>
    </row>
    <row r="38" spans="1:20" ht="13.8">
      <c r="A38" s="2238" t="s">
        <v>769</v>
      </c>
      <c r="B38" s="1107" t="s">
        <v>785</v>
      </c>
      <c r="C38" s="1699">
        <v>1777</v>
      </c>
      <c r="D38" s="2303">
        <f t="shared" si="8"/>
        <v>1494.0170000000001</v>
      </c>
      <c r="E38" s="2290">
        <f>+SUM('ALGAS IV '!B127:B129)</f>
        <v>1796.0259999999998</v>
      </c>
      <c r="F38" s="2626">
        <f t="shared" si="6"/>
        <v>-302.00899999999979</v>
      </c>
      <c r="G38" s="2292">
        <f t="shared" si="7"/>
        <v>-0.2021456248489808</v>
      </c>
      <c r="H38" s="2293">
        <v>41781</v>
      </c>
      <c r="I38" s="2237"/>
      <c r="J38" s="2264"/>
      <c r="K38" s="2264"/>
      <c r="L38" s="2264"/>
      <c r="M38" s="2264"/>
      <c r="N38" s="2264"/>
      <c r="O38" s="2264"/>
      <c r="P38" s="2264"/>
      <c r="Q38" s="2264"/>
      <c r="R38" s="2264"/>
      <c r="S38" s="2264"/>
      <c r="T38" s="2264"/>
    </row>
    <row r="39" spans="1:20" ht="14.4" thickBot="1">
      <c r="A39" s="2244" t="s">
        <v>771</v>
      </c>
      <c r="B39" s="2245" t="s">
        <v>785</v>
      </c>
      <c r="C39" s="2306">
        <v>119.03</v>
      </c>
      <c r="D39" s="2307">
        <f t="shared" si="8"/>
        <v>14.370999999999952</v>
      </c>
      <c r="E39" s="2297">
        <f>+SUM('ALGAS IV '!B144:B146)</f>
        <v>171.62899999999999</v>
      </c>
      <c r="F39" s="2308">
        <f t="shared" si="6"/>
        <v>-157.25800000000004</v>
      </c>
      <c r="G39" s="2299">
        <f t="shared" si="7"/>
        <v>-10.942731890613079</v>
      </c>
      <c r="H39" s="2285">
        <v>41733</v>
      </c>
      <c r="I39" s="2237"/>
      <c r="J39" s="2264"/>
      <c r="K39" s="2264"/>
      <c r="L39" s="2264"/>
      <c r="M39" s="2264"/>
      <c r="N39" s="2264"/>
      <c r="O39" s="2264"/>
      <c r="P39" s="2264"/>
      <c r="Q39" s="2264"/>
      <c r="R39" s="2264"/>
      <c r="S39" s="2264"/>
      <c r="T39" s="2264"/>
    </row>
    <row r="40" spans="1:20" ht="13.8">
      <c r="A40" s="2236" t="s">
        <v>768</v>
      </c>
      <c r="B40" s="2275" t="s">
        <v>786</v>
      </c>
      <c r="C40" s="2301">
        <v>558</v>
      </c>
      <c r="D40" s="2302">
        <f t="shared" si="8"/>
        <v>-279.35799999999995</v>
      </c>
      <c r="E40" s="2278">
        <f>+SUM('ALGAS IV '!B113:B115)</f>
        <v>420.48</v>
      </c>
      <c r="F40" s="2278">
        <f>IF(C40=0,E40,D40-E40)</f>
        <v>-699.83799999999997</v>
      </c>
      <c r="G40" s="2280">
        <f t="shared" si="7"/>
        <v>2.5051654149872213</v>
      </c>
      <c r="H40" s="2281">
        <v>41817</v>
      </c>
      <c r="I40" s="2237"/>
      <c r="J40" s="2264"/>
      <c r="K40" s="2264"/>
      <c r="L40" s="2264"/>
      <c r="M40" s="2264"/>
      <c r="N40" s="2264"/>
      <c r="O40" s="2264"/>
      <c r="P40" s="2264"/>
      <c r="Q40" s="2264"/>
      <c r="R40" s="2264"/>
      <c r="S40" s="2264"/>
      <c r="T40" s="2264"/>
    </row>
    <row r="41" spans="1:20" ht="13.8">
      <c r="A41" s="2238" t="s">
        <v>769</v>
      </c>
      <c r="B41" s="2275" t="s">
        <v>786</v>
      </c>
      <c r="C41" s="1699">
        <v>1159</v>
      </c>
      <c r="D41" s="2303">
        <f t="shared" si="8"/>
        <v>856.99100000000021</v>
      </c>
      <c r="E41" s="2290">
        <f>+SUM('ALGAS IV '!B130:B132)</f>
        <v>1185.423</v>
      </c>
      <c r="F41" s="2304">
        <f t="shared" si="6"/>
        <v>-328.43199999999979</v>
      </c>
      <c r="G41" s="2292">
        <f t="shared" si="7"/>
        <v>-0.38323856376554688</v>
      </c>
      <c r="H41" s="2293">
        <v>41844</v>
      </c>
      <c r="I41" s="2237"/>
      <c r="J41" s="2264"/>
      <c r="K41" s="2264"/>
      <c r="L41" s="2264"/>
      <c r="M41" s="2264"/>
      <c r="N41" s="2264"/>
      <c r="O41" s="2264"/>
      <c r="P41" s="2264"/>
      <c r="Q41" s="2264"/>
      <c r="R41" s="2264"/>
      <c r="S41" s="2264"/>
      <c r="T41" s="2264"/>
    </row>
    <row r="42" spans="1:20" ht="14.4" thickBot="1">
      <c r="A42" s="2244" t="s">
        <v>771</v>
      </c>
      <c r="B42" s="2275" t="s">
        <v>786</v>
      </c>
      <c r="C42" s="2306">
        <v>20.51</v>
      </c>
      <c r="D42" s="2307">
        <f t="shared" si="8"/>
        <v>-136.74800000000005</v>
      </c>
      <c r="E42" s="2297">
        <f>+SUM('ALGAS IV '!B147:B149)</f>
        <v>19.579000000000001</v>
      </c>
      <c r="F42" s="2308">
        <f t="shared" si="6"/>
        <v>-156.32700000000006</v>
      </c>
      <c r="G42" s="2299">
        <f t="shared" si="7"/>
        <v>1.1431757685669992</v>
      </c>
      <c r="H42" s="2285">
        <v>41733</v>
      </c>
      <c r="I42" s="2237"/>
      <c r="J42" s="3481" t="s">
        <v>1559</v>
      </c>
      <c r="K42" s="2264"/>
      <c r="L42" s="2264"/>
      <c r="M42" s="2264"/>
      <c r="N42" s="2264"/>
      <c r="O42" s="2264"/>
      <c r="P42" s="2264"/>
      <c r="Q42" s="2264"/>
      <c r="R42" s="2264"/>
      <c r="S42" s="2264"/>
      <c r="T42" s="2264"/>
    </row>
    <row r="43" spans="1:20" ht="13.8">
      <c r="A43" s="2236" t="s">
        <v>768</v>
      </c>
      <c r="B43" s="2243" t="s">
        <v>39</v>
      </c>
      <c r="C43" s="2312">
        <v>1016</v>
      </c>
      <c r="D43" s="2302">
        <f t="shared" si="8"/>
        <v>316.16200000000003</v>
      </c>
      <c r="E43" s="2278">
        <f>+SUM('ALGAS IV '!B116:B118)</f>
        <v>0</v>
      </c>
      <c r="F43" s="2278">
        <f>IF(C43=0,E43,D43-E43)</f>
        <v>316.16200000000003</v>
      </c>
      <c r="G43" s="2280">
        <f t="shared" si="7"/>
        <v>1</v>
      </c>
      <c r="H43" s="2281"/>
      <c r="I43" s="2247">
        <f>IF(H43="",0,'[1]Algas IV reg '!$AL$117/1000)</f>
        <v>0</v>
      </c>
      <c r="J43" s="3481"/>
      <c r="K43" s="2264"/>
      <c r="L43" s="2264"/>
      <c r="M43" s="2264"/>
      <c r="N43" s="2264"/>
      <c r="O43" s="2264"/>
      <c r="P43" s="2264"/>
      <c r="Q43" s="2264"/>
      <c r="R43" s="2264"/>
      <c r="S43" s="2264"/>
      <c r="T43" s="2264"/>
    </row>
    <row r="44" spans="1:20" ht="13.8">
      <c r="A44" s="2238" t="s">
        <v>769</v>
      </c>
      <c r="B44" s="1107" t="s">
        <v>39</v>
      </c>
      <c r="C44" s="1699">
        <v>1407</v>
      </c>
      <c r="D44" s="2303">
        <f t="shared" si="8"/>
        <v>1078.5680000000002</v>
      </c>
      <c r="E44" s="2290">
        <f>+SUM('ALGAS IV '!B133:B135)</f>
        <v>0</v>
      </c>
      <c r="F44" s="3484">
        <f t="shared" si="6"/>
        <v>1078.5680000000002</v>
      </c>
      <c r="G44" s="2292">
        <f t="shared" si="7"/>
        <v>1</v>
      </c>
      <c r="H44" s="2293"/>
      <c r="I44" s="2248">
        <f>IF(H44="",0,'[1]Algas IV reg '!$AL$134/1000)</f>
        <v>0</v>
      </c>
      <c r="J44" s="3486">
        <v>41930</v>
      </c>
      <c r="K44" s="2264"/>
      <c r="L44" s="2264"/>
      <c r="M44" s="2264"/>
      <c r="N44" s="2264"/>
      <c r="O44" s="2264"/>
      <c r="P44" s="2264"/>
      <c r="Q44" s="2264"/>
      <c r="R44" s="2264"/>
      <c r="S44" s="2264"/>
      <c r="T44" s="2264"/>
    </row>
    <row r="45" spans="1:20" ht="14.4" thickBot="1">
      <c r="A45" s="2244" t="s">
        <v>771</v>
      </c>
      <c r="B45" s="2245" t="s">
        <v>39</v>
      </c>
      <c r="C45" s="2306">
        <v>110.77</v>
      </c>
      <c r="D45" s="2307">
        <f t="shared" si="8"/>
        <v>-45.557000000000059</v>
      </c>
      <c r="E45" s="2297">
        <f>+SUM('ALGAS IV '!B150:B152)</f>
        <v>0</v>
      </c>
      <c r="F45" s="2308">
        <f t="shared" si="6"/>
        <v>-45.557000000000059</v>
      </c>
      <c r="G45" s="2299">
        <f t="shared" si="7"/>
        <v>1</v>
      </c>
      <c r="H45" s="2285">
        <v>41912</v>
      </c>
      <c r="I45" s="2249">
        <f>IF(H45="",0,'[1]Algas IV reg '!$AL$151/1000)</f>
        <v>0</v>
      </c>
      <c r="J45" s="3481"/>
      <c r="K45" s="2264"/>
      <c r="L45" s="2264"/>
      <c r="M45" s="2264"/>
      <c r="N45" s="2264"/>
      <c r="O45" s="2264"/>
      <c r="P45" s="2264"/>
      <c r="Q45" s="2264"/>
      <c r="R45" s="2264"/>
      <c r="S45" s="2264"/>
      <c r="T45" s="2264"/>
    </row>
    <row r="46" spans="1:20" ht="13.8">
      <c r="A46" s="2252" t="s">
        <v>50</v>
      </c>
      <c r="B46" s="2323"/>
      <c r="C46" s="2259">
        <f>SUM(C34:C45)</f>
        <v>9481.6500000000015</v>
      </c>
      <c r="D46" s="2259"/>
      <c r="E46" s="2259">
        <f>SUM(E34:E45)</f>
        <v>8132.4769999999999</v>
      </c>
      <c r="F46" s="2316">
        <f>+D46-E46</f>
        <v>-8132.4769999999999</v>
      </c>
      <c r="G46" s="49"/>
      <c r="H46" s="145"/>
      <c r="I46" s="145"/>
      <c r="J46" s="2264"/>
      <c r="K46" s="2264"/>
      <c r="L46" s="2264"/>
      <c r="M46" s="2264"/>
      <c r="N46" s="2264"/>
      <c r="O46" s="2264"/>
      <c r="P46" s="2264"/>
      <c r="Q46" s="2264"/>
      <c r="R46" s="2264"/>
      <c r="S46" s="2264"/>
      <c r="T46" s="2264"/>
    </row>
    <row r="47" spans="1:20">
      <c r="A47" s="2264"/>
      <c r="B47" s="2264"/>
      <c r="C47" s="2264"/>
      <c r="D47" s="2264"/>
      <c r="E47" s="2264"/>
      <c r="F47" s="2264"/>
      <c r="G47" s="2264"/>
      <c r="H47" s="84">
        <f>+E46-5932.22</f>
        <v>2200.2569999999996</v>
      </c>
      <c r="I47" s="2264"/>
      <c r="J47" s="2264"/>
      <c r="K47" s="2264"/>
      <c r="L47" s="2264"/>
      <c r="M47" s="2264"/>
      <c r="N47" s="2264"/>
      <c r="O47" s="2264"/>
      <c r="P47" s="2264"/>
      <c r="Q47" s="2264"/>
      <c r="R47" s="2264"/>
      <c r="S47" s="2264"/>
      <c r="T47" s="2264"/>
    </row>
    <row r="48" spans="1:20">
      <c r="C48" s="85">
        <f>+C16+C31+C46</f>
        <v>23016</v>
      </c>
    </row>
  </sheetData>
  <mergeCells count="5">
    <mergeCell ref="A1:B1"/>
    <mergeCell ref="L2:L3"/>
    <mergeCell ref="M2:M3"/>
    <mergeCell ref="N2:N3"/>
    <mergeCell ref="O2:O3"/>
  </mergeCells>
  <conditionalFormatting sqref="F4:F37">
    <cfRule type="cellIs" dxfId="89" priority="90" stopIfTrue="1" operator="lessThan">
      <formula>0</formula>
    </cfRule>
  </conditionalFormatting>
  <conditionalFormatting sqref="F4:F37">
    <cfRule type="cellIs" dxfId="88" priority="88" operator="lessThan">
      <formula>0</formula>
    </cfRule>
    <cfRule type="cellIs" dxfId="87" priority="89" operator="lessThan">
      <formula>0</formula>
    </cfRule>
  </conditionalFormatting>
  <conditionalFormatting sqref="C25:E25 C13:E13 C37:E37 D4:D12 D14:D24 D26:D36">
    <cfRule type="cellIs" dxfId="86" priority="87" operator="lessThan">
      <formula>0</formula>
    </cfRule>
  </conditionalFormatting>
  <conditionalFormatting sqref="F4:F14 F16:F26 F28:F37">
    <cfRule type="cellIs" dxfId="85" priority="85" operator="lessThan">
      <formula>0</formula>
    </cfRule>
    <cfRule type="cellIs" dxfId="84" priority="86" operator="lessThan">
      <formula>0</formula>
    </cfRule>
  </conditionalFormatting>
  <conditionalFormatting sqref="C25 E25 C13 E13 C37 E37 D4:D14 D16:D26 D28:D37">
    <cfRule type="cellIs" dxfId="83" priority="84" operator="lessThan">
      <formula>0</formula>
    </cfRule>
  </conditionalFormatting>
  <conditionalFormatting sqref="N4">
    <cfRule type="cellIs" dxfId="82" priority="83" operator="lessThan">
      <formula>0</formula>
    </cfRule>
  </conditionalFormatting>
  <conditionalFormatting sqref="F4:F14 F16:F26 F28:F37">
    <cfRule type="cellIs" dxfId="81" priority="81" operator="lessThan">
      <formula>0</formula>
    </cfRule>
    <cfRule type="cellIs" dxfId="80" priority="82" operator="lessThan">
      <formula>0</formula>
    </cfRule>
  </conditionalFormatting>
  <conditionalFormatting sqref="C25 E25 C13 E13 C37 E37 D4:D14 D16:D26 D28:D37">
    <cfRule type="cellIs" dxfId="79" priority="80" operator="lessThan">
      <formula>0</formula>
    </cfRule>
  </conditionalFormatting>
  <conditionalFormatting sqref="F4:F14 F16:F26 F28:F37">
    <cfRule type="cellIs" dxfId="78" priority="78" operator="lessThan">
      <formula>0</formula>
    </cfRule>
    <cfRule type="cellIs" dxfId="77" priority="79" operator="lessThan">
      <formula>0</formula>
    </cfRule>
  </conditionalFormatting>
  <conditionalFormatting sqref="C25 E25 C13 E13 C37 E37 D4:D14 D16:D26 D28:D37">
    <cfRule type="cellIs" dxfId="76" priority="77" operator="lessThan">
      <formula>0</formula>
    </cfRule>
  </conditionalFormatting>
  <conditionalFormatting sqref="N4:N6">
    <cfRule type="cellIs" dxfId="75" priority="76" operator="lessThan">
      <formula>0</formula>
    </cfRule>
  </conditionalFormatting>
  <conditionalFormatting sqref="F13:F14 F25:F26 F37">
    <cfRule type="cellIs" dxfId="74" priority="74" operator="lessThan">
      <formula>0</formula>
    </cfRule>
    <cfRule type="cellIs" dxfId="73" priority="75" operator="lessThan">
      <formula>0</formula>
    </cfRule>
  </conditionalFormatting>
  <conditionalFormatting sqref="C25 E25 C13 E13 C37 E37 D4:D14 D16:D26 D28:D37">
    <cfRule type="cellIs" dxfId="72" priority="73" operator="lessThan">
      <formula>0</formula>
    </cfRule>
  </conditionalFormatting>
  <conditionalFormatting sqref="R4:T4">
    <cfRule type="cellIs" dxfId="71" priority="72" operator="lessThan">
      <formula>0</formula>
    </cfRule>
  </conditionalFormatting>
  <conditionalFormatting sqref="C31 E31 C16 E16 C46 E46 D4:D17 D19:D32 D34:D46">
    <cfRule type="cellIs" dxfId="70" priority="71" operator="lessThan">
      <formula>0</formula>
    </cfRule>
  </conditionalFormatting>
  <conditionalFormatting sqref="F4:F6">
    <cfRule type="expression" dxfId="69" priority="70">
      <formula>E4&gt;C4</formula>
    </cfRule>
  </conditionalFormatting>
  <conditionalFormatting sqref="F7:F9">
    <cfRule type="expression" dxfId="68" priority="69">
      <formula>E7&gt;C7</formula>
    </cfRule>
  </conditionalFormatting>
  <conditionalFormatting sqref="F10:F12">
    <cfRule type="expression" dxfId="67" priority="68">
      <formula>E10&gt;C10</formula>
    </cfRule>
  </conditionalFormatting>
  <conditionalFormatting sqref="F13:F15">
    <cfRule type="expression" dxfId="66" priority="67">
      <formula>E13&gt;C13</formula>
    </cfRule>
  </conditionalFormatting>
  <conditionalFormatting sqref="F19:F21">
    <cfRule type="expression" dxfId="65" priority="66">
      <formula>E19&gt;C19</formula>
    </cfRule>
  </conditionalFormatting>
  <conditionalFormatting sqref="F22:F24">
    <cfRule type="expression" dxfId="64" priority="65">
      <formula>E22&gt;C22</formula>
    </cfRule>
  </conditionalFormatting>
  <conditionalFormatting sqref="F25:F27">
    <cfRule type="expression" dxfId="63" priority="64">
      <formula>E25&gt;C25</formula>
    </cfRule>
  </conditionalFormatting>
  <conditionalFormatting sqref="F28:F30">
    <cfRule type="expression" dxfId="62" priority="63">
      <formula>E28&gt;C28</formula>
    </cfRule>
  </conditionalFormatting>
  <conditionalFormatting sqref="F34:F36">
    <cfRule type="expression" dxfId="61" priority="62">
      <formula>E34&gt;C34</formula>
    </cfRule>
  </conditionalFormatting>
  <conditionalFormatting sqref="F37:F39">
    <cfRule type="expression" dxfId="60" priority="61">
      <formula>E37&gt;C37</formula>
    </cfRule>
  </conditionalFormatting>
  <conditionalFormatting sqref="F40:F42">
    <cfRule type="expression" dxfId="59" priority="60">
      <formula>E40&gt;C40</formula>
    </cfRule>
  </conditionalFormatting>
  <conditionalFormatting sqref="F43:F45">
    <cfRule type="expression" dxfId="58" priority="59">
      <formula>E43&gt;C43</formula>
    </cfRule>
  </conditionalFormatting>
  <conditionalFormatting sqref="R17:T17 R12:T12">
    <cfRule type="cellIs" dxfId="57" priority="58" operator="greaterThan">
      <formula>0</formula>
    </cfRule>
  </conditionalFormatting>
  <conditionalFormatting sqref="R4:T4">
    <cfRule type="cellIs" dxfId="56" priority="57" operator="lessThan">
      <formula>0</formula>
    </cfRule>
  </conditionalFormatting>
  <conditionalFormatting sqref="G13">
    <cfRule type="cellIs" dxfId="55" priority="56" operator="lessThan">
      <formula>0</formula>
    </cfRule>
  </conditionalFormatting>
  <conditionalFormatting sqref="G13">
    <cfRule type="cellIs" dxfId="54" priority="55" operator="lessThan">
      <formula>0</formula>
    </cfRule>
  </conditionalFormatting>
  <conditionalFormatting sqref="G13">
    <cfRule type="cellIs" dxfId="53" priority="54" operator="lessThan">
      <formula>0</formula>
    </cfRule>
  </conditionalFormatting>
  <conditionalFormatting sqref="G13">
    <cfRule type="cellIs" dxfId="52" priority="53" operator="lessThan">
      <formula>0</formula>
    </cfRule>
  </conditionalFormatting>
  <conditionalFormatting sqref="G13">
    <cfRule type="cellIs" dxfId="51" priority="52" operator="lessThan">
      <formula>0</formula>
    </cfRule>
  </conditionalFormatting>
  <conditionalFormatting sqref="G28">
    <cfRule type="cellIs" dxfId="50" priority="51" operator="lessThan">
      <formula>0</formula>
    </cfRule>
  </conditionalFormatting>
  <conditionalFormatting sqref="G28">
    <cfRule type="cellIs" dxfId="49" priority="50" operator="lessThan">
      <formula>0</formula>
    </cfRule>
  </conditionalFormatting>
  <conditionalFormatting sqref="G28">
    <cfRule type="cellIs" dxfId="48" priority="49" operator="lessThan">
      <formula>0</formula>
    </cfRule>
  </conditionalFormatting>
  <conditionalFormatting sqref="G28">
    <cfRule type="cellIs" dxfId="47" priority="48" operator="lessThan">
      <formula>0</formula>
    </cfRule>
  </conditionalFormatting>
  <conditionalFormatting sqref="G28">
    <cfRule type="cellIs" dxfId="46" priority="47" operator="lessThan">
      <formula>0</formula>
    </cfRule>
  </conditionalFormatting>
  <conditionalFormatting sqref="G43">
    <cfRule type="cellIs" dxfId="45" priority="46" operator="lessThan">
      <formula>0</formula>
    </cfRule>
  </conditionalFormatting>
  <conditionalFormatting sqref="G43">
    <cfRule type="cellIs" dxfId="44" priority="45" operator="lessThan">
      <formula>0</formula>
    </cfRule>
  </conditionalFormatting>
  <conditionalFormatting sqref="G43">
    <cfRule type="cellIs" dxfId="43" priority="44" operator="lessThan">
      <formula>0</formula>
    </cfRule>
  </conditionalFormatting>
  <conditionalFormatting sqref="G43">
    <cfRule type="cellIs" dxfId="42" priority="43" operator="lessThan">
      <formula>0</formula>
    </cfRule>
  </conditionalFormatting>
  <conditionalFormatting sqref="G43">
    <cfRule type="cellIs" dxfId="41" priority="42" operator="lessThan">
      <formula>0</formula>
    </cfRule>
  </conditionalFormatting>
  <conditionalFormatting sqref="F39">
    <cfRule type="cellIs" dxfId="40" priority="41" stopIfTrue="1" operator="lessThan">
      <formula>0</formula>
    </cfRule>
  </conditionalFormatting>
  <conditionalFormatting sqref="F39">
    <cfRule type="cellIs" dxfId="39" priority="39" operator="lessThan">
      <formula>0</formula>
    </cfRule>
    <cfRule type="cellIs" dxfId="38" priority="40" operator="lessThan">
      <formula>0</formula>
    </cfRule>
  </conditionalFormatting>
  <conditionalFormatting sqref="F39">
    <cfRule type="cellIs" dxfId="37" priority="37" operator="lessThan">
      <formula>0</formula>
    </cfRule>
    <cfRule type="cellIs" dxfId="36" priority="38" operator="lessThan">
      <formula>0</formula>
    </cfRule>
  </conditionalFormatting>
  <conditionalFormatting sqref="F39">
    <cfRule type="cellIs" dxfId="35" priority="35" operator="lessThan">
      <formula>0</formula>
    </cfRule>
    <cfRule type="cellIs" dxfId="34" priority="36" operator="lessThan">
      <formula>0</formula>
    </cfRule>
  </conditionalFormatting>
  <conditionalFormatting sqref="F39">
    <cfRule type="cellIs" dxfId="33" priority="33" operator="lessThan">
      <formula>0</formula>
    </cfRule>
    <cfRule type="cellIs" dxfId="32" priority="34" operator="lessThan">
      <formula>0</formula>
    </cfRule>
  </conditionalFormatting>
  <conditionalFormatting sqref="F39">
    <cfRule type="expression" dxfId="31" priority="32">
      <formula>E39&gt;C39</formula>
    </cfRule>
  </conditionalFormatting>
  <conditionalFormatting sqref="F39">
    <cfRule type="cellIs" dxfId="30" priority="31" stopIfTrue="1" operator="lessThan">
      <formula>0</formula>
    </cfRule>
  </conditionalFormatting>
  <conditionalFormatting sqref="F39">
    <cfRule type="cellIs" dxfId="29" priority="29" operator="lessThan">
      <formula>0</formula>
    </cfRule>
    <cfRule type="cellIs" dxfId="28" priority="30" operator="lessThan">
      <formula>0</formula>
    </cfRule>
  </conditionalFormatting>
  <conditionalFormatting sqref="F39">
    <cfRule type="cellIs" dxfId="27" priority="27" operator="lessThan">
      <formula>0</formula>
    </cfRule>
    <cfRule type="cellIs" dxfId="26" priority="28" operator="lessThan">
      <formula>0</formula>
    </cfRule>
  </conditionalFormatting>
  <conditionalFormatting sqref="F39">
    <cfRule type="cellIs" dxfId="25" priority="25" operator="lessThan">
      <formula>0</formula>
    </cfRule>
    <cfRule type="cellIs" dxfId="24" priority="26" operator="lessThan">
      <formula>0</formula>
    </cfRule>
  </conditionalFormatting>
  <conditionalFormatting sqref="F39">
    <cfRule type="cellIs" dxfId="23" priority="23" operator="lessThan">
      <formula>0</formula>
    </cfRule>
    <cfRule type="cellIs" dxfId="22" priority="24" operator="lessThan">
      <formula>0</formula>
    </cfRule>
  </conditionalFormatting>
  <conditionalFormatting sqref="F39">
    <cfRule type="expression" dxfId="21" priority="22">
      <formula>E39&gt;C39</formula>
    </cfRule>
  </conditionalFormatting>
  <conditionalFormatting sqref="F42">
    <cfRule type="expression" dxfId="20" priority="21">
      <formula>E42&gt;C42</formula>
    </cfRule>
  </conditionalFormatting>
  <conditionalFormatting sqref="F42">
    <cfRule type="cellIs" dxfId="19" priority="20" stopIfTrue="1" operator="lessThan">
      <formula>0</formula>
    </cfRule>
  </conditionalFormatting>
  <conditionalFormatting sqref="F42">
    <cfRule type="cellIs" dxfId="18" priority="18" operator="lessThan">
      <formula>0</formula>
    </cfRule>
    <cfRule type="cellIs" dxfId="17" priority="19" operator="lessThan">
      <formula>0</formula>
    </cfRule>
  </conditionalFormatting>
  <conditionalFormatting sqref="F42">
    <cfRule type="cellIs" dxfId="16" priority="16" operator="lessThan">
      <formula>0</formula>
    </cfRule>
    <cfRule type="cellIs" dxfId="15" priority="17" operator="lessThan">
      <formula>0</formula>
    </cfRule>
  </conditionalFormatting>
  <conditionalFormatting sqref="F42">
    <cfRule type="cellIs" dxfId="14" priority="14" operator="lessThan">
      <formula>0</formula>
    </cfRule>
    <cfRule type="cellIs" dxfId="13" priority="15" operator="lessThan">
      <formula>0</formula>
    </cfRule>
  </conditionalFormatting>
  <conditionalFormatting sqref="F42">
    <cfRule type="cellIs" dxfId="12" priority="12" operator="lessThan">
      <formula>0</formula>
    </cfRule>
    <cfRule type="cellIs" dxfId="11" priority="13" operator="lessThan">
      <formula>0</formula>
    </cfRule>
  </conditionalFormatting>
  <conditionalFormatting sqref="F42">
    <cfRule type="expression" dxfId="10" priority="11">
      <formula>E42&gt;C42</formula>
    </cfRule>
  </conditionalFormatting>
  <conditionalFormatting sqref="F42">
    <cfRule type="cellIs" dxfId="9" priority="10" stopIfTrue="1" operator="lessThan">
      <formula>0</formula>
    </cfRule>
  </conditionalFormatting>
  <conditionalFormatting sqref="F42">
    <cfRule type="cellIs" dxfId="8" priority="8" operator="lessThan">
      <formula>0</formula>
    </cfRule>
    <cfRule type="cellIs" dxfId="7" priority="9" operator="lessThan">
      <formula>0</formula>
    </cfRule>
  </conditionalFormatting>
  <conditionalFormatting sqref="F42">
    <cfRule type="cellIs" dxfId="6" priority="6" operator="lessThan">
      <formula>0</formula>
    </cfRule>
    <cfRule type="cellIs" dxfId="5" priority="7" operator="lessThan">
      <formula>0</formula>
    </cfRule>
  </conditionalFormatting>
  <conditionalFormatting sqref="F42">
    <cfRule type="cellIs" dxfId="4" priority="4" operator="lessThan">
      <formula>0</formula>
    </cfRule>
    <cfRule type="cellIs" dxfId="3" priority="5" operator="lessThan">
      <formula>0</formula>
    </cfRule>
  </conditionalFormatting>
  <conditionalFormatting sqref="F42">
    <cfRule type="cellIs" dxfId="2" priority="2" operator="lessThan">
      <formula>0</formula>
    </cfRule>
    <cfRule type="cellIs" dxfId="1" priority="3" operator="lessThan">
      <formula>0</formula>
    </cfRule>
  </conditionalFormatting>
  <conditionalFormatting sqref="F42">
    <cfRule type="expression" dxfId="0" priority="1">
      <formula>E42&gt;C42</formula>
    </cfRule>
  </conditionalFormatting>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dimension ref="B1:M45"/>
  <sheetViews>
    <sheetView workbookViewId="0">
      <selection activeCell="J31" sqref="J31"/>
    </sheetView>
  </sheetViews>
  <sheetFormatPr baseColWidth="10" defaultRowHeight="13.2"/>
  <cols>
    <col min="4" max="4" width="14.44140625" customWidth="1"/>
    <col min="10" max="10" width="20.5546875" bestFit="1" customWidth="1"/>
    <col min="13" max="13" width="37" customWidth="1"/>
  </cols>
  <sheetData>
    <row r="1" spans="2:13" ht="13.8" thickBot="1"/>
    <row r="2" spans="2:13" ht="15" thickBot="1">
      <c r="B2" s="3373" t="s">
        <v>1491</v>
      </c>
      <c r="C2" s="3374" t="s">
        <v>146</v>
      </c>
      <c r="D2" s="3374" t="s">
        <v>65</v>
      </c>
      <c r="H2" s="3378" t="s">
        <v>1508</v>
      </c>
      <c r="I2" s="3378" t="s">
        <v>1509</v>
      </c>
      <c r="J2" s="3378" t="s">
        <v>1510</v>
      </c>
      <c r="K2" s="3378" t="s">
        <v>1511</v>
      </c>
      <c r="L2" s="3378" t="s">
        <v>1512</v>
      </c>
      <c r="M2" s="3378" t="s">
        <v>1513</v>
      </c>
    </row>
    <row r="3" spans="2:13" ht="15" thickBot="1">
      <c r="B3" s="3375" t="s">
        <v>1492</v>
      </c>
      <c r="C3" s="3376">
        <v>1066</v>
      </c>
      <c r="D3" s="3376" t="s">
        <v>1493</v>
      </c>
      <c r="F3">
        <v>156.78700000000001</v>
      </c>
      <c r="H3" s="3379">
        <v>2</v>
      </c>
      <c r="I3" s="3379">
        <v>234</v>
      </c>
      <c r="J3" s="3379">
        <v>14.401999999999999</v>
      </c>
      <c r="K3" s="3379">
        <v>2</v>
      </c>
      <c r="L3" s="3379">
        <v>2014</v>
      </c>
      <c r="M3" s="3380" t="s">
        <v>1514</v>
      </c>
    </row>
    <row r="4" spans="2:13" ht="15" thickBot="1">
      <c r="B4" s="3375" t="s">
        <v>11</v>
      </c>
      <c r="C4" s="3376">
        <v>1066</v>
      </c>
      <c r="D4" s="3376" t="s">
        <v>1494</v>
      </c>
      <c r="F4">
        <v>1163.04</v>
      </c>
      <c r="H4" s="3379">
        <v>2</v>
      </c>
      <c r="I4" s="3379">
        <v>234</v>
      </c>
      <c r="J4" s="3379">
        <v>13.603</v>
      </c>
      <c r="K4" s="3379">
        <v>2</v>
      </c>
      <c r="L4" s="3379">
        <v>2014</v>
      </c>
      <c r="M4" s="3380" t="s">
        <v>1519</v>
      </c>
    </row>
    <row r="5" spans="2:13" ht="15" thickBot="1">
      <c r="B5" s="3375" t="s">
        <v>6</v>
      </c>
      <c r="C5" s="3376">
        <v>2659</v>
      </c>
      <c r="D5" s="3376" t="s">
        <v>1495</v>
      </c>
      <c r="F5">
        <v>2963.9189999999999</v>
      </c>
      <c r="H5" s="3379">
        <v>2</v>
      </c>
      <c r="I5" s="3379">
        <v>234</v>
      </c>
      <c r="J5" s="3379">
        <v>0.01</v>
      </c>
      <c r="K5" s="3379">
        <v>2</v>
      </c>
      <c r="L5" s="3379">
        <v>2014</v>
      </c>
      <c r="M5" s="3380" t="s">
        <v>1523</v>
      </c>
    </row>
    <row r="6" spans="2:13" ht="15" thickBot="1">
      <c r="B6" s="3375" t="s">
        <v>725</v>
      </c>
      <c r="C6" s="3376">
        <v>6205</v>
      </c>
      <c r="D6" s="3376" t="s">
        <v>1496</v>
      </c>
      <c r="F6">
        <v>3504.58</v>
      </c>
      <c r="H6" s="3379">
        <v>2</v>
      </c>
      <c r="I6" s="3379">
        <v>234</v>
      </c>
      <c r="J6" s="3379">
        <v>1404.221</v>
      </c>
      <c r="K6" s="3379">
        <v>2</v>
      </c>
      <c r="L6" s="3379">
        <v>2014</v>
      </c>
      <c r="M6" s="3380" t="s">
        <v>1527</v>
      </c>
    </row>
    <row r="7" spans="2:13" ht="15" thickBot="1">
      <c r="B7" s="3375" t="s">
        <v>731</v>
      </c>
      <c r="C7" s="3376">
        <v>2921</v>
      </c>
      <c r="D7" s="3376" t="s">
        <v>1497</v>
      </c>
      <c r="F7">
        <v>15.32</v>
      </c>
      <c r="H7" s="3379">
        <v>3</v>
      </c>
      <c r="I7" s="3379">
        <v>234</v>
      </c>
      <c r="J7" s="3379">
        <v>2008.0889999999999</v>
      </c>
      <c r="K7" s="3379">
        <v>2</v>
      </c>
      <c r="L7" s="3379">
        <v>2014</v>
      </c>
      <c r="M7" s="3380" t="s">
        <v>1524</v>
      </c>
    </row>
    <row r="8" spans="2:13" ht="15" thickBot="1">
      <c r="B8" s="3375" t="s">
        <v>16</v>
      </c>
      <c r="C8" s="3376">
        <v>12</v>
      </c>
      <c r="D8" s="3376" t="s">
        <v>1498</v>
      </c>
      <c r="F8">
        <v>7.0000000000000007E-2</v>
      </c>
      <c r="H8" s="3379">
        <v>3</v>
      </c>
      <c r="I8" s="3379">
        <v>234</v>
      </c>
      <c r="J8" s="3379">
        <v>1133.338</v>
      </c>
      <c r="K8" s="3379">
        <v>2</v>
      </c>
      <c r="L8" s="3379">
        <v>2014</v>
      </c>
      <c r="M8" s="3380" t="s">
        <v>1523</v>
      </c>
    </row>
    <row r="9" spans="2:13" ht="15" thickBot="1">
      <c r="B9" s="3375" t="s">
        <v>17</v>
      </c>
      <c r="C9" s="3376">
        <v>96</v>
      </c>
      <c r="D9" s="3376" t="s">
        <v>1499</v>
      </c>
      <c r="F9">
        <v>51.29</v>
      </c>
      <c r="H9" s="3379">
        <v>4</v>
      </c>
      <c r="I9" s="3379">
        <v>234</v>
      </c>
      <c r="J9" s="3379">
        <v>3466.1010000000001</v>
      </c>
      <c r="K9" s="3379">
        <v>2</v>
      </c>
      <c r="L9" s="3379">
        <v>2014</v>
      </c>
      <c r="M9" s="3380" t="s">
        <v>1520</v>
      </c>
    </row>
    <row r="10" spans="2:13" ht="15" thickBot="1">
      <c r="B10" s="3375" t="s">
        <v>7</v>
      </c>
      <c r="C10" s="3376">
        <v>6225</v>
      </c>
      <c r="D10" s="3376" t="s">
        <v>1500</v>
      </c>
      <c r="F10">
        <v>8922.0300000000007</v>
      </c>
      <c r="H10" s="3379">
        <v>4</v>
      </c>
      <c r="I10" s="3379">
        <v>234</v>
      </c>
      <c r="J10" s="3379">
        <v>0.46600000000000003</v>
      </c>
      <c r="K10" s="3379">
        <v>2</v>
      </c>
      <c r="L10" s="3379">
        <v>2014</v>
      </c>
      <c r="M10" s="3380" t="s">
        <v>1521</v>
      </c>
    </row>
    <row r="11" spans="2:13" ht="15" thickBot="1">
      <c r="B11" s="3375" t="s">
        <v>12</v>
      </c>
      <c r="C11" s="3376">
        <v>140</v>
      </c>
      <c r="D11" s="3376" t="s">
        <v>1501</v>
      </c>
      <c r="F11">
        <v>0</v>
      </c>
      <c r="H11" s="3379">
        <v>5</v>
      </c>
      <c r="I11" s="3379">
        <v>234</v>
      </c>
      <c r="J11" s="3379">
        <v>32.182000000000002</v>
      </c>
      <c r="K11" s="3379">
        <v>2</v>
      </c>
      <c r="L11" s="3379">
        <v>2014</v>
      </c>
      <c r="M11" s="3380" t="s">
        <v>1525</v>
      </c>
    </row>
    <row r="12" spans="2:13" ht="15" thickBot="1">
      <c r="B12" s="3375" t="s">
        <v>129</v>
      </c>
      <c r="C12" s="3376">
        <v>728</v>
      </c>
      <c r="D12" s="3376" t="s">
        <v>1502</v>
      </c>
      <c r="F12">
        <v>0.02</v>
      </c>
      <c r="H12" s="3379">
        <v>5</v>
      </c>
      <c r="I12" s="3379">
        <v>234</v>
      </c>
      <c r="J12" s="3379">
        <v>0.875</v>
      </c>
      <c r="K12" s="3379">
        <v>2</v>
      </c>
      <c r="L12" s="3379">
        <v>2014</v>
      </c>
      <c r="M12" s="3380" t="s">
        <v>1526</v>
      </c>
    </row>
    <row r="13" spans="2:13" ht="15" thickBot="1">
      <c r="B13" s="3375" t="s">
        <v>10</v>
      </c>
      <c r="C13" s="3376">
        <v>4870</v>
      </c>
      <c r="D13" s="3376" t="s">
        <v>1503</v>
      </c>
      <c r="F13">
        <v>5.31</v>
      </c>
      <c r="H13" s="3379">
        <v>6</v>
      </c>
      <c r="I13" s="3379">
        <v>234</v>
      </c>
      <c r="J13" s="3379">
        <v>7.0000000000000007E-2</v>
      </c>
      <c r="K13" s="3379">
        <v>2</v>
      </c>
      <c r="L13" s="3379">
        <v>2014</v>
      </c>
      <c r="M13" s="3380" t="s">
        <v>1515</v>
      </c>
    </row>
    <row r="14" spans="2:13" ht="15" thickBot="1">
      <c r="B14" s="3375" t="s">
        <v>1504</v>
      </c>
      <c r="C14" s="3376">
        <v>327</v>
      </c>
      <c r="D14" s="3376" t="s">
        <v>1505</v>
      </c>
      <c r="F14">
        <v>5.08</v>
      </c>
      <c r="H14" s="3379">
        <v>7</v>
      </c>
      <c r="I14" s="3379">
        <v>234</v>
      </c>
      <c r="J14" s="3379">
        <v>31.481000000000002</v>
      </c>
      <c r="K14" s="3379">
        <v>2</v>
      </c>
      <c r="L14" s="3379">
        <v>2014</v>
      </c>
      <c r="M14" s="3380" t="s">
        <v>1528</v>
      </c>
    </row>
    <row r="15" spans="2:13" ht="15" thickBot="1">
      <c r="B15" s="3375" t="s">
        <v>1506</v>
      </c>
      <c r="C15" s="3376">
        <v>2</v>
      </c>
      <c r="D15" s="3376" t="s">
        <v>1507</v>
      </c>
      <c r="F15">
        <v>4.6100000000000003</v>
      </c>
      <c r="H15" s="3379">
        <v>8</v>
      </c>
      <c r="I15" s="3379">
        <v>234</v>
      </c>
      <c r="J15" s="3379">
        <v>19.806999999999999</v>
      </c>
      <c r="K15" s="3379">
        <v>2</v>
      </c>
      <c r="L15" s="3379">
        <v>2014</v>
      </c>
      <c r="M15" s="3380" t="s">
        <v>1528</v>
      </c>
    </row>
    <row r="16" spans="2:13" ht="15" thickBot="1">
      <c r="B16" s="3375" t="s">
        <v>50</v>
      </c>
      <c r="C16" s="3377">
        <v>26317</v>
      </c>
      <c r="D16" s="3377">
        <f>SUM(D3:D15)</f>
        <v>0</v>
      </c>
      <c r="F16">
        <f>SUM(F3:F15)</f>
        <v>16792.056000000004</v>
      </c>
      <c r="H16" s="3379">
        <v>8</v>
      </c>
      <c r="I16" s="3379">
        <v>234</v>
      </c>
      <c r="J16" s="3379">
        <v>8922.5789999999997</v>
      </c>
      <c r="K16" s="3379">
        <v>2</v>
      </c>
      <c r="L16" s="3379">
        <v>2014</v>
      </c>
      <c r="M16" s="3380" t="s">
        <v>1529</v>
      </c>
    </row>
    <row r="17" spans="2:13" ht="14.4">
      <c r="H17" s="3379">
        <v>9</v>
      </c>
      <c r="I17" s="3379">
        <v>234</v>
      </c>
      <c r="J17" s="3379">
        <v>0.05</v>
      </c>
      <c r="K17" s="3379">
        <v>2</v>
      </c>
      <c r="L17" s="3379">
        <v>2014</v>
      </c>
      <c r="M17" s="3380" t="s">
        <v>1516</v>
      </c>
    </row>
    <row r="18" spans="2:13" ht="14.4">
      <c r="H18" s="3379">
        <v>10</v>
      </c>
      <c r="I18" s="3379">
        <v>234</v>
      </c>
      <c r="J18" s="3379">
        <v>3.0590000000000002</v>
      </c>
      <c r="K18" s="3379">
        <v>2</v>
      </c>
      <c r="L18" s="3379">
        <v>2014</v>
      </c>
      <c r="M18" s="3380" t="s">
        <v>1517</v>
      </c>
    </row>
    <row r="19" spans="2:13" ht="14.4">
      <c r="H19" s="3379">
        <v>14</v>
      </c>
      <c r="I19" s="3379">
        <v>234</v>
      </c>
      <c r="J19" s="3379">
        <v>1.4999999999999999E-2</v>
      </c>
      <c r="K19" s="3379">
        <v>2</v>
      </c>
      <c r="L19" s="3379">
        <v>2014</v>
      </c>
      <c r="M19" s="3380" t="s">
        <v>1522</v>
      </c>
    </row>
    <row r="20" spans="2:13" ht="14.4">
      <c r="H20" s="3379">
        <v>15</v>
      </c>
      <c r="I20" s="3379">
        <v>234</v>
      </c>
      <c r="J20" s="3379">
        <v>158.91200000000001</v>
      </c>
      <c r="K20" s="3379">
        <v>2</v>
      </c>
      <c r="L20" s="3379">
        <v>2014</v>
      </c>
      <c r="M20" s="3380" t="s">
        <v>1518</v>
      </c>
    </row>
    <row r="21" spans="2:13" ht="14.4">
      <c r="H21" s="3379">
        <v>15</v>
      </c>
      <c r="I21" s="3379">
        <v>234</v>
      </c>
      <c r="J21" s="3379">
        <v>2.5000000000000001E-2</v>
      </c>
      <c r="K21" s="3379">
        <v>2</v>
      </c>
      <c r="L21" s="3379">
        <v>2014</v>
      </c>
      <c r="M21" s="3380" t="s">
        <v>1530</v>
      </c>
    </row>
    <row r="25" spans="2:13">
      <c r="J25">
        <f>SUM(J3:J24)</f>
        <v>17209.285</v>
      </c>
    </row>
    <row r="30" spans="2:13" ht="13.8" thickBot="1"/>
    <row r="31" spans="2:13" ht="28.2" thickBot="1">
      <c r="B31" s="3381" t="s">
        <v>1491</v>
      </c>
      <c r="C31" s="3382" t="s">
        <v>1531</v>
      </c>
      <c r="D31" s="3383" t="s">
        <v>1532</v>
      </c>
      <c r="E31" s="3382" t="s">
        <v>65</v>
      </c>
    </row>
    <row r="32" spans="2:13" ht="14.4" thickBot="1">
      <c r="B32" s="3384" t="s">
        <v>1492</v>
      </c>
      <c r="C32" s="3385">
        <v>1066</v>
      </c>
      <c r="D32" s="3386">
        <v>991</v>
      </c>
      <c r="E32" s="3385" t="s">
        <v>1493</v>
      </c>
    </row>
    <row r="33" spans="2:5" ht="14.4" thickBot="1">
      <c r="B33" s="3384" t="s">
        <v>11</v>
      </c>
      <c r="C33" s="3385">
        <v>1066</v>
      </c>
      <c r="D33" s="3386">
        <v>991</v>
      </c>
      <c r="E33" s="3385" t="s">
        <v>1494</v>
      </c>
    </row>
    <row r="34" spans="2:5" ht="14.4" thickBot="1">
      <c r="B34" s="3384" t="s">
        <v>6</v>
      </c>
      <c r="C34" s="3385">
        <v>2659</v>
      </c>
      <c r="D34" s="3386">
        <v>4109</v>
      </c>
      <c r="E34" s="3385" t="s">
        <v>1495</v>
      </c>
    </row>
    <row r="35" spans="2:5" ht="14.4" thickBot="1">
      <c r="B35" s="3384" t="s">
        <v>725</v>
      </c>
      <c r="C35" s="3385">
        <v>6205</v>
      </c>
      <c r="D35" s="3386">
        <v>6205</v>
      </c>
      <c r="E35" s="3385" t="s">
        <v>1496</v>
      </c>
    </row>
    <row r="36" spans="2:5" ht="14.4" thickBot="1">
      <c r="B36" s="3384" t="s">
        <v>731</v>
      </c>
      <c r="C36" s="3385">
        <v>2921</v>
      </c>
      <c r="D36" s="3386">
        <v>1521</v>
      </c>
      <c r="E36" s="3385" t="s">
        <v>1497</v>
      </c>
    </row>
    <row r="37" spans="2:5" ht="14.4" thickBot="1">
      <c r="B37" s="3384" t="s">
        <v>16</v>
      </c>
      <c r="C37" s="3385">
        <v>12</v>
      </c>
      <c r="D37" s="3386">
        <v>12</v>
      </c>
      <c r="E37" s="3385" t="s">
        <v>1498</v>
      </c>
    </row>
    <row r="38" spans="2:5" ht="14.4" thickBot="1">
      <c r="B38" s="3384" t="s">
        <v>17</v>
      </c>
      <c r="C38" s="3385">
        <v>96</v>
      </c>
      <c r="D38" s="3386">
        <v>96</v>
      </c>
      <c r="E38" s="3385" t="s">
        <v>1499</v>
      </c>
    </row>
    <row r="39" spans="2:5" ht="14.4" thickBot="1">
      <c r="B39" s="3384" t="s">
        <v>7</v>
      </c>
      <c r="C39" s="3385">
        <v>6225</v>
      </c>
      <c r="D39" s="3386">
        <v>6225</v>
      </c>
      <c r="E39" s="3385" t="s">
        <v>1500</v>
      </c>
    </row>
    <row r="40" spans="2:5" ht="14.4" thickBot="1">
      <c r="B40" s="3384" t="s">
        <v>12</v>
      </c>
      <c r="C40" s="3385">
        <v>140</v>
      </c>
      <c r="D40" s="3386">
        <v>140</v>
      </c>
      <c r="E40" s="3385" t="s">
        <v>1501</v>
      </c>
    </row>
    <row r="41" spans="2:5" ht="14.4" thickBot="1">
      <c r="B41" s="3384" t="s">
        <v>129</v>
      </c>
      <c r="C41" s="3385">
        <v>728</v>
      </c>
      <c r="D41" s="3386">
        <v>728</v>
      </c>
      <c r="E41" s="3385" t="s">
        <v>1502</v>
      </c>
    </row>
    <row r="42" spans="2:5" ht="14.4" thickBot="1">
      <c r="B42" s="3384" t="s">
        <v>10</v>
      </c>
      <c r="C42" s="3385">
        <v>4870</v>
      </c>
      <c r="D42" s="3386">
        <v>6225</v>
      </c>
      <c r="E42" s="3385" t="s">
        <v>1503</v>
      </c>
    </row>
    <row r="43" spans="2:5" ht="14.4" thickBot="1">
      <c r="B43" s="3384" t="s">
        <v>1504</v>
      </c>
      <c r="C43" s="3385">
        <v>327</v>
      </c>
      <c r="D43" s="3386">
        <v>327</v>
      </c>
      <c r="E43" s="3385" t="s">
        <v>1505</v>
      </c>
    </row>
    <row r="44" spans="2:5" ht="14.4" thickBot="1">
      <c r="B44" s="3384" t="s">
        <v>1506</v>
      </c>
      <c r="C44" s="3385">
        <v>2</v>
      </c>
      <c r="D44" s="3386">
        <v>152</v>
      </c>
      <c r="E44" s="3385" t="s">
        <v>1507</v>
      </c>
    </row>
    <row r="45" spans="2:5" ht="14.4" thickBot="1">
      <c r="B45" s="3384" t="s">
        <v>50</v>
      </c>
      <c r="C45" s="3387">
        <v>26317</v>
      </c>
      <c r="D45" s="3388">
        <f>SUM(D32:D44)</f>
        <v>27722</v>
      </c>
      <c r="E45" s="3387" t="s">
        <v>1533</v>
      </c>
    </row>
  </sheetData>
  <autoFilter ref="H2:M21">
    <sortState ref="H3:M21">
      <sortCondition ref="H2:H21"/>
    </sortState>
  </autoFilter>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B2:AI18"/>
  <sheetViews>
    <sheetView zoomScale="70" zoomScaleNormal="70" workbookViewId="0">
      <selection activeCell="I4" sqref="I4"/>
    </sheetView>
  </sheetViews>
  <sheetFormatPr baseColWidth="10" defaultRowHeight="13.2"/>
  <cols>
    <col min="4" max="7" width="6.5546875" bestFit="1" customWidth="1"/>
    <col min="8" max="8" width="7.5546875" bestFit="1" customWidth="1"/>
    <col min="9" max="9" width="12.44140625" bestFit="1" customWidth="1"/>
    <col min="10" max="10" width="6.5546875" bestFit="1" customWidth="1"/>
    <col min="11" max="13" width="5" bestFit="1" customWidth="1"/>
    <col min="14" max="14" width="5.5546875" bestFit="1" customWidth="1"/>
    <col min="15" max="16" width="6.5546875" bestFit="1" customWidth="1"/>
    <col min="17" max="17" width="5.5546875" bestFit="1" customWidth="1"/>
    <col min="18" max="18" width="5.88671875" bestFit="1" customWidth="1"/>
    <col min="19" max="19" width="5.5546875" bestFit="1" customWidth="1"/>
    <col min="20" max="21" width="5.88671875" bestFit="1" customWidth="1"/>
    <col min="22" max="22" width="7.5546875" bestFit="1" customWidth="1"/>
    <col min="23" max="23" width="5.88671875" bestFit="1" customWidth="1"/>
    <col min="24" max="24" width="6.5546875" bestFit="1" customWidth="1"/>
    <col min="25" max="25" width="7.5546875" bestFit="1" customWidth="1"/>
    <col min="26" max="26" width="5.88671875" bestFit="1" customWidth="1"/>
    <col min="27" max="32" width="6.5546875" bestFit="1" customWidth="1"/>
    <col min="33" max="33" width="5.88671875" bestFit="1" customWidth="1"/>
    <col min="34" max="34" width="7.5546875" bestFit="1" customWidth="1"/>
  </cols>
  <sheetData>
    <row r="2" spans="2:35">
      <c r="B2" s="3577" t="s">
        <v>1637</v>
      </c>
    </row>
    <row r="4" spans="2:35" ht="15">
      <c r="B4" s="3811" t="s">
        <v>327</v>
      </c>
      <c r="C4" s="3812"/>
      <c r="D4" s="3813"/>
      <c r="E4" s="11"/>
      <c r="F4" s="11"/>
      <c r="G4" s="11"/>
      <c r="H4" s="11"/>
      <c r="I4" s="2457"/>
      <c r="J4" s="11"/>
      <c r="K4" s="11"/>
      <c r="L4" s="11"/>
      <c r="M4" s="11"/>
      <c r="N4" s="30"/>
      <c r="O4" s="11"/>
      <c r="P4" s="11"/>
      <c r="Q4" s="11"/>
      <c r="R4" s="11"/>
      <c r="S4" s="11"/>
      <c r="T4" s="11"/>
      <c r="U4" s="11"/>
      <c r="V4" s="11"/>
      <c r="W4" s="11"/>
      <c r="X4" s="11"/>
      <c r="Y4" s="11"/>
      <c r="Z4" s="11"/>
      <c r="AA4" s="11"/>
      <c r="AB4" s="11"/>
      <c r="AC4" s="11"/>
      <c r="AD4" s="11"/>
      <c r="AE4" s="11"/>
      <c r="AF4" s="11"/>
      <c r="AG4" s="11"/>
      <c r="AH4" s="11"/>
      <c r="AI4" s="1"/>
    </row>
    <row r="5" spans="2:35" ht="15">
      <c r="B5" s="5" t="s">
        <v>70</v>
      </c>
      <c r="C5" s="21" t="s">
        <v>71</v>
      </c>
      <c r="D5" s="5">
        <v>1</v>
      </c>
      <c r="E5" s="21">
        <v>2</v>
      </c>
      <c r="F5" s="21">
        <v>3</v>
      </c>
      <c r="G5" s="21">
        <v>4</v>
      </c>
      <c r="H5" s="21">
        <v>5</v>
      </c>
      <c r="I5" s="21">
        <v>6</v>
      </c>
      <c r="J5" s="21">
        <v>7</v>
      </c>
      <c r="K5" s="21">
        <v>8</v>
      </c>
      <c r="L5" s="21">
        <v>9</v>
      </c>
      <c r="M5" s="21">
        <v>10</v>
      </c>
      <c r="N5" s="21">
        <v>11</v>
      </c>
      <c r="O5" s="21">
        <v>12</v>
      </c>
      <c r="P5" s="21">
        <v>13</v>
      </c>
      <c r="Q5" s="21">
        <v>14</v>
      </c>
      <c r="R5" s="21">
        <v>15</v>
      </c>
      <c r="S5" s="21">
        <v>16</v>
      </c>
      <c r="T5" s="21">
        <v>17</v>
      </c>
      <c r="U5" s="21">
        <v>18</v>
      </c>
      <c r="V5" s="21">
        <v>19</v>
      </c>
      <c r="W5" s="21">
        <v>20</v>
      </c>
      <c r="X5" s="21">
        <v>21</v>
      </c>
      <c r="Y5" s="21">
        <v>22</v>
      </c>
      <c r="Z5" s="21">
        <v>23</v>
      </c>
      <c r="AA5" s="21">
        <v>24</v>
      </c>
      <c r="AB5" s="21">
        <v>25</v>
      </c>
      <c r="AC5" s="21">
        <v>26</v>
      </c>
      <c r="AD5" s="21">
        <v>27</v>
      </c>
      <c r="AE5" s="21">
        <v>28</v>
      </c>
      <c r="AF5" s="21">
        <v>29</v>
      </c>
      <c r="AG5" s="21">
        <v>30</v>
      </c>
      <c r="AH5" s="21">
        <v>31</v>
      </c>
      <c r="AI5" s="25" t="s">
        <v>72</v>
      </c>
    </row>
    <row r="6" spans="2:35" ht="15">
      <c r="B6" s="1717" t="s">
        <v>73</v>
      </c>
      <c r="C6" s="15">
        <f t="shared" ref="C6:C17" si="0">+AI6</f>
        <v>867.18000000000006</v>
      </c>
      <c r="D6" s="1537"/>
      <c r="E6" s="1537"/>
      <c r="F6" s="1537"/>
      <c r="G6" s="1537"/>
      <c r="H6" s="1537"/>
      <c r="I6" s="1537"/>
      <c r="J6" s="1539"/>
      <c r="K6" s="1539"/>
      <c r="L6" s="1539"/>
      <c r="M6" s="1539"/>
      <c r="N6" s="1539"/>
      <c r="O6" s="1539"/>
      <c r="P6" s="1539"/>
      <c r="Q6" s="1539"/>
      <c r="R6" s="1539"/>
      <c r="S6" s="1539"/>
      <c r="T6" s="1539"/>
      <c r="U6" s="1539"/>
      <c r="V6" s="1539"/>
      <c r="W6" s="1539"/>
      <c r="X6" s="1539"/>
      <c r="Y6" s="1539"/>
      <c r="Z6" s="1539">
        <v>70.87</v>
      </c>
      <c r="AA6" s="1539">
        <v>146.41999999999999</v>
      </c>
      <c r="AB6" s="1539">
        <v>158.34</v>
      </c>
      <c r="AC6" s="1539"/>
      <c r="AD6" s="1539">
        <v>103.69</v>
      </c>
      <c r="AE6" s="1539">
        <v>150.63999999999999</v>
      </c>
      <c r="AF6" s="1539"/>
      <c r="AG6" s="1539">
        <v>98.74</v>
      </c>
      <c r="AH6" s="1539">
        <v>138.47999999999999</v>
      </c>
      <c r="AI6" s="32">
        <f>SUM(D6:AH6)</f>
        <v>867.18000000000006</v>
      </c>
    </row>
    <row r="7" spans="2:35" ht="15">
      <c r="B7" s="1717" t="s">
        <v>74</v>
      </c>
      <c r="C7" s="3556">
        <f t="shared" si="0"/>
        <v>944.56999999999994</v>
      </c>
      <c r="D7" s="1537">
        <v>85.45</v>
      </c>
      <c r="E7" s="1537"/>
      <c r="F7" s="1537">
        <v>98.33</v>
      </c>
      <c r="G7" s="1537"/>
      <c r="H7" s="1537"/>
      <c r="I7" s="1537">
        <v>90.5</v>
      </c>
      <c r="J7" s="1540">
        <v>15.19</v>
      </c>
      <c r="K7" s="1540"/>
      <c r="L7" s="1540"/>
      <c r="M7" s="1540"/>
      <c r="N7" s="1540"/>
      <c r="O7" s="1540"/>
      <c r="P7" s="1540"/>
      <c r="Q7" s="1540"/>
      <c r="R7" s="1540"/>
      <c r="S7" s="1540"/>
      <c r="T7" s="1540"/>
      <c r="U7" s="1540"/>
      <c r="V7" s="1540"/>
      <c r="W7" s="1540"/>
      <c r="X7" s="1540"/>
      <c r="Y7" s="1540">
        <v>132.96</v>
      </c>
      <c r="Z7" s="1539"/>
      <c r="AA7" s="1539">
        <v>112.66</v>
      </c>
      <c r="AB7" s="1539">
        <v>37.840000000000003</v>
      </c>
      <c r="AC7" s="1539">
        <v>148.5</v>
      </c>
      <c r="AD7" s="1539">
        <v>105.46</v>
      </c>
      <c r="AE7" s="1539">
        <v>117.68</v>
      </c>
      <c r="AF7" s="1539"/>
      <c r="AG7" s="1539"/>
      <c r="AH7" s="1539"/>
      <c r="AI7" s="32">
        <f t="shared" ref="AI7:AI17" si="1">SUM(D7:AH7)</f>
        <v>944.56999999999994</v>
      </c>
    </row>
    <row r="8" spans="2:35" ht="15">
      <c r="B8" s="1717" t="s">
        <v>75</v>
      </c>
      <c r="C8" s="15">
        <f t="shared" si="0"/>
        <v>765</v>
      </c>
      <c r="D8" s="1537">
        <v>72.510000000000005</v>
      </c>
      <c r="E8" s="1537"/>
      <c r="F8" s="1537">
        <v>78.09</v>
      </c>
      <c r="G8" s="1537"/>
      <c r="H8" s="1537">
        <v>143.08000000000001</v>
      </c>
      <c r="I8" s="1537"/>
      <c r="J8" s="1542">
        <v>32.549999999999997</v>
      </c>
      <c r="K8" s="1541"/>
      <c r="L8" s="1541"/>
      <c r="M8" s="1541"/>
      <c r="N8" s="1541"/>
      <c r="O8" s="1541"/>
      <c r="P8" s="1541"/>
      <c r="Q8" s="1542"/>
      <c r="R8" s="1542"/>
      <c r="S8" s="1542"/>
      <c r="T8" s="1542"/>
      <c r="U8" s="1542"/>
      <c r="V8" s="1542"/>
      <c r="W8" s="1542"/>
      <c r="X8" s="1542"/>
      <c r="Y8" s="1542"/>
      <c r="Z8" s="1542"/>
      <c r="AA8" s="1542">
        <v>53.72</v>
      </c>
      <c r="AB8" s="1542">
        <v>35.25</v>
      </c>
      <c r="AC8" s="1542">
        <v>40.4</v>
      </c>
      <c r="AD8" s="1542"/>
      <c r="AE8" s="1542">
        <v>82.39</v>
      </c>
      <c r="AF8" s="1543">
        <v>95.5</v>
      </c>
      <c r="AG8" s="1541"/>
      <c r="AH8" s="1541">
        <v>131.51</v>
      </c>
      <c r="AI8" s="32">
        <f t="shared" si="1"/>
        <v>765</v>
      </c>
    </row>
    <row r="9" spans="2:35" ht="15">
      <c r="B9" s="1717" t="s">
        <v>76</v>
      </c>
      <c r="C9" s="1529">
        <f t="shared" si="0"/>
        <v>284.31999999999994</v>
      </c>
      <c r="D9" s="1538"/>
      <c r="E9" s="1538">
        <v>38.75</v>
      </c>
      <c r="F9" s="1538">
        <v>73.03</v>
      </c>
      <c r="G9" s="1538">
        <v>81.11</v>
      </c>
      <c r="H9" s="1538">
        <v>52.01</v>
      </c>
      <c r="I9" s="1538"/>
      <c r="J9" s="1542">
        <v>20.9</v>
      </c>
      <c r="K9" s="1542"/>
      <c r="L9" s="1542"/>
      <c r="M9" s="1542"/>
      <c r="N9" s="1541"/>
      <c r="O9" s="1541"/>
      <c r="P9" s="1541"/>
      <c r="Q9" s="1541"/>
      <c r="R9" s="1542"/>
      <c r="S9" s="1542"/>
      <c r="T9" s="1542"/>
      <c r="U9" s="1542"/>
      <c r="V9" s="1541"/>
      <c r="W9" s="1542"/>
      <c r="X9" s="1542"/>
      <c r="Y9" s="1542"/>
      <c r="Z9" s="1542"/>
      <c r="AA9" s="1542"/>
      <c r="AB9" s="1542"/>
      <c r="AC9" s="1542">
        <v>18.52</v>
      </c>
      <c r="AD9" s="1541"/>
      <c r="AE9" s="1542"/>
      <c r="AF9" s="1542"/>
      <c r="AG9" s="1541"/>
      <c r="AH9" s="1541"/>
      <c r="AI9" s="32">
        <f t="shared" si="1"/>
        <v>284.31999999999994</v>
      </c>
    </row>
    <row r="10" spans="2:35" ht="15">
      <c r="B10" s="1717" t="s">
        <v>77</v>
      </c>
      <c r="C10" s="3557">
        <f t="shared" si="0"/>
        <v>20.85</v>
      </c>
      <c r="D10" s="1538"/>
      <c r="E10" s="1538"/>
      <c r="F10" s="1538"/>
      <c r="G10" s="1537"/>
      <c r="H10" s="1538"/>
      <c r="I10" s="1537"/>
      <c r="J10" s="1539"/>
      <c r="K10" s="1539"/>
      <c r="L10" s="1539"/>
      <c r="M10" s="1539"/>
      <c r="N10" s="1539"/>
      <c r="O10" s="1539"/>
      <c r="P10" s="1539"/>
      <c r="Q10" s="1539"/>
      <c r="R10" s="1539"/>
      <c r="S10" s="1539"/>
      <c r="T10" s="1539"/>
      <c r="U10" s="1539"/>
      <c r="V10" s="1539"/>
      <c r="W10" s="1539"/>
      <c r="X10" s="1539"/>
      <c r="Y10" s="1539"/>
      <c r="Z10" s="1539"/>
      <c r="AA10" s="1539">
        <v>20.85</v>
      </c>
      <c r="AB10" s="1539"/>
      <c r="AC10" s="1539"/>
      <c r="AD10" s="1539"/>
      <c r="AE10" s="1539"/>
      <c r="AF10" s="1539"/>
      <c r="AG10" s="1539"/>
      <c r="AH10" s="1539"/>
      <c r="AI10" s="32">
        <f t="shared" si="1"/>
        <v>20.85</v>
      </c>
    </row>
    <row r="11" spans="2:35" ht="15">
      <c r="B11" s="1717" t="s">
        <v>78</v>
      </c>
      <c r="C11" s="15">
        <f t="shared" si="0"/>
        <v>25.53</v>
      </c>
      <c r="D11" s="1538"/>
      <c r="E11" s="1538"/>
      <c r="F11" s="1538">
        <v>25.53</v>
      </c>
      <c r="G11" s="1538"/>
      <c r="H11" s="1538"/>
      <c r="I11" s="1538"/>
      <c r="J11" s="1539"/>
      <c r="K11" s="1539"/>
      <c r="L11" s="1539"/>
      <c r="M11" s="1539"/>
      <c r="N11" s="1539"/>
      <c r="O11" s="1539"/>
      <c r="P11" s="1539"/>
      <c r="Q11" s="1539"/>
      <c r="R11" s="1539"/>
      <c r="S11" s="1539"/>
      <c r="T11" s="1539"/>
      <c r="U11" s="1539"/>
      <c r="V11" s="1539"/>
      <c r="W11" s="1539"/>
      <c r="X11" s="1539"/>
      <c r="Y11" s="1539"/>
      <c r="Z11" s="1539"/>
      <c r="AA11" s="1539"/>
      <c r="AB11" s="1539"/>
      <c r="AC11" s="1539"/>
      <c r="AD11" s="1539"/>
      <c r="AE11" s="1539"/>
      <c r="AF11" s="1539"/>
      <c r="AG11" s="1539"/>
      <c r="AH11" s="1539"/>
      <c r="AI11" s="32">
        <f t="shared" si="1"/>
        <v>25.53</v>
      </c>
    </row>
    <row r="12" spans="2:35" ht="15">
      <c r="B12" s="21" t="s">
        <v>79</v>
      </c>
      <c r="C12" s="15">
        <f t="shared" si="0"/>
        <v>0</v>
      </c>
      <c r="D12" s="1539"/>
      <c r="E12" s="1539"/>
      <c r="F12" s="1539"/>
      <c r="G12" s="1539"/>
      <c r="H12" s="1539"/>
      <c r="I12" s="1539"/>
      <c r="J12" s="1539"/>
      <c r="K12" s="1539"/>
      <c r="L12" s="1539"/>
      <c r="M12" s="1539"/>
      <c r="N12" s="1539"/>
      <c r="O12" s="31"/>
      <c r="P12" s="31"/>
      <c r="Q12" s="31"/>
      <c r="R12" s="31"/>
      <c r="S12" s="31"/>
      <c r="T12" s="31"/>
      <c r="U12" s="31"/>
      <c r="V12" s="31"/>
      <c r="W12" s="31"/>
      <c r="X12" s="31"/>
      <c r="Y12" s="31"/>
      <c r="Z12" s="31"/>
      <c r="AA12" s="31"/>
      <c r="AB12" s="31"/>
      <c r="AC12" s="31"/>
      <c r="AD12" s="31"/>
      <c r="AE12" s="31"/>
      <c r="AF12" s="31"/>
      <c r="AG12" s="31"/>
      <c r="AH12" s="31"/>
      <c r="AI12" s="32">
        <f t="shared" si="1"/>
        <v>0</v>
      </c>
    </row>
    <row r="13" spans="2:35" ht="15">
      <c r="B13" s="21" t="s">
        <v>80</v>
      </c>
      <c r="C13" s="15">
        <f t="shared" si="0"/>
        <v>0</v>
      </c>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2">
        <f t="shared" si="1"/>
        <v>0</v>
      </c>
    </row>
    <row r="14" spans="2:35" ht="15">
      <c r="B14" s="21" t="s">
        <v>81</v>
      </c>
      <c r="C14" s="15">
        <f t="shared" si="0"/>
        <v>0</v>
      </c>
      <c r="D14" s="31"/>
      <c r="E14" s="31"/>
      <c r="F14" s="31"/>
      <c r="G14" s="31"/>
      <c r="H14" s="31"/>
      <c r="I14" s="31"/>
      <c r="J14" s="31"/>
      <c r="K14" s="31"/>
      <c r="L14" s="31"/>
      <c r="M14" s="31"/>
      <c r="N14" s="31"/>
      <c r="O14" s="31"/>
      <c r="P14" s="31"/>
      <c r="Q14" s="31"/>
      <c r="R14" s="113" t="s">
        <v>398</v>
      </c>
      <c r="S14" s="113"/>
      <c r="T14" s="113" t="s">
        <v>398</v>
      </c>
      <c r="U14" s="113" t="s">
        <v>398</v>
      </c>
      <c r="V14" s="113" t="s">
        <v>398</v>
      </c>
      <c r="W14" s="113" t="s">
        <v>398</v>
      </c>
      <c r="X14" s="113" t="s">
        <v>398</v>
      </c>
      <c r="Y14" s="113" t="s">
        <v>398</v>
      </c>
      <c r="Z14" s="113" t="s">
        <v>398</v>
      </c>
      <c r="AA14" s="113" t="s">
        <v>398</v>
      </c>
      <c r="AB14" s="113" t="s">
        <v>398</v>
      </c>
      <c r="AC14" s="113" t="s">
        <v>398</v>
      </c>
      <c r="AD14" s="113" t="s">
        <v>398</v>
      </c>
      <c r="AE14" s="113" t="s">
        <v>398</v>
      </c>
      <c r="AF14" s="113" t="s">
        <v>398</v>
      </c>
      <c r="AG14" s="113" t="s">
        <v>398</v>
      </c>
      <c r="AH14" s="113" t="s">
        <v>398</v>
      </c>
      <c r="AI14" s="32">
        <f t="shared" si="1"/>
        <v>0</v>
      </c>
    </row>
    <row r="15" spans="2:35" ht="15">
      <c r="B15" s="21" t="s">
        <v>82</v>
      </c>
      <c r="C15" s="15">
        <f t="shared" si="0"/>
        <v>0</v>
      </c>
      <c r="D15" s="113" t="s">
        <v>110</v>
      </c>
      <c r="E15" s="1718" t="s">
        <v>110</v>
      </c>
      <c r="F15" s="113" t="s">
        <v>110</v>
      </c>
      <c r="G15" s="113" t="s">
        <v>110</v>
      </c>
      <c r="H15" s="113" t="s">
        <v>110</v>
      </c>
      <c r="I15" s="113" t="s">
        <v>110</v>
      </c>
      <c r="J15" s="113" t="s">
        <v>110</v>
      </c>
      <c r="K15" s="113" t="s">
        <v>110</v>
      </c>
      <c r="L15" s="113" t="s">
        <v>110</v>
      </c>
      <c r="M15" s="113" t="s">
        <v>110</v>
      </c>
      <c r="N15" s="113" t="s">
        <v>110</v>
      </c>
      <c r="O15" s="113" t="s">
        <v>110</v>
      </c>
      <c r="P15" s="113" t="s">
        <v>110</v>
      </c>
      <c r="Q15" s="113" t="s">
        <v>110</v>
      </c>
      <c r="R15" s="113" t="s">
        <v>110</v>
      </c>
      <c r="S15" s="113" t="s">
        <v>110</v>
      </c>
      <c r="T15" s="113" t="s">
        <v>110</v>
      </c>
      <c r="U15" s="113" t="s">
        <v>110</v>
      </c>
      <c r="V15" s="113" t="s">
        <v>110</v>
      </c>
      <c r="W15" s="113" t="s">
        <v>110</v>
      </c>
      <c r="X15" s="113" t="s">
        <v>110</v>
      </c>
      <c r="Y15" s="113" t="s">
        <v>110</v>
      </c>
      <c r="Z15" s="113" t="s">
        <v>110</v>
      </c>
      <c r="AA15" s="113" t="s">
        <v>110</v>
      </c>
      <c r="AB15" s="113" t="s">
        <v>110</v>
      </c>
      <c r="AC15" s="113" t="s">
        <v>110</v>
      </c>
      <c r="AD15" s="113" t="s">
        <v>110</v>
      </c>
      <c r="AE15" s="113" t="s">
        <v>110</v>
      </c>
      <c r="AF15" s="113" t="s">
        <v>110</v>
      </c>
      <c r="AG15" s="113" t="s">
        <v>110</v>
      </c>
      <c r="AH15" s="113" t="s">
        <v>110</v>
      </c>
      <c r="AI15" s="32">
        <f t="shared" si="1"/>
        <v>0</v>
      </c>
    </row>
    <row r="16" spans="2:35" ht="15">
      <c r="B16" s="21" t="s">
        <v>83</v>
      </c>
      <c r="C16" s="15">
        <f t="shared" si="0"/>
        <v>364.76</v>
      </c>
      <c r="D16" s="113" t="s">
        <v>110</v>
      </c>
      <c r="E16" s="1718" t="s">
        <v>110</v>
      </c>
      <c r="F16" s="113" t="s">
        <v>110</v>
      </c>
      <c r="G16" s="113" t="s">
        <v>110</v>
      </c>
      <c r="H16" s="113" t="s">
        <v>110</v>
      </c>
      <c r="I16" s="113" t="s">
        <v>110</v>
      </c>
      <c r="J16" s="113" t="s">
        <v>110</v>
      </c>
      <c r="K16" s="113" t="s">
        <v>110</v>
      </c>
      <c r="L16" s="113" t="s">
        <v>110</v>
      </c>
      <c r="M16" s="113" t="s">
        <v>110</v>
      </c>
      <c r="N16" s="113" t="s">
        <v>110</v>
      </c>
      <c r="O16" s="113" t="s">
        <v>110</v>
      </c>
      <c r="P16" s="113" t="s">
        <v>110</v>
      </c>
      <c r="Q16" s="113" t="s">
        <v>110</v>
      </c>
      <c r="R16" s="113" t="s">
        <v>110</v>
      </c>
      <c r="S16" s="34"/>
      <c r="T16" s="34"/>
      <c r="U16" s="34"/>
      <c r="V16" s="34">
        <v>119.98</v>
      </c>
      <c r="W16" s="34"/>
      <c r="X16" s="34">
        <v>20.309999999999999</v>
      </c>
      <c r="Y16" s="34">
        <v>48.38</v>
      </c>
      <c r="Z16" s="2203"/>
      <c r="AA16" s="2203">
        <v>27.34</v>
      </c>
      <c r="AB16" s="2203"/>
      <c r="AC16" s="2203">
        <v>48.53</v>
      </c>
      <c r="AD16" s="2203">
        <v>31.13</v>
      </c>
      <c r="AE16" s="2203">
        <v>28.17</v>
      </c>
      <c r="AF16" s="2203">
        <v>40.92</v>
      </c>
      <c r="AG16" s="2203"/>
      <c r="AH16" s="31"/>
      <c r="AI16" s="32">
        <f>SUM(D16:AH16)</f>
        <v>364.76</v>
      </c>
    </row>
    <row r="17" spans="2:35" ht="15">
      <c r="B17" s="21" t="s">
        <v>84</v>
      </c>
      <c r="C17" s="15">
        <f t="shared" si="0"/>
        <v>471.02</v>
      </c>
      <c r="D17" s="31"/>
      <c r="E17" s="34"/>
      <c r="F17" s="2203"/>
      <c r="G17" s="2203"/>
      <c r="H17" s="2203"/>
      <c r="I17" s="2203"/>
      <c r="J17" s="2203"/>
      <c r="K17" s="2203"/>
      <c r="L17" s="2203"/>
      <c r="M17" s="2203"/>
      <c r="N17" s="31">
        <v>31.15</v>
      </c>
      <c r="O17" s="31">
        <v>110.92999999999999</v>
      </c>
      <c r="P17" s="31">
        <v>144.49</v>
      </c>
      <c r="Q17" s="31">
        <v>43.26</v>
      </c>
      <c r="R17" s="31">
        <v>80.569999999999993</v>
      </c>
      <c r="S17" s="31">
        <v>60.620000000000005</v>
      </c>
      <c r="T17" s="31"/>
      <c r="U17" s="31"/>
      <c r="V17" s="31"/>
      <c r="W17" s="31"/>
      <c r="X17" s="31"/>
      <c r="Y17" s="31"/>
      <c r="Z17" s="31"/>
      <c r="AA17" s="31"/>
      <c r="AB17" s="31"/>
      <c r="AC17" s="31"/>
      <c r="AD17" s="31"/>
      <c r="AE17" s="31"/>
      <c r="AF17" s="31"/>
      <c r="AG17" s="31"/>
      <c r="AH17" s="31"/>
      <c r="AI17" s="32">
        <f t="shared" si="1"/>
        <v>471.02</v>
      </c>
    </row>
    <row r="18" spans="2:35" ht="15">
      <c r="B18" s="71" t="s">
        <v>72</v>
      </c>
      <c r="C18" s="72">
        <f>SUM(C6:C17)</f>
        <v>3743.23</v>
      </c>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f>SUM(AI6:AI17)</f>
        <v>3743.23</v>
      </c>
    </row>
  </sheetData>
  <mergeCells count="1">
    <mergeCell ref="B4:D4"/>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B3:I23"/>
  <sheetViews>
    <sheetView workbookViewId="0">
      <selection activeCell="L12" sqref="L12"/>
    </sheetView>
  </sheetViews>
  <sheetFormatPr baseColWidth="10" defaultRowHeight="13.2"/>
  <cols>
    <col min="2" max="2" width="17.44140625" bestFit="1" customWidth="1"/>
    <col min="6" max="6" width="20.109375" bestFit="1" customWidth="1"/>
  </cols>
  <sheetData>
    <row r="3" spans="2:9" ht="15">
      <c r="B3" s="4009" t="s">
        <v>747</v>
      </c>
      <c r="C3" s="4010"/>
      <c r="D3" s="4010"/>
      <c r="E3" s="4010"/>
      <c r="F3" s="4010"/>
      <c r="G3" s="4010"/>
      <c r="H3" s="4010"/>
      <c r="I3" s="4010"/>
    </row>
    <row r="4" spans="2:9" ht="15.6" thickBot="1">
      <c r="B4" s="4011" t="s">
        <v>1404</v>
      </c>
      <c r="C4" s="4012"/>
      <c r="D4" s="4012"/>
      <c r="E4" s="4012"/>
      <c r="F4" s="4012"/>
      <c r="G4" s="4012"/>
      <c r="H4" s="4012"/>
      <c r="I4" s="4012"/>
    </row>
    <row r="5" spans="2:9" ht="15" thickBot="1">
      <c r="B5" s="3218" t="s">
        <v>1389</v>
      </c>
      <c r="C5" s="3218" t="s">
        <v>223</v>
      </c>
      <c r="D5" s="3218" t="s">
        <v>1390</v>
      </c>
      <c r="E5" s="3218" t="s">
        <v>1391</v>
      </c>
      <c r="F5" s="3219" t="s">
        <v>1392</v>
      </c>
      <c r="G5" s="3220" t="s">
        <v>1393</v>
      </c>
      <c r="H5" s="3221" t="s">
        <v>153</v>
      </c>
      <c r="I5" s="3222" t="s">
        <v>154</v>
      </c>
    </row>
    <row r="6" spans="2:9" ht="14.4">
      <c r="B6" s="3223" t="s">
        <v>1394</v>
      </c>
      <c r="C6" s="3223">
        <v>1289</v>
      </c>
      <c r="D6" s="3224">
        <v>41773</v>
      </c>
      <c r="E6" s="3223">
        <v>7</v>
      </c>
      <c r="F6" s="3225" t="s">
        <v>1395</v>
      </c>
      <c r="G6" s="3226">
        <v>42.2</v>
      </c>
      <c r="H6" s="3227">
        <v>4.47</v>
      </c>
      <c r="I6" s="3228">
        <v>37.729999999999997</v>
      </c>
    </row>
    <row r="7" spans="2:9" ht="15" thickBot="1">
      <c r="B7" s="3234" t="s">
        <v>1394</v>
      </c>
      <c r="C7" s="3234">
        <v>1363</v>
      </c>
      <c r="D7" s="3235">
        <v>41775</v>
      </c>
      <c r="E7" s="3234">
        <v>16</v>
      </c>
      <c r="F7" s="3236" t="s">
        <v>1396</v>
      </c>
      <c r="G7" s="3237">
        <v>572</v>
      </c>
      <c r="H7" s="3238">
        <v>116.89</v>
      </c>
      <c r="I7" s="3419">
        <v>455.11</v>
      </c>
    </row>
    <row r="8" spans="2:9" ht="15" thickBot="1">
      <c r="B8" s="3280" t="s">
        <v>1399</v>
      </c>
      <c r="C8" s="3280">
        <v>1919</v>
      </c>
      <c r="D8" s="3684">
        <v>41844</v>
      </c>
      <c r="E8" s="3280">
        <v>6</v>
      </c>
      <c r="F8" s="3283" t="s">
        <v>1396</v>
      </c>
      <c r="G8" s="3284">
        <v>286</v>
      </c>
      <c r="H8" s="3285">
        <v>1.1499999999999999</v>
      </c>
      <c r="I8" s="3685">
        <v>284.85000000000002</v>
      </c>
    </row>
    <row r="9" spans="2:9" ht="14.4">
      <c r="B9" s="3239" t="s">
        <v>1400</v>
      </c>
      <c r="C9" s="3239">
        <v>1304</v>
      </c>
      <c r="D9" s="3240">
        <v>41773</v>
      </c>
      <c r="E9" s="3239">
        <v>17</v>
      </c>
      <c r="F9" s="3241" t="s">
        <v>1398</v>
      </c>
      <c r="G9" s="3242">
        <v>119.85</v>
      </c>
      <c r="H9" s="3681">
        <v>119.85</v>
      </c>
      <c r="I9" s="3422">
        <v>0</v>
      </c>
    </row>
    <row r="10" spans="2:9" ht="14.4">
      <c r="B10" s="3229" t="s">
        <v>1400</v>
      </c>
      <c r="C10" s="3229">
        <v>1305</v>
      </c>
      <c r="D10" s="3230">
        <v>41773</v>
      </c>
      <c r="E10" s="3229">
        <v>16</v>
      </c>
      <c r="F10" s="3231" t="s">
        <v>1398</v>
      </c>
      <c r="G10" s="3232">
        <v>119.85</v>
      </c>
      <c r="H10" s="3682">
        <v>32.06</v>
      </c>
      <c r="I10" s="3418">
        <v>87.79</v>
      </c>
    </row>
    <row r="11" spans="2:9" ht="14.4">
      <c r="B11" s="3229" t="s">
        <v>1400</v>
      </c>
      <c r="C11" s="3229">
        <v>1309</v>
      </c>
      <c r="D11" s="3230">
        <v>41773</v>
      </c>
      <c r="E11" s="3229">
        <v>12</v>
      </c>
      <c r="F11" s="3231" t="s">
        <v>1398</v>
      </c>
      <c r="G11" s="3232">
        <v>119.85</v>
      </c>
      <c r="H11" s="3682">
        <v>102.33</v>
      </c>
      <c r="I11" s="3420">
        <v>17.52</v>
      </c>
    </row>
    <row r="12" spans="2:9" ht="14.4">
      <c r="B12" s="3229" t="s">
        <v>1400</v>
      </c>
      <c r="C12" s="3229">
        <v>1313</v>
      </c>
      <c r="D12" s="3230">
        <v>41773</v>
      </c>
      <c r="E12" s="3229">
        <v>8</v>
      </c>
      <c r="F12" s="3231" t="s">
        <v>1398</v>
      </c>
      <c r="G12" s="3232">
        <v>47.94</v>
      </c>
      <c r="H12" s="3682">
        <v>12.16</v>
      </c>
      <c r="I12" s="3420">
        <v>35.78</v>
      </c>
    </row>
    <row r="13" spans="2:9" ht="14.4">
      <c r="B13" s="3229" t="s">
        <v>1400</v>
      </c>
      <c r="C13" s="3229">
        <v>1314</v>
      </c>
      <c r="D13" s="3230">
        <v>41773</v>
      </c>
      <c r="E13" s="3229">
        <v>7</v>
      </c>
      <c r="F13" s="3231" t="s">
        <v>1398</v>
      </c>
      <c r="G13" s="3232">
        <v>47.94</v>
      </c>
      <c r="H13" s="3682">
        <v>47.94</v>
      </c>
      <c r="I13" s="3423">
        <v>0</v>
      </c>
    </row>
    <row r="14" spans="2:9" ht="14.4">
      <c r="B14" s="3229" t="s">
        <v>1400</v>
      </c>
      <c r="C14" s="3229">
        <v>1315</v>
      </c>
      <c r="D14" s="3230">
        <v>41773</v>
      </c>
      <c r="E14" s="3229">
        <v>6</v>
      </c>
      <c r="F14" s="3231" t="s">
        <v>1398</v>
      </c>
      <c r="G14" s="3232">
        <v>47.94</v>
      </c>
      <c r="H14" s="3682">
        <v>24.21</v>
      </c>
      <c r="I14" s="3420">
        <v>23.73</v>
      </c>
    </row>
    <row r="15" spans="2:9" ht="14.4">
      <c r="B15" s="3223" t="s">
        <v>1400</v>
      </c>
      <c r="C15" s="3223">
        <v>1359</v>
      </c>
      <c r="D15" s="3224">
        <v>41775</v>
      </c>
      <c r="E15" s="3223">
        <v>1</v>
      </c>
      <c r="F15" s="3225" t="s">
        <v>1396</v>
      </c>
      <c r="G15" s="3226">
        <v>114.4</v>
      </c>
      <c r="H15" s="3227">
        <v>114.4</v>
      </c>
      <c r="I15" s="3228">
        <v>0</v>
      </c>
    </row>
    <row r="16" spans="2:9" ht="14.4">
      <c r="B16" s="3229" t="s">
        <v>1400</v>
      </c>
      <c r="C16" s="3229">
        <v>1360</v>
      </c>
      <c r="D16" s="3230">
        <v>41775</v>
      </c>
      <c r="E16" s="3229">
        <v>2</v>
      </c>
      <c r="F16" s="3231" t="s">
        <v>1396</v>
      </c>
      <c r="G16" s="3232">
        <v>114.4</v>
      </c>
      <c r="H16" s="3233">
        <v>114.4</v>
      </c>
      <c r="I16" s="3418">
        <v>0</v>
      </c>
    </row>
    <row r="17" spans="2:9" ht="14.4">
      <c r="B17" s="3229" t="s">
        <v>1400</v>
      </c>
      <c r="C17" s="3229">
        <v>1361</v>
      </c>
      <c r="D17" s="3230">
        <v>41775</v>
      </c>
      <c r="E17" s="3229">
        <v>4</v>
      </c>
      <c r="F17" s="3231" t="s">
        <v>1396</v>
      </c>
      <c r="G17" s="3232">
        <v>114.4</v>
      </c>
      <c r="H17" s="3233">
        <v>114.4</v>
      </c>
      <c r="I17" s="3420">
        <v>0</v>
      </c>
    </row>
    <row r="18" spans="2:9" ht="14.4">
      <c r="B18" s="3229" t="s">
        <v>1400</v>
      </c>
      <c r="C18" s="3229">
        <v>1362</v>
      </c>
      <c r="D18" s="3230">
        <v>41775</v>
      </c>
      <c r="E18" s="3229">
        <v>5</v>
      </c>
      <c r="F18" s="3231" t="s">
        <v>1396</v>
      </c>
      <c r="G18" s="3232">
        <v>114.4</v>
      </c>
      <c r="H18" s="3233">
        <v>55.51</v>
      </c>
      <c r="I18" s="3418">
        <v>58.89</v>
      </c>
    </row>
    <row r="19" spans="2:9" ht="14.4">
      <c r="B19" s="3229" t="s">
        <v>1400</v>
      </c>
      <c r="C19" s="3229">
        <v>1364</v>
      </c>
      <c r="D19" s="3230">
        <v>41775</v>
      </c>
      <c r="E19" s="3229">
        <v>3</v>
      </c>
      <c r="F19" s="3231" t="s">
        <v>1396</v>
      </c>
      <c r="G19" s="3232">
        <v>114.4</v>
      </c>
      <c r="H19" s="3233">
        <v>16.920000000000002</v>
      </c>
      <c r="I19" s="3418">
        <v>97.48</v>
      </c>
    </row>
    <row r="20" spans="2:9" ht="14.4">
      <c r="B20" s="3229" t="s">
        <v>1400</v>
      </c>
      <c r="C20" s="3229">
        <v>1915</v>
      </c>
      <c r="D20" s="3230">
        <v>41844</v>
      </c>
      <c r="E20" s="3229">
        <v>8</v>
      </c>
      <c r="F20" s="3231" t="s">
        <v>1395</v>
      </c>
      <c r="G20" s="3232">
        <v>42.2</v>
      </c>
      <c r="H20" s="3233">
        <v>15.12</v>
      </c>
      <c r="I20" s="3418">
        <v>27.08</v>
      </c>
    </row>
    <row r="21" spans="2:9" ht="14.4">
      <c r="B21" s="3256" t="s">
        <v>1401</v>
      </c>
      <c r="C21" s="3257">
        <v>1316</v>
      </c>
      <c r="D21" s="3258">
        <v>41773</v>
      </c>
      <c r="E21" s="3256">
        <v>5</v>
      </c>
      <c r="F21" s="3259" t="s">
        <v>1398</v>
      </c>
      <c r="G21" s="3260">
        <v>47.94</v>
      </c>
      <c r="H21" s="3261">
        <v>36.07</v>
      </c>
      <c r="I21" s="3423">
        <v>11.87</v>
      </c>
    </row>
    <row r="22" spans="2:9" ht="15" thickBot="1">
      <c r="B22" s="3274" t="s">
        <v>1402</v>
      </c>
      <c r="C22" s="3275">
        <v>1299</v>
      </c>
      <c r="D22" s="3276">
        <v>41773</v>
      </c>
      <c r="E22" s="3274">
        <v>22</v>
      </c>
      <c r="F22" s="3277" t="s">
        <v>1398</v>
      </c>
      <c r="G22" s="3278">
        <v>119.85</v>
      </c>
      <c r="H22" s="3279">
        <v>14.57</v>
      </c>
      <c r="I22" s="3428">
        <v>105.28</v>
      </c>
    </row>
    <row r="23" spans="2:9">
      <c r="H23" s="84">
        <f>SUM(H6:H22)</f>
        <v>942.45</v>
      </c>
    </row>
  </sheetData>
  <autoFilter ref="B5:I22"/>
  <mergeCells count="2">
    <mergeCell ref="B3:I3"/>
    <mergeCell ref="B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5</vt:i4>
      </vt:variant>
    </vt:vector>
  </HeadingPairs>
  <TitlesOfParts>
    <vt:vector size="35" baseType="lpstr">
      <vt:lpstr>Resumen</vt:lpstr>
      <vt:lpstr>Global</vt:lpstr>
      <vt:lpstr>Res. Global</vt:lpstr>
      <vt:lpstr>Resumen RAE Anchoveta</vt:lpstr>
      <vt:lpstr>RAE Anchoveta</vt:lpstr>
      <vt:lpstr>Anchoveta</vt:lpstr>
      <vt:lpstr>Resumen RAE S.Común</vt:lpstr>
      <vt:lpstr>RAE S.común</vt:lpstr>
      <vt:lpstr>S.común</vt:lpstr>
      <vt:lpstr>Resumen RAE Jurel</vt:lpstr>
      <vt:lpstr>RAE Jurel</vt:lpstr>
      <vt:lpstr>Jurel</vt:lpstr>
      <vt:lpstr>S.española</vt:lpstr>
      <vt:lpstr>Resumen RAE S. Austral</vt:lpstr>
      <vt:lpstr>Sardina austral X - XI</vt:lpstr>
      <vt:lpstr>Resumen Cuotas Traspasos</vt:lpstr>
      <vt:lpstr>Planillas diarias trapasos</vt:lpstr>
      <vt:lpstr>trapasos VIII Y FAUN aco regs.</vt:lpstr>
      <vt:lpstr>Anchoveta como F Acomp VIII R</vt:lpstr>
      <vt:lpstr>Res. Glob Fa aco - CHD - Impre</vt:lpstr>
      <vt:lpstr>Resumen Fauna Acompañante</vt:lpstr>
      <vt:lpstr>Fauna Acompañante</vt:lpstr>
      <vt:lpstr>Emb Tipo Bote SHRD</vt:lpstr>
      <vt:lpstr>CECIONES Y OTROS</vt:lpstr>
      <vt:lpstr>RESUMEN ALGAS III</vt:lpstr>
      <vt:lpstr>ALGAS IV </vt:lpstr>
      <vt:lpstr>RESUMEN ALGAS IV</vt:lpstr>
      <vt:lpstr>Hoja1</vt:lpstr>
      <vt:lpstr>Hoja2</vt:lpstr>
      <vt:lpstr>Hoja3</vt:lpstr>
      <vt:lpstr>'Emb Tipo Bote SHRD'!Área_de_impresión</vt:lpstr>
      <vt:lpstr>Global!Área_de_impresión</vt:lpstr>
      <vt:lpstr>'Res. Glob Fa aco - CHD - Impre'!Área_de_impresión</vt:lpstr>
      <vt:lpstr>'Res. Global'!Área_de_impresión</vt:lpstr>
      <vt:lpstr>'Resumen RAE Anchoveta'!Área_de_impresión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msolisp</dc:creator>
  <cp:lastModifiedBy>rgarcia</cp:lastModifiedBy>
  <cp:lastPrinted>2015-01-27T19:26:14Z</cp:lastPrinted>
  <dcterms:created xsi:type="dcterms:W3CDTF">2010-01-29T15:53:34Z</dcterms:created>
  <dcterms:modified xsi:type="dcterms:W3CDTF">2018-04-11T13:40:14Z</dcterms:modified>
</cp:coreProperties>
</file>